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D:\BUS\busy\singles\ertex\"/>
    </mc:Choice>
  </mc:AlternateContent>
  <bookViews>
    <workbookView xWindow="10155" yWindow="-15" windowWidth="10200" windowHeight="8055" tabRatio="602" firstSheet="2" activeTab="4"/>
  </bookViews>
  <sheets>
    <sheet name="СПИСОК ТОВ.на 1 ноя в ОБОРОТЕ" sheetId="259" r:id="rId1"/>
    <sheet name="НОЯБ2017" sheetId="258" r:id="rId2"/>
    <sheet name="ДЕК17" sheetId="260" r:id="rId3"/>
    <sheet name="ЯНВ18" sheetId="261" r:id="rId4"/>
    <sheet name="feb" sheetId="262" r:id="rId5"/>
  </sheets>
  <definedNames>
    <definedName name="_xlnm._FilterDatabase" localSheetId="4" hidden="1">feb!$A$4:$GY$444</definedName>
    <definedName name="_xlnm._FilterDatabase" localSheetId="2" hidden="1">ДЕК17!$A$4:$IG$440</definedName>
    <definedName name="_xlnm._FilterDatabase" localSheetId="1" hidden="1">НОЯБ2017!$A$4:$IG$436</definedName>
    <definedName name="_xlnm._FilterDatabase" localSheetId="0" hidden="1">'СПИСОК ТОВ.на 1 ноя в ОБОРОТЕ'!$A$4:$HK$436</definedName>
    <definedName name="_xlnm._FilterDatabase" localSheetId="3" hidden="1">ЯНВ18!$A$4:$GZ$444</definedName>
    <definedName name="_xlnm.Print_Titles" localSheetId="4">feb!$2:$5</definedName>
    <definedName name="_xlnm.Print_Titles" localSheetId="2">ДЕК17!$2:$5</definedName>
    <definedName name="_xlnm.Print_Titles" localSheetId="1">НОЯБ2017!$2:$5</definedName>
    <definedName name="_xlnm.Print_Titles" localSheetId="0">'СПИСОК ТОВ.на 1 ноя в ОБОРОТЕ'!$2:$5</definedName>
    <definedName name="_xlnm.Print_Titles" localSheetId="3">ЯНВ18!$2:$5</definedName>
    <definedName name="_xlnm.Print_Area" localSheetId="4">feb!$B$1:$GY$10556</definedName>
    <definedName name="_xlnm.Print_Area" localSheetId="3">ЯНВ18!$B$1:$GZ$10556</definedName>
  </definedNames>
  <calcPr calcId="152511" fullPrecision="0"/>
</workbook>
</file>

<file path=xl/calcChain.xml><?xml version="1.0" encoding="utf-8"?>
<calcChain xmlns="http://schemas.openxmlformats.org/spreadsheetml/2006/main">
  <c r="W329" i="262" l="1"/>
  <c r="W269" i="262"/>
  <c r="W268" i="262"/>
  <c r="V268" i="262" s="1"/>
  <c r="W267" i="262"/>
  <c r="W247" i="262"/>
  <c r="W241" i="262"/>
  <c r="W239" i="262"/>
  <c r="V239" i="262" s="1"/>
  <c r="W179" i="262"/>
  <c r="W146" i="262"/>
  <c r="W141" i="262"/>
  <c r="W123" i="262"/>
  <c r="W120" i="262"/>
  <c r="W119" i="262"/>
  <c r="W115" i="262"/>
  <c r="W110" i="262"/>
  <c r="V110" i="262" s="1"/>
  <c r="W101" i="262"/>
  <c r="W99" i="262"/>
  <c r="V99" i="262" s="1"/>
  <c r="W77" i="262"/>
  <c r="W76" i="262"/>
  <c r="W70" i="262"/>
  <c r="W40" i="262"/>
  <c r="W37" i="262"/>
  <c r="W8" i="262"/>
  <c r="W75" i="262"/>
  <c r="Q126" i="262"/>
  <c r="K126" i="262" s="1"/>
  <c r="W34" i="262"/>
  <c r="W21" i="262"/>
  <c r="N9" i="262"/>
  <c r="W79" i="262"/>
  <c r="M43" i="262"/>
  <c r="M440" i="262" s="1"/>
  <c r="M442" i="262" s="1"/>
  <c r="N391" i="262"/>
  <c r="Q291" i="262"/>
  <c r="K291" i="262" s="1"/>
  <c r="Q292" i="262"/>
  <c r="K292" i="262" s="1"/>
  <c r="Q293" i="262"/>
  <c r="K293" i="262" s="1"/>
  <c r="Q294" i="262"/>
  <c r="K294" i="262" s="1"/>
  <c r="O294" i="262" s="1"/>
  <c r="Q55" i="262"/>
  <c r="K55" i="262" s="1"/>
  <c r="R79" i="262"/>
  <c r="Q79" i="262" s="1"/>
  <c r="K79" i="262" s="1"/>
  <c r="O79" i="262" s="1"/>
  <c r="Q72" i="262"/>
  <c r="K72" i="262"/>
  <c r="O72" i="262" s="1"/>
  <c r="Q69" i="262"/>
  <c r="K69" i="262" s="1"/>
  <c r="O69" i="262" s="1"/>
  <c r="R70" i="262"/>
  <c r="Q70" i="262" s="1"/>
  <c r="K70" i="262" s="1"/>
  <c r="O70" i="262" s="1"/>
  <c r="R71" i="262"/>
  <c r="Q71" i="262"/>
  <c r="K71" i="262" s="1"/>
  <c r="O71" i="262" s="1"/>
  <c r="R17" i="262"/>
  <c r="N47" i="262"/>
  <c r="R430" i="262"/>
  <c r="N146" i="262"/>
  <c r="N131" i="262"/>
  <c r="U1" i="262"/>
  <c r="U4" i="262"/>
  <c r="U5" i="262"/>
  <c r="V5" i="262" s="1"/>
  <c r="J6" i="262"/>
  <c r="Q6" i="262"/>
  <c r="K6" i="262" s="1"/>
  <c r="O6" i="262" s="1"/>
  <c r="P6" i="262"/>
  <c r="R6" i="262"/>
  <c r="U6" i="262"/>
  <c r="V6" i="262" s="1"/>
  <c r="J7" i="262"/>
  <c r="S7" i="262" s="1"/>
  <c r="Q7" i="262"/>
  <c r="K7" i="262" s="1"/>
  <c r="O7" i="262" s="1"/>
  <c r="P7" i="262"/>
  <c r="T7" i="262"/>
  <c r="U7" i="262"/>
  <c r="W7" i="262"/>
  <c r="V7" i="262"/>
  <c r="J8" i="262"/>
  <c r="R8" i="262"/>
  <c r="Q8" i="262" s="1"/>
  <c r="K8" i="262" s="1"/>
  <c r="O8" i="262" s="1"/>
  <c r="P8" i="262"/>
  <c r="T8" i="262"/>
  <c r="U8" i="262"/>
  <c r="J9" i="262"/>
  <c r="S9" i="262" s="1"/>
  <c r="Q9" i="262"/>
  <c r="K9" i="262" s="1"/>
  <c r="O9" i="262" s="1"/>
  <c r="P9" i="262"/>
  <c r="T9" i="262"/>
  <c r="U9" i="262"/>
  <c r="W9" i="262"/>
  <c r="J10" i="262"/>
  <c r="S10" i="262" s="1"/>
  <c r="Q10" i="262"/>
  <c r="K10" i="262" s="1"/>
  <c r="O10" i="262"/>
  <c r="P10" i="262"/>
  <c r="U10" i="262"/>
  <c r="W10" i="262"/>
  <c r="V10" i="262"/>
  <c r="J11" i="262"/>
  <c r="S11" i="262"/>
  <c r="O11" i="262"/>
  <c r="P11" i="262"/>
  <c r="Q11" i="262"/>
  <c r="T11" i="262"/>
  <c r="U11" i="262"/>
  <c r="W11" i="262"/>
  <c r="V11" i="262" s="1"/>
  <c r="J12" i="262"/>
  <c r="R12" i="262"/>
  <c r="Q12" i="262" s="1"/>
  <c r="K12" i="262" s="1"/>
  <c r="O12" i="262"/>
  <c r="P12" i="262"/>
  <c r="S12" i="262"/>
  <c r="T12" i="262"/>
  <c r="U12" i="262"/>
  <c r="W12" i="262"/>
  <c r="V12" i="262"/>
  <c r="J13" i="262"/>
  <c r="Q13" i="262"/>
  <c r="K13" i="262" s="1"/>
  <c r="O13" i="262" s="1"/>
  <c r="P13" i="262"/>
  <c r="S13" i="262"/>
  <c r="U13" i="262"/>
  <c r="V13" i="262"/>
  <c r="J14" i="262"/>
  <c r="R14" i="262"/>
  <c r="Q14" i="262" s="1"/>
  <c r="K14" i="262" s="1"/>
  <c r="O14" i="262" s="1"/>
  <c r="P14" i="262"/>
  <c r="T14" i="262"/>
  <c r="U14" i="262"/>
  <c r="W14" i="262"/>
  <c r="V14" i="262"/>
  <c r="J15" i="262"/>
  <c r="R15" i="262"/>
  <c r="P15" i="262"/>
  <c r="T15" i="262"/>
  <c r="U15" i="262"/>
  <c r="W15" i="262"/>
  <c r="V15" i="262" s="1"/>
  <c r="J16" i="262"/>
  <c r="R16" i="262"/>
  <c r="Q16" i="262" s="1"/>
  <c r="K16" i="262" s="1"/>
  <c r="O16" i="262"/>
  <c r="P16" i="262"/>
  <c r="T16" i="262"/>
  <c r="U16" i="262"/>
  <c r="W16" i="262"/>
  <c r="V16" i="262" s="1"/>
  <c r="J17" i="262"/>
  <c r="P17" i="262"/>
  <c r="Q17" i="262"/>
  <c r="U17" i="262"/>
  <c r="V17" i="262" s="1"/>
  <c r="J18" i="262"/>
  <c r="S18" i="262" s="1"/>
  <c r="Q18" i="262"/>
  <c r="K18" i="262" s="1"/>
  <c r="O18" i="262" s="1"/>
  <c r="J316" i="262"/>
  <c r="P18" i="262"/>
  <c r="T18" i="262"/>
  <c r="U18" i="262"/>
  <c r="W18" i="262"/>
  <c r="V18" i="262" s="1"/>
  <c r="J19" i="262"/>
  <c r="R19" i="262"/>
  <c r="Q19" i="262" s="1"/>
  <c r="K19" i="262" s="1"/>
  <c r="O19" i="262"/>
  <c r="P19" i="262"/>
  <c r="U19" i="262"/>
  <c r="V19" i="262" s="1"/>
  <c r="N20" i="262"/>
  <c r="J20" i="262" s="1"/>
  <c r="S20" i="262"/>
  <c r="J318" i="262"/>
  <c r="P20" i="262"/>
  <c r="Q20" i="262"/>
  <c r="U20" i="262"/>
  <c r="V20" i="262" s="1"/>
  <c r="J21" i="262"/>
  <c r="S21" i="262" s="1"/>
  <c r="Q21" i="262"/>
  <c r="K21" i="262" s="1"/>
  <c r="O21" i="262" s="1"/>
  <c r="J319" i="262"/>
  <c r="P21" i="262"/>
  <c r="T21" i="262"/>
  <c r="U21" i="262"/>
  <c r="J22" i="262"/>
  <c r="S22" i="262" s="1"/>
  <c r="Q22" i="262"/>
  <c r="K22" i="262" s="1"/>
  <c r="O22" i="262" s="1"/>
  <c r="J320" i="262"/>
  <c r="P22" i="262"/>
  <c r="U22" i="262"/>
  <c r="V22" i="262"/>
  <c r="J23" i="262"/>
  <c r="J321" i="262"/>
  <c r="O23" i="262"/>
  <c r="P23" i="262"/>
  <c r="R23" i="262"/>
  <c r="Q23" i="262"/>
  <c r="S23" i="262"/>
  <c r="U23" i="262"/>
  <c r="V23" i="262" s="1"/>
  <c r="J24" i="262"/>
  <c r="R24" i="262"/>
  <c r="J322" i="262"/>
  <c r="P24" i="262"/>
  <c r="U24" i="262"/>
  <c r="V24" i="262" s="1"/>
  <c r="J25" i="262"/>
  <c r="S25" i="262" s="1"/>
  <c r="Q25" i="262"/>
  <c r="K25" i="262" s="1"/>
  <c r="O25" i="262"/>
  <c r="P25" i="262"/>
  <c r="U25" i="262"/>
  <c r="V25" i="262" s="1"/>
  <c r="J26" i="262"/>
  <c r="Q26" i="262"/>
  <c r="K26" i="262" s="1"/>
  <c r="O26" i="262" s="1"/>
  <c r="J324" i="262"/>
  <c r="P26" i="262"/>
  <c r="S26" i="262"/>
  <c r="U26" i="262"/>
  <c r="V26" i="262" s="1"/>
  <c r="J27" i="262"/>
  <c r="Q27" i="262"/>
  <c r="K27" i="262" s="1"/>
  <c r="O27" i="262" s="1"/>
  <c r="J325" i="262"/>
  <c r="P27" i="262"/>
  <c r="S27" i="262"/>
  <c r="U27" i="262"/>
  <c r="V27" i="262" s="1"/>
  <c r="J28" i="262"/>
  <c r="S28" i="262" s="1"/>
  <c r="Q28" i="262"/>
  <c r="K28" i="262" s="1"/>
  <c r="O28" i="262" s="1"/>
  <c r="P28" i="262"/>
  <c r="U28" i="262"/>
  <c r="V28" i="262" s="1"/>
  <c r="J29" i="262"/>
  <c r="S29" i="262" s="1"/>
  <c r="R29" i="262"/>
  <c r="Q29" i="262"/>
  <c r="K29" i="262" s="1"/>
  <c r="O29" i="262" s="1"/>
  <c r="P29" i="262"/>
  <c r="U29" i="262"/>
  <c r="V29" i="262" s="1"/>
  <c r="J30" i="262"/>
  <c r="R30" i="262"/>
  <c r="Q30" i="262" s="1"/>
  <c r="K30" i="262"/>
  <c r="O30" i="262" s="1"/>
  <c r="P30" i="262"/>
  <c r="U30" i="262"/>
  <c r="V30" i="262" s="1"/>
  <c r="J31" i="262"/>
  <c r="O31" i="262"/>
  <c r="P31" i="262"/>
  <c r="Q31" i="262"/>
  <c r="S31" i="262"/>
  <c r="U31" i="262"/>
  <c r="V31" i="262" s="1"/>
  <c r="J32" i="262"/>
  <c r="R32" i="262"/>
  <c r="Q32" i="262"/>
  <c r="K32" i="262" s="1"/>
  <c r="O32" i="262" s="1"/>
  <c r="P32" i="262"/>
  <c r="U32" i="262"/>
  <c r="V32" i="262" s="1"/>
  <c r="J33" i="262"/>
  <c r="S33" i="262" s="1"/>
  <c r="Q33" i="262"/>
  <c r="K33" i="262" s="1"/>
  <c r="O33" i="262" s="1"/>
  <c r="P33" i="262"/>
  <c r="U33" i="262"/>
  <c r="V33" i="262" s="1"/>
  <c r="J34" i="262"/>
  <c r="S34" i="262" s="1"/>
  <c r="Q34" i="262"/>
  <c r="K34" i="262"/>
  <c r="O34" i="262" s="1"/>
  <c r="J332" i="262"/>
  <c r="P34" i="262"/>
  <c r="U34" i="262"/>
  <c r="V34" i="262" s="1"/>
  <c r="J35" i="262"/>
  <c r="R35" i="262"/>
  <c r="J333" i="262"/>
  <c r="P35" i="262"/>
  <c r="U35" i="262"/>
  <c r="V35" i="262" s="1"/>
  <c r="J36" i="262"/>
  <c r="S36" i="262" s="1"/>
  <c r="Q36" i="262"/>
  <c r="K36" i="262" s="1"/>
  <c r="O36" i="262" s="1"/>
  <c r="P36" i="262"/>
  <c r="T36" i="262"/>
  <c r="U36" i="262"/>
  <c r="W36" i="262"/>
  <c r="V36" i="262"/>
  <c r="J37" i="262"/>
  <c r="S37" i="262"/>
  <c r="Q37" i="262"/>
  <c r="K37" i="262"/>
  <c r="O37" i="262" s="1"/>
  <c r="P37" i="262"/>
  <c r="T37" i="262"/>
  <c r="U37" i="262"/>
  <c r="J38" i="262"/>
  <c r="Q38" i="262"/>
  <c r="K38" i="262"/>
  <c r="J336" i="262"/>
  <c r="O38" i="262"/>
  <c r="P38" i="262"/>
  <c r="S38" i="262"/>
  <c r="U38" i="262"/>
  <c r="V38" i="262"/>
  <c r="J39" i="262"/>
  <c r="S39" i="262"/>
  <c r="Q39" i="262"/>
  <c r="K39" i="262"/>
  <c r="O39" i="262" s="1"/>
  <c r="J337" i="262"/>
  <c r="P39" i="262"/>
  <c r="U39" i="262"/>
  <c r="V39" i="262" s="1"/>
  <c r="J40" i="262"/>
  <c r="S40" i="262" s="1"/>
  <c r="Q40" i="262"/>
  <c r="K40" i="262"/>
  <c r="O40" i="262" s="1"/>
  <c r="J338" i="262"/>
  <c r="S338" i="262" s="1"/>
  <c r="P40" i="262"/>
  <c r="U40" i="262"/>
  <c r="J41" i="262"/>
  <c r="S41" i="262" s="1"/>
  <c r="J339" i="262"/>
  <c r="O41" i="262"/>
  <c r="P41" i="262"/>
  <c r="Q41" i="262"/>
  <c r="U41" i="262"/>
  <c r="V41" i="262" s="1"/>
  <c r="J42" i="262"/>
  <c r="S42" i="262" s="1"/>
  <c r="J340" i="262"/>
  <c r="O42" i="262"/>
  <c r="P42" i="262"/>
  <c r="Q42" i="262"/>
  <c r="U42" i="262"/>
  <c r="V42" i="262" s="1"/>
  <c r="J43" i="262"/>
  <c r="S43" i="262" s="1"/>
  <c r="Q43" i="262"/>
  <c r="K43" i="262" s="1"/>
  <c r="O43" i="262"/>
  <c r="J341" i="262"/>
  <c r="P43" i="262"/>
  <c r="T43" i="262"/>
  <c r="U43" i="262"/>
  <c r="W43" i="262"/>
  <c r="V43" i="262"/>
  <c r="J44" i="262"/>
  <c r="S44" i="262"/>
  <c r="K44" i="262"/>
  <c r="J342" i="262"/>
  <c r="O44" i="262"/>
  <c r="P44" i="262"/>
  <c r="Q44" i="262"/>
  <c r="U44" i="262"/>
  <c r="V44" i="262" s="1"/>
  <c r="J45" i="262"/>
  <c r="R45" i="262"/>
  <c r="Q45" i="262" s="1"/>
  <c r="K45" i="262" s="1"/>
  <c r="O45" i="262" s="1"/>
  <c r="P45" i="262"/>
  <c r="U45" i="262"/>
  <c r="V45" i="262" s="1"/>
  <c r="J46" i="262"/>
  <c r="S46" i="262" s="1"/>
  <c r="Q46" i="262"/>
  <c r="K46" i="262" s="1"/>
  <c r="O46" i="262" s="1"/>
  <c r="P46" i="262"/>
  <c r="U46" i="262"/>
  <c r="J47" i="262"/>
  <c r="S47" i="262" s="1"/>
  <c r="K47" i="262"/>
  <c r="J345" i="262"/>
  <c r="O47" i="262"/>
  <c r="P47" i="262"/>
  <c r="Q47" i="262"/>
  <c r="T47" i="262"/>
  <c r="U47" i="262"/>
  <c r="W47" i="262"/>
  <c r="J48" i="262"/>
  <c r="S48" i="262" s="1"/>
  <c r="Q48" i="262"/>
  <c r="K48" i="262"/>
  <c r="O48" i="262" s="1"/>
  <c r="P48" i="262"/>
  <c r="U48" i="262"/>
  <c r="V48" i="262" s="1"/>
  <c r="J49" i="262"/>
  <c r="S49" i="262" s="1"/>
  <c r="Q49" i="262"/>
  <c r="K49" i="262" s="1"/>
  <c r="O49" i="262" s="1"/>
  <c r="P49" i="262"/>
  <c r="U49" i="262"/>
  <c r="V49" i="262" s="1"/>
  <c r="J50" i="262"/>
  <c r="O50" i="262"/>
  <c r="P50" i="262"/>
  <c r="R50" i="262"/>
  <c r="S50" i="262"/>
  <c r="U50" i="262"/>
  <c r="V50" i="262"/>
  <c r="J51" i="262"/>
  <c r="R51" i="262"/>
  <c r="Q51" i="262" s="1"/>
  <c r="K51" i="262" s="1"/>
  <c r="O51" i="262" s="1"/>
  <c r="P51" i="262"/>
  <c r="U51" i="262"/>
  <c r="V51" i="262" s="1"/>
  <c r="J52" i="262"/>
  <c r="O52" i="262"/>
  <c r="P52" i="262"/>
  <c r="R52" i="262"/>
  <c r="S52" i="262" s="1"/>
  <c r="U52" i="262"/>
  <c r="V52" i="262" s="1"/>
  <c r="J53" i="262"/>
  <c r="R53" i="262"/>
  <c r="U53" i="262"/>
  <c r="V53" i="262" s="1"/>
  <c r="J54" i="262"/>
  <c r="R54" i="262"/>
  <c r="J352" i="262"/>
  <c r="P54" i="262"/>
  <c r="U54" i="262"/>
  <c r="V54" i="262" s="1"/>
  <c r="J55" i="262"/>
  <c r="S55" i="262" s="1"/>
  <c r="J353" i="262"/>
  <c r="O55" i="262"/>
  <c r="P55" i="262"/>
  <c r="U55" i="262"/>
  <c r="V55" i="262" s="1"/>
  <c r="J56" i="262"/>
  <c r="S56" i="262" s="1"/>
  <c r="Q56" i="262"/>
  <c r="K56" i="262" s="1"/>
  <c r="O56" i="262" s="1"/>
  <c r="P56" i="262"/>
  <c r="U56" i="262"/>
  <c r="J57" i="262"/>
  <c r="S57" i="262" s="1"/>
  <c r="Q57" i="262"/>
  <c r="K57" i="262" s="1"/>
  <c r="O57" i="262" s="1"/>
  <c r="J354" i="262"/>
  <c r="P57" i="262"/>
  <c r="T57" i="262"/>
  <c r="U57" i="262"/>
  <c r="W57" i="262"/>
  <c r="V57" i="262" s="1"/>
  <c r="J58" i="262"/>
  <c r="S58" i="262" s="1"/>
  <c r="Q58" i="262"/>
  <c r="K58" i="262" s="1"/>
  <c r="O58" i="262" s="1"/>
  <c r="P58" i="262"/>
  <c r="U58" i="262"/>
  <c r="V58" i="262" s="1"/>
  <c r="J59" i="262"/>
  <c r="S59" i="262" s="1"/>
  <c r="Q59" i="262"/>
  <c r="K59" i="262"/>
  <c r="O59" i="262" s="1"/>
  <c r="P59" i="262"/>
  <c r="U59" i="262"/>
  <c r="V59" i="262" s="1"/>
  <c r="J60" i="262"/>
  <c r="S60" i="262" s="1"/>
  <c r="Q60" i="262"/>
  <c r="K60" i="262" s="1"/>
  <c r="O60" i="262" s="1"/>
  <c r="P60" i="262"/>
  <c r="U60" i="262"/>
  <c r="V60" i="262" s="1"/>
  <c r="J61" i="262"/>
  <c r="S61" i="262" s="1"/>
  <c r="Q61" i="262"/>
  <c r="K61" i="262"/>
  <c r="O61" i="262" s="1"/>
  <c r="J358" i="262"/>
  <c r="P61" i="262"/>
  <c r="U61" i="262"/>
  <c r="V61" i="262" s="1"/>
  <c r="J62" i="262"/>
  <c r="S62" i="262" s="1"/>
  <c r="Q62" i="262"/>
  <c r="K62" i="262" s="1"/>
  <c r="O62" i="262" s="1"/>
  <c r="P62" i="262"/>
  <c r="U62" i="262"/>
  <c r="V62" i="262"/>
  <c r="J63" i="262"/>
  <c r="Q63" i="262"/>
  <c r="K63" i="262" s="1"/>
  <c r="O63" i="262" s="1"/>
  <c r="J360" i="262"/>
  <c r="P63" i="262"/>
  <c r="S63" i="262"/>
  <c r="U63" i="262"/>
  <c r="V63" i="262" s="1"/>
  <c r="J64" i="262"/>
  <c r="K64" i="262"/>
  <c r="P64" i="262"/>
  <c r="Q64" i="262"/>
  <c r="S64" i="262"/>
  <c r="U64" i="262"/>
  <c r="V64" i="262" s="1"/>
  <c r="J65" i="262"/>
  <c r="S65" i="262" s="1"/>
  <c r="Q65" i="262"/>
  <c r="K65" i="262" s="1"/>
  <c r="O65" i="262" s="1"/>
  <c r="J362" i="262"/>
  <c r="P65" i="262"/>
  <c r="U65" i="262"/>
  <c r="V65" i="262" s="1"/>
  <c r="J66" i="262"/>
  <c r="S66" i="262" s="1"/>
  <c r="Q66" i="262"/>
  <c r="K66" i="262" s="1"/>
  <c r="O66" i="262" s="1"/>
  <c r="P66" i="262"/>
  <c r="T66" i="262"/>
  <c r="U66" i="262"/>
  <c r="W66" i="262"/>
  <c r="J67" i="262"/>
  <c r="S67" i="262" s="1"/>
  <c r="Q67" i="262"/>
  <c r="K67" i="262" s="1"/>
  <c r="O67" i="262" s="1"/>
  <c r="J364" i="262"/>
  <c r="P67" i="262"/>
  <c r="U67" i="262"/>
  <c r="V67" i="262" s="1"/>
  <c r="J68" i="262"/>
  <c r="S68" i="262" s="1"/>
  <c r="Q68" i="262"/>
  <c r="K68" i="262" s="1"/>
  <c r="O68" i="262" s="1"/>
  <c r="P68" i="262"/>
  <c r="U68" i="262"/>
  <c r="V68" i="262" s="1"/>
  <c r="J69" i="262"/>
  <c r="S69" i="262" s="1"/>
  <c r="J366" i="262"/>
  <c r="P69" i="262"/>
  <c r="U69" i="262"/>
  <c r="V69" i="262" s="1"/>
  <c r="J70" i="262"/>
  <c r="J367" i="262"/>
  <c r="P70" i="262"/>
  <c r="T70" i="262"/>
  <c r="U70" i="262"/>
  <c r="J71" i="262"/>
  <c r="S71" i="262" s="1"/>
  <c r="J368" i="262"/>
  <c r="P71" i="262"/>
  <c r="T71" i="262"/>
  <c r="U71" i="262"/>
  <c r="W71" i="262"/>
  <c r="J72" i="262"/>
  <c r="S72" i="262" s="1"/>
  <c r="J369" i="262"/>
  <c r="P72" i="262"/>
  <c r="U72" i="262"/>
  <c r="V72" i="262" s="1"/>
  <c r="J73" i="262"/>
  <c r="S73" i="262" s="1"/>
  <c r="Q73" i="262"/>
  <c r="K73" i="262"/>
  <c r="O73" i="262" s="1"/>
  <c r="P73" i="262"/>
  <c r="U73" i="262"/>
  <c r="V73" i="262" s="1"/>
  <c r="J74" i="262"/>
  <c r="S74" i="262" s="1"/>
  <c r="J371" i="262"/>
  <c r="O74" i="262"/>
  <c r="P74" i="262"/>
  <c r="Q74" i="262"/>
  <c r="U74" i="262"/>
  <c r="V74" i="262" s="1"/>
  <c r="J75" i="262"/>
  <c r="Q75" i="262"/>
  <c r="K75" i="262" s="1"/>
  <c r="O75" i="262" s="1"/>
  <c r="J372" i="262"/>
  <c r="P75" i="262"/>
  <c r="S75" i="262"/>
  <c r="U75" i="262"/>
  <c r="V75" i="262" s="1"/>
  <c r="J76" i="262"/>
  <c r="S76" i="262" s="1"/>
  <c r="K76" i="262"/>
  <c r="P76" i="262"/>
  <c r="T76" i="262"/>
  <c r="U76" i="262"/>
  <c r="J77" i="262"/>
  <c r="R77" i="262"/>
  <c r="Q77" i="262"/>
  <c r="K77" i="262" s="1"/>
  <c r="O77" i="262" s="1"/>
  <c r="J374" i="262"/>
  <c r="P77" i="262"/>
  <c r="T77" i="262"/>
  <c r="U77" i="262"/>
  <c r="V77" i="262" s="1"/>
  <c r="J78" i="262"/>
  <c r="Q78" i="262"/>
  <c r="K78" i="262" s="1"/>
  <c r="O78" i="262" s="1"/>
  <c r="J375" i="262"/>
  <c r="P78" i="262"/>
  <c r="S78" i="262"/>
  <c r="U78" i="262"/>
  <c r="V78" i="262" s="1"/>
  <c r="J79" i="262"/>
  <c r="J376" i="262"/>
  <c r="P79" i="262"/>
  <c r="T79" i="262"/>
  <c r="U79" i="262"/>
  <c r="J80" i="262"/>
  <c r="S80" i="262" s="1"/>
  <c r="Q80" i="262"/>
  <c r="K80" i="262" s="1"/>
  <c r="O80" i="262" s="1"/>
  <c r="P80" i="262"/>
  <c r="U80" i="262"/>
  <c r="V80" i="262" s="1"/>
  <c r="J81" i="262"/>
  <c r="S81" i="262" s="1"/>
  <c r="Q81" i="262"/>
  <c r="K81" i="262" s="1"/>
  <c r="O81" i="262" s="1"/>
  <c r="P81" i="262"/>
  <c r="U81" i="262"/>
  <c r="V81" i="262" s="1"/>
  <c r="J82" i="262"/>
  <c r="S82" i="262" s="1"/>
  <c r="Q82" i="262"/>
  <c r="K82" i="262" s="1"/>
  <c r="O82" i="262" s="1"/>
  <c r="P82" i="262"/>
  <c r="U82" i="262"/>
  <c r="V82" i="262" s="1"/>
  <c r="J83" i="262"/>
  <c r="S83" i="262" s="1"/>
  <c r="Q83" i="262"/>
  <c r="K83" i="262" s="1"/>
  <c r="O83" i="262" s="1"/>
  <c r="J383" i="262"/>
  <c r="P83" i="262"/>
  <c r="T83" i="262"/>
  <c r="U83" i="262"/>
  <c r="W83" i="262"/>
  <c r="V83" i="262" s="1"/>
  <c r="J84" i="262"/>
  <c r="Q84" i="262"/>
  <c r="K84" i="262" s="1"/>
  <c r="O84" i="262" s="1"/>
  <c r="J384" i="262"/>
  <c r="P84" i="262"/>
  <c r="S84" i="262"/>
  <c r="U84" i="262"/>
  <c r="V84" i="262" s="1"/>
  <c r="J85" i="262"/>
  <c r="S85" i="262" s="1"/>
  <c r="Q85" i="262"/>
  <c r="K85" i="262" s="1"/>
  <c r="O85" i="262" s="1"/>
  <c r="J385" i="262"/>
  <c r="P85" i="262"/>
  <c r="T85" i="262"/>
  <c r="U85" i="262"/>
  <c r="W85" i="262"/>
  <c r="V85" i="262" s="1"/>
  <c r="J86" i="262"/>
  <c r="S86" i="262" s="1"/>
  <c r="Q86" i="262"/>
  <c r="K86" i="262" s="1"/>
  <c r="O86" i="262" s="1"/>
  <c r="J386" i="262"/>
  <c r="S386" i="262" s="1"/>
  <c r="P86" i="262"/>
  <c r="U86" i="262"/>
  <c r="V86" i="262" s="1"/>
  <c r="J87" i="262"/>
  <c r="S87" i="262" s="1"/>
  <c r="Q87" i="262"/>
  <c r="K87" i="262" s="1"/>
  <c r="O87" i="262" s="1"/>
  <c r="P87" i="262"/>
  <c r="U87" i="262"/>
  <c r="V87" i="262"/>
  <c r="J88" i="262"/>
  <c r="J388" i="262"/>
  <c r="O88" i="262"/>
  <c r="P88" i="262"/>
  <c r="R88" i="262"/>
  <c r="Q88" i="262"/>
  <c r="T88" i="262"/>
  <c r="U88" i="262"/>
  <c r="W88" i="262"/>
  <c r="V88" i="262"/>
  <c r="J89" i="262"/>
  <c r="J389" i="262"/>
  <c r="O89" i="262"/>
  <c r="P89" i="262"/>
  <c r="Q89" i="262"/>
  <c r="S89" i="262"/>
  <c r="U89" i="262"/>
  <c r="V89" i="262"/>
  <c r="N90" i="262"/>
  <c r="J90" i="262"/>
  <c r="S90" i="262" s="1"/>
  <c r="Q90" i="262"/>
  <c r="K90" i="262" s="1"/>
  <c r="O90" i="262" s="1"/>
  <c r="J390" i="262"/>
  <c r="S390" i="262" s="1"/>
  <c r="P90" i="262"/>
  <c r="T90" i="262"/>
  <c r="U90" i="262"/>
  <c r="W90" i="262"/>
  <c r="V90" i="262" s="1"/>
  <c r="N91" i="262"/>
  <c r="J91" i="262" s="1"/>
  <c r="S91" i="262" s="1"/>
  <c r="O91" i="262"/>
  <c r="P91" i="262"/>
  <c r="Q91" i="262"/>
  <c r="T91" i="262"/>
  <c r="U91" i="262"/>
  <c r="W91" i="262"/>
  <c r="J92" i="262"/>
  <c r="R92" i="262"/>
  <c r="Q92" i="262"/>
  <c r="K92" i="262" s="1"/>
  <c r="O92" i="262" s="1"/>
  <c r="J392" i="262"/>
  <c r="P92" i="262"/>
  <c r="T92" i="262"/>
  <c r="U92" i="262"/>
  <c r="W92" i="262"/>
  <c r="V92" i="262"/>
  <c r="J93" i="262"/>
  <c r="R93" i="262"/>
  <c r="P93" i="262"/>
  <c r="T93" i="262"/>
  <c r="U93" i="262"/>
  <c r="W93" i="262"/>
  <c r="V93" i="262" s="1"/>
  <c r="J94" i="262"/>
  <c r="S94" i="262" s="1"/>
  <c r="Q94" i="262"/>
  <c r="K94" i="262" s="1"/>
  <c r="O94" i="262" s="1"/>
  <c r="P94" i="262"/>
  <c r="U94" i="262"/>
  <c r="V94" i="262" s="1"/>
  <c r="J95" i="262"/>
  <c r="S95" i="262" s="1"/>
  <c r="Q95" i="262"/>
  <c r="K95" i="262" s="1"/>
  <c r="O95" i="262" s="1"/>
  <c r="P95" i="262"/>
  <c r="U95" i="262"/>
  <c r="V95" i="262" s="1"/>
  <c r="J96" i="262"/>
  <c r="R96" i="262"/>
  <c r="S96" i="262" s="1"/>
  <c r="P96" i="262"/>
  <c r="U96" i="262"/>
  <c r="V96" i="262" s="1"/>
  <c r="J97" i="262"/>
  <c r="S97" i="262" s="1"/>
  <c r="Q97" i="262"/>
  <c r="K97" i="262" s="1"/>
  <c r="O97" i="262" s="1"/>
  <c r="P97" i="262"/>
  <c r="U97" i="262"/>
  <c r="V97" i="262" s="1"/>
  <c r="J98" i="262"/>
  <c r="S98" i="262" s="1"/>
  <c r="Q98" i="262"/>
  <c r="K98" i="262" s="1"/>
  <c r="O98" i="262" s="1"/>
  <c r="P98" i="262"/>
  <c r="U98" i="262"/>
  <c r="V98" i="262"/>
  <c r="J99" i="262"/>
  <c r="S99" i="262"/>
  <c r="Q99" i="262"/>
  <c r="K99" i="262"/>
  <c r="J399" i="262"/>
  <c r="O99" i="262"/>
  <c r="P99" i="262"/>
  <c r="T99" i="262"/>
  <c r="U99" i="262"/>
  <c r="J100" i="262"/>
  <c r="S100" i="262"/>
  <c r="Q100" i="262"/>
  <c r="K100" i="262"/>
  <c r="O100" i="262" s="1"/>
  <c r="J400" i="262"/>
  <c r="S400" i="262" s="1"/>
  <c r="P100" i="262"/>
  <c r="T100" i="262"/>
  <c r="U100" i="262"/>
  <c r="W100" i="262"/>
  <c r="V100" i="262"/>
  <c r="J101" i="262"/>
  <c r="S101" i="262"/>
  <c r="Q101" i="262"/>
  <c r="K101" i="262"/>
  <c r="J401" i="262"/>
  <c r="O101" i="262"/>
  <c r="P101" i="262"/>
  <c r="T101" i="262"/>
  <c r="U101" i="262"/>
  <c r="V101" i="262"/>
  <c r="J102" i="262"/>
  <c r="Q102" i="262"/>
  <c r="K102" i="262" s="1"/>
  <c r="O102" i="262" s="1"/>
  <c r="J402" i="262"/>
  <c r="S402" i="262"/>
  <c r="P102" i="262"/>
  <c r="S102" i="262"/>
  <c r="U102" i="262"/>
  <c r="V102" i="262"/>
  <c r="J103" i="262"/>
  <c r="Q103" i="262"/>
  <c r="K103" i="262" s="1"/>
  <c r="O103" i="262" s="1"/>
  <c r="J403" i="262"/>
  <c r="S403" i="262" s="1"/>
  <c r="P103" i="262"/>
  <c r="S103" i="262"/>
  <c r="U103" i="262"/>
  <c r="V103" i="262" s="1"/>
  <c r="J104" i="262"/>
  <c r="Q104" i="262"/>
  <c r="K104" i="262" s="1"/>
  <c r="O104" i="262" s="1"/>
  <c r="J405" i="262"/>
  <c r="P104" i="262"/>
  <c r="S104" i="262"/>
  <c r="U104" i="262"/>
  <c r="V104" i="262" s="1"/>
  <c r="J105" i="262"/>
  <c r="S105" i="262" s="1"/>
  <c r="Q105" i="262"/>
  <c r="K105" i="262"/>
  <c r="O105" i="262" s="1"/>
  <c r="J406" i="262"/>
  <c r="S406" i="262"/>
  <c r="P105" i="262"/>
  <c r="U105" i="262"/>
  <c r="V105" i="262" s="1"/>
  <c r="J106" i="262"/>
  <c r="Q106" i="262"/>
  <c r="K106" i="262" s="1"/>
  <c r="O106" i="262" s="1"/>
  <c r="J407" i="262"/>
  <c r="P106" i="262"/>
  <c r="S106" i="262"/>
  <c r="U106" i="262"/>
  <c r="V106" i="262"/>
  <c r="J107" i="262"/>
  <c r="O107" i="262"/>
  <c r="P107" i="262"/>
  <c r="Q107" i="262"/>
  <c r="S107" i="262"/>
  <c r="U107" i="262"/>
  <c r="V107" i="262" s="1"/>
  <c r="J108" i="262"/>
  <c r="S108" i="262" s="1"/>
  <c r="Q108" i="262"/>
  <c r="K108" i="262" s="1"/>
  <c r="O108" i="262" s="1"/>
  <c r="P108" i="262"/>
  <c r="U108" i="262"/>
  <c r="V108" i="262" s="1"/>
  <c r="J109" i="262"/>
  <c r="S109" i="262" s="1"/>
  <c r="Q109" i="262"/>
  <c r="K109" i="262" s="1"/>
  <c r="O109" i="262" s="1"/>
  <c r="P109" i="262"/>
  <c r="U109" i="262"/>
  <c r="V109" i="262" s="1"/>
  <c r="J110" i="262"/>
  <c r="Q110" i="262"/>
  <c r="K110" i="262"/>
  <c r="J411" i="262"/>
  <c r="O110" i="262"/>
  <c r="P110" i="262"/>
  <c r="S110" i="262"/>
  <c r="U110" i="262"/>
  <c r="J111" i="262"/>
  <c r="P111" i="262"/>
  <c r="S111" i="262"/>
  <c r="U111" i="262"/>
  <c r="J112" i="262"/>
  <c r="Q112" i="262"/>
  <c r="K112" i="262" s="1"/>
  <c r="O112" i="262" s="1"/>
  <c r="J413" i="262"/>
  <c r="P112" i="262"/>
  <c r="S112" i="262"/>
  <c r="U112" i="262"/>
  <c r="V112" i="262" s="1"/>
  <c r="J113" i="262"/>
  <c r="Q113" i="262"/>
  <c r="K113" i="262" s="1"/>
  <c r="O113" i="262" s="1"/>
  <c r="J414" i="262"/>
  <c r="S414" i="262" s="1"/>
  <c r="P113" i="262"/>
  <c r="S113" i="262"/>
  <c r="U113" i="262"/>
  <c r="V113" i="262"/>
  <c r="J114" i="262"/>
  <c r="R114" i="262"/>
  <c r="S114" i="262" s="1"/>
  <c r="P114" i="262"/>
  <c r="U114" i="262"/>
  <c r="V114" i="262" s="1"/>
  <c r="J115" i="262"/>
  <c r="R115" i="262"/>
  <c r="P115" i="262"/>
  <c r="T115" i="262"/>
  <c r="U115" i="262"/>
  <c r="V115" i="262" s="1"/>
  <c r="J116" i="262"/>
  <c r="O116" i="262"/>
  <c r="P116" i="262"/>
  <c r="Q116" i="262"/>
  <c r="S116" i="262"/>
  <c r="U116" i="262"/>
  <c r="V116" i="262" s="1"/>
  <c r="J117" i="262"/>
  <c r="S117" i="262" s="1"/>
  <c r="Q117" i="262"/>
  <c r="K117" i="262" s="1"/>
  <c r="O117" i="262" s="1"/>
  <c r="P117" i="262"/>
  <c r="U117" i="262"/>
  <c r="V117" i="262" s="1"/>
  <c r="J118" i="262"/>
  <c r="S118" i="262" s="1"/>
  <c r="O118" i="262"/>
  <c r="P118" i="262"/>
  <c r="Q118" i="262"/>
  <c r="U118" i="262"/>
  <c r="V118" i="262" s="1"/>
  <c r="J119" i="262"/>
  <c r="S119" i="262" s="1"/>
  <c r="Q119" i="262"/>
  <c r="K119" i="262" s="1"/>
  <c r="O119" i="262" s="1"/>
  <c r="J420" i="262"/>
  <c r="P119" i="262"/>
  <c r="T119" i="262"/>
  <c r="U119" i="262"/>
  <c r="J120" i="262"/>
  <c r="S120" i="262" s="1"/>
  <c r="Q120" i="262"/>
  <c r="K120" i="262" s="1"/>
  <c r="O120" i="262" s="1"/>
  <c r="J421" i="262"/>
  <c r="P120" i="262"/>
  <c r="T120" i="262"/>
  <c r="U120" i="262"/>
  <c r="X120" i="262"/>
  <c r="J121" i="262"/>
  <c r="S121" i="262"/>
  <c r="J422" i="262"/>
  <c r="O121" i="262"/>
  <c r="P121" i="262"/>
  <c r="Q121" i="262"/>
  <c r="T121" i="262"/>
  <c r="U121" i="262"/>
  <c r="V121" i="262" s="1"/>
  <c r="J122" i="262"/>
  <c r="Q122" i="262"/>
  <c r="K122" i="262" s="1"/>
  <c r="O122" i="262" s="1"/>
  <c r="J423" i="262"/>
  <c r="S423" i="262" s="1"/>
  <c r="P122" i="262"/>
  <c r="S122" i="262"/>
  <c r="U122" i="262"/>
  <c r="V122" i="262" s="1"/>
  <c r="J123" i="262"/>
  <c r="S123" i="262" s="1"/>
  <c r="Q123" i="262"/>
  <c r="K123" i="262" s="1"/>
  <c r="O123" i="262" s="1"/>
  <c r="J424" i="262"/>
  <c r="S424" i="262" s="1"/>
  <c r="P123" i="262"/>
  <c r="T123" i="262"/>
  <c r="U123" i="262"/>
  <c r="V123" i="262"/>
  <c r="J124" i="262"/>
  <c r="Q124" i="262"/>
  <c r="K124" i="262" s="1"/>
  <c r="O124" i="262" s="1"/>
  <c r="J425" i="262"/>
  <c r="P124" i="262"/>
  <c r="S124" i="262"/>
  <c r="U124" i="262"/>
  <c r="V124" i="262" s="1"/>
  <c r="N125" i="262"/>
  <c r="J125" i="262" s="1"/>
  <c r="S125" i="262" s="1"/>
  <c r="Q125" i="262"/>
  <c r="K125" i="262" s="1"/>
  <c r="O125" i="262" s="1"/>
  <c r="J426" i="262"/>
  <c r="P125" i="262"/>
  <c r="U125" i="262"/>
  <c r="V125" i="262" s="1"/>
  <c r="J126" i="262"/>
  <c r="S126" i="262" s="1"/>
  <c r="J427" i="262"/>
  <c r="S427" i="262" s="1"/>
  <c r="O126" i="262"/>
  <c r="P126" i="262"/>
  <c r="U126" i="262"/>
  <c r="V126" i="262" s="1"/>
  <c r="J127" i="262"/>
  <c r="S127" i="262" s="1"/>
  <c r="Q127" i="262"/>
  <c r="K127" i="262" s="1"/>
  <c r="O127" i="262" s="1"/>
  <c r="J428" i="262"/>
  <c r="S428" i="262" s="1"/>
  <c r="P127" i="262"/>
  <c r="U127" i="262"/>
  <c r="V127" i="262" s="1"/>
  <c r="J128" i="262"/>
  <c r="S128" i="262" s="1"/>
  <c r="Q128" i="262"/>
  <c r="K128" i="262"/>
  <c r="O128" i="262" s="1"/>
  <c r="J432" i="262"/>
  <c r="P128" i="262"/>
  <c r="U128" i="262"/>
  <c r="V128" i="262" s="1"/>
  <c r="J129" i="262"/>
  <c r="S129" i="262" s="1"/>
  <c r="Q129" i="262"/>
  <c r="K129" i="262" s="1"/>
  <c r="O129" i="262" s="1"/>
  <c r="J433" i="262"/>
  <c r="S433" i="262" s="1"/>
  <c r="P129" i="262"/>
  <c r="U129" i="262"/>
  <c r="V129" i="262" s="1"/>
  <c r="J130" i="262"/>
  <c r="Q130" i="262"/>
  <c r="K130" i="262"/>
  <c r="J434" i="262"/>
  <c r="O130" i="262"/>
  <c r="P130" i="262"/>
  <c r="S130" i="262"/>
  <c r="U130" i="262"/>
  <c r="V130" i="262"/>
  <c r="J131" i="262"/>
  <c r="S131" i="262"/>
  <c r="Q131" i="262"/>
  <c r="K131" i="262"/>
  <c r="O131" i="262" s="1"/>
  <c r="J435" i="262"/>
  <c r="P131" i="262"/>
  <c r="T131" i="262"/>
  <c r="U131" i="262"/>
  <c r="W131" i="262"/>
  <c r="X131" i="262"/>
  <c r="N132" i="262"/>
  <c r="J132" i="262"/>
  <c r="S132" i="262" s="1"/>
  <c r="Q132" i="262"/>
  <c r="K132" i="262" s="1"/>
  <c r="O132" i="262" s="1"/>
  <c r="J436" i="262"/>
  <c r="P132" i="262"/>
  <c r="T132" i="262"/>
  <c r="U132" i="262"/>
  <c r="W132" i="262"/>
  <c r="V132" i="262" s="1"/>
  <c r="J133" i="262"/>
  <c r="S133" i="262" s="1"/>
  <c r="J437" i="262"/>
  <c r="P133" i="262"/>
  <c r="Q133" i="262"/>
  <c r="U133" i="262"/>
  <c r="V133" i="262" s="1"/>
  <c r="J134" i="262"/>
  <c r="S134" i="262" s="1"/>
  <c r="Q134" i="262"/>
  <c r="K134" i="262" s="1"/>
  <c r="O134" i="262" s="1"/>
  <c r="J438" i="262"/>
  <c r="P134" i="262"/>
  <c r="U134" i="262"/>
  <c r="V134" i="262" s="1"/>
  <c r="J135" i="262"/>
  <c r="S135" i="262" s="1"/>
  <c r="Q135" i="262"/>
  <c r="K135" i="262" s="1"/>
  <c r="O135" i="262" s="1"/>
  <c r="J439" i="262"/>
  <c r="S439" i="262" s="1"/>
  <c r="P135" i="262"/>
  <c r="U135" i="262"/>
  <c r="V135" i="262" s="1"/>
  <c r="J136" i="262"/>
  <c r="Q136" i="262"/>
  <c r="K136" i="262" s="1"/>
  <c r="O136" i="262" s="1"/>
  <c r="J440" i="262"/>
  <c r="P136" i="262"/>
  <c r="S136" i="262"/>
  <c r="U136" i="262"/>
  <c r="V136" i="262"/>
  <c r="J137" i="262"/>
  <c r="Q137" i="262"/>
  <c r="K137" i="262" s="1"/>
  <c r="O137" i="262" s="1"/>
  <c r="J441" i="262"/>
  <c r="P137" i="262"/>
  <c r="S137" i="262"/>
  <c r="T137" i="262"/>
  <c r="U137" i="262"/>
  <c r="W137" i="262"/>
  <c r="V137" i="262" s="1"/>
  <c r="J138" i="262"/>
  <c r="S138" i="262" s="1"/>
  <c r="Q138" i="262"/>
  <c r="K138" i="262" s="1"/>
  <c r="O138" i="262" s="1"/>
  <c r="P138" i="262"/>
  <c r="U138" i="262"/>
  <c r="V138" i="262" s="1"/>
  <c r="J139" i="262"/>
  <c r="S139" i="262" s="1"/>
  <c r="Q139" i="262"/>
  <c r="K139" i="262"/>
  <c r="O139" i="262" s="1"/>
  <c r="P139" i="262"/>
  <c r="U139" i="262"/>
  <c r="V139" i="262" s="1"/>
  <c r="J140" i="262"/>
  <c r="S140" i="262" s="1"/>
  <c r="P140" i="262"/>
  <c r="Q140" i="262"/>
  <c r="U140" i="262"/>
  <c r="V140" i="262" s="1"/>
  <c r="J141" i="262"/>
  <c r="R141" i="262"/>
  <c r="Q141" i="262" s="1"/>
  <c r="K141" i="262" s="1"/>
  <c r="O141" i="262" s="1"/>
  <c r="P141" i="262"/>
  <c r="U141" i="262"/>
  <c r="V141" i="262" s="1"/>
  <c r="J142" i="262"/>
  <c r="S142" i="262" s="1"/>
  <c r="Q142" i="262"/>
  <c r="K142" i="262" s="1"/>
  <c r="O142" i="262" s="1"/>
  <c r="P142" i="262"/>
  <c r="T142" i="262"/>
  <c r="U142" i="262"/>
  <c r="W142" i="262"/>
  <c r="N143" i="262"/>
  <c r="J143" i="262" s="1"/>
  <c r="S143" i="262" s="1"/>
  <c r="P143" i="262"/>
  <c r="Q143" i="262"/>
  <c r="U143" i="262"/>
  <c r="V143" i="262"/>
  <c r="J144" i="262"/>
  <c r="S144" i="262"/>
  <c r="P144" i="262"/>
  <c r="Q144" i="262"/>
  <c r="T144" i="262"/>
  <c r="U144" i="262"/>
  <c r="W144" i="262"/>
  <c r="V144" i="262"/>
  <c r="J145" i="262"/>
  <c r="S145" i="262"/>
  <c r="P145" i="262"/>
  <c r="Q145" i="262"/>
  <c r="T145" i="262"/>
  <c r="U145" i="262"/>
  <c r="W145" i="262"/>
  <c r="V145" i="262"/>
  <c r="J146" i="262"/>
  <c r="S146" i="262"/>
  <c r="Q146" i="262"/>
  <c r="K146" i="262"/>
  <c r="O146" i="262" s="1"/>
  <c r="P146" i="262"/>
  <c r="T146" i="262"/>
  <c r="U146" i="262"/>
  <c r="J147" i="262"/>
  <c r="S147" i="262" s="1"/>
  <c r="O147" i="262"/>
  <c r="P147" i="262"/>
  <c r="Q147" i="262"/>
  <c r="U147" i="262"/>
  <c r="V147" i="262" s="1"/>
  <c r="J148" i="262"/>
  <c r="R148" i="262"/>
  <c r="Q148" i="262" s="1"/>
  <c r="K148" i="262" s="1"/>
  <c r="O148" i="262" s="1"/>
  <c r="P148" i="262"/>
  <c r="U148" i="262"/>
  <c r="V148" i="262"/>
  <c r="J149" i="262"/>
  <c r="R149" i="262"/>
  <c r="Q149" i="262" s="1"/>
  <c r="K149" i="262" s="1"/>
  <c r="O149" i="262" s="1"/>
  <c r="P149" i="262"/>
  <c r="U149" i="262"/>
  <c r="V149" i="262" s="1"/>
  <c r="J150" i="262"/>
  <c r="R150" i="262"/>
  <c r="Q150" i="262" s="1"/>
  <c r="K150" i="262" s="1"/>
  <c r="O150" i="262" s="1"/>
  <c r="P150" i="262"/>
  <c r="U150" i="262"/>
  <c r="V150" i="262" s="1"/>
  <c r="J151" i="262"/>
  <c r="R151" i="262"/>
  <c r="Q151" i="262"/>
  <c r="K151" i="262" s="1"/>
  <c r="O151" i="262" s="1"/>
  <c r="P151" i="262"/>
  <c r="S151" i="262"/>
  <c r="U151" i="262"/>
  <c r="V151" i="262"/>
  <c r="J152" i="262"/>
  <c r="R152" i="262"/>
  <c r="Q152" i="262" s="1"/>
  <c r="K152" i="262" s="1"/>
  <c r="O152" i="262" s="1"/>
  <c r="P152" i="262"/>
  <c r="U152" i="262"/>
  <c r="V152" i="262" s="1"/>
  <c r="J153" i="262"/>
  <c r="R153" i="262"/>
  <c r="Q153" i="262" s="1"/>
  <c r="K153" i="262" s="1"/>
  <c r="O153" i="262" s="1"/>
  <c r="P153" i="262"/>
  <c r="U153" i="262"/>
  <c r="V153" i="262" s="1"/>
  <c r="J154" i="262"/>
  <c r="R154" i="262"/>
  <c r="Q154" i="262"/>
  <c r="K154" i="262" s="1"/>
  <c r="O154" i="262" s="1"/>
  <c r="P154" i="262"/>
  <c r="U154" i="262"/>
  <c r="V154" i="262" s="1"/>
  <c r="J155" i="262"/>
  <c r="R155" i="262"/>
  <c r="P155" i="262"/>
  <c r="U155" i="262"/>
  <c r="V155" i="262" s="1"/>
  <c r="J156" i="262"/>
  <c r="R156" i="262"/>
  <c r="Q156" i="262" s="1"/>
  <c r="K156" i="262"/>
  <c r="O156" i="262" s="1"/>
  <c r="P156" i="262"/>
  <c r="U156" i="262"/>
  <c r="V156" i="262" s="1"/>
  <c r="J157" i="262"/>
  <c r="R157" i="262"/>
  <c r="P157" i="262"/>
  <c r="U157" i="262"/>
  <c r="V157" i="262" s="1"/>
  <c r="J158" i="262"/>
  <c r="R158" i="262"/>
  <c r="Q158" i="262"/>
  <c r="K158" i="262" s="1"/>
  <c r="O158" i="262" s="1"/>
  <c r="P158" i="262"/>
  <c r="U158" i="262"/>
  <c r="V158" i="262" s="1"/>
  <c r="J159" i="262"/>
  <c r="R159" i="262"/>
  <c r="Q159" i="262" s="1"/>
  <c r="K159" i="262" s="1"/>
  <c r="O159" i="262" s="1"/>
  <c r="P159" i="262"/>
  <c r="U159" i="262"/>
  <c r="V159" i="262"/>
  <c r="J160" i="262"/>
  <c r="S160" i="262"/>
  <c r="Q160" i="262"/>
  <c r="K160" i="262"/>
  <c r="O160" i="262" s="1"/>
  <c r="P160" i="262"/>
  <c r="U160" i="262"/>
  <c r="V160" i="262" s="1"/>
  <c r="J161" i="262"/>
  <c r="S161" i="262" s="1"/>
  <c r="Q161" i="262"/>
  <c r="K161" i="262" s="1"/>
  <c r="O161" i="262" s="1"/>
  <c r="P161" i="262"/>
  <c r="U161" i="262"/>
  <c r="V161" i="262"/>
  <c r="J162" i="262"/>
  <c r="S162" i="262"/>
  <c r="Q162" i="262"/>
  <c r="K162" i="262"/>
  <c r="O162" i="262" s="1"/>
  <c r="P162" i="262"/>
  <c r="U162" i="262"/>
  <c r="V162" i="262" s="1"/>
  <c r="J163" i="262"/>
  <c r="S163" i="262" s="1"/>
  <c r="Q163" i="262"/>
  <c r="K163" i="262" s="1"/>
  <c r="O163" i="262" s="1"/>
  <c r="P163" i="262"/>
  <c r="U163" i="262"/>
  <c r="V163" i="262"/>
  <c r="J164" i="262"/>
  <c r="S164" i="262"/>
  <c r="Q164" i="262"/>
  <c r="K164" i="262"/>
  <c r="O164" i="262" s="1"/>
  <c r="P164" i="262"/>
  <c r="U164" i="262"/>
  <c r="V164" i="262" s="1"/>
  <c r="J165" i="262"/>
  <c r="S165" i="262" s="1"/>
  <c r="Q165" i="262"/>
  <c r="K165" i="262" s="1"/>
  <c r="O165" i="262" s="1"/>
  <c r="P165" i="262"/>
  <c r="U165" i="262"/>
  <c r="W165" i="262"/>
  <c r="V165" i="262" s="1"/>
  <c r="J166" i="262"/>
  <c r="Q166" i="262"/>
  <c r="K166" i="262" s="1"/>
  <c r="P166" i="262"/>
  <c r="J167" i="262"/>
  <c r="S167" i="262" s="1"/>
  <c r="Q167" i="262"/>
  <c r="K167" i="262" s="1"/>
  <c r="O167" i="262" s="1"/>
  <c r="P167" i="262"/>
  <c r="U167" i="262"/>
  <c r="V167" i="262" s="1"/>
  <c r="J168" i="262"/>
  <c r="S168" i="262" s="1"/>
  <c r="Q168" i="262"/>
  <c r="K168" i="262"/>
  <c r="O168" i="262" s="1"/>
  <c r="P168" i="262"/>
  <c r="U168" i="262"/>
  <c r="V168" i="262" s="1"/>
  <c r="J169" i="262"/>
  <c r="S169" i="262" s="1"/>
  <c r="Q169" i="262"/>
  <c r="K169" i="262" s="1"/>
  <c r="O169" i="262" s="1"/>
  <c r="P169" i="262"/>
  <c r="U169" i="262"/>
  <c r="V169" i="262" s="1"/>
  <c r="J170" i="262"/>
  <c r="S170" i="262" s="1"/>
  <c r="Q170" i="262"/>
  <c r="K170" i="262"/>
  <c r="O170" i="262" s="1"/>
  <c r="P170" i="262"/>
  <c r="U170" i="262"/>
  <c r="V170" i="262" s="1"/>
  <c r="J171" i="262"/>
  <c r="S171" i="262" s="1"/>
  <c r="Q171" i="262"/>
  <c r="K171" i="262" s="1"/>
  <c r="O171" i="262" s="1"/>
  <c r="P171" i="262"/>
  <c r="U171" i="262"/>
  <c r="V171" i="262" s="1"/>
  <c r="J172" i="262"/>
  <c r="S172" i="262" s="1"/>
  <c r="Q172" i="262"/>
  <c r="K172" i="262"/>
  <c r="O172" i="262" s="1"/>
  <c r="P172" i="262"/>
  <c r="U172" i="262"/>
  <c r="V172" i="262" s="1"/>
  <c r="J173" i="262"/>
  <c r="S173" i="262" s="1"/>
  <c r="Q173" i="262"/>
  <c r="K173" i="262" s="1"/>
  <c r="O173" i="262" s="1"/>
  <c r="P173" i="262"/>
  <c r="U173" i="262"/>
  <c r="V173" i="262" s="1"/>
  <c r="J174" i="262"/>
  <c r="S174" i="262" s="1"/>
  <c r="Q174" i="262"/>
  <c r="K174" i="262"/>
  <c r="O174" i="262" s="1"/>
  <c r="P174" i="262"/>
  <c r="U174" i="262"/>
  <c r="V174" i="262" s="1"/>
  <c r="J175" i="262"/>
  <c r="R175" i="262"/>
  <c r="S175" i="262" s="1"/>
  <c r="P175" i="262"/>
  <c r="T175" i="262"/>
  <c r="U175" i="262"/>
  <c r="W175" i="262"/>
  <c r="J176" i="262"/>
  <c r="R176" i="262"/>
  <c r="S176" i="262"/>
  <c r="P176" i="262"/>
  <c r="U176" i="262"/>
  <c r="V176" i="262" s="1"/>
  <c r="J177" i="262"/>
  <c r="Q177" i="262"/>
  <c r="K177" i="262" s="1"/>
  <c r="O177" i="262" s="1"/>
  <c r="P177" i="262"/>
  <c r="S177" i="262"/>
  <c r="U177" i="262"/>
  <c r="V177" i="262" s="1"/>
  <c r="J178" i="262"/>
  <c r="S178" i="262" s="1"/>
  <c r="Q178" i="262"/>
  <c r="K178" i="262" s="1"/>
  <c r="O178" i="262" s="1"/>
  <c r="P178" i="262"/>
  <c r="U178" i="262"/>
  <c r="V178" i="262" s="1"/>
  <c r="N179" i="262"/>
  <c r="J179" i="262" s="1"/>
  <c r="S179" i="262" s="1"/>
  <c r="Q179" i="262"/>
  <c r="K179" i="262" s="1"/>
  <c r="P179" i="262"/>
  <c r="U179" i="262"/>
  <c r="V179" i="262" s="1"/>
  <c r="J180" i="262"/>
  <c r="S180" i="262" s="1"/>
  <c r="O180" i="262"/>
  <c r="P180" i="262"/>
  <c r="Q180" i="262"/>
  <c r="U180" i="262"/>
  <c r="V180" i="262"/>
  <c r="J181" i="262"/>
  <c r="S181" i="262"/>
  <c r="Q181" i="262"/>
  <c r="K181" i="262"/>
  <c r="O181" i="262" s="1"/>
  <c r="P181" i="262"/>
  <c r="T181" i="262"/>
  <c r="U181" i="262"/>
  <c r="W181" i="262"/>
  <c r="V181" i="262" s="1"/>
  <c r="J182" i="262"/>
  <c r="S182" i="262" s="1"/>
  <c r="Q182" i="262"/>
  <c r="K182" i="262" s="1"/>
  <c r="O182" i="262" s="1"/>
  <c r="P182" i="262"/>
  <c r="U182" i="262"/>
  <c r="V182" i="262"/>
  <c r="J183" i="262"/>
  <c r="S183" i="262"/>
  <c r="Q183" i="262"/>
  <c r="K183" i="262"/>
  <c r="O183" i="262" s="1"/>
  <c r="P183" i="262"/>
  <c r="U183" i="262"/>
  <c r="V183" i="262" s="1"/>
  <c r="J184" i="262"/>
  <c r="S184" i="262" s="1"/>
  <c r="Q184" i="262"/>
  <c r="K184" i="262" s="1"/>
  <c r="O184" i="262" s="1"/>
  <c r="P184" i="262"/>
  <c r="U184" i="262"/>
  <c r="V184" i="262"/>
  <c r="J185" i="262"/>
  <c r="S185" i="262"/>
  <c r="Q185" i="262"/>
  <c r="K185" i="262"/>
  <c r="O185" i="262" s="1"/>
  <c r="P185" i="262"/>
  <c r="U185" i="262"/>
  <c r="V185" i="262" s="1"/>
  <c r="J186" i="262"/>
  <c r="O186" i="262"/>
  <c r="P186" i="262"/>
  <c r="Q186" i="262"/>
  <c r="S186" i="262"/>
  <c r="U186" i="262"/>
  <c r="V186" i="262" s="1"/>
  <c r="J187" i="262"/>
  <c r="S187" i="262" s="1"/>
  <c r="Q187" i="262"/>
  <c r="K187" i="262"/>
  <c r="O187" i="262" s="1"/>
  <c r="P187" i="262"/>
  <c r="U187" i="262"/>
  <c r="V187" i="262" s="1"/>
  <c r="J188" i="262"/>
  <c r="S188" i="262" s="1"/>
  <c r="Q188" i="262"/>
  <c r="K188" i="262" s="1"/>
  <c r="O188" i="262" s="1"/>
  <c r="P188" i="262"/>
  <c r="U188" i="262"/>
  <c r="V188" i="262" s="1"/>
  <c r="J189" i="262"/>
  <c r="S189" i="262" s="1"/>
  <c r="Q189" i="262"/>
  <c r="K189" i="262"/>
  <c r="O189" i="262" s="1"/>
  <c r="P189" i="262"/>
  <c r="U189" i="262"/>
  <c r="V189" i="262" s="1"/>
  <c r="N190" i="262"/>
  <c r="J190" i="262" s="1"/>
  <c r="S190" i="262" s="1"/>
  <c r="Q190" i="262"/>
  <c r="K190" i="262" s="1"/>
  <c r="O190" i="262" s="1"/>
  <c r="P190" i="262"/>
  <c r="U190" i="262"/>
  <c r="V190" i="262"/>
  <c r="J191" i="262"/>
  <c r="S191" i="262"/>
  <c r="O191" i="262"/>
  <c r="P191" i="262"/>
  <c r="Q191" i="262"/>
  <c r="U191" i="262"/>
  <c r="V191" i="262" s="1"/>
  <c r="J192" i="262"/>
  <c r="S192" i="262" s="1"/>
  <c r="Q192" i="262"/>
  <c r="K192" i="262" s="1"/>
  <c r="O192" i="262" s="1"/>
  <c r="P192" i="262"/>
  <c r="T192" i="262"/>
  <c r="U192" i="262"/>
  <c r="W192" i="262"/>
  <c r="V192" i="262" s="1"/>
  <c r="J193" i="262"/>
  <c r="S193" i="262" s="1"/>
  <c r="Q193" i="262"/>
  <c r="K193" i="262" s="1"/>
  <c r="O193" i="262" s="1"/>
  <c r="P193" i="262"/>
  <c r="T193" i="262"/>
  <c r="U193" i="262"/>
  <c r="W193" i="262"/>
  <c r="V193" i="262" s="1"/>
  <c r="J194" i="262"/>
  <c r="S194" i="262" s="1"/>
  <c r="O194" i="262"/>
  <c r="P194" i="262"/>
  <c r="Q194" i="262"/>
  <c r="U194" i="262"/>
  <c r="V194" i="262"/>
  <c r="J195" i="262"/>
  <c r="S195" i="262"/>
  <c r="Q195" i="262"/>
  <c r="K195" i="262"/>
  <c r="O195" i="262" s="1"/>
  <c r="P195" i="262"/>
  <c r="T195" i="262"/>
  <c r="U195" i="262"/>
  <c r="W195" i="262"/>
  <c r="V195" i="262" s="1"/>
  <c r="J196" i="262"/>
  <c r="S196" i="262" s="1"/>
  <c r="O196" i="262"/>
  <c r="P196" i="262"/>
  <c r="Q196" i="262"/>
  <c r="T196" i="262"/>
  <c r="U196" i="262"/>
  <c r="W196" i="262"/>
  <c r="J197" i="262"/>
  <c r="S197" i="262" s="1"/>
  <c r="Q197" i="262"/>
  <c r="K197" i="262" s="1"/>
  <c r="O197" i="262" s="1"/>
  <c r="P197" i="262"/>
  <c r="T197" i="262"/>
  <c r="U197" i="262"/>
  <c r="W197" i="262"/>
  <c r="J198" i="262"/>
  <c r="S198" i="262" s="1"/>
  <c r="O198" i="262"/>
  <c r="P198" i="262"/>
  <c r="Q198" i="262"/>
  <c r="T198" i="262"/>
  <c r="U198" i="262"/>
  <c r="W198" i="262"/>
  <c r="V198" i="262" s="1"/>
  <c r="J199" i="262"/>
  <c r="S199" i="262" s="1"/>
  <c r="Q199" i="262"/>
  <c r="K199" i="262" s="1"/>
  <c r="O199" i="262" s="1"/>
  <c r="P199" i="262"/>
  <c r="U199" i="262"/>
  <c r="V199" i="262" s="1"/>
  <c r="J200" i="262"/>
  <c r="S200" i="262" s="1"/>
  <c r="Q200" i="262"/>
  <c r="K200" i="262" s="1"/>
  <c r="O200" i="262" s="1"/>
  <c r="P200" i="262"/>
  <c r="U200" i="262"/>
  <c r="V200" i="262" s="1"/>
  <c r="J201" i="262"/>
  <c r="S201" i="262" s="1"/>
  <c r="Q201" i="262"/>
  <c r="K201" i="262" s="1"/>
  <c r="O201" i="262" s="1"/>
  <c r="P201" i="262"/>
  <c r="T201" i="262"/>
  <c r="U201" i="262"/>
  <c r="W201" i="262"/>
  <c r="V201" i="262"/>
  <c r="J202" i="262"/>
  <c r="S202" i="262"/>
  <c r="Q202" i="262"/>
  <c r="K202" i="262"/>
  <c r="O202" i="262" s="1"/>
  <c r="P202" i="262"/>
  <c r="T202" i="262"/>
  <c r="U202" i="262"/>
  <c r="W202" i="262"/>
  <c r="V202" i="262" s="1"/>
  <c r="N203" i="262"/>
  <c r="P203" i="262"/>
  <c r="Q203" i="262"/>
  <c r="T203" i="262"/>
  <c r="U203" i="262"/>
  <c r="W203" i="262"/>
  <c r="V203" i="262"/>
  <c r="J204" i="262"/>
  <c r="S204" i="262"/>
  <c r="Q204" i="262"/>
  <c r="K204" i="262"/>
  <c r="O204" i="262" s="1"/>
  <c r="P204" i="262"/>
  <c r="T204" i="262"/>
  <c r="U204" i="262"/>
  <c r="W204" i="262"/>
  <c r="V204" i="262" s="1"/>
  <c r="J205" i="262"/>
  <c r="S205" i="262" s="1"/>
  <c r="Q205" i="262"/>
  <c r="K205" i="262" s="1"/>
  <c r="O205" i="262" s="1"/>
  <c r="P205" i="262"/>
  <c r="U205" i="262"/>
  <c r="V205" i="262" s="1"/>
  <c r="J206" i="262"/>
  <c r="S206" i="262" s="1"/>
  <c r="Q206" i="262"/>
  <c r="K206" i="262" s="1"/>
  <c r="O206" i="262" s="1"/>
  <c r="P206" i="262"/>
  <c r="T206" i="262"/>
  <c r="U206" i="262"/>
  <c r="V206" i="262" s="1"/>
  <c r="J207" i="262"/>
  <c r="S207" i="262" s="1"/>
  <c r="Q207" i="262"/>
  <c r="K207" i="262" s="1"/>
  <c r="O207" i="262" s="1"/>
  <c r="P207" i="262"/>
  <c r="T207" i="262"/>
  <c r="U207" i="262"/>
  <c r="W207" i="262"/>
  <c r="V207" i="262" s="1"/>
  <c r="J208" i="262"/>
  <c r="S208" i="262" s="1"/>
  <c r="Q208" i="262"/>
  <c r="K208" i="262" s="1"/>
  <c r="O208" i="262" s="1"/>
  <c r="P208" i="262"/>
  <c r="U208" i="262"/>
  <c r="V208" i="262" s="1"/>
  <c r="J209" i="262"/>
  <c r="S209" i="262" s="1"/>
  <c r="Q209" i="262"/>
  <c r="K209" i="262" s="1"/>
  <c r="O209" i="262" s="1"/>
  <c r="P209" i="262"/>
  <c r="U209" i="262"/>
  <c r="V209" i="262" s="1"/>
  <c r="J210" i="262"/>
  <c r="S210" i="262" s="1"/>
  <c r="Q210" i="262"/>
  <c r="K210" i="262" s="1"/>
  <c r="O210" i="262" s="1"/>
  <c r="P210" i="262"/>
  <c r="U210" i="262"/>
  <c r="V210" i="262" s="1"/>
  <c r="J211" i="262"/>
  <c r="S211" i="262" s="1"/>
  <c r="Q211" i="262"/>
  <c r="K211" i="262" s="1"/>
  <c r="O211" i="262" s="1"/>
  <c r="P211" i="262"/>
  <c r="U211" i="262"/>
  <c r="V211" i="262" s="1"/>
  <c r="J212" i="262"/>
  <c r="S212" i="262" s="1"/>
  <c r="Q212" i="262"/>
  <c r="K212" i="262" s="1"/>
  <c r="O212" i="262" s="1"/>
  <c r="P212" i="262"/>
  <c r="T212" i="262"/>
  <c r="U212" i="262"/>
  <c r="W212" i="262"/>
  <c r="J213" i="262"/>
  <c r="S213" i="262" s="1"/>
  <c r="Q213" i="262"/>
  <c r="K213" i="262"/>
  <c r="O213" i="262" s="1"/>
  <c r="P213" i="262"/>
  <c r="T213" i="262"/>
  <c r="U213" i="262"/>
  <c r="W213" i="262"/>
  <c r="V213" i="262" s="1"/>
  <c r="J214" i="262"/>
  <c r="S214" i="262" s="1"/>
  <c r="Q214" i="262"/>
  <c r="K214" i="262" s="1"/>
  <c r="O214" i="262" s="1"/>
  <c r="P214" i="262"/>
  <c r="U214" i="262"/>
  <c r="V214" i="262" s="1"/>
  <c r="J215" i="262"/>
  <c r="S215" i="262" s="1"/>
  <c r="Q215" i="262"/>
  <c r="K215" i="262" s="1"/>
  <c r="O215" i="262" s="1"/>
  <c r="P215" i="262"/>
  <c r="U215" i="262"/>
  <c r="V215" i="262" s="1"/>
  <c r="J216" i="262"/>
  <c r="S216" i="262" s="1"/>
  <c r="Q216" i="262"/>
  <c r="K216" i="262" s="1"/>
  <c r="O216" i="262" s="1"/>
  <c r="P216" i="262"/>
  <c r="T216" i="262"/>
  <c r="U216" i="262"/>
  <c r="W216" i="262"/>
  <c r="J217" i="262"/>
  <c r="R217" i="262"/>
  <c r="Q217" i="262"/>
  <c r="K217" i="262" s="1"/>
  <c r="O217" i="262" s="1"/>
  <c r="P217" i="262"/>
  <c r="U217" i="262"/>
  <c r="V217" i="262" s="1"/>
  <c r="J218" i="262"/>
  <c r="R218" i="262"/>
  <c r="Q218" i="262" s="1"/>
  <c r="K218" i="262" s="1"/>
  <c r="O218" i="262" s="1"/>
  <c r="P218" i="262"/>
  <c r="U218" i="262"/>
  <c r="V218" i="262" s="1"/>
  <c r="J219" i="262"/>
  <c r="R219" i="262"/>
  <c r="Q219" i="262"/>
  <c r="K219" i="262" s="1"/>
  <c r="O219" i="262" s="1"/>
  <c r="P219" i="262"/>
  <c r="U219" i="262"/>
  <c r="V219" i="262" s="1"/>
  <c r="J220" i="262"/>
  <c r="R220" i="262"/>
  <c r="Q220" i="262" s="1"/>
  <c r="K220" i="262" s="1"/>
  <c r="O220" i="262" s="1"/>
  <c r="P220" i="262"/>
  <c r="U220" i="262"/>
  <c r="V220" i="262" s="1"/>
  <c r="J221" i="262"/>
  <c r="R221" i="262"/>
  <c r="Q221" i="262"/>
  <c r="K221" i="262" s="1"/>
  <c r="O221" i="262" s="1"/>
  <c r="P221" i="262"/>
  <c r="U221" i="262"/>
  <c r="V221" i="262" s="1"/>
  <c r="J222" i="262"/>
  <c r="R222" i="262"/>
  <c r="Q222" i="262" s="1"/>
  <c r="K222" i="262" s="1"/>
  <c r="O222" i="262" s="1"/>
  <c r="P222" i="262"/>
  <c r="U222" i="262"/>
  <c r="V222" i="262" s="1"/>
  <c r="J223" i="262"/>
  <c r="S223" i="262" s="1"/>
  <c r="Q223" i="262"/>
  <c r="K223" i="262" s="1"/>
  <c r="O223" i="262" s="1"/>
  <c r="P223" i="262"/>
  <c r="U223" i="262"/>
  <c r="V223" i="262" s="1"/>
  <c r="J224" i="262"/>
  <c r="S224" i="262" s="1"/>
  <c r="Q224" i="262"/>
  <c r="K224" i="262" s="1"/>
  <c r="O224" i="262" s="1"/>
  <c r="P224" i="262"/>
  <c r="U224" i="262"/>
  <c r="V224" i="262" s="1"/>
  <c r="J225" i="262"/>
  <c r="S225" i="262" s="1"/>
  <c r="Q225" i="262"/>
  <c r="K225" i="262" s="1"/>
  <c r="O225" i="262" s="1"/>
  <c r="P225" i="262"/>
  <c r="T225" i="262"/>
  <c r="U225" i="262"/>
  <c r="W225" i="262"/>
  <c r="J226" i="262"/>
  <c r="S226" i="262" s="1"/>
  <c r="Q226" i="262"/>
  <c r="K226" i="262"/>
  <c r="O226" i="262" s="1"/>
  <c r="P226" i="262"/>
  <c r="T226" i="262"/>
  <c r="U226" i="262"/>
  <c r="W226" i="262"/>
  <c r="V226" i="262" s="1"/>
  <c r="J227" i="262"/>
  <c r="S227" i="262" s="1"/>
  <c r="Q227" i="262"/>
  <c r="K227" i="262" s="1"/>
  <c r="O227" i="262" s="1"/>
  <c r="P227" i="262"/>
  <c r="U227" i="262"/>
  <c r="V227" i="262" s="1"/>
  <c r="J228" i="262"/>
  <c r="S228" i="262" s="1"/>
  <c r="Q228" i="262"/>
  <c r="K228" i="262" s="1"/>
  <c r="O228" i="262" s="1"/>
  <c r="P228" i="262"/>
  <c r="T228" i="262"/>
  <c r="U228" i="262"/>
  <c r="W228" i="262"/>
  <c r="J229" i="262"/>
  <c r="O229" i="262"/>
  <c r="P229" i="262"/>
  <c r="Q229" i="262"/>
  <c r="S229" i="262"/>
  <c r="U229" i="262"/>
  <c r="V229" i="262"/>
  <c r="J230" i="262"/>
  <c r="Q230" i="262"/>
  <c r="K230" i="262" s="1"/>
  <c r="O230" i="262" s="1"/>
  <c r="P230" i="262"/>
  <c r="S230" i="262"/>
  <c r="U230" i="262"/>
  <c r="V230" i="262"/>
  <c r="J231" i="262"/>
  <c r="S231" i="262"/>
  <c r="Q231" i="262"/>
  <c r="K231" i="262"/>
  <c r="O231" i="262" s="1"/>
  <c r="P231" i="262"/>
  <c r="U231" i="262"/>
  <c r="V231" i="262" s="1"/>
  <c r="J232" i="262"/>
  <c r="S232" i="262" s="1"/>
  <c r="Q232" i="262"/>
  <c r="K232" i="262" s="1"/>
  <c r="O232" i="262" s="1"/>
  <c r="P232" i="262"/>
  <c r="T232" i="262"/>
  <c r="U232" i="262"/>
  <c r="W232" i="262"/>
  <c r="V232" i="262"/>
  <c r="J233" i="262"/>
  <c r="Q233" i="262"/>
  <c r="K233" i="262" s="1"/>
  <c r="O233" i="262" s="1"/>
  <c r="P233" i="262"/>
  <c r="S233" i="262"/>
  <c r="U233" i="262"/>
  <c r="V233" i="262"/>
  <c r="J234" i="262"/>
  <c r="S234" i="262"/>
  <c r="O234" i="262"/>
  <c r="P234" i="262"/>
  <c r="Q234" i="262"/>
  <c r="T234" i="262"/>
  <c r="U234" i="262"/>
  <c r="W234" i="262"/>
  <c r="V234" i="262" s="1"/>
  <c r="J235" i="262"/>
  <c r="S235" i="262" s="1"/>
  <c r="Q235" i="262"/>
  <c r="K235" i="262" s="1"/>
  <c r="O235" i="262" s="1"/>
  <c r="P235" i="262"/>
  <c r="T235" i="262"/>
  <c r="U235" i="262"/>
  <c r="W235" i="262"/>
  <c r="J236" i="262"/>
  <c r="O236" i="262"/>
  <c r="P236" i="262"/>
  <c r="Q236" i="262"/>
  <c r="S236" i="262"/>
  <c r="U236" i="262"/>
  <c r="V236" i="262"/>
  <c r="J237" i="262"/>
  <c r="S237" i="262"/>
  <c r="Q237" i="262"/>
  <c r="K237" i="262"/>
  <c r="O237" i="262" s="1"/>
  <c r="P237" i="262"/>
  <c r="U237" i="262"/>
  <c r="V237" i="262" s="1"/>
  <c r="N238" i="262"/>
  <c r="J238" i="262" s="1"/>
  <c r="S238" i="262" s="1"/>
  <c r="Q238" i="262"/>
  <c r="K238" i="262" s="1"/>
  <c r="O238" i="262" s="1"/>
  <c r="P238" i="262"/>
  <c r="T238" i="262"/>
  <c r="U238" i="262"/>
  <c r="W238" i="262"/>
  <c r="V238" i="262" s="1"/>
  <c r="J239" i="262"/>
  <c r="S239" i="262" s="1"/>
  <c r="Q239" i="262"/>
  <c r="K239" i="262" s="1"/>
  <c r="O239" i="262" s="1"/>
  <c r="P239" i="262"/>
  <c r="T239" i="262"/>
  <c r="U239" i="262"/>
  <c r="J240" i="262"/>
  <c r="S240" i="262"/>
  <c r="Q240" i="262"/>
  <c r="K240" i="262"/>
  <c r="O240" i="262" s="1"/>
  <c r="P240" i="262"/>
  <c r="T240" i="262"/>
  <c r="U240" i="262"/>
  <c r="W240" i="262"/>
  <c r="V240" i="262" s="1"/>
  <c r="J241" i="262"/>
  <c r="S241" i="262" s="1"/>
  <c r="Q241" i="262"/>
  <c r="K241" i="262" s="1"/>
  <c r="O241" i="262" s="1"/>
  <c r="P241" i="262"/>
  <c r="T241" i="262"/>
  <c r="U241" i="262"/>
  <c r="V241" i="262" s="1"/>
  <c r="J242" i="262"/>
  <c r="S242" i="262" s="1"/>
  <c r="Q242" i="262"/>
  <c r="K242" i="262" s="1"/>
  <c r="O242" i="262" s="1"/>
  <c r="P242" i="262"/>
  <c r="U242" i="262"/>
  <c r="V242" i="262" s="1"/>
  <c r="J243" i="262"/>
  <c r="S243" i="262" s="1"/>
  <c r="Q243" i="262"/>
  <c r="K243" i="262" s="1"/>
  <c r="O243" i="262" s="1"/>
  <c r="P243" i="262"/>
  <c r="U243" i="262"/>
  <c r="J244" i="262"/>
  <c r="Q244" i="262"/>
  <c r="K244" i="262" s="1"/>
  <c r="O244" i="262" s="1"/>
  <c r="P244" i="262"/>
  <c r="S244" i="262"/>
  <c r="U244" i="262"/>
  <c r="J245" i="262"/>
  <c r="S245" i="262" s="1"/>
  <c r="Q245" i="262"/>
  <c r="K245" i="262" s="1"/>
  <c r="O245" i="262" s="1"/>
  <c r="P245" i="262"/>
  <c r="U245" i="262"/>
  <c r="V245" i="262" s="1"/>
  <c r="J246" i="262"/>
  <c r="S246" i="262" s="1"/>
  <c r="Q246" i="262"/>
  <c r="K246" i="262" s="1"/>
  <c r="O246" i="262" s="1"/>
  <c r="P246" i="262"/>
  <c r="U246" i="262"/>
  <c r="V246" i="262" s="1"/>
  <c r="J247" i="262"/>
  <c r="S247" i="262" s="1"/>
  <c r="Q247" i="262"/>
  <c r="K247" i="262" s="1"/>
  <c r="O247" i="262" s="1"/>
  <c r="P247" i="262"/>
  <c r="U247" i="262"/>
  <c r="J248" i="262"/>
  <c r="S248" i="262" s="1"/>
  <c r="Q248" i="262"/>
  <c r="K248" i="262"/>
  <c r="O248" i="262" s="1"/>
  <c r="P248" i="262"/>
  <c r="U248" i="262"/>
  <c r="V248" i="262" s="1"/>
  <c r="J249" i="262"/>
  <c r="S249" i="262" s="1"/>
  <c r="Q249" i="262"/>
  <c r="K249" i="262" s="1"/>
  <c r="O249" i="262" s="1"/>
  <c r="P249" i="262"/>
  <c r="T249" i="262"/>
  <c r="U249" i="262"/>
  <c r="W249" i="262"/>
  <c r="J250" i="262"/>
  <c r="O250" i="262"/>
  <c r="P250" i="262"/>
  <c r="Q250" i="262"/>
  <c r="S250" i="262"/>
  <c r="U250" i="262"/>
  <c r="V250" i="262"/>
  <c r="J251" i="262"/>
  <c r="S251" i="262"/>
  <c r="Q251" i="262"/>
  <c r="K251" i="262"/>
  <c r="O251" i="262" s="1"/>
  <c r="P251" i="262"/>
  <c r="U251" i="262"/>
  <c r="V251" i="262" s="1"/>
  <c r="N252" i="262"/>
  <c r="J252" i="262" s="1"/>
  <c r="S252" i="262" s="1"/>
  <c r="O252" i="262"/>
  <c r="P252" i="262"/>
  <c r="Q252" i="262"/>
  <c r="U252" i="262"/>
  <c r="V252" i="262"/>
  <c r="J253" i="262"/>
  <c r="Q253" i="262"/>
  <c r="K253" i="262" s="1"/>
  <c r="P253" i="262"/>
  <c r="S253" i="262"/>
  <c r="U253" i="262"/>
  <c r="J254" i="262"/>
  <c r="S254" i="262" s="1"/>
  <c r="Q254" i="262"/>
  <c r="K254" i="262" s="1"/>
  <c r="O254" i="262" s="1"/>
  <c r="P254" i="262"/>
  <c r="U254" i="262"/>
  <c r="V254" i="262" s="1"/>
  <c r="J255" i="262"/>
  <c r="O255" i="262"/>
  <c r="P255" i="262"/>
  <c r="Q255" i="262"/>
  <c r="S255" i="262"/>
  <c r="U255" i="262"/>
  <c r="V255" i="262" s="1"/>
  <c r="J256" i="262"/>
  <c r="S256" i="262" s="1"/>
  <c r="Q256" i="262"/>
  <c r="K256" i="262" s="1"/>
  <c r="O256" i="262" s="1"/>
  <c r="P256" i="262"/>
  <c r="U256" i="262"/>
  <c r="V256" i="262" s="1"/>
  <c r="J257" i="262"/>
  <c r="S257" i="262" s="1"/>
  <c r="Q257" i="262"/>
  <c r="K257" i="262"/>
  <c r="O257" i="262" s="1"/>
  <c r="P257" i="262"/>
  <c r="T257" i="262"/>
  <c r="U257" i="262"/>
  <c r="W257" i="262"/>
  <c r="V257" i="262" s="1"/>
  <c r="J258" i="262"/>
  <c r="S258" i="262" s="1"/>
  <c r="Q258" i="262"/>
  <c r="K258" i="262" s="1"/>
  <c r="O258" i="262" s="1"/>
  <c r="P258" i="262"/>
  <c r="U258" i="262"/>
  <c r="V258" i="262" s="1"/>
  <c r="J259" i="262"/>
  <c r="S259" i="262" s="1"/>
  <c r="O259" i="262"/>
  <c r="P259" i="262"/>
  <c r="Q259" i="262"/>
  <c r="U259" i="262"/>
  <c r="V259" i="262" s="1"/>
  <c r="J260" i="262"/>
  <c r="S260" i="262" s="1"/>
  <c r="Q260" i="262"/>
  <c r="K260" i="262" s="1"/>
  <c r="O260" i="262" s="1"/>
  <c r="P260" i="262"/>
  <c r="U260" i="262"/>
  <c r="V260" i="262" s="1"/>
  <c r="J261" i="262"/>
  <c r="S261" i="262" s="1"/>
  <c r="Q261" i="262"/>
  <c r="K261" i="262" s="1"/>
  <c r="O261" i="262" s="1"/>
  <c r="P261" i="262"/>
  <c r="U261" i="262"/>
  <c r="V261" i="262" s="1"/>
  <c r="J262" i="262"/>
  <c r="S262" i="262" s="1"/>
  <c r="Q262" i="262"/>
  <c r="K262" i="262" s="1"/>
  <c r="O262" i="262" s="1"/>
  <c r="P262" i="262"/>
  <c r="U262" i="262"/>
  <c r="V262" i="262" s="1"/>
  <c r="J263" i="262"/>
  <c r="S263" i="262" s="1"/>
  <c r="Q263" i="262"/>
  <c r="K263" i="262" s="1"/>
  <c r="O263" i="262" s="1"/>
  <c r="P263" i="262"/>
  <c r="U263" i="262"/>
  <c r="V263" i="262" s="1"/>
  <c r="J264" i="262"/>
  <c r="S264" i="262" s="1"/>
  <c r="Q264" i="262"/>
  <c r="K264" i="262" s="1"/>
  <c r="O264" i="262"/>
  <c r="P264" i="262"/>
  <c r="T264" i="262"/>
  <c r="U264" i="262"/>
  <c r="W264" i="262"/>
  <c r="V264" i="262" s="1"/>
  <c r="J265" i="262"/>
  <c r="S265" i="262" s="1"/>
  <c r="Q265" i="262"/>
  <c r="K265" i="262" s="1"/>
  <c r="O265" i="262" s="1"/>
  <c r="P265" i="262"/>
  <c r="U265" i="262"/>
  <c r="V265" i="262"/>
  <c r="J266" i="262"/>
  <c r="Q266" i="262"/>
  <c r="K266" i="262" s="1"/>
  <c r="O266" i="262" s="1"/>
  <c r="P266" i="262"/>
  <c r="S266" i="262"/>
  <c r="U266" i="262"/>
  <c r="V266" i="262" s="1"/>
  <c r="J267" i="262"/>
  <c r="S267" i="262" s="1"/>
  <c r="Q267" i="262"/>
  <c r="K267" i="262" s="1"/>
  <c r="O267" i="262" s="1"/>
  <c r="P267" i="262"/>
  <c r="T267" i="262"/>
  <c r="U267" i="262"/>
  <c r="V267" i="262" s="1"/>
  <c r="J268" i="262"/>
  <c r="S268" i="262" s="1"/>
  <c r="Q268" i="262"/>
  <c r="K268" i="262" s="1"/>
  <c r="O268" i="262" s="1"/>
  <c r="P268" i="262"/>
  <c r="T268" i="262"/>
  <c r="U268" i="262"/>
  <c r="J269" i="262"/>
  <c r="S269" i="262"/>
  <c r="Q269" i="262"/>
  <c r="K269" i="262"/>
  <c r="O269" i="262" s="1"/>
  <c r="P269" i="262"/>
  <c r="T269" i="262"/>
  <c r="U269" i="262"/>
  <c r="J270" i="262"/>
  <c r="S270" i="262" s="1"/>
  <c r="Q270" i="262"/>
  <c r="K270" i="262"/>
  <c r="O270" i="262" s="1"/>
  <c r="P270" i="262"/>
  <c r="U270" i="262"/>
  <c r="V270" i="262" s="1"/>
  <c r="Q271" i="262"/>
  <c r="K271" i="262" s="1"/>
  <c r="O271" i="262" s="1"/>
  <c r="P271" i="262"/>
  <c r="S271" i="262"/>
  <c r="J272" i="262"/>
  <c r="S272" i="262" s="1"/>
  <c r="Q272" i="262"/>
  <c r="K272" i="262" s="1"/>
  <c r="O272" i="262" s="1"/>
  <c r="P272" i="262"/>
  <c r="U272" i="262"/>
  <c r="V272" i="262"/>
  <c r="J273" i="262"/>
  <c r="S273" i="262"/>
  <c r="Q273" i="262"/>
  <c r="K273" i="262"/>
  <c r="O273" i="262" s="1"/>
  <c r="P273" i="262"/>
  <c r="U273" i="262"/>
  <c r="V273" i="262" s="1"/>
  <c r="J274" i="262"/>
  <c r="S274" i="262" s="1"/>
  <c r="Q274" i="262"/>
  <c r="K274" i="262" s="1"/>
  <c r="P274" i="262"/>
  <c r="T274" i="262"/>
  <c r="U274" i="262"/>
  <c r="W274" i="262"/>
  <c r="V274" i="262" s="1"/>
  <c r="J275" i="262"/>
  <c r="P275" i="262"/>
  <c r="S275" i="262"/>
  <c r="U275" i="262"/>
  <c r="J276" i="262"/>
  <c r="S276" i="262" s="1"/>
  <c r="Q276" i="262"/>
  <c r="K276" i="262" s="1"/>
  <c r="O276" i="262" s="1"/>
  <c r="P276" i="262"/>
  <c r="U276" i="262"/>
  <c r="V276" i="262" s="1"/>
  <c r="J277" i="262"/>
  <c r="S277" i="262" s="1"/>
  <c r="Q277" i="262"/>
  <c r="K277" i="262"/>
  <c r="O277" i="262" s="1"/>
  <c r="P277" i="262"/>
  <c r="U277" i="262"/>
  <c r="V277" i="262" s="1"/>
  <c r="J278" i="262"/>
  <c r="Q278" i="262"/>
  <c r="K278" i="262" s="1"/>
  <c r="P278" i="262"/>
  <c r="S278" i="262"/>
  <c r="U278" i="262"/>
  <c r="V278" i="262" s="1"/>
  <c r="J279" i="262"/>
  <c r="S279" i="262" s="1"/>
  <c r="Q279" i="262"/>
  <c r="K279" i="262" s="1"/>
  <c r="P279" i="262"/>
  <c r="U279" i="262"/>
  <c r="V279" i="262" s="1"/>
  <c r="J280" i="262"/>
  <c r="Q280" i="262"/>
  <c r="K280" i="262" s="1"/>
  <c r="P280" i="262"/>
  <c r="S280" i="262"/>
  <c r="U280" i="262"/>
  <c r="V280" i="262" s="1"/>
  <c r="J281" i="262"/>
  <c r="S281" i="262" s="1"/>
  <c r="Q281" i="262"/>
  <c r="K281" i="262" s="1"/>
  <c r="P281" i="262"/>
  <c r="U281" i="262"/>
  <c r="V281" i="262" s="1"/>
  <c r="J282" i="262"/>
  <c r="S282" i="262" s="1"/>
  <c r="Q282" i="262"/>
  <c r="K282" i="262" s="1"/>
  <c r="O282" i="262" s="1"/>
  <c r="P282" i="262"/>
  <c r="U282" i="262"/>
  <c r="V282" i="262" s="1"/>
  <c r="J283" i="262"/>
  <c r="S283" i="262" s="1"/>
  <c r="Q283" i="262"/>
  <c r="K283" i="262"/>
  <c r="O283" i="262" s="1"/>
  <c r="P283" i="262"/>
  <c r="U283" i="262"/>
  <c r="V283" i="262" s="1"/>
  <c r="J284" i="262"/>
  <c r="Q284" i="262"/>
  <c r="K284" i="262" s="1"/>
  <c r="P284" i="262"/>
  <c r="S284" i="262"/>
  <c r="U284" i="262"/>
  <c r="V284" i="262" s="1"/>
  <c r="J285" i="262"/>
  <c r="S285" i="262" s="1"/>
  <c r="Q285" i="262"/>
  <c r="K285" i="262" s="1"/>
  <c r="O285" i="262" s="1"/>
  <c r="P285" i="262"/>
  <c r="U285" i="262"/>
  <c r="V285" i="262"/>
  <c r="J286" i="262"/>
  <c r="S286" i="262"/>
  <c r="Q286" i="262"/>
  <c r="K286" i="262"/>
  <c r="O286" i="262" s="1"/>
  <c r="P286" i="262"/>
  <c r="U286" i="262"/>
  <c r="V286" i="262" s="1"/>
  <c r="J287" i="262"/>
  <c r="O287" i="262"/>
  <c r="P287" i="262"/>
  <c r="Q287" i="262"/>
  <c r="S287" i="262"/>
  <c r="U287" i="262"/>
  <c r="V287" i="262" s="1"/>
  <c r="J288" i="262"/>
  <c r="O288" i="262"/>
  <c r="P288" i="262"/>
  <c r="Q288" i="262"/>
  <c r="S288" i="262"/>
  <c r="U288" i="262"/>
  <c r="V288" i="262"/>
  <c r="J289" i="262"/>
  <c r="S289" i="262"/>
  <c r="Q289" i="262"/>
  <c r="K289" i="262"/>
  <c r="O289" i="262" s="1"/>
  <c r="P289" i="262"/>
  <c r="U289" i="262"/>
  <c r="V289" i="262" s="1"/>
  <c r="J290" i="262"/>
  <c r="S290" i="262" s="1"/>
  <c r="Q290" i="262"/>
  <c r="K290" i="262" s="1"/>
  <c r="O290" i="262" s="1"/>
  <c r="P290" i="262"/>
  <c r="U290" i="262"/>
  <c r="V290" i="262"/>
  <c r="J291" i="262"/>
  <c r="S291" i="262"/>
  <c r="O291" i="262"/>
  <c r="P291" i="262"/>
  <c r="U291" i="262"/>
  <c r="V291" i="262"/>
  <c r="J292" i="262"/>
  <c r="P292" i="262"/>
  <c r="S292" i="262"/>
  <c r="U292" i="262"/>
  <c r="V292" i="262" s="1"/>
  <c r="J293" i="262"/>
  <c r="S293" i="262" s="1"/>
  <c r="P293" i="262"/>
  <c r="U293" i="262"/>
  <c r="J294" i="262"/>
  <c r="S294" i="262" s="1"/>
  <c r="P294" i="262"/>
  <c r="T294" i="262"/>
  <c r="U294" i="262"/>
  <c r="V294" i="262" s="1"/>
  <c r="J295" i="262"/>
  <c r="P295" i="262"/>
  <c r="S295" i="262"/>
  <c r="U295" i="262"/>
  <c r="V295" i="262" s="1"/>
  <c r="J296" i="262"/>
  <c r="O296" i="262"/>
  <c r="P296" i="262"/>
  <c r="Q296" i="262"/>
  <c r="S296" i="262"/>
  <c r="U296" i="262"/>
  <c r="V296" i="262"/>
  <c r="P297" i="262"/>
  <c r="S297" i="262"/>
  <c r="J298" i="262"/>
  <c r="S298" i="262"/>
  <c r="Q298" i="262"/>
  <c r="K298" i="262"/>
  <c r="O298" i="262" s="1"/>
  <c r="P298" i="262"/>
  <c r="T298" i="262"/>
  <c r="W298" i="262"/>
  <c r="J299" i="262"/>
  <c r="S299" i="262" s="1"/>
  <c r="Q299" i="262"/>
  <c r="K299" i="262" s="1"/>
  <c r="O299" i="262" s="1"/>
  <c r="P299" i="262"/>
  <c r="U299" i="262"/>
  <c r="V299" i="262"/>
  <c r="J300" i="262"/>
  <c r="O300" i="262"/>
  <c r="P300" i="262"/>
  <c r="Q300" i="262"/>
  <c r="S300" i="262"/>
  <c r="U300" i="262"/>
  <c r="V300" i="262" s="1"/>
  <c r="J301" i="262"/>
  <c r="S301" i="262" s="1"/>
  <c r="Q301" i="262"/>
  <c r="K301" i="262" s="1"/>
  <c r="O301" i="262" s="1"/>
  <c r="P301" i="262"/>
  <c r="U301" i="262"/>
  <c r="V301" i="262" s="1"/>
  <c r="J302" i="262"/>
  <c r="S302" i="262" s="1"/>
  <c r="Q302" i="262"/>
  <c r="K302" i="262"/>
  <c r="O302" i="262" s="1"/>
  <c r="P302" i="262"/>
  <c r="U302" i="262"/>
  <c r="V302" i="262" s="1"/>
  <c r="J303" i="262"/>
  <c r="S303" i="262" s="1"/>
  <c r="Q303" i="262"/>
  <c r="K303" i="262" s="1"/>
  <c r="O303" i="262" s="1"/>
  <c r="P303" i="262"/>
  <c r="U303" i="262"/>
  <c r="V303" i="262" s="1"/>
  <c r="J304" i="262"/>
  <c r="S304" i="262" s="1"/>
  <c r="Q304" i="262"/>
  <c r="K304" i="262" s="1"/>
  <c r="O304" i="262" s="1"/>
  <c r="P304" i="262"/>
  <c r="T304" i="262"/>
  <c r="U304" i="262"/>
  <c r="W304" i="262"/>
  <c r="J305" i="262"/>
  <c r="S305" i="262" s="1"/>
  <c r="Q305" i="262"/>
  <c r="K305" i="262" s="1"/>
  <c r="O305" i="262" s="1"/>
  <c r="P305" i="262"/>
  <c r="U305" i="262"/>
  <c r="V305" i="262" s="1"/>
  <c r="J306" i="262"/>
  <c r="S306" i="262" s="1"/>
  <c r="Q306" i="262"/>
  <c r="K306" i="262" s="1"/>
  <c r="O306" i="262" s="1"/>
  <c r="P306" i="262"/>
  <c r="T306" i="262"/>
  <c r="U306" i="262"/>
  <c r="W306" i="262"/>
  <c r="J307" i="262"/>
  <c r="S307" i="262" s="1"/>
  <c r="Q307" i="262"/>
  <c r="K307" i="262" s="1"/>
  <c r="O307" i="262" s="1"/>
  <c r="P307" i="262"/>
  <c r="U307" i="262"/>
  <c r="V307" i="262" s="1"/>
  <c r="J308" i="262"/>
  <c r="S308" i="262" s="1"/>
  <c r="Q308" i="262"/>
  <c r="K308" i="262" s="1"/>
  <c r="O308" i="262" s="1"/>
  <c r="P308" i="262"/>
  <c r="U308" i="262"/>
  <c r="V308" i="262" s="1"/>
  <c r="J309" i="262"/>
  <c r="S309" i="262" s="1"/>
  <c r="Q309" i="262"/>
  <c r="K309" i="262" s="1"/>
  <c r="O309" i="262" s="1"/>
  <c r="P309" i="262"/>
  <c r="U309" i="262"/>
  <c r="V309" i="262" s="1"/>
  <c r="J310" i="262"/>
  <c r="P310" i="262"/>
  <c r="S310" i="262"/>
  <c r="U310" i="262"/>
  <c r="V310" i="262"/>
  <c r="J311" i="262"/>
  <c r="S311" i="262"/>
  <c r="Q311" i="262"/>
  <c r="K311" i="262"/>
  <c r="O311" i="262" s="1"/>
  <c r="P311" i="262"/>
  <c r="U311" i="262"/>
  <c r="V311" i="262" s="1"/>
  <c r="J312" i="262"/>
  <c r="S312" i="262" s="1"/>
  <c r="O312" i="262"/>
  <c r="P312" i="262"/>
  <c r="Q312" i="262"/>
  <c r="U312" i="262"/>
  <c r="V312" i="262" s="1"/>
  <c r="J313" i="262"/>
  <c r="S313" i="262" s="1"/>
  <c r="Q313" i="262"/>
  <c r="K313" i="262" s="1"/>
  <c r="O313" i="262" s="1"/>
  <c r="P313" i="262"/>
  <c r="U313" i="262"/>
  <c r="V313" i="262" s="1"/>
  <c r="J314" i="262"/>
  <c r="S314" i="262" s="1"/>
  <c r="Q314" i="262"/>
  <c r="K314" i="262"/>
  <c r="O314" i="262" s="1"/>
  <c r="P314" i="262"/>
  <c r="U314" i="262"/>
  <c r="V314" i="262" s="1"/>
  <c r="J315" i="262"/>
  <c r="S315" i="262" s="1"/>
  <c r="Q315" i="262"/>
  <c r="K315" i="262" s="1"/>
  <c r="O315" i="262" s="1"/>
  <c r="P315" i="262"/>
  <c r="T315" i="262"/>
  <c r="U315" i="262"/>
  <c r="W315" i="262"/>
  <c r="V315" i="262" s="1"/>
  <c r="Q316" i="262"/>
  <c r="K316" i="262" s="1"/>
  <c r="O316" i="262" s="1"/>
  <c r="P316" i="262"/>
  <c r="S316" i="262"/>
  <c r="T316" i="262"/>
  <c r="U316" i="262"/>
  <c r="W316" i="262"/>
  <c r="V316" i="262" s="1"/>
  <c r="J317" i="262"/>
  <c r="S317" i="262" s="1"/>
  <c r="Q317" i="262"/>
  <c r="K317" i="262" s="1"/>
  <c r="O317" i="262" s="1"/>
  <c r="P317" i="262"/>
  <c r="U317" i="262"/>
  <c r="V317" i="262" s="1"/>
  <c r="Q318" i="262"/>
  <c r="K318" i="262" s="1"/>
  <c r="O318" i="262" s="1"/>
  <c r="P318" i="262"/>
  <c r="S318" i="262"/>
  <c r="U318" i="262"/>
  <c r="V318" i="262" s="1"/>
  <c r="Q319" i="262"/>
  <c r="K319" i="262" s="1"/>
  <c r="O319" i="262" s="1"/>
  <c r="P319" i="262"/>
  <c r="S319" i="262"/>
  <c r="U319" i="262"/>
  <c r="V319" i="262" s="1"/>
  <c r="Q320" i="262"/>
  <c r="K320" i="262" s="1"/>
  <c r="O320" i="262" s="1"/>
  <c r="P320" i="262"/>
  <c r="S320" i="262"/>
  <c r="U320" i="262"/>
  <c r="V320" i="262" s="1"/>
  <c r="Q321" i="262"/>
  <c r="K321" i="262" s="1"/>
  <c r="O321" i="262" s="1"/>
  <c r="P321" i="262"/>
  <c r="S321" i="262"/>
  <c r="U321" i="262"/>
  <c r="V321" i="262" s="1"/>
  <c r="Q322" i="262"/>
  <c r="K322" i="262" s="1"/>
  <c r="O322" i="262" s="1"/>
  <c r="P322" i="262"/>
  <c r="S322" i="262"/>
  <c r="U322" i="262"/>
  <c r="V322" i="262" s="1"/>
  <c r="J323" i="262"/>
  <c r="S323" i="262" s="1"/>
  <c r="Q323" i="262"/>
  <c r="K323" i="262" s="1"/>
  <c r="O323" i="262" s="1"/>
  <c r="P323" i="262"/>
  <c r="U323" i="262"/>
  <c r="V323" i="262" s="1"/>
  <c r="Q324" i="262"/>
  <c r="K324" i="262" s="1"/>
  <c r="O324" i="262" s="1"/>
  <c r="P324" i="262"/>
  <c r="S324" i="262"/>
  <c r="U324" i="262"/>
  <c r="V324" i="262" s="1"/>
  <c r="Q325" i="262"/>
  <c r="K325" i="262" s="1"/>
  <c r="O325" i="262" s="1"/>
  <c r="P325" i="262"/>
  <c r="S325" i="262"/>
  <c r="U325" i="262"/>
  <c r="V325" i="262" s="1"/>
  <c r="J326" i="262"/>
  <c r="S326" i="262" s="1"/>
  <c r="Q326" i="262"/>
  <c r="K326" i="262" s="1"/>
  <c r="O326" i="262" s="1"/>
  <c r="P326" i="262"/>
  <c r="U326" i="262"/>
  <c r="V326" i="262" s="1"/>
  <c r="J327" i="262"/>
  <c r="S327" i="262" s="1"/>
  <c r="Q327" i="262"/>
  <c r="K327" i="262"/>
  <c r="O327" i="262" s="1"/>
  <c r="P327" i="262"/>
  <c r="U327" i="262"/>
  <c r="V327" i="262" s="1"/>
  <c r="J328" i="262"/>
  <c r="S328" i="262" s="1"/>
  <c r="P328" i="262"/>
  <c r="Q328" i="262"/>
  <c r="T328" i="262"/>
  <c r="U328" i="262"/>
  <c r="W328" i="262"/>
  <c r="V328" i="262" s="1"/>
  <c r="J329" i="262"/>
  <c r="S329" i="262" s="1"/>
  <c r="Q329" i="262"/>
  <c r="K329" i="262" s="1"/>
  <c r="O329" i="262" s="1"/>
  <c r="P329" i="262"/>
  <c r="T329" i="262"/>
  <c r="U329" i="262"/>
  <c r="V329" i="262"/>
  <c r="J330" i="262"/>
  <c r="S330" i="262"/>
  <c r="Q330" i="262"/>
  <c r="K330" i="262"/>
  <c r="O330" i="262" s="1"/>
  <c r="P330" i="262"/>
  <c r="U330" i="262"/>
  <c r="V330" i="262" s="1"/>
  <c r="J331" i="262"/>
  <c r="S331" i="262" s="1"/>
  <c r="Q331" i="262"/>
  <c r="K331" i="262" s="1"/>
  <c r="O331" i="262" s="1"/>
  <c r="P331" i="262"/>
  <c r="U331" i="262"/>
  <c r="V331" i="262"/>
  <c r="Q332" i="262"/>
  <c r="K332" i="262"/>
  <c r="O332" i="262" s="1"/>
  <c r="P332" i="262"/>
  <c r="S332" i="262"/>
  <c r="U332" i="262"/>
  <c r="V332" i="262" s="1"/>
  <c r="Q333" i="262"/>
  <c r="K333" i="262" s="1"/>
  <c r="O333" i="262" s="1"/>
  <c r="P333" i="262"/>
  <c r="S333" i="262"/>
  <c r="U333" i="262"/>
  <c r="V333" i="262"/>
  <c r="J334" i="262"/>
  <c r="S334" i="262"/>
  <c r="Q334" i="262"/>
  <c r="K334" i="262"/>
  <c r="O334" i="262" s="1"/>
  <c r="P334" i="262"/>
  <c r="U334" i="262"/>
  <c r="V334" i="262" s="1"/>
  <c r="J335" i="262"/>
  <c r="S335" i="262" s="1"/>
  <c r="Q335" i="262"/>
  <c r="K335" i="262" s="1"/>
  <c r="O335" i="262" s="1"/>
  <c r="P335" i="262"/>
  <c r="U335" i="262"/>
  <c r="V335" i="262"/>
  <c r="Q336" i="262"/>
  <c r="K336" i="262"/>
  <c r="O336" i="262" s="1"/>
  <c r="P336" i="262"/>
  <c r="S336" i="262"/>
  <c r="T336" i="262"/>
  <c r="U336" i="262"/>
  <c r="W336" i="262"/>
  <c r="Q337" i="262"/>
  <c r="K337" i="262" s="1"/>
  <c r="O337" i="262" s="1"/>
  <c r="P337" i="262"/>
  <c r="S337" i="262"/>
  <c r="T337" i="262"/>
  <c r="U337" i="262"/>
  <c r="W337" i="262"/>
  <c r="V337" i="262"/>
  <c r="Q338" i="262"/>
  <c r="K338" i="262"/>
  <c r="O338" i="262" s="1"/>
  <c r="P338" i="262"/>
  <c r="U338" i="262"/>
  <c r="W338" i="262"/>
  <c r="Q339" i="262"/>
  <c r="K339" i="262" s="1"/>
  <c r="O339" i="262" s="1"/>
  <c r="P339" i="262"/>
  <c r="S339" i="262"/>
  <c r="T339" i="262"/>
  <c r="U339" i="262"/>
  <c r="W339" i="262"/>
  <c r="V339" i="262"/>
  <c r="Q340" i="262"/>
  <c r="K340" i="262"/>
  <c r="O340" i="262" s="1"/>
  <c r="P340" i="262"/>
  <c r="S340" i="262"/>
  <c r="U340" i="262"/>
  <c r="V340" i="262" s="1"/>
  <c r="Q341" i="262"/>
  <c r="K341" i="262" s="1"/>
  <c r="O341" i="262" s="1"/>
  <c r="P341" i="262"/>
  <c r="S341" i="262"/>
  <c r="U341" i="262"/>
  <c r="V341" i="262"/>
  <c r="P342" i="262"/>
  <c r="Q342" i="262"/>
  <c r="S342" i="262"/>
  <c r="T342" i="262"/>
  <c r="U342" i="262"/>
  <c r="W342" i="262"/>
  <c r="V342" i="262" s="1"/>
  <c r="J343" i="262"/>
  <c r="S343" i="262" s="1"/>
  <c r="Q343" i="262"/>
  <c r="K343" i="262" s="1"/>
  <c r="O343" i="262" s="1"/>
  <c r="P343" i="262"/>
  <c r="U343" i="262"/>
  <c r="V343" i="262" s="1"/>
  <c r="J344" i="262"/>
  <c r="S344" i="262" s="1"/>
  <c r="Q344" i="262"/>
  <c r="K344" i="262" s="1"/>
  <c r="O344" i="262" s="1"/>
  <c r="P344" i="262"/>
  <c r="U344" i="262"/>
  <c r="V344" i="262" s="1"/>
  <c r="Q345" i="262"/>
  <c r="K345" i="262" s="1"/>
  <c r="O345" i="262" s="1"/>
  <c r="P345" i="262"/>
  <c r="S345" i="262"/>
  <c r="U345" i="262"/>
  <c r="V345" i="262" s="1"/>
  <c r="J346" i="262"/>
  <c r="S346" i="262" s="1"/>
  <c r="Q346" i="262"/>
  <c r="K346" i="262" s="1"/>
  <c r="O346" i="262" s="1"/>
  <c r="P346" i="262"/>
  <c r="U346" i="262"/>
  <c r="V346" i="262" s="1"/>
  <c r="J347" i="262"/>
  <c r="S347" i="262" s="1"/>
  <c r="Q347" i="262"/>
  <c r="K347" i="262" s="1"/>
  <c r="O347" i="262" s="1"/>
  <c r="P347" i="262"/>
  <c r="U347" i="262"/>
  <c r="V347" i="262" s="1"/>
  <c r="J348" i="262"/>
  <c r="S348" i="262" s="1"/>
  <c r="Q348" i="262"/>
  <c r="K348" i="262" s="1"/>
  <c r="O348" i="262" s="1"/>
  <c r="P348" i="262"/>
  <c r="U348" i="262"/>
  <c r="V348" i="262" s="1"/>
  <c r="J349" i="262"/>
  <c r="S349" i="262" s="1"/>
  <c r="Q349" i="262"/>
  <c r="K349" i="262" s="1"/>
  <c r="O349" i="262" s="1"/>
  <c r="P349" i="262"/>
  <c r="T349" i="262"/>
  <c r="U349" i="262"/>
  <c r="W349" i="262"/>
  <c r="V349" i="262" s="1"/>
  <c r="J350" i="262"/>
  <c r="S350" i="262" s="1"/>
  <c r="Q350" i="262"/>
  <c r="K350" i="262" s="1"/>
  <c r="O350" i="262" s="1"/>
  <c r="P350" i="262"/>
  <c r="U350" i="262"/>
  <c r="V350" i="262"/>
  <c r="J351" i="262"/>
  <c r="S351" i="262"/>
  <c r="Q351" i="262"/>
  <c r="K351" i="262"/>
  <c r="O351" i="262" s="1"/>
  <c r="P351" i="262"/>
  <c r="U351" i="262"/>
  <c r="V351" i="262" s="1"/>
  <c r="Q352" i="262"/>
  <c r="K352" i="262" s="1"/>
  <c r="O352" i="262" s="1"/>
  <c r="P352" i="262"/>
  <c r="S352" i="262"/>
  <c r="U352" i="262"/>
  <c r="V352" i="262" s="1"/>
  <c r="Q353" i="262"/>
  <c r="K353" i="262" s="1"/>
  <c r="O353" i="262" s="1"/>
  <c r="P353" i="262"/>
  <c r="S353" i="262"/>
  <c r="U353" i="262"/>
  <c r="V353" i="262" s="1"/>
  <c r="Q354" i="262"/>
  <c r="K354" i="262" s="1"/>
  <c r="O354" i="262" s="1"/>
  <c r="P354" i="262"/>
  <c r="S354" i="262"/>
  <c r="U354" i="262"/>
  <c r="V354" i="262" s="1"/>
  <c r="J355" i="262"/>
  <c r="S355" i="262" s="1"/>
  <c r="Q355" i="262"/>
  <c r="K355" i="262" s="1"/>
  <c r="O355" i="262" s="1"/>
  <c r="P355" i="262"/>
  <c r="U355" i="262"/>
  <c r="V355" i="262" s="1"/>
  <c r="J356" i="262"/>
  <c r="S356" i="262" s="1"/>
  <c r="Q356" i="262"/>
  <c r="K356" i="262"/>
  <c r="O356" i="262" s="1"/>
  <c r="P356" i="262"/>
  <c r="U356" i="262"/>
  <c r="V356" i="262" s="1"/>
  <c r="J357" i="262"/>
  <c r="S357" i="262" s="1"/>
  <c r="Q357" i="262"/>
  <c r="K357" i="262" s="1"/>
  <c r="O357" i="262" s="1"/>
  <c r="P357" i="262"/>
  <c r="U357" i="262"/>
  <c r="V357" i="262" s="1"/>
  <c r="Q358" i="262"/>
  <c r="K358" i="262" s="1"/>
  <c r="O358" i="262" s="1"/>
  <c r="P358" i="262"/>
  <c r="S358" i="262"/>
  <c r="U358" i="262"/>
  <c r="V358" i="262"/>
  <c r="J359" i="262"/>
  <c r="S359" i="262"/>
  <c r="Q359" i="262"/>
  <c r="K359" i="262"/>
  <c r="O359" i="262" s="1"/>
  <c r="P359" i="262"/>
  <c r="T359" i="262"/>
  <c r="U359" i="262"/>
  <c r="W359" i="262"/>
  <c r="V359" i="262" s="1"/>
  <c r="Q360" i="262"/>
  <c r="K360" i="262" s="1"/>
  <c r="O360" i="262" s="1"/>
  <c r="P360" i="262"/>
  <c r="S360" i="262"/>
  <c r="U360" i="262"/>
  <c r="V360" i="262" s="1"/>
  <c r="J361" i="262"/>
  <c r="S361" i="262" s="1"/>
  <c r="Q361" i="262"/>
  <c r="K361" i="262" s="1"/>
  <c r="O361" i="262" s="1"/>
  <c r="P361" i="262"/>
  <c r="U361" i="262"/>
  <c r="V361" i="262" s="1"/>
  <c r="Q362" i="262"/>
  <c r="K362" i="262" s="1"/>
  <c r="O362" i="262" s="1"/>
  <c r="P362" i="262"/>
  <c r="S362" i="262"/>
  <c r="U362" i="262"/>
  <c r="V362" i="262"/>
  <c r="J363" i="262"/>
  <c r="S363" i="262"/>
  <c r="Q363" i="262"/>
  <c r="K363" i="262"/>
  <c r="O363" i="262" s="1"/>
  <c r="P363" i="262"/>
  <c r="U363" i="262"/>
  <c r="V363" i="262" s="1"/>
  <c r="Q364" i="262"/>
  <c r="K364" i="262" s="1"/>
  <c r="O364" i="262" s="1"/>
  <c r="P364" i="262"/>
  <c r="S364" i="262"/>
  <c r="U364" i="262"/>
  <c r="V364" i="262" s="1"/>
  <c r="J365" i="262"/>
  <c r="S365" i="262" s="1"/>
  <c r="Q365" i="262"/>
  <c r="K365" i="262" s="1"/>
  <c r="O365" i="262" s="1"/>
  <c r="P365" i="262"/>
  <c r="U365" i="262"/>
  <c r="V365" i="262" s="1"/>
  <c r="Q366" i="262"/>
  <c r="K366" i="262" s="1"/>
  <c r="O366" i="262" s="1"/>
  <c r="P366" i="262"/>
  <c r="S366" i="262"/>
  <c r="U366" i="262"/>
  <c r="V366" i="262"/>
  <c r="Q367" i="262"/>
  <c r="K367" i="262"/>
  <c r="O367" i="262" s="1"/>
  <c r="P367" i="262"/>
  <c r="S367" i="262"/>
  <c r="U367" i="262"/>
  <c r="V367" i="262" s="1"/>
  <c r="O368" i="262"/>
  <c r="P368" i="262"/>
  <c r="Q368" i="262"/>
  <c r="S368" i="262"/>
  <c r="U368" i="262"/>
  <c r="V368" i="262" s="1"/>
  <c r="Q369" i="262"/>
  <c r="K369" i="262" s="1"/>
  <c r="O369" i="262" s="1"/>
  <c r="P369" i="262"/>
  <c r="S369" i="262"/>
  <c r="U369" i="262"/>
  <c r="V369" i="262" s="1"/>
  <c r="J370" i="262"/>
  <c r="S370" i="262" s="1"/>
  <c r="Q370" i="262"/>
  <c r="K370" i="262" s="1"/>
  <c r="O370" i="262" s="1"/>
  <c r="P370" i="262"/>
  <c r="U370" i="262"/>
  <c r="V370" i="262"/>
  <c r="Q371" i="262"/>
  <c r="K371" i="262"/>
  <c r="O371" i="262" s="1"/>
  <c r="P371" i="262"/>
  <c r="S371" i="262"/>
  <c r="U371" i="262"/>
  <c r="V371" i="262" s="1"/>
  <c r="Q372" i="262"/>
  <c r="K372" i="262" s="1"/>
  <c r="O372" i="262" s="1"/>
  <c r="P372" i="262"/>
  <c r="S372" i="262"/>
  <c r="U372" i="262"/>
  <c r="V372" i="262"/>
  <c r="J373" i="262"/>
  <c r="S373" i="262"/>
  <c r="Q373" i="262"/>
  <c r="K373" i="262"/>
  <c r="O373" i="262" s="1"/>
  <c r="P373" i="262"/>
  <c r="U373" i="262"/>
  <c r="V373" i="262" s="1"/>
  <c r="Q374" i="262"/>
  <c r="K374" i="262" s="1"/>
  <c r="O374" i="262" s="1"/>
  <c r="P374" i="262"/>
  <c r="S374" i="262"/>
  <c r="U374" i="262"/>
  <c r="V374" i="262" s="1"/>
  <c r="Q375" i="262"/>
  <c r="K375" i="262" s="1"/>
  <c r="O375" i="262" s="1"/>
  <c r="P375" i="262"/>
  <c r="S375" i="262"/>
  <c r="U375" i="262"/>
  <c r="Q376" i="262"/>
  <c r="K376" i="262" s="1"/>
  <c r="O376" i="262" s="1"/>
  <c r="P376" i="262"/>
  <c r="S376" i="262"/>
  <c r="U376" i="262"/>
  <c r="V376" i="262" s="1"/>
  <c r="J377" i="262"/>
  <c r="S377" i="262" s="1"/>
  <c r="Q377" i="262"/>
  <c r="K377" i="262" s="1"/>
  <c r="P377" i="262"/>
  <c r="U377" i="262"/>
  <c r="V377" i="262" s="1"/>
  <c r="J378" i="262"/>
  <c r="Q378" i="262"/>
  <c r="K378" i="262" s="1"/>
  <c r="P378" i="262"/>
  <c r="S378" i="262"/>
  <c r="U378" i="262"/>
  <c r="V378" i="262" s="1"/>
  <c r="J379" i="262"/>
  <c r="S379" i="262" s="1"/>
  <c r="Q379" i="262"/>
  <c r="K379" i="262" s="1"/>
  <c r="O379" i="262" s="1"/>
  <c r="P379" i="262"/>
  <c r="U379" i="262"/>
  <c r="V379" i="262"/>
  <c r="Q380" i="262"/>
  <c r="K380" i="262"/>
  <c r="P380" i="262"/>
  <c r="S380" i="262"/>
  <c r="Q381" i="262"/>
  <c r="K381" i="262"/>
  <c r="P381" i="262"/>
  <c r="S381" i="262"/>
  <c r="Q382" i="262"/>
  <c r="K382" i="262"/>
  <c r="P382" i="262"/>
  <c r="S382" i="262"/>
  <c r="Q383" i="262"/>
  <c r="K383" i="262"/>
  <c r="O383" i="262" s="1"/>
  <c r="P383" i="262"/>
  <c r="S383" i="262"/>
  <c r="T383" i="262"/>
  <c r="U383" i="262"/>
  <c r="W383" i="262"/>
  <c r="Q384" i="262"/>
  <c r="K384" i="262" s="1"/>
  <c r="O384" i="262" s="1"/>
  <c r="P384" i="262"/>
  <c r="S384" i="262"/>
  <c r="U384" i="262"/>
  <c r="V384" i="262"/>
  <c r="Q385" i="262"/>
  <c r="K385" i="262"/>
  <c r="O385" i="262" s="1"/>
  <c r="P385" i="262"/>
  <c r="S385" i="262"/>
  <c r="U385" i="262"/>
  <c r="V385" i="262" s="1"/>
  <c r="Q386" i="262"/>
  <c r="K386" i="262" s="1"/>
  <c r="O386" i="262" s="1"/>
  <c r="P386" i="262"/>
  <c r="U386" i="262"/>
  <c r="V386" i="262" s="1"/>
  <c r="J387" i="262"/>
  <c r="S387" i="262" s="1"/>
  <c r="Q387" i="262"/>
  <c r="K387" i="262" s="1"/>
  <c r="O387" i="262" s="1"/>
  <c r="P387" i="262"/>
  <c r="U387" i="262"/>
  <c r="V387" i="262" s="1"/>
  <c r="O388" i="262"/>
  <c r="P388" i="262"/>
  <c r="Q388" i="262"/>
  <c r="S388" i="262"/>
  <c r="U388" i="262"/>
  <c r="V388" i="262" s="1"/>
  <c r="Q389" i="262"/>
  <c r="K389" i="262" s="1"/>
  <c r="O389" i="262" s="1"/>
  <c r="P389" i="262"/>
  <c r="S389" i="262"/>
  <c r="U389" i="262"/>
  <c r="V389" i="262"/>
  <c r="Q390" i="262"/>
  <c r="K390" i="262"/>
  <c r="O390" i="262" s="1"/>
  <c r="P390" i="262"/>
  <c r="U390" i="262"/>
  <c r="P391" i="262"/>
  <c r="Q391" i="262"/>
  <c r="U391" i="262"/>
  <c r="V391" i="262" s="1"/>
  <c r="P392" i="262"/>
  <c r="Q392" i="262"/>
  <c r="S392" i="262"/>
  <c r="U392" i="262"/>
  <c r="J393" i="262"/>
  <c r="S393" i="262" s="1"/>
  <c r="P393" i="262"/>
  <c r="Q393" i="262"/>
  <c r="U393" i="262"/>
  <c r="J394" i="262"/>
  <c r="S394" i="262" s="1"/>
  <c r="Q394" i="262"/>
  <c r="K394" i="262" s="1"/>
  <c r="O394" i="262" s="1"/>
  <c r="P394" i="262"/>
  <c r="U394" i="262"/>
  <c r="V394" i="262" s="1"/>
  <c r="J395" i="262"/>
  <c r="S395" i="262" s="1"/>
  <c r="Q395" i="262"/>
  <c r="K395" i="262" s="1"/>
  <c r="O395" i="262" s="1"/>
  <c r="P395" i="262"/>
  <c r="U395" i="262"/>
  <c r="V395" i="262" s="1"/>
  <c r="J396" i="262"/>
  <c r="S396" i="262" s="1"/>
  <c r="Q396" i="262"/>
  <c r="K396" i="262" s="1"/>
  <c r="O396" i="262" s="1"/>
  <c r="P396" i="262"/>
  <c r="U396" i="262"/>
  <c r="V396" i="262" s="1"/>
  <c r="J397" i="262"/>
  <c r="S397" i="262" s="1"/>
  <c r="Q397" i="262"/>
  <c r="K397" i="262" s="1"/>
  <c r="O397" i="262" s="1"/>
  <c r="P397" i="262"/>
  <c r="U397" i="262"/>
  <c r="V397" i="262" s="1"/>
  <c r="J398" i="262"/>
  <c r="S398" i="262" s="1"/>
  <c r="Q398" i="262"/>
  <c r="K398" i="262" s="1"/>
  <c r="O398" i="262" s="1"/>
  <c r="P398" i="262"/>
  <c r="U398" i="262"/>
  <c r="V398" i="262" s="1"/>
  <c r="O399" i="262"/>
  <c r="P399" i="262"/>
  <c r="Q399" i="262"/>
  <c r="S399" i="262"/>
  <c r="U399" i="262"/>
  <c r="V399" i="262" s="1"/>
  <c r="Q400" i="262"/>
  <c r="K400" i="262" s="1"/>
  <c r="O400" i="262" s="1"/>
  <c r="P400" i="262"/>
  <c r="T400" i="262"/>
  <c r="U400" i="262"/>
  <c r="W400" i="262"/>
  <c r="V400" i="262" s="1"/>
  <c r="Q401" i="262"/>
  <c r="K401" i="262" s="1"/>
  <c r="O401" i="262" s="1"/>
  <c r="P401" i="262"/>
  <c r="S401" i="262"/>
  <c r="U401" i="262"/>
  <c r="V401" i="262" s="1"/>
  <c r="Q402" i="262"/>
  <c r="K402" i="262" s="1"/>
  <c r="O402" i="262" s="1"/>
  <c r="P402" i="262"/>
  <c r="T402" i="262"/>
  <c r="U402" i="262"/>
  <c r="W402" i="262"/>
  <c r="V402" i="262"/>
  <c r="Q403" i="262"/>
  <c r="K403" i="262"/>
  <c r="O403" i="262" s="1"/>
  <c r="P403" i="262"/>
  <c r="T403" i="262"/>
  <c r="U403" i="262"/>
  <c r="W403" i="262"/>
  <c r="V403" i="262" s="1"/>
  <c r="J404" i="262"/>
  <c r="S404" i="262" s="1"/>
  <c r="Q404" i="262"/>
  <c r="K404" i="262" s="1"/>
  <c r="O404" i="262" s="1"/>
  <c r="P404" i="262"/>
  <c r="U404" i="262"/>
  <c r="Q405" i="262"/>
  <c r="K405" i="262" s="1"/>
  <c r="O405" i="262" s="1"/>
  <c r="S405" i="262"/>
  <c r="U405" i="262"/>
  <c r="Q406" i="262"/>
  <c r="K406" i="262"/>
  <c r="O406" i="262" s="1"/>
  <c r="P406" i="262"/>
  <c r="T406" i="262"/>
  <c r="U406" i="262"/>
  <c r="W406" i="262"/>
  <c r="V406" i="262" s="1"/>
  <c r="Q407" i="262"/>
  <c r="K407" i="262" s="1"/>
  <c r="O407" i="262" s="1"/>
  <c r="P407" i="262"/>
  <c r="S407" i="262"/>
  <c r="T407" i="262"/>
  <c r="U407" i="262"/>
  <c r="W407" i="262"/>
  <c r="V407" i="262" s="1"/>
  <c r="J408" i="262"/>
  <c r="S408" i="262" s="1"/>
  <c r="Q408" i="262"/>
  <c r="K408" i="262" s="1"/>
  <c r="O408" i="262" s="1"/>
  <c r="P408" i="262"/>
  <c r="U408" i="262"/>
  <c r="V408" i="262" s="1"/>
  <c r="J409" i="262"/>
  <c r="S409" i="262" s="1"/>
  <c r="Q409" i="262"/>
  <c r="K409" i="262"/>
  <c r="O409" i="262" s="1"/>
  <c r="P409" i="262"/>
  <c r="U409" i="262"/>
  <c r="V409" i="262" s="1"/>
  <c r="J410" i="262"/>
  <c r="S410" i="262" s="1"/>
  <c r="O410" i="262"/>
  <c r="P410" i="262"/>
  <c r="Q410" i="262"/>
  <c r="U410" i="262"/>
  <c r="V410" i="262"/>
  <c r="Q411" i="262"/>
  <c r="K411" i="262"/>
  <c r="O411" i="262" s="1"/>
  <c r="P411" i="262"/>
  <c r="S411" i="262"/>
  <c r="U411" i="262"/>
  <c r="V411" i="262" s="1"/>
  <c r="J412" i="262"/>
  <c r="S412" i="262" s="1"/>
  <c r="U412" i="262"/>
  <c r="Q413" i="262"/>
  <c r="K413" i="262" s="1"/>
  <c r="O413" i="262" s="1"/>
  <c r="P413" i="262"/>
  <c r="S413" i="262"/>
  <c r="T413" i="262"/>
  <c r="U413" i="262"/>
  <c r="W413" i="262"/>
  <c r="V413" i="262" s="1"/>
  <c r="Q414" i="262"/>
  <c r="K414" i="262" s="1"/>
  <c r="O414" i="262" s="1"/>
  <c r="P414" i="262"/>
  <c r="U414" i="262"/>
  <c r="V414" i="262" s="1"/>
  <c r="J415" i="262"/>
  <c r="S415" i="262" s="1"/>
  <c r="Q415" i="262"/>
  <c r="K415" i="262" s="1"/>
  <c r="O415" i="262" s="1"/>
  <c r="P415" i="262"/>
  <c r="T415" i="262"/>
  <c r="U415" i="262"/>
  <c r="W415" i="262"/>
  <c r="V415" i="262" s="1"/>
  <c r="J416" i="262"/>
  <c r="S416" i="262" s="1"/>
  <c r="Q416" i="262"/>
  <c r="K416" i="262" s="1"/>
  <c r="O416" i="262" s="1"/>
  <c r="P416" i="262"/>
  <c r="U416" i="262"/>
  <c r="V416" i="262" s="1"/>
  <c r="J417" i="262"/>
  <c r="S417" i="262" s="1"/>
  <c r="Q417" i="262"/>
  <c r="K417" i="262" s="1"/>
  <c r="O417" i="262" s="1"/>
  <c r="P417" i="262"/>
  <c r="U417" i="262"/>
  <c r="V417" i="262" s="1"/>
  <c r="J418" i="262"/>
  <c r="S418" i="262" s="1"/>
  <c r="Q418" i="262"/>
  <c r="K418" i="262" s="1"/>
  <c r="O418" i="262" s="1"/>
  <c r="P418" i="262"/>
  <c r="U418" i="262"/>
  <c r="V418" i="262" s="1"/>
  <c r="J419" i="262"/>
  <c r="S419" i="262" s="1"/>
  <c r="Q419" i="262"/>
  <c r="K419" i="262" s="1"/>
  <c r="O419" i="262" s="1"/>
  <c r="P419" i="262"/>
  <c r="U419" i="262"/>
  <c r="V419" i="262" s="1"/>
  <c r="Q420" i="262"/>
  <c r="K420" i="262" s="1"/>
  <c r="O420" i="262" s="1"/>
  <c r="P420" i="262"/>
  <c r="S420" i="262"/>
  <c r="T420" i="262"/>
  <c r="U420" i="262"/>
  <c r="W420" i="262"/>
  <c r="V420" i="262" s="1"/>
  <c r="Q421" i="262"/>
  <c r="K421" i="262" s="1"/>
  <c r="O421" i="262" s="1"/>
  <c r="P421" i="262"/>
  <c r="S421" i="262"/>
  <c r="T421" i="262"/>
  <c r="U421" i="262"/>
  <c r="W421" i="262"/>
  <c r="V421" i="262" s="1"/>
  <c r="Q422" i="262"/>
  <c r="K422" i="262" s="1"/>
  <c r="O422" i="262" s="1"/>
  <c r="P422" i="262"/>
  <c r="S422" i="262"/>
  <c r="U422" i="262"/>
  <c r="V422" i="262" s="1"/>
  <c r="Q423" i="262"/>
  <c r="K423" i="262" s="1"/>
  <c r="O423" i="262" s="1"/>
  <c r="P423" i="262"/>
  <c r="U423" i="262"/>
  <c r="V423" i="262" s="1"/>
  <c r="Q424" i="262"/>
  <c r="K424" i="262" s="1"/>
  <c r="O424" i="262" s="1"/>
  <c r="P424" i="262"/>
  <c r="U424" i="262"/>
  <c r="V424" i="262" s="1"/>
  <c r="Q425" i="262"/>
  <c r="K425" i="262" s="1"/>
  <c r="O425" i="262" s="1"/>
  <c r="P425" i="262"/>
  <c r="S425" i="262"/>
  <c r="U425" i="262"/>
  <c r="V425" i="262" s="1"/>
  <c r="Q426" i="262"/>
  <c r="K426" i="262" s="1"/>
  <c r="O426" i="262" s="1"/>
  <c r="P426" i="262"/>
  <c r="S426" i="262"/>
  <c r="U426" i="262"/>
  <c r="V426" i="262" s="1"/>
  <c r="Q427" i="262"/>
  <c r="K427" i="262" s="1"/>
  <c r="O427" i="262" s="1"/>
  <c r="P427" i="262"/>
  <c r="T427" i="262"/>
  <c r="U427" i="262"/>
  <c r="V427" i="262" s="1"/>
  <c r="Q428" i="262"/>
  <c r="K428" i="262" s="1"/>
  <c r="P428" i="262"/>
  <c r="U428" i="262"/>
  <c r="V428" i="262" s="1"/>
  <c r="J429" i="262"/>
  <c r="S429" i="262" s="1"/>
  <c r="Q429" i="262"/>
  <c r="K429" i="262" s="1"/>
  <c r="O429" i="262" s="1"/>
  <c r="P429" i="262"/>
  <c r="J430" i="262"/>
  <c r="P430" i="262"/>
  <c r="J431" i="262"/>
  <c r="S431" i="262" s="1"/>
  <c r="Q431" i="262"/>
  <c r="K431" i="262" s="1"/>
  <c r="O431" i="262" s="1"/>
  <c r="P431" i="262"/>
  <c r="Q432" i="262"/>
  <c r="K432" i="262" s="1"/>
  <c r="O432" i="262" s="1"/>
  <c r="P432" i="262"/>
  <c r="S432" i="262"/>
  <c r="U432" i="262"/>
  <c r="V432" i="262"/>
  <c r="Q433" i="262"/>
  <c r="K433" i="262"/>
  <c r="O433" i="262" s="1"/>
  <c r="P433" i="262"/>
  <c r="U433" i="262"/>
  <c r="V433" i="262" s="1"/>
  <c r="Q434" i="262"/>
  <c r="K434" i="262" s="1"/>
  <c r="O434" i="262" s="1"/>
  <c r="P434" i="262"/>
  <c r="S434" i="262"/>
  <c r="U434" i="262"/>
  <c r="V434" i="262"/>
  <c r="Q435" i="262"/>
  <c r="K435" i="262"/>
  <c r="O435" i="262" s="1"/>
  <c r="P435" i="262"/>
  <c r="S435" i="262"/>
  <c r="U435" i="262"/>
  <c r="Q436" i="262"/>
  <c r="K436" i="262" s="1"/>
  <c r="O436" i="262" s="1"/>
  <c r="P436" i="262"/>
  <c r="S436" i="262"/>
  <c r="U436" i="262"/>
  <c r="V436" i="262" s="1"/>
  <c r="Q437" i="262"/>
  <c r="K437" i="262" s="1"/>
  <c r="O437" i="262" s="1"/>
  <c r="P437" i="262"/>
  <c r="S437" i="262"/>
  <c r="U437" i="262"/>
  <c r="V437" i="262" s="1"/>
  <c r="Q438" i="262"/>
  <c r="K438" i="262" s="1"/>
  <c r="O438" i="262" s="1"/>
  <c r="P438" i="262"/>
  <c r="S438" i="262"/>
  <c r="U438" i="262"/>
  <c r="V438" i="262" s="1"/>
  <c r="Q439" i="262"/>
  <c r="K439" i="262" s="1"/>
  <c r="O439" i="262" s="1"/>
  <c r="P439" i="262"/>
  <c r="U439" i="262"/>
  <c r="V439" i="262" s="1"/>
  <c r="H440" i="262"/>
  <c r="I440" i="262"/>
  <c r="N440" i="262"/>
  <c r="Y70" i="261"/>
  <c r="Y34" i="261"/>
  <c r="Y179" i="261"/>
  <c r="Y101" i="261"/>
  <c r="Y100" i="261"/>
  <c r="Y99" i="261"/>
  <c r="Y120" i="261"/>
  <c r="Y119" i="261"/>
  <c r="Y37" i="261"/>
  <c r="Y21" i="261"/>
  <c r="Y8" i="261"/>
  <c r="Y123" i="261"/>
  <c r="Y121" i="261"/>
  <c r="Y146" i="261"/>
  <c r="Y131" i="261"/>
  <c r="Y141" i="261"/>
  <c r="Y40" i="261"/>
  <c r="Y115" i="261"/>
  <c r="Y110" i="261"/>
  <c r="Y83" i="261"/>
  <c r="Y79" i="261"/>
  <c r="Y77" i="261"/>
  <c r="Y75" i="261"/>
  <c r="Y76" i="261"/>
  <c r="X21" i="261"/>
  <c r="X9" i="261"/>
  <c r="X203" i="261"/>
  <c r="X202" i="261"/>
  <c r="X201" i="261"/>
  <c r="X47" i="261"/>
  <c r="X329" i="261"/>
  <c r="R343" i="261"/>
  <c r="K343" i="261" s="1"/>
  <c r="P343" i="261" s="1"/>
  <c r="X298" i="261"/>
  <c r="X232" i="261"/>
  <c r="X228" i="261"/>
  <c r="X225" i="261"/>
  <c r="X338" i="261"/>
  <c r="X403" i="261"/>
  <c r="X402" i="261"/>
  <c r="X57" i="261"/>
  <c r="J437" i="261"/>
  <c r="J433" i="261"/>
  <c r="T433" i="261" s="1"/>
  <c r="J432" i="261"/>
  <c r="T432" i="261" s="1"/>
  <c r="J429" i="261"/>
  <c r="T429" i="261" s="1"/>
  <c r="J428" i="261"/>
  <c r="T428" i="261" s="1"/>
  <c r="J427" i="261"/>
  <c r="T427" i="261" s="1"/>
  <c r="J410" i="261"/>
  <c r="T410" i="261" s="1"/>
  <c r="J406" i="261"/>
  <c r="T406" i="261" s="1"/>
  <c r="J404" i="261"/>
  <c r="T404" i="261" s="1"/>
  <c r="J403" i="261"/>
  <c r="T403" i="261" s="1"/>
  <c r="J402" i="261"/>
  <c r="T402" i="261" s="1"/>
  <c r="J400" i="261"/>
  <c r="T400" i="261" s="1"/>
  <c r="J391" i="261"/>
  <c r="J390" i="261"/>
  <c r="T390" i="261" s="1"/>
  <c r="J387" i="261"/>
  <c r="T387" i="261" s="1"/>
  <c r="J386" i="261"/>
  <c r="T386" i="261" s="1"/>
  <c r="J350" i="261"/>
  <c r="T350" i="261" s="1"/>
  <c r="J343" i="261"/>
  <c r="T343" i="261" s="1"/>
  <c r="J338" i="261"/>
  <c r="T338" i="261" s="1"/>
  <c r="J329" i="261"/>
  <c r="T329" i="261" s="1"/>
  <c r="J328" i="261"/>
  <c r="T328" i="261" s="1"/>
  <c r="J315" i="261"/>
  <c r="T315" i="261" s="1"/>
  <c r="J313" i="261"/>
  <c r="T313" i="261" s="1"/>
  <c r="J309" i="261"/>
  <c r="T309" i="261" s="1"/>
  <c r="J304" i="261"/>
  <c r="T304" i="261" s="1"/>
  <c r="J298" i="261"/>
  <c r="T298" i="261" s="1"/>
  <c r="J265" i="261"/>
  <c r="T265" i="261" s="1"/>
  <c r="J264" i="261"/>
  <c r="T264" i="261" s="1"/>
  <c r="J259" i="261"/>
  <c r="T259" i="261" s="1"/>
  <c r="J256" i="261"/>
  <c r="T256" i="261" s="1"/>
  <c r="J247" i="261"/>
  <c r="T247" i="261" s="1"/>
  <c r="J241" i="261"/>
  <c r="T241" i="261" s="1"/>
  <c r="J234" i="261"/>
  <c r="T234" i="261" s="1"/>
  <c r="J232" i="261"/>
  <c r="T232" i="261" s="1"/>
  <c r="J231" i="261"/>
  <c r="T231" i="261" s="1"/>
  <c r="J228" i="261"/>
  <c r="T228" i="261" s="1"/>
  <c r="J225" i="261"/>
  <c r="T225" i="261" s="1"/>
  <c r="J222" i="261"/>
  <c r="J221" i="261"/>
  <c r="J220" i="261"/>
  <c r="J219" i="261"/>
  <c r="J218" i="261"/>
  <c r="J217" i="261"/>
  <c r="J215" i="261"/>
  <c r="T215" i="261" s="1"/>
  <c r="J211" i="261"/>
  <c r="T211" i="261" s="1"/>
  <c r="J207" i="261"/>
  <c r="T207" i="261" s="1"/>
  <c r="J204" i="261"/>
  <c r="T204" i="261" s="1"/>
  <c r="J202" i="261"/>
  <c r="T202" i="261" s="1"/>
  <c r="J201" i="261"/>
  <c r="T201" i="261" s="1"/>
  <c r="J198" i="261"/>
  <c r="T198" i="261" s="1"/>
  <c r="J197" i="261"/>
  <c r="T197" i="261" s="1"/>
  <c r="J194" i="261"/>
  <c r="T194" i="261" s="1"/>
  <c r="J192" i="261"/>
  <c r="T192" i="261" s="1"/>
  <c r="J191" i="261"/>
  <c r="T191" i="261" s="1"/>
  <c r="J181" i="261"/>
  <c r="T181" i="261" s="1"/>
  <c r="J180" i="261"/>
  <c r="T180" i="261" s="1"/>
  <c r="J176" i="261"/>
  <c r="J175" i="261"/>
  <c r="J164" i="261"/>
  <c r="T164" i="261" s="1"/>
  <c r="J163" i="261"/>
  <c r="T163" i="261" s="1"/>
  <c r="J162" i="261"/>
  <c r="T162" i="261" s="1"/>
  <c r="J161" i="261"/>
  <c r="T161" i="261" s="1"/>
  <c r="J160" i="261"/>
  <c r="T160" i="261" s="1"/>
  <c r="J147" i="261"/>
  <c r="T147" i="261" s="1"/>
  <c r="J145" i="261"/>
  <c r="T145" i="261" s="1"/>
  <c r="J144" i="261"/>
  <c r="T144" i="261" s="1"/>
  <c r="J142" i="261"/>
  <c r="T142" i="261" s="1"/>
  <c r="J141" i="261"/>
  <c r="J140" i="261"/>
  <c r="T140" i="261" s="1"/>
  <c r="J135" i="261"/>
  <c r="T135" i="261" s="1"/>
  <c r="J134" i="261"/>
  <c r="T134" i="261" s="1"/>
  <c r="J133" i="261"/>
  <c r="T133" i="261" s="1"/>
  <c r="J129" i="261"/>
  <c r="T129" i="261" s="1"/>
  <c r="J123" i="261"/>
  <c r="T123" i="261" s="1"/>
  <c r="J121" i="261"/>
  <c r="T121" i="261" s="1"/>
  <c r="J120" i="261"/>
  <c r="T120" i="261" s="1"/>
  <c r="J119" i="261"/>
  <c r="T119" i="261" s="1"/>
  <c r="J118" i="261"/>
  <c r="T118" i="261" s="1"/>
  <c r="J115" i="261"/>
  <c r="J114" i="261"/>
  <c r="J109" i="261"/>
  <c r="T109" i="261" s="1"/>
  <c r="J101" i="261"/>
  <c r="T101" i="261" s="1"/>
  <c r="J100" i="261"/>
  <c r="T100" i="261" s="1"/>
  <c r="J99" i="261"/>
  <c r="T99" i="261" s="1"/>
  <c r="J98" i="261"/>
  <c r="T98" i="261" s="1"/>
  <c r="J92" i="261"/>
  <c r="J85" i="261"/>
  <c r="T85" i="261" s="1"/>
  <c r="J83" i="261"/>
  <c r="T83" i="261" s="1"/>
  <c r="J79" i="261"/>
  <c r="J77" i="261"/>
  <c r="J72" i="261"/>
  <c r="J70" i="261"/>
  <c r="J68" i="261"/>
  <c r="T68" i="261" s="1"/>
  <c r="J67" i="261"/>
  <c r="T67" i="261" s="1"/>
  <c r="J65" i="261"/>
  <c r="T65" i="261" s="1"/>
  <c r="J57" i="261"/>
  <c r="T57" i="261" s="1"/>
  <c r="J52" i="261"/>
  <c r="J50" i="261"/>
  <c r="J47" i="261"/>
  <c r="T47" i="261" s="1"/>
  <c r="J44" i="261"/>
  <c r="T44" i="261" s="1"/>
  <c r="J43" i="261"/>
  <c r="T43" i="261" s="1"/>
  <c r="J41" i="261"/>
  <c r="T41" i="261" s="1"/>
  <c r="J39" i="261"/>
  <c r="T39" i="261" s="1"/>
  <c r="J37" i="261"/>
  <c r="T37" i="261" s="1"/>
  <c r="J22" i="261"/>
  <c r="T22" i="261" s="1"/>
  <c r="J21" i="261"/>
  <c r="T21" i="261" s="1"/>
  <c r="J10" i="261"/>
  <c r="T10" i="261" s="1"/>
  <c r="J9" i="261"/>
  <c r="T9" i="261" s="1"/>
  <c r="J8" i="261"/>
  <c r="H440" i="261"/>
  <c r="R132" i="261"/>
  <c r="K132" i="261" s="1"/>
  <c r="O132" i="261"/>
  <c r="J132" i="261" s="1"/>
  <c r="T132" i="261" s="1"/>
  <c r="O146" i="261"/>
  <c r="N146" i="261"/>
  <c r="O90" i="261"/>
  <c r="O179" i="261"/>
  <c r="J179" i="261"/>
  <c r="T179" i="261" s="1"/>
  <c r="R241" i="261"/>
  <c r="K241" i="261" s="1"/>
  <c r="O252" i="261"/>
  <c r="O239" i="261"/>
  <c r="J239" i="261" s="1"/>
  <c r="T239" i="261" s="1"/>
  <c r="O238" i="261"/>
  <c r="J238" i="261"/>
  <c r="T238" i="261" s="1"/>
  <c r="O203" i="261"/>
  <c r="J203" i="261" s="1"/>
  <c r="T203" i="261" s="1"/>
  <c r="O196" i="261"/>
  <c r="J196" i="261" s="1"/>
  <c r="T196" i="261" s="1"/>
  <c r="O190" i="261"/>
  <c r="J190" i="261" s="1"/>
  <c r="T190" i="261" s="1"/>
  <c r="S176" i="261"/>
  <c r="T176" i="261"/>
  <c r="S175" i="261"/>
  <c r="T175" i="261"/>
  <c r="O143" i="261"/>
  <c r="J143" i="261"/>
  <c r="T143" i="261" s="1"/>
  <c r="S141" i="261"/>
  <c r="T141" i="261" s="1"/>
  <c r="O131" i="261"/>
  <c r="J131" i="261" s="1"/>
  <c r="T131" i="261" s="1"/>
  <c r="O125" i="261"/>
  <c r="J125" i="261"/>
  <c r="T125" i="261" s="1"/>
  <c r="S92" i="261"/>
  <c r="O91" i="261"/>
  <c r="J91" i="261" s="1"/>
  <c r="T91" i="261" s="1"/>
  <c r="S77" i="261"/>
  <c r="T77" i="261"/>
  <c r="S72" i="261"/>
  <c r="T72" i="261"/>
  <c r="S52" i="261"/>
  <c r="T52" i="261"/>
  <c r="S50" i="261"/>
  <c r="T50" i="261"/>
  <c r="O20" i="261"/>
  <c r="J20" i="261"/>
  <c r="T20" i="261" s="1"/>
  <c r="S8" i="261"/>
  <c r="T8" i="261" s="1"/>
  <c r="N440" i="261"/>
  <c r="S222" i="261"/>
  <c r="T222" i="261"/>
  <c r="S221" i="261"/>
  <c r="T221" i="261"/>
  <c r="S220" i="261"/>
  <c r="T220" i="261"/>
  <c r="S219" i="261"/>
  <c r="T219" i="261"/>
  <c r="S218" i="261"/>
  <c r="T218" i="261"/>
  <c r="S217" i="261"/>
  <c r="T217" i="261"/>
  <c r="O7" i="261"/>
  <c r="J7" i="261"/>
  <c r="T7" i="261" s="1"/>
  <c r="R429" i="261"/>
  <c r="R404" i="261"/>
  <c r="K404" i="261" s="1"/>
  <c r="P404" i="261" s="1"/>
  <c r="R400" i="261"/>
  <c r="K400" i="261" s="1"/>
  <c r="R390" i="261"/>
  <c r="R222" i="261"/>
  <c r="K222" i="261" s="1"/>
  <c r="R220" i="261"/>
  <c r="K220" i="261" s="1"/>
  <c r="R218" i="261"/>
  <c r="K218" i="261" s="1"/>
  <c r="R129" i="261"/>
  <c r="R98" i="261"/>
  <c r="R67" i="261"/>
  <c r="K67" i="261" s="1"/>
  <c r="R22" i="261"/>
  <c r="Q404" i="261"/>
  <c r="V404" i="261"/>
  <c r="V218" i="261"/>
  <c r="W218" i="261" s="1"/>
  <c r="Q218" i="261"/>
  <c r="V222" i="261"/>
  <c r="W222" i="261" s="1"/>
  <c r="Q222" i="261"/>
  <c r="V221" i="261"/>
  <c r="W221" i="261" s="1"/>
  <c r="Q221" i="261"/>
  <c r="V220" i="261"/>
  <c r="W220" i="261"/>
  <c r="Q220" i="261"/>
  <c r="V219" i="261"/>
  <c r="W219" i="261" s="1"/>
  <c r="Q219" i="261"/>
  <c r="V217" i="261"/>
  <c r="W217" i="261" s="1"/>
  <c r="Q217" i="261"/>
  <c r="X115" i="261"/>
  <c r="X123" i="261"/>
  <c r="X146" i="261"/>
  <c r="X165" i="261"/>
  <c r="X141" i="261"/>
  <c r="X131" i="261"/>
  <c r="X132" i="261"/>
  <c r="X83" i="261"/>
  <c r="X10" i="261"/>
  <c r="X7" i="261"/>
  <c r="X110" i="261"/>
  <c r="X120" i="261"/>
  <c r="X119" i="261"/>
  <c r="X79" i="261"/>
  <c r="X75" i="261"/>
  <c r="X40" i="261"/>
  <c r="X304" i="261"/>
  <c r="U7" i="261"/>
  <c r="U8" i="261"/>
  <c r="U9" i="261"/>
  <c r="U11" i="261"/>
  <c r="U12" i="261"/>
  <c r="U14" i="261"/>
  <c r="U15" i="261"/>
  <c r="U16" i="261"/>
  <c r="U18" i="261"/>
  <c r="U21" i="261"/>
  <c r="U36" i="261"/>
  <c r="U37" i="261"/>
  <c r="U43" i="261"/>
  <c r="U47" i="261"/>
  <c r="U57" i="261"/>
  <c r="U66" i="261"/>
  <c r="U70" i="261"/>
  <c r="U71" i="261"/>
  <c r="U76" i="261"/>
  <c r="U77" i="261"/>
  <c r="U79" i="261"/>
  <c r="U83" i="261"/>
  <c r="U85" i="261"/>
  <c r="U88" i="261"/>
  <c r="U90" i="261"/>
  <c r="U91" i="261"/>
  <c r="U92" i="261"/>
  <c r="U93" i="261"/>
  <c r="U99" i="261"/>
  <c r="U100" i="261"/>
  <c r="U101" i="261"/>
  <c r="U115" i="261"/>
  <c r="U119" i="261"/>
  <c r="U120" i="261"/>
  <c r="U121" i="261"/>
  <c r="U123" i="261"/>
  <c r="U131" i="261"/>
  <c r="U132" i="261"/>
  <c r="U137" i="261"/>
  <c r="U142" i="261"/>
  <c r="U144" i="261"/>
  <c r="U145" i="261"/>
  <c r="U146" i="261"/>
  <c r="U175" i="261"/>
  <c r="U181" i="261"/>
  <c r="U192" i="261"/>
  <c r="U193" i="261"/>
  <c r="U195" i="261"/>
  <c r="U196" i="261"/>
  <c r="U197" i="261"/>
  <c r="U198" i="261"/>
  <c r="U201" i="261"/>
  <c r="U202" i="261"/>
  <c r="U203" i="261"/>
  <c r="U204" i="261"/>
  <c r="U206" i="261"/>
  <c r="U207" i="261"/>
  <c r="U212" i="261"/>
  <c r="U213" i="261"/>
  <c r="U216" i="261"/>
  <c r="U225" i="261"/>
  <c r="U226" i="261"/>
  <c r="U228" i="261"/>
  <c r="U232" i="261"/>
  <c r="U234" i="261"/>
  <c r="U235" i="261"/>
  <c r="U238" i="261"/>
  <c r="U239" i="261"/>
  <c r="U240" i="261"/>
  <c r="U241" i="261"/>
  <c r="U249" i="261"/>
  <c r="U257" i="261"/>
  <c r="U264" i="261"/>
  <c r="U267" i="261"/>
  <c r="U268" i="261"/>
  <c r="U269" i="261"/>
  <c r="U274" i="261"/>
  <c r="U294" i="261"/>
  <c r="U298" i="261"/>
  <c r="U304" i="261"/>
  <c r="U306" i="261"/>
  <c r="U315" i="261"/>
  <c r="U316" i="261"/>
  <c r="U328" i="261"/>
  <c r="U329" i="261"/>
  <c r="U336" i="261"/>
  <c r="U337" i="261"/>
  <c r="U339" i="261"/>
  <c r="U342" i="261"/>
  <c r="U349" i="261"/>
  <c r="U359" i="261"/>
  <c r="U383" i="261"/>
  <c r="U400" i="261"/>
  <c r="U402" i="261"/>
  <c r="U403" i="261"/>
  <c r="U406" i="261"/>
  <c r="U407" i="261"/>
  <c r="U413" i="261"/>
  <c r="U415" i="261"/>
  <c r="U420" i="261"/>
  <c r="U421" i="261"/>
  <c r="U427" i="261"/>
  <c r="V1" i="261"/>
  <c r="V4" i="261"/>
  <c r="V5" i="261"/>
  <c r="W5" i="261" s="1"/>
  <c r="J6" i="261"/>
  <c r="R6" i="261"/>
  <c r="K6" i="261" s="1"/>
  <c r="L6" i="261" s="1"/>
  <c r="Q6" i="261"/>
  <c r="S6" i="261"/>
  <c r="V6" i="261"/>
  <c r="W6" i="261" s="1"/>
  <c r="R7" i="261"/>
  <c r="K7" i="261" s="1"/>
  <c r="Q7" i="261"/>
  <c r="V7" i="261"/>
  <c r="W7" i="261"/>
  <c r="R8" i="261"/>
  <c r="K8" i="261"/>
  <c r="P8" i="261" s="1"/>
  <c r="Q8" i="261"/>
  <c r="V8" i="261"/>
  <c r="X8" i="261"/>
  <c r="R9" i="261"/>
  <c r="K9" i="261" s="1"/>
  <c r="Q9" i="261"/>
  <c r="V9" i="261"/>
  <c r="R10" i="261"/>
  <c r="K10" i="261" s="1"/>
  <c r="L10" i="261" s="1"/>
  <c r="P10" i="261"/>
  <c r="Q10" i="261"/>
  <c r="V10" i="261"/>
  <c r="J11" i="261"/>
  <c r="L11" i="261"/>
  <c r="P11" i="261"/>
  <c r="Q11" i="261"/>
  <c r="S11" i="261"/>
  <c r="R11" i="261"/>
  <c r="V11" i="261"/>
  <c r="X11" i="261"/>
  <c r="W11" i="261" s="1"/>
  <c r="J12" i="261"/>
  <c r="S12" i="261"/>
  <c r="T12" i="261" s="1"/>
  <c r="Q12" i="261"/>
  <c r="V12" i="261"/>
  <c r="X12" i="261"/>
  <c r="J13" i="261"/>
  <c r="T13" i="261" s="1"/>
  <c r="R13" i="261"/>
  <c r="K13" i="261"/>
  <c r="Q13" i="261"/>
  <c r="V13" i="261"/>
  <c r="W13" i="261" s="1"/>
  <c r="J14" i="261"/>
  <c r="S14" i="261"/>
  <c r="Q14" i="261"/>
  <c r="V14" i="261"/>
  <c r="X14" i="261"/>
  <c r="W14" i="261" s="1"/>
  <c r="J15" i="261"/>
  <c r="S15" i="261"/>
  <c r="R15" i="261" s="1"/>
  <c r="K15" i="261" s="1"/>
  <c r="Q15" i="261"/>
  <c r="V15" i="261"/>
  <c r="X15" i="261"/>
  <c r="W15" i="261" s="1"/>
  <c r="J16" i="261"/>
  <c r="S16" i="261"/>
  <c r="Q16" i="261"/>
  <c r="V16" i="261"/>
  <c r="X16" i="261"/>
  <c r="W16" i="261" s="1"/>
  <c r="J17" i="261"/>
  <c r="Q17" i="261"/>
  <c r="S17" i="261"/>
  <c r="V17" i="261"/>
  <c r="W17" i="261" s="1"/>
  <c r="J18" i="261"/>
  <c r="T18" i="261" s="1"/>
  <c r="R18" i="261"/>
  <c r="K18" i="261" s="1"/>
  <c r="J316" i="261"/>
  <c r="Q18" i="261"/>
  <c r="V18" i="261"/>
  <c r="X18" i="261"/>
  <c r="W18" i="261"/>
  <c r="J19" i="261"/>
  <c r="S19" i="261"/>
  <c r="Q19" i="261"/>
  <c r="V19" i="261"/>
  <c r="W19" i="261" s="1"/>
  <c r="J318" i="261"/>
  <c r="L20" i="261" s="1"/>
  <c r="P20" i="261"/>
  <c r="Q20" i="261"/>
  <c r="R20" i="261"/>
  <c r="V20" i="261"/>
  <c r="W20" i="261"/>
  <c r="R21" i="261"/>
  <c r="K21" i="261"/>
  <c r="P21" i="261" s="1"/>
  <c r="J319" i="261"/>
  <c r="Q21" i="261"/>
  <c r="V21" i="261"/>
  <c r="W21" i="261"/>
  <c r="K22" i="261"/>
  <c r="J320" i="261"/>
  <c r="L22" i="261" s="1"/>
  <c r="P22" i="261"/>
  <c r="Q22" i="261"/>
  <c r="V22" i="261"/>
  <c r="W22" i="261" s="1"/>
  <c r="J23" i="261"/>
  <c r="J321" i="261"/>
  <c r="L23" i="261" s="1"/>
  <c r="P23" i="261"/>
  <c r="Q23" i="261"/>
  <c r="S23" i="261"/>
  <c r="T23" i="261" s="1"/>
  <c r="V23" i="261"/>
  <c r="W23" i="261" s="1"/>
  <c r="J24" i="261"/>
  <c r="T24" i="261" s="1"/>
  <c r="S24" i="261"/>
  <c r="R24" i="261"/>
  <c r="K24" i="261" s="1"/>
  <c r="J322" i="261"/>
  <c r="Q24" i="261"/>
  <c r="V24" i="261"/>
  <c r="W24" i="261" s="1"/>
  <c r="J25" i="261"/>
  <c r="T25" i="261" s="1"/>
  <c r="R25" i="261"/>
  <c r="K25" i="261" s="1"/>
  <c r="P25" i="261" s="1"/>
  <c r="Q25" i="261"/>
  <c r="V25" i="261"/>
  <c r="W25" i="261" s="1"/>
  <c r="J26" i="261"/>
  <c r="R26" i="261"/>
  <c r="K26" i="261" s="1"/>
  <c r="P26" i="261" s="1"/>
  <c r="J324" i="261"/>
  <c r="Q26" i="261"/>
  <c r="T26" i="261"/>
  <c r="V26" i="261"/>
  <c r="W26" i="261" s="1"/>
  <c r="J27" i="261"/>
  <c r="R27" i="261"/>
  <c r="K27" i="261"/>
  <c r="J325" i="261"/>
  <c r="P27" i="261"/>
  <c r="Q27" i="261"/>
  <c r="T27" i="261"/>
  <c r="V27" i="261"/>
  <c r="W27" i="261"/>
  <c r="J28" i="261"/>
  <c r="R28" i="261"/>
  <c r="K28" i="261" s="1"/>
  <c r="P28" i="261" s="1"/>
  <c r="Q28" i="261"/>
  <c r="T28" i="261"/>
  <c r="V28" i="261"/>
  <c r="W28" i="261"/>
  <c r="J29" i="261"/>
  <c r="S29" i="261"/>
  <c r="R29" i="261" s="1"/>
  <c r="K29" i="261" s="1"/>
  <c r="P29" i="261" s="1"/>
  <c r="Q29" i="261"/>
  <c r="V29" i="261"/>
  <c r="W29" i="261" s="1"/>
  <c r="J30" i="261"/>
  <c r="S30" i="261"/>
  <c r="R30" i="261" s="1"/>
  <c r="K30" i="261" s="1"/>
  <c r="P30" i="261" s="1"/>
  <c r="Q30" i="261"/>
  <c r="V30" i="261"/>
  <c r="W30" i="261" s="1"/>
  <c r="J31" i="261"/>
  <c r="P31" i="261"/>
  <c r="Q31" i="261"/>
  <c r="R31" i="261"/>
  <c r="T31" i="261"/>
  <c r="V31" i="261"/>
  <c r="W31" i="261"/>
  <c r="J32" i="261"/>
  <c r="S32" i="261"/>
  <c r="R32" i="261" s="1"/>
  <c r="K32" i="261" s="1"/>
  <c r="P32" i="261" s="1"/>
  <c r="Q32" i="261"/>
  <c r="V32" i="261"/>
  <c r="W32" i="261" s="1"/>
  <c r="J33" i="261"/>
  <c r="S33" i="261"/>
  <c r="R33" i="261" s="1"/>
  <c r="K33" i="261" s="1"/>
  <c r="P33" i="261" s="1"/>
  <c r="Q33" i="261"/>
  <c r="V33" i="261"/>
  <c r="W33" i="261" s="1"/>
  <c r="J34" i="261"/>
  <c r="T34" i="261" s="1"/>
  <c r="R34" i="261"/>
  <c r="K34" i="261" s="1"/>
  <c r="J332" i="261"/>
  <c r="Q34" i="261"/>
  <c r="V34" i="261"/>
  <c r="W34" i="261" s="1"/>
  <c r="J35" i="261"/>
  <c r="S35" i="261"/>
  <c r="R35" i="261" s="1"/>
  <c r="K35" i="261" s="1"/>
  <c r="J333" i="261"/>
  <c r="T333" i="261" s="1"/>
  <c r="Q35" i="261"/>
  <c r="T35" i="261"/>
  <c r="V35" i="261"/>
  <c r="W35" i="261"/>
  <c r="J36" i="261"/>
  <c r="R36" i="261"/>
  <c r="K36" i="261" s="1"/>
  <c r="P36" i="261" s="1"/>
  <c r="Q36" i="261"/>
  <c r="T36" i="261"/>
  <c r="V36" i="261"/>
  <c r="X36" i="261"/>
  <c r="W36" i="261" s="1"/>
  <c r="R37" i="261"/>
  <c r="K37" i="261" s="1"/>
  <c r="P37" i="261" s="1"/>
  <c r="Q37" i="261"/>
  <c r="V37" i="261"/>
  <c r="X37" i="261"/>
  <c r="W37" i="261" s="1"/>
  <c r="J38" i="261"/>
  <c r="R38" i="261"/>
  <c r="K38" i="261" s="1"/>
  <c r="J336" i="261"/>
  <c r="Q38" i="261"/>
  <c r="T38" i="261"/>
  <c r="V38" i="261"/>
  <c r="W38" i="261"/>
  <c r="R39" i="261"/>
  <c r="K39" i="261"/>
  <c r="P39" i="261" s="1"/>
  <c r="J337" i="261"/>
  <c r="Q39" i="261"/>
  <c r="V39" i="261"/>
  <c r="W39" i="261"/>
  <c r="J40" i="261"/>
  <c r="R40" i="261"/>
  <c r="K40" i="261" s="1"/>
  <c r="Q40" i="261"/>
  <c r="T40" i="261"/>
  <c r="V40" i="261"/>
  <c r="J339" i="261"/>
  <c r="L41" i="261" s="1"/>
  <c r="P41" i="261"/>
  <c r="Q41" i="261"/>
  <c r="R41" i="261"/>
  <c r="V41" i="261"/>
  <c r="W41" i="261" s="1"/>
  <c r="J42" i="261"/>
  <c r="T42" i="261" s="1"/>
  <c r="J340" i="261"/>
  <c r="L42" i="261" s="1"/>
  <c r="P42" i="261"/>
  <c r="Q42" i="261"/>
  <c r="R42" i="261"/>
  <c r="V42" i="261"/>
  <c r="W42" i="261" s="1"/>
  <c r="R43" i="261"/>
  <c r="K43" i="261" s="1"/>
  <c r="J341" i="261"/>
  <c r="Q43" i="261"/>
  <c r="V43" i="261"/>
  <c r="X43" i="261"/>
  <c r="W43" i="261"/>
  <c r="K44" i="261"/>
  <c r="J342" i="261"/>
  <c r="L44" i="261" s="1"/>
  <c r="P44" i="261"/>
  <c r="Q44" i="261"/>
  <c r="R44" i="261"/>
  <c r="V44" i="261"/>
  <c r="W44" i="261" s="1"/>
  <c r="J45" i="261"/>
  <c r="S45" i="261"/>
  <c r="R45" i="261" s="1"/>
  <c r="K45" i="261" s="1"/>
  <c r="P45" i="261" s="1"/>
  <c r="Q45" i="261"/>
  <c r="V45" i="261"/>
  <c r="W45" i="261"/>
  <c r="J46" i="261"/>
  <c r="T46" i="261"/>
  <c r="R46" i="261"/>
  <c r="K46" i="261"/>
  <c r="P46" i="261" s="1"/>
  <c r="Q46" i="261"/>
  <c r="V46" i="261"/>
  <c r="K47" i="261"/>
  <c r="P47" i="261" s="1"/>
  <c r="J345" i="261"/>
  <c r="L47" i="261" s="1"/>
  <c r="Q47" i="261"/>
  <c r="R47" i="261"/>
  <c r="V47" i="261"/>
  <c r="W47" i="261" s="1"/>
  <c r="J48" i="261"/>
  <c r="T48" i="261" s="1"/>
  <c r="R48" i="261"/>
  <c r="K48" i="261" s="1"/>
  <c r="P48" i="261" s="1"/>
  <c r="Q48" i="261"/>
  <c r="V48" i="261"/>
  <c r="W48" i="261" s="1"/>
  <c r="J49" i="261"/>
  <c r="T49" i="261" s="1"/>
  <c r="R49" i="261"/>
  <c r="K49" i="261"/>
  <c r="P49" i="261" s="1"/>
  <c r="Q49" i="261"/>
  <c r="V49" i="261"/>
  <c r="W49" i="261" s="1"/>
  <c r="P50" i="261"/>
  <c r="Q50" i="261"/>
  <c r="R50" i="261"/>
  <c r="V50" i="261"/>
  <c r="W50" i="261" s="1"/>
  <c r="J51" i="261"/>
  <c r="S51" i="261"/>
  <c r="R51" i="261" s="1"/>
  <c r="K51" i="261" s="1"/>
  <c r="P51" i="261" s="1"/>
  <c r="Q51" i="261"/>
  <c r="V51" i="261"/>
  <c r="W51" i="261" s="1"/>
  <c r="P52" i="261"/>
  <c r="Q52" i="261"/>
  <c r="R52" i="261"/>
  <c r="V52" i="261"/>
  <c r="W52" i="261"/>
  <c r="J53" i="261"/>
  <c r="T53" i="261"/>
  <c r="S53" i="261"/>
  <c r="R53" i="261"/>
  <c r="K53" i="261" s="1"/>
  <c r="P53" i="261" s="1"/>
  <c r="V53" i="261"/>
  <c r="W53" i="261"/>
  <c r="J54" i="261"/>
  <c r="S54" i="261"/>
  <c r="R54" i="261" s="1"/>
  <c r="K54" i="261" s="1"/>
  <c r="J352" i="261"/>
  <c r="Q54" i="261"/>
  <c r="V54" i="261"/>
  <c r="W54" i="261" s="1"/>
  <c r="J55" i="261"/>
  <c r="T55" i="261" s="1"/>
  <c r="J353" i="261"/>
  <c r="L55" i="261"/>
  <c r="P55" i="261"/>
  <c r="Q55" i="261"/>
  <c r="S55" i="261"/>
  <c r="R55" i="261"/>
  <c r="V55" i="261"/>
  <c r="W55" i="261" s="1"/>
  <c r="J56" i="261"/>
  <c r="T56" i="261" s="1"/>
  <c r="R56" i="261"/>
  <c r="K56" i="261"/>
  <c r="P56" i="261" s="1"/>
  <c r="Q56" i="261"/>
  <c r="V56" i="261"/>
  <c r="R57" i="261"/>
  <c r="K57" i="261"/>
  <c r="J354" i="261"/>
  <c r="Q57" i="261"/>
  <c r="V57" i="261"/>
  <c r="W57" i="261"/>
  <c r="J58" i="261"/>
  <c r="T58" i="261"/>
  <c r="R58" i="261"/>
  <c r="K58" i="261"/>
  <c r="P58" i="261" s="1"/>
  <c r="Q58" i="261"/>
  <c r="V58" i="261"/>
  <c r="W58" i="261" s="1"/>
  <c r="J59" i="261"/>
  <c r="T59" i="261" s="1"/>
  <c r="R59" i="261"/>
  <c r="K59" i="261" s="1"/>
  <c r="P59" i="261" s="1"/>
  <c r="Q59" i="261"/>
  <c r="V59" i="261"/>
  <c r="W59" i="261"/>
  <c r="J60" i="261"/>
  <c r="T60" i="261"/>
  <c r="R60" i="261"/>
  <c r="K60" i="261"/>
  <c r="P60" i="261" s="1"/>
  <c r="Q60" i="261"/>
  <c r="V60" i="261"/>
  <c r="W60" i="261" s="1"/>
  <c r="J61" i="261"/>
  <c r="T61" i="261" s="1"/>
  <c r="R61" i="261"/>
  <c r="K61" i="261" s="1"/>
  <c r="P61" i="261" s="1"/>
  <c r="J358" i="261"/>
  <c r="Q61" i="261"/>
  <c r="V61" i="261"/>
  <c r="W61" i="261" s="1"/>
  <c r="J62" i="261"/>
  <c r="T62" i="261" s="1"/>
  <c r="R62" i="261"/>
  <c r="K62" i="261" s="1"/>
  <c r="P62" i="261" s="1"/>
  <c r="Q62" i="261"/>
  <c r="V62" i="261"/>
  <c r="W62" i="261"/>
  <c r="J63" i="261"/>
  <c r="T63" i="261"/>
  <c r="R63" i="261"/>
  <c r="K63" i="261"/>
  <c r="P63" i="261" s="1"/>
  <c r="J360" i="261"/>
  <c r="Q63" i="261"/>
  <c r="V63" i="261"/>
  <c r="W63" i="261"/>
  <c r="J64" i="261"/>
  <c r="K64" i="261"/>
  <c r="Q64" i="261"/>
  <c r="R64" i="261"/>
  <c r="T64" i="261"/>
  <c r="V64" i="261"/>
  <c r="W64" i="261" s="1"/>
  <c r="R65" i="261"/>
  <c r="K65" i="261" s="1"/>
  <c r="J362" i="261"/>
  <c r="T362" i="261" s="1"/>
  <c r="Q65" i="261"/>
  <c r="V65" i="261"/>
  <c r="W65" i="261" s="1"/>
  <c r="J66" i="261"/>
  <c r="T66" i="261" s="1"/>
  <c r="R66" i="261"/>
  <c r="K66" i="261" s="1"/>
  <c r="P66" i="261" s="1"/>
  <c r="Q66" i="261"/>
  <c r="V66" i="261"/>
  <c r="X66" i="261"/>
  <c r="J364" i="261"/>
  <c r="Q67" i="261"/>
  <c r="V67" i="261"/>
  <c r="W67" i="261"/>
  <c r="R68" i="261"/>
  <c r="K68" i="261"/>
  <c r="P68" i="261" s="1"/>
  <c r="Q68" i="261"/>
  <c r="V68" i="261"/>
  <c r="W68" i="261" s="1"/>
  <c r="J69" i="261"/>
  <c r="T69" i="261" s="1"/>
  <c r="R69" i="261"/>
  <c r="K69" i="261" s="1"/>
  <c r="P69" i="261" s="1"/>
  <c r="J366" i="261"/>
  <c r="Q69" i="261"/>
  <c r="V69" i="261"/>
  <c r="W69" i="261" s="1"/>
  <c r="S70" i="261"/>
  <c r="T70" i="261" s="1"/>
  <c r="J367" i="261"/>
  <c r="T367" i="261" s="1"/>
  <c r="Q70" i="261"/>
  <c r="V70" i="261"/>
  <c r="X70" i="261"/>
  <c r="J71" i="261"/>
  <c r="T71" i="261" s="1"/>
  <c r="S71" i="261"/>
  <c r="R71" i="261"/>
  <c r="K71" i="261" s="1"/>
  <c r="J368" i="261"/>
  <c r="Q71" i="261"/>
  <c r="V71" i="261"/>
  <c r="X71" i="261"/>
  <c r="J369" i="261"/>
  <c r="L72" i="261" s="1"/>
  <c r="P72" i="261"/>
  <c r="Q72" i="261"/>
  <c r="R72" i="261"/>
  <c r="V72" i="261"/>
  <c r="W72" i="261" s="1"/>
  <c r="J73" i="261"/>
  <c r="T73" i="261" s="1"/>
  <c r="R73" i="261"/>
  <c r="K73" i="261" s="1"/>
  <c r="P73" i="261" s="1"/>
  <c r="Q73" i="261"/>
  <c r="V73" i="261"/>
  <c r="W73" i="261" s="1"/>
  <c r="J74" i="261"/>
  <c r="T74" i="261" s="1"/>
  <c r="J371" i="261"/>
  <c r="L74" i="261" s="1"/>
  <c r="P74" i="261"/>
  <c r="Q74" i="261"/>
  <c r="R74" i="261"/>
  <c r="V74" i="261"/>
  <c r="W74" i="261" s="1"/>
  <c r="J75" i="261"/>
  <c r="T75" i="261" s="1"/>
  <c r="R75" i="261"/>
  <c r="K75" i="261" s="1"/>
  <c r="J372" i="261"/>
  <c r="Q75" i="261"/>
  <c r="V75" i="261"/>
  <c r="W75" i="261" s="1"/>
  <c r="J76" i="261"/>
  <c r="T76" i="261" s="1"/>
  <c r="K76" i="261"/>
  <c r="Q76" i="261"/>
  <c r="V76" i="261"/>
  <c r="X76" i="261"/>
  <c r="W76" i="261" s="1"/>
  <c r="R77" i="261"/>
  <c r="K77" i="261" s="1"/>
  <c r="P77" i="261" s="1"/>
  <c r="J374" i="261"/>
  <c r="Q77" i="261"/>
  <c r="V77" i="261"/>
  <c r="X77" i="261"/>
  <c r="J78" i="261"/>
  <c r="T78" i="261" s="1"/>
  <c r="R78" i="261"/>
  <c r="K78" i="261" s="1"/>
  <c r="J375" i="261"/>
  <c r="Q78" i="261"/>
  <c r="V78" i="261"/>
  <c r="W78" i="261" s="1"/>
  <c r="S79" i="261"/>
  <c r="T79" i="261" s="1"/>
  <c r="J376" i="261"/>
  <c r="Q79" i="261"/>
  <c r="V79" i="261"/>
  <c r="W79" i="261" s="1"/>
  <c r="J80" i="261"/>
  <c r="T80" i="261" s="1"/>
  <c r="R80" i="261"/>
  <c r="K80" i="261" s="1"/>
  <c r="P80" i="261" s="1"/>
  <c r="Q80" i="261"/>
  <c r="V80" i="261"/>
  <c r="W80" i="261" s="1"/>
  <c r="J81" i="261"/>
  <c r="T81" i="261" s="1"/>
  <c r="R81" i="261"/>
  <c r="K81" i="261"/>
  <c r="P81" i="261" s="1"/>
  <c r="Q81" i="261"/>
  <c r="V81" i="261"/>
  <c r="W81" i="261" s="1"/>
  <c r="J82" i="261"/>
  <c r="T82" i="261" s="1"/>
  <c r="R82" i="261"/>
  <c r="K82" i="261" s="1"/>
  <c r="P82" i="261" s="1"/>
  <c r="Q82" i="261"/>
  <c r="V82" i="261"/>
  <c r="W82" i="261" s="1"/>
  <c r="R83" i="261"/>
  <c r="K83" i="261" s="1"/>
  <c r="J383" i="261"/>
  <c r="Q83" i="261"/>
  <c r="V83" i="261"/>
  <c r="J84" i="261"/>
  <c r="T84" i="261" s="1"/>
  <c r="R84" i="261"/>
  <c r="K84" i="261"/>
  <c r="J384" i="261"/>
  <c r="Q84" i="261"/>
  <c r="V84" i="261"/>
  <c r="W84" i="261" s="1"/>
  <c r="R85" i="261"/>
  <c r="K85" i="261" s="1"/>
  <c r="J385" i="261"/>
  <c r="Q85" i="261"/>
  <c r="V85" i="261"/>
  <c r="X85" i="261"/>
  <c r="W85" i="261" s="1"/>
  <c r="J86" i="261"/>
  <c r="T86" i="261" s="1"/>
  <c r="R86" i="261"/>
  <c r="K86" i="261" s="1"/>
  <c r="Q86" i="261"/>
  <c r="V86" i="261"/>
  <c r="W86" i="261" s="1"/>
  <c r="J87" i="261"/>
  <c r="T87" i="261" s="1"/>
  <c r="R87" i="261"/>
  <c r="K87" i="261" s="1"/>
  <c r="P87" i="261" s="1"/>
  <c r="Q87" i="261"/>
  <c r="V87" i="261"/>
  <c r="W87" i="261" s="1"/>
  <c r="J88" i="261"/>
  <c r="T88" i="261" s="1"/>
  <c r="J388" i="261"/>
  <c r="L88" i="261"/>
  <c r="P88" i="261"/>
  <c r="Q88" i="261"/>
  <c r="S88" i="261"/>
  <c r="R88" i="261"/>
  <c r="V88" i="261"/>
  <c r="X88" i="261"/>
  <c r="W88" i="261" s="1"/>
  <c r="J89" i="261"/>
  <c r="T89" i="261" s="1"/>
  <c r="J389" i="261"/>
  <c r="L89" i="261" s="1"/>
  <c r="P89" i="261"/>
  <c r="Q89" i="261"/>
  <c r="R89" i="261"/>
  <c r="V89" i="261"/>
  <c r="W89" i="261" s="1"/>
  <c r="R90" i="261"/>
  <c r="K90" i="261" s="1"/>
  <c r="Q90" i="261"/>
  <c r="V90" i="261"/>
  <c r="X90" i="261"/>
  <c r="W90" i="261" s="1"/>
  <c r="P91" i="261"/>
  <c r="Q91" i="261"/>
  <c r="R91" i="261"/>
  <c r="V91" i="261"/>
  <c r="X91" i="261"/>
  <c r="W91" i="261" s="1"/>
  <c r="R92" i="261"/>
  <c r="K92" i="261" s="1"/>
  <c r="J392" i="261"/>
  <c r="Q92" i="261"/>
  <c r="V92" i="261"/>
  <c r="X92" i="261"/>
  <c r="J93" i="261"/>
  <c r="S93" i="261"/>
  <c r="R93" i="261"/>
  <c r="K93" i="261" s="1"/>
  <c r="P93" i="261" s="1"/>
  <c r="Q93" i="261"/>
  <c r="V93" i="261"/>
  <c r="X93" i="261"/>
  <c r="W93" i="261"/>
  <c r="J94" i="261"/>
  <c r="R94" i="261"/>
  <c r="K94" i="261" s="1"/>
  <c r="P94" i="261" s="1"/>
  <c r="Q94" i="261"/>
  <c r="T94" i="261"/>
  <c r="V94" i="261"/>
  <c r="W94" i="261"/>
  <c r="J95" i="261"/>
  <c r="R95" i="261"/>
  <c r="K95" i="261" s="1"/>
  <c r="P95" i="261" s="1"/>
  <c r="Q95" i="261"/>
  <c r="T95" i="261"/>
  <c r="V95" i="261"/>
  <c r="W95" i="261"/>
  <c r="J96" i="261"/>
  <c r="S96" i="261"/>
  <c r="R96" i="261" s="1"/>
  <c r="K96" i="261" s="1"/>
  <c r="P96" i="261" s="1"/>
  <c r="Q96" i="261"/>
  <c r="V96" i="261"/>
  <c r="W96" i="261" s="1"/>
  <c r="J97" i="261"/>
  <c r="T97" i="261" s="1"/>
  <c r="R97" i="261"/>
  <c r="K97" i="261" s="1"/>
  <c r="P97" i="261" s="1"/>
  <c r="Q97" i="261"/>
  <c r="V97" i="261"/>
  <c r="W97" i="261"/>
  <c r="K98" i="261"/>
  <c r="P98" i="261"/>
  <c r="Q98" i="261"/>
  <c r="V98" i="261"/>
  <c r="W98" i="261" s="1"/>
  <c r="R99" i="261"/>
  <c r="K99" i="261" s="1"/>
  <c r="J399" i="261"/>
  <c r="T399" i="261" s="1"/>
  <c r="Q99" i="261"/>
  <c r="V99" i="261"/>
  <c r="X99" i="261"/>
  <c r="W99" i="261"/>
  <c r="R100" i="261"/>
  <c r="K100" i="261"/>
  <c r="Q100" i="261"/>
  <c r="V100" i="261"/>
  <c r="X100" i="261"/>
  <c r="W100" i="261"/>
  <c r="R101" i="261"/>
  <c r="K101" i="261"/>
  <c r="J401" i="261"/>
  <c r="Q101" i="261"/>
  <c r="V101" i="261"/>
  <c r="X101" i="261"/>
  <c r="W101" i="261" s="1"/>
  <c r="J102" i="261"/>
  <c r="R102" i="261"/>
  <c r="K102" i="261" s="1"/>
  <c r="Q102" i="261"/>
  <c r="T102" i="261"/>
  <c r="V102" i="261"/>
  <c r="W102" i="261" s="1"/>
  <c r="J103" i="261"/>
  <c r="T103" i="261" s="1"/>
  <c r="R103" i="261"/>
  <c r="K103" i="261" s="1"/>
  <c r="Q103" i="261"/>
  <c r="V103" i="261"/>
  <c r="W103" i="261" s="1"/>
  <c r="J104" i="261"/>
  <c r="T104" i="261" s="1"/>
  <c r="R104" i="261"/>
  <c r="K104" i="261" s="1"/>
  <c r="J405" i="261"/>
  <c r="T405" i="261" s="1"/>
  <c r="Q104" i="261"/>
  <c r="V104" i="261"/>
  <c r="W104" i="261" s="1"/>
  <c r="J105" i="261"/>
  <c r="R105" i="261"/>
  <c r="K105" i="261" s="1"/>
  <c r="Q105" i="261"/>
  <c r="T105" i="261"/>
  <c r="V105" i="261"/>
  <c r="W105" i="261" s="1"/>
  <c r="J106" i="261"/>
  <c r="T106" i="261" s="1"/>
  <c r="R106" i="261"/>
  <c r="K106" i="261" s="1"/>
  <c r="P106" i="261" s="1"/>
  <c r="J407" i="261"/>
  <c r="T407" i="261" s="1"/>
  <c r="Q106" i="261"/>
  <c r="V106" i="261"/>
  <c r="W106" i="261" s="1"/>
  <c r="J107" i="261"/>
  <c r="P107" i="261"/>
  <c r="Q107" i="261"/>
  <c r="R107" i="261"/>
  <c r="T107" i="261"/>
  <c r="V107" i="261"/>
  <c r="W107" i="261" s="1"/>
  <c r="J108" i="261"/>
  <c r="T108" i="261" s="1"/>
  <c r="R108" i="261"/>
  <c r="K108" i="261"/>
  <c r="P108" i="261" s="1"/>
  <c r="Q108" i="261"/>
  <c r="V108" i="261"/>
  <c r="W108" i="261" s="1"/>
  <c r="R109" i="261"/>
  <c r="K109" i="261" s="1"/>
  <c r="P109" i="261" s="1"/>
  <c r="Q109" i="261"/>
  <c r="V109" i="261"/>
  <c r="W109" i="261" s="1"/>
  <c r="J110" i="261"/>
  <c r="T110" i="261" s="1"/>
  <c r="R110" i="261"/>
  <c r="K110" i="261"/>
  <c r="J411" i="261"/>
  <c r="Q110" i="261"/>
  <c r="V110" i="261"/>
  <c r="W110" i="261" s="1"/>
  <c r="J111" i="261"/>
  <c r="Q111" i="261"/>
  <c r="T111" i="261"/>
  <c r="V111" i="261"/>
  <c r="J112" i="261"/>
  <c r="T112" i="261" s="1"/>
  <c r="R112" i="261"/>
  <c r="K112" i="261"/>
  <c r="J413" i="261"/>
  <c r="Q112" i="261"/>
  <c r="V112" i="261"/>
  <c r="W112" i="261" s="1"/>
  <c r="J113" i="261"/>
  <c r="T113" i="261" s="1"/>
  <c r="R113" i="261"/>
  <c r="K113" i="261"/>
  <c r="J414" i="261"/>
  <c r="Q113" i="261"/>
  <c r="V113" i="261"/>
  <c r="W113" i="261" s="1"/>
  <c r="S114" i="261"/>
  <c r="Q114" i="261"/>
  <c r="V114" i="261"/>
  <c r="W114" i="261" s="1"/>
  <c r="S115" i="261"/>
  <c r="T115" i="261" s="1"/>
  <c r="Q115" i="261"/>
  <c r="V115" i="261"/>
  <c r="W115" i="261" s="1"/>
  <c r="J116" i="261"/>
  <c r="P116" i="261"/>
  <c r="Q116" i="261"/>
  <c r="R116" i="261"/>
  <c r="T116" i="261"/>
  <c r="V116" i="261"/>
  <c r="W116" i="261" s="1"/>
  <c r="J117" i="261"/>
  <c r="T117" i="261" s="1"/>
  <c r="R117" i="261"/>
  <c r="K117" i="261" s="1"/>
  <c r="P117" i="261" s="1"/>
  <c r="Q117" i="261"/>
  <c r="V117" i="261"/>
  <c r="W117" i="261" s="1"/>
  <c r="P118" i="261"/>
  <c r="Q118" i="261"/>
  <c r="R118" i="261"/>
  <c r="V118" i="261"/>
  <c r="W118" i="261"/>
  <c r="R119" i="261"/>
  <c r="K119" i="261"/>
  <c r="P119" i="261" s="1"/>
  <c r="J420" i="261"/>
  <c r="Q119" i="261"/>
  <c r="V119" i="261"/>
  <c r="W119" i="261"/>
  <c r="R120" i="261"/>
  <c r="K120" i="261"/>
  <c r="P120" i="261" s="1"/>
  <c r="J421" i="261"/>
  <c r="Q120" i="261"/>
  <c r="V120" i="261"/>
  <c r="W120" i="261"/>
  <c r="J422" i="261"/>
  <c r="L121" i="261"/>
  <c r="P121" i="261"/>
  <c r="Q121" i="261"/>
  <c r="R121" i="261"/>
  <c r="V121" i="261"/>
  <c r="W121" i="261" s="1"/>
  <c r="J122" i="261"/>
  <c r="T122" i="261" s="1"/>
  <c r="R122" i="261"/>
  <c r="K122" i="261" s="1"/>
  <c r="J423" i="261"/>
  <c r="Q122" i="261"/>
  <c r="V122" i="261"/>
  <c r="W122" i="261" s="1"/>
  <c r="R123" i="261"/>
  <c r="K123" i="261" s="1"/>
  <c r="J424" i="261"/>
  <c r="Q123" i="261"/>
  <c r="V123" i="261"/>
  <c r="J124" i="261"/>
  <c r="T124" i="261" s="1"/>
  <c r="R124" i="261"/>
  <c r="K124" i="261" s="1"/>
  <c r="J425" i="261"/>
  <c r="Q124" i="261"/>
  <c r="V124" i="261"/>
  <c r="W124" i="261" s="1"/>
  <c r="R125" i="261"/>
  <c r="K125" i="261" s="1"/>
  <c r="J426" i="261"/>
  <c r="Q125" i="261"/>
  <c r="V125" i="261"/>
  <c r="W125" i="261" s="1"/>
  <c r="J126" i="261"/>
  <c r="T126" i="261" s="1"/>
  <c r="L126" i="261"/>
  <c r="P126" i="261"/>
  <c r="Q126" i="261"/>
  <c r="R126" i="261"/>
  <c r="V126" i="261"/>
  <c r="W126" i="261" s="1"/>
  <c r="J127" i="261"/>
  <c r="R127" i="261"/>
  <c r="K127" i="261" s="1"/>
  <c r="P127" i="261"/>
  <c r="Q127" i="261"/>
  <c r="T127" i="261"/>
  <c r="V127" i="261"/>
  <c r="W127" i="261"/>
  <c r="J128" i="261"/>
  <c r="R128" i="261"/>
  <c r="K128" i="261" s="1"/>
  <c r="Q128" i="261"/>
  <c r="T128" i="261"/>
  <c r="V128" i="261"/>
  <c r="W128" i="261" s="1"/>
  <c r="K129" i="261"/>
  <c r="Q129" i="261"/>
  <c r="V129" i="261"/>
  <c r="W129" i="261" s="1"/>
  <c r="J130" i="261"/>
  <c r="T130" i="261" s="1"/>
  <c r="R130" i="261"/>
  <c r="K130" i="261" s="1"/>
  <c r="J434" i="261"/>
  <c r="Q130" i="261"/>
  <c r="V130" i="261"/>
  <c r="W130" i="261" s="1"/>
  <c r="R131" i="261"/>
  <c r="K131" i="261" s="1"/>
  <c r="J435" i="261"/>
  <c r="Q131" i="261"/>
  <c r="V131" i="261"/>
  <c r="W131" i="261" s="1"/>
  <c r="J436" i="261"/>
  <c r="Q132" i="261"/>
  <c r="V132" i="261"/>
  <c r="W132" i="261"/>
  <c r="Q133" i="261"/>
  <c r="R133" i="261"/>
  <c r="V133" i="261"/>
  <c r="W133" i="261" s="1"/>
  <c r="R134" i="261"/>
  <c r="K134" i="261" s="1"/>
  <c r="J438" i="261"/>
  <c r="Q134" i="261"/>
  <c r="V134" i="261"/>
  <c r="W134" i="261" s="1"/>
  <c r="R135" i="261"/>
  <c r="K135" i="261" s="1"/>
  <c r="J439" i="261"/>
  <c r="T439" i="261" s="1"/>
  <c r="Q135" i="261"/>
  <c r="V135" i="261"/>
  <c r="W135" i="261" s="1"/>
  <c r="J136" i="261"/>
  <c r="T136" i="261" s="1"/>
  <c r="R136" i="261"/>
  <c r="K136" i="261" s="1"/>
  <c r="J440" i="261"/>
  <c r="Q136" i="261"/>
  <c r="V136" i="261"/>
  <c r="W136" i="261" s="1"/>
  <c r="J137" i="261"/>
  <c r="T137" i="261" s="1"/>
  <c r="R137" i="261"/>
  <c r="K137" i="261" s="1"/>
  <c r="J441" i="261"/>
  <c r="Q137" i="261"/>
  <c r="V137" i="261"/>
  <c r="X137" i="261"/>
  <c r="W137" i="261"/>
  <c r="J138" i="261"/>
  <c r="R138" i="261"/>
  <c r="K138" i="261" s="1"/>
  <c r="Q138" i="261"/>
  <c r="T138" i="261"/>
  <c r="V138" i="261"/>
  <c r="W138" i="261" s="1"/>
  <c r="J139" i="261"/>
  <c r="T139" i="261" s="1"/>
  <c r="R139" i="261"/>
  <c r="K139" i="261"/>
  <c r="Q139" i="261"/>
  <c r="V139" i="261"/>
  <c r="W139" i="261" s="1"/>
  <c r="L140" i="261"/>
  <c r="Q140" i="261"/>
  <c r="R140" i="261"/>
  <c r="V140" i="261"/>
  <c r="W140" i="261" s="1"/>
  <c r="R141" i="261"/>
  <c r="K141" i="261" s="1"/>
  <c r="Q141" i="261"/>
  <c r="V141" i="261"/>
  <c r="W141" i="261" s="1"/>
  <c r="R142" i="261"/>
  <c r="K142" i="261" s="1"/>
  <c r="Q142" i="261"/>
  <c r="V142" i="261"/>
  <c r="X142" i="261"/>
  <c r="W142" i="261"/>
  <c r="L143" i="261"/>
  <c r="Q143" i="261"/>
  <c r="R143" i="261"/>
  <c r="V143" i="261"/>
  <c r="W143" i="261" s="1"/>
  <c r="L144" i="261"/>
  <c r="Q144" i="261"/>
  <c r="R144" i="261"/>
  <c r="V144" i="261"/>
  <c r="X144" i="261"/>
  <c r="L145" i="261"/>
  <c r="Q145" i="261"/>
  <c r="R145" i="261"/>
  <c r="V145" i="261"/>
  <c r="X145" i="261"/>
  <c r="W145" i="261" s="1"/>
  <c r="R146" i="261"/>
  <c r="K146" i="261" s="1"/>
  <c r="Q146" i="261"/>
  <c r="L147" i="261"/>
  <c r="P147" i="261"/>
  <c r="Q147" i="261"/>
  <c r="R147" i="261"/>
  <c r="V147" i="261"/>
  <c r="W147" i="261"/>
  <c r="J148" i="261"/>
  <c r="S148" i="261"/>
  <c r="Q148" i="261"/>
  <c r="V148" i="261"/>
  <c r="W148" i="261" s="1"/>
  <c r="J149" i="261"/>
  <c r="S149" i="261"/>
  <c r="Q149" i="261"/>
  <c r="V149" i="261"/>
  <c r="W149" i="261" s="1"/>
  <c r="J150" i="261"/>
  <c r="S150" i="261"/>
  <c r="Q150" i="261"/>
  <c r="V150" i="261"/>
  <c r="W150" i="261" s="1"/>
  <c r="J151" i="261"/>
  <c r="S151" i="261"/>
  <c r="Q151" i="261"/>
  <c r="V151" i="261"/>
  <c r="W151" i="261"/>
  <c r="J152" i="261"/>
  <c r="S152" i="261"/>
  <c r="Q152" i="261"/>
  <c r="V152" i="261"/>
  <c r="W152" i="261" s="1"/>
  <c r="J153" i="261"/>
  <c r="S153" i="261"/>
  <c r="Q153" i="261"/>
  <c r="V153" i="261"/>
  <c r="W153" i="261" s="1"/>
  <c r="J154" i="261"/>
  <c r="S154" i="261"/>
  <c r="Q154" i="261"/>
  <c r="V154" i="261"/>
  <c r="W154" i="261" s="1"/>
  <c r="J155" i="261"/>
  <c r="S155" i="261"/>
  <c r="Q155" i="261"/>
  <c r="V155" i="261"/>
  <c r="W155" i="261"/>
  <c r="J156" i="261"/>
  <c r="S156" i="261"/>
  <c r="Q156" i="261"/>
  <c r="V156" i="261"/>
  <c r="W156" i="261" s="1"/>
  <c r="J157" i="261"/>
  <c r="S157" i="261"/>
  <c r="Q157" i="261"/>
  <c r="V157" i="261"/>
  <c r="W157" i="261" s="1"/>
  <c r="J158" i="261"/>
  <c r="S158" i="261"/>
  <c r="Q158" i="261"/>
  <c r="V158" i="261"/>
  <c r="W158" i="261" s="1"/>
  <c r="J159" i="261"/>
  <c r="S159" i="261"/>
  <c r="Q159" i="261"/>
  <c r="V159" i="261"/>
  <c r="W159" i="261"/>
  <c r="R160" i="261"/>
  <c r="K160" i="261"/>
  <c r="P160" i="261" s="1"/>
  <c r="Q160" i="261"/>
  <c r="V160" i="261"/>
  <c r="W160" i="261" s="1"/>
  <c r="R161" i="261"/>
  <c r="K161" i="261" s="1"/>
  <c r="L161" i="261" s="1"/>
  <c r="Q161" i="261"/>
  <c r="V161" i="261"/>
  <c r="W161" i="261"/>
  <c r="R162" i="261"/>
  <c r="K162" i="261"/>
  <c r="P162" i="261" s="1"/>
  <c r="Q162" i="261"/>
  <c r="V162" i="261"/>
  <c r="W162" i="261" s="1"/>
  <c r="R163" i="261"/>
  <c r="K163" i="261" s="1"/>
  <c r="L163" i="261" s="1"/>
  <c r="Q163" i="261"/>
  <c r="V163" i="261"/>
  <c r="W163" i="261"/>
  <c r="R164" i="261"/>
  <c r="K164" i="261"/>
  <c r="P164" i="261" s="1"/>
  <c r="Q164" i="261"/>
  <c r="V164" i="261"/>
  <c r="W164" i="261" s="1"/>
  <c r="J165" i="261"/>
  <c r="T165" i="261" s="1"/>
  <c r="R165" i="261"/>
  <c r="K165" i="261" s="1"/>
  <c r="P165" i="261" s="1"/>
  <c r="Q165" i="261"/>
  <c r="V165" i="261"/>
  <c r="J166" i="261"/>
  <c r="R166" i="261"/>
  <c r="K166" i="261" s="1"/>
  <c r="Q166" i="261"/>
  <c r="J167" i="261"/>
  <c r="R167" i="261"/>
  <c r="K167" i="261" s="1"/>
  <c r="Q167" i="261"/>
  <c r="T167" i="261"/>
  <c r="V167" i="261"/>
  <c r="W167" i="261" s="1"/>
  <c r="J168" i="261"/>
  <c r="T168" i="261" s="1"/>
  <c r="R168" i="261"/>
  <c r="K168" i="261"/>
  <c r="P168" i="261" s="1"/>
  <c r="Q168" i="261"/>
  <c r="V168" i="261"/>
  <c r="W168" i="261" s="1"/>
  <c r="J169" i="261"/>
  <c r="R169" i="261"/>
  <c r="K169" i="261" s="1"/>
  <c r="Q169" i="261"/>
  <c r="T169" i="261"/>
  <c r="V169" i="261"/>
  <c r="W169" i="261"/>
  <c r="J170" i="261"/>
  <c r="R170" i="261"/>
  <c r="K170" i="261" s="1"/>
  <c r="P170" i="261" s="1"/>
  <c r="Q170" i="261"/>
  <c r="T170" i="261"/>
  <c r="V170" i="261"/>
  <c r="W170" i="261"/>
  <c r="J171" i="261"/>
  <c r="R171" i="261"/>
  <c r="K171" i="261" s="1"/>
  <c r="Q171" i="261"/>
  <c r="T171" i="261"/>
  <c r="V171" i="261"/>
  <c r="W171" i="261" s="1"/>
  <c r="J172" i="261"/>
  <c r="T172" i="261" s="1"/>
  <c r="R172" i="261"/>
  <c r="K172" i="261"/>
  <c r="P172" i="261" s="1"/>
  <c r="Q172" i="261"/>
  <c r="V172" i="261"/>
  <c r="W172" i="261" s="1"/>
  <c r="J173" i="261"/>
  <c r="R173" i="261"/>
  <c r="K173" i="261" s="1"/>
  <c r="L173" i="261" s="1"/>
  <c r="P173" i="261"/>
  <c r="Q173" i="261"/>
  <c r="T173" i="261"/>
  <c r="V173" i="261"/>
  <c r="W173" i="261"/>
  <c r="J174" i="261"/>
  <c r="R174" i="261"/>
  <c r="K174" i="261" s="1"/>
  <c r="P174" i="261" s="1"/>
  <c r="Q174" i="261"/>
  <c r="T174" i="261"/>
  <c r="V174" i="261"/>
  <c r="W174" i="261"/>
  <c r="R175" i="261"/>
  <c r="K175" i="261"/>
  <c r="Q175" i="261"/>
  <c r="V175" i="261"/>
  <c r="X175" i="261"/>
  <c r="W175" i="261" s="1"/>
  <c r="R176" i="261"/>
  <c r="K176" i="261" s="1"/>
  <c r="P176" i="261" s="1"/>
  <c r="Q176" i="261"/>
  <c r="V176" i="261"/>
  <c r="W176" i="261"/>
  <c r="J177" i="261"/>
  <c r="R177" i="261"/>
  <c r="K177" i="261" s="1"/>
  <c r="P177" i="261" s="1"/>
  <c r="Q177" i="261"/>
  <c r="T177" i="261"/>
  <c r="V177" i="261"/>
  <c r="W177" i="261"/>
  <c r="J178" i="261"/>
  <c r="R178" i="261"/>
  <c r="K178" i="261" s="1"/>
  <c r="Q178" i="261"/>
  <c r="T178" i="261"/>
  <c r="V178" i="261"/>
  <c r="W178" i="261" s="1"/>
  <c r="R179" i="261"/>
  <c r="K179" i="261" s="1"/>
  <c r="L179" i="261" s="1"/>
  <c r="Q179" i="261"/>
  <c r="V179" i="261"/>
  <c r="W179" i="261" s="1"/>
  <c r="L180" i="261"/>
  <c r="P180" i="261"/>
  <c r="Q180" i="261"/>
  <c r="R180" i="261"/>
  <c r="V180" i="261"/>
  <c r="W180" i="261" s="1"/>
  <c r="R181" i="261"/>
  <c r="K181" i="261" s="1"/>
  <c r="Q181" i="261"/>
  <c r="V181" i="261"/>
  <c r="X181" i="261"/>
  <c r="J182" i="261"/>
  <c r="T182" i="261" s="1"/>
  <c r="R182" i="261"/>
  <c r="K182" i="261" s="1"/>
  <c r="L182" i="261" s="1"/>
  <c r="Q182" i="261"/>
  <c r="V182" i="261"/>
  <c r="W182" i="261" s="1"/>
  <c r="J183" i="261"/>
  <c r="T183" i="261" s="1"/>
  <c r="R183" i="261"/>
  <c r="K183" i="261"/>
  <c r="Q183" i="261"/>
  <c r="V183" i="261"/>
  <c r="W183" i="261" s="1"/>
  <c r="J184" i="261"/>
  <c r="T184" i="261" s="1"/>
  <c r="R184" i="261"/>
  <c r="K184" i="261" s="1"/>
  <c r="L184" i="261" s="1"/>
  <c r="Q184" i="261"/>
  <c r="V184" i="261"/>
  <c r="W184" i="261"/>
  <c r="J185" i="261"/>
  <c r="R185" i="261"/>
  <c r="K185" i="261" s="1"/>
  <c r="Q185" i="261"/>
  <c r="T185" i="261"/>
  <c r="V185" i="261"/>
  <c r="W185" i="261" s="1"/>
  <c r="J186" i="261"/>
  <c r="P186" i="261"/>
  <c r="Q186" i="261"/>
  <c r="R186" i="261"/>
  <c r="T186" i="261"/>
  <c r="V186" i="261"/>
  <c r="W186" i="261"/>
  <c r="J187" i="261"/>
  <c r="R187" i="261"/>
  <c r="K187" i="261" s="1"/>
  <c r="P187" i="261" s="1"/>
  <c r="Q187" i="261"/>
  <c r="T187" i="261"/>
  <c r="V187" i="261"/>
  <c r="W187" i="261"/>
  <c r="J188" i="261"/>
  <c r="R188" i="261"/>
  <c r="K188" i="261" s="1"/>
  <c r="P188" i="261" s="1"/>
  <c r="Q188" i="261"/>
  <c r="T188" i="261"/>
  <c r="V188" i="261"/>
  <c r="W188" i="261"/>
  <c r="J189" i="261"/>
  <c r="R189" i="261"/>
  <c r="K189" i="261" s="1"/>
  <c r="P189" i="261" s="1"/>
  <c r="Q189" i="261"/>
  <c r="T189" i="261"/>
  <c r="V189" i="261"/>
  <c r="W189" i="261"/>
  <c r="R190" i="261"/>
  <c r="K190" i="261"/>
  <c r="Q190" i="261"/>
  <c r="V190" i="261"/>
  <c r="W190" i="261" s="1"/>
  <c r="L191" i="261"/>
  <c r="P191" i="261"/>
  <c r="Q191" i="261"/>
  <c r="R191" i="261"/>
  <c r="V191" i="261"/>
  <c r="W191" i="261" s="1"/>
  <c r="R192" i="261"/>
  <c r="K192" i="261" s="1"/>
  <c r="Q192" i="261"/>
  <c r="V192" i="261"/>
  <c r="X192" i="261"/>
  <c r="W192" i="261" s="1"/>
  <c r="J193" i="261"/>
  <c r="T193" i="261" s="1"/>
  <c r="R193" i="261"/>
  <c r="K193" i="261" s="1"/>
  <c r="P193" i="261" s="1"/>
  <c r="Q193" i="261"/>
  <c r="V193" i="261"/>
  <c r="X193" i="261"/>
  <c r="W193" i="261" s="1"/>
  <c r="L194" i="261"/>
  <c r="P194" i="261"/>
  <c r="Q194" i="261"/>
  <c r="R194" i="261"/>
  <c r="V194" i="261"/>
  <c r="W194" i="261" s="1"/>
  <c r="J195" i="261"/>
  <c r="T195" i="261" s="1"/>
  <c r="R195" i="261"/>
  <c r="K195" i="261" s="1"/>
  <c r="Q195" i="261"/>
  <c r="V195" i="261"/>
  <c r="X195" i="261"/>
  <c r="W195" i="261"/>
  <c r="L196" i="261"/>
  <c r="P196" i="261"/>
  <c r="Q196" i="261"/>
  <c r="R196" i="261"/>
  <c r="V196" i="261"/>
  <c r="X196" i="261"/>
  <c r="W196" i="261" s="1"/>
  <c r="R197" i="261"/>
  <c r="K197" i="261" s="1"/>
  <c r="Q197" i="261"/>
  <c r="V197" i="261"/>
  <c r="X197" i="261"/>
  <c r="W197" i="261" s="1"/>
  <c r="L198" i="261"/>
  <c r="P198" i="261"/>
  <c r="Q198" i="261"/>
  <c r="R198" i="261"/>
  <c r="V198" i="261"/>
  <c r="X198" i="261"/>
  <c r="W198" i="261" s="1"/>
  <c r="J199" i="261"/>
  <c r="T199" i="261" s="1"/>
  <c r="R199" i="261"/>
  <c r="K199" i="261" s="1"/>
  <c r="Q199" i="261"/>
  <c r="V199" i="261"/>
  <c r="W199" i="261" s="1"/>
  <c r="J200" i="261"/>
  <c r="T200" i="261" s="1"/>
  <c r="R200" i="261"/>
  <c r="K200" i="261" s="1"/>
  <c r="P200" i="261" s="1"/>
  <c r="Q200" i="261"/>
  <c r="V200" i="261"/>
  <c r="W200" i="261" s="1"/>
  <c r="R201" i="261"/>
  <c r="K201" i="261" s="1"/>
  <c r="Q201" i="261"/>
  <c r="V201" i="261"/>
  <c r="W201" i="261" s="1"/>
  <c r="R202" i="261"/>
  <c r="K202" i="261" s="1"/>
  <c r="L202" i="261" s="1"/>
  <c r="P202" i="261"/>
  <c r="Q202" i="261"/>
  <c r="V202" i="261"/>
  <c r="W202" i="261" s="1"/>
  <c r="L203" i="261"/>
  <c r="P203" i="261"/>
  <c r="Q203" i="261"/>
  <c r="R203" i="261"/>
  <c r="V203" i="261"/>
  <c r="W203" i="261" s="1"/>
  <c r="R204" i="261"/>
  <c r="K204" i="261" s="1"/>
  <c r="P204" i="261" s="1"/>
  <c r="Q204" i="261"/>
  <c r="V204" i="261"/>
  <c r="X204" i="261"/>
  <c r="W204" i="261"/>
  <c r="J205" i="261"/>
  <c r="R205" i="261"/>
  <c r="K205" i="261" s="1"/>
  <c r="Q205" i="261"/>
  <c r="T205" i="261"/>
  <c r="V205" i="261"/>
  <c r="W205" i="261" s="1"/>
  <c r="J206" i="261"/>
  <c r="T206" i="261" s="1"/>
  <c r="R206" i="261"/>
  <c r="K206" i="261"/>
  <c r="Q206" i="261"/>
  <c r="V206" i="261"/>
  <c r="W206" i="261" s="1"/>
  <c r="R207" i="261"/>
  <c r="K207" i="261" s="1"/>
  <c r="L207" i="261" s="1"/>
  <c r="P207" i="261"/>
  <c r="Q207" i="261"/>
  <c r="V207" i="261"/>
  <c r="X207" i="261"/>
  <c r="W207" i="261"/>
  <c r="J208" i="261"/>
  <c r="R208" i="261"/>
  <c r="K208" i="261" s="1"/>
  <c r="Q208" i="261"/>
  <c r="T208" i="261"/>
  <c r="V208" i="261"/>
  <c r="W208" i="261" s="1"/>
  <c r="J209" i="261"/>
  <c r="T209" i="261" s="1"/>
  <c r="R209" i="261"/>
  <c r="K209" i="261"/>
  <c r="Q209" i="261"/>
  <c r="V209" i="261"/>
  <c r="W209" i="261" s="1"/>
  <c r="J210" i="261"/>
  <c r="T210" i="261" s="1"/>
  <c r="R210" i="261"/>
  <c r="K210" i="261" s="1"/>
  <c r="Q210" i="261"/>
  <c r="V210" i="261"/>
  <c r="W210" i="261" s="1"/>
  <c r="R211" i="261"/>
  <c r="K211" i="261" s="1"/>
  <c r="Q211" i="261"/>
  <c r="V211" i="261"/>
  <c r="W211" i="261"/>
  <c r="J212" i="261"/>
  <c r="R212" i="261"/>
  <c r="K212" i="261" s="1"/>
  <c r="Q212" i="261"/>
  <c r="T212" i="261"/>
  <c r="V212" i="261"/>
  <c r="X212" i="261"/>
  <c r="W212" i="261" s="1"/>
  <c r="J213" i="261"/>
  <c r="T213" i="261" s="1"/>
  <c r="R213" i="261"/>
  <c r="K213" i="261" s="1"/>
  <c r="Q213" i="261"/>
  <c r="V213" i="261"/>
  <c r="X213" i="261"/>
  <c r="W213" i="261"/>
  <c r="J214" i="261"/>
  <c r="R214" i="261"/>
  <c r="K214" i="261" s="1"/>
  <c r="Q214" i="261"/>
  <c r="T214" i="261"/>
  <c r="V214" i="261"/>
  <c r="W214" i="261" s="1"/>
  <c r="R215" i="261"/>
  <c r="K215" i="261" s="1"/>
  <c r="Q215" i="261"/>
  <c r="V215" i="261"/>
  <c r="W215" i="261" s="1"/>
  <c r="J216" i="261"/>
  <c r="T216" i="261" s="1"/>
  <c r="R216" i="261"/>
  <c r="K216" i="261" s="1"/>
  <c r="Q216" i="261"/>
  <c r="V216" i="261"/>
  <c r="X216" i="261"/>
  <c r="W216" i="261"/>
  <c r="J223" i="261"/>
  <c r="R223" i="261"/>
  <c r="K223" i="261" s="1"/>
  <c r="Q223" i="261"/>
  <c r="T223" i="261"/>
  <c r="V223" i="261"/>
  <c r="W223" i="261" s="1"/>
  <c r="J224" i="261"/>
  <c r="T224" i="261" s="1"/>
  <c r="R224" i="261"/>
  <c r="K224" i="261"/>
  <c r="Q224" i="261"/>
  <c r="V224" i="261"/>
  <c r="W224" i="261" s="1"/>
  <c r="R225" i="261"/>
  <c r="K225" i="261" s="1"/>
  <c r="L225" i="261" s="1"/>
  <c r="P225" i="261"/>
  <c r="Q225" i="261"/>
  <c r="V225" i="261"/>
  <c r="W225" i="261" s="1"/>
  <c r="J226" i="261"/>
  <c r="R226" i="261"/>
  <c r="K226" i="261" s="1"/>
  <c r="Q226" i="261"/>
  <c r="T226" i="261"/>
  <c r="V226" i="261"/>
  <c r="X226" i="261"/>
  <c r="W226" i="261" s="1"/>
  <c r="J227" i="261"/>
  <c r="R227" i="261"/>
  <c r="K227" i="261" s="1"/>
  <c r="L227" i="261" s="1"/>
  <c r="P227" i="261"/>
  <c r="Q227" i="261"/>
  <c r="T227" i="261"/>
  <c r="V227" i="261"/>
  <c r="W227" i="261"/>
  <c r="R228" i="261"/>
  <c r="K228" i="261"/>
  <c r="Q228" i="261"/>
  <c r="V228" i="261"/>
  <c r="J229" i="261"/>
  <c r="T229" i="261" s="1"/>
  <c r="L229" i="261"/>
  <c r="P229" i="261"/>
  <c r="Q229" i="261"/>
  <c r="R229" i="261"/>
  <c r="V229" i="261"/>
  <c r="W229" i="261" s="1"/>
  <c r="J230" i="261"/>
  <c r="T230" i="261" s="1"/>
  <c r="R230" i="261"/>
  <c r="K230" i="261"/>
  <c r="Q230" i="261"/>
  <c r="V230" i="261"/>
  <c r="W230" i="261" s="1"/>
  <c r="R231" i="261"/>
  <c r="K231" i="261" s="1"/>
  <c r="P231" i="261" s="1"/>
  <c r="Q231" i="261"/>
  <c r="V231" i="261"/>
  <c r="W231" i="261"/>
  <c r="R232" i="261"/>
  <c r="K232" i="261"/>
  <c r="Q232" i="261"/>
  <c r="V232" i="261"/>
  <c r="W232" i="261" s="1"/>
  <c r="J233" i="261"/>
  <c r="T233" i="261" s="1"/>
  <c r="R233" i="261"/>
  <c r="K233" i="261" s="1"/>
  <c r="P233" i="261" s="1"/>
  <c r="Q233" i="261"/>
  <c r="V233" i="261"/>
  <c r="W233" i="261" s="1"/>
  <c r="L234" i="261"/>
  <c r="P234" i="261"/>
  <c r="Q234" i="261"/>
  <c r="R234" i="261"/>
  <c r="V234" i="261"/>
  <c r="X234" i="261"/>
  <c r="W234" i="261"/>
  <c r="J235" i="261"/>
  <c r="R235" i="261"/>
  <c r="K235" i="261" s="1"/>
  <c r="Q235" i="261"/>
  <c r="T235" i="261"/>
  <c r="V235" i="261"/>
  <c r="X235" i="261"/>
  <c r="W235" i="261" s="1"/>
  <c r="J236" i="261"/>
  <c r="P236" i="261"/>
  <c r="Q236" i="261"/>
  <c r="R236" i="261"/>
  <c r="T236" i="261"/>
  <c r="V236" i="261"/>
  <c r="W236" i="261" s="1"/>
  <c r="J237" i="261"/>
  <c r="T237" i="261" s="1"/>
  <c r="R237" i="261"/>
  <c r="K237" i="261"/>
  <c r="Q237" i="261"/>
  <c r="V237" i="261"/>
  <c r="W237" i="261" s="1"/>
  <c r="R238" i="261"/>
  <c r="K238" i="261" s="1"/>
  <c r="Q238" i="261"/>
  <c r="V238" i="261"/>
  <c r="X238" i="261"/>
  <c r="W238" i="261"/>
  <c r="R239" i="261"/>
  <c r="K239" i="261"/>
  <c r="Q239" i="261"/>
  <c r="V239" i="261"/>
  <c r="X239" i="261"/>
  <c r="W239" i="261" s="1"/>
  <c r="J240" i="261"/>
  <c r="T240" i="261" s="1"/>
  <c r="R240" i="261"/>
  <c r="K240" i="261" s="1"/>
  <c r="P240" i="261" s="1"/>
  <c r="Q240" i="261"/>
  <c r="V240" i="261"/>
  <c r="X240" i="261"/>
  <c r="Q241" i="261"/>
  <c r="V241" i="261"/>
  <c r="X241" i="261"/>
  <c r="W241" i="261" s="1"/>
  <c r="J242" i="261"/>
  <c r="T242" i="261" s="1"/>
  <c r="R242" i="261"/>
  <c r="K242" i="261" s="1"/>
  <c r="Q242" i="261"/>
  <c r="V242" i="261"/>
  <c r="W242" i="261" s="1"/>
  <c r="J243" i="261"/>
  <c r="T243" i="261" s="1"/>
  <c r="R243" i="261"/>
  <c r="K243" i="261" s="1"/>
  <c r="P243" i="261" s="1"/>
  <c r="Q243" i="261"/>
  <c r="V243" i="261"/>
  <c r="J244" i="261"/>
  <c r="R244" i="261"/>
  <c r="K244" i="261" s="1"/>
  <c r="P244" i="261" s="1"/>
  <c r="Q244" i="261"/>
  <c r="T244" i="261"/>
  <c r="V244" i="261"/>
  <c r="J245" i="261"/>
  <c r="T245" i="261" s="1"/>
  <c r="R245" i="261"/>
  <c r="K245" i="261"/>
  <c r="Q245" i="261"/>
  <c r="V245" i="261"/>
  <c r="W245" i="261" s="1"/>
  <c r="J246" i="261"/>
  <c r="T246" i="261" s="1"/>
  <c r="R246" i="261"/>
  <c r="K246" i="261" s="1"/>
  <c r="Q246" i="261"/>
  <c r="V246" i="261"/>
  <c r="W246" i="261" s="1"/>
  <c r="R247" i="261"/>
  <c r="K247" i="261" s="1"/>
  <c r="Q247" i="261"/>
  <c r="V247" i="261"/>
  <c r="W247" i="261"/>
  <c r="J248" i="261"/>
  <c r="R248" i="261"/>
  <c r="K248" i="261" s="1"/>
  <c r="P248" i="261" s="1"/>
  <c r="Q248" i="261"/>
  <c r="T248" i="261"/>
  <c r="V248" i="261"/>
  <c r="W248" i="261"/>
  <c r="J249" i="261"/>
  <c r="R249" i="261"/>
  <c r="K249" i="261" s="1"/>
  <c r="Q249" i="261"/>
  <c r="T249" i="261"/>
  <c r="V249" i="261"/>
  <c r="X249" i="261"/>
  <c r="W249" i="261" s="1"/>
  <c r="J250" i="261"/>
  <c r="P250" i="261"/>
  <c r="Q250" i="261"/>
  <c r="R250" i="261"/>
  <c r="T250" i="261"/>
  <c r="V250" i="261"/>
  <c r="W250" i="261" s="1"/>
  <c r="J251" i="261"/>
  <c r="T251" i="261" s="1"/>
  <c r="R251" i="261"/>
  <c r="K251" i="261"/>
  <c r="Q251" i="261"/>
  <c r="V251" i="261"/>
  <c r="W251" i="261" s="1"/>
  <c r="L252" i="261"/>
  <c r="Q252" i="261"/>
  <c r="R252" i="261"/>
  <c r="V252" i="261"/>
  <c r="W252" i="261" s="1"/>
  <c r="J253" i="261"/>
  <c r="T253" i="261" s="1"/>
  <c r="R253" i="261"/>
  <c r="K253" i="261" s="1"/>
  <c r="Q253" i="261"/>
  <c r="V253" i="261"/>
  <c r="J254" i="261"/>
  <c r="R254" i="261"/>
  <c r="K254" i="261" s="1"/>
  <c r="P254" i="261" s="1"/>
  <c r="Q254" i="261"/>
  <c r="T254" i="261"/>
  <c r="V254" i="261"/>
  <c r="W254" i="261"/>
  <c r="J255" i="261"/>
  <c r="P255" i="261"/>
  <c r="Q255" i="261"/>
  <c r="R255" i="261"/>
  <c r="T255" i="261"/>
  <c r="V255" i="261"/>
  <c r="W255" i="261" s="1"/>
  <c r="R256" i="261"/>
  <c r="K256" i="261" s="1"/>
  <c r="Q256" i="261"/>
  <c r="V256" i="261"/>
  <c r="W256" i="261"/>
  <c r="J257" i="261"/>
  <c r="R257" i="261"/>
  <c r="K257" i="261" s="1"/>
  <c r="Q257" i="261"/>
  <c r="T257" i="261"/>
  <c r="V257" i="261"/>
  <c r="X257" i="261"/>
  <c r="W257" i="261" s="1"/>
  <c r="J258" i="261"/>
  <c r="T258" i="261" s="1"/>
  <c r="R258" i="261"/>
  <c r="K258" i="261" s="1"/>
  <c r="Q258" i="261"/>
  <c r="V258" i="261"/>
  <c r="W258" i="261" s="1"/>
  <c r="P259" i="261"/>
  <c r="Q259" i="261"/>
  <c r="R259" i="261"/>
  <c r="V259" i="261"/>
  <c r="W259" i="261" s="1"/>
  <c r="J260" i="261"/>
  <c r="T260" i="261" s="1"/>
  <c r="R260" i="261"/>
  <c r="K260" i="261" s="1"/>
  <c r="P260" i="261" s="1"/>
  <c r="Q260" i="261"/>
  <c r="V260" i="261"/>
  <c r="W260" i="261" s="1"/>
  <c r="J261" i="261"/>
  <c r="T261" i="261" s="1"/>
  <c r="R261" i="261"/>
  <c r="K261" i="261" s="1"/>
  <c r="P261" i="261" s="1"/>
  <c r="Q261" i="261"/>
  <c r="V261" i="261"/>
  <c r="W261" i="261" s="1"/>
  <c r="J262" i="261"/>
  <c r="T262" i="261" s="1"/>
  <c r="R262" i="261"/>
  <c r="K262" i="261" s="1"/>
  <c r="P262" i="261" s="1"/>
  <c r="Q262" i="261"/>
  <c r="V262" i="261"/>
  <c r="W262" i="261" s="1"/>
  <c r="J263" i="261"/>
  <c r="T263" i="261" s="1"/>
  <c r="R263" i="261"/>
  <c r="K263" i="261" s="1"/>
  <c r="P263" i="261" s="1"/>
  <c r="Q263" i="261"/>
  <c r="V263" i="261"/>
  <c r="W263" i="261" s="1"/>
  <c r="R264" i="261"/>
  <c r="K264" i="261" s="1"/>
  <c r="L264" i="261" s="1"/>
  <c r="P264" i="261"/>
  <c r="Q264" i="261"/>
  <c r="V264" i="261"/>
  <c r="X264" i="261"/>
  <c r="W264" i="261"/>
  <c r="R265" i="261"/>
  <c r="K265" i="261"/>
  <c r="P265" i="261" s="1"/>
  <c r="Q265" i="261"/>
  <c r="V265" i="261"/>
  <c r="W265" i="261" s="1"/>
  <c r="J266" i="261"/>
  <c r="T266" i="261" s="1"/>
  <c r="R266" i="261"/>
  <c r="K266" i="261" s="1"/>
  <c r="Q266" i="261"/>
  <c r="V266" i="261"/>
  <c r="W266" i="261" s="1"/>
  <c r="J267" i="261"/>
  <c r="R267" i="261"/>
  <c r="K267" i="261" s="1"/>
  <c r="L267" i="261" s="1"/>
  <c r="P267" i="261"/>
  <c r="Q267" i="261"/>
  <c r="T267" i="261"/>
  <c r="V267" i="261"/>
  <c r="X267" i="261"/>
  <c r="W267" i="261" s="1"/>
  <c r="J268" i="261"/>
  <c r="T268" i="261" s="1"/>
  <c r="R268" i="261"/>
  <c r="K268" i="261" s="1"/>
  <c r="P268" i="261" s="1"/>
  <c r="Q268" i="261"/>
  <c r="V268" i="261"/>
  <c r="X268" i="261"/>
  <c r="W268" i="261"/>
  <c r="J269" i="261"/>
  <c r="R269" i="261"/>
  <c r="K269" i="261" s="1"/>
  <c r="Q269" i="261"/>
  <c r="T269" i="261"/>
  <c r="V269" i="261"/>
  <c r="X269" i="261"/>
  <c r="W269" i="261" s="1"/>
  <c r="J270" i="261"/>
  <c r="T270" i="261" s="1"/>
  <c r="R270" i="261"/>
  <c r="K270" i="261" s="1"/>
  <c r="P270" i="261" s="1"/>
  <c r="Q270" i="261"/>
  <c r="V270" i="261"/>
  <c r="W270" i="261" s="1"/>
  <c r="R271" i="261"/>
  <c r="K271" i="261" s="1"/>
  <c r="P271" i="261" s="1"/>
  <c r="Q271" i="261"/>
  <c r="T271" i="261"/>
  <c r="J272" i="261"/>
  <c r="T272" i="261" s="1"/>
  <c r="R272" i="261"/>
  <c r="K272" i="261"/>
  <c r="Q272" i="261"/>
  <c r="V272" i="261"/>
  <c r="W272" i="261" s="1"/>
  <c r="J273" i="261"/>
  <c r="T273" i="261" s="1"/>
  <c r="R273" i="261"/>
  <c r="K273" i="261" s="1"/>
  <c r="Q273" i="261"/>
  <c r="V273" i="261"/>
  <c r="W273" i="261" s="1"/>
  <c r="J274" i="261"/>
  <c r="T274" i="261" s="1"/>
  <c r="R274" i="261"/>
  <c r="K274" i="261" s="1"/>
  <c r="L274" i="261" s="1"/>
  <c r="Q274" i="261"/>
  <c r="V274" i="261"/>
  <c r="X274" i="261"/>
  <c r="W274" i="261"/>
  <c r="J275" i="261"/>
  <c r="Q275" i="261"/>
  <c r="T275" i="261"/>
  <c r="V275" i="261"/>
  <c r="J276" i="261"/>
  <c r="R276" i="261"/>
  <c r="K276" i="261" s="1"/>
  <c r="Q276" i="261"/>
  <c r="T276" i="261"/>
  <c r="V276" i="261"/>
  <c r="W276" i="261" s="1"/>
  <c r="J277" i="261"/>
  <c r="T277" i="261" s="1"/>
  <c r="R277" i="261"/>
  <c r="K277" i="261"/>
  <c r="Q277" i="261"/>
  <c r="V277" i="261"/>
  <c r="W277" i="261" s="1"/>
  <c r="J278" i="261"/>
  <c r="T278" i="261" s="1"/>
  <c r="R278" i="261"/>
  <c r="K278" i="261" s="1"/>
  <c r="Q278" i="261"/>
  <c r="V278" i="261"/>
  <c r="W278" i="261" s="1"/>
  <c r="J279" i="261"/>
  <c r="R279" i="261"/>
  <c r="K279" i="261" s="1"/>
  <c r="Q279" i="261"/>
  <c r="T279" i="261"/>
  <c r="V279" i="261"/>
  <c r="W279" i="261" s="1"/>
  <c r="J280" i="261"/>
  <c r="T280" i="261" s="1"/>
  <c r="R280" i="261"/>
  <c r="K280" i="261" s="1"/>
  <c r="Q280" i="261"/>
  <c r="V280" i="261"/>
  <c r="W280" i="261" s="1"/>
  <c r="J281" i="261"/>
  <c r="R281" i="261"/>
  <c r="K281" i="261" s="1"/>
  <c r="Q281" i="261"/>
  <c r="T281" i="261"/>
  <c r="V281" i="261"/>
  <c r="W281" i="261" s="1"/>
  <c r="J282" i="261"/>
  <c r="T282" i="261" s="1"/>
  <c r="R282" i="261"/>
  <c r="K282" i="261" s="1"/>
  <c r="P282" i="261" s="1"/>
  <c r="Q282" i="261"/>
  <c r="V282" i="261"/>
  <c r="W282" i="261" s="1"/>
  <c r="J283" i="261"/>
  <c r="T283" i="261" s="1"/>
  <c r="R283" i="261"/>
  <c r="K283" i="261" s="1"/>
  <c r="P283" i="261" s="1"/>
  <c r="Q283" i="261"/>
  <c r="V283" i="261"/>
  <c r="W283" i="261" s="1"/>
  <c r="J284" i="261"/>
  <c r="T284" i="261" s="1"/>
  <c r="R284" i="261"/>
  <c r="K284" i="261" s="1"/>
  <c r="Q284" i="261"/>
  <c r="V284" i="261"/>
  <c r="W284" i="261" s="1"/>
  <c r="J285" i="261"/>
  <c r="R285" i="261"/>
  <c r="K285" i="261" s="1"/>
  <c r="L285" i="261" s="1"/>
  <c r="Q285" i="261"/>
  <c r="T285" i="261"/>
  <c r="V285" i="261"/>
  <c r="W285" i="261"/>
  <c r="J286" i="261"/>
  <c r="R286" i="261"/>
  <c r="K286" i="261" s="1"/>
  <c r="Q286" i="261"/>
  <c r="T286" i="261"/>
  <c r="V286" i="261"/>
  <c r="W286" i="261" s="1"/>
  <c r="J287" i="261"/>
  <c r="P287" i="261"/>
  <c r="Q287" i="261"/>
  <c r="R287" i="261"/>
  <c r="T287" i="261"/>
  <c r="V287" i="261"/>
  <c r="W287" i="261"/>
  <c r="J288" i="261"/>
  <c r="P288" i="261"/>
  <c r="Q288" i="261"/>
  <c r="R288" i="261"/>
  <c r="T288" i="261"/>
  <c r="V288" i="261"/>
  <c r="W288" i="261" s="1"/>
  <c r="J289" i="261"/>
  <c r="T289" i="261" s="1"/>
  <c r="R289" i="261"/>
  <c r="K289" i="261" s="1"/>
  <c r="P289" i="261" s="1"/>
  <c r="Q289" i="261"/>
  <c r="V289" i="261"/>
  <c r="W289" i="261" s="1"/>
  <c r="J290" i="261"/>
  <c r="T290" i="261" s="1"/>
  <c r="R290" i="261"/>
  <c r="K290" i="261" s="1"/>
  <c r="P290" i="261" s="1"/>
  <c r="Q290" i="261"/>
  <c r="V290" i="261"/>
  <c r="W290" i="261" s="1"/>
  <c r="J291" i="261"/>
  <c r="P291" i="261"/>
  <c r="Q291" i="261"/>
  <c r="R291" i="261"/>
  <c r="T291" i="261"/>
  <c r="V291" i="261"/>
  <c r="W291" i="261" s="1"/>
  <c r="J292" i="261"/>
  <c r="Q292" i="261"/>
  <c r="T292" i="261"/>
  <c r="V292" i="261"/>
  <c r="W292" i="261" s="1"/>
  <c r="J293" i="261"/>
  <c r="Q293" i="261"/>
  <c r="T293" i="261"/>
  <c r="V293" i="261"/>
  <c r="J294" i="261"/>
  <c r="T294" i="261" s="1"/>
  <c r="R294" i="261"/>
  <c r="K294" i="261"/>
  <c r="Q294" i="261"/>
  <c r="V294" i="261"/>
  <c r="W294" i="261" s="1"/>
  <c r="J295" i="261"/>
  <c r="Q295" i="261"/>
  <c r="T295" i="261"/>
  <c r="V295" i="261"/>
  <c r="W295" i="261" s="1"/>
  <c r="J296" i="261"/>
  <c r="P296" i="261"/>
  <c r="Q296" i="261"/>
  <c r="R296" i="261"/>
  <c r="T296" i="261"/>
  <c r="V296" i="261"/>
  <c r="W296" i="261"/>
  <c r="Q297" i="261"/>
  <c r="T297" i="261"/>
  <c r="R298" i="261"/>
  <c r="K298" i="261"/>
  <c r="P298" i="261" s="1"/>
  <c r="Q298" i="261"/>
  <c r="J299" i="261"/>
  <c r="T299" i="261" s="1"/>
  <c r="R299" i="261"/>
  <c r="K299" i="261" s="1"/>
  <c r="Q299" i="261"/>
  <c r="V299" i="261"/>
  <c r="W299" i="261" s="1"/>
  <c r="J300" i="261"/>
  <c r="P300" i="261"/>
  <c r="Q300" i="261"/>
  <c r="R300" i="261"/>
  <c r="T300" i="261"/>
  <c r="V300" i="261"/>
  <c r="W300" i="261" s="1"/>
  <c r="J301" i="261"/>
  <c r="T301" i="261" s="1"/>
  <c r="R301" i="261"/>
  <c r="K301" i="261" s="1"/>
  <c r="P301" i="261" s="1"/>
  <c r="Q301" i="261"/>
  <c r="V301" i="261"/>
  <c r="W301" i="261" s="1"/>
  <c r="J302" i="261"/>
  <c r="T302" i="261" s="1"/>
  <c r="R302" i="261"/>
  <c r="K302" i="261" s="1"/>
  <c r="P302" i="261" s="1"/>
  <c r="Q302" i="261"/>
  <c r="V302" i="261"/>
  <c r="W302" i="261" s="1"/>
  <c r="J303" i="261"/>
  <c r="T303" i="261" s="1"/>
  <c r="R303" i="261"/>
  <c r="K303" i="261" s="1"/>
  <c r="P303" i="261" s="1"/>
  <c r="Q303" i="261"/>
  <c r="V303" i="261"/>
  <c r="W303" i="261" s="1"/>
  <c r="R304" i="261"/>
  <c r="K304" i="261" s="1"/>
  <c r="L304" i="261" s="1"/>
  <c r="P304" i="261"/>
  <c r="Q304" i="261"/>
  <c r="V304" i="261"/>
  <c r="W304" i="261" s="1"/>
  <c r="J305" i="261"/>
  <c r="R305" i="261"/>
  <c r="K305" i="261" s="1"/>
  <c r="L305" i="261" s="1"/>
  <c r="Q305" i="261"/>
  <c r="T305" i="261"/>
  <c r="V305" i="261"/>
  <c r="W305" i="261"/>
  <c r="J306" i="261"/>
  <c r="R306" i="261"/>
  <c r="K306" i="261" s="1"/>
  <c r="Q306" i="261"/>
  <c r="T306" i="261"/>
  <c r="V306" i="261"/>
  <c r="X306" i="261"/>
  <c r="W306" i="261" s="1"/>
  <c r="J307" i="261"/>
  <c r="T307" i="261" s="1"/>
  <c r="R307" i="261"/>
  <c r="K307" i="261" s="1"/>
  <c r="P307" i="261" s="1"/>
  <c r="Q307" i="261"/>
  <c r="V307" i="261"/>
  <c r="W307" i="261" s="1"/>
  <c r="J308" i="261"/>
  <c r="T308" i="261" s="1"/>
  <c r="R308" i="261"/>
  <c r="K308" i="261" s="1"/>
  <c r="Q308" i="261"/>
  <c r="V308" i="261"/>
  <c r="W308" i="261" s="1"/>
  <c r="R309" i="261"/>
  <c r="K309" i="261" s="1"/>
  <c r="P309" i="261" s="1"/>
  <c r="Q309" i="261"/>
  <c r="V309" i="261"/>
  <c r="W309" i="261" s="1"/>
  <c r="J310" i="261"/>
  <c r="Q310" i="261"/>
  <c r="T310" i="261"/>
  <c r="V310" i="261"/>
  <c r="W310" i="261"/>
  <c r="J311" i="261"/>
  <c r="R311" i="261"/>
  <c r="K311" i="261" s="1"/>
  <c r="P311" i="261" s="1"/>
  <c r="Q311" i="261"/>
  <c r="T311" i="261"/>
  <c r="V311" i="261"/>
  <c r="W311" i="261"/>
  <c r="J312" i="261"/>
  <c r="L312" i="261"/>
  <c r="P312" i="261"/>
  <c r="Q312" i="261"/>
  <c r="R312" i="261"/>
  <c r="T312" i="261"/>
  <c r="V312" i="261"/>
  <c r="W312" i="261"/>
  <c r="R313" i="261"/>
  <c r="K313" i="261"/>
  <c r="Q313" i="261"/>
  <c r="V313" i="261"/>
  <c r="W313" i="261" s="1"/>
  <c r="J314" i="261"/>
  <c r="T314" i="261" s="1"/>
  <c r="R314" i="261"/>
  <c r="K314" i="261"/>
  <c r="Q314" i="261"/>
  <c r="V314" i="261"/>
  <c r="W314" i="261" s="1"/>
  <c r="R315" i="261"/>
  <c r="K315" i="261" s="1"/>
  <c r="L315" i="261" s="1"/>
  <c r="P315" i="261"/>
  <c r="Q315" i="261"/>
  <c r="V315" i="261"/>
  <c r="X315" i="261"/>
  <c r="W315" i="261"/>
  <c r="R316" i="261"/>
  <c r="K316" i="261"/>
  <c r="Q316" i="261"/>
  <c r="T316" i="261"/>
  <c r="V316" i="261"/>
  <c r="X316" i="261"/>
  <c r="J317" i="261"/>
  <c r="T317" i="261" s="1"/>
  <c r="R317" i="261"/>
  <c r="K317" i="261" s="1"/>
  <c r="P317" i="261" s="1"/>
  <c r="Q317" i="261"/>
  <c r="V317" i="261"/>
  <c r="W317" i="261" s="1"/>
  <c r="R318" i="261"/>
  <c r="K318" i="261" s="1"/>
  <c r="P318" i="261" s="1"/>
  <c r="Q318" i="261"/>
  <c r="T318" i="261"/>
  <c r="V318" i="261"/>
  <c r="W318" i="261"/>
  <c r="R319" i="261"/>
  <c r="K319" i="261"/>
  <c r="P319" i="261" s="1"/>
  <c r="Q319" i="261"/>
  <c r="T319" i="261"/>
  <c r="V319" i="261"/>
  <c r="W319" i="261" s="1"/>
  <c r="R320" i="261"/>
  <c r="K320" i="261" s="1"/>
  <c r="Q320" i="261"/>
  <c r="T320" i="261"/>
  <c r="V320" i="261"/>
  <c r="W320" i="261" s="1"/>
  <c r="R321" i="261"/>
  <c r="K321" i="261" s="1"/>
  <c r="P321" i="261" s="1"/>
  <c r="Q321" i="261"/>
  <c r="T321" i="261"/>
  <c r="V321" i="261"/>
  <c r="W321" i="261"/>
  <c r="R322" i="261"/>
  <c r="K322" i="261"/>
  <c r="P322" i="261" s="1"/>
  <c r="Q322" i="261"/>
  <c r="T322" i="261"/>
  <c r="V322" i="261"/>
  <c r="W322" i="261" s="1"/>
  <c r="J323" i="261"/>
  <c r="T323" i="261" s="1"/>
  <c r="R323" i="261"/>
  <c r="K323" i="261"/>
  <c r="Q323" i="261"/>
  <c r="V323" i="261"/>
  <c r="W323" i="261" s="1"/>
  <c r="R324" i="261"/>
  <c r="K324" i="261" s="1"/>
  <c r="P324" i="261" s="1"/>
  <c r="Q324" i="261"/>
  <c r="T324" i="261"/>
  <c r="V324" i="261"/>
  <c r="W324" i="261" s="1"/>
  <c r="R325" i="261"/>
  <c r="K325" i="261" s="1"/>
  <c r="P325" i="261" s="1"/>
  <c r="Q325" i="261"/>
  <c r="T325" i="261"/>
  <c r="V325" i="261"/>
  <c r="W325" i="261" s="1"/>
  <c r="J326" i="261"/>
  <c r="T326" i="261" s="1"/>
  <c r="R326" i="261"/>
  <c r="K326" i="261" s="1"/>
  <c r="P326" i="261" s="1"/>
  <c r="Q326" i="261"/>
  <c r="V326" i="261"/>
  <c r="W326" i="261" s="1"/>
  <c r="J327" i="261"/>
  <c r="T327" i="261" s="1"/>
  <c r="R327" i="261"/>
  <c r="K327" i="261" s="1"/>
  <c r="P327" i="261" s="1"/>
  <c r="Q327" i="261"/>
  <c r="V327" i="261"/>
  <c r="W327" i="261" s="1"/>
  <c r="L328" i="261"/>
  <c r="Q328" i="261"/>
  <c r="R328" i="261"/>
  <c r="V328" i="261"/>
  <c r="X328" i="261"/>
  <c r="W328" i="261" s="1"/>
  <c r="R329" i="261"/>
  <c r="K329" i="261" s="1"/>
  <c r="L329" i="261" s="1"/>
  <c r="P329" i="261"/>
  <c r="Q329" i="261"/>
  <c r="V329" i="261"/>
  <c r="W329" i="261" s="1"/>
  <c r="J330" i="261"/>
  <c r="T330" i="261" s="1"/>
  <c r="R330" i="261"/>
  <c r="K330" i="261" s="1"/>
  <c r="P330" i="261" s="1"/>
  <c r="Q330" i="261"/>
  <c r="V330" i="261"/>
  <c r="W330" i="261" s="1"/>
  <c r="J331" i="261"/>
  <c r="T331" i="261" s="1"/>
  <c r="R331" i="261"/>
  <c r="K331" i="261" s="1"/>
  <c r="P331" i="261" s="1"/>
  <c r="Q331" i="261"/>
  <c r="V331" i="261"/>
  <c r="W331" i="261" s="1"/>
  <c r="R332" i="261"/>
  <c r="K332" i="261" s="1"/>
  <c r="Q332" i="261"/>
  <c r="T332" i="261"/>
  <c r="V332" i="261"/>
  <c r="W332" i="261" s="1"/>
  <c r="R333" i="261"/>
  <c r="K333" i="261" s="1"/>
  <c r="P333" i="261" s="1"/>
  <c r="Q333" i="261"/>
  <c r="V333" i="261"/>
  <c r="W333" i="261" s="1"/>
  <c r="J334" i="261"/>
  <c r="T334" i="261" s="1"/>
  <c r="R334" i="261"/>
  <c r="K334" i="261" s="1"/>
  <c r="Q334" i="261"/>
  <c r="V334" i="261"/>
  <c r="W334" i="261" s="1"/>
  <c r="J335" i="261"/>
  <c r="R335" i="261"/>
  <c r="K335" i="261" s="1"/>
  <c r="L335" i="261" s="1"/>
  <c r="P335" i="261"/>
  <c r="Q335" i="261"/>
  <c r="T335" i="261"/>
  <c r="V335" i="261"/>
  <c r="W335" i="261"/>
  <c r="R336" i="261"/>
  <c r="K336" i="261"/>
  <c r="Q336" i="261"/>
  <c r="T336" i="261"/>
  <c r="V336" i="261"/>
  <c r="X336" i="261"/>
  <c r="R337" i="261"/>
  <c r="K337" i="261" s="1"/>
  <c r="Q337" i="261"/>
  <c r="T337" i="261"/>
  <c r="V337" i="261"/>
  <c r="X337" i="261"/>
  <c r="W337" i="261" s="1"/>
  <c r="R338" i="261"/>
  <c r="K338" i="261" s="1"/>
  <c r="L338" i="261" s="1"/>
  <c r="Q338" i="261"/>
  <c r="V338" i="261"/>
  <c r="W338" i="261" s="1"/>
  <c r="R339" i="261"/>
  <c r="K339" i="261" s="1"/>
  <c r="P339" i="261" s="1"/>
  <c r="Q339" i="261"/>
  <c r="T339" i="261"/>
  <c r="V339" i="261"/>
  <c r="X339" i="261"/>
  <c r="R340" i="261"/>
  <c r="K340" i="261" s="1"/>
  <c r="P340" i="261" s="1"/>
  <c r="Q340" i="261"/>
  <c r="T340" i="261"/>
  <c r="V340" i="261"/>
  <c r="W340" i="261"/>
  <c r="R341" i="261"/>
  <c r="K341" i="261"/>
  <c r="Q341" i="261"/>
  <c r="T341" i="261"/>
  <c r="V341" i="261"/>
  <c r="W341" i="261" s="1"/>
  <c r="Q342" i="261"/>
  <c r="R342" i="261"/>
  <c r="T342" i="261"/>
  <c r="V342" i="261"/>
  <c r="X342" i="261"/>
  <c r="W342" i="261" s="1"/>
  <c r="L343" i="261"/>
  <c r="Q343" i="261"/>
  <c r="V343" i="261"/>
  <c r="W343" i="261" s="1"/>
  <c r="J344" i="261"/>
  <c r="T344" i="261" s="1"/>
  <c r="R344" i="261"/>
  <c r="K344" i="261" s="1"/>
  <c r="P344" i="261" s="1"/>
  <c r="Q344" i="261"/>
  <c r="V344" i="261"/>
  <c r="W344" i="261" s="1"/>
  <c r="R345" i="261"/>
  <c r="K345" i="261" s="1"/>
  <c r="L345" i="261" s="1"/>
  <c r="P345" i="261"/>
  <c r="Q345" i="261"/>
  <c r="T345" i="261"/>
  <c r="V345" i="261"/>
  <c r="W345" i="261"/>
  <c r="J346" i="261"/>
  <c r="R346" i="261"/>
  <c r="K346" i="261" s="1"/>
  <c r="Q346" i="261"/>
  <c r="T346" i="261"/>
  <c r="V346" i="261"/>
  <c r="W346" i="261" s="1"/>
  <c r="J347" i="261"/>
  <c r="T347" i="261" s="1"/>
  <c r="R347" i="261"/>
  <c r="K347" i="261" s="1"/>
  <c r="P347" i="261" s="1"/>
  <c r="Q347" i="261"/>
  <c r="V347" i="261"/>
  <c r="W347" i="261" s="1"/>
  <c r="J348" i="261"/>
  <c r="T348" i="261" s="1"/>
  <c r="R348" i="261"/>
  <c r="K348" i="261" s="1"/>
  <c r="P348" i="261" s="1"/>
  <c r="Q348" i="261"/>
  <c r="V348" i="261"/>
  <c r="W348" i="261" s="1"/>
  <c r="J349" i="261"/>
  <c r="T349" i="261" s="1"/>
  <c r="R349" i="261"/>
  <c r="K349" i="261" s="1"/>
  <c r="P349" i="261" s="1"/>
  <c r="Q349" i="261"/>
  <c r="V349" i="261"/>
  <c r="X349" i="261"/>
  <c r="W349" i="261" s="1"/>
  <c r="R350" i="261"/>
  <c r="K350" i="261" s="1"/>
  <c r="P350" i="261" s="1"/>
  <c r="Q350" i="261"/>
  <c r="V350" i="261"/>
  <c r="W350" i="261"/>
  <c r="J351" i="261"/>
  <c r="R351" i="261"/>
  <c r="K351" i="261" s="1"/>
  <c r="P351" i="261" s="1"/>
  <c r="Q351" i="261"/>
  <c r="T351" i="261"/>
  <c r="V351" i="261"/>
  <c r="W351" i="261"/>
  <c r="R352" i="261"/>
  <c r="K352" i="261"/>
  <c r="P352" i="261" s="1"/>
  <c r="Q352" i="261"/>
  <c r="T352" i="261"/>
  <c r="V352" i="261"/>
  <c r="W352" i="261" s="1"/>
  <c r="R353" i="261"/>
  <c r="K353" i="261" s="1"/>
  <c r="P353" i="261" s="1"/>
  <c r="Q353" i="261"/>
  <c r="T353" i="261"/>
  <c r="V353" i="261"/>
  <c r="W353" i="261"/>
  <c r="R354" i="261"/>
  <c r="K354" i="261"/>
  <c r="P354" i="261" s="1"/>
  <c r="Q354" i="261"/>
  <c r="T354" i="261"/>
  <c r="V354" i="261"/>
  <c r="W354" i="261" s="1"/>
  <c r="J355" i="261"/>
  <c r="T355" i="261" s="1"/>
  <c r="R355" i="261"/>
  <c r="K355" i="261" s="1"/>
  <c r="P355" i="261" s="1"/>
  <c r="Q355" i="261"/>
  <c r="V355" i="261"/>
  <c r="W355" i="261" s="1"/>
  <c r="J356" i="261"/>
  <c r="T356" i="261" s="1"/>
  <c r="R356" i="261"/>
  <c r="K356" i="261" s="1"/>
  <c r="P356" i="261" s="1"/>
  <c r="Q356" i="261"/>
  <c r="V356" i="261"/>
  <c r="W356" i="261" s="1"/>
  <c r="J357" i="261"/>
  <c r="T357" i="261" s="1"/>
  <c r="R357" i="261"/>
  <c r="K357" i="261" s="1"/>
  <c r="P357" i="261" s="1"/>
  <c r="Q357" i="261"/>
  <c r="V357" i="261"/>
  <c r="W357" i="261" s="1"/>
  <c r="R358" i="261"/>
  <c r="K358" i="261" s="1"/>
  <c r="P358" i="261" s="1"/>
  <c r="Q358" i="261"/>
  <c r="T358" i="261"/>
  <c r="V358" i="261"/>
  <c r="W358" i="261"/>
  <c r="J359" i="261"/>
  <c r="R359" i="261"/>
  <c r="K359" i="261" s="1"/>
  <c r="P359" i="261" s="1"/>
  <c r="Q359" i="261"/>
  <c r="T359" i="261"/>
  <c r="V359" i="261"/>
  <c r="X359" i="261"/>
  <c r="W359" i="261" s="1"/>
  <c r="R360" i="261"/>
  <c r="K360" i="261" s="1"/>
  <c r="P360" i="261" s="1"/>
  <c r="Q360" i="261"/>
  <c r="T360" i="261"/>
  <c r="V360" i="261"/>
  <c r="W360" i="261" s="1"/>
  <c r="J361" i="261"/>
  <c r="T361" i="261" s="1"/>
  <c r="R361" i="261"/>
  <c r="K361" i="261" s="1"/>
  <c r="P361" i="261" s="1"/>
  <c r="Q361" i="261"/>
  <c r="V361" i="261"/>
  <c r="W361" i="261" s="1"/>
  <c r="R362" i="261"/>
  <c r="K362" i="261" s="1"/>
  <c r="P362" i="261" s="1"/>
  <c r="Q362" i="261"/>
  <c r="V362" i="261"/>
  <c r="W362" i="261" s="1"/>
  <c r="J363" i="261"/>
  <c r="R363" i="261"/>
  <c r="K363" i="261" s="1"/>
  <c r="L363" i="261" s="1"/>
  <c r="P363" i="261"/>
  <c r="Q363" i="261"/>
  <c r="T363" i="261"/>
  <c r="V363" i="261"/>
  <c r="W363" i="261"/>
  <c r="R364" i="261"/>
  <c r="K364" i="261"/>
  <c r="P364" i="261" s="1"/>
  <c r="Q364" i="261"/>
  <c r="T364" i="261"/>
  <c r="V364" i="261"/>
  <c r="W364" i="261" s="1"/>
  <c r="J365" i="261"/>
  <c r="T365" i="261" s="1"/>
  <c r="R365" i="261"/>
  <c r="K365" i="261" s="1"/>
  <c r="P365" i="261" s="1"/>
  <c r="Q365" i="261"/>
  <c r="V365" i="261"/>
  <c r="W365" i="261" s="1"/>
  <c r="R366" i="261"/>
  <c r="K366" i="261" s="1"/>
  <c r="Q366" i="261"/>
  <c r="T366" i="261"/>
  <c r="V366" i="261"/>
  <c r="W366" i="261" s="1"/>
  <c r="R367" i="261"/>
  <c r="K367" i="261" s="1"/>
  <c r="P367" i="261" s="1"/>
  <c r="Q367" i="261"/>
  <c r="V367" i="261"/>
  <c r="W367" i="261" s="1"/>
  <c r="L368" i="261"/>
  <c r="P368" i="261"/>
  <c r="Q368" i="261"/>
  <c r="R368" i="261"/>
  <c r="T368" i="261"/>
  <c r="V368" i="261"/>
  <c r="W368" i="261" s="1"/>
  <c r="R369" i="261"/>
  <c r="K369" i="261" s="1"/>
  <c r="Q369" i="261"/>
  <c r="T369" i="261"/>
  <c r="V369" i="261"/>
  <c r="W369" i="261" s="1"/>
  <c r="J370" i="261"/>
  <c r="T370" i="261" s="1"/>
  <c r="R370" i="261"/>
  <c r="K370" i="261"/>
  <c r="Q370" i="261"/>
  <c r="V370" i="261"/>
  <c r="W370" i="261" s="1"/>
  <c r="R371" i="261"/>
  <c r="K371" i="261" s="1"/>
  <c r="L371" i="261" s="1"/>
  <c r="Q371" i="261"/>
  <c r="T371" i="261"/>
  <c r="V371" i="261"/>
  <c r="W371" i="261" s="1"/>
  <c r="R372" i="261"/>
  <c r="K372" i="261" s="1"/>
  <c r="P372" i="261" s="1"/>
  <c r="Q372" i="261"/>
  <c r="T372" i="261"/>
  <c r="V372" i="261"/>
  <c r="W372" i="261" s="1"/>
  <c r="J373" i="261"/>
  <c r="T373" i="261" s="1"/>
  <c r="R373" i="261"/>
  <c r="K373" i="261" s="1"/>
  <c r="P373" i="261" s="1"/>
  <c r="Q373" i="261"/>
  <c r="V373" i="261"/>
  <c r="W373" i="261" s="1"/>
  <c r="R374" i="261"/>
  <c r="K374" i="261" s="1"/>
  <c r="P374" i="261" s="1"/>
  <c r="Q374" i="261"/>
  <c r="T374" i="261"/>
  <c r="V374" i="261"/>
  <c r="W374" i="261" s="1"/>
  <c r="R375" i="261"/>
  <c r="K375" i="261" s="1"/>
  <c r="P375" i="261" s="1"/>
  <c r="Q375" i="261"/>
  <c r="T375" i="261"/>
  <c r="V375" i="261"/>
  <c r="R376" i="261"/>
  <c r="K376" i="261"/>
  <c r="P376" i="261" s="1"/>
  <c r="Q376" i="261"/>
  <c r="T376" i="261"/>
  <c r="V376" i="261"/>
  <c r="W376" i="261" s="1"/>
  <c r="J377" i="261"/>
  <c r="R377" i="261"/>
  <c r="K377" i="261"/>
  <c r="Q377" i="261"/>
  <c r="T377" i="261"/>
  <c r="V377" i="261"/>
  <c r="W377" i="261"/>
  <c r="J378" i="261"/>
  <c r="R378" i="261"/>
  <c r="K378" i="261" s="1"/>
  <c r="Q378" i="261"/>
  <c r="T378" i="261"/>
  <c r="V378" i="261"/>
  <c r="W378" i="261" s="1"/>
  <c r="J379" i="261"/>
  <c r="T379" i="261" s="1"/>
  <c r="R379" i="261"/>
  <c r="K379" i="261" s="1"/>
  <c r="P379" i="261"/>
  <c r="Q379" i="261"/>
  <c r="V379" i="261"/>
  <c r="W379" i="261" s="1"/>
  <c r="R380" i="261"/>
  <c r="K380" i="261" s="1"/>
  <c r="Q380" i="261"/>
  <c r="T380" i="261"/>
  <c r="R381" i="261"/>
  <c r="K381" i="261" s="1"/>
  <c r="Q381" i="261"/>
  <c r="T381" i="261"/>
  <c r="R382" i="261"/>
  <c r="K382" i="261" s="1"/>
  <c r="Q382" i="261"/>
  <c r="T382" i="261"/>
  <c r="R383" i="261"/>
  <c r="K383" i="261" s="1"/>
  <c r="Q383" i="261"/>
  <c r="T383" i="261"/>
  <c r="V383" i="261"/>
  <c r="X383" i="261"/>
  <c r="W383" i="261" s="1"/>
  <c r="R384" i="261"/>
  <c r="K384" i="261" s="1"/>
  <c r="L384" i="261" s="1"/>
  <c r="Q384" i="261"/>
  <c r="T384" i="261"/>
  <c r="V384" i="261"/>
  <c r="W384" i="261"/>
  <c r="R385" i="261"/>
  <c r="K385" i="261"/>
  <c r="P385" i="261" s="1"/>
  <c r="Q385" i="261"/>
  <c r="T385" i="261"/>
  <c r="V385" i="261"/>
  <c r="W385" i="261" s="1"/>
  <c r="R386" i="261"/>
  <c r="K386" i="261" s="1"/>
  <c r="Q386" i="261"/>
  <c r="V386" i="261"/>
  <c r="W386" i="261" s="1"/>
  <c r="R387" i="261"/>
  <c r="K387" i="261" s="1"/>
  <c r="L387" i="261" s="1"/>
  <c r="Q387" i="261"/>
  <c r="V387" i="261"/>
  <c r="W387" i="261" s="1"/>
  <c r="P388" i="261"/>
  <c r="Q388" i="261"/>
  <c r="R388" i="261"/>
  <c r="T388" i="261"/>
  <c r="V388" i="261"/>
  <c r="W388" i="261" s="1"/>
  <c r="R389" i="261"/>
  <c r="K389" i="261" s="1"/>
  <c r="Q389" i="261"/>
  <c r="T389" i="261"/>
  <c r="V389" i="261"/>
  <c r="W389" i="261" s="1"/>
  <c r="K390" i="261"/>
  <c r="P390" i="261" s="1"/>
  <c r="Q390" i="261"/>
  <c r="V390" i="261"/>
  <c r="L391" i="261"/>
  <c r="P391" i="261"/>
  <c r="Q391" i="261"/>
  <c r="R391" i="261"/>
  <c r="V391" i="261"/>
  <c r="W391" i="261" s="1"/>
  <c r="Q392" i="261"/>
  <c r="R392" i="261"/>
  <c r="T392" i="261"/>
  <c r="V392" i="261"/>
  <c r="J393" i="261"/>
  <c r="T393" i="261" s="1"/>
  <c r="Q393" i="261"/>
  <c r="R393" i="261"/>
  <c r="V393" i="261"/>
  <c r="J394" i="261"/>
  <c r="T394" i="261" s="1"/>
  <c r="R394" i="261"/>
  <c r="K394" i="261" s="1"/>
  <c r="Q394" i="261"/>
  <c r="V394" i="261"/>
  <c r="W394" i="261" s="1"/>
  <c r="J395" i="261"/>
  <c r="R395" i="261"/>
  <c r="K395" i="261" s="1"/>
  <c r="L395" i="261" s="1"/>
  <c r="Q395" i="261"/>
  <c r="T395" i="261"/>
  <c r="V395" i="261"/>
  <c r="W395" i="261"/>
  <c r="J396" i="261"/>
  <c r="R396" i="261"/>
  <c r="K396" i="261" s="1"/>
  <c r="P396" i="261" s="1"/>
  <c r="Q396" i="261"/>
  <c r="T396" i="261"/>
  <c r="V396" i="261"/>
  <c r="W396" i="261"/>
  <c r="J397" i="261"/>
  <c r="R397" i="261"/>
  <c r="K397" i="261" s="1"/>
  <c r="P397" i="261" s="1"/>
  <c r="Q397" i="261"/>
  <c r="T397" i="261"/>
  <c r="V397" i="261"/>
  <c r="W397" i="261" s="1"/>
  <c r="J398" i="261"/>
  <c r="T398" i="261" s="1"/>
  <c r="R398" i="261"/>
  <c r="K398" i="261" s="1"/>
  <c r="P398" i="261" s="1"/>
  <c r="Q398" i="261"/>
  <c r="V398" i="261"/>
  <c r="W398" i="261" s="1"/>
  <c r="P399" i="261"/>
  <c r="Q399" i="261"/>
  <c r="R399" i="261"/>
  <c r="V399" i="261"/>
  <c r="W399" i="261" s="1"/>
  <c r="Q400" i="261"/>
  <c r="V400" i="261"/>
  <c r="X400" i="261"/>
  <c r="W400" i="261" s="1"/>
  <c r="R401" i="261"/>
  <c r="K401" i="261" s="1"/>
  <c r="P401" i="261"/>
  <c r="Q401" i="261"/>
  <c r="T401" i="261"/>
  <c r="V401" i="261"/>
  <c r="W401" i="261"/>
  <c r="R402" i="261"/>
  <c r="K402" i="261"/>
  <c r="L402" i="261" s="1"/>
  <c r="Q402" i="261"/>
  <c r="V402" i="261"/>
  <c r="W402" i="261" s="1"/>
  <c r="R403" i="261"/>
  <c r="K403" i="261" s="1"/>
  <c r="Q403" i="261"/>
  <c r="V403" i="261"/>
  <c r="W403" i="261"/>
  <c r="R405" i="261"/>
  <c r="K405" i="261"/>
  <c r="P405" i="261" s="1"/>
  <c r="V405" i="261"/>
  <c r="R406" i="261"/>
  <c r="K406" i="261" s="1"/>
  <c r="Q406" i="261"/>
  <c r="V406" i="261"/>
  <c r="X406" i="261"/>
  <c r="W406" i="261" s="1"/>
  <c r="R407" i="261"/>
  <c r="K407" i="261" s="1"/>
  <c r="P407" i="261" s="1"/>
  <c r="Q407" i="261"/>
  <c r="V407" i="261"/>
  <c r="X407" i="261"/>
  <c r="J408" i="261"/>
  <c r="T408" i="261" s="1"/>
  <c r="R408" i="261"/>
  <c r="K408" i="261" s="1"/>
  <c r="P408" i="261"/>
  <c r="Q408" i="261"/>
  <c r="V408" i="261"/>
  <c r="W408" i="261" s="1"/>
  <c r="J409" i="261"/>
  <c r="T409" i="261" s="1"/>
  <c r="R409" i="261"/>
  <c r="K409" i="261" s="1"/>
  <c r="P409" i="261" s="1"/>
  <c r="Q409" i="261"/>
  <c r="V409" i="261"/>
  <c r="W409" i="261" s="1"/>
  <c r="L410" i="261"/>
  <c r="P410" i="261"/>
  <c r="Q410" i="261"/>
  <c r="R410" i="261"/>
  <c r="V410" i="261"/>
  <c r="W410" i="261" s="1"/>
  <c r="R411" i="261"/>
  <c r="K411" i="261" s="1"/>
  <c r="P411" i="261" s="1"/>
  <c r="Q411" i="261"/>
  <c r="T411" i="261"/>
  <c r="V411" i="261"/>
  <c r="W411" i="261" s="1"/>
  <c r="J412" i="261"/>
  <c r="T412" i="261" s="1"/>
  <c r="V412" i="261"/>
  <c r="R413" i="261"/>
  <c r="K413" i="261" s="1"/>
  <c r="P413" i="261" s="1"/>
  <c r="Q413" i="261"/>
  <c r="T413" i="261"/>
  <c r="V413" i="261"/>
  <c r="X413" i="261"/>
  <c r="R414" i="261"/>
  <c r="K414" i="261" s="1"/>
  <c r="P414" i="261" s="1"/>
  <c r="Q414" i="261"/>
  <c r="T414" i="261"/>
  <c r="V414" i="261"/>
  <c r="W414" i="261"/>
  <c r="J415" i="261"/>
  <c r="R415" i="261"/>
  <c r="K415" i="261" s="1"/>
  <c r="Q415" i="261"/>
  <c r="T415" i="261"/>
  <c r="V415" i="261"/>
  <c r="X415" i="261"/>
  <c r="W415" i="261"/>
  <c r="J416" i="261"/>
  <c r="R416" i="261"/>
  <c r="K416" i="261" s="1"/>
  <c r="P416" i="261" s="1"/>
  <c r="Q416" i="261"/>
  <c r="T416" i="261"/>
  <c r="V416" i="261"/>
  <c r="W416" i="261" s="1"/>
  <c r="J417" i="261"/>
  <c r="T417" i="261" s="1"/>
  <c r="R417" i="261"/>
  <c r="K417" i="261" s="1"/>
  <c r="P417" i="261" s="1"/>
  <c r="Q417" i="261"/>
  <c r="V417" i="261"/>
  <c r="W417" i="261" s="1"/>
  <c r="J418" i="261"/>
  <c r="R418" i="261"/>
  <c r="K418" i="261" s="1"/>
  <c r="P418" i="261"/>
  <c r="Q418" i="261"/>
  <c r="T418" i="261"/>
  <c r="V418" i="261"/>
  <c r="W418" i="261"/>
  <c r="J419" i="261"/>
  <c r="R419" i="261"/>
  <c r="K419" i="261" s="1"/>
  <c r="P419" i="261" s="1"/>
  <c r="Q419" i="261"/>
  <c r="T419" i="261"/>
  <c r="V419" i="261"/>
  <c r="W419" i="261"/>
  <c r="R420" i="261"/>
  <c r="K420" i="261"/>
  <c r="Q420" i="261"/>
  <c r="T420" i="261"/>
  <c r="V420" i="261"/>
  <c r="X420" i="261"/>
  <c r="R421" i="261"/>
  <c r="K421" i="261" s="1"/>
  <c r="Q421" i="261"/>
  <c r="T421" i="261"/>
  <c r="V421" i="261"/>
  <c r="X421" i="261"/>
  <c r="W421" i="261"/>
  <c r="R422" i="261"/>
  <c r="K422" i="261"/>
  <c r="P422" i="261" s="1"/>
  <c r="Q422" i="261"/>
  <c r="T422" i="261"/>
  <c r="V422" i="261"/>
  <c r="W422" i="261" s="1"/>
  <c r="R423" i="261"/>
  <c r="K423" i="261" s="1"/>
  <c r="P423" i="261" s="1"/>
  <c r="Q423" i="261"/>
  <c r="T423" i="261"/>
  <c r="V423" i="261"/>
  <c r="W423" i="261" s="1"/>
  <c r="R424" i="261"/>
  <c r="K424" i="261" s="1"/>
  <c r="P424" i="261" s="1"/>
  <c r="Q424" i="261"/>
  <c r="T424" i="261"/>
  <c r="V424" i="261"/>
  <c r="W424" i="261" s="1"/>
  <c r="R425" i="261"/>
  <c r="K425" i="261" s="1"/>
  <c r="P425" i="261" s="1"/>
  <c r="Q425" i="261"/>
  <c r="T425" i="261"/>
  <c r="V425" i="261"/>
  <c r="W425" i="261" s="1"/>
  <c r="R426" i="261"/>
  <c r="K426" i="261" s="1"/>
  <c r="L426" i="261" s="1"/>
  <c r="P426" i="261"/>
  <c r="Q426" i="261"/>
  <c r="T426" i="261"/>
  <c r="V426" i="261"/>
  <c r="W426" i="261"/>
  <c r="R427" i="261"/>
  <c r="K427" i="261"/>
  <c r="L427" i="261" s="1"/>
  <c r="Q427" i="261"/>
  <c r="V427" i="261"/>
  <c r="W427" i="261" s="1"/>
  <c r="R428" i="261"/>
  <c r="K428" i="261" s="1"/>
  <c r="L428" i="261" s="1"/>
  <c r="Q428" i="261"/>
  <c r="V428" i="261"/>
  <c r="W428" i="261"/>
  <c r="K429" i="261"/>
  <c r="P429" i="261"/>
  <c r="Q429" i="261"/>
  <c r="J430" i="261"/>
  <c r="R430" i="261"/>
  <c r="K430" i="261"/>
  <c r="P430" i="261" s="1"/>
  <c r="Q430" i="261"/>
  <c r="J431" i="261"/>
  <c r="R431" i="261"/>
  <c r="K431" i="261" s="1"/>
  <c r="P431" i="261"/>
  <c r="Q431" i="261"/>
  <c r="R432" i="261"/>
  <c r="K432" i="261" s="1"/>
  <c r="P432" i="261" s="1"/>
  <c r="Q432" i="261"/>
  <c r="V432" i="261"/>
  <c r="W432" i="261" s="1"/>
  <c r="R433" i="261"/>
  <c r="K433" i="261" s="1"/>
  <c r="P433" i="261" s="1"/>
  <c r="Q433" i="261"/>
  <c r="V433" i="261"/>
  <c r="W433" i="261" s="1"/>
  <c r="R434" i="261"/>
  <c r="K434" i="261" s="1"/>
  <c r="L434" i="261" s="1"/>
  <c r="Q434" i="261"/>
  <c r="T434" i="261"/>
  <c r="V434" i="261"/>
  <c r="W434" i="261"/>
  <c r="R435" i="261"/>
  <c r="K435" i="261"/>
  <c r="P435" i="261" s="1"/>
  <c r="Q435" i="261"/>
  <c r="T435" i="261"/>
  <c r="V435" i="261"/>
  <c r="R436" i="261"/>
  <c r="K436" i="261" s="1"/>
  <c r="L436" i="261" s="1"/>
  <c r="Q436" i="261"/>
  <c r="T436" i="261"/>
  <c r="V436" i="261"/>
  <c r="W436" i="261" s="1"/>
  <c r="R437" i="261"/>
  <c r="K437" i="261" s="1"/>
  <c r="L437" i="261" s="1"/>
  <c r="Q437" i="261"/>
  <c r="V437" i="261"/>
  <c r="W437" i="261" s="1"/>
  <c r="R438" i="261"/>
  <c r="K438" i="261" s="1"/>
  <c r="P438" i="261" s="1"/>
  <c r="Q438" i="261"/>
  <c r="T438" i="261"/>
  <c r="V438" i="261"/>
  <c r="W438" i="261"/>
  <c r="R439" i="261"/>
  <c r="K439" i="261"/>
  <c r="Q439" i="261"/>
  <c r="V439" i="261"/>
  <c r="W439" i="261" s="1"/>
  <c r="I440" i="261"/>
  <c r="I433" i="260"/>
  <c r="I434" i="260" s="1"/>
  <c r="AO434" i="260"/>
  <c r="R10" i="260"/>
  <c r="K10" i="260" s="1"/>
  <c r="R21" i="260"/>
  <c r="K21" i="260" s="1"/>
  <c r="P21" i="260" s="1"/>
  <c r="AM21" i="260" s="1"/>
  <c r="R83" i="260"/>
  <c r="K83" i="260"/>
  <c r="R201" i="260"/>
  <c r="K201" i="260"/>
  <c r="R211" i="260"/>
  <c r="K211" i="260"/>
  <c r="R233" i="260"/>
  <c r="K233" i="260"/>
  <c r="R7" i="260"/>
  <c r="K7" i="260"/>
  <c r="R34" i="260"/>
  <c r="K34" i="260"/>
  <c r="K47" i="260"/>
  <c r="P47" i="260" s="1"/>
  <c r="R57" i="260"/>
  <c r="K57" i="260" s="1"/>
  <c r="R61" i="260"/>
  <c r="K61" i="260" s="1"/>
  <c r="P61" i="260" s="1"/>
  <c r="R62" i="260"/>
  <c r="K62" i="260" s="1"/>
  <c r="P62" i="260" s="1"/>
  <c r="R66" i="260"/>
  <c r="K66" i="260" s="1"/>
  <c r="P66" i="260" s="1"/>
  <c r="R80" i="260"/>
  <c r="K80" i="260" s="1"/>
  <c r="P80" i="260" s="1"/>
  <c r="R81" i="260"/>
  <c r="K81" i="260" s="1"/>
  <c r="P81" i="260" s="1"/>
  <c r="R85" i="260"/>
  <c r="K85" i="260" s="1"/>
  <c r="R101" i="260"/>
  <c r="K101" i="260" s="1"/>
  <c r="R108" i="260"/>
  <c r="K108" i="260"/>
  <c r="P108" i="260" s="1"/>
  <c r="R119" i="260"/>
  <c r="K119" i="260" s="1"/>
  <c r="R120" i="260"/>
  <c r="K120" i="260" s="1"/>
  <c r="R123" i="260"/>
  <c r="K123" i="260" s="1"/>
  <c r="R131" i="260"/>
  <c r="K131" i="260"/>
  <c r="R146" i="260"/>
  <c r="K146" i="260" s="1"/>
  <c r="R164" i="260"/>
  <c r="K164" i="260" s="1"/>
  <c r="P164" i="260" s="1"/>
  <c r="R202" i="260"/>
  <c r="K202" i="260" s="1"/>
  <c r="P202" i="260" s="1"/>
  <c r="R207" i="260"/>
  <c r="K207" i="260"/>
  <c r="P207" i="260" s="1"/>
  <c r="R219" i="260"/>
  <c r="K219" i="260" s="1"/>
  <c r="P219" i="260" s="1"/>
  <c r="R222" i="260"/>
  <c r="K222" i="260" s="1"/>
  <c r="R242" i="260"/>
  <c r="K242" i="260" s="1"/>
  <c r="P242" i="260" s="1"/>
  <c r="R248" i="260"/>
  <c r="K248" i="260"/>
  <c r="P248" i="260" s="1"/>
  <c r="R250" i="260"/>
  <c r="K250" i="260" s="1"/>
  <c r="P250" i="260" s="1"/>
  <c r="R262" i="260"/>
  <c r="K262" i="260" s="1"/>
  <c r="P262" i="260" s="1"/>
  <c r="R263" i="260"/>
  <c r="K263" i="260" s="1"/>
  <c r="P263" i="260" s="1"/>
  <c r="R277" i="260"/>
  <c r="K277" i="260"/>
  <c r="P277" i="260" s="1"/>
  <c r="R292" i="260"/>
  <c r="K292" i="260" s="1"/>
  <c r="P292" i="260" s="1"/>
  <c r="P306" i="260"/>
  <c r="R369" i="260"/>
  <c r="K369" i="260" s="1"/>
  <c r="P369" i="260" s="1"/>
  <c r="R420" i="260"/>
  <c r="K420" i="260" s="1"/>
  <c r="R422" i="260"/>
  <c r="K422" i="260" s="1"/>
  <c r="P422" i="260" s="1"/>
  <c r="R427" i="260"/>
  <c r="K427" i="260"/>
  <c r="R430" i="260"/>
  <c r="K430" i="260" s="1"/>
  <c r="P430" i="260" s="1"/>
  <c r="R9" i="260"/>
  <c r="K9" i="260" s="1"/>
  <c r="P9" i="260" s="1"/>
  <c r="R37" i="260"/>
  <c r="K37" i="260" s="1"/>
  <c r="P37" i="260" s="1"/>
  <c r="R39" i="260"/>
  <c r="K39" i="260"/>
  <c r="P39" i="260" s="1"/>
  <c r="P41" i="260"/>
  <c r="R43" i="260"/>
  <c r="K43" i="260" s="1"/>
  <c r="L43" i="260" s="1"/>
  <c r="K44" i="260"/>
  <c r="P50" i="260"/>
  <c r="P52" i="260"/>
  <c r="R65" i="260"/>
  <c r="K65" i="260" s="1"/>
  <c r="P65" i="260" s="1"/>
  <c r="R68" i="260"/>
  <c r="K68" i="260" s="1"/>
  <c r="P68" i="260" s="1"/>
  <c r="P72" i="260"/>
  <c r="R90" i="260"/>
  <c r="K90" i="260" s="1"/>
  <c r="P91" i="260"/>
  <c r="R99" i="260"/>
  <c r="K99" i="260" s="1"/>
  <c r="R100" i="260"/>
  <c r="K100" i="260"/>
  <c r="R109" i="260"/>
  <c r="K109" i="260" s="1"/>
  <c r="P118" i="260"/>
  <c r="P121" i="260"/>
  <c r="R125" i="260"/>
  <c r="K125" i="260" s="1"/>
  <c r="R134" i="260"/>
  <c r="K134" i="260" s="1"/>
  <c r="P134" i="260" s="1"/>
  <c r="R135" i="260"/>
  <c r="K135" i="260" s="1"/>
  <c r="R142" i="260"/>
  <c r="K142" i="260"/>
  <c r="P147" i="260"/>
  <c r="R179" i="260"/>
  <c r="K179" i="260" s="1"/>
  <c r="P179" i="260" s="1"/>
  <c r="P180" i="260"/>
  <c r="R190" i="260"/>
  <c r="K190" i="260"/>
  <c r="L190" i="260" s="1"/>
  <c r="P191" i="260"/>
  <c r="R192" i="260"/>
  <c r="K192" i="260" s="1"/>
  <c r="L192" i="260" s="1"/>
  <c r="P194" i="260"/>
  <c r="R197" i="260"/>
  <c r="K197" i="260" s="1"/>
  <c r="P198" i="260"/>
  <c r="R204" i="260"/>
  <c r="K204" i="260"/>
  <c r="R215" i="260"/>
  <c r="K215" i="260" s="1"/>
  <c r="R225" i="260"/>
  <c r="K225" i="260" s="1"/>
  <c r="P225" i="260" s="1"/>
  <c r="P228" i="260"/>
  <c r="R232" i="260"/>
  <c r="K232" i="260"/>
  <c r="L232" i="260" s="1"/>
  <c r="R241" i="260"/>
  <c r="K241" i="260"/>
  <c r="P253" i="260"/>
  <c r="P258" i="260"/>
  <c r="R307" i="260"/>
  <c r="K307" i="260" s="1"/>
  <c r="P307" i="260" s="1"/>
  <c r="R309" i="260"/>
  <c r="K309" i="260" s="1"/>
  <c r="P309" i="260" s="1"/>
  <c r="R315" i="260"/>
  <c r="K315" i="260" s="1"/>
  <c r="P315" i="260" s="1"/>
  <c r="R323" i="260"/>
  <c r="K323" i="260"/>
  <c r="R329" i="260"/>
  <c r="K329" i="260" s="1"/>
  <c r="P329" i="260" s="1"/>
  <c r="R344" i="260"/>
  <c r="K344" i="260" s="1"/>
  <c r="P344" i="260" s="1"/>
  <c r="R380" i="260"/>
  <c r="K380" i="260" s="1"/>
  <c r="R381" i="260"/>
  <c r="K381" i="260"/>
  <c r="P385" i="260"/>
  <c r="R396" i="260"/>
  <c r="K396" i="260" s="1"/>
  <c r="R399" i="260"/>
  <c r="K399" i="260" s="1"/>
  <c r="P403" i="260"/>
  <c r="P421" i="260"/>
  <c r="R425" i="260"/>
  <c r="K425" i="260"/>
  <c r="R426" i="260"/>
  <c r="K426" i="260" s="1"/>
  <c r="P426" i="260" s="1"/>
  <c r="P11" i="260"/>
  <c r="R13" i="260"/>
  <c r="K13" i="260" s="1"/>
  <c r="R18" i="260"/>
  <c r="K18" i="260" s="1"/>
  <c r="R22" i="260"/>
  <c r="K22" i="260" s="1"/>
  <c r="P23" i="260"/>
  <c r="R25" i="260"/>
  <c r="K25" i="260" s="1"/>
  <c r="P25" i="260" s="1"/>
  <c r="R26" i="260"/>
  <c r="K26" i="260"/>
  <c r="R27" i="260"/>
  <c r="K27" i="260" s="1"/>
  <c r="R28" i="260"/>
  <c r="K28" i="260" s="1"/>
  <c r="P28" i="260" s="1"/>
  <c r="P31" i="260"/>
  <c r="R36" i="260"/>
  <c r="K36" i="260"/>
  <c r="P36" i="260" s="1"/>
  <c r="R38" i="260"/>
  <c r="K38" i="260" s="1"/>
  <c r="R40" i="260"/>
  <c r="K40" i="260" s="1"/>
  <c r="P40" i="260" s="1"/>
  <c r="P42" i="260"/>
  <c r="R46" i="260"/>
  <c r="K46" i="260"/>
  <c r="P46" i="260" s="1"/>
  <c r="R48" i="260"/>
  <c r="K48" i="260" s="1"/>
  <c r="P48" i="260" s="1"/>
  <c r="R49" i="260"/>
  <c r="K49" i="260" s="1"/>
  <c r="P49" i="260" s="1"/>
  <c r="P55" i="260"/>
  <c r="R56" i="260"/>
  <c r="K56" i="260"/>
  <c r="P56" i="260" s="1"/>
  <c r="R58" i="260"/>
  <c r="K58" i="260" s="1"/>
  <c r="P58" i="260" s="1"/>
  <c r="R59" i="260"/>
  <c r="K59" i="260" s="1"/>
  <c r="P59" i="260" s="1"/>
  <c r="R60" i="260"/>
  <c r="K60" i="260" s="1"/>
  <c r="P60" i="260" s="1"/>
  <c r="R63" i="260"/>
  <c r="K63" i="260"/>
  <c r="P63" i="260" s="1"/>
  <c r="R67" i="260"/>
  <c r="K67" i="260" s="1"/>
  <c r="R69" i="260"/>
  <c r="K69" i="260" s="1"/>
  <c r="P69" i="260" s="1"/>
  <c r="R73" i="260"/>
  <c r="K73" i="260" s="1"/>
  <c r="P73" i="260" s="1"/>
  <c r="P74" i="260"/>
  <c r="R75" i="260"/>
  <c r="K75" i="260" s="1"/>
  <c r="R78" i="260"/>
  <c r="K78" i="260"/>
  <c r="R82" i="260"/>
  <c r="K82" i="260" s="1"/>
  <c r="P82" i="260" s="1"/>
  <c r="R84" i="260"/>
  <c r="K84" i="260" s="1"/>
  <c r="R86" i="260"/>
  <c r="K86" i="260" s="1"/>
  <c r="R87" i="260"/>
  <c r="K87" i="260"/>
  <c r="P87" i="260" s="1"/>
  <c r="P88" i="260"/>
  <c r="P89" i="260"/>
  <c r="R94" i="260"/>
  <c r="K94" i="260" s="1"/>
  <c r="P94" i="260" s="1"/>
  <c r="R95" i="260"/>
  <c r="K95" i="260" s="1"/>
  <c r="P95" i="260" s="1"/>
  <c r="R97" i="260"/>
  <c r="K97" i="260" s="1"/>
  <c r="P97" i="260" s="1"/>
  <c r="R98" i="260"/>
  <c r="K98" i="260"/>
  <c r="P98" i="260" s="1"/>
  <c r="R102" i="260"/>
  <c r="K102" i="260" s="1"/>
  <c r="R103" i="260"/>
  <c r="K103" i="260" s="1"/>
  <c r="R104" i="260"/>
  <c r="K104" i="260" s="1"/>
  <c r="R105" i="260"/>
  <c r="K105" i="260"/>
  <c r="P105" i="260" s="1"/>
  <c r="R106" i="260"/>
  <c r="K106" i="260" s="1"/>
  <c r="P107" i="260"/>
  <c r="R110" i="260"/>
  <c r="K110" i="260" s="1"/>
  <c r="R112" i="260"/>
  <c r="K112" i="260" s="1"/>
  <c r="R113" i="260"/>
  <c r="K113" i="260" s="1"/>
  <c r="P116" i="260"/>
  <c r="R117" i="260"/>
  <c r="K117" i="260" s="1"/>
  <c r="P117" i="260" s="1"/>
  <c r="R122" i="260"/>
  <c r="K122" i="260"/>
  <c r="P122" i="260" s="1"/>
  <c r="R124" i="260"/>
  <c r="K124" i="260" s="1"/>
  <c r="P126" i="260"/>
  <c r="R127" i="260"/>
  <c r="K127" i="260" s="1"/>
  <c r="R128" i="260"/>
  <c r="K128" i="260" s="1"/>
  <c r="R129" i="260"/>
  <c r="K129" i="260" s="1"/>
  <c r="R130" i="260"/>
  <c r="K130" i="260"/>
  <c r="P130" i="260" s="1"/>
  <c r="R136" i="260"/>
  <c r="K136" i="260" s="1"/>
  <c r="R137" i="260"/>
  <c r="K137" i="260" s="1"/>
  <c r="P137" i="260" s="1"/>
  <c r="R138" i="260"/>
  <c r="K138" i="260" s="1"/>
  <c r="R139" i="260"/>
  <c r="K139" i="260"/>
  <c r="R162" i="260"/>
  <c r="K162" i="260" s="1"/>
  <c r="R163" i="260"/>
  <c r="K163" i="260" s="1"/>
  <c r="P163" i="260" s="1"/>
  <c r="R165" i="260"/>
  <c r="K165" i="260" s="1"/>
  <c r="R167" i="260"/>
  <c r="K167" i="260"/>
  <c r="P167" i="260" s="1"/>
  <c r="R168" i="260"/>
  <c r="K168" i="260" s="1"/>
  <c r="R169" i="260"/>
  <c r="K169" i="260" s="1"/>
  <c r="R170" i="260"/>
  <c r="K170" i="260" s="1"/>
  <c r="R171" i="260"/>
  <c r="K171" i="260"/>
  <c r="P171" i="260" s="1"/>
  <c r="R172" i="260"/>
  <c r="K172" i="260" s="1"/>
  <c r="R173" i="260"/>
  <c r="K173" i="260" s="1"/>
  <c r="R174" i="260"/>
  <c r="K174" i="260" s="1"/>
  <c r="R177" i="260"/>
  <c r="K177" i="260"/>
  <c r="R178" i="260"/>
  <c r="K178" i="260" s="1"/>
  <c r="R181" i="260"/>
  <c r="K181" i="260" s="1"/>
  <c r="P181" i="260" s="1"/>
  <c r="R182" i="260"/>
  <c r="K182" i="260" s="1"/>
  <c r="R183" i="260"/>
  <c r="K183" i="260"/>
  <c r="R184" i="260"/>
  <c r="K184" i="260" s="1"/>
  <c r="R185" i="260"/>
  <c r="K185" i="260" s="1"/>
  <c r="P185" i="260" s="1"/>
  <c r="P186" i="260"/>
  <c r="R187" i="260"/>
  <c r="K187" i="260"/>
  <c r="P187" i="260" s="1"/>
  <c r="R188" i="260"/>
  <c r="K188" i="260" s="1"/>
  <c r="P188" i="260" s="1"/>
  <c r="R189" i="260"/>
  <c r="K189" i="260" s="1"/>
  <c r="R193" i="260"/>
  <c r="K193" i="260" s="1"/>
  <c r="P193" i="260" s="1"/>
  <c r="R195" i="260"/>
  <c r="K195" i="260"/>
  <c r="R199" i="260"/>
  <c r="K199" i="260" s="1"/>
  <c r="P199" i="260" s="1"/>
  <c r="R200" i="260"/>
  <c r="K200" i="260" s="1"/>
  <c r="R205" i="260"/>
  <c r="K205" i="260" s="1"/>
  <c r="R206" i="260"/>
  <c r="K206" i="260"/>
  <c r="P206" i="260" s="1"/>
  <c r="R208" i="260"/>
  <c r="K208" i="260" s="1"/>
  <c r="P208" i="260" s="1"/>
  <c r="R209" i="260"/>
  <c r="K209" i="260" s="1"/>
  <c r="P209" i="260" s="1"/>
  <c r="R210" i="260"/>
  <c r="K210" i="260" s="1"/>
  <c r="R212" i="260"/>
  <c r="K212" i="260"/>
  <c r="P212" i="260" s="1"/>
  <c r="R213" i="260"/>
  <c r="K213" i="260" s="1"/>
  <c r="P213" i="260" s="1"/>
  <c r="R214" i="260"/>
  <c r="K214" i="260" s="1"/>
  <c r="P214" i="260" s="1"/>
  <c r="R216" i="260"/>
  <c r="K216" i="260" s="1"/>
  <c r="P216" i="260" s="1"/>
  <c r="R217" i="260"/>
  <c r="K217" i="260"/>
  <c r="P217" i="260" s="1"/>
  <c r="R218" i="260"/>
  <c r="K218" i="260" s="1"/>
  <c r="R220" i="260"/>
  <c r="K220" i="260" s="1"/>
  <c r="R221" i="260"/>
  <c r="K221" i="260" s="1"/>
  <c r="P223" i="260"/>
  <c r="R224" i="260"/>
  <c r="K224" i="260" s="1"/>
  <c r="R226" i="260"/>
  <c r="K226" i="260"/>
  <c r="P226" i="260" s="1"/>
  <c r="R227" i="260"/>
  <c r="K227" i="260" s="1"/>
  <c r="P227" i="260" s="1"/>
  <c r="R229" i="260"/>
  <c r="K229" i="260" s="1"/>
  <c r="P229" i="260" s="1"/>
  <c r="P230" i="260"/>
  <c r="R231" i="260"/>
  <c r="K231" i="260"/>
  <c r="R234" i="260"/>
  <c r="K234" i="260" s="1"/>
  <c r="P234" i="260" s="1"/>
  <c r="R236" i="260"/>
  <c r="K236" i="260" s="1"/>
  <c r="R237" i="260"/>
  <c r="K237" i="260" s="1"/>
  <c r="P237" i="260" s="1"/>
  <c r="R238" i="260"/>
  <c r="K238" i="260"/>
  <c r="P238" i="260" s="1"/>
  <c r="R239" i="260"/>
  <c r="K239" i="260" s="1"/>
  <c r="P239" i="260" s="1"/>
  <c r="R240" i="260"/>
  <c r="K240" i="260" s="1"/>
  <c r="P240" i="260" s="1"/>
  <c r="R243" i="260"/>
  <c r="K243" i="260" s="1"/>
  <c r="P244" i="260"/>
  <c r="R245" i="260"/>
  <c r="K245" i="260" s="1"/>
  <c r="P249" i="260"/>
  <c r="R251" i="260"/>
  <c r="K251" i="260" s="1"/>
  <c r="R252" i="260"/>
  <c r="K252" i="260"/>
  <c r="P252" i="260" s="1"/>
  <c r="R254" i="260"/>
  <c r="K254" i="260" s="1"/>
  <c r="P254" i="260" s="1"/>
  <c r="R255" i="260"/>
  <c r="K255" i="260" s="1"/>
  <c r="P255" i="260" s="1"/>
  <c r="R256" i="260"/>
  <c r="K256" i="260" s="1"/>
  <c r="P256" i="260" s="1"/>
  <c r="R257" i="260"/>
  <c r="K257" i="260"/>
  <c r="P257" i="260" s="1"/>
  <c r="R259" i="260"/>
  <c r="K259" i="260" s="1"/>
  <c r="P259" i="260" s="1"/>
  <c r="R260" i="260"/>
  <c r="K260" i="260" s="1"/>
  <c r="P260" i="260" s="1"/>
  <c r="R261" i="260"/>
  <c r="K261" i="260" s="1"/>
  <c r="P261" i="260" s="1"/>
  <c r="R264" i="260"/>
  <c r="K264" i="260"/>
  <c r="P264" i="260" s="1"/>
  <c r="R265" i="260"/>
  <c r="K265" i="260" s="1"/>
  <c r="P265" i="260" s="1"/>
  <c r="R266" i="260"/>
  <c r="K266" i="260" s="1"/>
  <c r="R267" i="260"/>
  <c r="K267" i="260" s="1"/>
  <c r="R270" i="260"/>
  <c r="K270" i="260"/>
  <c r="P270" i="260" s="1"/>
  <c r="R271" i="260"/>
  <c r="K271" i="260" s="1"/>
  <c r="P271" i="260" s="1"/>
  <c r="R276" i="260"/>
  <c r="K276" i="260" s="1"/>
  <c r="P276" i="260" s="1"/>
  <c r="R279" i="260"/>
  <c r="K279" i="260" s="1"/>
  <c r="P279" i="260" s="1"/>
  <c r="R280" i="260"/>
  <c r="K280" i="260"/>
  <c r="P281" i="260"/>
  <c r="P282" i="260"/>
  <c r="R283" i="260"/>
  <c r="K283" i="260" s="1"/>
  <c r="P283" i="260" s="1"/>
  <c r="R284" i="260"/>
  <c r="K284" i="260" s="1"/>
  <c r="P284" i="260" s="1"/>
  <c r="P285" i="260"/>
  <c r="R288" i="260"/>
  <c r="K288" i="260"/>
  <c r="P288" i="260" s="1"/>
  <c r="P290" i="260"/>
  <c r="R293" i="260"/>
  <c r="K293" i="260" s="1"/>
  <c r="P293" i="260" s="1"/>
  <c r="P294" i="260"/>
  <c r="R295" i="260"/>
  <c r="K295" i="260"/>
  <c r="P295" i="260" s="1"/>
  <c r="R296" i="260"/>
  <c r="K296" i="260" s="1"/>
  <c r="P296" i="260" s="1"/>
  <c r="R297" i="260"/>
  <c r="K297" i="260" s="1"/>
  <c r="P297" i="260" s="1"/>
  <c r="R298" i="260"/>
  <c r="K298" i="260" s="1"/>
  <c r="R299" i="260"/>
  <c r="K299" i="260"/>
  <c r="P299" i="260" s="1"/>
  <c r="R300" i="260"/>
  <c r="K300" i="260" s="1"/>
  <c r="P300" i="260" s="1"/>
  <c r="R301" i="260"/>
  <c r="K301" i="260" s="1"/>
  <c r="P301" i="260" s="1"/>
  <c r="R302" i="260"/>
  <c r="K302" i="260" s="1"/>
  <c r="R303" i="260"/>
  <c r="K303" i="260"/>
  <c r="P303" i="260" s="1"/>
  <c r="R305" i="260"/>
  <c r="K305" i="260" s="1"/>
  <c r="P305" i="260" s="1"/>
  <c r="R308" i="260"/>
  <c r="K308" i="260" s="1"/>
  <c r="R310" i="260"/>
  <c r="K310" i="260" s="1"/>
  <c r="P310" i="260" s="1"/>
  <c r="R311" i="260"/>
  <c r="K311" i="260"/>
  <c r="P311" i="260" s="1"/>
  <c r="R312" i="260"/>
  <c r="K312" i="260" s="1"/>
  <c r="P312" i="260" s="1"/>
  <c r="R313" i="260"/>
  <c r="K313" i="260" s="1"/>
  <c r="P313" i="260" s="1"/>
  <c r="R314" i="260"/>
  <c r="K314" i="260" s="1"/>
  <c r="P314" i="260" s="1"/>
  <c r="R316" i="260"/>
  <c r="K316" i="260"/>
  <c r="P316" i="260" s="1"/>
  <c r="R317" i="260"/>
  <c r="K317" i="260" s="1"/>
  <c r="P317" i="260" s="1"/>
  <c r="R318" i="260"/>
  <c r="K318" i="260" s="1"/>
  <c r="P318" i="260" s="1"/>
  <c r="R319" i="260"/>
  <c r="K319" i="260" s="1"/>
  <c r="P319" i="260" s="1"/>
  <c r="R320" i="260"/>
  <c r="K320" i="260"/>
  <c r="P320" i="260" s="1"/>
  <c r="R321" i="260"/>
  <c r="K321" i="260" s="1"/>
  <c r="P321" i="260" s="1"/>
  <c r="R324" i="260"/>
  <c r="K324" i="260" s="1"/>
  <c r="P324" i="260" s="1"/>
  <c r="R325" i="260"/>
  <c r="K325" i="260" s="1"/>
  <c r="P325" i="260" s="1"/>
  <c r="R326" i="260"/>
  <c r="K326" i="260"/>
  <c r="R327" i="260"/>
  <c r="K327" i="260" s="1"/>
  <c r="P327" i="260" s="1"/>
  <c r="R328" i="260"/>
  <c r="K328" i="260" s="1"/>
  <c r="P328" i="260" s="1"/>
  <c r="R330" i="260"/>
  <c r="K330" i="260" s="1"/>
  <c r="P330" i="260" s="1"/>
  <c r="R331" i="260"/>
  <c r="K331" i="260"/>
  <c r="P331" i="260" s="1"/>
  <c r="R332" i="260"/>
  <c r="K332" i="260" s="1"/>
  <c r="P332" i="260" s="1"/>
  <c r="R333" i="260"/>
  <c r="K333" i="260" s="1"/>
  <c r="P333" i="260" s="1"/>
  <c r="R334" i="260"/>
  <c r="K334" i="260" s="1"/>
  <c r="P334" i="260" s="1"/>
  <c r="R335" i="260"/>
  <c r="K335" i="260"/>
  <c r="R338" i="260"/>
  <c r="K338" i="260" s="1"/>
  <c r="P338" i="260" s="1"/>
  <c r="R339" i="260"/>
  <c r="K339" i="260" s="1"/>
  <c r="P339" i="260" s="1"/>
  <c r="R340" i="260"/>
  <c r="K340" i="260" s="1"/>
  <c r="R341" i="260"/>
  <c r="K341" i="260"/>
  <c r="P341" i="260" s="1"/>
  <c r="R342" i="260"/>
  <c r="K342" i="260" s="1"/>
  <c r="P342" i="260" s="1"/>
  <c r="R343" i="260"/>
  <c r="K343" i="260" s="1"/>
  <c r="P343" i="260" s="1"/>
  <c r="R345" i="260"/>
  <c r="K345" i="260" s="1"/>
  <c r="P345" i="260" s="1"/>
  <c r="R346" i="260"/>
  <c r="K346" i="260"/>
  <c r="P346" i="260" s="1"/>
  <c r="R347" i="260"/>
  <c r="K347" i="260" s="1"/>
  <c r="P347" i="260" s="1"/>
  <c r="R348" i="260"/>
  <c r="K348" i="260" s="1"/>
  <c r="P348" i="260" s="1"/>
  <c r="R349" i="260"/>
  <c r="K349" i="260" s="1"/>
  <c r="P349" i="260" s="1"/>
  <c r="R350" i="260"/>
  <c r="K350" i="260"/>
  <c r="P350" i="260" s="1"/>
  <c r="R351" i="260"/>
  <c r="K351" i="260" s="1"/>
  <c r="P351" i="260" s="1"/>
  <c r="R352" i="260"/>
  <c r="K352" i="260" s="1"/>
  <c r="P352" i="260" s="1"/>
  <c r="R353" i="260"/>
  <c r="K353" i="260" s="1"/>
  <c r="P353" i="260" s="1"/>
  <c r="R354" i="260"/>
  <c r="K354" i="260"/>
  <c r="P354" i="260" s="1"/>
  <c r="R355" i="260"/>
  <c r="K355" i="260" s="1"/>
  <c r="P355" i="260" s="1"/>
  <c r="R356" i="260"/>
  <c r="K356" i="260" s="1"/>
  <c r="P356" i="260" s="1"/>
  <c r="R357" i="260"/>
  <c r="K357" i="260" s="1"/>
  <c r="R358" i="260"/>
  <c r="K358" i="260"/>
  <c r="P358" i="260" s="1"/>
  <c r="R359" i="260"/>
  <c r="K359" i="260" s="1"/>
  <c r="P359" i="260" s="1"/>
  <c r="R360" i="260"/>
  <c r="K360" i="260" s="1"/>
  <c r="R361" i="260"/>
  <c r="K361" i="260" s="1"/>
  <c r="P361" i="260" s="1"/>
  <c r="P362" i="260"/>
  <c r="R363" i="260"/>
  <c r="K363" i="260" s="1"/>
  <c r="P363" i="260" s="1"/>
  <c r="R364" i="260"/>
  <c r="K364" i="260"/>
  <c r="P364" i="260" s="1"/>
  <c r="R365" i="260"/>
  <c r="K365" i="260" s="1"/>
  <c r="P365" i="260" s="1"/>
  <c r="R366" i="260"/>
  <c r="K366" i="260" s="1"/>
  <c r="P366" i="260" s="1"/>
  <c r="R367" i="260"/>
  <c r="K367" i="260" s="1"/>
  <c r="P367" i="260" s="1"/>
  <c r="R368" i="260"/>
  <c r="K368" i="260"/>
  <c r="P368" i="260" s="1"/>
  <c r="R370" i="260"/>
  <c r="K370" i="260" s="1"/>
  <c r="P370" i="260" s="1"/>
  <c r="R373" i="260"/>
  <c r="K373" i="260" s="1"/>
  <c r="P373" i="260" s="1"/>
  <c r="R377" i="260"/>
  <c r="K377" i="260" s="1"/>
  <c r="R378" i="260"/>
  <c r="K378" i="260"/>
  <c r="R379" i="260"/>
  <c r="K379" i="260" s="1"/>
  <c r="P379" i="260" s="1"/>
  <c r="P382" i="260"/>
  <c r="R383" i="260"/>
  <c r="K383" i="260" s="1"/>
  <c r="P383" i="260" s="1"/>
  <c r="R384" i="260"/>
  <c r="K384" i="260" s="1"/>
  <c r="P384" i="260" s="1"/>
  <c r="R388" i="260"/>
  <c r="K388" i="260" s="1"/>
  <c r="P388" i="260" s="1"/>
  <c r="R389" i="260"/>
  <c r="K389" i="260"/>
  <c r="R390" i="260"/>
  <c r="K390" i="260" s="1"/>
  <c r="P390" i="260" s="1"/>
  <c r="R391" i="260"/>
  <c r="K391" i="260" s="1"/>
  <c r="P391" i="260" s="1"/>
  <c r="R392" i="260"/>
  <c r="K392" i="260" s="1"/>
  <c r="P392" i="260" s="1"/>
  <c r="P393" i="260"/>
  <c r="R394" i="260"/>
  <c r="K394" i="260" s="1"/>
  <c r="P394" i="260" s="1"/>
  <c r="R395" i="260"/>
  <c r="K395" i="260"/>
  <c r="P395" i="260" s="1"/>
  <c r="R397" i="260"/>
  <c r="K397" i="260" s="1"/>
  <c r="P397" i="260" s="1"/>
  <c r="R398" i="260"/>
  <c r="K398" i="260" s="1"/>
  <c r="P398" i="260" s="1"/>
  <c r="R400" i="260"/>
  <c r="K400" i="260" s="1"/>
  <c r="P400" i="260" s="1"/>
  <c r="R401" i="260"/>
  <c r="K401" i="260"/>
  <c r="P401" i="260" s="1"/>
  <c r="R402" i="260"/>
  <c r="K402" i="260" s="1"/>
  <c r="P402" i="260" s="1"/>
  <c r="R404" i="260"/>
  <c r="K404" i="260" s="1"/>
  <c r="P404" i="260" s="1"/>
  <c r="R406" i="260"/>
  <c r="K406" i="260" s="1"/>
  <c r="P406" i="260" s="1"/>
  <c r="R407" i="260"/>
  <c r="K407" i="260"/>
  <c r="P407" i="260" s="1"/>
  <c r="R408" i="260"/>
  <c r="K408" i="260" s="1"/>
  <c r="P408" i="260" s="1"/>
  <c r="R409" i="260"/>
  <c r="K409" i="260" s="1"/>
  <c r="P409" i="260" s="1"/>
  <c r="R410" i="260"/>
  <c r="K410" i="260" s="1"/>
  <c r="P410" i="260" s="1"/>
  <c r="R411" i="260"/>
  <c r="K411" i="260"/>
  <c r="P411" i="260" s="1"/>
  <c r="R412" i="260"/>
  <c r="K412" i="260" s="1"/>
  <c r="P412" i="260" s="1"/>
  <c r="R413" i="260"/>
  <c r="K413" i="260" s="1"/>
  <c r="R414" i="260"/>
  <c r="K414" i="260" s="1"/>
  <c r="R415" i="260"/>
  <c r="K415" i="260"/>
  <c r="P415" i="260" s="1"/>
  <c r="R416" i="260"/>
  <c r="K416" i="260" s="1"/>
  <c r="P416" i="260" s="1"/>
  <c r="R417" i="260"/>
  <c r="K417" i="260" s="1"/>
  <c r="P417" i="260" s="1"/>
  <c r="R418" i="260"/>
  <c r="K418" i="260" s="1"/>
  <c r="P418" i="260" s="1"/>
  <c r="R419" i="260"/>
  <c r="K419" i="260"/>
  <c r="R423" i="260"/>
  <c r="K423" i="260" s="1"/>
  <c r="P423" i="260" s="1"/>
  <c r="R424" i="260"/>
  <c r="K424" i="260" s="1"/>
  <c r="P424" i="260" s="1"/>
  <c r="R428" i="260"/>
  <c r="K428" i="260" s="1"/>
  <c r="P428" i="260" s="1"/>
  <c r="R429" i="260"/>
  <c r="K429" i="260"/>
  <c r="R431" i="260"/>
  <c r="K431" i="260" s="1"/>
  <c r="P431" i="260" s="1"/>
  <c r="R432" i="260"/>
  <c r="K432" i="260" s="1"/>
  <c r="P432" i="260" s="1"/>
  <c r="P440" i="260"/>
  <c r="J292" i="260"/>
  <c r="R7" i="258"/>
  <c r="K7" i="258" s="1"/>
  <c r="P7" i="258" s="1"/>
  <c r="R9" i="258"/>
  <c r="K9" i="258"/>
  <c r="P9" i="258" s="1"/>
  <c r="R21" i="258"/>
  <c r="K21" i="258" s="1"/>
  <c r="P21" i="258" s="1"/>
  <c r="R37" i="258"/>
  <c r="K37" i="258" s="1"/>
  <c r="P37" i="258" s="1"/>
  <c r="R39" i="258"/>
  <c r="K39" i="258" s="1"/>
  <c r="P39" i="258" s="1"/>
  <c r="P41" i="258"/>
  <c r="R43" i="258"/>
  <c r="K43" i="258" s="1"/>
  <c r="P43" i="258" s="1"/>
  <c r="K44" i="258"/>
  <c r="P44" i="258"/>
  <c r="K47" i="258"/>
  <c r="P47" i="258"/>
  <c r="R48" i="258"/>
  <c r="K48" i="258"/>
  <c r="P48" i="258" s="1"/>
  <c r="R49" i="258"/>
  <c r="K49" i="258" s="1"/>
  <c r="P49" i="258" s="1"/>
  <c r="P50" i="258"/>
  <c r="P52" i="258"/>
  <c r="R63" i="258"/>
  <c r="K63" i="258" s="1"/>
  <c r="P63" i="258" s="1"/>
  <c r="R65" i="258"/>
  <c r="K65" i="258" s="1"/>
  <c r="P65" i="258" s="1"/>
  <c r="R67" i="258"/>
  <c r="K67" i="258"/>
  <c r="P67" i="258" s="1"/>
  <c r="R68" i="258"/>
  <c r="K68" i="258" s="1"/>
  <c r="P68" i="258" s="1"/>
  <c r="P72" i="258"/>
  <c r="P74" i="258"/>
  <c r="P79" i="258"/>
  <c r="R83" i="258"/>
  <c r="K83" i="258" s="1"/>
  <c r="R85" i="258"/>
  <c r="K85" i="258" s="1"/>
  <c r="R90" i="258"/>
  <c r="K90" i="258" s="1"/>
  <c r="P90" i="258" s="1"/>
  <c r="P91" i="258"/>
  <c r="R99" i="258"/>
  <c r="K99" i="258" s="1"/>
  <c r="P99" i="258" s="1"/>
  <c r="R100" i="258"/>
  <c r="K100" i="258" s="1"/>
  <c r="R101" i="258"/>
  <c r="K101" i="258" s="1"/>
  <c r="P101" i="258" s="1"/>
  <c r="R109" i="258"/>
  <c r="K109" i="258"/>
  <c r="P109" i="258" s="1"/>
  <c r="R117" i="258"/>
  <c r="K117" i="258" s="1"/>
  <c r="P117" i="258" s="1"/>
  <c r="P118" i="258"/>
  <c r="R119" i="258"/>
  <c r="K119" i="258" s="1"/>
  <c r="P119" i="258" s="1"/>
  <c r="R120" i="258"/>
  <c r="K120" i="258" s="1"/>
  <c r="P120" i="258" s="1"/>
  <c r="P121" i="258"/>
  <c r="R123" i="258"/>
  <c r="K123" i="258"/>
  <c r="P123" i="258" s="1"/>
  <c r="R125" i="258"/>
  <c r="K125" i="258" s="1"/>
  <c r="R134" i="258"/>
  <c r="K134" i="258" s="1"/>
  <c r="P134" i="258" s="1"/>
  <c r="R135" i="258"/>
  <c r="K135" i="258"/>
  <c r="P135" i="258" s="1"/>
  <c r="R142" i="258"/>
  <c r="K142" i="258" s="1"/>
  <c r="P142" i="258" s="1"/>
  <c r="R146" i="258"/>
  <c r="K146" i="258" s="1"/>
  <c r="P146" i="258" s="1"/>
  <c r="P147" i="258"/>
  <c r="R162" i="258"/>
  <c r="K162" i="258"/>
  <c r="P162" i="258" s="1"/>
  <c r="R163" i="258"/>
  <c r="K163" i="258" s="1"/>
  <c r="P163" i="258" s="1"/>
  <c r="R164" i="258"/>
  <c r="K164" i="258" s="1"/>
  <c r="P164" i="258" s="1"/>
  <c r="R167" i="258"/>
  <c r="K167" i="258" s="1"/>
  <c r="P167" i="258" s="1"/>
  <c r="R170" i="258"/>
  <c r="K170" i="258"/>
  <c r="P170" i="258" s="1"/>
  <c r="R179" i="258"/>
  <c r="K179" i="258" s="1"/>
  <c r="P179" i="258" s="1"/>
  <c r="P180" i="258"/>
  <c r="P191" i="258"/>
  <c r="R192" i="258"/>
  <c r="K192" i="258" s="1"/>
  <c r="P194" i="258"/>
  <c r="R195" i="258"/>
  <c r="K195" i="258" s="1"/>
  <c r="P195" i="258" s="1"/>
  <c r="R197" i="258"/>
  <c r="K197" i="258" s="1"/>
  <c r="P197" i="258" s="1"/>
  <c r="P198" i="258"/>
  <c r="R201" i="258"/>
  <c r="K201" i="258"/>
  <c r="R202" i="258"/>
  <c r="K202" i="258"/>
  <c r="P202" i="258" s="1"/>
  <c r="R204" i="258"/>
  <c r="K204" i="258" s="1"/>
  <c r="P204" i="258" s="1"/>
  <c r="R205" i="258"/>
  <c r="K205" i="258" s="1"/>
  <c r="P205" i="258" s="1"/>
  <c r="R207" i="258"/>
  <c r="K207" i="258" s="1"/>
  <c r="P207" i="258" s="1"/>
  <c r="R215" i="258"/>
  <c r="K215" i="258"/>
  <c r="P215" i="258" s="1"/>
  <c r="R225" i="258"/>
  <c r="K225" i="258" s="1"/>
  <c r="P225" i="258" s="1"/>
  <c r="P228" i="258"/>
  <c r="R231" i="258"/>
  <c r="K231" i="258" s="1"/>
  <c r="P231" i="258" s="1"/>
  <c r="R232" i="258"/>
  <c r="K232" i="258" s="1"/>
  <c r="P233" i="258"/>
  <c r="P235" i="258"/>
  <c r="R241" i="258"/>
  <c r="K241" i="258" s="1"/>
  <c r="P241" i="258" s="1"/>
  <c r="P246" i="258"/>
  <c r="R248" i="258"/>
  <c r="K248" i="258"/>
  <c r="P248" i="258" s="1"/>
  <c r="R250" i="258"/>
  <c r="K250" i="258" s="1"/>
  <c r="P250" i="258" s="1"/>
  <c r="P253" i="258"/>
  <c r="P258" i="258"/>
  <c r="R262" i="258"/>
  <c r="K262" i="258" s="1"/>
  <c r="P262" i="258" s="1"/>
  <c r="R265" i="258"/>
  <c r="K265" i="258" s="1"/>
  <c r="P265" i="258" s="1"/>
  <c r="P282" i="258"/>
  <c r="R298" i="258"/>
  <c r="K298" i="258" s="1"/>
  <c r="P298" i="258" s="1"/>
  <c r="P306" i="258"/>
  <c r="R307" i="258"/>
  <c r="K307" i="258" s="1"/>
  <c r="P307" i="258" s="1"/>
  <c r="R309" i="258"/>
  <c r="K309" i="258"/>
  <c r="P309" i="258" s="1"/>
  <c r="R315" i="258"/>
  <c r="K315" i="258" s="1"/>
  <c r="P315" i="258" s="1"/>
  <c r="R316" i="258"/>
  <c r="K316" i="258" s="1"/>
  <c r="P316" i="258" s="1"/>
  <c r="R323" i="258"/>
  <c r="K323" i="258" s="1"/>
  <c r="P323" i="258" s="1"/>
  <c r="R329" i="258"/>
  <c r="K329" i="258"/>
  <c r="P329" i="258" s="1"/>
  <c r="R344" i="258"/>
  <c r="K344" i="258" s="1"/>
  <c r="P344" i="258" s="1"/>
  <c r="R380" i="258"/>
  <c r="K380" i="258" s="1"/>
  <c r="P380" i="258" s="1"/>
  <c r="R381" i="258"/>
  <c r="K381" i="258" s="1"/>
  <c r="P381" i="258" s="1"/>
  <c r="P385" i="258"/>
  <c r="R394" i="258"/>
  <c r="K394" i="258" s="1"/>
  <c r="P394" i="258" s="1"/>
  <c r="R396" i="258"/>
  <c r="K396" i="258"/>
  <c r="P396" i="258" s="1"/>
  <c r="R399" i="258"/>
  <c r="K399" i="258" s="1"/>
  <c r="P399" i="258" s="1"/>
  <c r="P403" i="258"/>
  <c r="R420" i="258"/>
  <c r="K420" i="258" s="1"/>
  <c r="P420" i="258" s="1"/>
  <c r="P421" i="258"/>
  <c r="R425" i="258"/>
  <c r="K425" i="258" s="1"/>
  <c r="P425" i="258" s="1"/>
  <c r="R426" i="258"/>
  <c r="K426" i="258" s="1"/>
  <c r="P426" i="258" s="1"/>
  <c r="R428" i="258"/>
  <c r="K428" i="258" s="1"/>
  <c r="P428" i="258" s="1"/>
  <c r="R429" i="258"/>
  <c r="K429" i="258"/>
  <c r="P429" i="258" s="1"/>
  <c r="P11" i="258"/>
  <c r="R13" i="258"/>
  <c r="K13" i="258" s="1"/>
  <c r="P13" i="258" s="1"/>
  <c r="R18" i="258"/>
  <c r="K18" i="258" s="1"/>
  <c r="P18" i="258" s="1"/>
  <c r="R22" i="258"/>
  <c r="K22" i="258"/>
  <c r="P23" i="258"/>
  <c r="R25" i="258"/>
  <c r="K25" i="258" s="1"/>
  <c r="P25" i="258" s="1"/>
  <c r="R26" i="258"/>
  <c r="K26" i="258" s="1"/>
  <c r="P26" i="258" s="1"/>
  <c r="R27" i="258"/>
  <c r="K27" i="258"/>
  <c r="P27" i="258" s="1"/>
  <c r="R28" i="258"/>
  <c r="K28" i="258" s="1"/>
  <c r="P28" i="258" s="1"/>
  <c r="P31" i="258"/>
  <c r="P34" i="258"/>
  <c r="R36" i="258"/>
  <c r="K36" i="258" s="1"/>
  <c r="P36" i="258" s="1"/>
  <c r="R38" i="258"/>
  <c r="K38" i="258" s="1"/>
  <c r="P38" i="258" s="1"/>
  <c r="R40" i="258"/>
  <c r="K40" i="258"/>
  <c r="P42" i="258"/>
  <c r="R46" i="258"/>
  <c r="K46" i="258" s="1"/>
  <c r="P46" i="258" s="1"/>
  <c r="P55" i="258"/>
  <c r="R56" i="258"/>
  <c r="K56" i="258"/>
  <c r="P56" i="258" s="1"/>
  <c r="R57" i="258"/>
  <c r="K57" i="258" s="1"/>
  <c r="P57" i="258" s="1"/>
  <c r="R58" i="258"/>
  <c r="K58" i="258" s="1"/>
  <c r="P58" i="258" s="1"/>
  <c r="R59" i="258"/>
  <c r="K59" i="258" s="1"/>
  <c r="P59" i="258" s="1"/>
  <c r="R60" i="258"/>
  <c r="K60" i="258"/>
  <c r="P60" i="258" s="1"/>
  <c r="R61" i="258"/>
  <c r="K61" i="258" s="1"/>
  <c r="P61" i="258" s="1"/>
  <c r="R62" i="258"/>
  <c r="K62" i="258" s="1"/>
  <c r="P62" i="258" s="1"/>
  <c r="R66" i="258"/>
  <c r="K66" i="258" s="1"/>
  <c r="P66" i="258" s="1"/>
  <c r="R69" i="258"/>
  <c r="K69" i="258"/>
  <c r="R73" i="258"/>
  <c r="K73" i="258" s="1"/>
  <c r="P73" i="258" s="1"/>
  <c r="R75" i="258"/>
  <c r="K75" i="258" s="1"/>
  <c r="P75" i="258" s="1"/>
  <c r="R78" i="258"/>
  <c r="K78" i="258" s="1"/>
  <c r="R80" i="258"/>
  <c r="K80" i="258"/>
  <c r="P80" i="258" s="1"/>
  <c r="R81" i="258"/>
  <c r="K81" i="258" s="1"/>
  <c r="P81" i="258" s="1"/>
  <c r="R82" i="258"/>
  <c r="K82" i="258" s="1"/>
  <c r="P82" i="258" s="1"/>
  <c r="R84" i="258"/>
  <c r="K84" i="258" s="1"/>
  <c r="P84" i="258" s="1"/>
  <c r="R86" i="258"/>
  <c r="K86" i="258"/>
  <c r="P86" i="258" s="1"/>
  <c r="R87" i="258"/>
  <c r="K87" i="258" s="1"/>
  <c r="P87" i="258" s="1"/>
  <c r="P88" i="258"/>
  <c r="P89" i="258"/>
  <c r="R94" i="258"/>
  <c r="K94" i="258" s="1"/>
  <c r="P94" i="258" s="1"/>
  <c r="R95" i="258"/>
  <c r="K95" i="258" s="1"/>
  <c r="P95" i="258" s="1"/>
  <c r="R97" i="258"/>
  <c r="K97" i="258"/>
  <c r="P97" i="258" s="1"/>
  <c r="R98" i="258"/>
  <c r="K98" i="258" s="1"/>
  <c r="P98" i="258" s="1"/>
  <c r="R102" i="258"/>
  <c r="K102" i="258" s="1"/>
  <c r="P102" i="258" s="1"/>
  <c r="R103" i="258"/>
  <c r="K103" i="258" s="1"/>
  <c r="R104" i="258"/>
  <c r="K104" i="258"/>
  <c r="P104" i="258" s="1"/>
  <c r="R105" i="258"/>
  <c r="K105" i="258" s="1"/>
  <c r="P105" i="258" s="1"/>
  <c r="R106" i="258"/>
  <c r="K106" i="258" s="1"/>
  <c r="P107" i="258"/>
  <c r="R108" i="258"/>
  <c r="K108" i="258"/>
  <c r="P108" i="258" s="1"/>
  <c r="R110" i="258"/>
  <c r="K110" i="258" s="1"/>
  <c r="P110" i="258" s="1"/>
  <c r="R112" i="258"/>
  <c r="K112" i="258" s="1"/>
  <c r="R113" i="258"/>
  <c r="K113" i="258" s="1"/>
  <c r="P113" i="258" s="1"/>
  <c r="P116" i="258"/>
  <c r="R122" i="258"/>
  <c r="K122" i="258" s="1"/>
  <c r="P122" i="258" s="1"/>
  <c r="R124" i="258"/>
  <c r="K124" i="258"/>
  <c r="P124" i="258" s="1"/>
  <c r="P126" i="258"/>
  <c r="R127" i="258"/>
  <c r="K127" i="258" s="1"/>
  <c r="R128" i="258"/>
  <c r="K128" i="258" s="1"/>
  <c r="R129" i="258"/>
  <c r="K129" i="258"/>
  <c r="R130" i="258"/>
  <c r="K130" i="258" s="1"/>
  <c r="P130" i="258" s="1"/>
  <c r="R131" i="258"/>
  <c r="K131" i="258" s="1"/>
  <c r="R136" i="258"/>
  <c r="K136" i="258" s="1"/>
  <c r="P136" i="258" s="1"/>
  <c r="R137" i="258"/>
  <c r="K137" i="258"/>
  <c r="P137" i="258" s="1"/>
  <c r="R138" i="258"/>
  <c r="K138" i="258" s="1"/>
  <c r="P138" i="258" s="1"/>
  <c r="R139" i="258"/>
  <c r="K139" i="258" s="1"/>
  <c r="P139" i="258" s="1"/>
  <c r="R165" i="258"/>
  <c r="K165" i="258" s="1"/>
  <c r="P165" i="258" s="1"/>
  <c r="R168" i="258"/>
  <c r="K168" i="258"/>
  <c r="P168" i="258" s="1"/>
  <c r="R169" i="258"/>
  <c r="K169" i="258" s="1"/>
  <c r="P169" i="258" s="1"/>
  <c r="R171" i="258"/>
  <c r="K171" i="258" s="1"/>
  <c r="P171" i="258" s="1"/>
  <c r="R172" i="258"/>
  <c r="K172" i="258" s="1"/>
  <c r="P172" i="258" s="1"/>
  <c r="R173" i="258"/>
  <c r="K173" i="258"/>
  <c r="P173" i="258" s="1"/>
  <c r="R174" i="258"/>
  <c r="K174" i="258" s="1"/>
  <c r="P174" i="258" s="1"/>
  <c r="R177" i="258"/>
  <c r="K177" i="258" s="1"/>
  <c r="P177" i="258" s="1"/>
  <c r="R178" i="258"/>
  <c r="K178" i="258" s="1"/>
  <c r="P178" i="258" s="1"/>
  <c r="R181" i="258"/>
  <c r="K181" i="258"/>
  <c r="P181" i="258" s="1"/>
  <c r="R182" i="258"/>
  <c r="K182" i="258" s="1"/>
  <c r="P182" i="258" s="1"/>
  <c r="R183" i="258"/>
  <c r="K183" i="258" s="1"/>
  <c r="P183" i="258" s="1"/>
  <c r="R184" i="258"/>
  <c r="K184" i="258" s="1"/>
  <c r="P184" i="258" s="1"/>
  <c r="R185" i="258"/>
  <c r="K185" i="258"/>
  <c r="P185" i="258" s="1"/>
  <c r="P186" i="258"/>
  <c r="R187" i="258"/>
  <c r="K187" i="258" s="1"/>
  <c r="P187" i="258" s="1"/>
  <c r="R188" i="258"/>
  <c r="K188" i="258" s="1"/>
  <c r="P188" i="258" s="1"/>
  <c r="R189" i="258"/>
  <c r="K189" i="258"/>
  <c r="P189" i="258" s="1"/>
  <c r="R193" i="258"/>
  <c r="K193" i="258" s="1"/>
  <c r="P193" i="258" s="1"/>
  <c r="R199" i="258"/>
  <c r="K199" i="258" s="1"/>
  <c r="P199" i="258" s="1"/>
  <c r="R200" i="258"/>
  <c r="K200" i="258" s="1"/>
  <c r="P200" i="258" s="1"/>
  <c r="R206" i="258"/>
  <c r="K206" i="258"/>
  <c r="P206" i="258" s="1"/>
  <c r="R208" i="258"/>
  <c r="K208" i="258" s="1"/>
  <c r="P208" i="258" s="1"/>
  <c r="R209" i="258"/>
  <c r="K209" i="258" s="1"/>
  <c r="P209" i="258" s="1"/>
  <c r="R210" i="258"/>
  <c r="K210" i="258" s="1"/>
  <c r="P210" i="258" s="1"/>
  <c r="R211" i="258"/>
  <c r="K211" i="258"/>
  <c r="P211" i="258" s="1"/>
  <c r="R212" i="258"/>
  <c r="K212" i="258" s="1"/>
  <c r="P212" i="258" s="1"/>
  <c r="R213" i="258"/>
  <c r="K213" i="258" s="1"/>
  <c r="P213" i="258" s="1"/>
  <c r="R214" i="258"/>
  <c r="K214" i="258" s="1"/>
  <c r="P214" i="258" s="1"/>
  <c r="R216" i="258"/>
  <c r="K216" i="258"/>
  <c r="P216" i="258" s="1"/>
  <c r="R217" i="258"/>
  <c r="K217" i="258" s="1"/>
  <c r="P217" i="258" s="1"/>
  <c r="R218" i="258"/>
  <c r="K218" i="258" s="1"/>
  <c r="P218" i="258" s="1"/>
  <c r="R219" i="258"/>
  <c r="K219" i="258" s="1"/>
  <c r="P219" i="258" s="1"/>
  <c r="R220" i="258"/>
  <c r="K220" i="258"/>
  <c r="P220" i="258" s="1"/>
  <c r="R221" i="258"/>
  <c r="K221" i="258" s="1"/>
  <c r="P221" i="258" s="1"/>
  <c r="R222" i="258"/>
  <c r="K222" i="258" s="1"/>
  <c r="P222" i="258" s="1"/>
  <c r="P223" i="258"/>
  <c r="R224" i="258"/>
  <c r="K224" i="258"/>
  <c r="P224" i="258" s="1"/>
  <c r="R226" i="258"/>
  <c r="K226" i="258" s="1"/>
  <c r="P226" i="258" s="1"/>
  <c r="R227" i="258"/>
  <c r="K227" i="258" s="1"/>
  <c r="P227" i="258" s="1"/>
  <c r="R229" i="258"/>
  <c r="K229" i="258" s="1"/>
  <c r="P229" i="258" s="1"/>
  <c r="P230" i="258"/>
  <c r="R234" i="258"/>
  <c r="K234" i="258" s="1"/>
  <c r="P234" i="258" s="1"/>
  <c r="R236" i="258"/>
  <c r="K236" i="258"/>
  <c r="P236" i="258" s="1"/>
  <c r="R237" i="258"/>
  <c r="K237" i="258" s="1"/>
  <c r="P237" i="258" s="1"/>
  <c r="R238" i="258"/>
  <c r="K238" i="258" s="1"/>
  <c r="P238" i="258" s="1"/>
  <c r="R239" i="258"/>
  <c r="K239" i="258" s="1"/>
  <c r="P239" i="258" s="1"/>
  <c r="R240" i="258"/>
  <c r="K240" i="258"/>
  <c r="P240" i="258" s="1"/>
  <c r="R242" i="258"/>
  <c r="K242" i="258" s="1"/>
  <c r="P242" i="258" s="1"/>
  <c r="R243" i="258"/>
  <c r="K243" i="258" s="1"/>
  <c r="P243" i="258" s="1"/>
  <c r="P244" i="258"/>
  <c r="R245" i="258"/>
  <c r="K245" i="258"/>
  <c r="P245" i="258" s="1"/>
  <c r="P249" i="258"/>
  <c r="R251" i="258"/>
  <c r="K251" i="258" s="1"/>
  <c r="P251" i="258" s="1"/>
  <c r="R252" i="258"/>
  <c r="K252" i="258" s="1"/>
  <c r="P252" i="258" s="1"/>
  <c r="R254" i="258"/>
  <c r="K254" i="258"/>
  <c r="P254" i="258" s="1"/>
  <c r="R255" i="258"/>
  <c r="K255" i="258" s="1"/>
  <c r="P255" i="258" s="1"/>
  <c r="R256" i="258"/>
  <c r="K256" i="258" s="1"/>
  <c r="P256" i="258" s="1"/>
  <c r="R257" i="258"/>
  <c r="K257" i="258" s="1"/>
  <c r="P257" i="258" s="1"/>
  <c r="R259" i="258"/>
  <c r="K259" i="258"/>
  <c r="P259" i="258" s="1"/>
  <c r="R260" i="258"/>
  <c r="K260" i="258" s="1"/>
  <c r="P260" i="258" s="1"/>
  <c r="R261" i="258"/>
  <c r="K261" i="258" s="1"/>
  <c r="P261" i="258" s="1"/>
  <c r="R263" i="258"/>
  <c r="K263" i="258" s="1"/>
  <c r="P263" i="258" s="1"/>
  <c r="R264" i="258"/>
  <c r="K264" i="258"/>
  <c r="P264" i="258" s="1"/>
  <c r="R266" i="258"/>
  <c r="K266" i="258" s="1"/>
  <c r="P266" i="258" s="1"/>
  <c r="R267" i="258"/>
  <c r="K267" i="258" s="1"/>
  <c r="P267" i="258" s="1"/>
  <c r="R270" i="258"/>
  <c r="K270" i="258" s="1"/>
  <c r="P270" i="258" s="1"/>
  <c r="R271" i="258"/>
  <c r="K271" i="258"/>
  <c r="P271" i="258" s="1"/>
  <c r="R276" i="258"/>
  <c r="K276" i="258" s="1"/>
  <c r="P276" i="258" s="1"/>
  <c r="R277" i="258"/>
  <c r="K277" i="258" s="1"/>
  <c r="P277" i="258" s="1"/>
  <c r="R279" i="258"/>
  <c r="K279" i="258" s="1"/>
  <c r="P279" i="258" s="1"/>
  <c r="R280" i="258"/>
  <c r="K280" i="258"/>
  <c r="P280" i="258" s="1"/>
  <c r="P281" i="258"/>
  <c r="R283" i="258"/>
  <c r="K283" i="258" s="1"/>
  <c r="P283" i="258" s="1"/>
  <c r="R284" i="258"/>
  <c r="K284" i="258" s="1"/>
  <c r="P284" i="258" s="1"/>
  <c r="P285" i="258"/>
  <c r="R288" i="258"/>
  <c r="K288" i="258" s="1"/>
  <c r="P288" i="258" s="1"/>
  <c r="P290" i="258"/>
  <c r="R293" i="258"/>
  <c r="K293" i="258" s="1"/>
  <c r="P293" i="258" s="1"/>
  <c r="P294" i="258"/>
  <c r="R295" i="258"/>
  <c r="K295" i="258" s="1"/>
  <c r="P295" i="258" s="1"/>
  <c r="R296" i="258"/>
  <c r="K296" i="258"/>
  <c r="P296" i="258" s="1"/>
  <c r="R297" i="258"/>
  <c r="K297" i="258" s="1"/>
  <c r="P297" i="258" s="1"/>
  <c r="R299" i="258"/>
  <c r="K299" i="258" s="1"/>
  <c r="P299" i="258" s="1"/>
  <c r="R300" i="258"/>
  <c r="K300" i="258" s="1"/>
  <c r="P300" i="258" s="1"/>
  <c r="R301" i="258"/>
  <c r="K301" i="258"/>
  <c r="P301" i="258" s="1"/>
  <c r="R302" i="258"/>
  <c r="K302" i="258" s="1"/>
  <c r="P302" i="258" s="1"/>
  <c r="R303" i="258"/>
  <c r="K303" i="258" s="1"/>
  <c r="P303" i="258" s="1"/>
  <c r="R305" i="258"/>
  <c r="K305" i="258" s="1"/>
  <c r="P305" i="258" s="1"/>
  <c r="R308" i="258"/>
  <c r="K308" i="258"/>
  <c r="P308" i="258" s="1"/>
  <c r="R310" i="258"/>
  <c r="K310" i="258" s="1"/>
  <c r="P310" i="258" s="1"/>
  <c r="R311" i="258"/>
  <c r="K311" i="258" s="1"/>
  <c r="P311" i="258" s="1"/>
  <c r="R312" i="258"/>
  <c r="K312" i="258" s="1"/>
  <c r="P312" i="258" s="1"/>
  <c r="R313" i="258"/>
  <c r="K313" i="258"/>
  <c r="P313" i="258" s="1"/>
  <c r="R314" i="258"/>
  <c r="K314" i="258" s="1"/>
  <c r="P314" i="258" s="1"/>
  <c r="R317" i="258"/>
  <c r="K317" i="258" s="1"/>
  <c r="P317" i="258" s="1"/>
  <c r="R318" i="258"/>
  <c r="K318" i="258" s="1"/>
  <c r="P318" i="258" s="1"/>
  <c r="R319" i="258"/>
  <c r="K319" i="258"/>
  <c r="P319" i="258" s="1"/>
  <c r="R320" i="258"/>
  <c r="K320" i="258" s="1"/>
  <c r="P320" i="258" s="1"/>
  <c r="R321" i="258"/>
  <c r="K321" i="258" s="1"/>
  <c r="P321" i="258" s="1"/>
  <c r="R324" i="258"/>
  <c r="K324" i="258" s="1"/>
  <c r="P324" i="258" s="1"/>
  <c r="R325" i="258"/>
  <c r="K325" i="258"/>
  <c r="P325" i="258" s="1"/>
  <c r="R326" i="258"/>
  <c r="K326" i="258" s="1"/>
  <c r="P326" i="258" s="1"/>
  <c r="R327" i="258"/>
  <c r="K327" i="258" s="1"/>
  <c r="P327" i="258" s="1"/>
  <c r="R328" i="258"/>
  <c r="K328" i="258" s="1"/>
  <c r="P328" i="258" s="1"/>
  <c r="R330" i="258"/>
  <c r="K330" i="258"/>
  <c r="P330" i="258" s="1"/>
  <c r="R331" i="258"/>
  <c r="K331" i="258" s="1"/>
  <c r="P331" i="258" s="1"/>
  <c r="R332" i="258"/>
  <c r="K332" i="258" s="1"/>
  <c r="P332" i="258" s="1"/>
  <c r="R333" i="258"/>
  <c r="K333" i="258" s="1"/>
  <c r="P333" i="258" s="1"/>
  <c r="R334" i="258"/>
  <c r="K334" i="258"/>
  <c r="P334" i="258" s="1"/>
  <c r="R335" i="258"/>
  <c r="K335" i="258" s="1"/>
  <c r="P335" i="258" s="1"/>
  <c r="R338" i="258"/>
  <c r="K338" i="258" s="1"/>
  <c r="P338" i="258" s="1"/>
  <c r="R339" i="258"/>
  <c r="K339" i="258" s="1"/>
  <c r="P339" i="258" s="1"/>
  <c r="R340" i="258"/>
  <c r="K340" i="258"/>
  <c r="P340" i="258" s="1"/>
  <c r="R341" i="258"/>
  <c r="K341" i="258" s="1"/>
  <c r="P341" i="258" s="1"/>
  <c r="R342" i="258"/>
  <c r="K342" i="258" s="1"/>
  <c r="P342" i="258" s="1"/>
  <c r="R343" i="258"/>
  <c r="K343" i="258" s="1"/>
  <c r="P343" i="258" s="1"/>
  <c r="R345" i="258"/>
  <c r="K345" i="258"/>
  <c r="P345" i="258" s="1"/>
  <c r="R346" i="258"/>
  <c r="K346" i="258" s="1"/>
  <c r="P346" i="258" s="1"/>
  <c r="R347" i="258"/>
  <c r="K347" i="258" s="1"/>
  <c r="P347" i="258" s="1"/>
  <c r="R348" i="258"/>
  <c r="K348" i="258" s="1"/>
  <c r="P348" i="258" s="1"/>
  <c r="R349" i="258"/>
  <c r="K349" i="258"/>
  <c r="P349" i="258" s="1"/>
  <c r="R350" i="258"/>
  <c r="K350" i="258" s="1"/>
  <c r="P350" i="258" s="1"/>
  <c r="R351" i="258"/>
  <c r="K351" i="258" s="1"/>
  <c r="P351" i="258" s="1"/>
  <c r="R352" i="258"/>
  <c r="K352" i="258" s="1"/>
  <c r="P352" i="258" s="1"/>
  <c r="R353" i="258"/>
  <c r="K353" i="258"/>
  <c r="P353" i="258" s="1"/>
  <c r="R354" i="258"/>
  <c r="K354" i="258" s="1"/>
  <c r="P354" i="258" s="1"/>
  <c r="R355" i="258"/>
  <c r="K355" i="258" s="1"/>
  <c r="P355" i="258" s="1"/>
  <c r="R356" i="258"/>
  <c r="K356" i="258" s="1"/>
  <c r="P356" i="258" s="1"/>
  <c r="R357" i="258"/>
  <c r="K357" i="258"/>
  <c r="P357" i="258" s="1"/>
  <c r="R358" i="258"/>
  <c r="K358" i="258" s="1"/>
  <c r="P358" i="258" s="1"/>
  <c r="R359" i="258"/>
  <c r="K359" i="258" s="1"/>
  <c r="P359" i="258" s="1"/>
  <c r="R360" i="258"/>
  <c r="K360" i="258" s="1"/>
  <c r="P360" i="258" s="1"/>
  <c r="R361" i="258"/>
  <c r="K361" i="258"/>
  <c r="P361" i="258" s="1"/>
  <c r="P362" i="258"/>
  <c r="R363" i="258"/>
  <c r="K363" i="258" s="1"/>
  <c r="P363" i="258" s="1"/>
  <c r="R364" i="258"/>
  <c r="K364" i="258" s="1"/>
  <c r="P364" i="258" s="1"/>
  <c r="R365" i="258"/>
  <c r="K365" i="258"/>
  <c r="P365" i="258" s="1"/>
  <c r="R366" i="258"/>
  <c r="K366" i="258" s="1"/>
  <c r="P366" i="258" s="1"/>
  <c r="R367" i="258"/>
  <c r="K367" i="258" s="1"/>
  <c r="P367" i="258" s="1"/>
  <c r="R368" i="258"/>
  <c r="K368" i="258" s="1"/>
  <c r="P368" i="258" s="1"/>
  <c r="R369" i="258"/>
  <c r="K369" i="258"/>
  <c r="P369" i="258" s="1"/>
  <c r="R370" i="258"/>
  <c r="K370" i="258" s="1"/>
  <c r="P370" i="258" s="1"/>
  <c r="R373" i="258"/>
  <c r="K373" i="258" s="1"/>
  <c r="P373" i="258" s="1"/>
  <c r="R377" i="258"/>
  <c r="K377" i="258" s="1"/>
  <c r="P377" i="258" s="1"/>
  <c r="R378" i="258"/>
  <c r="K378" i="258"/>
  <c r="P378" i="258" s="1"/>
  <c r="R379" i="258"/>
  <c r="K379" i="258" s="1"/>
  <c r="P379" i="258" s="1"/>
  <c r="P382" i="258"/>
  <c r="R383" i="258"/>
  <c r="K383" i="258" s="1"/>
  <c r="P383" i="258" s="1"/>
  <c r="R384" i="258"/>
  <c r="K384" i="258" s="1"/>
  <c r="P384" i="258" s="1"/>
  <c r="R388" i="258"/>
  <c r="K388" i="258" s="1"/>
  <c r="P388" i="258" s="1"/>
  <c r="R389" i="258"/>
  <c r="K389" i="258"/>
  <c r="P389" i="258" s="1"/>
  <c r="R390" i="258"/>
  <c r="K390" i="258" s="1"/>
  <c r="P390" i="258" s="1"/>
  <c r="R391" i="258"/>
  <c r="K391" i="258" s="1"/>
  <c r="P391" i="258" s="1"/>
  <c r="R392" i="258"/>
  <c r="K392" i="258" s="1"/>
  <c r="P392" i="258" s="1"/>
  <c r="P393" i="258"/>
  <c r="R395" i="258"/>
  <c r="K395" i="258" s="1"/>
  <c r="P395" i="258" s="1"/>
  <c r="R397" i="258"/>
  <c r="K397" i="258"/>
  <c r="P397" i="258" s="1"/>
  <c r="R398" i="258"/>
  <c r="K398" i="258" s="1"/>
  <c r="P398" i="258" s="1"/>
  <c r="R400" i="258"/>
  <c r="K400" i="258" s="1"/>
  <c r="P400" i="258" s="1"/>
  <c r="R401" i="258"/>
  <c r="K401" i="258" s="1"/>
  <c r="P401" i="258" s="1"/>
  <c r="R402" i="258"/>
  <c r="K402" i="258"/>
  <c r="P402" i="258" s="1"/>
  <c r="R404" i="258"/>
  <c r="K404" i="258" s="1"/>
  <c r="P404" i="258" s="1"/>
  <c r="R406" i="258"/>
  <c r="K406" i="258" s="1"/>
  <c r="P406" i="258" s="1"/>
  <c r="R407" i="258"/>
  <c r="K407" i="258" s="1"/>
  <c r="P407" i="258" s="1"/>
  <c r="R408" i="258"/>
  <c r="K408" i="258"/>
  <c r="P408" i="258" s="1"/>
  <c r="R409" i="258"/>
  <c r="K409" i="258" s="1"/>
  <c r="P409" i="258" s="1"/>
  <c r="R410" i="258"/>
  <c r="K410" i="258" s="1"/>
  <c r="P410" i="258" s="1"/>
  <c r="R411" i="258"/>
  <c r="K411" i="258" s="1"/>
  <c r="P411" i="258" s="1"/>
  <c r="R412" i="258"/>
  <c r="K412" i="258"/>
  <c r="P412" i="258" s="1"/>
  <c r="R413" i="258"/>
  <c r="K413" i="258" s="1"/>
  <c r="P413" i="258" s="1"/>
  <c r="R414" i="258"/>
  <c r="K414" i="258" s="1"/>
  <c r="P414" i="258" s="1"/>
  <c r="R415" i="258"/>
  <c r="K415" i="258" s="1"/>
  <c r="P415" i="258" s="1"/>
  <c r="R416" i="258"/>
  <c r="K416" i="258"/>
  <c r="P416" i="258" s="1"/>
  <c r="R417" i="258"/>
  <c r="K417" i="258" s="1"/>
  <c r="P417" i="258" s="1"/>
  <c r="R418" i="258"/>
  <c r="K418" i="258" s="1"/>
  <c r="P418" i="258" s="1"/>
  <c r="R419" i="258"/>
  <c r="K419" i="258" s="1"/>
  <c r="P419" i="258" s="1"/>
  <c r="R422" i="258"/>
  <c r="K422" i="258"/>
  <c r="P422" i="258" s="1"/>
  <c r="R423" i="258"/>
  <c r="K423" i="258" s="1"/>
  <c r="P423" i="258" s="1"/>
  <c r="R424" i="258"/>
  <c r="K424" i="258" s="1"/>
  <c r="P424" i="258" s="1"/>
  <c r="R427" i="258"/>
  <c r="K427" i="258" s="1"/>
  <c r="P427" i="258" s="1"/>
  <c r="R430" i="258"/>
  <c r="K430" i="258"/>
  <c r="P430" i="258" s="1"/>
  <c r="R431" i="258"/>
  <c r="K431" i="258" s="1"/>
  <c r="P431" i="258" s="1"/>
  <c r="R432" i="258"/>
  <c r="K432" i="258" s="1"/>
  <c r="P432" i="258" s="1"/>
  <c r="J8" i="260"/>
  <c r="J9" i="260"/>
  <c r="T9" i="260"/>
  <c r="J37" i="260"/>
  <c r="T37" i="260"/>
  <c r="J39" i="260"/>
  <c r="T39" i="260"/>
  <c r="J41" i="260"/>
  <c r="T41" i="260"/>
  <c r="J44" i="260"/>
  <c r="T44" i="260"/>
  <c r="J47" i="260"/>
  <c r="T47" i="260"/>
  <c r="J50" i="260"/>
  <c r="J52" i="260"/>
  <c r="J65" i="260"/>
  <c r="T65" i="260"/>
  <c r="J68" i="260"/>
  <c r="T68" i="260"/>
  <c r="J72" i="260"/>
  <c r="J77" i="260"/>
  <c r="J79" i="260"/>
  <c r="J85" i="260"/>
  <c r="T85" i="260" s="1"/>
  <c r="J90" i="260"/>
  <c r="T90" i="260" s="1"/>
  <c r="J92" i="260"/>
  <c r="J93" i="260"/>
  <c r="J99" i="260"/>
  <c r="T99" i="260" s="1"/>
  <c r="J100" i="260"/>
  <c r="T100" i="260" s="1"/>
  <c r="J101" i="260"/>
  <c r="T101" i="260" s="1"/>
  <c r="J109" i="260"/>
  <c r="T109" i="260" s="1"/>
  <c r="J114" i="260"/>
  <c r="J115" i="260"/>
  <c r="J118" i="260"/>
  <c r="T118" i="260" s="1"/>
  <c r="J119" i="260"/>
  <c r="T119" i="260" s="1"/>
  <c r="J120" i="260"/>
  <c r="T120" i="260" s="1"/>
  <c r="J121" i="260"/>
  <c r="T121" i="260" s="1"/>
  <c r="J123" i="260"/>
  <c r="T123" i="260" s="1"/>
  <c r="J132" i="260"/>
  <c r="T132" i="260" s="1"/>
  <c r="J133" i="260"/>
  <c r="T133" i="260" s="1"/>
  <c r="J134" i="260"/>
  <c r="T134" i="260" s="1"/>
  <c r="J135" i="260"/>
  <c r="T135" i="260" s="1"/>
  <c r="J140" i="260"/>
  <c r="T140" i="260" s="1"/>
  <c r="J141" i="260"/>
  <c r="J142" i="260"/>
  <c r="T142" i="260"/>
  <c r="J144" i="260"/>
  <c r="T144" i="260"/>
  <c r="J145" i="260"/>
  <c r="T145" i="260"/>
  <c r="J146" i="260"/>
  <c r="T146" i="260"/>
  <c r="J147" i="260"/>
  <c r="T147" i="260"/>
  <c r="J175" i="260"/>
  <c r="J176" i="260"/>
  <c r="J179" i="260"/>
  <c r="T179" i="260"/>
  <c r="J180" i="260"/>
  <c r="T180" i="260"/>
  <c r="J191" i="260"/>
  <c r="T191" i="260"/>
  <c r="J194" i="260"/>
  <c r="T194" i="260"/>
  <c r="J197" i="260"/>
  <c r="T197" i="260"/>
  <c r="J198" i="260"/>
  <c r="T198" i="260"/>
  <c r="J202" i="260"/>
  <c r="T202" i="260"/>
  <c r="J204" i="260"/>
  <c r="T204" i="260"/>
  <c r="J215" i="260"/>
  <c r="T215" i="260"/>
  <c r="J225" i="260"/>
  <c r="T225" i="260"/>
  <c r="J228" i="260"/>
  <c r="T228" i="260"/>
  <c r="J241" i="260"/>
  <c r="T241" i="260"/>
  <c r="J253" i="260"/>
  <c r="T253" i="260"/>
  <c r="J258" i="260"/>
  <c r="T258" i="260"/>
  <c r="J306" i="260"/>
  <c r="T306" i="260"/>
  <c r="J307" i="260"/>
  <c r="T307" i="260"/>
  <c r="J309" i="260"/>
  <c r="T309" i="260"/>
  <c r="J315" i="260"/>
  <c r="T315" i="260"/>
  <c r="J322" i="260"/>
  <c r="T322" i="260"/>
  <c r="J323" i="260"/>
  <c r="T323" i="260"/>
  <c r="J329" i="260"/>
  <c r="T329" i="260"/>
  <c r="J337" i="260"/>
  <c r="T337" i="260"/>
  <c r="J344" i="260"/>
  <c r="T344" i="260"/>
  <c r="J380" i="260"/>
  <c r="T380" i="260"/>
  <c r="J381" i="260"/>
  <c r="T381" i="260"/>
  <c r="J385" i="260"/>
  <c r="T385" i="260"/>
  <c r="J396" i="260"/>
  <c r="T396" i="260"/>
  <c r="J399" i="260"/>
  <c r="T399" i="260"/>
  <c r="J403" i="260"/>
  <c r="T403" i="260"/>
  <c r="J420" i="260"/>
  <c r="T420" i="260"/>
  <c r="J421" i="260"/>
  <c r="T421" i="260"/>
  <c r="J425" i="260"/>
  <c r="T425" i="260"/>
  <c r="J426" i="260"/>
  <c r="T426" i="260"/>
  <c r="J6" i="260"/>
  <c r="J10" i="260"/>
  <c r="T10" i="260" s="1"/>
  <c r="J11" i="260"/>
  <c r="J12" i="260"/>
  <c r="J13" i="260"/>
  <c r="T13" i="260" s="1"/>
  <c r="J14" i="260"/>
  <c r="J15" i="260"/>
  <c r="J16" i="260"/>
  <c r="J17" i="260"/>
  <c r="J18" i="260"/>
  <c r="T18" i="260" s="1"/>
  <c r="J19" i="260"/>
  <c r="J21" i="260"/>
  <c r="T21" i="260" s="1"/>
  <c r="J22" i="260"/>
  <c r="T22" i="260" s="1"/>
  <c r="J23" i="260"/>
  <c r="J24" i="260"/>
  <c r="J25" i="260"/>
  <c r="T25" i="260" s="1"/>
  <c r="J26" i="260"/>
  <c r="T26" i="260" s="1"/>
  <c r="J27" i="260"/>
  <c r="T27" i="260" s="1"/>
  <c r="J28" i="260"/>
  <c r="T28" i="260" s="1"/>
  <c r="J29" i="260"/>
  <c r="J30" i="260"/>
  <c r="J31" i="260"/>
  <c r="T31" i="260" s="1"/>
  <c r="J32" i="260"/>
  <c r="J33" i="260"/>
  <c r="J34" i="260"/>
  <c r="T34" i="260" s="1"/>
  <c r="J35" i="260"/>
  <c r="J36" i="260"/>
  <c r="T36" i="260" s="1"/>
  <c r="J38" i="260"/>
  <c r="T38" i="260" s="1"/>
  <c r="J40" i="260"/>
  <c r="T40" i="260" s="1"/>
  <c r="J42" i="260"/>
  <c r="T42" i="260" s="1"/>
  <c r="J45" i="260"/>
  <c r="J46" i="260"/>
  <c r="T46" i="260" s="1"/>
  <c r="J48" i="260"/>
  <c r="T48" i="260" s="1"/>
  <c r="J49" i="260"/>
  <c r="T49" i="260" s="1"/>
  <c r="J51" i="260"/>
  <c r="J53" i="260"/>
  <c r="J54" i="260"/>
  <c r="J55" i="260"/>
  <c r="J56" i="260"/>
  <c r="T56" i="260" s="1"/>
  <c r="J57" i="260"/>
  <c r="T57" i="260" s="1"/>
  <c r="J58" i="260"/>
  <c r="T58" i="260" s="1"/>
  <c r="J59" i="260"/>
  <c r="T59" i="260" s="1"/>
  <c r="J60" i="260"/>
  <c r="T60" i="260" s="1"/>
  <c r="J61" i="260"/>
  <c r="T61" i="260" s="1"/>
  <c r="J62" i="260"/>
  <c r="T62" i="260" s="1"/>
  <c r="J63" i="260"/>
  <c r="T63" i="260" s="1"/>
  <c r="J64" i="260"/>
  <c r="T64" i="260" s="1"/>
  <c r="J66" i="260"/>
  <c r="T66" i="260" s="1"/>
  <c r="J67" i="260"/>
  <c r="T67" i="260" s="1"/>
  <c r="J69" i="260"/>
  <c r="T69" i="260" s="1"/>
  <c r="J71" i="260"/>
  <c r="J73" i="260"/>
  <c r="T73" i="260" s="1"/>
  <c r="J74" i="260"/>
  <c r="T74" i="260" s="1"/>
  <c r="J75" i="260"/>
  <c r="T75" i="260" s="1"/>
  <c r="J76" i="260"/>
  <c r="T76" i="260" s="1"/>
  <c r="J78" i="260"/>
  <c r="T78" i="260" s="1"/>
  <c r="J80" i="260"/>
  <c r="T80" i="260" s="1"/>
  <c r="J81" i="260"/>
  <c r="T81" i="260" s="1"/>
  <c r="J82" i="260"/>
  <c r="T82" i="260" s="1"/>
  <c r="J84" i="260"/>
  <c r="T84" i="260" s="1"/>
  <c r="J86" i="260"/>
  <c r="T86" i="260" s="1"/>
  <c r="J87" i="260"/>
  <c r="T87" i="260" s="1"/>
  <c r="J88" i="260"/>
  <c r="J89" i="260"/>
  <c r="T89" i="260"/>
  <c r="J94" i="260"/>
  <c r="T94" i="260"/>
  <c r="J95" i="260"/>
  <c r="T95" i="260"/>
  <c r="J96" i="260"/>
  <c r="J97" i="260"/>
  <c r="T97" i="260" s="1"/>
  <c r="J98" i="260"/>
  <c r="T98" i="260" s="1"/>
  <c r="J102" i="260"/>
  <c r="T102" i="260" s="1"/>
  <c r="J103" i="260"/>
  <c r="T103" i="260" s="1"/>
  <c r="J104" i="260"/>
  <c r="T104" i="260" s="1"/>
  <c r="J105" i="260"/>
  <c r="T105" i="260" s="1"/>
  <c r="J106" i="260"/>
  <c r="T106" i="260" s="1"/>
  <c r="J107" i="260"/>
  <c r="T107" i="260" s="1"/>
  <c r="J108" i="260"/>
  <c r="T108" i="260" s="1"/>
  <c r="J110" i="260"/>
  <c r="T110" i="260" s="1"/>
  <c r="J111" i="260"/>
  <c r="T111" i="260" s="1"/>
  <c r="J112" i="260"/>
  <c r="T112" i="260" s="1"/>
  <c r="J113" i="260"/>
  <c r="T113" i="260" s="1"/>
  <c r="J116" i="260"/>
  <c r="T116" i="260" s="1"/>
  <c r="J117" i="260"/>
  <c r="T117" i="260" s="1"/>
  <c r="J122" i="260"/>
  <c r="T122" i="260" s="1"/>
  <c r="J124" i="260"/>
  <c r="T124" i="260" s="1"/>
  <c r="J126" i="260"/>
  <c r="T126" i="260" s="1"/>
  <c r="J127" i="260"/>
  <c r="T127" i="260" s="1"/>
  <c r="J128" i="260"/>
  <c r="T128" i="260" s="1"/>
  <c r="J129" i="260"/>
  <c r="T129" i="260" s="1"/>
  <c r="J130" i="260"/>
  <c r="T130" i="260" s="1"/>
  <c r="J136" i="260"/>
  <c r="T136" i="260" s="1"/>
  <c r="J137" i="260"/>
  <c r="T137" i="260" s="1"/>
  <c r="J138" i="260"/>
  <c r="T138" i="260" s="1"/>
  <c r="J139" i="260"/>
  <c r="T139" i="260" s="1"/>
  <c r="J148" i="260"/>
  <c r="J149" i="260"/>
  <c r="J150" i="260"/>
  <c r="J151" i="260"/>
  <c r="J152" i="260"/>
  <c r="J153" i="260"/>
  <c r="J154" i="260"/>
  <c r="J155" i="260"/>
  <c r="J156" i="260"/>
  <c r="J157" i="260"/>
  <c r="J158" i="260"/>
  <c r="J159" i="260"/>
  <c r="J160" i="260"/>
  <c r="J161" i="260"/>
  <c r="J162" i="260"/>
  <c r="T162" i="260" s="1"/>
  <c r="J163" i="260"/>
  <c r="T163" i="260" s="1"/>
  <c r="J164" i="260"/>
  <c r="T164" i="260" s="1"/>
  <c r="J165" i="260"/>
  <c r="T165" i="260" s="1"/>
  <c r="J167" i="260"/>
  <c r="T167" i="260" s="1"/>
  <c r="J168" i="260"/>
  <c r="T168" i="260" s="1"/>
  <c r="J169" i="260"/>
  <c r="T169" i="260" s="1"/>
  <c r="J170" i="260"/>
  <c r="T170" i="260" s="1"/>
  <c r="J171" i="260"/>
  <c r="T171" i="260" s="1"/>
  <c r="J172" i="260"/>
  <c r="T172" i="260" s="1"/>
  <c r="J173" i="260"/>
  <c r="T173" i="260" s="1"/>
  <c r="J174" i="260"/>
  <c r="T174" i="260" s="1"/>
  <c r="J177" i="260"/>
  <c r="T177" i="260" s="1"/>
  <c r="J178" i="260"/>
  <c r="T178" i="260" s="1"/>
  <c r="J181" i="260"/>
  <c r="T181" i="260" s="1"/>
  <c r="J182" i="260"/>
  <c r="T182" i="260" s="1"/>
  <c r="J183" i="260"/>
  <c r="T183" i="260" s="1"/>
  <c r="J184" i="260"/>
  <c r="T184" i="260" s="1"/>
  <c r="J185" i="260"/>
  <c r="T185" i="260" s="1"/>
  <c r="J186" i="260"/>
  <c r="T186" i="260" s="1"/>
  <c r="J187" i="260"/>
  <c r="T187" i="260" s="1"/>
  <c r="J188" i="260"/>
  <c r="T188" i="260" s="1"/>
  <c r="J189" i="260"/>
  <c r="T189" i="260" s="1"/>
  <c r="J193" i="260"/>
  <c r="T193" i="260" s="1"/>
  <c r="J195" i="260"/>
  <c r="T195" i="260" s="1"/>
  <c r="J199" i="260"/>
  <c r="T199" i="260" s="1"/>
  <c r="J200" i="260"/>
  <c r="T200" i="260" s="1"/>
  <c r="J205" i="260"/>
  <c r="T205" i="260" s="1"/>
  <c r="J206" i="260"/>
  <c r="T206" i="260" s="1"/>
  <c r="J207" i="260"/>
  <c r="T207" i="260" s="1"/>
  <c r="J208" i="260"/>
  <c r="T208" i="260" s="1"/>
  <c r="J209" i="260"/>
  <c r="T209" i="260" s="1"/>
  <c r="J210" i="260"/>
  <c r="T210" i="260" s="1"/>
  <c r="J211" i="260"/>
  <c r="T211" i="260" s="1"/>
  <c r="J212" i="260"/>
  <c r="T212" i="260" s="1"/>
  <c r="J213" i="260"/>
  <c r="T213" i="260" s="1"/>
  <c r="J214" i="260"/>
  <c r="T214" i="260" s="1"/>
  <c r="J216" i="260"/>
  <c r="T216" i="260" s="1"/>
  <c r="J217" i="260"/>
  <c r="T217" i="260" s="1"/>
  <c r="J218" i="260"/>
  <c r="T218" i="260" s="1"/>
  <c r="J219" i="260"/>
  <c r="T219" i="260" s="1"/>
  <c r="J220" i="260"/>
  <c r="T220" i="260" s="1"/>
  <c r="J221" i="260"/>
  <c r="T221" i="260" s="1"/>
  <c r="J222" i="260"/>
  <c r="T222" i="260" s="1"/>
  <c r="J223" i="260"/>
  <c r="T223" i="260" s="1"/>
  <c r="J224" i="260"/>
  <c r="T224" i="260" s="1"/>
  <c r="J226" i="260"/>
  <c r="T226" i="260" s="1"/>
  <c r="J227" i="260"/>
  <c r="T227" i="260" s="1"/>
  <c r="J229" i="260"/>
  <c r="T229" i="260" s="1"/>
  <c r="J230" i="260"/>
  <c r="T230" i="260" s="1"/>
  <c r="J231" i="260"/>
  <c r="T231" i="260" s="1"/>
  <c r="J234" i="260"/>
  <c r="T234" i="260" s="1"/>
  <c r="J236" i="260"/>
  <c r="T236" i="260" s="1"/>
  <c r="J237" i="260"/>
  <c r="T237" i="260" s="1"/>
  <c r="J238" i="260"/>
  <c r="T238" i="260" s="1"/>
  <c r="J239" i="260"/>
  <c r="T239" i="260" s="1"/>
  <c r="J240" i="260"/>
  <c r="T240" i="260" s="1"/>
  <c r="J242" i="260"/>
  <c r="T242" i="260" s="1"/>
  <c r="J243" i="260"/>
  <c r="T243" i="260" s="1"/>
  <c r="J244" i="260"/>
  <c r="T244" i="260" s="1"/>
  <c r="J245" i="260"/>
  <c r="T245" i="260" s="1"/>
  <c r="J247" i="260"/>
  <c r="T247" i="260" s="1"/>
  <c r="J248" i="260"/>
  <c r="T248" i="260" s="1"/>
  <c r="J249" i="260"/>
  <c r="T249" i="260" s="1"/>
  <c r="J250" i="260"/>
  <c r="T250" i="260" s="1"/>
  <c r="J251" i="260"/>
  <c r="T251" i="260" s="1"/>
  <c r="J252" i="260"/>
  <c r="T252" i="260" s="1"/>
  <c r="J254" i="260"/>
  <c r="T254" i="260" s="1"/>
  <c r="J255" i="260"/>
  <c r="T255" i="260" s="1"/>
  <c r="J256" i="260"/>
  <c r="T256" i="260" s="1"/>
  <c r="J257" i="260"/>
  <c r="T257" i="260" s="1"/>
  <c r="J259" i="260"/>
  <c r="T259" i="260" s="1"/>
  <c r="J260" i="260"/>
  <c r="T260" i="260" s="1"/>
  <c r="J261" i="260"/>
  <c r="T261" i="260" s="1"/>
  <c r="J263" i="260"/>
  <c r="T263" i="260" s="1"/>
  <c r="J264" i="260"/>
  <c r="T264" i="260" s="1"/>
  <c r="T265" i="260"/>
  <c r="J266" i="260"/>
  <c r="T266" i="260"/>
  <c r="J267" i="260"/>
  <c r="T267" i="260"/>
  <c r="J268" i="260"/>
  <c r="T268" i="260"/>
  <c r="J269" i="260"/>
  <c r="T269" i="260"/>
  <c r="J270" i="260"/>
  <c r="T270" i="260"/>
  <c r="J271" i="260"/>
  <c r="T271" i="260"/>
  <c r="J272" i="260"/>
  <c r="T272" i="260"/>
  <c r="J273" i="260"/>
  <c r="T273" i="260"/>
  <c r="J274" i="260"/>
  <c r="T274" i="260"/>
  <c r="J275" i="260"/>
  <c r="T275" i="260"/>
  <c r="J276" i="260"/>
  <c r="T276" i="260"/>
  <c r="J277" i="260"/>
  <c r="T277" i="260"/>
  <c r="J278" i="260"/>
  <c r="T278" i="260"/>
  <c r="J279" i="260"/>
  <c r="T279" i="260"/>
  <c r="J280" i="260"/>
  <c r="T280" i="260"/>
  <c r="J281" i="260"/>
  <c r="T281" i="260"/>
  <c r="J282" i="260"/>
  <c r="T282" i="260"/>
  <c r="J283" i="260"/>
  <c r="T283" i="260"/>
  <c r="J284" i="260"/>
  <c r="T284" i="260"/>
  <c r="J285" i="260"/>
  <c r="T285" i="260"/>
  <c r="J286" i="260"/>
  <c r="T286" i="260"/>
  <c r="J287" i="260"/>
  <c r="T287" i="260"/>
  <c r="J288" i="260"/>
  <c r="T288" i="260"/>
  <c r="J289" i="260"/>
  <c r="T289" i="260"/>
  <c r="J290" i="260"/>
  <c r="T290" i="260"/>
  <c r="T291" i="260"/>
  <c r="T292" i="260"/>
  <c r="J293" i="260"/>
  <c r="T293" i="260"/>
  <c r="J294" i="260"/>
  <c r="T294" i="260"/>
  <c r="J295" i="260"/>
  <c r="T295" i="260"/>
  <c r="J296" i="260"/>
  <c r="T296" i="260"/>
  <c r="J297" i="260"/>
  <c r="T297" i="260"/>
  <c r="J298" i="260"/>
  <c r="T298" i="260"/>
  <c r="J299" i="260"/>
  <c r="T299" i="260"/>
  <c r="J300" i="260"/>
  <c r="T300" i="260"/>
  <c r="J301" i="260"/>
  <c r="T301" i="260"/>
  <c r="J302" i="260"/>
  <c r="T302" i="260"/>
  <c r="J303" i="260"/>
  <c r="T303" i="260"/>
  <c r="J304" i="260"/>
  <c r="T304" i="260"/>
  <c r="J305" i="260"/>
  <c r="T305" i="260"/>
  <c r="J308" i="260"/>
  <c r="T308" i="260"/>
  <c r="J310" i="260"/>
  <c r="T310" i="260"/>
  <c r="J311" i="260"/>
  <c r="T311" i="260"/>
  <c r="J312" i="260"/>
  <c r="T312" i="260"/>
  <c r="J313" i="260"/>
  <c r="T313" i="260"/>
  <c r="J314" i="260"/>
  <c r="T314" i="260"/>
  <c r="J316" i="260"/>
  <c r="T316" i="260"/>
  <c r="J317" i="260"/>
  <c r="T317" i="260"/>
  <c r="J318" i="260"/>
  <c r="T318" i="260"/>
  <c r="J319" i="260"/>
  <c r="T319" i="260"/>
  <c r="J320" i="260"/>
  <c r="T320" i="260"/>
  <c r="J321" i="260"/>
  <c r="T321" i="260"/>
  <c r="J324" i="260"/>
  <c r="T324" i="260"/>
  <c r="J325" i="260"/>
  <c r="T325" i="260"/>
  <c r="J326" i="260"/>
  <c r="T326" i="260"/>
  <c r="J327" i="260"/>
  <c r="T327" i="260"/>
  <c r="J328" i="260"/>
  <c r="T328" i="260"/>
  <c r="J330" i="260"/>
  <c r="T330" i="260"/>
  <c r="J331" i="260"/>
  <c r="T331" i="260"/>
  <c r="J333" i="260"/>
  <c r="T333" i="260"/>
  <c r="J334" i="260"/>
  <c r="T334" i="260"/>
  <c r="J335" i="260"/>
  <c r="T335" i="260"/>
  <c r="J336" i="260"/>
  <c r="T336" i="260"/>
  <c r="J338" i="260"/>
  <c r="T338" i="260"/>
  <c r="J339" i="260"/>
  <c r="T339" i="260"/>
  <c r="J340" i="260"/>
  <c r="T340" i="260"/>
  <c r="J341" i="260"/>
  <c r="T341" i="260"/>
  <c r="J342" i="260"/>
  <c r="T342" i="260"/>
  <c r="J343" i="260"/>
  <c r="T343" i="260"/>
  <c r="J345" i="260"/>
  <c r="T345" i="260"/>
  <c r="J346" i="260"/>
  <c r="T346" i="260"/>
  <c r="J347" i="260"/>
  <c r="T347" i="260"/>
  <c r="J348" i="260"/>
  <c r="T348" i="260"/>
  <c r="J349" i="260"/>
  <c r="T349" i="260"/>
  <c r="J350" i="260"/>
  <c r="T350" i="260"/>
  <c r="J351" i="260"/>
  <c r="T351" i="260"/>
  <c r="J352" i="260"/>
  <c r="T352" i="260"/>
  <c r="J353" i="260"/>
  <c r="T353" i="260"/>
  <c r="J354" i="260"/>
  <c r="T354" i="260"/>
  <c r="J355" i="260"/>
  <c r="T355" i="260"/>
  <c r="J356" i="260"/>
  <c r="T356" i="260"/>
  <c r="J357" i="260"/>
  <c r="T357" i="260"/>
  <c r="J358" i="260"/>
  <c r="T358" i="260"/>
  <c r="J359" i="260"/>
  <c r="T359" i="260"/>
  <c r="J360" i="260"/>
  <c r="T360" i="260"/>
  <c r="J361" i="260"/>
  <c r="T361" i="260"/>
  <c r="J362" i="260"/>
  <c r="T362" i="260"/>
  <c r="J363" i="260"/>
  <c r="T363" i="260"/>
  <c r="J364" i="260"/>
  <c r="T364" i="260"/>
  <c r="J365" i="260"/>
  <c r="T365" i="260"/>
  <c r="J366" i="260"/>
  <c r="T366" i="260"/>
  <c r="J367" i="260"/>
  <c r="T367" i="260"/>
  <c r="J368" i="260"/>
  <c r="T368" i="260"/>
  <c r="J369" i="260"/>
  <c r="T369" i="260"/>
  <c r="J370" i="260"/>
  <c r="T370" i="260"/>
  <c r="J371" i="260"/>
  <c r="T371" i="260"/>
  <c r="J372" i="260"/>
  <c r="T372" i="260"/>
  <c r="J373" i="260"/>
  <c r="T373" i="260"/>
  <c r="T374" i="260"/>
  <c r="T375" i="260"/>
  <c r="T376" i="260"/>
  <c r="J377" i="260"/>
  <c r="T377" i="260" s="1"/>
  <c r="J378" i="260"/>
  <c r="T378" i="260" s="1"/>
  <c r="J379" i="260"/>
  <c r="T379" i="260" s="1"/>
  <c r="J382" i="260"/>
  <c r="T382" i="260" s="1"/>
  <c r="J383" i="260"/>
  <c r="T383" i="260" s="1"/>
  <c r="J384" i="260"/>
  <c r="T384" i="260" s="1"/>
  <c r="J386" i="260"/>
  <c r="T386" i="260" s="1"/>
  <c r="J387" i="260"/>
  <c r="T387" i="260" s="1"/>
  <c r="J388" i="260"/>
  <c r="T388" i="260" s="1"/>
  <c r="J389" i="260"/>
  <c r="T389" i="260" s="1"/>
  <c r="J390" i="260"/>
  <c r="T390" i="260" s="1"/>
  <c r="J391" i="260"/>
  <c r="T391" i="260" s="1"/>
  <c r="J392" i="260"/>
  <c r="T392" i="260" s="1"/>
  <c r="J393" i="260"/>
  <c r="T393" i="260" s="1"/>
  <c r="J394" i="260"/>
  <c r="T394" i="260" s="1"/>
  <c r="J395" i="260"/>
  <c r="T395" i="260" s="1"/>
  <c r="J397" i="260"/>
  <c r="T397" i="260" s="1"/>
  <c r="J398" i="260"/>
  <c r="T398" i="260" s="1"/>
  <c r="J400" i="260"/>
  <c r="T400" i="260" s="1"/>
  <c r="J401" i="260"/>
  <c r="T401" i="260" s="1"/>
  <c r="J402" i="260"/>
  <c r="T402" i="260" s="1"/>
  <c r="J404" i="260"/>
  <c r="T404" i="260" s="1"/>
  <c r="J405" i="260"/>
  <c r="T405" i="260" s="1"/>
  <c r="J406" i="260"/>
  <c r="T406" i="260" s="1"/>
  <c r="J407" i="260"/>
  <c r="T407" i="260" s="1"/>
  <c r="J408" i="260"/>
  <c r="T408" i="260" s="1"/>
  <c r="J409" i="260"/>
  <c r="T409" i="260" s="1"/>
  <c r="J410" i="260"/>
  <c r="T410" i="260" s="1"/>
  <c r="J411" i="260"/>
  <c r="T411" i="260" s="1"/>
  <c r="J412" i="260"/>
  <c r="T412" i="260" s="1"/>
  <c r="J413" i="260"/>
  <c r="T413" i="260" s="1"/>
  <c r="J414" i="260"/>
  <c r="T414" i="260" s="1"/>
  <c r="J415" i="260"/>
  <c r="T415" i="260" s="1"/>
  <c r="J416" i="260"/>
  <c r="T416" i="260" s="1"/>
  <c r="J417" i="260"/>
  <c r="T417" i="260" s="1"/>
  <c r="J418" i="260"/>
  <c r="T418" i="260" s="1"/>
  <c r="J419" i="260"/>
  <c r="T419" i="260" s="1"/>
  <c r="J422" i="260"/>
  <c r="T422" i="260" s="1"/>
  <c r="J427" i="260"/>
  <c r="T427" i="260" s="1"/>
  <c r="J428" i="260"/>
  <c r="T428" i="260" s="1"/>
  <c r="J429" i="260"/>
  <c r="T429" i="260" s="1"/>
  <c r="J430" i="260"/>
  <c r="T430" i="260" s="1"/>
  <c r="J431" i="260"/>
  <c r="T431" i="260" s="1"/>
  <c r="J432" i="260"/>
  <c r="T432" i="260" s="1"/>
  <c r="N131" i="260"/>
  <c r="R132" i="260"/>
  <c r="K132" i="260"/>
  <c r="O43" i="260"/>
  <c r="X146" i="260"/>
  <c r="N262" i="260"/>
  <c r="J262" i="260"/>
  <c r="T262" i="260" s="1"/>
  <c r="R371" i="260"/>
  <c r="K371" i="260" s="1"/>
  <c r="R372" i="260"/>
  <c r="K372" i="260" s="1"/>
  <c r="R374" i="260"/>
  <c r="K374" i="260" s="1"/>
  <c r="R375" i="260"/>
  <c r="K375" i="260" s="1"/>
  <c r="R376" i="260"/>
  <c r="K376" i="260" s="1"/>
  <c r="O246" i="260"/>
  <c r="P246" i="260" s="1"/>
  <c r="O235" i="260"/>
  <c r="J235" i="260" s="1"/>
  <c r="T235" i="260" s="1"/>
  <c r="O233" i="260"/>
  <c r="J233" i="260" s="1"/>
  <c r="T233" i="260" s="1"/>
  <c r="S79" i="260"/>
  <c r="R79" i="260" s="1"/>
  <c r="K79" i="260" s="1"/>
  <c r="O7" i="260"/>
  <c r="J7" i="260"/>
  <c r="N43" i="260"/>
  <c r="J43" i="260"/>
  <c r="T43" i="260" s="1"/>
  <c r="O190" i="260"/>
  <c r="J190" i="260" s="1"/>
  <c r="T190" i="260" s="1"/>
  <c r="X420" i="260"/>
  <c r="V1" i="260"/>
  <c r="V4" i="260"/>
  <c r="V5" i="260"/>
  <c r="W5" i="260" s="1"/>
  <c r="Q6" i="260"/>
  <c r="R6" i="260"/>
  <c r="K6" i="260"/>
  <c r="L6" i="260" s="1"/>
  <c r="S6" i="260"/>
  <c r="T6" i="260" s="1"/>
  <c r="V6" i="260"/>
  <c r="W6" i="260" s="1"/>
  <c r="AH6" i="260"/>
  <c r="Q7" i="260"/>
  <c r="V7" i="260"/>
  <c r="X7" i="260"/>
  <c r="Q8" i="260"/>
  <c r="S8" i="260"/>
  <c r="R8" i="260" s="1"/>
  <c r="K8" i="260" s="1"/>
  <c r="P8" i="260" s="1"/>
  <c r="V8" i="260"/>
  <c r="X8" i="260"/>
  <c r="W8" i="260" s="1"/>
  <c r="L9" i="260"/>
  <c r="Q9" i="260"/>
  <c r="V9" i="260"/>
  <c r="X9" i="260"/>
  <c r="Q10" i="260"/>
  <c r="V10" i="260"/>
  <c r="W10" i="260" s="1"/>
  <c r="AA10" i="260"/>
  <c r="L11" i="260"/>
  <c r="Q11" i="260"/>
  <c r="S11" i="260"/>
  <c r="T11" i="260"/>
  <c r="V11" i="260"/>
  <c r="W11" i="260"/>
  <c r="X11" i="260"/>
  <c r="AH11" i="260"/>
  <c r="Q12" i="260"/>
  <c r="S12" i="260"/>
  <c r="R12" i="260" s="1"/>
  <c r="K12" i="260" s="1"/>
  <c r="V12" i="260"/>
  <c r="X12" i="260"/>
  <c r="W12" i="260" s="1"/>
  <c r="AH12" i="260"/>
  <c r="Q13" i="260"/>
  <c r="V13" i="260"/>
  <c r="W13" i="260"/>
  <c r="Q14" i="260"/>
  <c r="S14" i="260"/>
  <c r="R14" i="260" s="1"/>
  <c r="K14" i="260" s="1"/>
  <c r="V14" i="260"/>
  <c r="W14" i="260"/>
  <c r="X14" i="260"/>
  <c r="Q15" i="260"/>
  <c r="S15" i="260"/>
  <c r="R15" i="260"/>
  <c r="K15" i="260" s="1"/>
  <c r="V15" i="260"/>
  <c r="X15" i="260"/>
  <c r="W15" i="260" s="1"/>
  <c r="Q16" i="260"/>
  <c r="S16" i="260"/>
  <c r="R16" i="260" s="1"/>
  <c r="K16" i="260" s="1"/>
  <c r="V16" i="260"/>
  <c r="W16" i="260"/>
  <c r="X16" i="260"/>
  <c r="Q17" i="260"/>
  <c r="S17" i="260"/>
  <c r="T17" i="260"/>
  <c r="V17" i="260"/>
  <c r="W17" i="260"/>
  <c r="Q18" i="260"/>
  <c r="V18" i="260"/>
  <c r="W18" i="260"/>
  <c r="X18" i="260"/>
  <c r="Q19" i="260"/>
  <c r="S19" i="260"/>
  <c r="R19" i="260"/>
  <c r="K19" i="260" s="1"/>
  <c r="P19" i="260" s="1"/>
  <c r="V19" i="260"/>
  <c r="W19" i="260"/>
  <c r="L20" i="260"/>
  <c r="O20" i="260"/>
  <c r="Q20" i="260"/>
  <c r="R20" i="260"/>
  <c r="V20" i="260"/>
  <c r="W20" i="260" s="1"/>
  <c r="L21" i="260"/>
  <c r="Q21" i="260"/>
  <c r="V21" i="260"/>
  <c r="X21" i="260"/>
  <c r="W21" i="260"/>
  <c r="AA21" i="260"/>
  <c r="Q22" i="260"/>
  <c r="V22" i="260"/>
  <c r="W22" i="260" s="1"/>
  <c r="L23" i="260"/>
  <c r="Q23" i="260"/>
  <c r="R23" i="260"/>
  <c r="S23" i="260"/>
  <c r="T23" i="260"/>
  <c r="V23" i="260"/>
  <c r="W23" i="260"/>
  <c r="AH23" i="260"/>
  <c r="Q24" i="260"/>
  <c r="S24" i="260"/>
  <c r="R24" i="260"/>
  <c r="K24" i="260" s="1"/>
  <c r="V24" i="260"/>
  <c r="W24" i="260" s="1"/>
  <c r="Q25" i="260"/>
  <c r="V25" i="260"/>
  <c r="W25" i="260"/>
  <c r="Q26" i="260"/>
  <c r="V26" i="260"/>
  <c r="W26" i="260"/>
  <c r="Q27" i="260"/>
  <c r="V27" i="260"/>
  <c r="W27" i="260" s="1"/>
  <c r="Q28" i="260"/>
  <c r="V28" i="260"/>
  <c r="W28" i="260" s="1"/>
  <c r="Q29" i="260"/>
  <c r="S29" i="260"/>
  <c r="R29" i="260"/>
  <c r="K29" i="260" s="1"/>
  <c r="P29" i="260" s="1"/>
  <c r="V29" i="260"/>
  <c r="W29" i="260"/>
  <c r="Q30" i="260"/>
  <c r="S30" i="260"/>
  <c r="R30" i="260" s="1"/>
  <c r="K30" i="260" s="1"/>
  <c r="P30" i="260" s="1"/>
  <c r="V30" i="260"/>
  <c r="W30" i="260" s="1"/>
  <c r="Q31" i="260"/>
  <c r="R31" i="260"/>
  <c r="V31" i="260"/>
  <c r="W31" i="260" s="1"/>
  <c r="Q32" i="260"/>
  <c r="S32" i="260"/>
  <c r="R32" i="260" s="1"/>
  <c r="K32" i="260" s="1"/>
  <c r="P32" i="260" s="1"/>
  <c r="V32" i="260"/>
  <c r="W32" i="260" s="1"/>
  <c r="Q33" i="260"/>
  <c r="S33" i="260"/>
  <c r="R33" i="260" s="1"/>
  <c r="K33" i="260" s="1"/>
  <c r="P33" i="260" s="1"/>
  <c r="V33" i="260"/>
  <c r="W33" i="260" s="1"/>
  <c r="Q34" i="260"/>
  <c r="V34" i="260"/>
  <c r="W34" i="260" s="1"/>
  <c r="Q35" i="260"/>
  <c r="S35" i="260"/>
  <c r="R35" i="260"/>
  <c r="K35" i="260" s="1"/>
  <c r="V35" i="260"/>
  <c r="W35" i="260" s="1"/>
  <c r="Q36" i="260"/>
  <c r="V36" i="260"/>
  <c r="X36" i="260"/>
  <c r="W36" i="260" s="1"/>
  <c r="Q37" i="260"/>
  <c r="V37" i="260"/>
  <c r="X37" i="260"/>
  <c r="Q38" i="260"/>
  <c r="V38" i="260"/>
  <c r="W38" i="260" s="1"/>
  <c r="L39" i="260"/>
  <c r="Q39" i="260"/>
  <c r="V39" i="260"/>
  <c r="W39" i="260" s="1"/>
  <c r="J332" i="260"/>
  <c r="Q40" i="260"/>
  <c r="V40" i="260"/>
  <c r="W40" i="260"/>
  <c r="AA40" i="260"/>
  <c r="L41" i="260"/>
  <c r="Q41" i="260"/>
  <c r="R41" i="260"/>
  <c r="V41" i="260"/>
  <c r="W41" i="260"/>
  <c r="AA41" i="260"/>
  <c r="L42" i="260"/>
  <c r="Q42" i="260"/>
  <c r="R42" i="260"/>
  <c r="V42" i="260"/>
  <c r="W42" i="260"/>
  <c r="Q43" i="260"/>
  <c r="V43" i="260"/>
  <c r="X43" i="260"/>
  <c r="W43" i="260" s="1"/>
  <c r="Q44" i="260"/>
  <c r="R44" i="260"/>
  <c r="V44" i="260"/>
  <c r="W44" i="260" s="1"/>
  <c r="Q45" i="260"/>
  <c r="S45" i="260"/>
  <c r="R45" i="260" s="1"/>
  <c r="K45" i="260" s="1"/>
  <c r="P45" i="260" s="1"/>
  <c r="V45" i="260"/>
  <c r="W45" i="260" s="1"/>
  <c r="Q46" i="260"/>
  <c r="V46" i="260"/>
  <c r="L47" i="260"/>
  <c r="Q47" i="260"/>
  <c r="R47" i="260"/>
  <c r="V47" i="260"/>
  <c r="X47" i="260"/>
  <c r="W47" i="260" s="1"/>
  <c r="AA47" i="260"/>
  <c r="Q48" i="260"/>
  <c r="V48" i="260"/>
  <c r="W48" i="260" s="1"/>
  <c r="Q49" i="260"/>
  <c r="V49" i="260"/>
  <c r="W49" i="260"/>
  <c r="Q50" i="260"/>
  <c r="R50" i="260"/>
  <c r="S50" i="260"/>
  <c r="T50" i="260"/>
  <c r="V50" i="260"/>
  <c r="W50" i="260"/>
  <c r="Q51" i="260"/>
  <c r="S51" i="260"/>
  <c r="R51" i="260" s="1"/>
  <c r="K51" i="260" s="1"/>
  <c r="P51" i="260" s="1"/>
  <c r="V51" i="260"/>
  <c r="W51" i="260" s="1"/>
  <c r="Q52" i="260"/>
  <c r="S52" i="260"/>
  <c r="T52" i="260"/>
  <c r="V52" i="260"/>
  <c r="W52" i="260"/>
  <c r="S53" i="260"/>
  <c r="R53" i="260"/>
  <c r="K53" i="260" s="1"/>
  <c r="P53" i="260" s="1"/>
  <c r="V53" i="260"/>
  <c r="W53" i="260"/>
  <c r="Q54" i="260"/>
  <c r="S54" i="260"/>
  <c r="R54" i="260" s="1"/>
  <c r="K54" i="260" s="1"/>
  <c r="V54" i="260"/>
  <c r="W54" i="260"/>
  <c r="L55" i="260"/>
  <c r="Q55" i="260"/>
  <c r="S55" i="260"/>
  <c r="T55" i="260"/>
  <c r="V55" i="260"/>
  <c r="W55" i="260"/>
  <c r="Q56" i="260"/>
  <c r="V56" i="260"/>
  <c r="Q57" i="260"/>
  <c r="V57" i="260"/>
  <c r="W57" i="260"/>
  <c r="X57" i="260"/>
  <c r="Q58" i="260"/>
  <c r="V58" i="260"/>
  <c r="W58" i="260"/>
  <c r="Q59" i="260"/>
  <c r="V59" i="260"/>
  <c r="W59" i="260" s="1"/>
  <c r="Q60" i="260"/>
  <c r="V60" i="260"/>
  <c r="W60" i="260" s="1"/>
  <c r="L61" i="260"/>
  <c r="Q61" i="260"/>
  <c r="V61" i="260"/>
  <c r="W61" i="260" s="1"/>
  <c r="Q62" i="260"/>
  <c r="V62" i="260"/>
  <c r="W62" i="260" s="1"/>
  <c r="L63" i="260"/>
  <c r="Q63" i="260"/>
  <c r="V63" i="260"/>
  <c r="W63" i="260" s="1"/>
  <c r="K64" i="260"/>
  <c r="Q64" i="260"/>
  <c r="R64" i="260"/>
  <c r="V64" i="260"/>
  <c r="W64" i="260" s="1"/>
  <c r="L65" i="260"/>
  <c r="Q65" i="260"/>
  <c r="V65" i="260"/>
  <c r="W65" i="260" s="1"/>
  <c r="Q66" i="260"/>
  <c r="V66" i="260"/>
  <c r="X66" i="260"/>
  <c r="Q67" i="260"/>
  <c r="V67" i="260"/>
  <c r="W67" i="260" s="1"/>
  <c r="Q68" i="260"/>
  <c r="V68" i="260"/>
  <c r="W68" i="260" s="1"/>
  <c r="L69" i="260"/>
  <c r="Q69" i="260"/>
  <c r="V69" i="260"/>
  <c r="W69" i="260" s="1"/>
  <c r="O70" i="260"/>
  <c r="J70" i="260" s="1"/>
  <c r="Q70" i="260"/>
  <c r="S70" i="260"/>
  <c r="R70" i="260" s="1"/>
  <c r="K70" i="260" s="1"/>
  <c r="V70" i="260"/>
  <c r="X70" i="260"/>
  <c r="Y70" i="260"/>
  <c r="AB70" i="260"/>
  <c r="Q71" i="260"/>
  <c r="S71" i="260"/>
  <c r="R71" i="260" s="1"/>
  <c r="K71" i="260" s="1"/>
  <c r="V71" i="260"/>
  <c r="X71" i="260"/>
  <c r="AH71" i="260"/>
  <c r="L72" i="260"/>
  <c r="Q72" i="260"/>
  <c r="S72" i="260"/>
  <c r="T72" i="260" s="1"/>
  <c r="V72" i="260"/>
  <c r="W72" i="260" s="1"/>
  <c r="Q73" i="260"/>
  <c r="V73" i="260"/>
  <c r="W73" i="260" s="1"/>
  <c r="L74" i="260"/>
  <c r="Q74" i="260"/>
  <c r="R74" i="260"/>
  <c r="V74" i="260"/>
  <c r="W74" i="260" s="1"/>
  <c r="Q75" i="260"/>
  <c r="V75" i="260"/>
  <c r="W75" i="260" s="1"/>
  <c r="AB75" i="260"/>
  <c r="K76" i="260"/>
  <c r="Q76" i="260"/>
  <c r="V76" i="260"/>
  <c r="X76" i="260"/>
  <c r="W76" i="260" s="1"/>
  <c r="Y76" i="260"/>
  <c r="Q77" i="260"/>
  <c r="S77" i="260"/>
  <c r="R77" i="260" s="1"/>
  <c r="K77" i="260" s="1"/>
  <c r="V77" i="260"/>
  <c r="X77" i="260"/>
  <c r="W77" i="260" s="1"/>
  <c r="AB77" i="260"/>
  <c r="AH77" i="260"/>
  <c r="Q78" i="260"/>
  <c r="V78" i="260"/>
  <c r="W78" i="260" s="1"/>
  <c r="Q79" i="260"/>
  <c r="V79" i="260"/>
  <c r="X79" i="260"/>
  <c r="W79" i="260" s="1"/>
  <c r="AA79" i="260"/>
  <c r="AB79" i="260" s="1"/>
  <c r="Q80" i="260"/>
  <c r="V80" i="260"/>
  <c r="W80" i="260"/>
  <c r="Q81" i="260"/>
  <c r="V81" i="260"/>
  <c r="W81" i="260" s="1"/>
  <c r="Q82" i="260"/>
  <c r="V82" i="260"/>
  <c r="W82" i="260" s="1"/>
  <c r="L83" i="260"/>
  <c r="O83" i="260"/>
  <c r="J83" i="260" s="1"/>
  <c r="T83" i="260" s="1"/>
  <c r="Q83" i="260"/>
  <c r="V83" i="260"/>
  <c r="X83" i="260"/>
  <c r="W83" i="260" s="1"/>
  <c r="AA83" i="260"/>
  <c r="AB83" i="260"/>
  <c r="Q84" i="260"/>
  <c r="V84" i="260"/>
  <c r="W84" i="260"/>
  <c r="Q85" i="260"/>
  <c r="V85" i="260"/>
  <c r="X85" i="260"/>
  <c r="W85" i="260" s="1"/>
  <c r="AA85" i="260"/>
  <c r="AB85" i="260" s="1"/>
  <c r="AH85" i="260"/>
  <c r="Q86" i="260"/>
  <c r="V86" i="260"/>
  <c r="W86" i="260" s="1"/>
  <c r="AA86" i="260"/>
  <c r="AB86" i="260" s="1"/>
  <c r="Q87" i="260"/>
  <c r="V87" i="260"/>
  <c r="W87" i="260" s="1"/>
  <c r="L88" i="260"/>
  <c r="Q88" i="260"/>
  <c r="S88" i="260"/>
  <c r="T88" i="260" s="1"/>
  <c r="V88" i="260"/>
  <c r="X88" i="260"/>
  <c r="W88" i="260" s="1"/>
  <c r="AA88" i="260"/>
  <c r="L89" i="260"/>
  <c r="Q89" i="260"/>
  <c r="R89" i="260"/>
  <c r="V89" i="260"/>
  <c r="W89" i="260"/>
  <c r="AH89" i="260"/>
  <c r="Q90" i="260"/>
  <c r="V90" i="260"/>
  <c r="X90" i="260"/>
  <c r="W90" i="260" s="1"/>
  <c r="L91" i="260"/>
  <c r="O91" i="260"/>
  <c r="Q91" i="260"/>
  <c r="R91" i="260"/>
  <c r="V91" i="260"/>
  <c r="X91" i="260"/>
  <c r="W91" i="260" s="1"/>
  <c r="Q92" i="260"/>
  <c r="S92" i="260"/>
  <c r="R92" i="260" s="1"/>
  <c r="K92" i="260" s="1"/>
  <c r="V92" i="260"/>
  <c r="X92" i="260"/>
  <c r="W92" i="260" s="1"/>
  <c r="AA92" i="260"/>
  <c r="Q93" i="260"/>
  <c r="S93" i="260"/>
  <c r="R93" i="260" s="1"/>
  <c r="K93" i="260" s="1"/>
  <c r="P93" i="260" s="1"/>
  <c r="V93" i="260"/>
  <c r="X93" i="260"/>
  <c r="Q94" i="260"/>
  <c r="V94" i="260"/>
  <c r="W94" i="260" s="1"/>
  <c r="Q95" i="260"/>
  <c r="V95" i="260"/>
  <c r="W95" i="260"/>
  <c r="Q96" i="260"/>
  <c r="S96" i="260"/>
  <c r="R96" i="260" s="1"/>
  <c r="K96" i="260" s="1"/>
  <c r="P96" i="260" s="1"/>
  <c r="V96" i="260"/>
  <c r="W96" i="260" s="1"/>
  <c r="Q97" i="260"/>
  <c r="V97" i="260"/>
  <c r="W97" i="260"/>
  <c r="Q98" i="260"/>
  <c r="V98" i="260"/>
  <c r="W98" i="260" s="1"/>
  <c r="Q99" i="260"/>
  <c r="V99" i="260"/>
  <c r="X99" i="260"/>
  <c r="W99" i="260"/>
  <c r="Q100" i="260"/>
  <c r="V100" i="260"/>
  <c r="W100" i="260"/>
  <c r="X100" i="260"/>
  <c r="Q101" i="260"/>
  <c r="V101" i="260"/>
  <c r="X101" i="260"/>
  <c r="W101" i="260" s="1"/>
  <c r="Q102" i="260"/>
  <c r="V102" i="260"/>
  <c r="W102" i="260"/>
  <c r="Q103" i="260"/>
  <c r="V103" i="260"/>
  <c r="W103" i="260"/>
  <c r="Q104" i="260"/>
  <c r="V104" i="260"/>
  <c r="W104" i="260" s="1"/>
  <c r="L105" i="260"/>
  <c r="Q105" i="260"/>
  <c r="V105" i="260"/>
  <c r="W105" i="260" s="1"/>
  <c r="Q106" i="260"/>
  <c r="V106" i="260"/>
  <c r="W106" i="260"/>
  <c r="Q107" i="260"/>
  <c r="R107" i="260"/>
  <c r="V107" i="260"/>
  <c r="W107" i="260"/>
  <c r="Q108" i="260"/>
  <c r="V108" i="260"/>
  <c r="W108" i="260" s="1"/>
  <c r="Q109" i="260"/>
  <c r="V109" i="260"/>
  <c r="W109" i="260" s="1"/>
  <c r="AA109" i="260"/>
  <c r="Q110" i="260"/>
  <c r="V110" i="260"/>
  <c r="W110" i="260"/>
  <c r="Q111" i="260"/>
  <c r="V111" i="260"/>
  <c r="Q112" i="260"/>
  <c r="V112" i="260"/>
  <c r="W112" i="260"/>
  <c r="Q113" i="260"/>
  <c r="V113" i="260"/>
  <c r="W113" i="260" s="1"/>
  <c r="Q114" i="260"/>
  <c r="S114" i="260"/>
  <c r="R114" i="260" s="1"/>
  <c r="K114" i="260" s="1"/>
  <c r="P114" i="260" s="1"/>
  <c r="V114" i="260"/>
  <c r="W114" i="260" s="1"/>
  <c r="Q115" i="260"/>
  <c r="S115" i="260"/>
  <c r="R115" i="260" s="1"/>
  <c r="K115" i="260" s="1"/>
  <c r="P115" i="260" s="1"/>
  <c r="V115" i="260"/>
  <c r="X115" i="260"/>
  <c r="Q116" i="260"/>
  <c r="R116" i="260"/>
  <c r="V116" i="260"/>
  <c r="W116" i="260" s="1"/>
  <c r="Q117" i="260"/>
  <c r="V117" i="260"/>
  <c r="W117" i="260"/>
  <c r="Q118" i="260"/>
  <c r="R118" i="260"/>
  <c r="V118" i="260"/>
  <c r="W118" i="260"/>
  <c r="Q119" i="260"/>
  <c r="V119" i="260"/>
  <c r="X119" i="260"/>
  <c r="W119" i="260" s="1"/>
  <c r="Q120" i="260"/>
  <c r="V120" i="260"/>
  <c r="X120" i="260"/>
  <c r="W120" i="260" s="1"/>
  <c r="L121" i="260"/>
  <c r="Q121" i="260"/>
  <c r="R121" i="260"/>
  <c r="V121" i="260"/>
  <c r="X121" i="260"/>
  <c r="W121" i="260" s="1"/>
  <c r="L122" i="260"/>
  <c r="Q122" i="260"/>
  <c r="V122" i="260"/>
  <c r="W122" i="260" s="1"/>
  <c r="Q123" i="260"/>
  <c r="V123" i="260"/>
  <c r="W123" i="260"/>
  <c r="X123" i="260"/>
  <c r="AA123" i="260"/>
  <c r="Q124" i="260"/>
  <c r="V124" i="260"/>
  <c r="W124" i="260" s="1"/>
  <c r="AA124" i="260"/>
  <c r="O125" i="260"/>
  <c r="J125" i="260" s="1"/>
  <c r="T125" i="260" s="1"/>
  <c r="Q125" i="260"/>
  <c r="V125" i="260"/>
  <c r="W125" i="260"/>
  <c r="L126" i="260"/>
  <c r="Q126" i="260"/>
  <c r="R126" i="260"/>
  <c r="V126" i="260"/>
  <c r="W126" i="260" s="1"/>
  <c r="Q127" i="260"/>
  <c r="V127" i="260"/>
  <c r="W127" i="260" s="1"/>
  <c r="Q128" i="260"/>
  <c r="V128" i="260"/>
  <c r="W128" i="260" s="1"/>
  <c r="Q129" i="260"/>
  <c r="V129" i="260"/>
  <c r="W129" i="260" s="1"/>
  <c r="L130" i="260"/>
  <c r="Q130" i="260"/>
  <c r="V130" i="260"/>
  <c r="W130" i="260" s="1"/>
  <c r="Q131" i="260"/>
  <c r="X131" i="260"/>
  <c r="L132" i="260"/>
  <c r="Q132" i="260"/>
  <c r="V132" i="260"/>
  <c r="X132" i="260"/>
  <c r="W132" i="260" s="1"/>
  <c r="L133" i="260"/>
  <c r="Q133" i="260"/>
  <c r="R133" i="260"/>
  <c r="V133" i="260"/>
  <c r="W133" i="260" s="1"/>
  <c r="L134" i="260"/>
  <c r="Q134" i="260"/>
  <c r="V134" i="260"/>
  <c r="W134" i="260" s="1"/>
  <c r="Q135" i="260"/>
  <c r="V135" i="260"/>
  <c r="W135" i="260"/>
  <c r="J433" i="260"/>
  <c r="Q136" i="260"/>
  <c r="V136" i="260"/>
  <c r="W136" i="260" s="1"/>
  <c r="J434" i="260"/>
  <c r="L137" i="260" s="1"/>
  <c r="Q137" i="260"/>
  <c r="V137" i="260"/>
  <c r="X137" i="260"/>
  <c r="Q138" i="260"/>
  <c r="V138" i="260"/>
  <c r="W138" i="260" s="1"/>
  <c r="Q139" i="260"/>
  <c r="V139" i="260"/>
  <c r="W139" i="260" s="1"/>
  <c r="L140" i="260"/>
  <c r="Q140" i="260"/>
  <c r="R140" i="260"/>
  <c r="V140" i="260"/>
  <c r="W140" i="260"/>
  <c r="Q141" i="260"/>
  <c r="S141" i="260"/>
  <c r="R141" i="260" s="1"/>
  <c r="K141" i="260" s="1"/>
  <c r="V141" i="260"/>
  <c r="W141" i="260"/>
  <c r="Q142" i="260"/>
  <c r="V142" i="260"/>
  <c r="X142" i="260"/>
  <c r="W142" i="260" s="1"/>
  <c r="L143" i="260"/>
  <c r="O143" i="260"/>
  <c r="J143" i="260" s="1"/>
  <c r="T143" i="260" s="1"/>
  <c r="Q143" i="260"/>
  <c r="R143" i="260"/>
  <c r="V143" i="260"/>
  <c r="W143" i="260" s="1"/>
  <c r="L144" i="260"/>
  <c r="Q144" i="260"/>
  <c r="R144" i="260"/>
  <c r="V144" i="260"/>
  <c r="X144" i="260"/>
  <c r="L145" i="260"/>
  <c r="Q145" i="260"/>
  <c r="R145" i="260"/>
  <c r="V145" i="260"/>
  <c r="X145" i="260"/>
  <c r="W145" i="260" s="1"/>
  <c r="Q146" i="260"/>
  <c r="V146" i="260"/>
  <c r="W146" i="260"/>
  <c r="L147" i="260"/>
  <c r="Q147" i="260"/>
  <c r="R147" i="260"/>
  <c r="V147" i="260"/>
  <c r="W147" i="260" s="1"/>
  <c r="Q148" i="260"/>
  <c r="S148" i="260"/>
  <c r="R148" i="260" s="1"/>
  <c r="K148" i="260" s="1"/>
  <c r="P148" i="260" s="1"/>
  <c r="V148" i="260"/>
  <c r="W148" i="260" s="1"/>
  <c r="Q149" i="260"/>
  <c r="S149" i="260"/>
  <c r="R149" i="260" s="1"/>
  <c r="K149" i="260" s="1"/>
  <c r="P149" i="260" s="1"/>
  <c r="V149" i="260"/>
  <c r="W149" i="260" s="1"/>
  <c r="Q150" i="260"/>
  <c r="S150" i="260"/>
  <c r="R150" i="260" s="1"/>
  <c r="K150" i="260" s="1"/>
  <c r="P150" i="260" s="1"/>
  <c r="V150" i="260"/>
  <c r="W150" i="260" s="1"/>
  <c r="Q151" i="260"/>
  <c r="S151" i="260"/>
  <c r="R151" i="260" s="1"/>
  <c r="K151" i="260" s="1"/>
  <c r="P151" i="260" s="1"/>
  <c r="V151" i="260"/>
  <c r="W151" i="260" s="1"/>
  <c r="Q152" i="260"/>
  <c r="S152" i="260"/>
  <c r="R152" i="260" s="1"/>
  <c r="K152" i="260" s="1"/>
  <c r="P152" i="260" s="1"/>
  <c r="V152" i="260"/>
  <c r="W152" i="260" s="1"/>
  <c r="Q153" i="260"/>
  <c r="S153" i="260"/>
  <c r="R153" i="260" s="1"/>
  <c r="K153" i="260" s="1"/>
  <c r="P153" i="260" s="1"/>
  <c r="V153" i="260"/>
  <c r="W153" i="260" s="1"/>
  <c r="Q154" i="260"/>
  <c r="S154" i="260"/>
  <c r="R154" i="260" s="1"/>
  <c r="K154" i="260" s="1"/>
  <c r="P154" i="260" s="1"/>
  <c r="V154" i="260"/>
  <c r="W154" i="260" s="1"/>
  <c r="Q155" i="260"/>
  <c r="S155" i="260"/>
  <c r="R155" i="260" s="1"/>
  <c r="K155" i="260" s="1"/>
  <c r="P155" i="260" s="1"/>
  <c r="V155" i="260"/>
  <c r="W155" i="260" s="1"/>
  <c r="Q156" i="260"/>
  <c r="S156" i="260"/>
  <c r="R156" i="260" s="1"/>
  <c r="K156" i="260" s="1"/>
  <c r="P156" i="260" s="1"/>
  <c r="V156" i="260"/>
  <c r="W156" i="260" s="1"/>
  <c r="Q157" i="260"/>
  <c r="S157" i="260"/>
  <c r="R157" i="260" s="1"/>
  <c r="K157" i="260" s="1"/>
  <c r="P157" i="260" s="1"/>
  <c r="V157" i="260"/>
  <c r="W157" i="260" s="1"/>
  <c r="Q158" i="260"/>
  <c r="S158" i="260"/>
  <c r="R158" i="260" s="1"/>
  <c r="K158" i="260" s="1"/>
  <c r="P158" i="260" s="1"/>
  <c r="V158" i="260"/>
  <c r="W158" i="260" s="1"/>
  <c r="Q159" i="260"/>
  <c r="S159" i="260"/>
  <c r="R159" i="260" s="1"/>
  <c r="K159" i="260" s="1"/>
  <c r="P159" i="260" s="1"/>
  <c r="V159" i="260"/>
  <c r="W159" i="260" s="1"/>
  <c r="Q160" i="260"/>
  <c r="S160" i="260"/>
  <c r="R160" i="260" s="1"/>
  <c r="K160" i="260" s="1"/>
  <c r="P160" i="260"/>
  <c r="V160" i="260"/>
  <c r="W160" i="260"/>
  <c r="Q161" i="260"/>
  <c r="S161" i="260"/>
  <c r="V161" i="260"/>
  <c r="W161" i="260"/>
  <c r="Q162" i="260"/>
  <c r="V162" i="260"/>
  <c r="W162" i="260" s="1"/>
  <c r="L163" i="260"/>
  <c r="Q163" i="260"/>
  <c r="V163" i="260"/>
  <c r="W163" i="260" s="1"/>
  <c r="L164" i="260"/>
  <c r="Q164" i="260"/>
  <c r="V164" i="260"/>
  <c r="W164" i="260" s="1"/>
  <c r="Q165" i="260"/>
  <c r="V165" i="260"/>
  <c r="W165" i="260"/>
  <c r="J166" i="260"/>
  <c r="R166" i="260"/>
  <c r="K166" i="260" s="1"/>
  <c r="Q166" i="260"/>
  <c r="L167" i="260"/>
  <c r="Q167" i="260"/>
  <c r="V167" i="260"/>
  <c r="W167" i="260" s="1"/>
  <c r="Q168" i="260"/>
  <c r="V168" i="260"/>
  <c r="W168" i="260"/>
  <c r="Q169" i="260"/>
  <c r="V169" i="260"/>
  <c r="W169" i="260"/>
  <c r="Q170" i="260"/>
  <c r="V170" i="260"/>
  <c r="W170" i="260" s="1"/>
  <c r="L171" i="260"/>
  <c r="Q171" i="260"/>
  <c r="V171" i="260"/>
  <c r="W171" i="260" s="1"/>
  <c r="Q172" i="260"/>
  <c r="V172" i="260"/>
  <c r="W172" i="260"/>
  <c r="Q173" i="260"/>
  <c r="V173" i="260"/>
  <c r="W173" i="260"/>
  <c r="Q174" i="260"/>
  <c r="V174" i="260"/>
  <c r="W174" i="260" s="1"/>
  <c r="Q175" i="260"/>
  <c r="S175" i="260"/>
  <c r="R175" i="260" s="1"/>
  <c r="K175" i="260"/>
  <c r="V175" i="260"/>
  <c r="X175" i="260"/>
  <c r="Q176" i="260"/>
  <c r="S176" i="260"/>
  <c r="R176" i="260" s="1"/>
  <c r="K176" i="260" s="1"/>
  <c r="V176" i="260"/>
  <c r="W176" i="260"/>
  <c r="Q177" i="260"/>
  <c r="V177" i="260"/>
  <c r="W177" i="260"/>
  <c r="Q178" i="260"/>
  <c r="V178" i="260"/>
  <c r="W178" i="260" s="1"/>
  <c r="L179" i="260"/>
  <c r="Q179" i="260"/>
  <c r="V179" i="260"/>
  <c r="W179" i="260" s="1"/>
  <c r="L180" i="260"/>
  <c r="Q180" i="260"/>
  <c r="R180" i="260"/>
  <c r="V180" i="260"/>
  <c r="W180" i="260" s="1"/>
  <c r="L181" i="260"/>
  <c r="Q181" i="260"/>
  <c r="V181" i="260"/>
  <c r="X181" i="260"/>
  <c r="Q182" i="260"/>
  <c r="V182" i="260"/>
  <c r="W182" i="260"/>
  <c r="Q183" i="260"/>
  <c r="V183" i="260"/>
  <c r="W183" i="260"/>
  <c r="Q184" i="260"/>
  <c r="V184" i="260"/>
  <c r="W184" i="260" s="1"/>
  <c r="L185" i="260"/>
  <c r="Q185" i="260"/>
  <c r="V185" i="260"/>
  <c r="W185" i="260" s="1"/>
  <c r="Q186" i="260"/>
  <c r="R186" i="260"/>
  <c r="V186" i="260"/>
  <c r="W186" i="260" s="1"/>
  <c r="Q187" i="260"/>
  <c r="V187" i="260"/>
  <c r="W187" i="260" s="1"/>
  <c r="Q188" i="260"/>
  <c r="V188" i="260"/>
  <c r="W188" i="260"/>
  <c r="Q189" i="260"/>
  <c r="V189" i="260"/>
  <c r="W189" i="260"/>
  <c r="Q190" i="260"/>
  <c r="V190" i="260"/>
  <c r="W190" i="260"/>
  <c r="L191" i="260"/>
  <c r="Q191" i="260"/>
  <c r="R191" i="260"/>
  <c r="V191" i="260"/>
  <c r="W191" i="260" s="1"/>
  <c r="AJ191" i="260"/>
  <c r="O192" i="260"/>
  <c r="J192" i="260" s="1"/>
  <c r="T192" i="260" s="1"/>
  <c r="Q192" i="260"/>
  <c r="V192" i="260"/>
  <c r="X192" i="260"/>
  <c r="Q193" i="260"/>
  <c r="V193" i="260"/>
  <c r="X193" i="260"/>
  <c r="L194" i="260"/>
  <c r="Q194" i="260"/>
  <c r="R194" i="260"/>
  <c r="V194" i="260"/>
  <c r="W194" i="260" s="1"/>
  <c r="AJ194" i="260"/>
  <c r="Q195" i="260"/>
  <c r="V195" i="260"/>
  <c r="X195" i="260"/>
  <c r="L196" i="260"/>
  <c r="O196" i="260"/>
  <c r="P196" i="260" s="1"/>
  <c r="Q196" i="260"/>
  <c r="R196" i="260"/>
  <c r="V196" i="260"/>
  <c r="X196" i="260"/>
  <c r="Q197" i="260"/>
  <c r="V197" i="260"/>
  <c r="X197" i="260"/>
  <c r="W197" i="260" s="1"/>
  <c r="L198" i="260"/>
  <c r="Q198" i="260"/>
  <c r="R198" i="260"/>
  <c r="V198" i="260"/>
  <c r="X198" i="260"/>
  <c r="L199" i="260"/>
  <c r="Q199" i="260"/>
  <c r="V199" i="260"/>
  <c r="W199" i="260" s="1"/>
  <c r="AJ199" i="260"/>
  <c r="Q200" i="260"/>
  <c r="V200" i="260"/>
  <c r="W200" i="260"/>
  <c r="AJ200" i="260"/>
  <c r="L201" i="260"/>
  <c r="O201" i="260"/>
  <c r="J201" i="260"/>
  <c r="T201" i="260" s="1"/>
  <c r="Q201" i="260"/>
  <c r="V201" i="260"/>
  <c r="X201" i="260"/>
  <c r="L202" i="260"/>
  <c r="Q202" i="260"/>
  <c r="V202" i="260"/>
  <c r="X202" i="260"/>
  <c r="W202" i="260"/>
  <c r="L203" i="260"/>
  <c r="O203" i="260"/>
  <c r="Q203" i="260"/>
  <c r="R203" i="260"/>
  <c r="V203" i="260"/>
  <c r="X203" i="260"/>
  <c r="W203" i="260" s="1"/>
  <c r="Q204" i="260"/>
  <c r="V204" i="260"/>
  <c r="X204" i="260"/>
  <c r="W204" i="260" s="1"/>
  <c r="Q205" i="260"/>
  <c r="V205" i="260"/>
  <c r="W205" i="260"/>
  <c r="AJ205" i="260"/>
  <c r="L206" i="260"/>
  <c r="Q206" i="260"/>
  <c r="V206" i="260"/>
  <c r="X206" i="260"/>
  <c r="L207" i="260"/>
  <c r="Q207" i="260"/>
  <c r="V207" i="260"/>
  <c r="X207" i="260"/>
  <c r="L208" i="260"/>
  <c r="Q208" i="260"/>
  <c r="V208" i="260"/>
  <c r="W208" i="260" s="1"/>
  <c r="AJ208" i="260"/>
  <c r="L209" i="260"/>
  <c r="Q209" i="260"/>
  <c r="V209" i="260"/>
  <c r="W209" i="260" s="1"/>
  <c r="AJ209" i="260"/>
  <c r="Q210" i="260"/>
  <c r="V210" i="260"/>
  <c r="W210" i="260" s="1"/>
  <c r="AJ210" i="260"/>
  <c r="Q211" i="260"/>
  <c r="V211" i="260"/>
  <c r="W211" i="260"/>
  <c r="AJ211" i="260"/>
  <c r="L212" i="260"/>
  <c r="Q212" i="260"/>
  <c r="V212" i="260"/>
  <c r="X212" i="260"/>
  <c r="L213" i="260"/>
  <c r="Q213" i="260"/>
  <c r="V213" i="260"/>
  <c r="X213" i="260"/>
  <c r="L214" i="260"/>
  <c r="Q214" i="260"/>
  <c r="V214" i="260"/>
  <c r="W214" i="260" s="1"/>
  <c r="AJ214" i="260"/>
  <c r="Q215" i="260"/>
  <c r="V215" i="260"/>
  <c r="W215" i="260"/>
  <c r="AJ215" i="260"/>
  <c r="L216" i="260"/>
  <c r="Q216" i="260"/>
  <c r="V216" i="260"/>
  <c r="X216" i="260"/>
  <c r="L217" i="260"/>
  <c r="Q217" i="260"/>
  <c r="V217" i="260"/>
  <c r="W217" i="260" s="1"/>
  <c r="AJ217" i="260"/>
  <c r="Q218" i="260"/>
  <c r="V218" i="260"/>
  <c r="W218" i="260"/>
  <c r="AJ218" i="260"/>
  <c r="L219" i="260"/>
  <c r="Q219" i="260"/>
  <c r="V219" i="260"/>
  <c r="X219" i="260"/>
  <c r="W219" i="260"/>
  <c r="Q220" i="260"/>
  <c r="V220" i="260"/>
  <c r="X220" i="260"/>
  <c r="W220" i="260" s="1"/>
  <c r="Q221" i="260"/>
  <c r="V221" i="260"/>
  <c r="W221" i="260" s="1"/>
  <c r="AJ221" i="260"/>
  <c r="Q222" i="260"/>
  <c r="V222" i="260"/>
  <c r="W222" i="260"/>
  <c r="X222" i="260"/>
  <c r="AJ222" i="260"/>
  <c r="L223" i="260"/>
  <c r="Q223" i="260"/>
  <c r="R223" i="260"/>
  <c r="V223" i="260"/>
  <c r="W223" i="260" s="1"/>
  <c r="AJ223" i="260"/>
  <c r="Q224" i="260"/>
  <c r="V224" i="260"/>
  <c r="W224" i="260"/>
  <c r="AJ224" i="260"/>
  <c r="Q225" i="260"/>
  <c r="V225" i="260"/>
  <c r="W225" i="260"/>
  <c r="AJ225" i="260"/>
  <c r="L226" i="260"/>
  <c r="Q226" i="260"/>
  <c r="V226" i="260"/>
  <c r="X226" i="260"/>
  <c r="W226" i="260"/>
  <c r="AA226" i="260"/>
  <c r="AJ226" i="260"/>
  <c r="Q227" i="260"/>
  <c r="V227" i="260"/>
  <c r="W227" i="260" s="1"/>
  <c r="L228" i="260"/>
  <c r="Q228" i="260"/>
  <c r="R228" i="260"/>
  <c r="V228" i="260"/>
  <c r="X228" i="260"/>
  <c r="L229" i="260"/>
  <c r="Q229" i="260"/>
  <c r="V229" i="260"/>
  <c r="X229" i="260"/>
  <c r="Q230" i="260"/>
  <c r="R230" i="260"/>
  <c r="V230" i="260"/>
  <c r="W230" i="260" s="1"/>
  <c r="AJ230" i="260"/>
  <c r="Q231" i="260"/>
  <c r="V231" i="260"/>
  <c r="W231" i="260" s="1"/>
  <c r="AJ231" i="260"/>
  <c r="O232" i="260"/>
  <c r="J232" i="260" s="1"/>
  <c r="T232" i="260" s="1"/>
  <c r="Q232" i="260"/>
  <c r="V232" i="260"/>
  <c r="X232" i="260"/>
  <c r="W232" i="260" s="1"/>
  <c r="L233" i="260"/>
  <c r="Q233" i="260"/>
  <c r="V233" i="260"/>
  <c r="X233" i="260"/>
  <c r="Q234" i="260"/>
  <c r="V234" i="260"/>
  <c r="W234" i="260"/>
  <c r="X234" i="260"/>
  <c r="AJ234" i="260"/>
  <c r="L235" i="260"/>
  <c r="Q235" i="260"/>
  <c r="R235" i="260"/>
  <c r="V235" i="260"/>
  <c r="X235" i="260"/>
  <c r="W235" i="260"/>
  <c r="Q236" i="260"/>
  <c r="V236" i="260"/>
  <c r="W236" i="260"/>
  <c r="AJ236" i="260"/>
  <c r="Q237" i="260"/>
  <c r="V237" i="260"/>
  <c r="Q238" i="260"/>
  <c r="V238" i="260"/>
  <c r="L239" i="260"/>
  <c r="Q239" i="260"/>
  <c r="V239" i="260"/>
  <c r="W239" i="260" s="1"/>
  <c r="AJ239" i="260"/>
  <c r="L240" i="260"/>
  <c r="Q240" i="260"/>
  <c r="V240" i="260"/>
  <c r="W240" i="260" s="1"/>
  <c r="AJ240" i="260"/>
  <c r="Q241" i="260"/>
  <c r="V241" i="260"/>
  <c r="W241" i="260" s="1"/>
  <c r="AJ241" i="260"/>
  <c r="AK241" i="260"/>
  <c r="Q242" i="260"/>
  <c r="V242" i="260"/>
  <c r="W242" i="260"/>
  <c r="Q243" i="260"/>
  <c r="V243" i="260"/>
  <c r="X243" i="260"/>
  <c r="Q244" i="260"/>
  <c r="R244" i="260"/>
  <c r="V244" i="260"/>
  <c r="W244" i="260" s="1"/>
  <c r="AJ244" i="260"/>
  <c r="Q245" i="260"/>
  <c r="V245" i="260"/>
  <c r="W245" i="260"/>
  <c r="AJ245" i="260"/>
  <c r="L246" i="260"/>
  <c r="Q246" i="260"/>
  <c r="R246" i="260"/>
  <c r="V246" i="260"/>
  <c r="W246" i="260" s="1"/>
  <c r="AA246" i="260"/>
  <c r="AJ246" i="260"/>
  <c r="R247" i="260"/>
  <c r="K247" i="260" s="1"/>
  <c r="Q247" i="260"/>
  <c r="V247" i="260"/>
  <c r="Q248" i="260"/>
  <c r="V248" i="260"/>
  <c r="W248" i="260" s="1"/>
  <c r="AA248" i="260"/>
  <c r="AJ248" i="260"/>
  <c r="Q249" i="260"/>
  <c r="R249" i="260"/>
  <c r="V249" i="260"/>
  <c r="X249" i="260"/>
  <c r="L250" i="260"/>
  <c r="Q250" i="260"/>
  <c r="V250" i="260"/>
  <c r="W250" i="260" s="1"/>
  <c r="AA250" i="260"/>
  <c r="AJ250" i="260"/>
  <c r="Q251" i="260"/>
  <c r="V251" i="260"/>
  <c r="X251" i="260"/>
  <c r="W251" i="260" s="1"/>
  <c r="L252" i="260"/>
  <c r="Q252" i="260"/>
  <c r="V252" i="260"/>
  <c r="W252" i="260" s="1"/>
  <c r="AJ252" i="260"/>
  <c r="Q253" i="260"/>
  <c r="R253" i="260"/>
  <c r="V253" i="260"/>
  <c r="W253" i="260" s="1"/>
  <c r="AJ253" i="260"/>
  <c r="Q254" i="260"/>
  <c r="V254" i="260"/>
  <c r="W254" i="260" s="1"/>
  <c r="AJ254" i="260"/>
  <c r="Q255" i="260"/>
  <c r="V255" i="260"/>
  <c r="W255" i="260" s="1"/>
  <c r="AJ255" i="260"/>
  <c r="Q256" i="260"/>
  <c r="V256" i="260"/>
  <c r="W256" i="260" s="1"/>
  <c r="AJ256" i="260"/>
  <c r="Q257" i="260"/>
  <c r="V257" i="260"/>
  <c r="W257" i="260" s="1"/>
  <c r="AJ257" i="260"/>
  <c r="R258" i="260"/>
  <c r="K258" i="260"/>
  <c r="L258" i="260" s="1"/>
  <c r="Q258" i="260"/>
  <c r="V258" i="260"/>
  <c r="X258" i="260"/>
  <c r="Q259" i="260"/>
  <c r="V259" i="260"/>
  <c r="W259" i="260"/>
  <c r="AJ259" i="260"/>
  <c r="L260" i="260"/>
  <c r="Q260" i="260"/>
  <c r="V260" i="260"/>
  <c r="W260" i="260" s="1"/>
  <c r="AJ260" i="260"/>
  <c r="L261" i="260"/>
  <c r="Q261" i="260"/>
  <c r="V261" i="260"/>
  <c r="X261" i="260"/>
  <c r="Q262" i="260"/>
  <c r="V262" i="260"/>
  <c r="X262" i="260"/>
  <c r="W262" i="260" s="1"/>
  <c r="L263" i="260"/>
  <c r="Q263" i="260"/>
  <c r="V263" i="260"/>
  <c r="X263" i="260"/>
  <c r="AA263" i="260"/>
  <c r="Q264" i="260"/>
  <c r="V264" i="260"/>
  <c r="W264" i="260" s="1"/>
  <c r="Q265" i="260"/>
  <c r="Q266" i="260"/>
  <c r="V266" i="260"/>
  <c r="W266" i="260" s="1"/>
  <c r="AJ266" i="260"/>
  <c r="Q267" i="260"/>
  <c r="V267" i="260"/>
  <c r="W267" i="260"/>
  <c r="AJ267" i="260"/>
  <c r="R268" i="260"/>
  <c r="K268" i="260" s="1"/>
  <c r="L268" i="260" s="1"/>
  <c r="Q268" i="260"/>
  <c r="V268" i="260"/>
  <c r="X268" i="260"/>
  <c r="Q269" i="260"/>
  <c r="V269" i="260"/>
  <c r="L270" i="260"/>
  <c r="Q270" i="260"/>
  <c r="V270" i="260"/>
  <c r="W270" i="260" s="1"/>
  <c r="AJ270" i="260"/>
  <c r="L271" i="260"/>
  <c r="Q271" i="260"/>
  <c r="V271" i="260"/>
  <c r="W271" i="260" s="1"/>
  <c r="AJ271" i="260"/>
  <c r="R272" i="260"/>
  <c r="K272" i="260" s="1"/>
  <c r="Q272" i="260"/>
  <c r="V272" i="260"/>
  <c r="W272" i="260"/>
  <c r="R273" i="260"/>
  <c r="K273" i="260"/>
  <c r="Q273" i="260"/>
  <c r="V273" i="260"/>
  <c r="W273" i="260" s="1"/>
  <c r="R274" i="260"/>
  <c r="K274" i="260" s="1"/>
  <c r="Q274" i="260"/>
  <c r="V274" i="260"/>
  <c r="W274" i="260"/>
  <c r="R275" i="260"/>
  <c r="K275" i="260"/>
  <c r="Q275" i="260"/>
  <c r="V275" i="260"/>
  <c r="W275" i="260" s="1"/>
  <c r="Q276" i="260"/>
  <c r="V276" i="260"/>
  <c r="W276" i="260" s="1"/>
  <c r="Q277" i="260"/>
  <c r="V277" i="260"/>
  <c r="W277" i="260" s="1"/>
  <c r="R278" i="260"/>
  <c r="K278" i="260" s="1"/>
  <c r="Q278" i="260"/>
  <c r="V278" i="260"/>
  <c r="W278" i="260" s="1"/>
  <c r="L279" i="260"/>
  <c r="Q279" i="260"/>
  <c r="V279" i="260"/>
  <c r="W279" i="260" s="1"/>
  <c r="AJ279" i="260"/>
  <c r="Q280" i="260"/>
  <c r="V280" i="260"/>
  <c r="W280" i="260" s="1"/>
  <c r="AA280" i="260"/>
  <c r="AJ280" i="260"/>
  <c r="Q281" i="260"/>
  <c r="R281" i="260"/>
  <c r="V281" i="260"/>
  <c r="W281" i="260" s="1"/>
  <c r="AJ281" i="260"/>
  <c r="Q282" i="260"/>
  <c r="R282" i="260"/>
  <c r="V282" i="260"/>
  <c r="W282" i="260" s="1"/>
  <c r="AJ282" i="260"/>
  <c r="Q283" i="260"/>
  <c r="V283" i="260"/>
  <c r="W283" i="260" s="1"/>
  <c r="Q284" i="260"/>
  <c r="V284" i="260"/>
  <c r="W284" i="260" s="1"/>
  <c r="Q285" i="260"/>
  <c r="R285" i="260"/>
  <c r="V285" i="260"/>
  <c r="W285" i="260" s="1"/>
  <c r="Q286" i="260"/>
  <c r="V286" i="260"/>
  <c r="W286" i="260" s="1"/>
  <c r="Q287" i="260"/>
  <c r="V287" i="260"/>
  <c r="L288" i="260"/>
  <c r="Q288" i="260"/>
  <c r="V288" i="260"/>
  <c r="X288" i="260"/>
  <c r="Q289" i="260"/>
  <c r="V289" i="260"/>
  <c r="W289" i="260"/>
  <c r="Q290" i="260"/>
  <c r="R290" i="260"/>
  <c r="V290" i="260"/>
  <c r="W290" i="260"/>
  <c r="Q291" i="260"/>
  <c r="Q292" i="260"/>
  <c r="X292" i="260"/>
  <c r="L293" i="260"/>
  <c r="Q293" i="260"/>
  <c r="V293" i="260"/>
  <c r="W293" i="260" s="1"/>
  <c r="AJ293" i="260"/>
  <c r="Q294" i="260"/>
  <c r="R294" i="260"/>
  <c r="V294" i="260"/>
  <c r="W294" i="260" s="1"/>
  <c r="Q295" i="260"/>
  <c r="V295" i="260"/>
  <c r="W295" i="260" s="1"/>
  <c r="Q296" i="260"/>
  <c r="V296" i="260"/>
  <c r="W296" i="260"/>
  <c r="Q297" i="260"/>
  <c r="V297" i="260"/>
  <c r="W297" i="260" s="1"/>
  <c r="Q298" i="260"/>
  <c r="V298" i="260"/>
  <c r="X298" i="260"/>
  <c r="W298" i="260" s="1"/>
  <c r="L299" i="260"/>
  <c r="Q299" i="260"/>
  <c r="V299" i="260"/>
  <c r="W299" i="260" s="1"/>
  <c r="AJ299" i="260"/>
  <c r="L300" i="260"/>
  <c r="Q300" i="260"/>
  <c r="V300" i="260"/>
  <c r="X300" i="260"/>
  <c r="W300" i="260" s="1"/>
  <c r="Q301" i="260"/>
  <c r="V301" i="260"/>
  <c r="W301" i="260" s="1"/>
  <c r="AJ301" i="260"/>
  <c r="Q302" i="260"/>
  <c r="V302" i="260"/>
  <c r="W302" i="260"/>
  <c r="AJ302" i="260"/>
  <c r="Q303" i="260"/>
  <c r="V303" i="260"/>
  <c r="W303" i="260"/>
  <c r="AJ303" i="260"/>
  <c r="Q304" i="260"/>
  <c r="V304" i="260"/>
  <c r="W304" i="260"/>
  <c r="Q305" i="260"/>
  <c r="V305" i="260"/>
  <c r="W305" i="260" s="1"/>
  <c r="AJ305" i="260"/>
  <c r="L306" i="260"/>
  <c r="Q306" i="260"/>
  <c r="R306" i="260"/>
  <c r="V306" i="260"/>
  <c r="W306" i="260" s="1"/>
  <c r="AJ306" i="260"/>
  <c r="L307" i="260"/>
  <c r="Q307" i="260"/>
  <c r="V307" i="260"/>
  <c r="W307" i="260"/>
  <c r="Q308" i="260"/>
  <c r="V308" i="260"/>
  <c r="W308" i="260"/>
  <c r="AJ308" i="260"/>
  <c r="L309" i="260"/>
  <c r="Q309" i="260"/>
  <c r="V309" i="260"/>
  <c r="X309" i="260"/>
  <c r="AA309" i="260"/>
  <c r="AJ309" i="260"/>
  <c r="L310" i="260"/>
  <c r="Q310" i="260"/>
  <c r="V310" i="260"/>
  <c r="X310" i="260"/>
  <c r="Q311" i="260"/>
  <c r="V311" i="260"/>
  <c r="W311" i="260"/>
  <c r="AJ311" i="260"/>
  <c r="Q312" i="260"/>
  <c r="V312" i="260"/>
  <c r="W312" i="260"/>
  <c r="Q313" i="260"/>
  <c r="V313" i="260"/>
  <c r="W313" i="260" s="1"/>
  <c r="AJ313" i="260"/>
  <c r="L314" i="260"/>
  <c r="Q314" i="260"/>
  <c r="V314" i="260"/>
  <c r="W314" i="260" s="1"/>
  <c r="AJ314" i="260"/>
  <c r="Q315" i="260"/>
  <c r="V315" i="260"/>
  <c r="W315" i="260" s="1"/>
  <c r="AJ315" i="260"/>
  <c r="Q316" i="260"/>
  <c r="V316" i="260"/>
  <c r="W316" i="260" s="1"/>
  <c r="AJ316" i="260"/>
  <c r="L317" i="260"/>
  <c r="Q317" i="260"/>
  <c r="V317" i="260"/>
  <c r="W317" i="260" s="1"/>
  <c r="AJ317" i="260"/>
  <c r="Q318" i="260"/>
  <c r="V318" i="260"/>
  <c r="W318" i="260" s="1"/>
  <c r="AJ318" i="260"/>
  <c r="Q319" i="260"/>
  <c r="V319" i="260"/>
  <c r="W319" i="260" s="1"/>
  <c r="AJ319" i="260"/>
  <c r="Q320" i="260"/>
  <c r="V320" i="260"/>
  <c r="W320" i="260" s="1"/>
  <c r="AJ320" i="260"/>
  <c r="Q321" i="260"/>
  <c r="V321" i="260"/>
  <c r="W321" i="260" s="1"/>
  <c r="AJ321" i="260"/>
  <c r="L322" i="260"/>
  <c r="Q322" i="260"/>
  <c r="R322" i="260"/>
  <c r="V322" i="260"/>
  <c r="X322" i="260"/>
  <c r="W322" i="260"/>
  <c r="Q323" i="260"/>
  <c r="V323" i="260"/>
  <c r="X323" i="260"/>
  <c r="W323" i="260" s="1"/>
  <c r="AA323" i="260"/>
  <c r="Q324" i="260"/>
  <c r="V324" i="260"/>
  <c r="W324" i="260"/>
  <c r="Q325" i="260"/>
  <c r="V325" i="260"/>
  <c r="W325" i="260" s="1"/>
  <c r="Q326" i="260"/>
  <c r="V326" i="260"/>
  <c r="W326" i="260" s="1"/>
  <c r="AJ326" i="260"/>
  <c r="Q327" i="260"/>
  <c r="V327" i="260"/>
  <c r="W327" i="260" s="1"/>
  <c r="AJ327" i="260"/>
  <c r="L328" i="260"/>
  <c r="Q328" i="260"/>
  <c r="V328" i="260"/>
  <c r="W328" i="260" s="1"/>
  <c r="AA328" i="260"/>
  <c r="AJ328" i="260"/>
  <c r="L329" i="260"/>
  <c r="Q329" i="260"/>
  <c r="V329" i="260"/>
  <c r="W329" i="260" s="1"/>
  <c r="L330" i="260"/>
  <c r="Q330" i="260"/>
  <c r="V330" i="260"/>
  <c r="X330" i="260"/>
  <c r="L331" i="260"/>
  <c r="Q331" i="260"/>
  <c r="V331" i="260"/>
  <c r="X331" i="260"/>
  <c r="W331" i="260"/>
  <c r="L332" i="260"/>
  <c r="Q332" i="260"/>
  <c r="V332" i="260"/>
  <c r="W332" i="260"/>
  <c r="AJ332" i="260"/>
  <c r="Q333" i="260"/>
  <c r="V333" i="260"/>
  <c r="X333" i="260"/>
  <c r="W333" i="260" s="1"/>
  <c r="Q334" i="260"/>
  <c r="V334" i="260"/>
  <c r="W334" i="260" s="1"/>
  <c r="AJ334" i="260"/>
  <c r="Q335" i="260"/>
  <c r="V335" i="260"/>
  <c r="W335" i="260" s="1"/>
  <c r="AJ335" i="260"/>
  <c r="Q336" i="260"/>
  <c r="R336" i="260"/>
  <c r="V336" i="260"/>
  <c r="W336" i="260"/>
  <c r="X336" i="260"/>
  <c r="AJ336" i="260"/>
  <c r="R337" i="260"/>
  <c r="K337" i="260"/>
  <c r="L337" i="260" s="1"/>
  <c r="Q337" i="260"/>
  <c r="V337" i="260"/>
  <c r="W337" i="260" s="1"/>
  <c r="AJ337" i="260"/>
  <c r="Q338" i="260"/>
  <c r="V338" i="260"/>
  <c r="W338" i="260" s="1"/>
  <c r="L339" i="260"/>
  <c r="Q339" i="260"/>
  <c r="V339" i="260"/>
  <c r="W339" i="260" s="1"/>
  <c r="AJ339" i="260"/>
  <c r="Q340" i="260"/>
  <c r="V340" i="260"/>
  <c r="W340" i="260" s="1"/>
  <c r="AJ340" i="260"/>
  <c r="Q341" i="260"/>
  <c r="V341" i="260"/>
  <c r="W341" i="260" s="1"/>
  <c r="Q342" i="260"/>
  <c r="V342" i="260"/>
  <c r="W342" i="260" s="1"/>
  <c r="Q343" i="260"/>
  <c r="V343" i="260"/>
  <c r="X343" i="260"/>
  <c r="W343" i="260" s="1"/>
  <c r="Q344" i="260"/>
  <c r="V344" i="260"/>
  <c r="W344" i="260" s="1"/>
  <c r="AJ344" i="260"/>
  <c r="Q345" i="260"/>
  <c r="V345" i="260"/>
  <c r="W345" i="260" s="1"/>
  <c r="AJ345" i="260"/>
  <c r="Q346" i="260"/>
  <c r="V346" i="260"/>
  <c r="W346" i="260" s="1"/>
  <c r="AJ346" i="260"/>
  <c r="Q347" i="260"/>
  <c r="V347" i="260"/>
  <c r="W347" i="260" s="1"/>
  <c r="Q348" i="260"/>
  <c r="V348" i="260"/>
  <c r="W348" i="260" s="1"/>
  <c r="Q349" i="260"/>
  <c r="V349" i="260"/>
  <c r="W349" i="260" s="1"/>
  <c r="AJ349" i="260"/>
  <c r="Q350" i="260"/>
  <c r="V350" i="260"/>
  <c r="W350" i="260" s="1"/>
  <c r="Q351" i="260"/>
  <c r="V351" i="260"/>
  <c r="W351" i="260" s="1"/>
  <c r="Q352" i="260"/>
  <c r="V352" i="260"/>
  <c r="W352" i="260" s="1"/>
  <c r="Q353" i="260"/>
  <c r="V353" i="260"/>
  <c r="X353" i="260"/>
  <c r="W353" i="260" s="1"/>
  <c r="Q354" i="260"/>
  <c r="V354" i="260"/>
  <c r="W354" i="260" s="1"/>
  <c r="AJ354" i="260"/>
  <c r="Q355" i="260"/>
  <c r="V355" i="260"/>
  <c r="W355" i="260" s="1"/>
  <c r="AJ355" i="260"/>
  <c r="Q356" i="260"/>
  <c r="V356" i="260"/>
  <c r="W356" i="260" s="1"/>
  <c r="AJ356" i="260"/>
  <c r="Q357" i="260"/>
  <c r="V357" i="260"/>
  <c r="W357" i="260" s="1"/>
  <c r="AJ357" i="260"/>
  <c r="Q358" i="260"/>
  <c r="V358" i="260"/>
  <c r="W358" i="260" s="1"/>
  <c r="AJ358" i="260"/>
  <c r="Q359" i="260"/>
  <c r="V359" i="260"/>
  <c r="W359" i="260" s="1"/>
  <c r="AJ359" i="260"/>
  <c r="Q360" i="260"/>
  <c r="V360" i="260"/>
  <c r="W360" i="260"/>
  <c r="AJ360" i="260"/>
  <c r="Q361" i="260"/>
  <c r="V361" i="260"/>
  <c r="W361" i="260"/>
  <c r="AJ361" i="260"/>
  <c r="L362" i="260"/>
  <c r="Q362" i="260"/>
  <c r="R362" i="260"/>
  <c r="V362" i="260"/>
  <c r="W362" i="260"/>
  <c r="AJ362" i="260"/>
  <c r="L363" i="260"/>
  <c r="Q363" i="260"/>
  <c r="V363" i="260"/>
  <c r="W363" i="260" s="1"/>
  <c r="AJ363" i="260"/>
  <c r="L364" i="260"/>
  <c r="Q364" i="260"/>
  <c r="V364" i="260"/>
  <c r="W364" i="260" s="1"/>
  <c r="AJ364" i="260"/>
  <c r="L365" i="260"/>
  <c r="Q365" i="260"/>
  <c r="V365" i="260"/>
  <c r="W365" i="260" s="1"/>
  <c r="AJ365" i="260"/>
  <c r="Q366" i="260"/>
  <c r="V366" i="260"/>
  <c r="W366" i="260" s="1"/>
  <c r="AJ366" i="260"/>
  <c r="Q367" i="260"/>
  <c r="V367" i="260"/>
  <c r="W367" i="260" s="1"/>
  <c r="AJ367" i="260"/>
  <c r="Q368" i="260"/>
  <c r="V368" i="260"/>
  <c r="W368" i="260" s="1"/>
  <c r="Q369" i="260"/>
  <c r="V369" i="260"/>
  <c r="Q370" i="260"/>
  <c r="V370" i="260"/>
  <c r="W370" i="260" s="1"/>
  <c r="AJ370" i="260"/>
  <c r="Q371" i="260"/>
  <c r="V371" i="260"/>
  <c r="W371" i="260" s="1"/>
  <c r="Q372" i="260"/>
  <c r="V372" i="260"/>
  <c r="W372" i="260" s="1"/>
  <c r="Q373" i="260"/>
  <c r="V373" i="260"/>
  <c r="W373" i="260"/>
  <c r="AJ373" i="260"/>
  <c r="Q374" i="260"/>
  <c r="Q375" i="260"/>
  <c r="Q376" i="260"/>
  <c r="Q377" i="260"/>
  <c r="V377" i="260"/>
  <c r="X377" i="260"/>
  <c r="W377" i="260" s="1"/>
  <c r="Q378" i="260"/>
  <c r="V378" i="260"/>
  <c r="W378" i="260" s="1"/>
  <c r="AJ378" i="260"/>
  <c r="Q379" i="260"/>
  <c r="V379" i="260"/>
  <c r="W379" i="260" s="1"/>
  <c r="Q380" i="260"/>
  <c r="V380" i="260"/>
  <c r="W380" i="260" s="1"/>
  <c r="AJ380" i="260"/>
  <c r="Q381" i="260"/>
  <c r="V381" i="260"/>
  <c r="W381" i="260"/>
  <c r="AJ381" i="260"/>
  <c r="Q382" i="260"/>
  <c r="R382" i="260"/>
  <c r="V382" i="260"/>
  <c r="W382" i="260" s="1"/>
  <c r="L383" i="260"/>
  <c r="Q383" i="260"/>
  <c r="V383" i="260"/>
  <c r="W383" i="260" s="1"/>
  <c r="AJ383" i="260"/>
  <c r="Q384" i="260"/>
  <c r="V384" i="260"/>
  <c r="L385" i="260"/>
  <c r="Q385" i="260"/>
  <c r="R385" i="260"/>
  <c r="V385" i="260"/>
  <c r="W385" i="260" s="1"/>
  <c r="AJ385" i="260"/>
  <c r="Q386" i="260"/>
  <c r="R386" i="260"/>
  <c r="V386" i="260"/>
  <c r="Q387" i="260"/>
  <c r="R387" i="260"/>
  <c r="V387" i="260"/>
  <c r="L388" i="260"/>
  <c r="Q388" i="260"/>
  <c r="V388" i="260"/>
  <c r="W388" i="260" s="1"/>
  <c r="AJ388" i="260"/>
  <c r="Q389" i="260"/>
  <c r="V389" i="260"/>
  <c r="W389" i="260" s="1"/>
  <c r="Q390" i="260"/>
  <c r="V390" i="260"/>
  <c r="W390" i="260"/>
  <c r="Q391" i="260"/>
  <c r="V391" i="260"/>
  <c r="W391" i="260" s="1"/>
  <c r="Q392" i="260"/>
  <c r="V392" i="260"/>
  <c r="W392" i="260" s="1"/>
  <c r="Q393" i="260"/>
  <c r="R393" i="260"/>
  <c r="V393" i="260"/>
  <c r="W393" i="260" s="1"/>
  <c r="L394" i="260"/>
  <c r="Q394" i="260"/>
  <c r="V394" i="260"/>
  <c r="X394" i="260"/>
  <c r="Q395" i="260"/>
  <c r="V395" i="260"/>
  <c r="W395" i="260"/>
  <c r="Q396" i="260"/>
  <c r="V396" i="260"/>
  <c r="X396" i="260"/>
  <c r="W396" i="260" s="1"/>
  <c r="L397" i="260"/>
  <c r="Q397" i="260"/>
  <c r="V397" i="260"/>
  <c r="X397" i="260"/>
  <c r="W397" i="260" s="1"/>
  <c r="V398" i="260"/>
  <c r="Q399" i="260"/>
  <c r="V399" i="260"/>
  <c r="X399" i="260"/>
  <c r="W399" i="260" s="1"/>
  <c r="Q400" i="260"/>
  <c r="V400" i="260"/>
  <c r="X400" i="260"/>
  <c r="Q401" i="260"/>
  <c r="V401" i="260"/>
  <c r="W401" i="260"/>
  <c r="Q402" i="260"/>
  <c r="V402" i="260"/>
  <c r="W402" i="260" s="1"/>
  <c r="L403" i="260"/>
  <c r="Q403" i="260"/>
  <c r="R403" i="260"/>
  <c r="V403" i="260"/>
  <c r="W403" i="260" s="1"/>
  <c r="AJ403" i="260"/>
  <c r="Q404" i="260"/>
  <c r="V404" i="260"/>
  <c r="W404" i="260" s="1"/>
  <c r="AJ404" i="260"/>
  <c r="V405" i="260"/>
  <c r="Q406" i="260"/>
  <c r="V406" i="260"/>
  <c r="X406" i="260"/>
  <c r="W406" i="260" s="1"/>
  <c r="Q407" i="260"/>
  <c r="V407" i="260"/>
  <c r="W407" i="260" s="1"/>
  <c r="AJ407" i="260"/>
  <c r="L408" i="260"/>
  <c r="Q408" i="260"/>
  <c r="V408" i="260"/>
  <c r="X408" i="260"/>
  <c r="W408" i="260" s="1"/>
  <c r="Q409" i="260"/>
  <c r="V409" i="260"/>
  <c r="W409" i="260" s="1"/>
  <c r="Q410" i="260"/>
  <c r="V410" i="260"/>
  <c r="W410" i="260" s="1"/>
  <c r="Q411" i="260"/>
  <c r="V411" i="260"/>
  <c r="W411" i="260"/>
  <c r="Q412" i="260"/>
  <c r="V412" i="260"/>
  <c r="W412" i="260" s="1"/>
  <c r="Q413" i="260"/>
  <c r="V413" i="260"/>
  <c r="X413" i="260"/>
  <c r="W413" i="260" s="1"/>
  <c r="Q414" i="260"/>
  <c r="V414" i="260"/>
  <c r="X414" i="260"/>
  <c r="W414" i="260" s="1"/>
  <c r="Q415" i="260"/>
  <c r="V415" i="260"/>
  <c r="W415" i="260" s="1"/>
  <c r="AJ415" i="260"/>
  <c r="Q416" i="260"/>
  <c r="V416" i="260"/>
  <c r="W416" i="260" s="1"/>
  <c r="AJ416" i="260"/>
  <c r="Q417" i="260"/>
  <c r="V417" i="260"/>
  <c r="W417" i="260" s="1"/>
  <c r="AJ417" i="260"/>
  <c r="Q418" i="260"/>
  <c r="V418" i="260"/>
  <c r="W418" i="260" s="1"/>
  <c r="AJ418" i="260"/>
  <c r="Q419" i="260"/>
  <c r="V419" i="260"/>
  <c r="W419" i="260" s="1"/>
  <c r="AJ419" i="260"/>
  <c r="Q420" i="260"/>
  <c r="V420" i="260"/>
  <c r="W420" i="260"/>
  <c r="R421" i="260"/>
  <c r="K421" i="260"/>
  <c r="L421" i="260" s="1"/>
  <c r="Q421" i="260"/>
  <c r="V421" i="260"/>
  <c r="W421" i="260" s="1"/>
  <c r="Q422" i="260"/>
  <c r="J423" i="260"/>
  <c r="Q423" i="260"/>
  <c r="J424" i="260"/>
  <c r="Q424" i="260"/>
  <c r="Q425" i="260"/>
  <c r="V425" i="260"/>
  <c r="W425" i="260" s="1"/>
  <c r="L426" i="260"/>
  <c r="Q426" i="260"/>
  <c r="V426" i="260"/>
  <c r="W426" i="260" s="1"/>
  <c r="Q427" i="260"/>
  <c r="V427" i="260"/>
  <c r="W427" i="260" s="1"/>
  <c r="AD427" i="260"/>
  <c r="Q428" i="260"/>
  <c r="V428" i="260"/>
  <c r="Q429" i="260"/>
  <c r="V429" i="260"/>
  <c r="W429" i="260"/>
  <c r="AD429" i="260"/>
  <c r="L430" i="260"/>
  <c r="Q430" i="260"/>
  <c r="V430" i="260"/>
  <c r="W430" i="260" s="1"/>
  <c r="AD430" i="260"/>
  <c r="L431" i="260"/>
  <c r="Q431" i="260"/>
  <c r="V431" i="260"/>
  <c r="W431" i="260" s="1"/>
  <c r="L432" i="260"/>
  <c r="Q432" i="260"/>
  <c r="V432" i="260"/>
  <c r="W432" i="260" s="1"/>
  <c r="N433" i="260"/>
  <c r="U433" i="260"/>
  <c r="X83" i="258"/>
  <c r="X85" i="258"/>
  <c r="X202" i="258"/>
  <c r="X201" i="258"/>
  <c r="X43" i="258"/>
  <c r="X131" i="258"/>
  <c r="X121" i="258"/>
  <c r="X101" i="258"/>
  <c r="X99" i="258"/>
  <c r="X79" i="258"/>
  <c r="X76" i="258"/>
  <c r="X70" i="258"/>
  <c r="X47" i="258"/>
  <c r="X21" i="258"/>
  <c r="X7" i="258"/>
  <c r="X175" i="258"/>
  <c r="X298" i="258"/>
  <c r="X288" i="258"/>
  <c r="X262" i="258"/>
  <c r="X243" i="258"/>
  <c r="X220" i="258"/>
  <c r="X222" i="258"/>
  <c r="X226" i="258"/>
  <c r="X292" i="258"/>
  <c r="Q292" i="258"/>
  <c r="X219" i="258"/>
  <c r="J428" i="258"/>
  <c r="T428" i="258" s="1"/>
  <c r="J426" i="258"/>
  <c r="T426" i="258" s="1"/>
  <c r="J425" i="258"/>
  <c r="T425" i="258" s="1"/>
  <c r="J421" i="258"/>
  <c r="T421" i="258" s="1"/>
  <c r="J420" i="258"/>
  <c r="T420" i="258" s="1"/>
  <c r="J403" i="258"/>
  <c r="T403" i="258" s="1"/>
  <c r="J399" i="258"/>
  <c r="T399" i="258" s="1"/>
  <c r="J396" i="258"/>
  <c r="T396" i="258" s="1"/>
  <c r="J394" i="258"/>
  <c r="T394" i="258" s="1"/>
  <c r="J385" i="258"/>
  <c r="J381" i="258"/>
  <c r="T381" i="258" s="1"/>
  <c r="J380" i="258"/>
  <c r="T380" i="258" s="1"/>
  <c r="J344" i="258"/>
  <c r="T344" i="258" s="1"/>
  <c r="J337" i="258"/>
  <c r="T337" i="258" s="1"/>
  <c r="J329" i="258"/>
  <c r="T329" i="258" s="1"/>
  <c r="J323" i="258"/>
  <c r="T323" i="258" s="1"/>
  <c r="J322" i="258"/>
  <c r="T322" i="258" s="1"/>
  <c r="J316" i="258"/>
  <c r="T316" i="258" s="1"/>
  <c r="J315" i="258"/>
  <c r="T315" i="258" s="1"/>
  <c r="J309" i="258"/>
  <c r="T309" i="258" s="1"/>
  <c r="J307" i="258"/>
  <c r="T307" i="258" s="1"/>
  <c r="J306" i="258"/>
  <c r="T306" i="258" s="1"/>
  <c r="J282" i="258"/>
  <c r="T282" i="258" s="1"/>
  <c r="T265" i="258"/>
  <c r="J258" i="258"/>
  <c r="T258" i="258"/>
  <c r="J253" i="258"/>
  <c r="T253" i="258"/>
  <c r="J250" i="258"/>
  <c r="T250" i="258"/>
  <c r="J246" i="258"/>
  <c r="T246" i="258"/>
  <c r="J241" i="258"/>
  <c r="T241" i="258"/>
  <c r="J235" i="258"/>
  <c r="T235" i="258"/>
  <c r="J233" i="258"/>
  <c r="T233" i="258"/>
  <c r="J231" i="258"/>
  <c r="T231" i="258"/>
  <c r="J228" i="258"/>
  <c r="T228" i="258"/>
  <c r="J225" i="258"/>
  <c r="T225" i="258"/>
  <c r="J215" i="258"/>
  <c r="T215" i="258"/>
  <c r="J207" i="258"/>
  <c r="T207" i="258"/>
  <c r="J205" i="258"/>
  <c r="T205" i="258"/>
  <c r="J204" i="258"/>
  <c r="T204" i="258"/>
  <c r="J202" i="258"/>
  <c r="T202" i="258"/>
  <c r="J198" i="258"/>
  <c r="T198" i="258"/>
  <c r="J197" i="258"/>
  <c r="T197" i="258"/>
  <c r="J195" i="258"/>
  <c r="T195" i="258"/>
  <c r="J194" i="258"/>
  <c r="T194" i="258"/>
  <c r="J191" i="258"/>
  <c r="T191" i="258"/>
  <c r="J180" i="258"/>
  <c r="T180" i="258"/>
  <c r="J179" i="258"/>
  <c r="T179" i="258"/>
  <c r="J176" i="258"/>
  <c r="J175" i="258"/>
  <c r="J170" i="258"/>
  <c r="T170" i="258"/>
  <c r="J167" i="258"/>
  <c r="T167" i="258"/>
  <c r="J164" i="258"/>
  <c r="T164" i="258"/>
  <c r="J163" i="258"/>
  <c r="T163" i="258"/>
  <c r="J162" i="258"/>
  <c r="T162" i="258"/>
  <c r="J147" i="258"/>
  <c r="T147" i="258"/>
  <c r="J146" i="258"/>
  <c r="T146" i="258"/>
  <c r="J145" i="258"/>
  <c r="T145" i="258"/>
  <c r="J144" i="258"/>
  <c r="T144" i="258"/>
  <c r="J142" i="258"/>
  <c r="T142" i="258"/>
  <c r="J141" i="258"/>
  <c r="J140" i="258"/>
  <c r="T140" i="258" s="1"/>
  <c r="J135" i="258"/>
  <c r="T135" i="258" s="1"/>
  <c r="J134" i="258"/>
  <c r="T134" i="258" s="1"/>
  <c r="J133" i="258"/>
  <c r="T133" i="258" s="1"/>
  <c r="J132" i="258"/>
  <c r="T132" i="258" s="1"/>
  <c r="J123" i="258"/>
  <c r="T123" i="258" s="1"/>
  <c r="J121" i="258"/>
  <c r="T121" i="258" s="1"/>
  <c r="J120" i="258"/>
  <c r="T120" i="258" s="1"/>
  <c r="J119" i="258"/>
  <c r="T119" i="258" s="1"/>
  <c r="J118" i="258"/>
  <c r="T118" i="258" s="1"/>
  <c r="J117" i="258"/>
  <c r="T117" i="258" s="1"/>
  <c r="J115" i="258"/>
  <c r="J114" i="258"/>
  <c r="J109" i="258"/>
  <c r="T109" i="258" s="1"/>
  <c r="J101" i="258"/>
  <c r="T101" i="258" s="1"/>
  <c r="J100" i="258"/>
  <c r="T100" i="258" s="1"/>
  <c r="J99" i="258"/>
  <c r="T99" i="258" s="1"/>
  <c r="J92" i="258"/>
  <c r="J90" i="258"/>
  <c r="T90" i="258" s="1"/>
  <c r="J79" i="258"/>
  <c r="J77" i="258"/>
  <c r="J74" i="258"/>
  <c r="T74" i="258" s="1"/>
  <c r="J72" i="258"/>
  <c r="J68" i="258"/>
  <c r="T68" i="258" s="1"/>
  <c r="J67" i="258"/>
  <c r="T67" i="258" s="1"/>
  <c r="J65" i="258"/>
  <c r="T65" i="258" s="1"/>
  <c r="J63" i="258"/>
  <c r="T63" i="258" s="1"/>
  <c r="J52" i="258"/>
  <c r="J50" i="258"/>
  <c r="J49" i="258"/>
  <c r="T49" i="258" s="1"/>
  <c r="J48" i="258"/>
  <c r="T48" i="258" s="1"/>
  <c r="J47" i="258"/>
  <c r="T47" i="258" s="1"/>
  <c r="J44" i="258"/>
  <c r="T44" i="258" s="1"/>
  <c r="J43" i="258"/>
  <c r="T43" i="258" s="1"/>
  <c r="J41" i="258"/>
  <c r="T41" i="258" s="1"/>
  <c r="J39" i="258"/>
  <c r="T39" i="258" s="1"/>
  <c r="J37" i="258"/>
  <c r="T37" i="258" s="1"/>
  <c r="J21" i="258"/>
  <c r="T21" i="258" s="1"/>
  <c r="J10" i="258"/>
  <c r="J9" i="258"/>
  <c r="T9" i="258" s="1"/>
  <c r="J8" i="258"/>
  <c r="O70" i="258"/>
  <c r="J70" i="258"/>
  <c r="X115" i="258"/>
  <c r="O85" i="258"/>
  <c r="O20" i="258"/>
  <c r="P20" i="258"/>
  <c r="X123" i="258"/>
  <c r="X120" i="258"/>
  <c r="X119" i="258"/>
  <c r="X100" i="258"/>
  <c r="X88" i="258"/>
  <c r="X93" i="258"/>
  <c r="X92" i="258"/>
  <c r="Y76" i="258"/>
  <c r="Y70" i="258"/>
  <c r="X8" i="258"/>
  <c r="J6" i="259"/>
  <c r="K6" i="259"/>
  <c r="L6" i="259" s="1"/>
  <c r="J7" i="259"/>
  <c r="K7" i="259"/>
  <c r="L7" i="259" s="1"/>
  <c r="L433" i="259" s="1"/>
  <c r="J8" i="259"/>
  <c r="K8" i="259"/>
  <c r="J9" i="259"/>
  <c r="K9" i="259"/>
  <c r="L9" i="259" s="1"/>
  <c r="J10" i="259"/>
  <c r="L10" i="259" s="1"/>
  <c r="J11" i="259"/>
  <c r="L11" i="259" s="1"/>
  <c r="J12" i="259"/>
  <c r="K12" i="259"/>
  <c r="L12" i="259" s="1"/>
  <c r="J13" i="259"/>
  <c r="K13" i="259"/>
  <c r="J14" i="259"/>
  <c r="K14" i="259"/>
  <c r="L14" i="259"/>
  <c r="J15" i="259"/>
  <c r="K15" i="259"/>
  <c r="L15" i="259" s="1"/>
  <c r="J16" i="259"/>
  <c r="K16" i="259"/>
  <c r="L16" i="259" s="1"/>
  <c r="J17" i="259"/>
  <c r="J18" i="259"/>
  <c r="K18" i="259"/>
  <c r="J310" i="259"/>
  <c r="J19" i="259"/>
  <c r="K19" i="259"/>
  <c r="J20" i="259"/>
  <c r="J312" i="259"/>
  <c r="L20" i="259"/>
  <c r="N21" i="259"/>
  <c r="J21" i="259"/>
  <c r="K21" i="259"/>
  <c r="J313" i="259"/>
  <c r="L21" i="259" s="1"/>
  <c r="J22" i="259"/>
  <c r="K22" i="259"/>
  <c r="J314" i="259"/>
  <c r="J23" i="259"/>
  <c r="J315" i="259"/>
  <c r="L23" i="259"/>
  <c r="J24" i="259"/>
  <c r="K24" i="259"/>
  <c r="J316" i="259"/>
  <c r="L24" i="259"/>
  <c r="J25" i="259"/>
  <c r="K25" i="259"/>
  <c r="J26" i="259"/>
  <c r="K26" i="259"/>
  <c r="J318" i="259"/>
  <c r="L26" i="259"/>
  <c r="J27" i="259"/>
  <c r="K27" i="259"/>
  <c r="J319" i="259"/>
  <c r="L27" i="259"/>
  <c r="J28" i="259"/>
  <c r="K28" i="259"/>
  <c r="J29" i="259"/>
  <c r="K29" i="259"/>
  <c r="J30" i="259"/>
  <c r="K30" i="259"/>
  <c r="J31" i="259"/>
  <c r="J32" i="259"/>
  <c r="K32" i="259"/>
  <c r="J33" i="259"/>
  <c r="K33" i="259"/>
  <c r="J34" i="259"/>
  <c r="J326" i="259"/>
  <c r="L34" i="259"/>
  <c r="J35" i="259"/>
  <c r="K35" i="259"/>
  <c r="J327" i="259"/>
  <c r="L35" i="259"/>
  <c r="J36" i="259"/>
  <c r="K36" i="259"/>
  <c r="J37" i="259"/>
  <c r="K37" i="259"/>
  <c r="J38" i="259"/>
  <c r="K38" i="259"/>
  <c r="J330" i="259"/>
  <c r="L38" i="259"/>
  <c r="J39" i="259"/>
  <c r="K39" i="259"/>
  <c r="J331" i="259"/>
  <c r="L39" i="259"/>
  <c r="J40" i="259"/>
  <c r="K40" i="259"/>
  <c r="J332" i="259"/>
  <c r="L40" i="259"/>
  <c r="J41" i="259"/>
  <c r="J333" i="259"/>
  <c r="L41" i="259" s="1"/>
  <c r="J42" i="259"/>
  <c r="J334" i="259"/>
  <c r="L42" i="259" s="1"/>
  <c r="J43" i="259"/>
  <c r="K43" i="259"/>
  <c r="J335" i="259"/>
  <c r="L43" i="259" s="1"/>
  <c r="J44" i="259"/>
  <c r="K44" i="259"/>
  <c r="J336" i="259"/>
  <c r="L44" i="259" s="1"/>
  <c r="J45" i="259"/>
  <c r="K45" i="259"/>
  <c r="J46" i="259"/>
  <c r="K46" i="259"/>
  <c r="J47" i="259"/>
  <c r="K47" i="259"/>
  <c r="J339" i="259"/>
  <c r="L47" i="259" s="1"/>
  <c r="J48" i="259"/>
  <c r="K48" i="259"/>
  <c r="J49" i="259"/>
  <c r="K49" i="259"/>
  <c r="J50" i="259"/>
  <c r="J51" i="259"/>
  <c r="K51" i="259"/>
  <c r="J52" i="259"/>
  <c r="J53" i="259"/>
  <c r="K53" i="259"/>
  <c r="J54" i="259"/>
  <c r="K54" i="259"/>
  <c r="J346" i="259"/>
  <c r="L54" i="259" s="1"/>
  <c r="J55" i="259"/>
  <c r="J347" i="259"/>
  <c r="L55" i="259" s="1"/>
  <c r="J56" i="259"/>
  <c r="K56" i="259"/>
  <c r="J57" i="259"/>
  <c r="K57" i="259"/>
  <c r="J348" i="259"/>
  <c r="L57" i="259" s="1"/>
  <c r="J58" i="259"/>
  <c r="K58" i="259"/>
  <c r="J59" i="259"/>
  <c r="K59" i="259"/>
  <c r="J60" i="259"/>
  <c r="K60" i="259"/>
  <c r="J61" i="259"/>
  <c r="K61" i="259"/>
  <c r="J352" i="259"/>
  <c r="J62" i="259"/>
  <c r="K62" i="259"/>
  <c r="J63" i="259"/>
  <c r="K63" i="259"/>
  <c r="J354" i="259"/>
  <c r="L63" i="259" s="1"/>
  <c r="J64" i="259"/>
  <c r="K64" i="259"/>
  <c r="J65" i="259"/>
  <c r="K65" i="259"/>
  <c r="J356" i="259"/>
  <c r="J66" i="259"/>
  <c r="K66" i="259"/>
  <c r="J67" i="259"/>
  <c r="K67" i="259"/>
  <c r="J358" i="259"/>
  <c r="L67" i="259" s="1"/>
  <c r="J68" i="259"/>
  <c r="K68" i="259"/>
  <c r="J69" i="259"/>
  <c r="K69" i="259"/>
  <c r="J360" i="259"/>
  <c r="J70" i="259"/>
  <c r="K70" i="259"/>
  <c r="J361" i="259"/>
  <c r="L70" i="259" s="1"/>
  <c r="J71" i="259"/>
  <c r="K71" i="259"/>
  <c r="J362" i="259"/>
  <c r="J72" i="259"/>
  <c r="J363" i="259"/>
  <c r="L72" i="259"/>
  <c r="J73" i="259"/>
  <c r="K73" i="259"/>
  <c r="J74" i="259"/>
  <c r="J365" i="259"/>
  <c r="L74" i="259" s="1"/>
  <c r="J75" i="259"/>
  <c r="K75" i="259"/>
  <c r="J366" i="259"/>
  <c r="J76" i="259"/>
  <c r="K76" i="259"/>
  <c r="J77" i="259"/>
  <c r="K77" i="259"/>
  <c r="J368" i="259"/>
  <c r="L77" i="259" s="1"/>
  <c r="J78" i="259"/>
  <c r="K78" i="259"/>
  <c r="J369" i="259"/>
  <c r="J79" i="259"/>
  <c r="J370" i="259"/>
  <c r="L79" i="259"/>
  <c r="J80" i="259"/>
  <c r="K80" i="259"/>
  <c r="J81" i="259"/>
  <c r="K81" i="259"/>
  <c r="J82" i="259"/>
  <c r="K82" i="259"/>
  <c r="J83" i="259"/>
  <c r="K83" i="259"/>
  <c r="J377" i="259"/>
  <c r="L83" i="259"/>
  <c r="J84" i="259"/>
  <c r="K84" i="259"/>
  <c r="J378" i="259"/>
  <c r="L84" i="259"/>
  <c r="J85" i="259"/>
  <c r="K85" i="259"/>
  <c r="J379" i="259"/>
  <c r="L85" i="259"/>
  <c r="J86" i="259"/>
  <c r="K86" i="259"/>
  <c r="J380" i="259"/>
  <c r="L86" i="259"/>
  <c r="J87" i="259"/>
  <c r="K87" i="259"/>
  <c r="J88" i="259"/>
  <c r="J382" i="259"/>
  <c r="L88" i="259" s="1"/>
  <c r="J89" i="259"/>
  <c r="J383" i="259"/>
  <c r="L89" i="259" s="1"/>
  <c r="J90" i="259"/>
  <c r="K90" i="259"/>
  <c r="J384" i="259"/>
  <c r="L90" i="259" s="1"/>
  <c r="J91" i="259"/>
  <c r="J385" i="259"/>
  <c r="L91" i="259" s="1"/>
  <c r="J92" i="259"/>
  <c r="K92" i="259"/>
  <c r="J386" i="259"/>
  <c r="L92" i="259" s="1"/>
  <c r="J93" i="259"/>
  <c r="K93" i="259"/>
  <c r="J94" i="259"/>
  <c r="K94" i="259"/>
  <c r="J95" i="259"/>
  <c r="K95" i="259"/>
  <c r="J96" i="259"/>
  <c r="K96" i="259"/>
  <c r="J97" i="259"/>
  <c r="K97" i="259"/>
  <c r="J98" i="259"/>
  <c r="K98" i="259"/>
  <c r="J99" i="259"/>
  <c r="K99" i="259"/>
  <c r="J393" i="259"/>
  <c r="J100" i="259"/>
  <c r="K100" i="259"/>
  <c r="J394" i="259"/>
  <c r="L100" i="259" s="1"/>
  <c r="J101" i="259"/>
  <c r="K101" i="259"/>
  <c r="J395" i="259"/>
  <c r="J102" i="259"/>
  <c r="K102" i="259"/>
  <c r="J396" i="259"/>
  <c r="L102" i="259" s="1"/>
  <c r="J103" i="259"/>
  <c r="K103" i="259"/>
  <c r="J397" i="259"/>
  <c r="J104" i="259"/>
  <c r="K104" i="259"/>
  <c r="J398" i="259"/>
  <c r="L104" i="259" s="1"/>
  <c r="J105" i="259"/>
  <c r="K105" i="259"/>
  <c r="J399" i="259"/>
  <c r="J106" i="259"/>
  <c r="K106" i="259"/>
  <c r="J400" i="259"/>
  <c r="L106" i="259" s="1"/>
  <c r="J107" i="259"/>
  <c r="J108" i="259"/>
  <c r="K108" i="259"/>
  <c r="J109" i="259"/>
  <c r="K109" i="259"/>
  <c r="J403" i="259"/>
  <c r="L109" i="259" s="1"/>
  <c r="J110" i="259"/>
  <c r="K110" i="259"/>
  <c r="J404" i="259"/>
  <c r="L110" i="259" s="1"/>
  <c r="J111" i="259"/>
  <c r="J112" i="259"/>
  <c r="K112" i="259"/>
  <c r="J406" i="259"/>
  <c r="J113" i="259"/>
  <c r="K113" i="259"/>
  <c r="J407" i="259"/>
  <c r="L113" i="259" s="1"/>
  <c r="N114" i="259"/>
  <c r="J114" i="259" s="1"/>
  <c r="K114" i="259"/>
  <c r="J115" i="259"/>
  <c r="K115" i="259"/>
  <c r="J116" i="259"/>
  <c r="J117" i="259"/>
  <c r="K117" i="259"/>
  <c r="J118" i="259"/>
  <c r="J119" i="259"/>
  <c r="K119" i="259"/>
  <c r="J413" i="259"/>
  <c r="L119" i="259"/>
  <c r="J120" i="259"/>
  <c r="K120" i="259"/>
  <c r="J414" i="259"/>
  <c r="L120" i="259"/>
  <c r="J121" i="259"/>
  <c r="J415" i="259"/>
  <c r="L121" i="259" s="1"/>
  <c r="J122" i="259"/>
  <c r="K122" i="259"/>
  <c r="J416" i="259"/>
  <c r="J123" i="259"/>
  <c r="K123" i="259"/>
  <c r="J417" i="259"/>
  <c r="L123" i="259" s="1"/>
  <c r="J124" i="259"/>
  <c r="K124" i="259"/>
  <c r="J418" i="259"/>
  <c r="J125" i="259"/>
  <c r="K125" i="259"/>
  <c r="J419" i="259"/>
  <c r="L125" i="259" s="1"/>
  <c r="J126" i="259"/>
  <c r="J420" i="259"/>
  <c r="L126" i="259" s="1"/>
  <c r="J127" i="259"/>
  <c r="K127" i="259"/>
  <c r="J421" i="259"/>
  <c r="L127" i="259" s="1"/>
  <c r="J128" i="259"/>
  <c r="K128" i="259"/>
  <c r="J425" i="259"/>
  <c r="L128" i="259" s="1"/>
  <c r="J129" i="259"/>
  <c r="K129" i="259"/>
  <c r="J426" i="259"/>
  <c r="L129" i="259" s="1"/>
  <c r="J130" i="259"/>
  <c r="K130" i="259"/>
  <c r="J427" i="259"/>
  <c r="L130" i="259" s="1"/>
  <c r="J131" i="259"/>
  <c r="K131" i="259"/>
  <c r="J428" i="259"/>
  <c r="L131" i="259" s="1"/>
  <c r="J132" i="259"/>
  <c r="J429" i="259"/>
  <c r="L132" i="259" s="1"/>
  <c r="J133" i="259"/>
  <c r="J430" i="259"/>
  <c r="L133" i="259"/>
  <c r="J134" i="259"/>
  <c r="K134" i="259"/>
  <c r="J431" i="259"/>
  <c r="L134" i="259"/>
  <c r="J135" i="259"/>
  <c r="K135" i="259"/>
  <c r="J432" i="259"/>
  <c r="L135" i="259"/>
  <c r="J136" i="259"/>
  <c r="K136" i="259"/>
  <c r="J433" i="259"/>
  <c r="L136" i="259"/>
  <c r="J137" i="259"/>
  <c r="K137" i="259"/>
  <c r="J434" i="259"/>
  <c r="L137" i="259"/>
  <c r="J138" i="259"/>
  <c r="K138" i="259"/>
  <c r="L138" i="259" s="1"/>
  <c r="J139" i="259"/>
  <c r="K139" i="259"/>
  <c r="L139" i="259" s="1"/>
  <c r="J140" i="259"/>
  <c r="L140" i="259"/>
  <c r="J141" i="259"/>
  <c r="K141" i="259"/>
  <c r="L141" i="259" s="1"/>
  <c r="J142" i="259"/>
  <c r="K142" i="259"/>
  <c r="L142" i="259"/>
  <c r="J143" i="259"/>
  <c r="L143" i="259"/>
  <c r="J144" i="259"/>
  <c r="L144" i="259"/>
  <c r="J145" i="259"/>
  <c r="L145" i="259"/>
  <c r="J146" i="259"/>
  <c r="K146" i="259"/>
  <c r="L146" i="259" s="1"/>
  <c r="J147" i="259"/>
  <c r="L147" i="259"/>
  <c r="J148" i="259"/>
  <c r="K148" i="259"/>
  <c r="J149" i="259"/>
  <c r="K149" i="259"/>
  <c r="J150" i="259"/>
  <c r="K150" i="259"/>
  <c r="J151" i="259"/>
  <c r="K151" i="259"/>
  <c r="J152" i="259"/>
  <c r="K152" i="259"/>
  <c r="J153" i="259"/>
  <c r="K153" i="259"/>
  <c r="J154" i="259"/>
  <c r="K154" i="259"/>
  <c r="J155" i="259"/>
  <c r="K155" i="259"/>
  <c r="J156" i="259"/>
  <c r="K156" i="259"/>
  <c r="J157" i="259"/>
  <c r="K157" i="259"/>
  <c r="J158" i="259"/>
  <c r="K158" i="259"/>
  <c r="J159" i="259"/>
  <c r="K159" i="259"/>
  <c r="J160" i="259"/>
  <c r="K160" i="259"/>
  <c r="J161" i="259"/>
  <c r="K161" i="259"/>
  <c r="L161" i="259" s="1"/>
  <c r="J162" i="259"/>
  <c r="K162" i="259"/>
  <c r="L162" i="259" s="1"/>
  <c r="J163" i="259"/>
  <c r="K163" i="259"/>
  <c r="L163" i="259"/>
  <c r="J164" i="259"/>
  <c r="K164" i="259"/>
  <c r="L164" i="259" s="1"/>
  <c r="J165" i="259"/>
  <c r="K165" i="259"/>
  <c r="L165" i="259" s="1"/>
  <c r="J166" i="259"/>
  <c r="K166" i="259"/>
  <c r="J167" i="259"/>
  <c r="K167" i="259"/>
  <c r="L167" i="259" s="1"/>
  <c r="J168" i="259"/>
  <c r="K168" i="259"/>
  <c r="L168" i="259"/>
  <c r="J169" i="259"/>
  <c r="K169" i="259"/>
  <c r="L169" i="259" s="1"/>
  <c r="J170" i="259"/>
  <c r="K170" i="259"/>
  <c r="L170" i="259" s="1"/>
  <c r="J171" i="259"/>
  <c r="K171" i="259"/>
  <c r="L171" i="259" s="1"/>
  <c r="J172" i="259"/>
  <c r="K172" i="259"/>
  <c r="L172" i="259"/>
  <c r="J173" i="259"/>
  <c r="K173" i="259"/>
  <c r="L173" i="259" s="1"/>
  <c r="J174" i="259"/>
  <c r="K174" i="259"/>
  <c r="L174" i="259" s="1"/>
  <c r="J175" i="259"/>
  <c r="K175" i="259"/>
  <c r="L175" i="259" s="1"/>
  <c r="J176" i="259"/>
  <c r="K176" i="259"/>
  <c r="L176" i="259"/>
  <c r="J177" i="259"/>
  <c r="K177" i="259"/>
  <c r="L177" i="259" s="1"/>
  <c r="J178" i="259"/>
  <c r="K178" i="259"/>
  <c r="L178" i="259" s="1"/>
  <c r="J179" i="259"/>
  <c r="K179" i="259"/>
  <c r="L179" i="259" s="1"/>
  <c r="J180" i="259"/>
  <c r="L180" i="259"/>
  <c r="J181" i="259"/>
  <c r="K181" i="259"/>
  <c r="L181" i="259"/>
  <c r="J182" i="259"/>
  <c r="K182" i="259"/>
  <c r="L182" i="259" s="1"/>
  <c r="J183" i="259"/>
  <c r="K183" i="259"/>
  <c r="L183" i="259" s="1"/>
  <c r="J184" i="259"/>
  <c r="K184" i="259"/>
  <c r="L184" i="259" s="1"/>
  <c r="J185" i="259"/>
  <c r="K185" i="259"/>
  <c r="L185" i="259"/>
  <c r="J186" i="259"/>
  <c r="J187" i="259"/>
  <c r="K187" i="259"/>
  <c r="J188" i="259"/>
  <c r="K188" i="259"/>
  <c r="J189" i="259"/>
  <c r="K189" i="259"/>
  <c r="L189" i="259"/>
  <c r="J190" i="259"/>
  <c r="L190" i="259"/>
  <c r="J191" i="259"/>
  <c r="L191" i="259"/>
  <c r="J192" i="259"/>
  <c r="K192" i="259"/>
  <c r="L192" i="259" s="1"/>
  <c r="J193" i="259"/>
  <c r="K193" i="259"/>
  <c r="J194" i="259"/>
  <c r="L194" i="259"/>
  <c r="J195" i="259"/>
  <c r="K195" i="259"/>
  <c r="L195" i="259" s="1"/>
  <c r="J196" i="259"/>
  <c r="L196" i="259"/>
  <c r="J197" i="259"/>
  <c r="K197" i="259"/>
  <c r="L197" i="259" s="1"/>
  <c r="J198" i="259"/>
  <c r="L198" i="259"/>
  <c r="J199" i="259"/>
  <c r="K199" i="259"/>
  <c r="L199" i="259"/>
  <c r="J200" i="259"/>
  <c r="K200" i="259"/>
  <c r="L200" i="259" s="1"/>
  <c r="N201" i="259"/>
  <c r="J201" i="259" s="1"/>
  <c r="K201" i="259"/>
  <c r="L201" i="259" s="1"/>
  <c r="J202" i="259"/>
  <c r="K202" i="259"/>
  <c r="L202" i="259" s="1"/>
  <c r="J203" i="259"/>
  <c r="L203" i="259"/>
  <c r="J204" i="259"/>
  <c r="K204" i="259"/>
  <c r="L204" i="259" s="1"/>
  <c r="J205" i="259"/>
  <c r="K205" i="259"/>
  <c r="L205" i="259"/>
  <c r="J206" i="259"/>
  <c r="K206" i="259"/>
  <c r="L206" i="259" s="1"/>
  <c r="J207" i="259"/>
  <c r="K207" i="259"/>
  <c r="L207" i="259" s="1"/>
  <c r="J208" i="259"/>
  <c r="K208" i="259"/>
  <c r="L208" i="259" s="1"/>
  <c r="J209" i="259"/>
  <c r="K209" i="259"/>
  <c r="L209" i="259"/>
  <c r="J210" i="259"/>
  <c r="K210" i="259"/>
  <c r="L210" i="259" s="1"/>
  <c r="J211" i="259"/>
  <c r="K211" i="259"/>
  <c r="L211" i="259" s="1"/>
  <c r="J212" i="259"/>
  <c r="K212" i="259"/>
  <c r="L212" i="259" s="1"/>
  <c r="J213" i="259"/>
  <c r="K213" i="259"/>
  <c r="L213" i="259"/>
  <c r="J214" i="259"/>
  <c r="K214" i="259"/>
  <c r="L214" i="259" s="1"/>
  <c r="J215" i="259"/>
  <c r="K215" i="259"/>
  <c r="L215" i="259" s="1"/>
  <c r="J216" i="259"/>
  <c r="K216" i="259"/>
  <c r="L216" i="259" s="1"/>
  <c r="J217" i="259"/>
  <c r="K217" i="259"/>
  <c r="L217" i="259"/>
  <c r="J218" i="259"/>
  <c r="K218" i="259"/>
  <c r="L218" i="259" s="1"/>
  <c r="J219" i="259"/>
  <c r="K219" i="259"/>
  <c r="L219" i="259" s="1"/>
  <c r="J220" i="259"/>
  <c r="K220" i="259"/>
  <c r="L220" i="259" s="1"/>
  <c r="J221" i="259"/>
  <c r="K221" i="259"/>
  <c r="L221" i="259"/>
  <c r="J222" i="259"/>
  <c r="K222" i="259"/>
  <c r="L222" i="259" s="1"/>
  <c r="J223" i="259"/>
  <c r="L223" i="259"/>
  <c r="J224" i="259"/>
  <c r="K224" i="259"/>
  <c r="L224" i="259" s="1"/>
  <c r="J225" i="259"/>
  <c r="K225" i="259"/>
  <c r="J226" i="259"/>
  <c r="K226" i="259"/>
  <c r="L226" i="259" s="1"/>
  <c r="J227" i="259"/>
  <c r="K227" i="259"/>
  <c r="J228" i="259"/>
  <c r="L228" i="259"/>
  <c r="J229" i="259"/>
  <c r="K229" i="259"/>
  <c r="L229" i="259"/>
  <c r="J230" i="259"/>
  <c r="J231" i="259"/>
  <c r="K231" i="259"/>
  <c r="L231" i="259"/>
  <c r="J232" i="259"/>
  <c r="K232" i="259"/>
  <c r="L232" i="259" s="1"/>
  <c r="J233" i="259"/>
  <c r="L233" i="259"/>
  <c r="J234" i="259"/>
  <c r="K234" i="259"/>
  <c r="J235" i="259"/>
  <c r="L235" i="259"/>
  <c r="J236" i="259"/>
  <c r="K236" i="259"/>
  <c r="L236" i="259" s="1"/>
  <c r="J237" i="259"/>
  <c r="K237" i="259"/>
  <c r="J238" i="259"/>
  <c r="K238" i="259"/>
  <c r="J239" i="259"/>
  <c r="K239" i="259"/>
  <c r="L239" i="259" s="1"/>
  <c r="J240" i="259"/>
  <c r="K240" i="259"/>
  <c r="L240" i="259"/>
  <c r="J241" i="259"/>
  <c r="K241" i="259"/>
  <c r="L241" i="259" s="1"/>
  <c r="J242" i="259"/>
  <c r="K242" i="259"/>
  <c r="J243" i="259"/>
  <c r="K243" i="259"/>
  <c r="L243" i="259" s="1"/>
  <c r="J244" i="259"/>
  <c r="J245" i="259"/>
  <c r="K245" i="259"/>
  <c r="L245" i="259" s="1"/>
  <c r="J246" i="259"/>
  <c r="L246" i="259"/>
  <c r="J247" i="259"/>
  <c r="K247" i="259"/>
  <c r="J248" i="259"/>
  <c r="K248" i="259"/>
  <c r="J249" i="259"/>
  <c r="J250" i="259"/>
  <c r="K250" i="259"/>
  <c r="L250" i="259" s="1"/>
  <c r="J251" i="259"/>
  <c r="K251" i="259"/>
  <c r="L251" i="259" s="1"/>
  <c r="J252" i="259"/>
  <c r="K252" i="259"/>
  <c r="L252" i="259"/>
  <c r="J253" i="259"/>
  <c r="J254" i="259"/>
  <c r="K254" i="259"/>
  <c r="J255" i="259"/>
  <c r="K255" i="259"/>
  <c r="J256" i="259"/>
  <c r="K256" i="259"/>
  <c r="J257" i="259"/>
  <c r="K257" i="259"/>
  <c r="J258" i="259"/>
  <c r="K258" i="259"/>
  <c r="L258" i="259"/>
  <c r="J259" i="259"/>
  <c r="K259" i="259"/>
  <c r="J260" i="259"/>
  <c r="K260" i="259"/>
  <c r="L260" i="259" s="1"/>
  <c r="J261" i="259"/>
  <c r="K261" i="259"/>
  <c r="L261" i="259" s="1"/>
  <c r="J262" i="259"/>
  <c r="K262" i="259"/>
  <c r="J263" i="259"/>
  <c r="K263" i="259"/>
  <c r="L263" i="259" s="1"/>
  <c r="J264" i="259"/>
  <c r="K264" i="259"/>
  <c r="J266" i="259"/>
  <c r="K266" i="259"/>
  <c r="L266" i="259"/>
  <c r="J267" i="259"/>
  <c r="K267" i="259"/>
  <c r="L267" i="259" s="1"/>
  <c r="J268" i="259"/>
  <c r="K268" i="259"/>
  <c r="L268" i="259" s="1"/>
  <c r="J269" i="259"/>
  <c r="J270" i="259"/>
  <c r="K270" i="259"/>
  <c r="L270" i="259" s="1"/>
  <c r="J271" i="259"/>
  <c r="K271" i="259"/>
  <c r="L271" i="259" s="1"/>
  <c r="J272" i="259"/>
  <c r="K272" i="259"/>
  <c r="J273" i="259"/>
  <c r="K273" i="259"/>
  <c r="J274" i="259"/>
  <c r="K274" i="259"/>
  <c r="J275" i="259"/>
  <c r="K275" i="259"/>
  <c r="J276" i="259"/>
  <c r="K276" i="259"/>
  <c r="J277" i="259"/>
  <c r="K277" i="259"/>
  <c r="J278" i="259"/>
  <c r="K278" i="259"/>
  <c r="J279" i="259"/>
  <c r="K279" i="259"/>
  <c r="L279" i="259"/>
  <c r="J280" i="259"/>
  <c r="K280" i="259"/>
  <c r="L280" i="259" s="1"/>
  <c r="J281" i="259"/>
  <c r="J282" i="259"/>
  <c r="J283" i="259"/>
  <c r="K283" i="259"/>
  <c r="J284" i="259"/>
  <c r="K284" i="259"/>
  <c r="J285" i="259"/>
  <c r="J286" i="259"/>
  <c r="J287" i="259"/>
  <c r="J288" i="259"/>
  <c r="K288" i="259"/>
  <c r="L288" i="259" s="1"/>
  <c r="J289" i="259"/>
  <c r="J290" i="259"/>
  <c r="J293" i="259"/>
  <c r="K293" i="259"/>
  <c r="L293" i="259"/>
  <c r="J294" i="259"/>
  <c r="J295" i="259"/>
  <c r="K295" i="259"/>
  <c r="J296" i="259"/>
  <c r="K296" i="259"/>
  <c r="J297" i="259"/>
  <c r="K297" i="259"/>
  <c r="J298" i="259"/>
  <c r="K298" i="259"/>
  <c r="L298" i="259"/>
  <c r="J299" i="259"/>
  <c r="K299" i="259"/>
  <c r="L299" i="259" s="1"/>
  <c r="J300" i="259"/>
  <c r="K300" i="259"/>
  <c r="L300" i="259" s="1"/>
  <c r="J301" i="259"/>
  <c r="K301" i="259"/>
  <c r="J302" i="259"/>
  <c r="K302" i="259"/>
  <c r="L302" i="259" s="1"/>
  <c r="J303" i="259"/>
  <c r="K303" i="259"/>
  <c r="J304" i="259"/>
  <c r="J305" i="259"/>
  <c r="K305" i="259"/>
  <c r="J306" i="259"/>
  <c r="L306" i="259"/>
  <c r="J307" i="259"/>
  <c r="K307" i="259"/>
  <c r="L307" i="259" s="1"/>
  <c r="J308" i="259"/>
  <c r="K308" i="259"/>
  <c r="L308" i="259" s="1"/>
  <c r="J309" i="259"/>
  <c r="K309" i="259"/>
  <c r="L309" i="259" s="1"/>
  <c r="K310" i="259"/>
  <c r="L310" i="259" s="1"/>
  <c r="J311" i="259"/>
  <c r="K311" i="259"/>
  <c r="K312" i="259"/>
  <c r="K313" i="259"/>
  <c r="K314" i="259"/>
  <c r="L314" i="259" s="1"/>
  <c r="K315" i="259"/>
  <c r="K316" i="259"/>
  <c r="J317" i="259"/>
  <c r="K317" i="259"/>
  <c r="L317" i="259"/>
  <c r="K318" i="259"/>
  <c r="K319" i="259"/>
  <c r="J320" i="259"/>
  <c r="K320" i="259"/>
  <c r="J321" i="259"/>
  <c r="K321" i="259"/>
  <c r="J322" i="259"/>
  <c r="L322" i="259"/>
  <c r="J323" i="259"/>
  <c r="K323" i="259"/>
  <c r="L323" i="259" s="1"/>
  <c r="J324" i="259"/>
  <c r="K324" i="259"/>
  <c r="J325" i="259"/>
  <c r="K325" i="259"/>
  <c r="K326" i="259"/>
  <c r="L326" i="259" s="1"/>
  <c r="K327" i="259"/>
  <c r="J328" i="259"/>
  <c r="K328" i="259"/>
  <c r="L328" i="259" s="1"/>
  <c r="J329" i="259"/>
  <c r="K329" i="259"/>
  <c r="L329" i="259" s="1"/>
  <c r="K330" i="259"/>
  <c r="L330" i="259" s="1"/>
  <c r="K331" i="259"/>
  <c r="L331" i="259" s="1"/>
  <c r="K332" i="259"/>
  <c r="L332" i="259" s="1"/>
  <c r="K333" i="259"/>
  <c r="K334" i="259"/>
  <c r="K335" i="259"/>
  <c r="L335" i="259" s="1"/>
  <c r="J337" i="259"/>
  <c r="K337" i="259"/>
  <c r="L337" i="259" s="1"/>
  <c r="J338" i="259"/>
  <c r="K338" i="259"/>
  <c r="K339" i="259"/>
  <c r="L339" i="259" s="1"/>
  <c r="J340" i="259"/>
  <c r="K340" i="259"/>
  <c r="L340" i="259" s="1"/>
  <c r="J341" i="259"/>
  <c r="K341" i="259"/>
  <c r="J342" i="259"/>
  <c r="K342" i="259"/>
  <c r="J343" i="259"/>
  <c r="K343" i="259"/>
  <c r="J344" i="259"/>
  <c r="K344" i="259"/>
  <c r="J345" i="259"/>
  <c r="K345" i="259"/>
  <c r="K346" i="259"/>
  <c r="K347" i="259"/>
  <c r="K348" i="259"/>
  <c r="J349" i="259"/>
  <c r="K349" i="259"/>
  <c r="J350" i="259"/>
  <c r="K350" i="259"/>
  <c r="J351" i="259"/>
  <c r="K351" i="259"/>
  <c r="K352" i="259"/>
  <c r="J353" i="259"/>
  <c r="K353" i="259"/>
  <c r="K354" i="259"/>
  <c r="J355" i="259"/>
  <c r="K355" i="259"/>
  <c r="K356" i="259"/>
  <c r="J357" i="259"/>
  <c r="K357" i="259"/>
  <c r="L357" i="259" s="1"/>
  <c r="K358" i="259"/>
  <c r="J359" i="259"/>
  <c r="K359" i="259"/>
  <c r="K360" i="259"/>
  <c r="L360" i="259"/>
  <c r="K361" i="259"/>
  <c r="L362" i="259"/>
  <c r="K363" i="259"/>
  <c r="L363" i="259"/>
  <c r="J364" i="259"/>
  <c r="K364" i="259"/>
  <c r="L364" i="259" s="1"/>
  <c r="K365" i="259"/>
  <c r="L365" i="259" s="1"/>
  <c r="K366" i="259"/>
  <c r="J367" i="259"/>
  <c r="K367" i="259"/>
  <c r="K368" i="259"/>
  <c r="K369" i="259"/>
  <c r="K370" i="259"/>
  <c r="J371" i="259"/>
  <c r="J372" i="259"/>
  <c r="J373" i="259"/>
  <c r="K373" i="259"/>
  <c r="K377" i="259"/>
  <c r="L377" i="259" s="1"/>
  <c r="K378" i="259"/>
  <c r="L378" i="259" s="1"/>
  <c r="K379" i="259"/>
  <c r="K380" i="259"/>
  <c r="L380" i="259"/>
  <c r="J381" i="259"/>
  <c r="K381" i="259"/>
  <c r="L381" i="259" s="1"/>
  <c r="K383" i="259"/>
  <c r="L383" i="259" s="1"/>
  <c r="K384" i="259"/>
  <c r="L385" i="259"/>
  <c r="J387" i="259"/>
  <c r="J388" i="259"/>
  <c r="K388" i="259"/>
  <c r="L388" i="259" s="1"/>
  <c r="J389" i="259"/>
  <c r="K389" i="259"/>
  <c r="L389" i="259" s="1"/>
  <c r="J390" i="259"/>
  <c r="K390" i="259"/>
  <c r="J391" i="259"/>
  <c r="K391" i="259"/>
  <c r="J392" i="259"/>
  <c r="K392" i="259"/>
  <c r="K394" i="259"/>
  <c r="L394" i="259" s="1"/>
  <c r="K395" i="259"/>
  <c r="K396" i="259"/>
  <c r="L396" i="259" s="1"/>
  <c r="K397" i="259"/>
  <c r="L397" i="259" s="1"/>
  <c r="K398" i="259"/>
  <c r="K399" i="259"/>
  <c r="L399" i="259" s="1"/>
  <c r="K400" i="259"/>
  <c r="J401" i="259"/>
  <c r="K401" i="259"/>
  <c r="J402" i="259"/>
  <c r="K402" i="259"/>
  <c r="L403" i="259"/>
  <c r="K404" i="259"/>
  <c r="J405" i="259"/>
  <c r="K406" i="259"/>
  <c r="K407" i="259"/>
  <c r="J408" i="259"/>
  <c r="K408" i="259"/>
  <c r="L408" i="259" s="1"/>
  <c r="J409" i="259"/>
  <c r="K409" i="259"/>
  <c r="J410" i="259"/>
  <c r="K410" i="259"/>
  <c r="J411" i="259"/>
  <c r="K411" i="259"/>
  <c r="J412" i="259"/>
  <c r="K412" i="259"/>
  <c r="K413" i="259"/>
  <c r="L413" i="259" s="1"/>
  <c r="K414" i="259"/>
  <c r="L414" i="259" s="1"/>
  <c r="K415" i="259"/>
  <c r="K416" i="259"/>
  <c r="K417" i="259"/>
  <c r="K418" i="259"/>
  <c r="K419" i="259"/>
  <c r="L419" i="259" s="1"/>
  <c r="K420" i="259"/>
  <c r="L420" i="259" s="1"/>
  <c r="K421" i="259"/>
  <c r="L421" i="259" s="1"/>
  <c r="J422" i="259"/>
  <c r="K422" i="259"/>
  <c r="J423" i="259"/>
  <c r="K423" i="259"/>
  <c r="J424" i="259"/>
  <c r="K424" i="259"/>
  <c r="K425" i="259"/>
  <c r="L425" i="259" s="1"/>
  <c r="K426" i="259"/>
  <c r="L426" i="259" s="1"/>
  <c r="K427" i="259"/>
  <c r="L427" i="259" s="1"/>
  <c r="K428" i="259"/>
  <c r="K429" i="259"/>
  <c r="L429" i="259"/>
  <c r="K430" i="259"/>
  <c r="L430" i="259"/>
  <c r="K431" i="259"/>
  <c r="L431" i="259"/>
  <c r="K432" i="259"/>
  <c r="L432" i="259"/>
  <c r="H433" i="259"/>
  <c r="I433" i="259"/>
  <c r="N433" i="259"/>
  <c r="N436" i="259" s="1"/>
  <c r="O433" i="259"/>
  <c r="P433" i="259"/>
  <c r="P442" i="259"/>
  <c r="X198" i="258"/>
  <c r="X394" i="258"/>
  <c r="X323" i="258"/>
  <c r="X309" i="258"/>
  <c r="X197" i="258"/>
  <c r="X195" i="258"/>
  <c r="X207" i="258"/>
  <c r="X146" i="258"/>
  <c r="N262" i="258"/>
  <c r="J262" i="258"/>
  <c r="T262" i="258" s="1"/>
  <c r="N248" i="258"/>
  <c r="J248" i="258" s="1"/>
  <c r="T248" i="258" s="1"/>
  <c r="N298" i="258"/>
  <c r="J298" i="258" s="1"/>
  <c r="T298" i="258" s="1"/>
  <c r="S141" i="258"/>
  <c r="R141" i="258" s="1"/>
  <c r="K141" i="258" s="1"/>
  <c r="N85" i="258"/>
  <c r="V1" i="258"/>
  <c r="V4" i="258"/>
  <c r="V5" i="258"/>
  <c r="W5" i="258" s="1"/>
  <c r="J6" i="258"/>
  <c r="Q6" i="258"/>
  <c r="R6" i="258"/>
  <c r="K6" i="258" s="1"/>
  <c r="S6" i="258"/>
  <c r="T6" i="258" s="1"/>
  <c r="V6" i="258"/>
  <c r="W6" i="258" s="1"/>
  <c r="AH6" i="258"/>
  <c r="J7" i="258"/>
  <c r="Q7" i="258"/>
  <c r="V7" i="258"/>
  <c r="W7" i="258"/>
  <c r="Q8" i="258"/>
  <c r="S8" i="258"/>
  <c r="R8" i="258" s="1"/>
  <c r="K8" i="258" s="1"/>
  <c r="P8" i="258" s="1"/>
  <c r="V8" i="258"/>
  <c r="L9" i="258"/>
  <c r="Q9" i="258"/>
  <c r="V9" i="258"/>
  <c r="X9" i="258"/>
  <c r="W9" i="258"/>
  <c r="Q10" i="258"/>
  <c r="R10" i="258"/>
  <c r="V10" i="258"/>
  <c r="W10" i="258" s="1"/>
  <c r="AA10" i="258"/>
  <c r="J11" i="258"/>
  <c r="L11" i="258" s="1"/>
  <c r="Q11" i="258"/>
  <c r="S11" i="258"/>
  <c r="V11" i="258"/>
  <c r="X11" i="258"/>
  <c r="AH11" i="258"/>
  <c r="J12" i="258"/>
  <c r="Q12" i="258"/>
  <c r="S12" i="258"/>
  <c r="R12" i="258" s="1"/>
  <c r="K12" i="258" s="1"/>
  <c r="V12" i="258"/>
  <c r="X12" i="258"/>
  <c r="AH12" i="258"/>
  <c r="J13" i="258"/>
  <c r="L13" i="258"/>
  <c r="Q13" i="258"/>
  <c r="V13" i="258"/>
  <c r="W13" i="258" s="1"/>
  <c r="J14" i="258"/>
  <c r="Q14" i="258"/>
  <c r="S14" i="258"/>
  <c r="R14" i="258" s="1"/>
  <c r="K14" i="258" s="1"/>
  <c r="T14" i="258"/>
  <c r="V14" i="258"/>
  <c r="W14" i="258"/>
  <c r="X14" i="258"/>
  <c r="J15" i="258"/>
  <c r="Q15" i="258"/>
  <c r="S15" i="258"/>
  <c r="V15" i="258"/>
  <c r="X15" i="258"/>
  <c r="W15" i="258" s="1"/>
  <c r="J16" i="258"/>
  <c r="Q16" i="258"/>
  <c r="S16" i="258"/>
  <c r="R16" i="258" s="1"/>
  <c r="K16" i="258" s="1"/>
  <c r="T16" i="258"/>
  <c r="V16" i="258"/>
  <c r="W16" i="258"/>
  <c r="X16" i="258"/>
  <c r="J17" i="258"/>
  <c r="Q17" i="258"/>
  <c r="R17" i="258"/>
  <c r="S17" i="258"/>
  <c r="T17" i="258"/>
  <c r="V17" i="258"/>
  <c r="W17" i="258"/>
  <c r="J18" i="258"/>
  <c r="J310" i="258"/>
  <c r="L18" i="258" s="1"/>
  <c r="Q18" i="258"/>
  <c r="T18" i="258"/>
  <c r="V18" i="258"/>
  <c r="X18" i="258"/>
  <c r="W18" i="258" s="1"/>
  <c r="J19" i="258"/>
  <c r="Q19" i="258"/>
  <c r="S19" i="258"/>
  <c r="R19" i="258" s="1"/>
  <c r="K19" i="258" s="1"/>
  <c r="P19" i="258" s="1"/>
  <c r="T19" i="258"/>
  <c r="V19" i="258"/>
  <c r="W19" i="258" s="1"/>
  <c r="J312" i="258"/>
  <c r="L20" i="258" s="1"/>
  <c r="Q20" i="258"/>
  <c r="R20" i="258"/>
  <c r="V20" i="258"/>
  <c r="W20" i="258" s="1"/>
  <c r="J313" i="258"/>
  <c r="L21" i="258" s="1"/>
  <c r="Q21" i="258"/>
  <c r="V21" i="258"/>
  <c r="AA21" i="258"/>
  <c r="J22" i="258"/>
  <c r="J314" i="258"/>
  <c r="Q22" i="258"/>
  <c r="T22" i="258"/>
  <c r="V22" i="258"/>
  <c r="W22" i="258" s="1"/>
  <c r="J23" i="258"/>
  <c r="L23" i="258"/>
  <c r="Q23" i="258"/>
  <c r="S23" i="258"/>
  <c r="R23" i="258" s="1"/>
  <c r="V23" i="258"/>
  <c r="W23" i="258" s="1"/>
  <c r="AH23" i="258"/>
  <c r="J24" i="258"/>
  <c r="Q24" i="258"/>
  <c r="S24" i="258"/>
  <c r="R24" i="258" s="1"/>
  <c r="K24" i="258" s="1"/>
  <c r="V24" i="258"/>
  <c r="W24" i="258" s="1"/>
  <c r="J25" i="258"/>
  <c r="Q25" i="258"/>
  <c r="T25" i="258"/>
  <c r="V25" i="258"/>
  <c r="W25" i="258" s="1"/>
  <c r="J26" i="258"/>
  <c r="J318" i="258"/>
  <c r="L26" i="258"/>
  <c r="Q26" i="258"/>
  <c r="T26" i="258"/>
  <c r="V26" i="258"/>
  <c r="W26" i="258"/>
  <c r="J27" i="258"/>
  <c r="J319" i="258"/>
  <c r="L27" i="258" s="1"/>
  <c r="Q27" i="258"/>
  <c r="T27" i="258"/>
  <c r="V27" i="258"/>
  <c r="W27" i="258" s="1"/>
  <c r="J28" i="258"/>
  <c r="Q28" i="258"/>
  <c r="T28" i="258"/>
  <c r="V28" i="258"/>
  <c r="W28" i="258"/>
  <c r="J29" i="258"/>
  <c r="Q29" i="258"/>
  <c r="S29" i="258"/>
  <c r="R29" i="258"/>
  <c r="K29" i="258" s="1"/>
  <c r="P29" i="258" s="1"/>
  <c r="V29" i="258"/>
  <c r="W29" i="258"/>
  <c r="J30" i="258"/>
  <c r="Q30" i="258"/>
  <c r="S30" i="258"/>
  <c r="R30" i="258"/>
  <c r="K30" i="258" s="1"/>
  <c r="P30" i="258" s="1"/>
  <c r="V30" i="258"/>
  <c r="W30" i="258"/>
  <c r="J31" i="258"/>
  <c r="T31" i="258"/>
  <c r="Q31" i="258"/>
  <c r="R31" i="258"/>
  <c r="V31" i="258"/>
  <c r="W31" i="258"/>
  <c r="J32" i="258"/>
  <c r="Q32" i="258"/>
  <c r="S32" i="258"/>
  <c r="R32" i="258"/>
  <c r="K32" i="258" s="1"/>
  <c r="P32" i="258" s="1"/>
  <c r="V32" i="258"/>
  <c r="W32" i="258"/>
  <c r="J33" i="258"/>
  <c r="Q33" i="258"/>
  <c r="S33" i="258"/>
  <c r="R33" i="258"/>
  <c r="K33" i="258" s="1"/>
  <c r="P33" i="258" s="1"/>
  <c r="V33" i="258"/>
  <c r="W33" i="258"/>
  <c r="J34" i="258"/>
  <c r="T34" i="258"/>
  <c r="J326" i="258"/>
  <c r="L34" i="258"/>
  <c r="Q34" i="258"/>
  <c r="R34" i="258"/>
  <c r="V34" i="258"/>
  <c r="W34" i="258"/>
  <c r="J35" i="258"/>
  <c r="J327" i="258"/>
  <c r="Q35" i="258"/>
  <c r="S35" i="258"/>
  <c r="R35" i="258" s="1"/>
  <c r="K35" i="258" s="1"/>
  <c r="V35" i="258"/>
  <c r="W35" i="258" s="1"/>
  <c r="J36" i="258"/>
  <c r="Q36" i="258"/>
  <c r="T36" i="258"/>
  <c r="V36" i="258"/>
  <c r="W36" i="258"/>
  <c r="X36" i="258"/>
  <c r="Q37" i="258"/>
  <c r="V37" i="258"/>
  <c r="W37" i="258"/>
  <c r="X37" i="258"/>
  <c r="J38" i="258"/>
  <c r="J330" i="258"/>
  <c r="L38" i="258"/>
  <c r="Q38" i="258"/>
  <c r="T38" i="258"/>
  <c r="V38" i="258"/>
  <c r="W38" i="258"/>
  <c r="J331" i="258"/>
  <c r="L39" i="258"/>
  <c r="Q39" i="258"/>
  <c r="V39" i="258"/>
  <c r="W39" i="258" s="1"/>
  <c r="J40" i="258"/>
  <c r="J332" i="258"/>
  <c r="Q40" i="258"/>
  <c r="T40" i="258"/>
  <c r="V40" i="258"/>
  <c r="W40" i="258" s="1"/>
  <c r="AA40" i="258"/>
  <c r="J333" i="258"/>
  <c r="L41" i="258" s="1"/>
  <c r="Q41" i="258"/>
  <c r="R41" i="258"/>
  <c r="V41" i="258"/>
  <c r="W41" i="258" s="1"/>
  <c r="AA41" i="258"/>
  <c r="J42" i="258"/>
  <c r="J334" i="258"/>
  <c r="L42" i="258" s="1"/>
  <c r="Q42" i="258"/>
  <c r="R42" i="258"/>
  <c r="T42" i="258"/>
  <c r="V42" i="258"/>
  <c r="W42" i="258"/>
  <c r="J335" i="258"/>
  <c r="L43" i="258"/>
  <c r="Q43" i="258"/>
  <c r="V43" i="258"/>
  <c r="W43" i="258" s="1"/>
  <c r="J336" i="258"/>
  <c r="L44" i="258" s="1"/>
  <c r="Q44" i="258"/>
  <c r="R44" i="258"/>
  <c r="V44" i="258"/>
  <c r="W44" i="258" s="1"/>
  <c r="J45" i="258"/>
  <c r="Q45" i="258"/>
  <c r="S45" i="258"/>
  <c r="R45" i="258" s="1"/>
  <c r="K45" i="258" s="1"/>
  <c r="P45" i="258" s="1"/>
  <c r="V45" i="258"/>
  <c r="W45" i="258" s="1"/>
  <c r="J46" i="258"/>
  <c r="Q46" i="258"/>
  <c r="T46" i="258"/>
  <c r="V46" i="258"/>
  <c r="J339" i="258"/>
  <c r="L47" i="258" s="1"/>
  <c r="Q47" i="258"/>
  <c r="R47" i="258"/>
  <c r="V47" i="258"/>
  <c r="W47" i="258" s="1"/>
  <c r="AA47" i="258"/>
  <c r="Q48" i="258"/>
  <c r="V48" i="258"/>
  <c r="W48" i="258" s="1"/>
  <c r="Q49" i="258"/>
  <c r="V49" i="258"/>
  <c r="W49" i="258"/>
  <c r="Q50" i="258"/>
  <c r="R50" i="258"/>
  <c r="S50" i="258"/>
  <c r="T50" i="258"/>
  <c r="V50" i="258"/>
  <c r="W50" i="258"/>
  <c r="J51" i="258"/>
  <c r="Q51" i="258"/>
  <c r="S51" i="258"/>
  <c r="R51" i="258"/>
  <c r="K51" i="258" s="1"/>
  <c r="P51" i="258" s="1"/>
  <c r="V51" i="258"/>
  <c r="W51" i="258"/>
  <c r="Q52" i="258"/>
  <c r="S52" i="258"/>
  <c r="T52" i="258" s="1"/>
  <c r="V52" i="258"/>
  <c r="W52" i="258" s="1"/>
  <c r="J53" i="258"/>
  <c r="S53" i="258"/>
  <c r="R53" i="258"/>
  <c r="K53" i="258" s="1"/>
  <c r="P53" i="258" s="1"/>
  <c r="V53" i="258"/>
  <c r="W53" i="258"/>
  <c r="J54" i="258"/>
  <c r="J346" i="258"/>
  <c r="Q54" i="258"/>
  <c r="S54" i="258"/>
  <c r="R54" i="258" s="1"/>
  <c r="K54" i="258" s="1"/>
  <c r="V54" i="258"/>
  <c r="W54" i="258" s="1"/>
  <c r="J55" i="258"/>
  <c r="J347" i="258"/>
  <c r="L55" i="258"/>
  <c r="Q55" i="258"/>
  <c r="R55" i="258"/>
  <c r="S55" i="258"/>
  <c r="T55" i="258"/>
  <c r="V55" i="258"/>
  <c r="W55" i="258"/>
  <c r="J56" i="258"/>
  <c r="Q56" i="258"/>
  <c r="T56" i="258"/>
  <c r="V56" i="258"/>
  <c r="J57" i="258"/>
  <c r="J348" i="258"/>
  <c r="L57" i="258" s="1"/>
  <c r="Q57" i="258"/>
  <c r="T57" i="258"/>
  <c r="V57" i="258"/>
  <c r="X57" i="258"/>
  <c r="W57" i="258" s="1"/>
  <c r="J58" i="258"/>
  <c r="Q58" i="258"/>
  <c r="T58" i="258"/>
  <c r="V58" i="258"/>
  <c r="W58" i="258" s="1"/>
  <c r="J59" i="258"/>
  <c r="Q59" i="258"/>
  <c r="T59" i="258"/>
  <c r="V59" i="258"/>
  <c r="W59" i="258"/>
  <c r="J60" i="258"/>
  <c r="Q60" i="258"/>
  <c r="T60" i="258"/>
  <c r="V60" i="258"/>
  <c r="W60" i="258" s="1"/>
  <c r="J61" i="258"/>
  <c r="J352" i="258"/>
  <c r="L61" i="258" s="1"/>
  <c r="Q61" i="258"/>
  <c r="T61" i="258"/>
  <c r="V61" i="258"/>
  <c r="W61" i="258" s="1"/>
  <c r="J62" i="258"/>
  <c r="Q62" i="258"/>
  <c r="T62" i="258"/>
  <c r="V62" i="258"/>
  <c r="W62" i="258" s="1"/>
  <c r="J354" i="258"/>
  <c r="L63" i="258" s="1"/>
  <c r="Q63" i="258"/>
  <c r="V63" i="258"/>
  <c r="W63" i="258" s="1"/>
  <c r="J64" i="258"/>
  <c r="K64" i="258"/>
  <c r="Q64" i="258"/>
  <c r="R64" i="258"/>
  <c r="T64" i="258"/>
  <c r="V64" i="258"/>
  <c r="W64" i="258" s="1"/>
  <c r="J356" i="258"/>
  <c r="L65" i="258" s="1"/>
  <c r="Q65" i="258"/>
  <c r="V65" i="258"/>
  <c r="W65" i="258" s="1"/>
  <c r="J66" i="258"/>
  <c r="Q66" i="258"/>
  <c r="T66" i="258"/>
  <c r="V66" i="258"/>
  <c r="X66" i="258"/>
  <c r="J358" i="258"/>
  <c r="Q67" i="258"/>
  <c r="V67" i="258"/>
  <c r="W67" i="258"/>
  <c r="Q68" i="258"/>
  <c r="V68" i="258"/>
  <c r="W68" i="258" s="1"/>
  <c r="J69" i="258"/>
  <c r="J360" i="258"/>
  <c r="Q69" i="258"/>
  <c r="T69" i="258"/>
  <c r="V69" i="258"/>
  <c r="W69" i="258" s="1"/>
  <c r="J361" i="258"/>
  <c r="Q70" i="258"/>
  <c r="S70" i="258"/>
  <c r="R70" i="258" s="1"/>
  <c r="K70" i="258" s="1"/>
  <c r="V70" i="258"/>
  <c r="AB70" i="258"/>
  <c r="J71" i="258"/>
  <c r="J362" i="258"/>
  <c r="Q71" i="258"/>
  <c r="S71" i="258"/>
  <c r="R71" i="258" s="1"/>
  <c r="K71" i="258" s="1"/>
  <c r="V71" i="258"/>
  <c r="X71" i="258"/>
  <c r="AH71" i="258"/>
  <c r="J363" i="258"/>
  <c r="L72" i="258"/>
  <c r="Q72" i="258"/>
  <c r="S72" i="258"/>
  <c r="T72" i="258" s="1"/>
  <c r="V72" i="258"/>
  <c r="W72" i="258" s="1"/>
  <c r="J73" i="258"/>
  <c r="Q73" i="258"/>
  <c r="T73" i="258"/>
  <c r="V73" i="258"/>
  <c r="W73" i="258"/>
  <c r="J365" i="258"/>
  <c r="L74" i="258"/>
  <c r="Q74" i="258"/>
  <c r="R74" i="258"/>
  <c r="V74" i="258"/>
  <c r="W74" i="258"/>
  <c r="J75" i="258"/>
  <c r="J366" i="258"/>
  <c r="L75" i="258" s="1"/>
  <c r="Q75" i="258"/>
  <c r="T75" i="258"/>
  <c r="V75" i="258"/>
  <c r="W75" i="258" s="1"/>
  <c r="AB75" i="258"/>
  <c r="J76" i="258"/>
  <c r="T76" i="258"/>
  <c r="K76" i="258"/>
  <c r="Q76" i="258"/>
  <c r="V76" i="258"/>
  <c r="W76" i="258"/>
  <c r="J368" i="258"/>
  <c r="Q77" i="258"/>
  <c r="S77" i="258"/>
  <c r="R77" i="258"/>
  <c r="K77" i="258" s="1"/>
  <c r="V77" i="258"/>
  <c r="X77" i="258"/>
  <c r="W77" i="258" s="1"/>
  <c r="AB77" i="258"/>
  <c r="AH77" i="258"/>
  <c r="J78" i="258"/>
  <c r="J369" i="258"/>
  <c r="Q78" i="258"/>
  <c r="T78" i="258"/>
  <c r="V78" i="258"/>
  <c r="W78" i="258" s="1"/>
  <c r="J370" i="258"/>
  <c r="L79" i="258" s="1"/>
  <c r="Q79" i="258"/>
  <c r="S79" i="258"/>
  <c r="V79" i="258"/>
  <c r="W79" i="258" s="1"/>
  <c r="AA79" i="258"/>
  <c r="AB79" i="258" s="1"/>
  <c r="J80" i="258"/>
  <c r="Q80" i="258"/>
  <c r="T80" i="258"/>
  <c r="V80" i="258"/>
  <c r="W80" i="258"/>
  <c r="J81" i="258"/>
  <c r="Q81" i="258"/>
  <c r="T81" i="258"/>
  <c r="V81" i="258"/>
  <c r="W81" i="258" s="1"/>
  <c r="J82" i="258"/>
  <c r="Q82" i="258"/>
  <c r="T82" i="258"/>
  <c r="V82" i="258"/>
  <c r="W82" i="258" s="1"/>
  <c r="J377" i="258"/>
  <c r="L83" i="258" s="1"/>
  <c r="O83" i="258"/>
  <c r="J83" i="258" s="1"/>
  <c r="T83" i="258" s="1"/>
  <c r="Q83" i="258"/>
  <c r="V83" i="258"/>
  <c r="W83" i="258"/>
  <c r="AA83" i="258"/>
  <c r="AB83" i="258"/>
  <c r="AL83" i="258"/>
  <c r="J84" i="258"/>
  <c r="J378" i="258"/>
  <c r="L84" i="258"/>
  <c r="Q84" i="258"/>
  <c r="T84" i="258"/>
  <c r="V84" i="258"/>
  <c r="W84" i="258"/>
  <c r="J379" i="258"/>
  <c r="L85" i="258"/>
  <c r="Q85" i="258"/>
  <c r="AA85" i="258"/>
  <c r="AB85" i="258" s="1"/>
  <c r="J86" i="258"/>
  <c r="T86" i="258" s="1"/>
  <c r="L86" i="258"/>
  <c r="Q86" i="258"/>
  <c r="V86" i="258"/>
  <c r="W86" i="258" s="1"/>
  <c r="AA86" i="258"/>
  <c r="AB86" i="258" s="1"/>
  <c r="J87" i="258"/>
  <c r="Q87" i="258"/>
  <c r="T87" i="258"/>
  <c r="V87" i="258"/>
  <c r="W87" i="258"/>
  <c r="J88" i="258"/>
  <c r="J382" i="258"/>
  <c r="L88" i="258" s="1"/>
  <c r="Q88" i="258"/>
  <c r="S88" i="258"/>
  <c r="R88" i="258" s="1"/>
  <c r="V88" i="258"/>
  <c r="W88" i="258" s="1"/>
  <c r="AA88" i="258"/>
  <c r="J89" i="258"/>
  <c r="T89" i="258" s="1"/>
  <c r="J383" i="258"/>
  <c r="L89" i="258" s="1"/>
  <c r="Q89" i="258"/>
  <c r="R89" i="258"/>
  <c r="V89" i="258"/>
  <c r="W89" i="258" s="1"/>
  <c r="AH89" i="258"/>
  <c r="J384" i="258"/>
  <c r="L90" i="258" s="1"/>
  <c r="Q90" i="258"/>
  <c r="V90" i="258"/>
  <c r="X90" i="258"/>
  <c r="W90" i="258" s="1"/>
  <c r="O91" i="258"/>
  <c r="Q91" i="258"/>
  <c r="R91" i="258"/>
  <c r="V91" i="258"/>
  <c r="X91" i="258"/>
  <c r="W91" i="258" s="1"/>
  <c r="J386" i="258"/>
  <c r="Q92" i="258"/>
  <c r="S92" i="258"/>
  <c r="R92" i="258" s="1"/>
  <c r="K92" i="258" s="1"/>
  <c r="V92" i="258"/>
  <c r="W92" i="258" s="1"/>
  <c r="AA92" i="258"/>
  <c r="J93" i="258"/>
  <c r="Q93" i="258"/>
  <c r="S93" i="258"/>
  <c r="R93" i="258" s="1"/>
  <c r="K93" i="258" s="1"/>
  <c r="P93" i="258" s="1"/>
  <c r="T93" i="258"/>
  <c r="V93" i="258"/>
  <c r="W93" i="258"/>
  <c r="J94" i="258"/>
  <c r="Q94" i="258"/>
  <c r="T94" i="258"/>
  <c r="V94" i="258"/>
  <c r="W94" i="258" s="1"/>
  <c r="J95" i="258"/>
  <c r="Q95" i="258"/>
  <c r="T95" i="258"/>
  <c r="V95" i="258"/>
  <c r="W95" i="258" s="1"/>
  <c r="J96" i="258"/>
  <c r="Q96" i="258"/>
  <c r="S96" i="258"/>
  <c r="R96" i="258" s="1"/>
  <c r="K96" i="258" s="1"/>
  <c r="P96" i="258" s="1"/>
  <c r="T96" i="258"/>
  <c r="V96" i="258"/>
  <c r="W96" i="258" s="1"/>
  <c r="J97" i="258"/>
  <c r="Q97" i="258"/>
  <c r="T97" i="258"/>
  <c r="V97" i="258"/>
  <c r="W97" i="258"/>
  <c r="J98" i="258"/>
  <c r="Q98" i="258"/>
  <c r="T98" i="258"/>
  <c r="V98" i="258"/>
  <c r="W98" i="258" s="1"/>
  <c r="J393" i="258"/>
  <c r="L99" i="258" s="1"/>
  <c r="Q99" i="258"/>
  <c r="V99" i="258"/>
  <c r="W99" i="258"/>
  <c r="Q100" i="258"/>
  <c r="V100" i="258"/>
  <c r="W100" i="258"/>
  <c r="J395" i="258"/>
  <c r="L101" i="258"/>
  <c r="Q101" i="258"/>
  <c r="V101" i="258"/>
  <c r="W101" i="258" s="1"/>
  <c r="J102" i="258"/>
  <c r="T102" i="258" s="1"/>
  <c r="L102" i="258"/>
  <c r="Q102" i="258"/>
  <c r="V102" i="258"/>
  <c r="W102" i="258" s="1"/>
  <c r="J103" i="258"/>
  <c r="J397" i="258"/>
  <c r="Q103" i="258"/>
  <c r="T103" i="258"/>
  <c r="V103" i="258"/>
  <c r="W103" i="258" s="1"/>
  <c r="J104" i="258"/>
  <c r="T104" i="258" s="1"/>
  <c r="J398" i="258"/>
  <c r="Q104" i="258"/>
  <c r="V104" i="258"/>
  <c r="W104" i="258" s="1"/>
  <c r="J105" i="258"/>
  <c r="T105" i="258" s="1"/>
  <c r="L105" i="258"/>
  <c r="Q105" i="258"/>
  <c r="V105" i="258"/>
  <c r="W105" i="258" s="1"/>
  <c r="J106" i="258"/>
  <c r="J400" i="258"/>
  <c r="Q106" i="258"/>
  <c r="T106" i="258"/>
  <c r="V106" i="258"/>
  <c r="W106" i="258" s="1"/>
  <c r="J107" i="258"/>
  <c r="T107" i="258" s="1"/>
  <c r="Q107" i="258"/>
  <c r="R107" i="258"/>
  <c r="V107" i="258"/>
  <c r="W107" i="258" s="1"/>
  <c r="J108" i="258"/>
  <c r="Q108" i="258"/>
  <c r="T108" i="258"/>
  <c r="V108" i="258"/>
  <c r="W108" i="258" s="1"/>
  <c r="L109" i="258"/>
  <c r="Q109" i="258"/>
  <c r="V109" i="258"/>
  <c r="W109" i="258" s="1"/>
  <c r="AA109" i="258"/>
  <c r="J110" i="258"/>
  <c r="T110" i="258" s="1"/>
  <c r="J404" i="258"/>
  <c r="L110" i="258" s="1"/>
  <c r="Q110" i="258"/>
  <c r="V110" i="258"/>
  <c r="W110" i="258" s="1"/>
  <c r="J111" i="258"/>
  <c r="Q111" i="258"/>
  <c r="T111" i="258"/>
  <c r="V111" i="258"/>
  <c r="J112" i="258"/>
  <c r="J406" i="258"/>
  <c r="Q112" i="258"/>
  <c r="T112" i="258"/>
  <c r="V112" i="258"/>
  <c r="W112" i="258" s="1"/>
  <c r="J113" i="258"/>
  <c r="T113" i="258" s="1"/>
  <c r="J407" i="258"/>
  <c r="Q113" i="258"/>
  <c r="V113" i="258"/>
  <c r="W113" i="258" s="1"/>
  <c r="Q114" i="258"/>
  <c r="S114" i="258"/>
  <c r="R114" i="258" s="1"/>
  <c r="K114" i="258" s="1"/>
  <c r="P114" i="258" s="1"/>
  <c r="V114" i="258"/>
  <c r="W114" i="258" s="1"/>
  <c r="Q115" i="258"/>
  <c r="S115" i="258"/>
  <c r="R115" i="258" s="1"/>
  <c r="K115" i="258" s="1"/>
  <c r="P115" i="258" s="1"/>
  <c r="V115" i="258"/>
  <c r="W115" i="258" s="1"/>
  <c r="J116" i="258"/>
  <c r="T116" i="258" s="1"/>
  <c r="Q116" i="258"/>
  <c r="R116" i="258"/>
  <c r="V116" i="258"/>
  <c r="W116" i="258" s="1"/>
  <c r="Q117" i="258"/>
  <c r="V117" i="258"/>
  <c r="W117" i="258" s="1"/>
  <c r="Q118" i="258"/>
  <c r="R118" i="258"/>
  <c r="V118" i="258"/>
  <c r="W118" i="258" s="1"/>
  <c r="J413" i="258"/>
  <c r="L119" i="258" s="1"/>
  <c r="Q119" i="258"/>
  <c r="V119" i="258"/>
  <c r="W119" i="258" s="1"/>
  <c r="J414" i="258"/>
  <c r="L120" i="258" s="1"/>
  <c r="Q120" i="258"/>
  <c r="V120" i="258"/>
  <c r="J415" i="258"/>
  <c r="L121" i="258" s="1"/>
  <c r="Q121" i="258"/>
  <c r="R121" i="258"/>
  <c r="V121" i="258"/>
  <c r="W121" i="258" s="1"/>
  <c r="J122" i="258"/>
  <c r="T122" i="258" s="1"/>
  <c r="J416" i="258"/>
  <c r="Q122" i="258"/>
  <c r="V122" i="258"/>
  <c r="W122" i="258" s="1"/>
  <c r="J417" i="258"/>
  <c r="Q123" i="258"/>
  <c r="V123" i="258"/>
  <c r="W123" i="258"/>
  <c r="AA123" i="258"/>
  <c r="J124" i="258"/>
  <c r="J418" i="258"/>
  <c r="L124" i="258"/>
  <c r="Q124" i="258"/>
  <c r="T124" i="258"/>
  <c r="V124" i="258"/>
  <c r="W124" i="258"/>
  <c r="AA124" i="258"/>
  <c r="J419" i="258"/>
  <c r="L125" i="258" s="1"/>
  <c r="O125" i="258"/>
  <c r="J125" i="258" s="1"/>
  <c r="T125" i="258" s="1"/>
  <c r="Q125" i="258"/>
  <c r="V125" i="258"/>
  <c r="W125" i="258" s="1"/>
  <c r="J126" i="258"/>
  <c r="L126" i="258"/>
  <c r="Q126" i="258"/>
  <c r="R126" i="258"/>
  <c r="T126" i="258"/>
  <c r="V126" i="258"/>
  <c r="W126" i="258"/>
  <c r="J127" i="258"/>
  <c r="T127" i="258"/>
  <c r="Q127" i="258"/>
  <c r="V127" i="258"/>
  <c r="W127" i="258"/>
  <c r="J128" i="258"/>
  <c r="T128" i="258"/>
  <c r="Q128" i="258"/>
  <c r="V128" i="258"/>
  <c r="W128" i="258"/>
  <c r="J129" i="258"/>
  <c r="T129" i="258"/>
  <c r="Q129" i="258"/>
  <c r="V129" i="258"/>
  <c r="W129" i="258"/>
  <c r="J130" i="258"/>
  <c r="J427" i="258"/>
  <c r="L130" i="258" s="1"/>
  <c r="Q130" i="258"/>
  <c r="T130" i="258"/>
  <c r="V130" i="258"/>
  <c r="W130" i="258" s="1"/>
  <c r="J131" i="258"/>
  <c r="T131" i="258" s="1"/>
  <c r="Q131" i="258"/>
  <c r="V131" i="258"/>
  <c r="J429" i="258"/>
  <c r="L132" i="258" s="1"/>
  <c r="Q132" i="258"/>
  <c r="R132" i="258"/>
  <c r="V132" i="258"/>
  <c r="X132" i="258"/>
  <c r="W132" i="258" s="1"/>
  <c r="J430" i="258"/>
  <c r="L133" i="258"/>
  <c r="Q133" i="258"/>
  <c r="R133" i="258"/>
  <c r="V133" i="258"/>
  <c r="W133" i="258"/>
  <c r="J431" i="258"/>
  <c r="L134" i="258"/>
  <c r="Q134" i="258"/>
  <c r="V134" i="258"/>
  <c r="W134" i="258" s="1"/>
  <c r="J432" i="258"/>
  <c r="Q135" i="258"/>
  <c r="V135" i="258"/>
  <c r="W135" i="258"/>
  <c r="J136" i="258"/>
  <c r="J433" i="258"/>
  <c r="L136" i="258" s="1"/>
  <c r="Q136" i="258"/>
  <c r="T136" i="258"/>
  <c r="V136" i="258"/>
  <c r="W136" i="258" s="1"/>
  <c r="J137" i="258"/>
  <c r="J434" i="258"/>
  <c r="L137" i="258"/>
  <c r="Q137" i="258"/>
  <c r="T137" i="258"/>
  <c r="V137" i="258"/>
  <c r="X137" i="258"/>
  <c r="W137" i="258" s="1"/>
  <c r="J138" i="258"/>
  <c r="T138" i="258" s="1"/>
  <c r="L138" i="258"/>
  <c r="Q138" i="258"/>
  <c r="V138" i="258"/>
  <c r="W138" i="258" s="1"/>
  <c r="J139" i="258"/>
  <c r="T139" i="258" s="1"/>
  <c r="L139" i="258"/>
  <c r="Q139" i="258"/>
  <c r="V139" i="258"/>
  <c r="W139" i="258" s="1"/>
  <c r="L140" i="258"/>
  <c r="Q140" i="258"/>
  <c r="R140" i="258"/>
  <c r="V140" i="258"/>
  <c r="W140" i="258" s="1"/>
  <c r="Q141" i="258"/>
  <c r="V141" i="258"/>
  <c r="W141" i="258"/>
  <c r="L142" i="258"/>
  <c r="Q142" i="258"/>
  <c r="V142" i="258"/>
  <c r="X142" i="258"/>
  <c r="W142" i="258" s="1"/>
  <c r="L143" i="258"/>
  <c r="O143" i="258"/>
  <c r="J143" i="258" s="1"/>
  <c r="T143" i="258" s="1"/>
  <c r="Q143" i="258"/>
  <c r="R143" i="258"/>
  <c r="V143" i="258"/>
  <c r="W143" i="258" s="1"/>
  <c r="L144" i="258"/>
  <c r="Q144" i="258"/>
  <c r="R144" i="258"/>
  <c r="V144" i="258"/>
  <c r="X144" i="258"/>
  <c r="L145" i="258"/>
  <c r="Q145" i="258"/>
  <c r="R145" i="258"/>
  <c r="V145" i="258"/>
  <c r="X145" i="258"/>
  <c r="L146" i="258"/>
  <c r="Q146" i="258"/>
  <c r="V146" i="258"/>
  <c r="W146" i="258" s="1"/>
  <c r="L147" i="258"/>
  <c r="Q147" i="258"/>
  <c r="R147" i="258"/>
  <c r="V147" i="258"/>
  <c r="W147" i="258" s="1"/>
  <c r="J148" i="258"/>
  <c r="Q148" i="258"/>
  <c r="S148" i="258"/>
  <c r="R148" i="258" s="1"/>
  <c r="K148" i="258" s="1"/>
  <c r="P148" i="258" s="1"/>
  <c r="V148" i="258"/>
  <c r="W148" i="258" s="1"/>
  <c r="J149" i="258"/>
  <c r="Q149" i="258"/>
  <c r="S149" i="258"/>
  <c r="R149" i="258" s="1"/>
  <c r="K149" i="258" s="1"/>
  <c r="P149" i="258" s="1"/>
  <c r="V149" i="258"/>
  <c r="W149" i="258" s="1"/>
  <c r="J150" i="258"/>
  <c r="Q150" i="258"/>
  <c r="S150" i="258"/>
  <c r="R150" i="258" s="1"/>
  <c r="K150" i="258" s="1"/>
  <c r="P150" i="258" s="1"/>
  <c r="V150" i="258"/>
  <c r="W150" i="258" s="1"/>
  <c r="J151" i="258"/>
  <c r="Q151" i="258"/>
  <c r="S151" i="258"/>
  <c r="R151" i="258" s="1"/>
  <c r="K151" i="258" s="1"/>
  <c r="P151" i="258" s="1"/>
  <c r="V151" i="258"/>
  <c r="W151" i="258" s="1"/>
  <c r="J152" i="258"/>
  <c r="Q152" i="258"/>
  <c r="S152" i="258"/>
  <c r="R152" i="258" s="1"/>
  <c r="K152" i="258" s="1"/>
  <c r="P152" i="258" s="1"/>
  <c r="V152" i="258"/>
  <c r="W152" i="258" s="1"/>
  <c r="J153" i="258"/>
  <c r="Q153" i="258"/>
  <c r="S153" i="258"/>
  <c r="R153" i="258" s="1"/>
  <c r="K153" i="258" s="1"/>
  <c r="P153" i="258" s="1"/>
  <c r="V153" i="258"/>
  <c r="W153" i="258" s="1"/>
  <c r="J154" i="258"/>
  <c r="Q154" i="258"/>
  <c r="S154" i="258"/>
  <c r="R154" i="258" s="1"/>
  <c r="K154" i="258" s="1"/>
  <c r="P154" i="258" s="1"/>
  <c r="V154" i="258"/>
  <c r="W154" i="258" s="1"/>
  <c r="J155" i="258"/>
  <c r="Q155" i="258"/>
  <c r="S155" i="258"/>
  <c r="R155" i="258" s="1"/>
  <c r="K155" i="258" s="1"/>
  <c r="P155" i="258" s="1"/>
  <c r="V155" i="258"/>
  <c r="W155" i="258" s="1"/>
  <c r="J156" i="258"/>
  <c r="Q156" i="258"/>
  <c r="S156" i="258"/>
  <c r="R156" i="258" s="1"/>
  <c r="K156" i="258" s="1"/>
  <c r="P156" i="258" s="1"/>
  <c r="V156" i="258"/>
  <c r="W156" i="258" s="1"/>
  <c r="J157" i="258"/>
  <c r="Q157" i="258"/>
  <c r="S157" i="258"/>
  <c r="R157" i="258" s="1"/>
  <c r="K157" i="258" s="1"/>
  <c r="P157" i="258" s="1"/>
  <c r="V157" i="258"/>
  <c r="W157" i="258" s="1"/>
  <c r="J158" i="258"/>
  <c r="Q158" i="258"/>
  <c r="S158" i="258"/>
  <c r="R158" i="258" s="1"/>
  <c r="K158" i="258" s="1"/>
  <c r="P158" i="258" s="1"/>
  <c r="V158" i="258"/>
  <c r="W158" i="258" s="1"/>
  <c r="J159" i="258"/>
  <c r="Q159" i="258"/>
  <c r="S159" i="258"/>
  <c r="R159" i="258" s="1"/>
  <c r="K159" i="258" s="1"/>
  <c r="P159" i="258" s="1"/>
  <c r="V159" i="258"/>
  <c r="W159" i="258" s="1"/>
  <c r="J160" i="258"/>
  <c r="Q160" i="258"/>
  <c r="S160" i="258"/>
  <c r="R160" i="258" s="1"/>
  <c r="K160" i="258" s="1"/>
  <c r="P160" i="258" s="1"/>
  <c r="V160" i="258"/>
  <c r="W160" i="258" s="1"/>
  <c r="J161" i="258"/>
  <c r="Q161" i="258"/>
  <c r="S161" i="258"/>
  <c r="R161" i="258" s="1"/>
  <c r="K161" i="258" s="1"/>
  <c r="T161" i="258"/>
  <c r="V161" i="258"/>
  <c r="W161" i="258" s="1"/>
  <c r="L162" i="258"/>
  <c r="Q162" i="258"/>
  <c r="V162" i="258"/>
  <c r="W162" i="258" s="1"/>
  <c r="L163" i="258"/>
  <c r="Q163" i="258"/>
  <c r="V163" i="258"/>
  <c r="W163" i="258" s="1"/>
  <c r="L164" i="258"/>
  <c r="Q164" i="258"/>
  <c r="V164" i="258"/>
  <c r="W164" i="258" s="1"/>
  <c r="J165" i="258"/>
  <c r="T165" i="258" s="1"/>
  <c r="L165" i="258"/>
  <c r="Q165" i="258"/>
  <c r="V165" i="258"/>
  <c r="W165" i="258" s="1"/>
  <c r="J166" i="258"/>
  <c r="R166" i="258"/>
  <c r="K166" i="258" s="1"/>
  <c r="Q166" i="258"/>
  <c r="L167" i="258"/>
  <c r="Q167" i="258"/>
  <c r="V167" i="258"/>
  <c r="W167" i="258" s="1"/>
  <c r="J168" i="258"/>
  <c r="T168" i="258" s="1"/>
  <c r="L168" i="258"/>
  <c r="Q168" i="258"/>
  <c r="V168" i="258"/>
  <c r="W168" i="258" s="1"/>
  <c r="J169" i="258"/>
  <c r="T169" i="258" s="1"/>
  <c r="L169" i="258"/>
  <c r="Q169" i="258"/>
  <c r="V169" i="258"/>
  <c r="W169" i="258" s="1"/>
  <c r="L170" i="258"/>
  <c r="Q170" i="258"/>
  <c r="V170" i="258"/>
  <c r="W170" i="258" s="1"/>
  <c r="J171" i="258"/>
  <c r="T171" i="258" s="1"/>
  <c r="L171" i="258"/>
  <c r="Q171" i="258"/>
  <c r="V171" i="258"/>
  <c r="W171" i="258" s="1"/>
  <c r="J172" i="258"/>
  <c r="T172" i="258" s="1"/>
  <c r="L172" i="258"/>
  <c r="Q172" i="258"/>
  <c r="V172" i="258"/>
  <c r="W172" i="258" s="1"/>
  <c r="J173" i="258"/>
  <c r="T173" i="258" s="1"/>
  <c r="L173" i="258"/>
  <c r="Q173" i="258"/>
  <c r="V173" i="258"/>
  <c r="W173" i="258" s="1"/>
  <c r="J174" i="258"/>
  <c r="T174" i="258" s="1"/>
  <c r="L174" i="258"/>
  <c r="Q174" i="258"/>
  <c r="V174" i="258"/>
  <c r="W174" i="258" s="1"/>
  <c r="Q175" i="258"/>
  <c r="S175" i="258"/>
  <c r="R175" i="258" s="1"/>
  <c r="K175" i="258" s="1"/>
  <c r="V175" i="258"/>
  <c r="W175" i="258" s="1"/>
  <c r="Q176" i="258"/>
  <c r="S176" i="258"/>
  <c r="R176" i="258" s="1"/>
  <c r="K176" i="258" s="1"/>
  <c r="V176" i="258"/>
  <c r="W176" i="258" s="1"/>
  <c r="J177" i="258"/>
  <c r="T177" i="258" s="1"/>
  <c r="L177" i="258"/>
  <c r="Q177" i="258"/>
  <c r="V177" i="258"/>
  <c r="W177" i="258" s="1"/>
  <c r="J178" i="258"/>
  <c r="T178" i="258" s="1"/>
  <c r="L178" i="258"/>
  <c r="Q178" i="258"/>
  <c r="V178" i="258"/>
  <c r="W178" i="258" s="1"/>
  <c r="L179" i="258"/>
  <c r="Q179" i="258"/>
  <c r="V179" i="258"/>
  <c r="W179" i="258" s="1"/>
  <c r="L180" i="258"/>
  <c r="Q180" i="258"/>
  <c r="R180" i="258"/>
  <c r="V180" i="258"/>
  <c r="W180" i="258"/>
  <c r="J181" i="258"/>
  <c r="T181" i="258"/>
  <c r="L181" i="258"/>
  <c r="Q181" i="258"/>
  <c r="V181" i="258"/>
  <c r="X181" i="258"/>
  <c r="W181" i="258" s="1"/>
  <c r="J182" i="258"/>
  <c r="T182" i="258" s="1"/>
  <c r="L182" i="258"/>
  <c r="Q182" i="258"/>
  <c r="V182" i="258"/>
  <c r="W182" i="258" s="1"/>
  <c r="J183" i="258"/>
  <c r="T183" i="258" s="1"/>
  <c r="L183" i="258"/>
  <c r="Q183" i="258"/>
  <c r="V183" i="258"/>
  <c r="W183" i="258" s="1"/>
  <c r="J184" i="258"/>
  <c r="T184" i="258" s="1"/>
  <c r="L184" i="258"/>
  <c r="Q184" i="258"/>
  <c r="V184" i="258"/>
  <c r="W184" i="258" s="1"/>
  <c r="J185" i="258"/>
  <c r="T185" i="258" s="1"/>
  <c r="L185" i="258"/>
  <c r="Q185" i="258"/>
  <c r="V185" i="258"/>
  <c r="W185" i="258" s="1"/>
  <c r="J186" i="258"/>
  <c r="T186" i="258" s="1"/>
  <c r="Q186" i="258"/>
  <c r="R186" i="258"/>
  <c r="V186" i="258"/>
  <c r="W186" i="258" s="1"/>
  <c r="J187" i="258"/>
  <c r="Q187" i="258"/>
  <c r="T187" i="258"/>
  <c r="V187" i="258"/>
  <c r="W187" i="258" s="1"/>
  <c r="J188" i="258"/>
  <c r="Q188" i="258"/>
  <c r="T188" i="258"/>
  <c r="V188" i="258"/>
  <c r="W188" i="258" s="1"/>
  <c r="J189" i="258"/>
  <c r="T189" i="258" s="1"/>
  <c r="L189" i="258"/>
  <c r="Q189" i="258"/>
  <c r="V189" i="258"/>
  <c r="W189" i="258" s="1"/>
  <c r="L190" i="258"/>
  <c r="O190" i="258"/>
  <c r="P190" i="258"/>
  <c r="Q190" i="258"/>
  <c r="R190" i="258"/>
  <c r="V190" i="258"/>
  <c r="W190" i="258"/>
  <c r="L191" i="258"/>
  <c r="Q191" i="258"/>
  <c r="R191" i="258"/>
  <c r="V191" i="258"/>
  <c r="W191" i="258" s="1"/>
  <c r="AJ191" i="258"/>
  <c r="L192" i="258"/>
  <c r="O192" i="258"/>
  <c r="J192" i="258" s="1"/>
  <c r="T192" i="258" s="1"/>
  <c r="Q192" i="258"/>
  <c r="V192" i="258"/>
  <c r="X192" i="258"/>
  <c r="W192" i="258" s="1"/>
  <c r="J193" i="258"/>
  <c r="Q193" i="258"/>
  <c r="T193" i="258"/>
  <c r="V193" i="258"/>
  <c r="X193" i="258"/>
  <c r="W193" i="258" s="1"/>
  <c r="L194" i="258"/>
  <c r="Q194" i="258"/>
  <c r="R194" i="258"/>
  <c r="V194" i="258"/>
  <c r="W194" i="258" s="1"/>
  <c r="AJ194" i="258"/>
  <c r="L195" i="258"/>
  <c r="Q195" i="258"/>
  <c r="V195" i="258"/>
  <c r="W195" i="258" s="1"/>
  <c r="AJ195" i="258"/>
  <c r="L196" i="258"/>
  <c r="O196" i="258"/>
  <c r="P196" i="258" s="1"/>
  <c r="Q196" i="258"/>
  <c r="R196" i="258"/>
  <c r="V196" i="258"/>
  <c r="X196" i="258"/>
  <c r="W196" i="258" s="1"/>
  <c r="L197" i="258"/>
  <c r="Q197" i="258"/>
  <c r="V197" i="258"/>
  <c r="W197" i="258" s="1"/>
  <c r="AJ197" i="258"/>
  <c r="L198" i="258"/>
  <c r="Q198" i="258"/>
  <c r="R198" i="258"/>
  <c r="V198" i="258"/>
  <c r="W198" i="258" s="1"/>
  <c r="AJ198" i="258"/>
  <c r="J199" i="258"/>
  <c r="T199" i="258" s="1"/>
  <c r="L199" i="258"/>
  <c r="Q199" i="258"/>
  <c r="V199" i="258"/>
  <c r="W199" i="258" s="1"/>
  <c r="AJ199" i="258"/>
  <c r="J200" i="258"/>
  <c r="T200" i="258" s="1"/>
  <c r="L200" i="258"/>
  <c r="Q200" i="258"/>
  <c r="V200" i="258"/>
  <c r="W200" i="258" s="1"/>
  <c r="AJ200" i="258"/>
  <c r="L201" i="258"/>
  <c r="O201" i="258"/>
  <c r="J201" i="258" s="1"/>
  <c r="T201" i="258" s="1"/>
  <c r="Q201" i="258"/>
  <c r="V201" i="258"/>
  <c r="W201" i="258"/>
  <c r="AJ201" i="258"/>
  <c r="L202" i="258"/>
  <c r="Q202" i="258"/>
  <c r="V202" i="258"/>
  <c r="W202" i="258" s="1"/>
  <c r="AJ202" i="258"/>
  <c r="L203" i="258"/>
  <c r="O203" i="258"/>
  <c r="P203" i="258" s="1"/>
  <c r="Q203" i="258"/>
  <c r="R203" i="258"/>
  <c r="V203" i="258"/>
  <c r="X203" i="258"/>
  <c r="W203" i="258"/>
  <c r="L204" i="258"/>
  <c r="Q204" i="258"/>
  <c r="V204" i="258"/>
  <c r="X204" i="258"/>
  <c r="W204" i="258" s="1"/>
  <c r="L205" i="258"/>
  <c r="Q205" i="258"/>
  <c r="V205" i="258"/>
  <c r="W205" i="258" s="1"/>
  <c r="AJ205" i="258"/>
  <c r="J206" i="258"/>
  <c r="L206" i="258"/>
  <c r="Q206" i="258"/>
  <c r="T206" i="258"/>
  <c r="V206" i="258"/>
  <c r="W206" i="258"/>
  <c r="X206" i="258"/>
  <c r="AJ206" i="258"/>
  <c r="L207" i="258"/>
  <c r="Q207" i="258"/>
  <c r="V207" i="258"/>
  <c r="W207" i="258"/>
  <c r="AJ207" i="258"/>
  <c r="J208" i="258"/>
  <c r="T208" i="258" s="1"/>
  <c r="L208" i="258"/>
  <c r="Q208" i="258"/>
  <c r="V208" i="258"/>
  <c r="W208" i="258" s="1"/>
  <c r="AJ208" i="258"/>
  <c r="J209" i="258"/>
  <c r="L209" i="258"/>
  <c r="Q209" i="258"/>
  <c r="T209" i="258"/>
  <c r="V209" i="258"/>
  <c r="W209" i="258"/>
  <c r="AJ209" i="258"/>
  <c r="J210" i="258"/>
  <c r="T210" i="258" s="1"/>
  <c r="L210" i="258"/>
  <c r="Q210" i="258"/>
  <c r="V210" i="258"/>
  <c r="W210" i="258" s="1"/>
  <c r="AJ210" i="258"/>
  <c r="J211" i="258"/>
  <c r="L211" i="258"/>
  <c r="Q211" i="258"/>
  <c r="T211" i="258"/>
  <c r="V211" i="258"/>
  <c r="W211" i="258"/>
  <c r="AJ211" i="258"/>
  <c r="J212" i="258"/>
  <c r="T212" i="258" s="1"/>
  <c r="L212" i="258"/>
  <c r="Q212" i="258"/>
  <c r="V212" i="258"/>
  <c r="X212" i="258"/>
  <c r="W212" i="258" s="1"/>
  <c r="J213" i="258"/>
  <c r="T213" i="258" s="1"/>
  <c r="L213" i="258"/>
  <c r="Q213" i="258"/>
  <c r="V213" i="258"/>
  <c r="X213" i="258"/>
  <c r="J214" i="258"/>
  <c r="T214" i="258" s="1"/>
  <c r="L214" i="258"/>
  <c r="Q214" i="258"/>
  <c r="V214" i="258"/>
  <c r="W214" i="258" s="1"/>
  <c r="AJ214" i="258"/>
  <c r="L215" i="258"/>
  <c r="Q215" i="258"/>
  <c r="V215" i="258"/>
  <c r="W215" i="258"/>
  <c r="AJ215" i="258"/>
  <c r="J216" i="258"/>
  <c r="T216" i="258" s="1"/>
  <c r="L216" i="258"/>
  <c r="Q216" i="258"/>
  <c r="V216" i="258"/>
  <c r="X216" i="258"/>
  <c r="W216" i="258" s="1"/>
  <c r="J217" i="258"/>
  <c r="T217" i="258" s="1"/>
  <c r="L217" i="258"/>
  <c r="Q217" i="258"/>
  <c r="V217" i="258"/>
  <c r="W217" i="258" s="1"/>
  <c r="AJ217" i="258"/>
  <c r="J218" i="258"/>
  <c r="T218" i="258" s="1"/>
  <c r="L218" i="258"/>
  <c r="Q218" i="258"/>
  <c r="V218" i="258"/>
  <c r="W218" i="258" s="1"/>
  <c r="AJ218" i="258"/>
  <c r="J219" i="258"/>
  <c r="T219" i="258" s="1"/>
  <c r="L219" i="258"/>
  <c r="Q219" i="258"/>
  <c r="V219" i="258"/>
  <c r="W219" i="258" s="1"/>
  <c r="AJ219" i="258"/>
  <c r="J220" i="258"/>
  <c r="T220" i="258" s="1"/>
  <c r="L220" i="258"/>
  <c r="Q220" i="258"/>
  <c r="V220" i="258"/>
  <c r="W220" i="258" s="1"/>
  <c r="AJ220" i="258"/>
  <c r="J221" i="258"/>
  <c r="T221" i="258" s="1"/>
  <c r="L221" i="258"/>
  <c r="Q221" i="258"/>
  <c r="V221" i="258"/>
  <c r="W221" i="258" s="1"/>
  <c r="AJ221" i="258"/>
  <c r="J222" i="258"/>
  <c r="T222" i="258" s="1"/>
  <c r="L222" i="258"/>
  <c r="Q222" i="258"/>
  <c r="V222" i="258"/>
  <c r="W222" i="258" s="1"/>
  <c r="AJ222" i="258"/>
  <c r="J223" i="258"/>
  <c r="L223" i="258"/>
  <c r="Q223" i="258"/>
  <c r="R223" i="258"/>
  <c r="T223" i="258"/>
  <c r="V223" i="258"/>
  <c r="W223" i="258" s="1"/>
  <c r="AJ223" i="258"/>
  <c r="J224" i="258"/>
  <c r="L224" i="258"/>
  <c r="Q224" i="258"/>
  <c r="T224" i="258"/>
  <c r="V224" i="258"/>
  <c r="W224" i="258"/>
  <c r="AJ224" i="258"/>
  <c r="Q225" i="258"/>
  <c r="V225" i="258"/>
  <c r="W225" i="258"/>
  <c r="AJ225" i="258"/>
  <c r="J226" i="258"/>
  <c r="T226" i="258" s="1"/>
  <c r="L226" i="258"/>
  <c r="Q226" i="258"/>
  <c r="V226" i="258"/>
  <c r="W226" i="258" s="1"/>
  <c r="AA226" i="258"/>
  <c r="AJ226" i="258"/>
  <c r="J227" i="258"/>
  <c r="Q227" i="258"/>
  <c r="T227" i="258"/>
  <c r="V227" i="258"/>
  <c r="W227" i="258"/>
  <c r="L228" i="258"/>
  <c r="Q228" i="258"/>
  <c r="R228" i="258"/>
  <c r="V228" i="258"/>
  <c r="X228" i="258"/>
  <c r="W228" i="258"/>
  <c r="J229" i="258"/>
  <c r="T229" i="258"/>
  <c r="L229" i="258"/>
  <c r="Q229" i="258"/>
  <c r="V229" i="258"/>
  <c r="X229" i="258"/>
  <c r="W229" i="258" s="1"/>
  <c r="J230" i="258"/>
  <c r="T230" i="258" s="1"/>
  <c r="Q230" i="258"/>
  <c r="R230" i="258"/>
  <c r="V230" i="258"/>
  <c r="W230" i="258" s="1"/>
  <c r="AJ230" i="258"/>
  <c r="L231" i="258"/>
  <c r="Q231" i="258"/>
  <c r="V231" i="258"/>
  <c r="W231" i="258" s="1"/>
  <c r="AJ231" i="258"/>
  <c r="L232" i="258"/>
  <c r="O232" i="258"/>
  <c r="J232" i="258" s="1"/>
  <c r="T232" i="258" s="1"/>
  <c r="Q232" i="258"/>
  <c r="V232" i="258"/>
  <c r="W232" i="258"/>
  <c r="X232" i="258"/>
  <c r="AJ232" i="258"/>
  <c r="L233" i="258"/>
  <c r="Q233" i="258"/>
  <c r="R233" i="258"/>
  <c r="V233" i="258"/>
  <c r="X233" i="258"/>
  <c r="W233" i="258"/>
  <c r="J234" i="258"/>
  <c r="Q234" i="258"/>
  <c r="T234" i="258"/>
  <c r="V234" i="258"/>
  <c r="X234" i="258"/>
  <c r="L235" i="258"/>
  <c r="Q235" i="258"/>
  <c r="R235" i="258"/>
  <c r="V235" i="258"/>
  <c r="X235" i="258"/>
  <c r="W235" i="258" s="1"/>
  <c r="J236" i="258"/>
  <c r="T236" i="258" s="1"/>
  <c r="L236" i="258"/>
  <c r="Q236" i="258"/>
  <c r="V236" i="258"/>
  <c r="W236" i="258" s="1"/>
  <c r="AJ236" i="258"/>
  <c r="J237" i="258"/>
  <c r="Q237" i="258"/>
  <c r="T237" i="258"/>
  <c r="V237" i="258"/>
  <c r="J238" i="258"/>
  <c r="Q238" i="258"/>
  <c r="T238" i="258"/>
  <c r="V238" i="258"/>
  <c r="J239" i="258"/>
  <c r="T239" i="258" s="1"/>
  <c r="L239" i="258"/>
  <c r="Q239" i="258"/>
  <c r="V239" i="258"/>
  <c r="W239" i="258" s="1"/>
  <c r="AJ239" i="258"/>
  <c r="J240" i="258"/>
  <c r="T240" i="258" s="1"/>
  <c r="L240" i="258"/>
  <c r="Q240" i="258"/>
  <c r="V240" i="258"/>
  <c r="W240" i="258" s="1"/>
  <c r="AJ240" i="258"/>
  <c r="L241" i="258"/>
  <c r="Q241" i="258"/>
  <c r="V241" i="258"/>
  <c r="W241" i="258" s="1"/>
  <c r="AJ241" i="258"/>
  <c r="AK241" i="258"/>
  <c r="J242" i="258"/>
  <c r="Q242" i="258"/>
  <c r="T242" i="258"/>
  <c r="V242" i="258"/>
  <c r="W242" i="258" s="1"/>
  <c r="J243" i="258"/>
  <c r="T243" i="258" s="1"/>
  <c r="L243" i="258"/>
  <c r="Q243" i="258"/>
  <c r="V243" i="258"/>
  <c r="W243" i="258" s="1"/>
  <c r="AJ243" i="258"/>
  <c r="J244" i="258"/>
  <c r="Q244" i="258"/>
  <c r="R244" i="258"/>
  <c r="T244" i="258"/>
  <c r="V244" i="258"/>
  <c r="W244" i="258"/>
  <c r="AJ244" i="258"/>
  <c r="J245" i="258"/>
  <c r="T245" i="258" s="1"/>
  <c r="L245" i="258"/>
  <c r="Q245" i="258"/>
  <c r="V245" i="258"/>
  <c r="W245" i="258" s="1"/>
  <c r="AJ245" i="258"/>
  <c r="L246" i="258"/>
  <c r="Q246" i="258"/>
  <c r="R246" i="258"/>
  <c r="V246" i="258"/>
  <c r="W246" i="258" s="1"/>
  <c r="AA246" i="258"/>
  <c r="AJ246" i="258"/>
  <c r="J247" i="258"/>
  <c r="R247" i="258"/>
  <c r="K247" i="258" s="1"/>
  <c r="Q247" i="258"/>
  <c r="T247" i="258"/>
  <c r="V247" i="258"/>
  <c r="Q248" i="258"/>
  <c r="V248" i="258"/>
  <c r="W248" i="258" s="1"/>
  <c r="AA248" i="258"/>
  <c r="AJ248" i="258"/>
  <c r="J249" i="258"/>
  <c r="T249" i="258" s="1"/>
  <c r="Q249" i="258"/>
  <c r="R249" i="258"/>
  <c r="V249" i="258"/>
  <c r="X249" i="258"/>
  <c r="W249" i="258" s="1"/>
  <c r="L250" i="258"/>
  <c r="Q250" i="258"/>
  <c r="V250" i="258"/>
  <c r="W250" i="258" s="1"/>
  <c r="AA250" i="258"/>
  <c r="AJ250" i="258"/>
  <c r="J251" i="258"/>
  <c r="T251" i="258" s="1"/>
  <c r="L251" i="258"/>
  <c r="Q251" i="258"/>
  <c r="V251" i="258"/>
  <c r="X251" i="258"/>
  <c r="W251" i="258" s="1"/>
  <c r="J252" i="258"/>
  <c r="T252" i="258" s="1"/>
  <c r="L252" i="258"/>
  <c r="Q252" i="258"/>
  <c r="V252" i="258"/>
  <c r="W252" i="258" s="1"/>
  <c r="AJ252" i="258"/>
  <c r="Q253" i="258"/>
  <c r="R253" i="258"/>
  <c r="V253" i="258"/>
  <c r="W253" i="258" s="1"/>
  <c r="AJ253" i="258"/>
  <c r="J254" i="258"/>
  <c r="Q254" i="258"/>
  <c r="T254" i="258"/>
  <c r="V254" i="258"/>
  <c r="W254" i="258" s="1"/>
  <c r="AJ254" i="258"/>
  <c r="J255" i="258"/>
  <c r="Q255" i="258"/>
  <c r="T255" i="258"/>
  <c r="V255" i="258"/>
  <c r="W255" i="258" s="1"/>
  <c r="AJ255" i="258"/>
  <c r="J256" i="258"/>
  <c r="Q256" i="258"/>
  <c r="T256" i="258"/>
  <c r="V256" i="258"/>
  <c r="W256" i="258" s="1"/>
  <c r="AJ256" i="258"/>
  <c r="J257" i="258"/>
  <c r="Q257" i="258"/>
  <c r="T257" i="258"/>
  <c r="V257" i="258"/>
  <c r="W257" i="258" s="1"/>
  <c r="AJ257" i="258"/>
  <c r="R258" i="258"/>
  <c r="K258" i="258"/>
  <c r="L258" i="258" s="1"/>
  <c r="Q258" i="258"/>
  <c r="V258" i="258"/>
  <c r="X258" i="258"/>
  <c r="W258" i="258" s="1"/>
  <c r="J259" i="258"/>
  <c r="Q259" i="258"/>
  <c r="T259" i="258"/>
  <c r="V259" i="258"/>
  <c r="W259" i="258" s="1"/>
  <c r="AJ259" i="258"/>
  <c r="J260" i="258"/>
  <c r="L260" i="258"/>
  <c r="Q260" i="258"/>
  <c r="T260" i="258"/>
  <c r="V260" i="258"/>
  <c r="W260" i="258"/>
  <c r="AJ260" i="258"/>
  <c r="J261" i="258"/>
  <c r="T261" i="258" s="1"/>
  <c r="L261" i="258"/>
  <c r="Q261" i="258"/>
  <c r="V261" i="258"/>
  <c r="X261" i="258"/>
  <c r="W261" i="258" s="1"/>
  <c r="Q262" i="258"/>
  <c r="V262" i="258"/>
  <c r="W262" i="258" s="1"/>
  <c r="AJ262" i="258"/>
  <c r="J263" i="258"/>
  <c r="T263" i="258"/>
  <c r="L263" i="258"/>
  <c r="Q263" i="258"/>
  <c r="V263" i="258"/>
  <c r="X263" i="258"/>
  <c r="W263" i="258" s="1"/>
  <c r="AA263" i="258"/>
  <c r="J264" i="258"/>
  <c r="Q264" i="258"/>
  <c r="T264" i="258"/>
  <c r="V264" i="258"/>
  <c r="W264" i="258"/>
  <c r="Q265" i="258"/>
  <c r="J266" i="258"/>
  <c r="T266" i="258" s="1"/>
  <c r="L266" i="258"/>
  <c r="Q266" i="258"/>
  <c r="V266" i="258"/>
  <c r="W266" i="258" s="1"/>
  <c r="AJ266" i="258"/>
  <c r="J267" i="258"/>
  <c r="T267" i="258"/>
  <c r="L267" i="258"/>
  <c r="Q267" i="258"/>
  <c r="V267" i="258"/>
  <c r="W267" i="258"/>
  <c r="AJ267" i="258"/>
  <c r="J268" i="258"/>
  <c r="T268" i="258" s="1"/>
  <c r="R268" i="258"/>
  <c r="K268" i="258"/>
  <c r="L268" i="258" s="1"/>
  <c r="Q268" i="258"/>
  <c r="V268" i="258"/>
  <c r="X268" i="258"/>
  <c r="J269" i="258"/>
  <c r="Q269" i="258"/>
  <c r="T269" i="258"/>
  <c r="V269" i="258"/>
  <c r="J270" i="258"/>
  <c r="T270" i="258" s="1"/>
  <c r="L270" i="258"/>
  <c r="Q270" i="258"/>
  <c r="V270" i="258"/>
  <c r="W270" i="258" s="1"/>
  <c r="AJ270" i="258"/>
  <c r="J271" i="258"/>
  <c r="T271" i="258"/>
  <c r="L271" i="258"/>
  <c r="Q271" i="258"/>
  <c r="V271" i="258"/>
  <c r="W271" i="258"/>
  <c r="AJ271" i="258"/>
  <c r="J272" i="258"/>
  <c r="R272" i="258"/>
  <c r="K272" i="258"/>
  <c r="Q272" i="258"/>
  <c r="T272" i="258"/>
  <c r="V272" i="258"/>
  <c r="W272" i="258"/>
  <c r="J273" i="258"/>
  <c r="R273" i="258"/>
  <c r="K273" i="258" s="1"/>
  <c r="Q273" i="258"/>
  <c r="T273" i="258"/>
  <c r="V273" i="258"/>
  <c r="W273" i="258" s="1"/>
  <c r="J274" i="258"/>
  <c r="R274" i="258"/>
  <c r="K274" i="258"/>
  <c r="Q274" i="258"/>
  <c r="T274" i="258"/>
  <c r="V274" i="258"/>
  <c r="W274" i="258"/>
  <c r="J275" i="258"/>
  <c r="R275" i="258"/>
  <c r="K275" i="258" s="1"/>
  <c r="Q275" i="258"/>
  <c r="T275" i="258"/>
  <c r="V275" i="258"/>
  <c r="W275" i="258" s="1"/>
  <c r="J276" i="258"/>
  <c r="Q276" i="258"/>
  <c r="T276" i="258"/>
  <c r="V276" i="258"/>
  <c r="W276" i="258"/>
  <c r="J277" i="258"/>
  <c r="Q277" i="258"/>
  <c r="T277" i="258"/>
  <c r="V277" i="258"/>
  <c r="W277" i="258" s="1"/>
  <c r="J278" i="258"/>
  <c r="R278" i="258"/>
  <c r="K278" i="258" s="1"/>
  <c r="Q278" i="258"/>
  <c r="T278" i="258"/>
  <c r="V278" i="258"/>
  <c r="W278" i="258" s="1"/>
  <c r="J279" i="258"/>
  <c r="T279" i="258" s="1"/>
  <c r="L279" i="258"/>
  <c r="Q279" i="258"/>
  <c r="V279" i="258"/>
  <c r="W279" i="258" s="1"/>
  <c r="AJ279" i="258"/>
  <c r="J280" i="258"/>
  <c r="T280" i="258" s="1"/>
  <c r="L280" i="258"/>
  <c r="Q280" i="258"/>
  <c r="V280" i="258"/>
  <c r="W280" i="258" s="1"/>
  <c r="AA280" i="258"/>
  <c r="AJ280" i="258"/>
  <c r="J281" i="258"/>
  <c r="T281" i="258" s="1"/>
  <c r="Q281" i="258"/>
  <c r="R281" i="258"/>
  <c r="V281" i="258"/>
  <c r="W281" i="258" s="1"/>
  <c r="AJ281" i="258"/>
  <c r="Q282" i="258"/>
  <c r="R282" i="258"/>
  <c r="V282" i="258"/>
  <c r="W282" i="258" s="1"/>
  <c r="AJ282" i="258"/>
  <c r="J283" i="258"/>
  <c r="Q283" i="258"/>
  <c r="T283" i="258"/>
  <c r="V283" i="258"/>
  <c r="W283" i="258" s="1"/>
  <c r="J284" i="258"/>
  <c r="Q284" i="258"/>
  <c r="T284" i="258"/>
  <c r="V284" i="258"/>
  <c r="W284" i="258" s="1"/>
  <c r="J285" i="258"/>
  <c r="T285" i="258" s="1"/>
  <c r="Q285" i="258"/>
  <c r="R285" i="258"/>
  <c r="V285" i="258"/>
  <c r="W285" i="258" s="1"/>
  <c r="J286" i="258"/>
  <c r="Q286" i="258"/>
  <c r="T286" i="258"/>
  <c r="V286" i="258"/>
  <c r="W286" i="258"/>
  <c r="J287" i="258"/>
  <c r="Q287" i="258"/>
  <c r="T287" i="258"/>
  <c r="V287" i="258"/>
  <c r="J288" i="258"/>
  <c r="T288" i="258"/>
  <c r="L288" i="258"/>
  <c r="Q288" i="258"/>
  <c r="V288" i="258"/>
  <c r="W288" i="258"/>
  <c r="AJ288" i="258"/>
  <c r="J289" i="258"/>
  <c r="Q289" i="258"/>
  <c r="T289" i="258"/>
  <c r="V289" i="258"/>
  <c r="W289" i="258"/>
  <c r="J290" i="258"/>
  <c r="T290" i="258"/>
  <c r="Q290" i="258"/>
  <c r="R290" i="258"/>
  <c r="V290" i="258"/>
  <c r="W290" i="258"/>
  <c r="Q291" i="258"/>
  <c r="T291" i="258"/>
  <c r="T292" i="258"/>
  <c r="J293" i="258"/>
  <c r="T293" i="258" s="1"/>
  <c r="L293" i="258"/>
  <c r="Q293" i="258"/>
  <c r="V293" i="258"/>
  <c r="W293" i="258" s="1"/>
  <c r="AJ293" i="258"/>
  <c r="J294" i="258"/>
  <c r="T294" i="258"/>
  <c r="Q294" i="258"/>
  <c r="R294" i="258"/>
  <c r="V294" i="258"/>
  <c r="W294" i="258"/>
  <c r="J295" i="258"/>
  <c r="Q295" i="258"/>
  <c r="T295" i="258"/>
  <c r="V295" i="258"/>
  <c r="W295" i="258" s="1"/>
  <c r="J296" i="258"/>
  <c r="Q296" i="258"/>
  <c r="T296" i="258"/>
  <c r="V296" i="258"/>
  <c r="W296" i="258" s="1"/>
  <c r="J297" i="258"/>
  <c r="Q297" i="258"/>
  <c r="T297" i="258"/>
  <c r="V297" i="258"/>
  <c r="W297" i="258" s="1"/>
  <c r="L298" i="258"/>
  <c r="Q298" i="258"/>
  <c r="V298" i="258"/>
  <c r="W298" i="258" s="1"/>
  <c r="AD298" i="258"/>
  <c r="AJ298" i="258" s="1"/>
  <c r="J299" i="258"/>
  <c r="T299" i="258" s="1"/>
  <c r="L299" i="258"/>
  <c r="Q299" i="258"/>
  <c r="V299" i="258"/>
  <c r="W299" i="258" s="1"/>
  <c r="AJ299" i="258"/>
  <c r="J300" i="258"/>
  <c r="T300" i="258"/>
  <c r="L300" i="258"/>
  <c r="Q300" i="258"/>
  <c r="V300" i="258"/>
  <c r="X300" i="258"/>
  <c r="W300" i="258" s="1"/>
  <c r="J301" i="258"/>
  <c r="T301" i="258" s="1"/>
  <c r="Q301" i="258"/>
  <c r="V301" i="258"/>
  <c r="W301" i="258"/>
  <c r="AJ301" i="258"/>
  <c r="J302" i="258"/>
  <c r="T302" i="258" s="1"/>
  <c r="L302" i="258"/>
  <c r="Q302" i="258"/>
  <c r="V302" i="258"/>
  <c r="W302" i="258" s="1"/>
  <c r="AJ302" i="258"/>
  <c r="J303" i="258"/>
  <c r="Q303" i="258"/>
  <c r="T303" i="258"/>
  <c r="V303" i="258"/>
  <c r="W303" i="258" s="1"/>
  <c r="AJ303" i="258"/>
  <c r="J304" i="258"/>
  <c r="Q304" i="258"/>
  <c r="T304" i="258"/>
  <c r="V304" i="258"/>
  <c r="W304" i="258" s="1"/>
  <c r="J305" i="258"/>
  <c r="T305" i="258" s="1"/>
  <c r="Q305" i="258"/>
  <c r="V305" i="258"/>
  <c r="W305" i="258" s="1"/>
  <c r="AJ305" i="258"/>
  <c r="L306" i="258"/>
  <c r="Q306" i="258"/>
  <c r="R306" i="258"/>
  <c r="V306" i="258"/>
  <c r="W306" i="258" s="1"/>
  <c r="AJ306" i="258"/>
  <c r="L307" i="258"/>
  <c r="Q307" i="258"/>
  <c r="V307" i="258"/>
  <c r="W307" i="258" s="1"/>
  <c r="J308" i="258"/>
  <c r="T308" i="258" s="1"/>
  <c r="L308" i="258"/>
  <c r="Q308" i="258"/>
  <c r="V308" i="258"/>
  <c r="W308" i="258" s="1"/>
  <c r="AJ308" i="258"/>
  <c r="L309" i="258"/>
  <c r="Q309" i="258"/>
  <c r="V309" i="258"/>
  <c r="W309" i="258"/>
  <c r="AA309" i="258"/>
  <c r="AJ309" i="258"/>
  <c r="L310" i="258"/>
  <c r="Q310" i="258"/>
  <c r="T310" i="258"/>
  <c r="V310" i="258"/>
  <c r="X310" i="258"/>
  <c r="W310" i="258"/>
  <c r="J311" i="258"/>
  <c r="T311" i="258"/>
  <c r="Q311" i="258"/>
  <c r="V311" i="258"/>
  <c r="W311" i="258" s="1"/>
  <c r="AJ311" i="258"/>
  <c r="Q312" i="258"/>
  <c r="T312" i="258"/>
  <c r="V312" i="258"/>
  <c r="W312" i="258" s="1"/>
  <c r="Q313" i="258"/>
  <c r="T313" i="258"/>
  <c r="V313" i="258"/>
  <c r="W313" i="258" s="1"/>
  <c r="AJ313" i="258"/>
  <c r="L314" i="258"/>
  <c r="Q314" i="258"/>
  <c r="T314" i="258"/>
  <c r="V314" i="258"/>
  <c r="W314" i="258" s="1"/>
  <c r="AJ314" i="258"/>
  <c r="Q315" i="258"/>
  <c r="V315" i="258"/>
  <c r="W315" i="258" s="1"/>
  <c r="AJ315" i="258"/>
  <c r="Q316" i="258"/>
  <c r="V316" i="258"/>
  <c r="W316" i="258" s="1"/>
  <c r="AJ316" i="258"/>
  <c r="J317" i="258"/>
  <c r="T317" i="258" s="1"/>
  <c r="L317" i="258"/>
  <c r="Q317" i="258"/>
  <c r="V317" i="258"/>
  <c r="W317" i="258" s="1"/>
  <c r="AJ317" i="258"/>
  <c r="Q318" i="258"/>
  <c r="T318" i="258"/>
  <c r="V318" i="258"/>
  <c r="W318" i="258" s="1"/>
  <c r="AJ318" i="258"/>
  <c r="Q319" i="258"/>
  <c r="T319" i="258"/>
  <c r="V319" i="258"/>
  <c r="W319" i="258" s="1"/>
  <c r="AJ319" i="258"/>
  <c r="J320" i="258"/>
  <c r="Q320" i="258"/>
  <c r="T320" i="258"/>
  <c r="V320" i="258"/>
  <c r="W320" i="258" s="1"/>
  <c r="AJ320" i="258"/>
  <c r="J321" i="258"/>
  <c r="T321" i="258" s="1"/>
  <c r="Q321" i="258"/>
  <c r="V321" i="258"/>
  <c r="W321" i="258" s="1"/>
  <c r="AJ321" i="258"/>
  <c r="L322" i="258"/>
  <c r="Q322" i="258"/>
  <c r="R322" i="258"/>
  <c r="V322" i="258"/>
  <c r="X322" i="258"/>
  <c r="L323" i="258"/>
  <c r="Q323" i="258"/>
  <c r="V323" i="258"/>
  <c r="W323" i="258" s="1"/>
  <c r="AA323" i="258"/>
  <c r="AJ323" i="258"/>
  <c r="J324" i="258"/>
  <c r="Q324" i="258"/>
  <c r="T324" i="258"/>
  <c r="V324" i="258"/>
  <c r="W324" i="258" s="1"/>
  <c r="J325" i="258"/>
  <c r="T325" i="258" s="1"/>
  <c r="Q325" i="258"/>
  <c r="V325" i="258"/>
  <c r="W325" i="258" s="1"/>
  <c r="L326" i="258"/>
  <c r="Q326" i="258"/>
  <c r="T326" i="258"/>
  <c r="V326" i="258"/>
  <c r="W326" i="258"/>
  <c r="AJ326" i="258"/>
  <c r="Q327" i="258"/>
  <c r="T327" i="258"/>
  <c r="V327" i="258"/>
  <c r="W327" i="258" s="1"/>
  <c r="AJ327" i="258"/>
  <c r="J328" i="258"/>
  <c r="T328" i="258" s="1"/>
  <c r="L328" i="258"/>
  <c r="Q328" i="258"/>
  <c r="V328" i="258"/>
  <c r="W328" i="258" s="1"/>
  <c r="AA328" i="258"/>
  <c r="AJ328" i="258"/>
  <c r="L329" i="258"/>
  <c r="Q329" i="258"/>
  <c r="V329" i="258"/>
  <c r="W329" i="258" s="1"/>
  <c r="L330" i="258"/>
  <c r="Q330" i="258"/>
  <c r="T330" i="258"/>
  <c r="V330" i="258"/>
  <c r="X330" i="258"/>
  <c r="W330" i="258" s="1"/>
  <c r="L331" i="258"/>
  <c r="Q331" i="258"/>
  <c r="T331" i="258"/>
  <c r="V331" i="258"/>
  <c r="X331" i="258"/>
  <c r="L332" i="258"/>
  <c r="Q332" i="258"/>
  <c r="V332" i="258"/>
  <c r="W332" i="258" s="1"/>
  <c r="AJ332" i="258"/>
  <c r="Q333" i="258"/>
  <c r="T333" i="258"/>
  <c r="V333" i="258"/>
  <c r="X333" i="258"/>
  <c r="W333" i="258" s="1"/>
  <c r="Q334" i="258"/>
  <c r="T334" i="258"/>
  <c r="V334" i="258"/>
  <c r="W334" i="258" s="1"/>
  <c r="AJ334" i="258"/>
  <c r="L335" i="258"/>
  <c r="Q335" i="258"/>
  <c r="T335" i="258"/>
  <c r="V335" i="258"/>
  <c r="W335" i="258" s="1"/>
  <c r="AJ335" i="258"/>
  <c r="Q336" i="258"/>
  <c r="R336" i="258"/>
  <c r="T336" i="258"/>
  <c r="V336" i="258"/>
  <c r="X336" i="258"/>
  <c r="W336" i="258" s="1"/>
  <c r="R337" i="258"/>
  <c r="K337" i="258" s="1"/>
  <c r="L337" i="258" s="1"/>
  <c r="Q337" i="258"/>
  <c r="V337" i="258"/>
  <c r="W337" i="258"/>
  <c r="AJ337" i="258"/>
  <c r="J338" i="258"/>
  <c r="T338" i="258" s="1"/>
  <c r="Q338" i="258"/>
  <c r="V338" i="258"/>
  <c r="W338" i="258" s="1"/>
  <c r="L339" i="258"/>
  <c r="Q339" i="258"/>
  <c r="T339" i="258"/>
  <c r="V339" i="258"/>
  <c r="W339" i="258" s="1"/>
  <c r="AJ339" i="258"/>
  <c r="J340" i="258"/>
  <c r="L340" i="258"/>
  <c r="Q340" i="258"/>
  <c r="T340" i="258"/>
  <c r="V340" i="258"/>
  <c r="W340" i="258"/>
  <c r="AJ340" i="258"/>
  <c r="J341" i="258"/>
  <c r="T341" i="258" s="1"/>
  <c r="Q341" i="258"/>
  <c r="V341" i="258"/>
  <c r="W341" i="258" s="1"/>
  <c r="J342" i="258"/>
  <c r="Q342" i="258"/>
  <c r="T342" i="258"/>
  <c r="V342" i="258"/>
  <c r="W342" i="258" s="1"/>
  <c r="J343" i="258"/>
  <c r="T343" i="258" s="1"/>
  <c r="Q343" i="258"/>
  <c r="V343" i="258"/>
  <c r="X343" i="258"/>
  <c r="W343" i="258" s="1"/>
  <c r="Q344" i="258"/>
  <c r="V344" i="258"/>
  <c r="W344" i="258" s="1"/>
  <c r="AJ344" i="258"/>
  <c r="J345" i="258"/>
  <c r="Q345" i="258"/>
  <c r="T345" i="258"/>
  <c r="V345" i="258"/>
  <c r="W345" i="258" s="1"/>
  <c r="AJ345" i="258"/>
  <c r="Q346" i="258"/>
  <c r="T346" i="258"/>
  <c r="V346" i="258"/>
  <c r="W346" i="258" s="1"/>
  <c r="AJ346" i="258"/>
  <c r="Q347" i="258"/>
  <c r="T347" i="258"/>
  <c r="V347" i="258"/>
  <c r="W347" i="258" s="1"/>
  <c r="Q348" i="258"/>
  <c r="T348" i="258"/>
  <c r="V348" i="258"/>
  <c r="W348" i="258" s="1"/>
  <c r="J349" i="258"/>
  <c r="T349" i="258" s="1"/>
  <c r="Q349" i="258"/>
  <c r="V349" i="258"/>
  <c r="W349" i="258"/>
  <c r="AJ349" i="258"/>
  <c r="J350" i="258"/>
  <c r="Q350" i="258"/>
  <c r="T350" i="258"/>
  <c r="V350" i="258"/>
  <c r="W350" i="258"/>
  <c r="J351" i="258"/>
  <c r="Q351" i="258"/>
  <c r="T351" i="258"/>
  <c r="V351" i="258"/>
  <c r="W351" i="258" s="1"/>
  <c r="Q352" i="258"/>
  <c r="T352" i="258"/>
  <c r="V352" i="258"/>
  <c r="W352" i="258" s="1"/>
  <c r="J353" i="258"/>
  <c r="T353" i="258" s="1"/>
  <c r="Q353" i="258"/>
  <c r="V353" i="258"/>
  <c r="X353" i="258"/>
  <c r="W353" i="258" s="1"/>
  <c r="Q354" i="258"/>
  <c r="T354" i="258"/>
  <c r="V354" i="258"/>
  <c r="W354" i="258" s="1"/>
  <c r="AJ354" i="258"/>
  <c r="J355" i="258"/>
  <c r="Q355" i="258"/>
  <c r="T355" i="258"/>
  <c r="V355" i="258"/>
  <c r="W355" i="258" s="1"/>
  <c r="AJ355" i="258"/>
  <c r="Q356" i="258"/>
  <c r="T356" i="258"/>
  <c r="V356" i="258"/>
  <c r="W356" i="258" s="1"/>
  <c r="AJ356" i="258"/>
  <c r="J357" i="258"/>
  <c r="T357" i="258" s="1"/>
  <c r="L357" i="258"/>
  <c r="Q357" i="258"/>
  <c r="V357" i="258"/>
  <c r="W357" i="258" s="1"/>
  <c r="AJ357" i="258"/>
  <c r="Q358" i="258"/>
  <c r="T358" i="258"/>
  <c r="V358" i="258"/>
  <c r="W358" i="258" s="1"/>
  <c r="AJ358" i="258"/>
  <c r="J359" i="258"/>
  <c r="Q359" i="258"/>
  <c r="T359" i="258"/>
  <c r="V359" i="258"/>
  <c r="W359" i="258" s="1"/>
  <c r="AJ359" i="258"/>
  <c r="L360" i="258"/>
  <c r="Q360" i="258"/>
  <c r="T360" i="258"/>
  <c r="V360" i="258"/>
  <c r="W360" i="258" s="1"/>
  <c r="AJ360" i="258"/>
  <c r="Q361" i="258"/>
  <c r="T361" i="258"/>
  <c r="V361" i="258"/>
  <c r="W361" i="258" s="1"/>
  <c r="AJ361" i="258"/>
  <c r="L362" i="258"/>
  <c r="Q362" i="258"/>
  <c r="R362" i="258"/>
  <c r="T362" i="258"/>
  <c r="V362" i="258"/>
  <c r="W362" i="258"/>
  <c r="AJ362" i="258"/>
  <c r="L363" i="258"/>
  <c r="Q363" i="258"/>
  <c r="T363" i="258"/>
  <c r="V363" i="258"/>
  <c r="W363" i="258"/>
  <c r="AJ363" i="258"/>
  <c r="J364" i="258"/>
  <c r="T364" i="258" s="1"/>
  <c r="L364" i="258"/>
  <c r="Q364" i="258"/>
  <c r="V364" i="258"/>
  <c r="W364" i="258" s="1"/>
  <c r="AJ364" i="258"/>
  <c r="L365" i="258"/>
  <c r="Q365" i="258"/>
  <c r="T365" i="258"/>
  <c r="V365" i="258"/>
  <c r="W365" i="258" s="1"/>
  <c r="AJ365" i="258"/>
  <c r="Q366" i="258"/>
  <c r="T366" i="258"/>
  <c r="V366" i="258"/>
  <c r="W366" i="258" s="1"/>
  <c r="AJ366" i="258"/>
  <c r="J367" i="258"/>
  <c r="T367" i="258" s="1"/>
  <c r="Q367" i="258"/>
  <c r="V367" i="258"/>
  <c r="W367" i="258"/>
  <c r="AJ367" i="258"/>
  <c r="Q368" i="258"/>
  <c r="T368" i="258"/>
  <c r="V368" i="258"/>
  <c r="W368" i="258" s="1"/>
  <c r="Q369" i="258"/>
  <c r="T369" i="258"/>
  <c r="V369" i="258"/>
  <c r="Q370" i="258"/>
  <c r="T370" i="258"/>
  <c r="V370" i="258"/>
  <c r="W370" i="258" s="1"/>
  <c r="AJ370" i="258"/>
  <c r="J371" i="258"/>
  <c r="T371" i="258" s="1"/>
  <c r="Q371" i="258"/>
  <c r="V371" i="258"/>
  <c r="W371" i="258"/>
  <c r="J372" i="258"/>
  <c r="Q372" i="258"/>
  <c r="T372" i="258"/>
  <c r="V372" i="258"/>
  <c r="W372" i="258" s="1"/>
  <c r="J373" i="258"/>
  <c r="T373" i="258" s="1"/>
  <c r="Q373" i="258"/>
  <c r="V373" i="258"/>
  <c r="W373" i="258"/>
  <c r="AJ373" i="258"/>
  <c r="Q374" i="258"/>
  <c r="T374" i="258"/>
  <c r="Q375" i="258"/>
  <c r="T375" i="258"/>
  <c r="Q376" i="258"/>
  <c r="T376" i="258"/>
  <c r="L377" i="258"/>
  <c r="Q377" i="258"/>
  <c r="T377" i="258"/>
  <c r="V377" i="258"/>
  <c r="W377" i="258"/>
  <c r="X377" i="258"/>
  <c r="AJ377" i="258"/>
  <c r="L378" i="258"/>
  <c r="Q378" i="258"/>
  <c r="T378" i="258"/>
  <c r="V378" i="258"/>
  <c r="W378" i="258" s="1"/>
  <c r="AJ378" i="258"/>
  <c r="Q379" i="258"/>
  <c r="T379" i="258"/>
  <c r="V379" i="258"/>
  <c r="W379" i="258" s="1"/>
  <c r="L380" i="258"/>
  <c r="Q380" i="258"/>
  <c r="V380" i="258"/>
  <c r="W380" i="258" s="1"/>
  <c r="AJ380" i="258"/>
  <c r="L381" i="258"/>
  <c r="Q381" i="258"/>
  <c r="V381" i="258"/>
  <c r="W381" i="258" s="1"/>
  <c r="AJ381" i="258"/>
  <c r="Q382" i="258"/>
  <c r="R382" i="258"/>
  <c r="T382" i="258"/>
  <c r="V382" i="258"/>
  <c r="W382" i="258" s="1"/>
  <c r="L383" i="258"/>
  <c r="Q383" i="258"/>
  <c r="T383" i="258"/>
  <c r="V383" i="258"/>
  <c r="W383" i="258" s="1"/>
  <c r="AJ383" i="258"/>
  <c r="Q384" i="258"/>
  <c r="T384" i="258"/>
  <c r="V384" i="258"/>
  <c r="L385" i="258"/>
  <c r="Q385" i="258"/>
  <c r="R385" i="258"/>
  <c r="V385" i="258"/>
  <c r="W385" i="258" s="1"/>
  <c r="AJ385" i="258"/>
  <c r="Q386" i="258"/>
  <c r="R386" i="258"/>
  <c r="T386" i="258"/>
  <c r="V386" i="258"/>
  <c r="J387" i="258"/>
  <c r="T387" i="258"/>
  <c r="Q387" i="258"/>
  <c r="R387" i="258"/>
  <c r="V387" i="258"/>
  <c r="J388" i="258"/>
  <c r="T388" i="258" s="1"/>
  <c r="L388" i="258"/>
  <c r="Q388" i="258"/>
  <c r="V388" i="258"/>
  <c r="W388" i="258" s="1"/>
  <c r="AJ388" i="258"/>
  <c r="J389" i="258"/>
  <c r="T389" i="258"/>
  <c r="L389" i="258"/>
  <c r="Q389" i="258"/>
  <c r="V389" i="258"/>
  <c r="W389" i="258"/>
  <c r="J390" i="258"/>
  <c r="Q390" i="258"/>
  <c r="T390" i="258"/>
  <c r="V390" i="258"/>
  <c r="W390" i="258" s="1"/>
  <c r="J391" i="258"/>
  <c r="Q391" i="258"/>
  <c r="T391" i="258"/>
  <c r="V391" i="258"/>
  <c r="W391" i="258" s="1"/>
  <c r="J392" i="258"/>
  <c r="Q392" i="258"/>
  <c r="T392" i="258"/>
  <c r="V392" i="258"/>
  <c r="W392" i="258" s="1"/>
  <c r="Q393" i="258"/>
  <c r="R393" i="258"/>
  <c r="T393" i="258"/>
  <c r="V393" i="258"/>
  <c r="W393" i="258"/>
  <c r="L394" i="258"/>
  <c r="Q394" i="258"/>
  <c r="V394" i="258"/>
  <c r="W394" i="258"/>
  <c r="Q395" i="258"/>
  <c r="T395" i="258"/>
  <c r="V395" i="258"/>
  <c r="W395" i="258"/>
  <c r="L396" i="258"/>
  <c r="Q396" i="258"/>
  <c r="V396" i="258"/>
  <c r="X396" i="258"/>
  <c r="W396" i="258" s="1"/>
  <c r="L397" i="258"/>
  <c r="Q397" i="258"/>
  <c r="T397" i="258"/>
  <c r="V397" i="258"/>
  <c r="X397" i="258"/>
  <c r="W397" i="258" s="1"/>
  <c r="T398" i="258"/>
  <c r="V398" i="258"/>
  <c r="L399" i="258"/>
  <c r="Q399" i="258"/>
  <c r="V399" i="258"/>
  <c r="X399" i="258"/>
  <c r="W399" i="258" s="1"/>
  <c r="Q400" i="258"/>
  <c r="T400" i="258"/>
  <c r="V400" i="258"/>
  <c r="X400" i="258"/>
  <c r="W400" i="258" s="1"/>
  <c r="J401" i="258"/>
  <c r="T401" i="258" s="1"/>
  <c r="Q401" i="258"/>
  <c r="V401" i="258"/>
  <c r="W401" i="258"/>
  <c r="J402" i="258"/>
  <c r="Q402" i="258"/>
  <c r="T402" i="258"/>
  <c r="V402" i="258"/>
  <c r="W402" i="258" s="1"/>
  <c r="L403" i="258"/>
  <c r="Q403" i="258"/>
  <c r="R403" i="258"/>
  <c r="V403" i="258"/>
  <c r="W403" i="258" s="1"/>
  <c r="AJ403" i="258"/>
  <c r="Q404" i="258"/>
  <c r="T404" i="258"/>
  <c r="V404" i="258"/>
  <c r="W404" i="258" s="1"/>
  <c r="AJ404" i="258"/>
  <c r="J405" i="258"/>
  <c r="T405" i="258"/>
  <c r="V405" i="258"/>
  <c r="Q406" i="258"/>
  <c r="T406" i="258"/>
  <c r="V406" i="258"/>
  <c r="X406" i="258"/>
  <c r="W406" i="258"/>
  <c r="Q407" i="258"/>
  <c r="T407" i="258"/>
  <c r="V407" i="258"/>
  <c r="W407" i="258"/>
  <c r="AJ407" i="258"/>
  <c r="J408" i="258"/>
  <c r="T408" i="258" s="1"/>
  <c r="L408" i="258"/>
  <c r="Q408" i="258"/>
  <c r="V408" i="258"/>
  <c r="X408" i="258"/>
  <c r="W408" i="258" s="1"/>
  <c r="J409" i="258"/>
  <c r="Q409" i="258"/>
  <c r="T409" i="258"/>
  <c r="V409" i="258"/>
  <c r="W409" i="258" s="1"/>
  <c r="J410" i="258"/>
  <c r="Q410" i="258"/>
  <c r="T410" i="258"/>
  <c r="V410" i="258"/>
  <c r="W410" i="258" s="1"/>
  <c r="J411" i="258"/>
  <c r="Q411" i="258"/>
  <c r="T411" i="258"/>
  <c r="V411" i="258"/>
  <c r="W411" i="258"/>
  <c r="J412" i="258"/>
  <c r="T412" i="258"/>
  <c r="Q412" i="258"/>
  <c r="V412" i="258"/>
  <c r="W412" i="258" s="1"/>
  <c r="L413" i="258"/>
  <c r="Q413" i="258"/>
  <c r="T413" i="258"/>
  <c r="V413" i="258"/>
  <c r="X413" i="258"/>
  <c r="L414" i="258"/>
  <c r="Q414" i="258"/>
  <c r="T414" i="258"/>
  <c r="V414" i="258"/>
  <c r="W414" i="258"/>
  <c r="X414" i="258"/>
  <c r="AJ414" i="258"/>
  <c r="Q415" i="258"/>
  <c r="T415" i="258"/>
  <c r="V415" i="258"/>
  <c r="W415" i="258"/>
  <c r="AJ415" i="258"/>
  <c r="Q416" i="258"/>
  <c r="T416" i="258"/>
  <c r="V416" i="258"/>
  <c r="W416" i="258" s="1"/>
  <c r="AJ416" i="258"/>
  <c r="Q417" i="258"/>
  <c r="T417" i="258"/>
  <c r="V417" i="258"/>
  <c r="W417" i="258" s="1"/>
  <c r="AJ417" i="258"/>
  <c r="Q418" i="258"/>
  <c r="T418" i="258"/>
  <c r="V418" i="258"/>
  <c r="W418" i="258" s="1"/>
  <c r="AJ418" i="258"/>
  <c r="L419" i="258"/>
  <c r="Q419" i="258"/>
  <c r="T419" i="258"/>
  <c r="V419" i="258"/>
  <c r="W419" i="258" s="1"/>
  <c r="AJ419" i="258"/>
  <c r="L420" i="258"/>
  <c r="Q420" i="258"/>
  <c r="V420" i="258"/>
  <c r="W420" i="258" s="1"/>
  <c r="R421" i="258"/>
  <c r="K421" i="258" s="1"/>
  <c r="L421" i="258" s="1"/>
  <c r="Q421" i="258"/>
  <c r="V421" i="258"/>
  <c r="W421" i="258"/>
  <c r="J422" i="258"/>
  <c r="Q422" i="258"/>
  <c r="J423" i="258"/>
  <c r="Q423" i="258"/>
  <c r="J424" i="258"/>
  <c r="Q424" i="258"/>
  <c r="L425" i="258"/>
  <c r="Q425" i="258"/>
  <c r="V425" i="258"/>
  <c r="W425" i="258"/>
  <c r="L426" i="258"/>
  <c r="Q426" i="258"/>
  <c r="V426" i="258"/>
  <c r="W426" i="258"/>
  <c r="L427" i="258"/>
  <c r="Q427" i="258"/>
  <c r="T427" i="258"/>
  <c r="V427" i="258"/>
  <c r="W427" i="258" s="1"/>
  <c r="AD427" i="258"/>
  <c r="Q428" i="258"/>
  <c r="V428" i="258"/>
  <c r="L429" i="258"/>
  <c r="Q429" i="258"/>
  <c r="T429" i="258"/>
  <c r="V429" i="258"/>
  <c r="W429" i="258" s="1"/>
  <c r="AD429" i="258"/>
  <c r="L430" i="258"/>
  <c r="Q430" i="258"/>
  <c r="T430" i="258"/>
  <c r="V430" i="258"/>
  <c r="W430" i="258" s="1"/>
  <c r="AD430" i="258"/>
  <c r="L431" i="258"/>
  <c r="Q431" i="258"/>
  <c r="T431" i="258"/>
  <c r="V431" i="258"/>
  <c r="W431" i="258" s="1"/>
  <c r="L432" i="258"/>
  <c r="Q432" i="258"/>
  <c r="T432" i="258"/>
  <c r="V432" i="258"/>
  <c r="W432" i="258"/>
  <c r="H433" i="258"/>
  <c r="I433" i="258"/>
  <c r="O433" i="258"/>
  <c r="U433" i="258"/>
  <c r="AJ413" i="258"/>
  <c r="AJ406" i="258"/>
  <c r="AJ396" i="258"/>
  <c r="AJ310" i="258"/>
  <c r="AJ261" i="258"/>
  <c r="AJ235" i="258"/>
  <c r="AJ233" i="258"/>
  <c r="AJ229" i="258"/>
  <c r="AJ228" i="258"/>
  <c r="AJ216" i="258"/>
  <c r="AJ213" i="258"/>
  <c r="AJ212" i="258"/>
  <c r="AJ204" i="258"/>
  <c r="AJ203" i="258"/>
  <c r="AJ196" i="258"/>
  <c r="AJ192" i="258"/>
  <c r="T160" i="258"/>
  <c r="T159" i="258"/>
  <c r="T158" i="258"/>
  <c r="T157" i="258"/>
  <c r="T156" i="258"/>
  <c r="T155" i="258"/>
  <c r="T154" i="258"/>
  <c r="T153" i="258"/>
  <c r="T152" i="258"/>
  <c r="T151" i="258"/>
  <c r="T150" i="258"/>
  <c r="T149" i="258"/>
  <c r="T148" i="258"/>
  <c r="T88" i="258"/>
  <c r="AH85" i="258"/>
  <c r="V85" i="258"/>
  <c r="W85" i="258" s="1"/>
  <c r="R79" i="258"/>
  <c r="R72" i="258"/>
  <c r="T71" i="258"/>
  <c r="T54" i="258"/>
  <c r="T53" i="258"/>
  <c r="R52" i="258"/>
  <c r="T51" i="258"/>
  <c r="T45" i="258"/>
  <c r="T35" i="258"/>
  <c r="T33" i="258"/>
  <c r="T32" i="258"/>
  <c r="T30" i="258"/>
  <c r="T29" i="258"/>
  <c r="T24" i="258"/>
  <c r="T23" i="258"/>
  <c r="T13" i="258"/>
  <c r="T12" i="258"/>
  <c r="T7" i="258"/>
  <c r="J20" i="258"/>
  <c r="T20" i="258" s="1"/>
  <c r="J85" i="258"/>
  <c r="T85" i="258" s="1"/>
  <c r="J190" i="258"/>
  <c r="T190" i="258" s="1"/>
  <c r="J196" i="258"/>
  <c r="T196" i="258" s="1"/>
  <c r="J203" i="258"/>
  <c r="T203" i="258" s="1"/>
  <c r="AJ397" i="260"/>
  <c r="AJ396" i="260"/>
  <c r="AJ377" i="260"/>
  <c r="AJ343" i="260"/>
  <c r="AJ333" i="260"/>
  <c r="AJ331" i="260"/>
  <c r="AJ330" i="260"/>
  <c r="AJ322" i="260"/>
  <c r="AJ310" i="260"/>
  <c r="AJ300" i="260"/>
  <c r="AD298" i="260"/>
  <c r="AJ298" i="260" s="1"/>
  <c r="AJ288" i="260"/>
  <c r="AJ262" i="260"/>
  <c r="AJ258" i="260"/>
  <c r="AJ251" i="260"/>
  <c r="AJ249" i="260"/>
  <c r="AJ243" i="260"/>
  <c r="AJ235" i="260"/>
  <c r="AJ233" i="260"/>
  <c r="AJ232" i="260"/>
  <c r="AJ220" i="260"/>
  <c r="AJ219" i="260"/>
  <c r="AJ204" i="260"/>
  <c r="AJ203" i="260"/>
  <c r="P203" i="260"/>
  <c r="J203" i="260"/>
  <c r="T203" i="260"/>
  <c r="AJ202" i="260"/>
  <c r="AJ201" i="260"/>
  <c r="AJ197" i="260"/>
  <c r="W196" i="260"/>
  <c r="AJ196" i="260"/>
  <c r="W195" i="260"/>
  <c r="AJ195" i="260"/>
  <c r="W193" i="260"/>
  <c r="AJ193" i="260"/>
  <c r="W175" i="260"/>
  <c r="P175" i="260"/>
  <c r="L175" i="260"/>
  <c r="W144" i="260"/>
  <c r="P141" i="260"/>
  <c r="L141" i="260"/>
  <c r="P92" i="260"/>
  <c r="L92" i="260"/>
  <c r="L77" i="260"/>
  <c r="P77" i="260"/>
  <c r="P71" i="260"/>
  <c r="L71" i="260"/>
  <c r="P15" i="260"/>
  <c r="L15" i="260"/>
  <c r="T7" i="260"/>
  <c r="L7" i="260"/>
  <c r="T8" i="258"/>
  <c r="T70" i="258"/>
  <c r="T77" i="258"/>
  <c r="T92" i="258"/>
  <c r="T114" i="258"/>
  <c r="T115" i="258"/>
  <c r="T141" i="258"/>
  <c r="T175" i="258"/>
  <c r="T176" i="258"/>
  <c r="R161" i="260"/>
  <c r="K161" i="260" s="1"/>
  <c r="T161" i="260"/>
  <c r="P70" i="260"/>
  <c r="L70" i="260"/>
  <c r="L54" i="260"/>
  <c r="P54" i="260"/>
  <c r="P35" i="260"/>
  <c r="L35" i="260"/>
  <c r="P24" i="260"/>
  <c r="L24" i="260"/>
  <c r="L16" i="260"/>
  <c r="P16" i="260"/>
  <c r="P14" i="260"/>
  <c r="L14" i="260"/>
  <c r="P12" i="260"/>
  <c r="L12" i="260"/>
  <c r="P79" i="260"/>
  <c r="AM79" i="260"/>
  <c r="L79" i="260"/>
  <c r="P232" i="258"/>
  <c r="P201" i="258"/>
  <c r="P192" i="258"/>
  <c r="P125" i="258"/>
  <c r="P85" i="258"/>
  <c r="P83" i="258"/>
  <c r="R88" i="260"/>
  <c r="R72" i="260"/>
  <c r="R55" i="260"/>
  <c r="R52" i="260"/>
  <c r="R17" i="260"/>
  <c r="R11" i="260"/>
  <c r="T160" i="260"/>
  <c r="T159" i="260"/>
  <c r="T158" i="260"/>
  <c r="T157" i="260"/>
  <c r="T156" i="260"/>
  <c r="T155" i="260"/>
  <c r="T154" i="260"/>
  <c r="T153" i="260"/>
  <c r="T152" i="260"/>
  <c r="T151" i="260"/>
  <c r="T150" i="260"/>
  <c r="T149" i="260"/>
  <c r="T148" i="260"/>
  <c r="T96" i="260"/>
  <c r="T71" i="260"/>
  <c r="T54" i="260"/>
  <c r="T53" i="260"/>
  <c r="T51" i="260"/>
  <c r="T45" i="260"/>
  <c r="T35" i="260"/>
  <c r="T33" i="260"/>
  <c r="T32" i="260"/>
  <c r="T30" i="260"/>
  <c r="T29" i="260"/>
  <c r="T24" i="260"/>
  <c r="T19" i="260"/>
  <c r="T16" i="260"/>
  <c r="T15" i="260"/>
  <c r="T14" i="260"/>
  <c r="T12" i="260"/>
  <c r="T176" i="260"/>
  <c r="T175" i="260"/>
  <c r="T141" i="260"/>
  <c r="T115" i="260"/>
  <c r="T114" i="260"/>
  <c r="T93" i="260"/>
  <c r="T92" i="260"/>
  <c r="T79" i="260"/>
  <c r="T77" i="260"/>
  <c r="T70" i="260"/>
  <c r="T8" i="260"/>
  <c r="P6" i="260"/>
  <c r="P232" i="260"/>
  <c r="P192" i="260"/>
  <c r="P125" i="260"/>
  <c r="P43" i="260"/>
  <c r="P7" i="260"/>
  <c r="P233" i="260"/>
  <c r="AM233" i="260"/>
  <c r="P201" i="260"/>
  <c r="AM201" i="260"/>
  <c r="L438" i="261"/>
  <c r="P437" i="261"/>
  <c r="P427" i="261"/>
  <c r="P406" i="261"/>
  <c r="L406" i="261"/>
  <c r="P403" i="261"/>
  <c r="L403" i="261"/>
  <c r="P394" i="261"/>
  <c r="L394" i="261"/>
  <c r="P366" i="261"/>
  <c r="L366" i="261"/>
  <c r="P334" i="261"/>
  <c r="L334" i="261"/>
  <c r="P332" i="261"/>
  <c r="L332" i="261"/>
  <c r="P306" i="261"/>
  <c r="L306" i="261"/>
  <c r="P286" i="261"/>
  <c r="L286" i="261"/>
  <c r="P276" i="261"/>
  <c r="L276" i="261"/>
  <c r="P273" i="261"/>
  <c r="L273" i="261"/>
  <c r="P257" i="261"/>
  <c r="L257" i="261"/>
  <c r="P249" i="261"/>
  <c r="L249" i="261"/>
  <c r="P242" i="261"/>
  <c r="L242" i="261"/>
  <c r="P235" i="261"/>
  <c r="L235" i="261"/>
  <c r="P216" i="261"/>
  <c r="L216" i="261"/>
  <c r="P213" i="261"/>
  <c r="L213" i="261"/>
  <c r="P211" i="261"/>
  <c r="L211" i="261"/>
  <c r="P210" i="261"/>
  <c r="L210" i="261"/>
  <c r="J246" i="260"/>
  <c r="T246" i="260" s="1"/>
  <c r="J196" i="260"/>
  <c r="T196" i="260" s="1"/>
  <c r="J20" i="260"/>
  <c r="T20" i="260" s="1"/>
  <c r="P190" i="260"/>
  <c r="P83" i="260"/>
  <c r="AM83" i="260" s="1"/>
  <c r="P436" i="261"/>
  <c r="P434" i="261"/>
  <c r="P389" i="261"/>
  <c r="L389" i="261"/>
  <c r="P386" i="261"/>
  <c r="L386" i="261"/>
  <c r="P383" i="261"/>
  <c r="L383" i="261"/>
  <c r="P369" i="261"/>
  <c r="L369" i="261"/>
  <c r="P346" i="261"/>
  <c r="L346" i="261"/>
  <c r="P337" i="261"/>
  <c r="L337" i="261"/>
  <c r="P320" i="261"/>
  <c r="L320" i="261"/>
  <c r="P308" i="261"/>
  <c r="L308" i="261"/>
  <c r="P299" i="261"/>
  <c r="L299" i="261"/>
  <c r="P269" i="261"/>
  <c r="L269" i="261"/>
  <c r="P266" i="261"/>
  <c r="L266" i="261"/>
  <c r="P258" i="261"/>
  <c r="L258" i="261"/>
  <c r="P256" i="261"/>
  <c r="L256" i="261"/>
  <c r="P247" i="261"/>
  <c r="L247" i="261"/>
  <c r="P246" i="261"/>
  <c r="L246" i="261"/>
  <c r="P223" i="261"/>
  <c r="L223" i="261"/>
  <c r="P215" i="261"/>
  <c r="L215" i="261"/>
  <c r="P214" i="261"/>
  <c r="L214" i="261"/>
  <c r="P212" i="261"/>
  <c r="L212" i="261"/>
  <c r="P208" i="261"/>
  <c r="L208" i="261"/>
  <c r="P205" i="261"/>
  <c r="L205" i="261"/>
  <c r="R158" i="261"/>
  <c r="K158" i="261" s="1"/>
  <c r="P158" i="261" s="1"/>
  <c r="T158" i="261"/>
  <c r="R154" i="261"/>
  <c r="K154" i="261"/>
  <c r="P154" i="261" s="1"/>
  <c r="T154" i="261"/>
  <c r="R150" i="261"/>
  <c r="K150" i="261" s="1"/>
  <c r="P150" i="261" s="1"/>
  <c r="T150" i="261"/>
  <c r="L146" i="261"/>
  <c r="P146" i="261"/>
  <c r="P135" i="261"/>
  <c r="L135" i="261"/>
  <c r="P134" i="261"/>
  <c r="L134" i="261"/>
  <c r="P131" i="261"/>
  <c r="L131" i="261"/>
  <c r="P125" i="261"/>
  <c r="L125" i="261"/>
  <c r="P113" i="261"/>
  <c r="L113" i="261"/>
  <c r="P110" i="261"/>
  <c r="L110" i="261"/>
  <c r="L105" i="261"/>
  <c r="P105" i="261"/>
  <c r="L102" i="261"/>
  <c r="P102" i="261"/>
  <c r="P84" i="261"/>
  <c r="L84" i="261"/>
  <c r="P54" i="261"/>
  <c r="L54" i="261"/>
  <c r="P43" i="261"/>
  <c r="L43" i="261"/>
  <c r="X440" i="261"/>
  <c r="L204" i="261"/>
  <c r="L200" i="261"/>
  <c r="L189" i="261"/>
  <c r="P184" i="261"/>
  <c r="P182" i="261"/>
  <c r="P179" i="261"/>
  <c r="L177" i="261"/>
  <c r="L176" i="261"/>
  <c r="L174" i="261"/>
  <c r="L172" i="261"/>
  <c r="L170" i="261"/>
  <c r="L168" i="261"/>
  <c r="L165" i="261"/>
  <c r="L164" i="261"/>
  <c r="P163" i="261"/>
  <c r="L162" i="261"/>
  <c r="P161" i="261"/>
  <c r="R156" i="261"/>
  <c r="K156" i="261" s="1"/>
  <c r="P156" i="261" s="1"/>
  <c r="T156" i="261"/>
  <c r="R152" i="261"/>
  <c r="K152" i="261"/>
  <c r="P152" i="261" s="1"/>
  <c r="T152" i="261"/>
  <c r="R148" i="261"/>
  <c r="K148" i="261" s="1"/>
  <c r="P148" i="261" s="1"/>
  <c r="T148" i="261"/>
  <c r="L141" i="261"/>
  <c r="P141" i="261"/>
  <c r="L138" i="261"/>
  <c r="P138" i="261"/>
  <c r="L128" i="261"/>
  <c r="P128" i="261"/>
  <c r="P123" i="261"/>
  <c r="L123" i="261"/>
  <c r="P112" i="261"/>
  <c r="L112" i="261"/>
  <c r="P104" i="261"/>
  <c r="L104" i="261"/>
  <c r="P101" i="261"/>
  <c r="L101" i="261"/>
  <c r="L100" i="261"/>
  <c r="P100" i="261"/>
  <c r="P92" i="261"/>
  <c r="L92" i="261"/>
  <c r="P71" i="261"/>
  <c r="L71" i="261"/>
  <c r="P57" i="261"/>
  <c r="L57" i="261"/>
  <c r="L40" i="261"/>
  <c r="P40" i="261"/>
  <c r="P38" i="261"/>
  <c r="L38" i="261"/>
  <c r="P35" i="261"/>
  <c r="L35" i="261"/>
  <c r="R115" i="261"/>
  <c r="K115" i="261"/>
  <c r="P115" i="261" s="1"/>
  <c r="T96" i="261"/>
  <c r="T93" i="261"/>
  <c r="R79" i="261"/>
  <c r="K79" i="261" s="1"/>
  <c r="R70" i="261"/>
  <c r="K70" i="261" s="1"/>
  <c r="T45" i="261"/>
  <c r="T33" i="261"/>
  <c r="T29" i="261"/>
  <c r="L27" i="261"/>
  <c r="L26" i="261"/>
  <c r="P15" i="261"/>
  <c r="T11" i="261"/>
  <c r="T6" i="261"/>
  <c r="P6" i="261"/>
  <c r="P218" i="261"/>
  <c r="L218" i="261"/>
  <c r="P222" i="261"/>
  <c r="L222" i="261"/>
  <c r="R19" i="261"/>
  <c r="K19" i="261" s="1"/>
  <c r="P19" i="261" s="1"/>
  <c r="T19" i="261"/>
  <c r="W10" i="261"/>
  <c r="P220" i="261"/>
  <c r="L220" i="261"/>
  <c r="R217" i="261"/>
  <c r="K217" i="261"/>
  <c r="L217" i="261" s="1"/>
  <c r="R219" i="261"/>
  <c r="K219" i="261"/>
  <c r="L219" i="261" s="1"/>
  <c r="R221" i="261"/>
  <c r="K221" i="261"/>
  <c r="L221" i="261" s="1"/>
  <c r="Q93" i="262"/>
  <c r="K93" i="262"/>
  <c r="O93" i="262" s="1"/>
  <c r="S93" i="262"/>
  <c r="S222" i="262"/>
  <c r="S221" i="262"/>
  <c r="S220" i="262"/>
  <c r="S219" i="262"/>
  <c r="S218" i="262"/>
  <c r="S217" i="262"/>
  <c r="Q176" i="262"/>
  <c r="K176" i="262" s="1"/>
  <c r="O176" i="262" s="1"/>
  <c r="Q175" i="262"/>
  <c r="K175" i="262" s="1"/>
  <c r="O175" i="262" s="1"/>
  <c r="S158" i="262"/>
  <c r="S156" i="262"/>
  <c r="S154" i="262"/>
  <c r="S152" i="262"/>
  <c r="S150" i="262"/>
  <c r="S148" i="262"/>
  <c r="S141" i="262"/>
  <c r="Q115" i="262"/>
  <c r="K115" i="262" s="1"/>
  <c r="O115" i="262" s="1"/>
  <c r="Q114" i="262"/>
  <c r="K114" i="262"/>
  <c r="O114" i="262" s="1"/>
  <c r="S88" i="262"/>
  <c r="S8" i="262"/>
  <c r="Q430" i="262"/>
  <c r="K430" i="262" s="1"/>
  <c r="O430" i="262" s="1"/>
  <c r="S430" i="262"/>
  <c r="S17" i="262"/>
  <c r="S70" i="262"/>
  <c r="S92" i="262"/>
  <c r="S77" i="262"/>
  <c r="Q52" i="262"/>
  <c r="Q50" i="262"/>
  <c r="S45" i="262"/>
  <c r="S32" i="262"/>
  <c r="S30" i="262"/>
  <c r="O20" i="262"/>
  <c r="S19" i="262"/>
  <c r="S16" i="262"/>
  <c r="S14" i="262"/>
  <c r="S79" i="262"/>
  <c r="P221" i="261"/>
  <c r="W413" i="258" l="1"/>
  <c r="AJ399" i="258"/>
  <c r="AJ397" i="258"/>
  <c r="AJ343" i="258"/>
  <c r="AJ336" i="258"/>
  <c r="AJ333" i="258"/>
  <c r="W331" i="258"/>
  <c r="W322" i="258"/>
  <c r="W268" i="258"/>
  <c r="AJ258" i="258"/>
  <c r="AJ251" i="258"/>
  <c r="AJ249" i="258"/>
  <c r="W234" i="258"/>
  <c r="P217" i="261"/>
  <c r="P219" i="261"/>
  <c r="W11" i="258"/>
  <c r="R11" i="258"/>
  <c r="T11" i="258"/>
  <c r="W137" i="260"/>
  <c r="W115" i="260"/>
  <c r="W70" i="260"/>
  <c r="P20" i="260"/>
  <c r="O433" i="260"/>
  <c r="W9" i="260"/>
  <c r="W7" i="260"/>
  <c r="X433" i="260"/>
  <c r="P127" i="258"/>
  <c r="L127" i="258"/>
  <c r="P106" i="258"/>
  <c r="L106" i="258"/>
  <c r="P103" i="258"/>
  <c r="L103" i="258"/>
  <c r="P69" i="258"/>
  <c r="L69" i="258"/>
  <c r="P429" i="260"/>
  <c r="L429" i="260"/>
  <c r="P414" i="260"/>
  <c r="L414" i="260"/>
  <c r="P378" i="260"/>
  <c r="L378" i="260"/>
  <c r="P377" i="260"/>
  <c r="L377" i="260"/>
  <c r="P335" i="260"/>
  <c r="L335" i="260"/>
  <c r="P326" i="260"/>
  <c r="L326" i="260"/>
  <c r="P308" i="260"/>
  <c r="L308" i="260"/>
  <c r="P302" i="260"/>
  <c r="L302" i="260"/>
  <c r="P280" i="260"/>
  <c r="L280" i="260"/>
  <c r="P266" i="260"/>
  <c r="L266" i="260"/>
  <c r="P251" i="260"/>
  <c r="L251" i="260"/>
  <c r="P236" i="260"/>
  <c r="L236" i="260"/>
  <c r="P231" i="260"/>
  <c r="L231" i="260"/>
  <c r="P220" i="260"/>
  <c r="L220" i="260"/>
  <c r="P189" i="260"/>
  <c r="L189" i="260"/>
  <c r="P177" i="260"/>
  <c r="L177" i="260"/>
  <c r="P169" i="260"/>
  <c r="L169" i="260"/>
  <c r="P112" i="260"/>
  <c r="L112" i="260"/>
  <c r="P26" i="260"/>
  <c r="L26" i="260"/>
  <c r="P396" i="260"/>
  <c r="L396" i="260"/>
  <c r="P381" i="260"/>
  <c r="L381" i="260"/>
  <c r="P380" i="260"/>
  <c r="L380" i="260"/>
  <c r="P241" i="260"/>
  <c r="L241" i="260"/>
  <c r="P197" i="260"/>
  <c r="L197" i="260"/>
  <c r="P420" i="260"/>
  <c r="L420" i="260"/>
  <c r="P222" i="260"/>
  <c r="L222" i="260"/>
  <c r="P120" i="260"/>
  <c r="L120" i="260"/>
  <c r="L421" i="261"/>
  <c r="P421" i="261"/>
  <c r="L415" i="261"/>
  <c r="P415" i="261"/>
  <c r="L336" i="261"/>
  <c r="P336" i="261"/>
  <c r="L316" i="261"/>
  <c r="P316" i="261"/>
  <c r="L314" i="261"/>
  <c r="P314" i="261"/>
  <c r="L294" i="261"/>
  <c r="P294" i="261"/>
  <c r="L277" i="261"/>
  <c r="P277" i="261"/>
  <c r="L272" i="261"/>
  <c r="P272" i="261"/>
  <c r="L245" i="261"/>
  <c r="P245" i="261"/>
  <c r="L226" i="261"/>
  <c r="P226" i="261"/>
  <c r="L224" i="261"/>
  <c r="P224" i="261"/>
  <c r="L209" i="261"/>
  <c r="P209" i="261"/>
  <c r="L206" i="261"/>
  <c r="P206" i="261"/>
  <c r="P190" i="261"/>
  <c r="L190" i="261"/>
  <c r="P175" i="261"/>
  <c r="L175" i="261"/>
  <c r="L142" i="261"/>
  <c r="P142" i="261"/>
  <c r="L139" i="261"/>
  <c r="P139" i="261"/>
  <c r="L129" i="261"/>
  <c r="P129" i="261"/>
  <c r="P67" i="261"/>
  <c r="L67" i="261"/>
  <c r="J252" i="261"/>
  <c r="T252" i="261" s="1"/>
  <c r="P252" i="261"/>
  <c r="J90" i="261"/>
  <c r="T90" i="261" s="1"/>
  <c r="O440" i="261"/>
  <c r="T391" i="261"/>
  <c r="L91" i="261"/>
  <c r="T437" i="261"/>
  <c r="L133" i="261"/>
  <c r="W213" i="258"/>
  <c r="W145" i="258"/>
  <c r="J91" i="258"/>
  <c r="T91" i="258" s="1"/>
  <c r="AH91" i="258"/>
  <c r="AH433" i="258" s="1"/>
  <c r="R15" i="258"/>
  <c r="K15" i="258" s="1"/>
  <c r="T15" i="258"/>
  <c r="W120" i="258"/>
  <c r="T10" i="258"/>
  <c r="L10" i="258"/>
  <c r="T385" i="258"/>
  <c r="L91" i="258"/>
  <c r="W21" i="258"/>
  <c r="W70" i="258"/>
  <c r="W261" i="260"/>
  <c r="AJ261" i="260"/>
  <c r="W229" i="260"/>
  <c r="AJ229" i="260"/>
  <c r="W228" i="260"/>
  <c r="AJ228" i="260"/>
  <c r="J91" i="260"/>
  <c r="T91" i="260" s="1"/>
  <c r="T433" i="260" s="1"/>
  <c r="T435" i="260" s="1"/>
  <c r="AH91" i="260"/>
  <c r="AH433" i="260" s="1"/>
  <c r="J131" i="260"/>
  <c r="T131" i="260" s="1"/>
  <c r="V131" i="260"/>
  <c r="W131" i="260" s="1"/>
  <c r="P131" i="258"/>
  <c r="L131" i="258"/>
  <c r="P129" i="258"/>
  <c r="L129" i="258"/>
  <c r="P128" i="258"/>
  <c r="L128" i="258"/>
  <c r="P112" i="258"/>
  <c r="L112" i="258"/>
  <c r="P78" i="258"/>
  <c r="L78" i="258"/>
  <c r="P40" i="258"/>
  <c r="L40" i="258"/>
  <c r="P22" i="258"/>
  <c r="L22" i="258"/>
  <c r="P100" i="258"/>
  <c r="L100" i="258"/>
  <c r="P419" i="260"/>
  <c r="L419" i="260"/>
  <c r="P413" i="260"/>
  <c r="L413" i="260"/>
  <c r="P389" i="260"/>
  <c r="L389" i="260"/>
  <c r="P360" i="260"/>
  <c r="L360" i="260"/>
  <c r="P357" i="260"/>
  <c r="L357" i="260"/>
  <c r="P340" i="260"/>
  <c r="L340" i="260"/>
  <c r="P298" i="260"/>
  <c r="L298" i="260"/>
  <c r="P267" i="260"/>
  <c r="L267" i="260"/>
  <c r="P221" i="260"/>
  <c r="L221" i="260"/>
  <c r="P210" i="260"/>
  <c r="L210" i="260"/>
  <c r="P200" i="260"/>
  <c r="L200" i="260"/>
  <c r="P195" i="260"/>
  <c r="L195" i="260"/>
  <c r="P183" i="260"/>
  <c r="L183" i="260"/>
  <c r="P173" i="260"/>
  <c r="L173" i="260"/>
  <c r="P139" i="260"/>
  <c r="L139" i="260"/>
  <c r="P128" i="260"/>
  <c r="L128" i="260"/>
  <c r="P103" i="260"/>
  <c r="L103" i="260"/>
  <c r="P84" i="260"/>
  <c r="L84" i="260"/>
  <c r="P78" i="260"/>
  <c r="L78" i="260"/>
  <c r="P18" i="260"/>
  <c r="L18" i="260"/>
  <c r="P425" i="260"/>
  <c r="L425" i="260"/>
  <c r="P399" i="260"/>
  <c r="L399" i="260"/>
  <c r="P323" i="260"/>
  <c r="L323" i="260"/>
  <c r="P204" i="260"/>
  <c r="L204" i="260"/>
  <c r="P142" i="260"/>
  <c r="L142" i="260"/>
  <c r="L125" i="260"/>
  <c r="P100" i="260"/>
  <c r="L100" i="260"/>
  <c r="P44" i="260"/>
  <c r="L44" i="260"/>
  <c r="P427" i="260"/>
  <c r="L427" i="260"/>
  <c r="P131" i="260"/>
  <c r="L131" i="260"/>
  <c r="P85" i="260"/>
  <c r="L85" i="260"/>
  <c r="P57" i="260"/>
  <c r="L57" i="260"/>
  <c r="P34" i="260"/>
  <c r="L34" i="260"/>
  <c r="P211" i="260"/>
  <c r="AM211" i="260" s="1"/>
  <c r="L211" i="260"/>
  <c r="P10" i="260"/>
  <c r="AM10" i="260" s="1"/>
  <c r="AM433" i="260" s="1"/>
  <c r="AM435" i="260" s="1"/>
  <c r="L10" i="260"/>
  <c r="P439" i="261"/>
  <c r="L439" i="261"/>
  <c r="L420" i="261"/>
  <c r="P420" i="261"/>
  <c r="P395" i="261"/>
  <c r="P387" i="261"/>
  <c r="P384" i="261"/>
  <c r="L370" i="261"/>
  <c r="P370" i="261"/>
  <c r="L341" i="261"/>
  <c r="P341" i="261"/>
  <c r="P338" i="261"/>
  <c r="L323" i="261"/>
  <c r="P323" i="261"/>
  <c r="L313" i="261"/>
  <c r="P313" i="261"/>
  <c r="P305" i="261"/>
  <c r="P285" i="261"/>
  <c r="L238" i="261"/>
  <c r="P238" i="261"/>
  <c r="L228" i="261"/>
  <c r="P228" i="261"/>
  <c r="L169" i="261"/>
  <c r="P169" i="261"/>
  <c r="R157" i="261"/>
  <c r="K157" i="261" s="1"/>
  <c r="P157" i="261" s="1"/>
  <c r="T157" i="261"/>
  <c r="R149" i="261"/>
  <c r="K149" i="261" s="1"/>
  <c r="P149" i="261" s="1"/>
  <c r="T149" i="261"/>
  <c r="R17" i="261"/>
  <c r="T17" i="261"/>
  <c r="T16" i="261"/>
  <c r="R16" i="261"/>
  <c r="K16" i="261" s="1"/>
  <c r="T14" i="261"/>
  <c r="R14" i="261"/>
  <c r="K14" i="261" s="1"/>
  <c r="P13" i="261"/>
  <c r="L13" i="261"/>
  <c r="J203" i="262"/>
  <c r="S203" i="262" s="1"/>
  <c r="O203" i="262"/>
  <c r="Q155" i="262"/>
  <c r="K155" i="262" s="1"/>
  <c r="O155" i="262" s="1"/>
  <c r="S155" i="262"/>
  <c r="T440" i="262"/>
  <c r="J391" i="262"/>
  <c r="S391" i="262" s="1"/>
  <c r="O391" i="262"/>
  <c r="W440" i="262"/>
  <c r="W144" i="258"/>
  <c r="L135" i="258"/>
  <c r="W131" i="258"/>
  <c r="L123" i="258"/>
  <c r="L122" i="258"/>
  <c r="L113" i="258"/>
  <c r="L104" i="258"/>
  <c r="T79" i="258"/>
  <c r="W71" i="258"/>
  <c r="L67" i="258"/>
  <c r="W12" i="258"/>
  <c r="W8" i="258"/>
  <c r="L7" i="258"/>
  <c r="N433" i="258"/>
  <c r="L124" i="259"/>
  <c r="L122" i="259"/>
  <c r="L112" i="259"/>
  <c r="L105" i="259"/>
  <c r="L103" i="259"/>
  <c r="L101" i="259"/>
  <c r="L99" i="259"/>
  <c r="L78" i="259"/>
  <c r="L75" i="259"/>
  <c r="L71" i="259"/>
  <c r="L69" i="259"/>
  <c r="L65" i="259"/>
  <c r="L61" i="259"/>
  <c r="L22" i="259"/>
  <c r="L18" i="259"/>
  <c r="L13" i="259"/>
  <c r="W400" i="260"/>
  <c r="W394" i="260"/>
  <c r="W330" i="260"/>
  <c r="W310" i="260"/>
  <c r="W309" i="260"/>
  <c r="W288" i="260"/>
  <c r="W268" i="260"/>
  <c r="W263" i="260"/>
  <c r="W258" i="260"/>
  <c r="W249" i="260"/>
  <c r="W243" i="260"/>
  <c r="W233" i="260"/>
  <c r="W201" i="260"/>
  <c r="W181" i="260"/>
  <c r="W93" i="260"/>
  <c r="W71" i="260"/>
  <c r="L40" i="260"/>
  <c r="W37" i="260"/>
  <c r="W420" i="261"/>
  <c r="W413" i="261"/>
  <c r="W407" i="261"/>
  <c r="W339" i="261"/>
  <c r="W336" i="261"/>
  <c r="W316" i="261"/>
  <c r="L251" i="261"/>
  <c r="P251" i="261"/>
  <c r="L239" i="261"/>
  <c r="P239" i="261"/>
  <c r="L237" i="261"/>
  <c r="P237" i="261"/>
  <c r="L232" i="261"/>
  <c r="P232" i="261"/>
  <c r="L230" i="261"/>
  <c r="P230" i="261"/>
  <c r="P183" i="261"/>
  <c r="L183" i="261"/>
  <c r="R153" i="261"/>
  <c r="K153" i="261" s="1"/>
  <c r="P153" i="261" s="1"/>
  <c r="T153" i="261"/>
  <c r="L127" i="261"/>
  <c r="T114" i="261"/>
  <c r="R114" i="261"/>
  <c r="K114" i="261" s="1"/>
  <c r="P114" i="261" s="1"/>
  <c r="W165" i="261"/>
  <c r="J146" i="261"/>
  <c r="T146" i="261" s="1"/>
  <c r="V146" i="261"/>
  <c r="W146" i="261" s="1"/>
  <c r="W9" i="261"/>
  <c r="W240" i="261"/>
  <c r="W228" i="261"/>
  <c r="W181" i="261"/>
  <c r="T159" i="261"/>
  <c r="T155" i="261"/>
  <c r="T151" i="261"/>
  <c r="W144" i="261"/>
  <c r="W123" i="261"/>
  <c r="W92" i="261"/>
  <c r="W83" i="261"/>
  <c r="W77" i="261"/>
  <c r="W71" i="261"/>
  <c r="W70" i="261"/>
  <c r="W40" i="261"/>
  <c r="L15" i="261"/>
  <c r="W12" i="261"/>
  <c r="W8" i="261"/>
  <c r="U440" i="261"/>
  <c r="T92" i="261"/>
  <c r="V383" i="262"/>
  <c r="V338" i="262"/>
  <c r="V336" i="262"/>
  <c r="O179" i="262"/>
  <c r="V79" i="262"/>
  <c r="S54" i="262"/>
  <c r="Q54" i="262"/>
  <c r="K54" i="262" s="1"/>
  <c r="O54" i="262" s="1"/>
  <c r="V21" i="262"/>
  <c r="V306" i="262"/>
  <c r="V304" i="262"/>
  <c r="V269" i="262"/>
  <c r="V249" i="262"/>
  <c r="V247" i="262"/>
  <c r="V235" i="262"/>
  <c r="V228" i="262"/>
  <c r="V225" i="262"/>
  <c r="V216" i="262"/>
  <c r="V212" i="262"/>
  <c r="V197" i="262"/>
  <c r="V196" i="262"/>
  <c r="V175" i="262"/>
  <c r="S159" i="262"/>
  <c r="V146" i="262"/>
  <c r="V142" i="262"/>
  <c r="V131" i="262"/>
  <c r="V120" i="262"/>
  <c r="V119" i="262"/>
  <c r="S115" i="262"/>
  <c r="S440" i="262" s="1"/>
  <c r="S53" i="262"/>
  <c r="Q53" i="262"/>
  <c r="K53" i="262" s="1"/>
  <c r="O53" i="262" s="1"/>
  <c r="S35" i="262"/>
  <c r="Q35" i="262"/>
  <c r="K35" i="262" s="1"/>
  <c r="O35" i="262" s="1"/>
  <c r="V91" i="262"/>
  <c r="V76" i="262"/>
  <c r="V71" i="262"/>
  <c r="V70" i="262"/>
  <c r="V47" i="262"/>
  <c r="V37" i="262"/>
  <c r="V9" i="262"/>
  <c r="S6" i="262"/>
  <c r="L79" i="261"/>
  <c r="P79" i="261"/>
  <c r="O440" i="262"/>
  <c r="P70" i="261"/>
  <c r="L70" i="261"/>
  <c r="P161" i="260"/>
  <c r="L161" i="260"/>
  <c r="L176" i="258"/>
  <c r="P176" i="258"/>
  <c r="P175" i="258"/>
  <c r="L175" i="258"/>
  <c r="P161" i="258"/>
  <c r="L161" i="258"/>
  <c r="P77" i="258"/>
  <c r="L77" i="258"/>
  <c r="P54" i="258"/>
  <c r="L54" i="258"/>
  <c r="P35" i="258"/>
  <c r="L35" i="258"/>
  <c r="P15" i="258"/>
  <c r="L15" i="258"/>
  <c r="P141" i="258"/>
  <c r="L141" i="258"/>
  <c r="L176" i="260"/>
  <c r="P176" i="260"/>
  <c r="P92" i="258"/>
  <c r="L92" i="258"/>
  <c r="P71" i="258"/>
  <c r="L71" i="258"/>
  <c r="P70" i="258"/>
  <c r="L70" i="258"/>
  <c r="L433" i="258" s="1"/>
  <c r="P24" i="258"/>
  <c r="L24" i="258"/>
  <c r="L16" i="258"/>
  <c r="P16" i="258"/>
  <c r="P14" i="258"/>
  <c r="L14" i="258"/>
  <c r="P12" i="258"/>
  <c r="L12" i="258"/>
  <c r="P6" i="258"/>
  <c r="L6" i="258"/>
  <c r="T433" i="258"/>
  <c r="AJ300" i="258"/>
  <c r="AJ331" i="258"/>
  <c r="X433" i="258"/>
  <c r="AJ408" i="258"/>
  <c r="AJ330" i="258"/>
  <c r="AJ322" i="258"/>
  <c r="AJ268" i="258"/>
  <c r="AJ263" i="258"/>
  <c r="AJ234" i="258"/>
  <c r="AJ193" i="258"/>
  <c r="AL217" i="258" s="1"/>
  <c r="AJ414" i="260"/>
  <c r="AJ413" i="260"/>
  <c r="AJ408" i="260"/>
  <c r="AJ406" i="260"/>
  <c r="AJ399" i="260"/>
  <c r="AJ323" i="260"/>
  <c r="AJ268" i="260"/>
  <c r="AJ263" i="260"/>
  <c r="AL377" i="260" s="1"/>
  <c r="W198" i="260"/>
  <c r="AJ198" i="260"/>
  <c r="W192" i="260"/>
  <c r="AJ192" i="260"/>
  <c r="P245" i="260"/>
  <c r="L245" i="260"/>
  <c r="P243" i="260"/>
  <c r="L243" i="260"/>
  <c r="P224" i="260"/>
  <c r="L224" i="260"/>
  <c r="P205" i="260"/>
  <c r="L205" i="260"/>
  <c r="P182" i="260"/>
  <c r="L182" i="260"/>
  <c r="P174" i="260"/>
  <c r="L174" i="260"/>
  <c r="P170" i="260"/>
  <c r="L170" i="260"/>
  <c r="P165" i="260"/>
  <c r="L165" i="260"/>
  <c r="P138" i="260"/>
  <c r="L138" i="260"/>
  <c r="P129" i="260"/>
  <c r="L129" i="260"/>
  <c r="P113" i="260"/>
  <c r="L113" i="260"/>
  <c r="P104" i="260"/>
  <c r="L104" i="260"/>
  <c r="P86" i="260"/>
  <c r="L86" i="260"/>
  <c r="P75" i="260"/>
  <c r="L75" i="260"/>
  <c r="P22" i="260"/>
  <c r="L22" i="260"/>
  <c r="P135" i="260"/>
  <c r="L135" i="260"/>
  <c r="P99" i="260"/>
  <c r="L99" i="260"/>
  <c r="P90" i="260"/>
  <c r="L90" i="260"/>
  <c r="P123" i="260"/>
  <c r="L123" i="260"/>
  <c r="P101" i="260"/>
  <c r="L101" i="260"/>
  <c r="W216" i="260"/>
  <c r="AJ216" i="260"/>
  <c r="W213" i="260"/>
  <c r="AJ213" i="260"/>
  <c r="W212" i="260"/>
  <c r="AJ212" i="260"/>
  <c r="W207" i="260"/>
  <c r="AJ207" i="260"/>
  <c r="W206" i="260"/>
  <c r="AJ206" i="260"/>
  <c r="P218" i="260"/>
  <c r="L218" i="260"/>
  <c r="P184" i="260"/>
  <c r="L184" i="260"/>
  <c r="P178" i="260"/>
  <c r="L178" i="260"/>
  <c r="P172" i="260"/>
  <c r="L172" i="260"/>
  <c r="P168" i="260"/>
  <c r="L168" i="260"/>
  <c r="P162" i="260"/>
  <c r="L162" i="260"/>
  <c r="P136" i="260"/>
  <c r="L136" i="260"/>
  <c r="P127" i="260"/>
  <c r="L127" i="260"/>
  <c r="P124" i="260"/>
  <c r="L124" i="260"/>
  <c r="P110" i="260"/>
  <c r="L110" i="260"/>
  <c r="P106" i="260"/>
  <c r="L106" i="260"/>
  <c r="P102" i="260"/>
  <c r="L102" i="260"/>
  <c r="P67" i="260"/>
  <c r="L67" i="260"/>
  <c r="P38" i="260"/>
  <c r="L38" i="260"/>
  <c r="P27" i="260"/>
  <c r="L27" i="260"/>
  <c r="P13" i="260"/>
  <c r="L13" i="260"/>
  <c r="P215" i="260"/>
  <c r="L215" i="260"/>
  <c r="P109" i="260"/>
  <c r="L109" i="260"/>
  <c r="P146" i="260"/>
  <c r="L146" i="260"/>
  <c r="P119" i="260"/>
  <c r="L119" i="260"/>
  <c r="L433" i="261"/>
  <c r="L432" i="261"/>
  <c r="P402" i="261"/>
  <c r="P371" i="261"/>
  <c r="P201" i="261"/>
  <c r="L201" i="261"/>
  <c r="P185" i="261"/>
  <c r="L185" i="261"/>
  <c r="P181" i="261"/>
  <c r="L181" i="261"/>
  <c r="L178" i="261"/>
  <c r="P178" i="261"/>
  <c r="L171" i="261"/>
  <c r="P171" i="261"/>
  <c r="L167" i="261"/>
  <c r="P167" i="261"/>
  <c r="P136" i="261"/>
  <c r="L136" i="261"/>
  <c r="P122" i="261"/>
  <c r="L122" i="261"/>
  <c r="P85" i="261"/>
  <c r="L85" i="261"/>
  <c r="P83" i="261"/>
  <c r="L83" i="261"/>
  <c r="P75" i="261"/>
  <c r="L75" i="261"/>
  <c r="L24" i="261"/>
  <c r="P24" i="261"/>
  <c r="P9" i="261"/>
  <c r="L9" i="261"/>
  <c r="T440" i="261"/>
  <c r="L199" i="261"/>
  <c r="P199" i="261"/>
  <c r="L197" i="261"/>
  <c r="P197" i="261"/>
  <c r="L195" i="261"/>
  <c r="P195" i="261"/>
  <c r="L192" i="261"/>
  <c r="P192" i="261"/>
  <c r="P137" i="261"/>
  <c r="L137" i="261"/>
  <c r="P130" i="261"/>
  <c r="L130" i="261"/>
  <c r="P124" i="261"/>
  <c r="L124" i="261"/>
  <c r="L103" i="261"/>
  <c r="P103" i="261"/>
  <c r="P99" i="261"/>
  <c r="L99" i="261"/>
  <c r="L90" i="261"/>
  <c r="P90" i="261"/>
  <c r="L86" i="261"/>
  <c r="P86" i="261"/>
  <c r="P78" i="261"/>
  <c r="L78" i="261"/>
  <c r="P65" i="261"/>
  <c r="L65" i="261"/>
  <c r="P34" i="261"/>
  <c r="L34" i="261"/>
  <c r="P18" i="261"/>
  <c r="L18" i="261"/>
  <c r="P7" i="261"/>
  <c r="L7" i="261"/>
  <c r="P400" i="261"/>
  <c r="L400" i="261"/>
  <c r="P241" i="261"/>
  <c r="L241" i="261"/>
  <c r="P132" i="261"/>
  <c r="L132" i="261"/>
  <c r="R159" i="261"/>
  <c r="K159" i="261" s="1"/>
  <c r="P159" i="261" s="1"/>
  <c r="R155" i="261"/>
  <c r="K155" i="261" s="1"/>
  <c r="P155" i="261" s="1"/>
  <c r="R151" i="261"/>
  <c r="K151" i="261" s="1"/>
  <c r="P151" i="261" s="1"/>
  <c r="L120" i="261"/>
  <c r="L119" i="261"/>
  <c r="L106" i="261"/>
  <c r="L77" i="261"/>
  <c r="L69" i="261"/>
  <c r="L63" i="261"/>
  <c r="L61" i="261"/>
  <c r="T54" i="261"/>
  <c r="T51" i="261"/>
  <c r="L39" i="261"/>
  <c r="T32" i="261"/>
  <c r="T30" i="261"/>
  <c r="R23" i="261"/>
  <c r="L21" i="261"/>
  <c r="T15" i="261"/>
  <c r="R12" i="261"/>
  <c r="K12" i="261" s="1"/>
  <c r="Q157" i="262"/>
  <c r="K157" i="262" s="1"/>
  <c r="O157" i="262" s="1"/>
  <c r="S157" i="262"/>
  <c r="S153" i="262"/>
  <c r="S149" i="262"/>
  <c r="Q96" i="262"/>
  <c r="K96" i="262" s="1"/>
  <c r="O96" i="262" s="1"/>
  <c r="S51" i="262"/>
  <c r="S24" i="262"/>
  <c r="Q24" i="262"/>
  <c r="K24" i="262" s="1"/>
  <c r="O24" i="262" s="1"/>
  <c r="Q15" i="262"/>
  <c r="K15" i="262" s="1"/>
  <c r="O15" i="262" s="1"/>
  <c r="S15" i="262"/>
  <c r="V8" i="262"/>
  <c r="V40" i="262"/>
  <c r="AL377" i="258" l="1"/>
  <c r="P433" i="258"/>
  <c r="P435" i="258" s="1"/>
  <c r="P14" i="261"/>
  <c r="L14" i="261"/>
  <c r="P16" i="261"/>
  <c r="L16" i="261"/>
  <c r="L440" i="261"/>
  <c r="P12" i="261"/>
  <c r="L12" i="261"/>
  <c r="P440" i="261"/>
  <c r="L433" i="260"/>
  <c r="AL217" i="260"/>
  <c r="P433" i="260"/>
  <c r="P438" i="260" s="1"/>
</calcChain>
</file>

<file path=xl/comments1.xml><?xml version="1.0" encoding="utf-8"?>
<comments xmlns="http://schemas.openxmlformats.org/spreadsheetml/2006/main">
  <authors>
    <author>Admin</author>
  </authors>
  <commentList>
    <comment ref="E27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N33SH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U3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25 шт*20=500 упак.
</t>
        </r>
      </text>
    </comment>
    <comment ref="X3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25 шт*20=500 упак.
</t>
        </r>
      </text>
    </comment>
    <comment ref="U1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НАМАГ.-2500*36к= 90000 шт.
</t>
        </r>
      </text>
    </comment>
    <comment ref="X1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НАМАГ.-2500*36к= 90000 шт.
</t>
        </r>
      </text>
    </comment>
    <comment ref="U21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</t>
        </r>
      </text>
    </comment>
    <comment ref="X21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</t>
        </r>
      </text>
    </comment>
    <comment ref="U220" authorId="0" shapeId="0">
      <text>
        <r>
          <rPr>
            <b/>
            <sz val="10"/>
            <color indexed="81"/>
            <rFont val="Tahoma"/>
            <charset val="204"/>
          </rPr>
          <t>Ad
min:</t>
        </r>
        <r>
          <rPr>
            <sz val="10"/>
            <color indexed="81"/>
            <rFont val="Tahoma"/>
            <charset val="204"/>
          </rPr>
          <t xml:space="preserve">
1678 шт.-N38SH</t>
        </r>
      </text>
    </comment>
    <comment ref="X220" authorId="0" shapeId="0">
      <text>
        <r>
          <rPr>
            <b/>
            <sz val="10"/>
            <color indexed="81"/>
            <rFont val="Tahoma"/>
            <charset val="204"/>
          </rPr>
          <t>Ad
min:</t>
        </r>
        <r>
          <rPr>
            <sz val="10"/>
            <color indexed="81"/>
            <rFont val="Tahoma"/>
            <charset val="204"/>
          </rPr>
          <t xml:space="preserve">
1678 шт.-N38SH</t>
        </r>
      </text>
    </comment>
    <comment ref="U221" authorId="0" shapeId="0">
      <text>
        <r>
          <rPr>
            <b/>
            <sz val="10"/>
            <color indexed="81"/>
            <rFont val="Tahoma"/>
            <charset val="204"/>
          </rPr>
          <t xml:space="preserve">
</t>
        </r>
      </text>
    </comment>
    <comment ref="X221" authorId="0" shapeId="0">
      <text>
        <r>
          <rPr>
            <b/>
            <sz val="10"/>
            <color indexed="81"/>
            <rFont val="Tahoma"/>
            <charset val="204"/>
          </rPr>
          <t xml:space="preserve">
</t>
        </r>
      </text>
    </comment>
    <comment ref="U22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4000 шт.-N38SH
</t>
        </r>
      </text>
    </comment>
    <comment ref="X22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4000 шт.-N38SH
</t>
        </r>
      </text>
    </comment>
    <comment ref="U22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1562 шт-хор.покр.
3000 шт-плох.покр.
</t>
        </r>
      </text>
    </comment>
    <comment ref="X22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1562 шт-хор.покр.
3000 шт-плох.покр.
</t>
        </r>
      </text>
    </comment>
    <comment ref="U22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 цн.покр.
</t>
        </r>
      </text>
    </comment>
    <comment ref="X22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 цн.покр.
</t>
        </r>
      </text>
    </comment>
    <comment ref="U23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D5*3-1 шт намагн. По Д
Д5*3-20 шт N42H</t>
        </r>
      </text>
    </comment>
    <comment ref="X23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D5*3-1 шт намагн. По Д
Д5*3-20 шт N42H</t>
        </r>
      </text>
    </comment>
    <comment ref="AJ23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Д5х20- 13000 руб.
</t>
        </r>
      </text>
    </comment>
    <comment ref="U2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из них 10000 на замену брака
</t>
        </r>
      </text>
    </comment>
    <comment ref="X2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из них 10000 на замену брака
</t>
        </r>
      </text>
    </comment>
    <comment ref="AJ2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д10х10-25000 руб.</t>
        </r>
      </text>
    </comment>
    <comment ref="U25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4800-авг.12г-33SH
4620- 38SH</t>
        </r>
      </text>
    </comment>
    <comment ref="X25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4800-авг.12г-33SH
4620- 38SH</t>
        </r>
      </text>
    </comment>
    <comment ref="U25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без покрытия
</t>
        </r>
      </text>
    </comment>
    <comment ref="X25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без покрытия
</t>
        </r>
      </text>
    </comment>
    <comment ref="AJ25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Д10х5-15000 руб.</t>
        </r>
      </text>
    </comment>
    <comment ref="W262" authorId="0" shapeId="0">
      <text>
        <r>
          <rPr>
            <b/>
            <sz val="10"/>
            <color indexed="81"/>
            <rFont val="Tahoma"/>
            <charset val="204"/>
          </rPr>
          <t xml:space="preserve">Admin:пришли в ноябре-10000 шт
</t>
        </r>
        <r>
          <rPr>
            <sz val="10"/>
            <color indexed="81"/>
            <rFont val="Tahoma"/>
            <charset val="204"/>
          </rPr>
          <t xml:space="preserve">
</t>
        </r>
      </text>
    </comment>
    <comment ref="X26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87 шт намагничены по диаметру 10</t>
        </r>
      </text>
    </comment>
    <comment ref="U26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3550-ненамаг.
</t>
        </r>
      </text>
    </comment>
    <comment ref="X26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3550-ненамаг.
</t>
        </r>
      </text>
    </comment>
    <comment ref="U2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
22 шт</t>
        </r>
      </text>
    </comment>
    <comment ref="X2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
22 шт</t>
        </r>
      </text>
    </comment>
    <comment ref="U2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5 шт -без покрытия
9257 шт.- N33M
3633 шт.- 38SH
</t>
        </r>
      </text>
    </comment>
    <comment ref="X2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5 шт -без покрытия
9257 шт.- N33M
3633 шт.- 38SH
</t>
        </r>
      </text>
    </comment>
    <comment ref="E27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N33SH</t>
        </r>
      </text>
    </comment>
    <comment ref="U27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N42SH</t>
        </r>
      </text>
    </comment>
    <comment ref="X27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N42SH</t>
        </r>
      </text>
    </comment>
    <comment ref="AJ27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д20х5-35000 руб
</t>
        </r>
      </text>
    </comment>
    <comment ref="Y28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низкие свойства-сделали64
</t>
        </r>
      </text>
    </comment>
    <comment ref="AJ29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Д40х20-300000 руб.
</t>
        </r>
      </text>
    </comment>
    <comment ref="U30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37 шт- N38SH 
500 шт.-N38H</t>
        </r>
      </text>
    </comment>
    <comment ref="X30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37 шт- N38SH 
500 шт.-N38H</t>
        </r>
      </text>
    </comment>
    <comment ref="AJ30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д15х7х3-18000 руб.
</t>
        </r>
      </text>
    </comment>
    <comment ref="AJ30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Д20х10х3-24000
</t>
        </r>
      </text>
    </comment>
    <comment ref="AJ30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д23х12х5 -30000 руб
</t>
        </r>
      </text>
    </comment>
    <comment ref="U31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 шт -размагн.
</t>
        </r>
      </text>
    </comment>
    <comment ref="X31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 шт -размагн.
</t>
        </r>
      </text>
    </comment>
    <comment ref="U32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2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3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38SH
</t>
        </r>
      </text>
    </comment>
    <comment ref="X33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38SH
</t>
        </r>
      </text>
    </comment>
    <comment ref="U33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14 шт со сколом</t>
        </r>
      </text>
    </comment>
    <comment ref="X33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14 шт со сколом</t>
        </r>
      </text>
    </comment>
    <comment ref="AJ33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П10х5х2-4000 руб
</t>
        </r>
      </text>
    </comment>
    <comment ref="U33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3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3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920 шт с цинком
</t>
        </r>
      </text>
    </comment>
    <comment ref="X33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920 шт с цинком
</t>
        </r>
      </text>
    </comment>
    <comment ref="AJ33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п15х8х2-16000
</t>
        </r>
      </text>
    </comment>
    <comment ref="U34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X34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AJ34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п25х10х6-35000 руб
</t>
        </r>
      </text>
    </comment>
    <comment ref="U34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120 шт -размагничены</t>
        </r>
      </text>
    </comment>
    <comment ref="X34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120 шт -размагничены</t>
        </r>
      </text>
    </comment>
    <comment ref="U34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
</t>
        </r>
      </text>
    </comment>
    <comment ref="X34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
</t>
        </r>
      </text>
    </comment>
    <comment ref="U3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5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ненамагничены</t>
        </r>
      </text>
    </comment>
    <comment ref="X35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ненамагничены</t>
        </r>
      </text>
    </comment>
    <comment ref="U36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X36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U36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7 шт -размагн.
</t>
        </r>
      </text>
    </comment>
    <comment ref="X36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7 шт -размагн.
</t>
        </r>
      </text>
    </comment>
    <comment ref="U36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есть и размагниченные
</t>
        </r>
      </text>
    </comment>
    <comment ref="X36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есть и размагниченные
</t>
        </r>
      </text>
    </comment>
    <comment ref="U3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X3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U36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X36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U36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 шт. -без радиуса скругл. 29 iшт. Не намагн.
</t>
        </r>
      </text>
    </comment>
    <comment ref="X36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 шт. -без радиуса скругл. 29 iшт. Не намагн.
</t>
        </r>
      </text>
    </comment>
    <comment ref="U3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8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199 шт. -намагничены</t>
        </r>
      </text>
    </comment>
    <comment ref="X38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199 шт. -намагничены</t>
        </r>
      </text>
    </comment>
    <comment ref="U39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св-ва меньше 300- 220-240 мТл</t>
        </r>
      </text>
    </comment>
    <comment ref="X39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св-ва меньше 300- 220-240 мТл</t>
        </r>
      </text>
    </comment>
    <comment ref="U397" authorId="0" shapeId="0">
      <text>
        <r>
          <rPr>
            <b/>
            <sz val="10"/>
            <color indexed="81"/>
            <rFont val="Tahoma"/>
            <charset val="204"/>
          </rPr>
          <t xml:space="preserve">
Admin:</t>
        </r>
        <r>
          <rPr>
            <sz val="10"/>
            <color indexed="81"/>
            <rFont val="Tahoma"/>
            <charset val="204"/>
          </rPr>
          <t xml:space="preserve">
180-160 мТл
 свойства
</t>
        </r>
      </text>
    </comment>
    <comment ref="X397" authorId="0" shapeId="0">
      <text>
        <r>
          <rPr>
            <b/>
            <sz val="10"/>
            <color indexed="81"/>
            <rFont val="Tahoma"/>
            <charset val="204"/>
          </rPr>
          <t xml:space="preserve">
Admin:</t>
        </r>
        <r>
          <rPr>
            <sz val="10"/>
            <color indexed="81"/>
            <rFont val="Tahoma"/>
            <charset val="204"/>
          </rPr>
          <t xml:space="preserve">
180-160 мТл
 свойства
</t>
        </r>
      </text>
    </comment>
    <comment ref="U39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160 - 170 мТл</t>
        </r>
      </text>
    </comment>
    <comment ref="X39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160 - 170 мТл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U3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25 шт*20=500 упак.
</t>
        </r>
      </text>
    </comment>
    <comment ref="X3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25 шт*20=500 упак.
</t>
        </r>
      </text>
    </comment>
    <comment ref="U1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НАМАГ.-2500*36к= 90000 шт.
</t>
        </r>
      </text>
    </comment>
    <comment ref="X1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НАМАГ.-2500*36к= 90000 шт.
</t>
        </r>
      </text>
    </comment>
    <comment ref="U21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</t>
        </r>
      </text>
    </comment>
    <comment ref="X21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</t>
        </r>
      </text>
    </comment>
    <comment ref="U220" authorId="0" shapeId="0">
      <text>
        <r>
          <rPr>
            <b/>
            <sz val="10"/>
            <color indexed="81"/>
            <rFont val="Tahoma"/>
            <charset val="204"/>
          </rPr>
          <t>Ad
min:</t>
        </r>
        <r>
          <rPr>
            <sz val="10"/>
            <color indexed="81"/>
            <rFont val="Tahoma"/>
            <charset val="204"/>
          </rPr>
          <t xml:space="preserve">
1678 шт.-N38SH</t>
        </r>
      </text>
    </comment>
    <comment ref="X220" authorId="0" shapeId="0">
      <text>
        <r>
          <rPr>
            <b/>
            <sz val="10"/>
            <color indexed="81"/>
            <rFont val="Tahoma"/>
            <charset val="204"/>
          </rPr>
          <t>Ad
min:</t>
        </r>
        <r>
          <rPr>
            <sz val="10"/>
            <color indexed="81"/>
            <rFont val="Tahoma"/>
            <charset val="204"/>
          </rPr>
          <t xml:space="preserve">
1678 шт.-N38SH</t>
        </r>
      </text>
    </comment>
    <comment ref="U221" authorId="0" shapeId="0">
      <text>
        <r>
          <rPr>
            <b/>
            <sz val="10"/>
            <color indexed="81"/>
            <rFont val="Tahoma"/>
            <charset val="204"/>
          </rPr>
          <t xml:space="preserve">
</t>
        </r>
      </text>
    </comment>
    <comment ref="X221" authorId="0" shapeId="0">
      <text>
        <r>
          <rPr>
            <b/>
            <sz val="10"/>
            <color indexed="81"/>
            <rFont val="Tahoma"/>
            <charset val="204"/>
          </rPr>
          <t xml:space="preserve">
</t>
        </r>
      </text>
    </comment>
    <comment ref="U22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4000 шт.-N38SH
</t>
        </r>
      </text>
    </comment>
    <comment ref="X22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4000 шт.-N38SH
</t>
        </r>
      </text>
    </comment>
    <comment ref="U22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1562 шт-хор.покр.
3000 шт-плох.покр.
</t>
        </r>
      </text>
    </comment>
    <comment ref="X22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1562 шт-хор.покр.
3000 шт-плох.покр.
</t>
        </r>
      </text>
    </comment>
    <comment ref="U22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 цн.покр.
</t>
        </r>
      </text>
    </comment>
    <comment ref="X22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 цн.покр.
</t>
        </r>
      </text>
    </comment>
    <comment ref="U23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D5*3-1 шт намагн. По Д
Д5*3-20 шт N42H</t>
        </r>
      </text>
    </comment>
    <comment ref="X23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D5*3-1 шт намагн. По Д
Д5*3-20 шт N42H</t>
        </r>
      </text>
    </comment>
    <comment ref="AJ23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Д5х20- 13000 руб.
</t>
        </r>
      </text>
    </comment>
    <comment ref="U2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из них 10000 на замену брака
</t>
        </r>
      </text>
    </comment>
    <comment ref="X2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из них 10000 на замену брака
</t>
        </r>
      </text>
    </comment>
    <comment ref="AJ2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д10х10-25000 руб.</t>
        </r>
      </text>
    </comment>
    <comment ref="U25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4800-авг.12г-33SH
4620- 38SH</t>
        </r>
      </text>
    </comment>
    <comment ref="X25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4800-авг.12г-33SH
4620- 38SH</t>
        </r>
      </text>
    </comment>
    <comment ref="U25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без покрытия
</t>
        </r>
      </text>
    </comment>
    <comment ref="X25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без покрытия
</t>
        </r>
      </text>
    </comment>
    <comment ref="AJ25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Д10х5-15000 руб.</t>
        </r>
      </text>
    </comment>
    <comment ref="W262" authorId="0" shapeId="0">
      <text>
        <r>
          <rPr>
            <b/>
            <sz val="10"/>
            <color indexed="81"/>
            <rFont val="Tahoma"/>
            <charset val="204"/>
          </rPr>
          <t xml:space="preserve">Admin:пришли в ноябре-10000 шт
</t>
        </r>
        <r>
          <rPr>
            <sz val="10"/>
            <color indexed="81"/>
            <rFont val="Tahoma"/>
            <charset val="204"/>
          </rPr>
          <t xml:space="preserve">
</t>
        </r>
      </text>
    </comment>
    <comment ref="X26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87 шт намагничены по диаметру 10</t>
        </r>
      </text>
    </comment>
    <comment ref="U26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3550-ненамаг.
</t>
        </r>
      </text>
    </comment>
    <comment ref="X26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3550-ненамаг.
</t>
        </r>
      </text>
    </comment>
    <comment ref="U2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
22 шт</t>
        </r>
      </text>
    </comment>
    <comment ref="X2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
22 шт</t>
        </r>
      </text>
    </comment>
    <comment ref="U2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5 шт -без покрытия
9257 шт.- N33M
3633 шт.- 38SH
</t>
        </r>
      </text>
    </comment>
    <comment ref="X2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5 шт -без покрытия
9257 шт.- N33M
3633 шт.- 38SH
</t>
        </r>
      </text>
    </comment>
    <comment ref="E27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N33SH</t>
        </r>
      </text>
    </comment>
    <comment ref="U27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N42SH</t>
        </r>
      </text>
    </comment>
    <comment ref="X27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N42SH</t>
        </r>
      </text>
    </comment>
    <comment ref="AJ27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д20х5-35000 руб
</t>
        </r>
      </text>
    </comment>
    <comment ref="Y28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низкие свойства-сделали64
</t>
        </r>
      </text>
    </comment>
    <comment ref="AJ29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Д40х20-300000 руб.
</t>
        </r>
      </text>
    </comment>
    <comment ref="U30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37 шт- N38SH 
500 шт.-N38H</t>
        </r>
      </text>
    </comment>
    <comment ref="X30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37 шт- N38SH 
500 шт.-N38H</t>
        </r>
      </text>
    </comment>
    <comment ref="AJ30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д15х7х3-18000 руб.
</t>
        </r>
      </text>
    </comment>
    <comment ref="AJ30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Д20х10х3-24000
</t>
        </r>
      </text>
    </comment>
    <comment ref="AJ30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д23х12х5 -30000 руб
</t>
        </r>
      </text>
    </comment>
    <comment ref="U31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 шт -размагн.
</t>
        </r>
      </text>
    </comment>
    <comment ref="X31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 шт -размагн.
</t>
        </r>
      </text>
    </comment>
    <comment ref="U32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2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3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38SH
</t>
        </r>
      </text>
    </comment>
    <comment ref="X33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38SH
</t>
        </r>
      </text>
    </comment>
    <comment ref="U33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14 шт со сколом</t>
        </r>
      </text>
    </comment>
    <comment ref="X33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14 шт со сколом</t>
        </r>
      </text>
    </comment>
    <comment ref="AJ33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П10х5х2-4000 руб
</t>
        </r>
      </text>
    </comment>
    <comment ref="U33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3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3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920 шт с цинком
</t>
        </r>
      </text>
    </comment>
    <comment ref="X33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920 шт с цинком
</t>
        </r>
      </text>
    </comment>
    <comment ref="AJ33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п15х8х2-16000
</t>
        </r>
      </text>
    </comment>
    <comment ref="U34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X34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AJ34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п25х10х6-35000 руб
</t>
        </r>
      </text>
    </comment>
    <comment ref="U34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120 шт -размагничены</t>
        </r>
      </text>
    </comment>
    <comment ref="X34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120 шт -размагничены</t>
        </r>
      </text>
    </comment>
    <comment ref="U34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
</t>
        </r>
      </text>
    </comment>
    <comment ref="X34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
</t>
        </r>
      </text>
    </comment>
    <comment ref="U3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5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ненамагничены</t>
        </r>
      </text>
    </comment>
    <comment ref="X35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ненамагничены</t>
        </r>
      </text>
    </comment>
    <comment ref="U36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X36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U36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7 шт -размагн.
</t>
        </r>
      </text>
    </comment>
    <comment ref="X36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7 шт -размагн.
</t>
        </r>
      </text>
    </comment>
    <comment ref="U36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есть и размагниченные
</t>
        </r>
      </text>
    </comment>
    <comment ref="X36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есть и размагниченные
</t>
        </r>
      </text>
    </comment>
    <comment ref="U3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X3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U36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X36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U36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 шт. -без радиуса скругл. 29 iшт. Не намагн.
</t>
        </r>
      </text>
    </comment>
    <comment ref="X36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 шт. -без радиуса скругл. 29 iшт. Не намагн.
</t>
        </r>
      </text>
    </comment>
    <comment ref="U3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8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199 шт. -намагничены</t>
        </r>
      </text>
    </comment>
    <comment ref="X38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199 шт. -намагничены</t>
        </r>
      </text>
    </comment>
    <comment ref="U39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св-ва меньше 300- 220-240 мТл</t>
        </r>
      </text>
    </comment>
    <comment ref="X39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св-ва меньше 300- 220-240 мТл</t>
        </r>
      </text>
    </comment>
    <comment ref="U397" authorId="0" shapeId="0">
      <text>
        <r>
          <rPr>
            <b/>
            <sz val="10"/>
            <color indexed="81"/>
            <rFont val="Tahoma"/>
            <charset val="204"/>
          </rPr>
          <t xml:space="preserve">
Admin:</t>
        </r>
        <r>
          <rPr>
            <sz val="10"/>
            <color indexed="81"/>
            <rFont val="Tahoma"/>
            <charset val="204"/>
          </rPr>
          <t xml:space="preserve">
180-160 мТл
 свойства
</t>
        </r>
      </text>
    </comment>
    <comment ref="X397" authorId="0" shapeId="0">
      <text>
        <r>
          <rPr>
            <b/>
            <sz val="10"/>
            <color indexed="81"/>
            <rFont val="Tahoma"/>
            <charset val="204"/>
          </rPr>
          <t xml:space="preserve">
Admin:</t>
        </r>
        <r>
          <rPr>
            <sz val="10"/>
            <color indexed="81"/>
            <rFont val="Tahoma"/>
            <charset val="204"/>
          </rPr>
          <t xml:space="preserve">
180-160 мТл
 свойства
</t>
        </r>
      </text>
    </comment>
    <comment ref="U39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160 - 170 мТл</t>
        </r>
      </text>
    </comment>
    <comment ref="X39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160 - 170 мТл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U3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25 шт*20=500 упак.
</t>
        </r>
      </text>
    </comment>
    <comment ref="X3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25 шт*20=500 упак.
</t>
        </r>
      </text>
    </comment>
    <comment ref="U1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НАМАГ.-2500*36к= 90000 шт.
</t>
        </r>
      </text>
    </comment>
    <comment ref="X1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НАМАГ.-2500*36к= 90000 шт.
</t>
        </r>
      </text>
    </comment>
    <comment ref="U22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</t>
        </r>
      </text>
    </comment>
    <comment ref="X22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</t>
        </r>
      </text>
    </comment>
    <comment ref="U226" authorId="0" shapeId="0">
      <text>
        <r>
          <rPr>
            <b/>
            <sz val="10"/>
            <color indexed="81"/>
            <rFont val="Tahoma"/>
            <charset val="204"/>
          </rPr>
          <t>Ad
min:</t>
        </r>
        <r>
          <rPr>
            <sz val="10"/>
            <color indexed="81"/>
            <rFont val="Tahoma"/>
            <charset val="204"/>
          </rPr>
          <t xml:space="preserve">
1678 шт.-N38SH</t>
        </r>
      </text>
    </comment>
    <comment ref="X226" authorId="0" shapeId="0">
      <text>
        <r>
          <rPr>
            <b/>
            <sz val="10"/>
            <color indexed="81"/>
            <rFont val="Tahoma"/>
            <charset val="204"/>
          </rPr>
          <t>Ad
min:</t>
        </r>
        <r>
          <rPr>
            <sz val="10"/>
            <color indexed="81"/>
            <rFont val="Tahoma"/>
            <charset val="204"/>
          </rPr>
          <t xml:space="preserve">
1678 шт.-N38SH</t>
        </r>
      </text>
    </comment>
    <comment ref="U227" authorId="0" shapeId="0">
      <text>
        <r>
          <rPr>
            <b/>
            <sz val="10"/>
            <color indexed="81"/>
            <rFont val="Tahoma"/>
            <charset val="204"/>
          </rPr>
          <t xml:space="preserve">
</t>
        </r>
      </text>
    </comment>
    <comment ref="X227" authorId="0" shapeId="0">
      <text>
        <r>
          <rPr>
            <b/>
            <sz val="10"/>
            <color indexed="81"/>
            <rFont val="Tahoma"/>
            <charset val="204"/>
          </rPr>
          <t xml:space="preserve">
</t>
        </r>
      </text>
    </comment>
    <comment ref="U22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4000 шт.-N38SH
</t>
        </r>
      </text>
    </comment>
    <comment ref="X22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4000 шт.-N38SH
</t>
        </r>
      </text>
    </comment>
    <comment ref="U22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1562 шт-хор.покр.
3000 шт-плох.покр.
</t>
        </r>
      </text>
    </comment>
    <comment ref="X22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1562 шт-хор.покр.
3000 шт-плох.покр.
</t>
        </r>
      </text>
    </comment>
    <comment ref="U23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 цн.покр.
</t>
        </r>
      </text>
    </comment>
    <comment ref="X23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 цн.покр.
</t>
        </r>
      </text>
    </comment>
    <comment ref="U23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D5*3-1 шт намагн. По Д
Д5*3-20 шт N42H</t>
        </r>
      </text>
    </comment>
    <comment ref="X23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D5*3-1 шт намагн. По Д
Д5*3-20 шт N42H</t>
        </r>
      </text>
    </comment>
    <comment ref="X24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10 шт -заготовка
</t>
        </r>
      </text>
    </comment>
    <comment ref="U25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из них 10000 на замену брака
</t>
        </r>
      </text>
    </comment>
    <comment ref="X25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из них 10000 на замену брака
</t>
        </r>
      </text>
    </comment>
    <comment ref="U25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4800-авг.12г-33SH
4620- 38SH</t>
        </r>
      </text>
    </comment>
    <comment ref="X25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4800-авг.12г-33SH
4620- 38SH</t>
        </r>
      </text>
    </comment>
    <comment ref="U26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без покрытия
</t>
        </r>
      </text>
    </comment>
    <comment ref="X26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без покрытия
</t>
        </r>
      </text>
    </comment>
    <comment ref="U2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87 шт намагничены по диаметру 10</t>
        </r>
      </text>
    </comment>
    <comment ref="W268" authorId="0" shapeId="0">
      <text>
        <r>
          <rPr>
            <b/>
            <sz val="10"/>
            <color indexed="81"/>
            <rFont val="Tahoma"/>
            <charset val="204"/>
          </rPr>
          <t xml:space="preserve">Admin:пришли в ноябре-10000 шт
</t>
        </r>
        <r>
          <rPr>
            <sz val="10"/>
            <color indexed="81"/>
            <rFont val="Tahoma"/>
            <charset val="204"/>
          </rPr>
          <t xml:space="preserve">
</t>
        </r>
      </text>
    </comment>
    <comment ref="X2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87 шт намагничены по диаметру 10</t>
        </r>
      </text>
    </comment>
    <comment ref="U2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3550-ненамаг.
</t>
        </r>
      </text>
    </comment>
    <comment ref="X2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3550-ненамаг.
</t>
        </r>
      </text>
    </comment>
    <comment ref="U27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
22 шт</t>
        </r>
      </text>
    </comment>
    <comment ref="X27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
22 шт</t>
        </r>
      </text>
    </comment>
    <comment ref="U27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5 шт -без покрытия
9257 шт.- N33M
3633 шт.- 38SH
</t>
        </r>
      </text>
    </comment>
    <comment ref="X27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5 шт -без покрытия
9257 шт.- N33M
3633 шт.- 38SH
</t>
        </r>
      </text>
    </comment>
    <comment ref="E27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N33SH</t>
        </r>
      </text>
    </comment>
    <comment ref="U28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N42SH</t>
        </r>
      </text>
    </comment>
    <comment ref="X28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N42SH</t>
        </r>
      </text>
    </comment>
    <comment ref="U30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37 шт- N38SH 
500 шт.-N38H</t>
        </r>
      </text>
    </comment>
    <comment ref="X30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37 шт- N38SH 
500 шт.-N38H</t>
        </r>
      </text>
    </comment>
    <comment ref="U32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 шт -размагн.
</t>
        </r>
      </text>
    </comment>
    <comment ref="X32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 шт -размагн.
</t>
        </r>
      </text>
    </comment>
    <comment ref="U33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3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3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38SH
</t>
        </r>
      </text>
    </comment>
    <comment ref="X33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38SH
</t>
        </r>
      </text>
    </comment>
    <comment ref="U3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14 шт со сколом</t>
        </r>
      </text>
    </comment>
    <comment ref="X3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14 шт со сколом</t>
        </r>
      </text>
    </comment>
    <comment ref="U34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4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4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920 шт с цинком
</t>
        </r>
      </text>
    </comment>
    <comment ref="X34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920 шт с цинком
</t>
        </r>
      </text>
    </comment>
    <comment ref="U34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X34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U3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120 шт -размагничены</t>
        </r>
      </text>
    </comment>
    <comment ref="X3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120 шт -размагничены</t>
        </r>
      </text>
    </comment>
    <comment ref="U35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
</t>
        </r>
      </text>
    </comment>
    <comment ref="X35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
</t>
        </r>
      </text>
    </comment>
    <comment ref="U35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5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ненамагничены</t>
        </r>
      </text>
    </comment>
    <comment ref="X3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ненамагничены</t>
        </r>
      </text>
    </comment>
    <comment ref="U36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X36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U3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7 шт -размагн.
</t>
        </r>
      </text>
    </comment>
    <comment ref="X3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7 шт -размагн.
</t>
        </r>
      </text>
    </comment>
    <comment ref="U3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есть и размагниченные
</t>
        </r>
      </text>
    </comment>
    <comment ref="X3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есть и размагниченные
</t>
        </r>
      </text>
    </comment>
    <comment ref="U37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X37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U37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X37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U37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 шт. -без радиуса скругл. 29 iшт. Не намагн.
</t>
        </r>
      </text>
    </comment>
    <comment ref="X37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 шт. -без радиуса скругл. 29 iшт. Не намагн.
</t>
        </r>
      </text>
    </comment>
    <comment ref="U37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X37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U38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199 шт. -намагничены</t>
        </r>
      </text>
    </comment>
    <comment ref="X38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199 шт. -намагничены</t>
        </r>
      </text>
    </comment>
    <comment ref="U40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св-ва меньше 300- 220-240 мТл</t>
        </r>
      </text>
    </comment>
    <comment ref="X40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св-ва меньше 300- 220-240 мТл</t>
        </r>
      </text>
    </comment>
    <comment ref="U403" authorId="0" shapeId="0">
      <text>
        <r>
          <rPr>
            <b/>
            <sz val="10"/>
            <color indexed="81"/>
            <rFont val="Tahoma"/>
            <charset val="204"/>
          </rPr>
          <t xml:space="preserve">
Admin:</t>
        </r>
        <r>
          <rPr>
            <sz val="10"/>
            <color indexed="81"/>
            <rFont val="Tahoma"/>
            <charset val="204"/>
          </rPr>
          <t xml:space="preserve">
180-160 мТл
 свойства
</t>
        </r>
      </text>
    </comment>
    <comment ref="X403" authorId="0" shapeId="0">
      <text>
        <r>
          <rPr>
            <b/>
            <sz val="10"/>
            <color indexed="81"/>
            <rFont val="Tahoma"/>
            <charset val="204"/>
          </rPr>
          <t xml:space="preserve">
Admin:</t>
        </r>
        <r>
          <rPr>
            <sz val="10"/>
            <color indexed="81"/>
            <rFont val="Tahoma"/>
            <charset val="204"/>
          </rPr>
          <t xml:space="preserve">
180-160 мТл
 свойства
</t>
        </r>
      </text>
    </comment>
    <comment ref="U40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160 - 170 мТл</t>
        </r>
      </text>
    </comment>
    <comment ref="X40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160 - 170 мТл</t>
        </r>
      </text>
    </comment>
  </commentList>
</comments>
</file>

<file path=xl/comments5.xml><?xml version="1.0" encoding="utf-8"?>
<comments xmlns="http://schemas.openxmlformats.org/spreadsheetml/2006/main">
  <authors>
    <author>Admin</author>
  </authors>
  <commentList>
    <comment ref="T3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25 шт*20=500 упак.
</t>
        </r>
      </text>
    </comment>
    <comment ref="W3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25 шт*20=500 упак.
</t>
        </r>
      </text>
    </comment>
    <comment ref="T1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НАМАГ.-2500*36к= 90000 шт.
</t>
        </r>
      </text>
    </comment>
    <comment ref="W1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НАМАГ.-2500*36к= 90000 шт.
</t>
        </r>
      </text>
    </comment>
    <comment ref="T22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</t>
        </r>
      </text>
    </comment>
    <comment ref="W22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</t>
        </r>
      </text>
    </comment>
    <comment ref="T226" authorId="0" shapeId="0">
      <text>
        <r>
          <rPr>
            <b/>
            <sz val="10"/>
            <color indexed="81"/>
            <rFont val="Tahoma"/>
            <charset val="204"/>
          </rPr>
          <t>Ad
min:</t>
        </r>
        <r>
          <rPr>
            <sz val="10"/>
            <color indexed="81"/>
            <rFont val="Tahoma"/>
            <charset val="204"/>
          </rPr>
          <t xml:space="preserve">
1678 шт.-N38SH</t>
        </r>
      </text>
    </comment>
    <comment ref="W226" authorId="0" shapeId="0">
      <text>
        <r>
          <rPr>
            <b/>
            <sz val="10"/>
            <color indexed="81"/>
            <rFont val="Tahoma"/>
            <charset val="204"/>
          </rPr>
          <t>Ad
min:</t>
        </r>
        <r>
          <rPr>
            <sz val="10"/>
            <color indexed="81"/>
            <rFont val="Tahoma"/>
            <charset val="204"/>
          </rPr>
          <t xml:space="preserve">
1678 шт.-N38SH</t>
        </r>
      </text>
    </comment>
    <comment ref="T227" authorId="0" shapeId="0">
      <text>
        <r>
          <rPr>
            <b/>
            <sz val="10"/>
            <color indexed="81"/>
            <rFont val="Tahoma"/>
            <charset val="204"/>
          </rPr>
          <t xml:space="preserve">
</t>
        </r>
      </text>
    </comment>
    <comment ref="W227" authorId="0" shapeId="0">
      <text>
        <r>
          <rPr>
            <b/>
            <sz val="10"/>
            <color indexed="81"/>
            <rFont val="Tahoma"/>
            <charset val="204"/>
          </rPr>
          <t xml:space="preserve">
</t>
        </r>
      </text>
    </comment>
    <comment ref="T22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4000 шт.-N38SH
</t>
        </r>
      </text>
    </comment>
    <comment ref="W22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4000 шт.-N38SH
</t>
        </r>
      </text>
    </comment>
    <comment ref="T22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1562 шт-хор.покр.
3000 шт-плох.покр.
</t>
        </r>
      </text>
    </comment>
    <comment ref="W22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1562 шт-хор.покр.
3000 шт-плох.покр.
</t>
        </r>
      </text>
    </comment>
    <comment ref="T23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 цн.покр.
</t>
        </r>
      </text>
    </comment>
    <comment ref="W23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 цн.покр.
</t>
        </r>
      </text>
    </comment>
    <comment ref="T23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D5*3-1 шт намагн. По Д
Д5*3-20 шт N42H</t>
        </r>
      </text>
    </comment>
    <comment ref="W23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D5*3-1 шт намагн. По Д
Д5*3-20 шт N42H</t>
        </r>
      </text>
    </comment>
    <comment ref="W24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10 шт -заготовка
</t>
        </r>
      </text>
    </comment>
    <comment ref="T25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из них 10000 на замену брака
</t>
        </r>
      </text>
    </comment>
    <comment ref="W25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из них 10000 на замену брака
</t>
        </r>
      </text>
    </comment>
    <comment ref="T25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4800-авг.12г-33SH
4620- 38SH</t>
        </r>
      </text>
    </comment>
    <comment ref="W25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4800-авг.12г-33SH
4620- 38SH</t>
        </r>
      </text>
    </comment>
    <comment ref="T26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без покрытия
</t>
        </r>
      </text>
    </comment>
    <comment ref="W26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без покрытия
</t>
        </r>
      </text>
    </comment>
    <comment ref="T2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87 шт намагничены по диаметру 10</t>
        </r>
      </text>
    </comment>
    <comment ref="V268" authorId="0" shapeId="0">
      <text>
        <r>
          <rPr>
            <b/>
            <sz val="10"/>
            <color indexed="81"/>
            <rFont val="Tahoma"/>
            <charset val="204"/>
          </rPr>
          <t xml:space="preserve">Admin:пришли в ноябре-10000 шт
</t>
        </r>
        <r>
          <rPr>
            <sz val="10"/>
            <color indexed="81"/>
            <rFont val="Tahoma"/>
            <charset val="204"/>
          </rPr>
          <t xml:space="preserve">
</t>
        </r>
      </text>
    </comment>
    <comment ref="W2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87 шт намагничены по диаметру 10</t>
        </r>
      </text>
    </comment>
    <comment ref="T2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3550-ненамаг.
</t>
        </r>
      </text>
    </comment>
    <comment ref="W2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3550-ненамаг.
</t>
        </r>
      </text>
    </comment>
    <comment ref="T27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
22 шт</t>
        </r>
      </text>
    </comment>
    <comment ref="W27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
22 шт</t>
        </r>
      </text>
    </comment>
    <comment ref="T27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5 шт -без покрытия
9257 шт.- N33M
3633 шт.- 38SH
</t>
        </r>
      </text>
    </comment>
    <comment ref="W27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5 шт -без покрытия
9257 шт.- N33M
3633 шт.- 38SH
</t>
        </r>
      </text>
    </comment>
    <comment ref="E27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N33SH</t>
        </r>
      </text>
    </comment>
    <comment ref="T28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N42SH</t>
        </r>
      </text>
    </comment>
    <comment ref="W28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N42SH</t>
        </r>
      </text>
    </comment>
    <comment ref="T30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37 шт- N38SH 
500 шт.-N38H</t>
        </r>
      </text>
    </comment>
    <comment ref="W30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37 шт- N38SH 
500 шт.-N38H</t>
        </r>
      </text>
    </comment>
    <comment ref="T32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 шт -размагн.
</t>
        </r>
      </text>
    </comment>
    <comment ref="W32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 шт -размагн.
</t>
        </r>
      </text>
    </comment>
    <comment ref="T33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W33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T33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38SH
</t>
        </r>
      </text>
    </comment>
    <comment ref="W33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38SH
</t>
        </r>
      </text>
    </comment>
    <comment ref="T3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14 шт со сколом</t>
        </r>
      </text>
    </comment>
    <comment ref="W33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14 шт со сколом</t>
        </r>
      </text>
    </comment>
    <comment ref="T34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W34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T34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920 шт с цинком
</t>
        </r>
      </text>
    </comment>
    <comment ref="W34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920 шт с цинком
</t>
        </r>
      </text>
    </comment>
    <comment ref="T34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W34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T3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120 шт -размагничены</t>
        </r>
      </text>
    </comment>
    <comment ref="W35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120 шт -размагничены</t>
        </r>
      </text>
    </comment>
    <comment ref="T35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
</t>
        </r>
      </text>
    </comment>
    <comment ref="W351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N38SH
</t>
        </r>
      </text>
    </comment>
    <comment ref="T35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W356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T3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ненамагничены</t>
        </r>
      </text>
    </comment>
    <comment ref="W364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ненамагничены</t>
        </r>
      </text>
    </comment>
    <comment ref="T36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W367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T3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7 шт -размагн.
</t>
        </r>
      </text>
    </comment>
    <comment ref="W368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7 шт -размагн.
</t>
        </r>
      </text>
    </comment>
    <comment ref="T3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есть и размагниченные
</t>
        </r>
      </text>
    </comment>
    <comment ref="W36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есть и размагниченные
</t>
        </r>
      </text>
    </comment>
    <comment ref="T37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W37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</t>
        </r>
      </text>
    </comment>
    <comment ref="T37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W372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ненамагн
</t>
        </r>
      </text>
    </comment>
    <comment ref="T37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 шт. -без радиуса скругл. 29 iшт. Не намагн.
</t>
        </r>
      </text>
    </comment>
    <comment ref="W373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8 шт. -без радиуса скругл. 29 iшт. Не намагн.
</t>
        </r>
      </text>
    </comment>
    <comment ref="T37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W37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размагничены
</t>
        </r>
      </text>
    </comment>
    <comment ref="T38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199 шт. -намагничены</t>
        </r>
      </text>
    </comment>
    <comment ref="W389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199 шт. -намагничены</t>
        </r>
      </text>
    </comment>
    <comment ref="T40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св-ва меньше 300- 220-240 мТл</t>
        </r>
      </text>
    </comment>
    <comment ref="W400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св-ва меньше 300- 220-240 мТл</t>
        </r>
      </text>
    </comment>
    <comment ref="T403" authorId="0" shapeId="0">
      <text>
        <r>
          <rPr>
            <b/>
            <sz val="10"/>
            <color indexed="81"/>
            <rFont val="Tahoma"/>
            <charset val="204"/>
          </rPr>
          <t xml:space="preserve">
Admin:</t>
        </r>
        <r>
          <rPr>
            <sz val="10"/>
            <color indexed="81"/>
            <rFont val="Tahoma"/>
            <charset val="204"/>
          </rPr>
          <t xml:space="preserve">
180-160 мТл
 свойства
</t>
        </r>
      </text>
    </comment>
    <comment ref="W403" authorId="0" shapeId="0">
      <text>
        <r>
          <rPr>
            <b/>
            <sz val="10"/>
            <color indexed="81"/>
            <rFont val="Tahoma"/>
            <charset val="204"/>
          </rPr>
          <t xml:space="preserve">
Admin:</t>
        </r>
        <r>
          <rPr>
            <sz val="10"/>
            <color indexed="81"/>
            <rFont val="Tahoma"/>
            <charset val="204"/>
          </rPr>
          <t xml:space="preserve">
180-160 мТл
 свойства
</t>
        </r>
      </text>
    </comment>
    <comment ref="T40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160 - 170 мТл</t>
        </r>
      </text>
    </comment>
    <comment ref="W405" authorId="0" shapeId="0">
      <text>
        <r>
          <rPr>
            <b/>
            <sz val="10"/>
            <color indexed="81"/>
            <rFont val="Tahoma"/>
            <charset val="204"/>
          </rPr>
          <t>Admin:</t>
        </r>
        <r>
          <rPr>
            <sz val="10"/>
            <color indexed="81"/>
            <rFont val="Tahoma"/>
            <charset val="204"/>
          </rPr>
          <t xml:space="preserve">
160 - 170 мТл</t>
        </r>
      </text>
    </comment>
  </commentList>
</comments>
</file>

<file path=xl/sharedStrings.xml><?xml version="1.0" encoding="utf-8"?>
<sst xmlns="http://schemas.openxmlformats.org/spreadsheetml/2006/main" count="9925" uniqueCount="969">
  <si>
    <t>шт</t>
  </si>
  <si>
    <t>ОТИБ 757.151.001</t>
  </si>
  <si>
    <t>ОТИБ 757.152.001</t>
  </si>
  <si>
    <t>ИТОГО:</t>
  </si>
  <si>
    <t>Приход на склад за месяц</t>
  </si>
  <si>
    <t>МЛП 1б-04</t>
  </si>
  <si>
    <t>№ по п/п</t>
  </si>
  <si>
    <t>Ед.изм.</t>
  </si>
  <si>
    <t>Остаток на складе</t>
  </si>
  <si>
    <t>28СА250</t>
  </si>
  <si>
    <t>Отпускная  цена</t>
  </si>
  <si>
    <t>Реализовано товара       К-во</t>
  </si>
  <si>
    <t>Цена по произв.затратам в руб.</t>
  </si>
  <si>
    <t>АУИБ 757.159.003</t>
  </si>
  <si>
    <t>затрачена заготовка</t>
  </si>
  <si>
    <t>2000НМ</t>
  </si>
  <si>
    <t>Условное обозначение или номер чертежа</t>
  </si>
  <si>
    <t>Наименование товара</t>
  </si>
  <si>
    <t>Магнит</t>
  </si>
  <si>
    <t>Сердечник</t>
  </si>
  <si>
    <t xml:space="preserve">Сердечник </t>
  </si>
  <si>
    <t>К10х6х4,5</t>
  </si>
  <si>
    <t xml:space="preserve"> Ч22 </t>
  </si>
  <si>
    <t xml:space="preserve"> СГ 210-001 Г5,5х3х7,4</t>
  </si>
  <si>
    <t>Д22,7хд8,2х8,9 ЭПГ 112.001</t>
  </si>
  <si>
    <t>ЮНДКБА</t>
  </si>
  <si>
    <t>Сепаратор</t>
  </si>
  <si>
    <t>г.Минск, ул.Бабушкина, 14</t>
  </si>
  <si>
    <t>П10х20х33</t>
  </si>
  <si>
    <t>П38х27х7,5 (ЭПГ110.088)</t>
  </si>
  <si>
    <t xml:space="preserve"> СпГ210-004 Пг 2,8х2,3х3,5</t>
  </si>
  <si>
    <t xml:space="preserve">АУИБ 757.159.001 </t>
  </si>
  <si>
    <t>Д 8,2х6,4</t>
  </si>
  <si>
    <t>К20х10х5</t>
  </si>
  <si>
    <t>Для производства использована заготовка</t>
  </si>
  <si>
    <t>КЦИР 757.125.001-04</t>
  </si>
  <si>
    <t>к-т</t>
  </si>
  <si>
    <t>ПРЕДПРИЯТИЕ: НП ООО "Эртекс"  СКЛАД ГОТОВОЙ ПРОДУКЦИИ</t>
  </si>
  <si>
    <t>СИДТ  7.770.002 Д36х24х6</t>
  </si>
  <si>
    <t>К85х44х9</t>
  </si>
  <si>
    <t>НЖБ</t>
  </si>
  <si>
    <t>Код в 1С</t>
  </si>
  <si>
    <t>003</t>
  </si>
  <si>
    <t>007</t>
  </si>
  <si>
    <t>064</t>
  </si>
  <si>
    <t>066</t>
  </si>
  <si>
    <t>011</t>
  </si>
  <si>
    <t>014</t>
  </si>
  <si>
    <t>016</t>
  </si>
  <si>
    <t>018</t>
  </si>
  <si>
    <t>019</t>
  </si>
  <si>
    <t>099</t>
  </si>
  <si>
    <t>188</t>
  </si>
  <si>
    <t>069</t>
  </si>
  <si>
    <t>357</t>
  </si>
  <si>
    <t>055</t>
  </si>
  <si>
    <t>133</t>
  </si>
  <si>
    <t>031</t>
  </si>
  <si>
    <t>057</t>
  </si>
  <si>
    <t>212</t>
  </si>
  <si>
    <t>308</t>
  </si>
  <si>
    <t>К38х19х9</t>
  </si>
  <si>
    <t>084</t>
  </si>
  <si>
    <t>021</t>
  </si>
  <si>
    <t>020</t>
  </si>
  <si>
    <t>ЭПГ110.148(П120х35х34)</t>
  </si>
  <si>
    <t>ЭПГ110.149(П90х35х34)</t>
  </si>
  <si>
    <t>317</t>
  </si>
  <si>
    <t>229</t>
  </si>
  <si>
    <t>Приход в рублях</t>
  </si>
  <si>
    <t>394</t>
  </si>
  <si>
    <t>Д5х10</t>
  </si>
  <si>
    <t>КС-37</t>
  </si>
  <si>
    <t>Стержневой  СКЛ Д32-175</t>
  </si>
  <si>
    <t>Ч30</t>
  </si>
  <si>
    <t>С10х40</t>
  </si>
  <si>
    <t>428</t>
  </si>
  <si>
    <t>П8,5х13х8,5</t>
  </si>
  <si>
    <t>С10х26</t>
  </si>
  <si>
    <t>297</t>
  </si>
  <si>
    <t>СП210-028</t>
  </si>
  <si>
    <t>173</t>
  </si>
  <si>
    <t>438</t>
  </si>
  <si>
    <t>Якорь магн.однор.(200 шт в к-те)</t>
  </si>
  <si>
    <t>Отпускная  цена для статистики</t>
  </si>
  <si>
    <t>Объем производства  без НДС</t>
  </si>
  <si>
    <t>Д16х4</t>
  </si>
  <si>
    <t>К45х28х8</t>
  </si>
  <si>
    <t xml:space="preserve"> СК210-23 К14х9х 5</t>
  </si>
  <si>
    <t>П32х18х40 ЭПГ110.155</t>
  </si>
  <si>
    <t>П4,8х4х3,8 ЭПГ110.150</t>
  </si>
  <si>
    <t>ЭПГ 110.157 П19х15х14,5</t>
  </si>
  <si>
    <t>П5х5х2</t>
  </si>
  <si>
    <t>серд СТ210-005(Т3,5х1,2х10)</t>
  </si>
  <si>
    <t>571</t>
  </si>
  <si>
    <t>К45х22х7</t>
  </si>
  <si>
    <t>Ш7х7 М2000НМ</t>
  </si>
  <si>
    <t>П3х6х7</t>
  </si>
  <si>
    <t>П24х18х14 АБПК 757.153.028</t>
  </si>
  <si>
    <t>535</t>
  </si>
  <si>
    <t>П10х10х7</t>
  </si>
  <si>
    <t>Ш12х15</t>
  </si>
  <si>
    <t>К20х12х6 с п/п</t>
  </si>
  <si>
    <t xml:space="preserve"> Остаток на  сумму по произ.себес.без косв. налогов в рублях</t>
  </si>
  <si>
    <t>594</t>
  </si>
  <si>
    <t>43.3701-200211 (S)</t>
  </si>
  <si>
    <t>43.3701-200211 (N)</t>
  </si>
  <si>
    <t>593</t>
  </si>
  <si>
    <t>ЭПГ110.158(П50х35х40)</t>
  </si>
  <si>
    <t>К36х18х6</t>
  </si>
  <si>
    <t>Ш 10х10</t>
  </si>
  <si>
    <t>К10х6х4,5 с п/п</t>
  </si>
  <si>
    <t>559</t>
  </si>
  <si>
    <t>Ч36</t>
  </si>
  <si>
    <t>ЖЕ7.074.896   (К14,2*9,5*4,6)</t>
  </si>
  <si>
    <t>К72*32*10</t>
  </si>
  <si>
    <t>602</t>
  </si>
  <si>
    <t>612</t>
  </si>
  <si>
    <t>611</t>
  </si>
  <si>
    <t>477</t>
  </si>
  <si>
    <t>Загот.сердечника ЕЕ25Д -19500 ,ЕЕ25Е-1000   шт</t>
  </si>
  <si>
    <t>Загот.сердечника ЕЕ42/21/15-1070    шт</t>
  </si>
  <si>
    <t>ЖЕ7.074.975   (К23,6*9,5*21)</t>
  </si>
  <si>
    <t xml:space="preserve">К28х16х9 </t>
  </si>
  <si>
    <t>Д5х3</t>
  </si>
  <si>
    <t>624</t>
  </si>
  <si>
    <t>538</t>
  </si>
  <si>
    <t>050</t>
  </si>
  <si>
    <t>П3х3х4 (ЭПГ 111.022)</t>
  </si>
  <si>
    <t>Магнитопласт</t>
  </si>
  <si>
    <t>К21,5х15х2 (8ПМ610.033)</t>
  </si>
  <si>
    <t>ПП30*15*10</t>
  </si>
  <si>
    <t>Заг.магн.ЮНДК Д5х16- 15 шт.</t>
  </si>
  <si>
    <t>СКЛ   Д22х90</t>
  </si>
  <si>
    <t>ЭПГ110.084</t>
  </si>
  <si>
    <t>43.3701-200212(К36х18х6)</t>
  </si>
  <si>
    <t>магнит</t>
  </si>
  <si>
    <t>К21х7х25</t>
  </si>
  <si>
    <t>П2,5х2,5х2</t>
  </si>
  <si>
    <t>Ш6х6 М2000НМ1</t>
  </si>
  <si>
    <t>600НН</t>
  </si>
  <si>
    <t>5000НМ</t>
  </si>
  <si>
    <t>6БИ240</t>
  </si>
  <si>
    <t>К 20х12х6</t>
  </si>
  <si>
    <t>К45х28х12</t>
  </si>
  <si>
    <t>П7х7х4,8</t>
  </si>
  <si>
    <t>С10х200 М400НН</t>
  </si>
  <si>
    <t>400НН</t>
  </si>
  <si>
    <t>К38х19х9 п/п</t>
  </si>
  <si>
    <t>П17х6х2</t>
  </si>
  <si>
    <t>магнит Ne-Fe-B П17х6х2 -10 шт</t>
  </si>
  <si>
    <t>Д10х3</t>
  </si>
  <si>
    <t>Серд. DМР30 Н38-1000 шт</t>
  </si>
  <si>
    <t>Д13.5х4,5 (ненамаг)</t>
  </si>
  <si>
    <t>С6х30</t>
  </si>
  <si>
    <t>получен из магнита Н=4,5 мм</t>
  </si>
  <si>
    <t>Ш42х21х13</t>
  </si>
  <si>
    <t>К12х3х4,5</t>
  </si>
  <si>
    <t>Д5х2</t>
  </si>
  <si>
    <t>ПРИХОД</t>
  </si>
  <si>
    <t>к10</t>
  </si>
  <si>
    <t>П84х64х14</t>
  </si>
  <si>
    <t>Магнит КС Д5х2,5-25 шт</t>
  </si>
  <si>
    <t xml:space="preserve">Ш20х28 </t>
  </si>
  <si>
    <t>657</t>
  </si>
  <si>
    <t>П10х20х33-Литопласт</t>
  </si>
  <si>
    <t>П32х27х18</t>
  </si>
  <si>
    <t>ЭПГ110.166 (16х15х12)</t>
  </si>
  <si>
    <t>СК95х56х40х3,2</t>
  </si>
  <si>
    <t>Магнит НЖБR47хr28х3,2 -100 шт</t>
  </si>
  <si>
    <t>магнит НЖБД6х30-37 шт</t>
  </si>
  <si>
    <t>Заг.магн. НЖБ Д11х62-80 шт</t>
  </si>
  <si>
    <t>К10х6х3</t>
  </si>
  <si>
    <t>ЖЕ7.074.978   (Д14)</t>
  </si>
  <si>
    <t>024</t>
  </si>
  <si>
    <t>413</t>
  </si>
  <si>
    <t>010</t>
  </si>
  <si>
    <t>25БА170</t>
  </si>
  <si>
    <t>013</t>
  </si>
  <si>
    <t>839</t>
  </si>
  <si>
    <t>649</t>
  </si>
  <si>
    <t>831</t>
  </si>
  <si>
    <t xml:space="preserve">Д9х3 </t>
  </si>
  <si>
    <t>619</t>
  </si>
  <si>
    <t>826</t>
  </si>
  <si>
    <t>К9,7х4,5х12,5</t>
  </si>
  <si>
    <t>Д3х6</t>
  </si>
  <si>
    <t>Д28х8</t>
  </si>
  <si>
    <t>Ш6х6 М2500НМ</t>
  </si>
  <si>
    <t>894</t>
  </si>
  <si>
    <t>164</t>
  </si>
  <si>
    <t xml:space="preserve">     </t>
  </si>
  <si>
    <t>902</t>
  </si>
  <si>
    <t>2500НМ</t>
  </si>
  <si>
    <t>514</t>
  </si>
  <si>
    <t>П98х42х32</t>
  </si>
  <si>
    <t>П8,5х8,5х13</t>
  </si>
  <si>
    <t>К16 х  10  х 4,5 c  п/п</t>
  </si>
  <si>
    <t>629</t>
  </si>
  <si>
    <t>510</t>
  </si>
  <si>
    <t>929</t>
  </si>
  <si>
    <t>469</t>
  </si>
  <si>
    <t>П40х40х8</t>
  </si>
  <si>
    <t>6000НМ</t>
  </si>
  <si>
    <t>Ш6х6 М6000НМ</t>
  </si>
  <si>
    <t>Заг.сердеч.R7K   ЕЕ24Д- 25920 шт</t>
  </si>
  <si>
    <t>Магнит НЖБ П 40х20х20-6 шт+обр.с 2 отв.-2 шт.</t>
  </si>
  <si>
    <t>П100х64х14</t>
  </si>
  <si>
    <t>ПС6х25</t>
  </si>
  <si>
    <t>С8х160 М400НН</t>
  </si>
  <si>
    <t>К85х32х9</t>
  </si>
  <si>
    <t>Д3х2</t>
  </si>
  <si>
    <t>С DMR30 ЕС49А2-100 шт.</t>
  </si>
  <si>
    <t>Акт на сепараторы</t>
  </si>
  <si>
    <t>Д11х5</t>
  </si>
  <si>
    <t>ЭПГ110.165(К45*22*6)</t>
  </si>
  <si>
    <t>Д6х2</t>
  </si>
  <si>
    <t>П24х10х5 (Метиз)</t>
  </si>
  <si>
    <t>422</t>
  </si>
  <si>
    <t>954</t>
  </si>
  <si>
    <t>103</t>
  </si>
  <si>
    <t>042</t>
  </si>
  <si>
    <t>П40х20х10</t>
  </si>
  <si>
    <t>Марка материала</t>
  </si>
  <si>
    <t>38</t>
  </si>
  <si>
    <t>Д18х3</t>
  </si>
  <si>
    <t>Д3х3</t>
  </si>
  <si>
    <t>Д3х4</t>
  </si>
  <si>
    <t>Д3,5х3</t>
  </si>
  <si>
    <t>Д4,5х3</t>
  </si>
  <si>
    <t>Д10х0,5</t>
  </si>
  <si>
    <t>Д10х1</t>
  </si>
  <si>
    <t>М НЖБ Д3х4-2 шт</t>
  </si>
  <si>
    <t>П32х18х27</t>
  </si>
  <si>
    <t>964</t>
  </si>
  <si>
    <t>981</t>
  </si>
  <si>
    <t>022</t>
  </si>
  <si>
    <t>К36х18х6 намагн.с заниж.Д</t>
  </si>
  <si>
    <t>Ч14</t>
  </si>
  <si>
    <t>.</t>
  </si>
  <si>
    <t>М НЖБ Д6х3- 400 шт</t>
  </si>
  <si>
    <t>М  НЖБ Д8х10- 20 шт.</t>
  </si>
  <si>
    <t>М  НЖБ Д8х4- 100 шт.</t>
  </si>
  <si>
    <t>Д3х5</t>
  </si>
  <si>
    <t>738</t>
  </si>
  <si>
    <t>Д3,5х2 с цн.пок.</t>
  </si>
  <si>
    <t xml:space="preserve">Д3,5х2 </t>
  </si>
  <si>
    <t>П30х30х15</t>
  </si>
  <si>
    <t>К14,5х10х3,3 ЭПГ110.173</t>
  </si>
  <si>
    <t>П20х10х7,5</t>
  </si>
  <si>
    <t>П24х10х5,6</t>
  </si>
  <si>
    <t>СМУ-СКЛ НЖБ- 22х120</t>
  </si>
  <si>
    <t>П30х15х10</t>
  </si>
  <si>
    <t>П40х40х10</t>
  </si>
  <si>
    <t>П26х19х3</t>
  </si>
  <si>
    <t>П13,85х6,85х2,35</t>
  </si>
  <si>
    <t>934</t>
  </si>
  <si>
    <t>807</t>
  </si>
  <si>
    <t>318</t>
  </si>
  <si>
    <t>М НЖБ П40х40х12- 2шт</t>
  </si>
  <si>
    <t>М НЖБ П14х7х2,3-100 шт.</t>
  </si>
  <si>
    <t>М НЖБ П14х7х2,3- 60 шт.</t>
  </si>
  <si>
    <t>М НЖБ  Д28х8 -4 шт</t>
  </si>
  <si>
    <t>С SQ2K Е30х16х10-110 шт</t>
  </si>
  <si>
    <t>ДЕКАБРЬ</t>
  </si>
  <si>
    <t>К36х13х8</t>
  </si>
  <si>
    <t>П2,7х2,7х9</t>
  </si>
  <si>
    <t>056</t>
  </si>
  <si>
    <t>ЭПГ110.151-01</t>
  </si>
  <si>
    <t>Д5х6 ЭПГ111.035</t>
  </si>
  <si>
    <t>1070</t>
  </si>
  <si>
    <t>1068</t>
  </si>
  <si>
    <t>Д18х5</t>
  </si>
  <si>
    <t>П7х7х2,5</t>
  </si>
  <si>
    <t>П42х42х47</t>
  </si>
  <si>
    <t>М Д45*22*7 -2360 шт.</t>
  </si>
  <si>
    <t>С К16х10- 50 шт.</t>
  </si>
  <si>
    <t>М НЖБ Д3,5х2-50 шт</t>
  </si>
  <si>
    <t>Магнит КС П35*55*3-5шт</t>
  </si>
  <si>
    <t>М КС П45*55*24-1 шт.</t>
  </si>
  <si>
    <t>П34х19х3</t>
  </si>
  <si>
    <t>К40х24х3,5</t>
  </si>
  <si>
    <t>К24,3х16,2х4</t>
  </si>
  <si>
    <t>К61х24х8</t>
  </si>
  <si>
    <t>С10х100</t>
  </si>
  <si>
    <t>Д4х2</t>
  </si>
  <si>
    <t xml:space="preserve">Д5х5 </t>
  </si>
  <si>
    <t>Д10х2</t>
  </si>
  <si>
    <t>Д8х2</t>
  </si>
  <si>
    <t>Д8х3</t>
  </si>
  <si>
    <t>Д12х3</t>
  </si>
  <si>
    <t>К15х5х5</t>
  </si>
  <si>
    <t>ЭПГ110.135(Д32х8х8)</t>
  </si>
  <si>
    <t xml:space="preserve">малая Фронда П24х12х10 </t>
  </si>
  <si>
    <t>ЦИКС 741611018(П34х19х6)</t>
  </si>
  <si>
    <t>ИЖКС 005 (27х18х11)</t>
  </si>
  <si>
    <t>ИЖКС 007 (31х19х11)</t>
  </si>
  <si>
    <t>ЭПГ-110.086 (П37х27х4,5)</t>
  </si>
  <si>
    <t>Д40х10</t>
  </si>
  <si>
    <t>К12,5х5,2х7</t>
  </si>
  <si>
    <t>1091</t>
  </si>
  <si>
    <t>1084</t>
  </si>
  <si>
    <t>1082</t>
  </si>
  <si>
    <t>1077</t>
  </si>
  <si>
    <t>П50х30х5</t>
  </si>
  <si>
    <t>П41,5х23х1,5</t>
  </si>
  <si>
    <t>029</t>
  </si>
  <si>
    <t>М НЖБ Д3х3-281 шт</t>
  </si>
  <si>
    <t>Д8,2х3</t>
  </si>
  <si>
    <t>Д7х10 без покр.</t>
  </si>
  <si>
    <t>Д7,9х10 с цн.пок.</t>
  </si>
  <si>
    <t>К47х20х15</t>
  </si>
  <si>
    <t>П18х18х3</t>
  </si>
  <si>
    <t>П10х4х1</t>
  </si>
  <si>
    <t>П30х20х10</t>
  </si>
  <si>
    <t>Д20х3</t>
  </si>
  <si>
    <t>Д9,5х4х40</t>
  </si>
  <si>
    <t>П98х23х30</t>
  </si>
  <si>
    <t>С8,2х24 ЭПГ110.001</t>
  </si>
  <si>
    <t>К26,6х11х0,7</t>
  </si>
  <si>
    <t>П31х26х4</t>
  </si>
  <si>
    <t>П50х43х12,5</t>
  </si>
  <si>
    <t>913</t>
  </si>
  <si>
    <t>П5х5х4</t>
  </si>
  <si>
    <t>П5х5х5</t>
  </si>
  <si>
    <t>ВЕС</t>
  </si>
  <si>
    <t>РОС.РУБ</t>
  </si>
  <si>
    <t>УСИЛИЕ</t>
  </si>
  <si>
    <t>г</t>
  </si>
  <si>
    <t>К7х4х2</t>
  </si>
  <si>
    <t>П15х9х5</t>
  </si>
  <si>
    <t>МД61х8-10 шт.</t>
  </si>
  <si>
    <t>Фер.М2000НМ К7х4х2 - 10 шт.</t>
  </si>
  <si>
    <t>Магнит НЖБ Д 8,2х24- 100 шт.</t>
  </si>
  <si>
    <t>М НЖБ П50х3-2 шт</t>
  </si>
  <si>
    <t>М-КС П20х10-200 шт.</t>
  </si>
  <si>
    <t>Цена К</t>
  </si>
  <si>
    <t>К20х8х5</t>
  </si>
  <si>
    <t>Д12х5,5</t>
  </si>
  <si>
    <t>акт на порошок</t>
  </si>
  <si>
    <t>Расположение на складе</t>
  </si>
  <si>
    <t>ящик 3</t>
  </si>
  <si>
    <t>ящик 5</t>
  </si>
  <si>
    <t>ящик 2</t>
  </si>
  <si>
    <t>ящик 4</t>
  </si>
  <si>
    <t>ящик 8</t>
  </si>
  <si>
    <t>ящик 10</t>
  </si>
  <si>
    <t>ящик 6</t>
  </si>
  <si>
    <t>ящик 7</t>
  </si>
  <si>
    <t>ящик 12</t>
  </si>
  <si>
    <t>ящик 24</t>
  </si>
  <si>
    <t>ящик 13</t>
  </si>
  <si>
    <t>ящик 9</t>
  </si>
  <si>
    <t>ящик1</t>
  </si>
  <si>
    <t>ящик 23</t>
  </si>
  <si>
    <t>ящик 19</t>
  </si>
  <si>
    <t>К102х56х12</t>
  </si>
  <si>
    <t>22РА220</t>
  </si>
  <si>
    <t>1132</t>
  </si>
  <si>
    <t>921</t>
  </si>
  <si>
    <t>Д5х3 С  ЦН.ПОК.</t>
  </si>
  <si>
    <t>СТЕЛЛАЖ</t>
  </si>
  <si>
    <t>ВМ-1950.5679.13.03.003 (Д16х3)</t>
  </si>
  <si>
    <t>К22х6,2х3,2(ПМ-36Б-200)</t>
  </si>
  <si>
    <t>П14х7х2,5 для Рифтека</t>
  </si>
  <si>
    <t>КС П35х55х3-34 шт.</t>
  </si>
  <si>
    <t>К17х8,2х5</t>
  </si>
  <si>
    <t xml:space="preserve">Ш7х7 </t>
  </si>
  <si>
    <t>216</t>
  </si>
  <si>
    <t>871</t>
  </si>
  <si>
    <t>П40х10х5</t>
  </si>
  <si>
    <t>Фер.М2000НМ К17х8,2х5 - 427 шт.</t>
  </si>
  <si>
    <t>К19,5х10,2х3,2</t>
  </si>
  <si>
    <t>Д20х6</t>
  </si>
  <si>
    <t>1029</t>
  </si>
  <si>
    <t>746</t>
  </si>
  <si>
    <t>731</t>
  </si>
  <si>
    <t>1152</t>
  </si>
  <si>
    <t>1158</t>
  </si>
  <si>
    <t>С R7K ЕЕ24-1728 шт.</t>
  </si>
  <si>
    <t>П8х3х0,7</t>
  </si>
  <si>
    <t xml:space="preserve">п30х16х3 R50 </t>
  </si>
  <si>
    <t>П40х40х2</t>
  </si>
  <si>
    <t>1167</t>
  </si>
  <si>
    <t>Д8х2,5</t>
  </si>
  <si>
    <t>П10х10х0,5</t>
  </si>
  <si>
    <t>П40х10х10</t>
  </si>
  <si>
    <t>П20х10х5</t>
  </si>
  <si>
    <t>М НЖБ П10х4х1-500 шт.</t>
  </si>
  <si>
    <t>Д5х6 нжб1400</t>
  </si>
  <si>
    <t xml:space="preserve">П3,5х2х4 </t>
  </si>
  <si>
    <t>П88х50х12,5</t>
  </si>
  <si>
    <t>К80х10х10</t>
  </si>
  <si>
    <t>К60х36х20</t>
  </si>
  <si>
    <t>МАРКА МАГНИТА</t>
  </si>
  <si>
    <t>N38SH</t>
  </si>
  <si>
    <t>N38M</t>
  </si>
  <si>
    <t>N38H</t>
  </si>
  <si>
    <t>N35M</t>
  </si>
  <si>
    <t>N35</t>
  </si>
  <si>
    <t xml:space="preserve">N33M </t>
  </si>
  <si>
    <t xml:space="preserve">N33SH                           </t>
  </si>
  <si>
    <t>3,5/2,65</t>
  </si>
  <si>
    <t>0,593/0,446</t>
  </si>
  <si>
    <t>N33</t>
  </si>
  <si>
    <t>9,6/3</t>
  </si>
  <si>
    <t xml:space="preserve">проверено </t>
  </si>
  <si>
    <t>Cумма  в долларах</t>
  </si>
  <si>
    <t>С R3K ЕЕ30-300 шт</t>
  </si>
  <si>
    <t>М НЖБ Д6х3-20 шт</t>
  </si>
  <si>
    <t>М НЖБ Д11х15-100 шт</t>
  </si>
  <si>
    <t>0,8 кг</t>
  </si>
  <si>
    <t>1,6 кг</t>
  </si>
  <si>
    <t>0,4 кг</t>
  </si>
  <si>
    <t>0,7 кг</t>
  </si>
  <si>
    <t>4 кг</t>
  </si>
  <si>
    <t>1 кг</t>
  </si>
  <si>
    <t>3,5 кг</t>
  </si>
  <si>
    <t>3 кг</t>
  </si>
  <si>
    <t>4,5 кг</t>
  </si>
  <si>
    <t>0,15 кг</t>
  </si>
  <si>
    <t>0,1 кг</t>
  </si>
  <si>
    <t>0,3 кг</t>
  </si>
  <si>
    <t>0,2 кг</t>
  </si>
  <si>
    <t>0,48 кг</t>
  </si>
  <si>
    <t>Цена К -2015 г.</t>
  </si>
  <si>
    <t>ЭПГ-110.093</t>
  </si>
  <si>
    <t>ЭПГ-110.103</t>
  </si>
  <si>
    <t>ЭПГ-110.102</t>
  </si>
  <si>
    <t>ЭПГ 110.139 (К18х10х6)</t>
  </si>
  <si>
    <t>КОЛ-ВО  МАГНИТА</t>
  </si>
  <si>
    <t>Пробка магнит</t>
  </si>
  <si>
    <t>ПМ-8</t>
  </si>
  <si>
    <t>К36х5х10</t>
  </si>
  <si>
    <t>772</t>
  </si>
  <si>
    <t>398</t>
  </si>
  <si>
    <t>884</t>
  </si>
  <si>
    <t>1003</t>
  </si>
  <si>
    <t>Д8х24</t>
  </si>
  <si>
    <t>С DMR30-38 -1000 шт</t>
  </si>
  <si>
    <t>М НЖБ Д8,2х24 -5 шт.</t>
  </si>
  <si>
    <t>Д25х15</t>
  </si>
  <si>
    <t>К30х5х5</t>
  </si>
  <si>
    <t>П98х64х14</t>
  </si>
  <si>
    <t>Д6х30</t>
  </si>
  <si>
    <t>П20х5х2</t>
  </si>
  <si>
    <t>П5х2х20</t>
  </si>
  <si>
    <t>1171</t>
  </si>
  <si>
    <t>1193</t>
  </si>
  <si>
    <t>1192</t>
  </si>
  <si>
    <t>п33х20х2,5</t>
  </si>
  <si>
    <t>К72х32х12</t>
  </si>
  <si>
    <t>К36х8х8</t>
  </si>
  <si>
    <t>Ш  4х4 М2000НМ</t>
  </si>
  <si>
    <t>19800 шт на размол для получения порошка</t>
  </si>
  <si>
    <t>Д30х10</t>
  </si>
  <si>
    <t>1231</t>
  </si>
  <si>
    <t>1211</t>
  </si>
  <si>
    <t>16БА190</t>
  </si>
  <si>
    <t>ЕАЖИ 757.155.066 (пластина)</t>
  </si>
  <si>
    <t>ЕАЖИ 757.156.066 (замыкающая)</t>
  </si>
  <si>
    <t>К32х8,2х8</t>
  </si>
  <si>
    <t>С6х3 НЖБ1400-100 град</t>
  </si>
  <si>
    <t>1233</t>
  </si>
  <si>
    <t>КС П40х55х3-7 шт.</t>
  </si>
  <si>
    <t>Д 8х15</t>
  </si>
  <si>
    <t>ЭПГ 110.107(К30х5(10)х8)</t>
  </si>
  <si>
    <t>К22,8х8,2х8,9</t>
  </si>
  <si>
    <t>П5х5х3</t>
  </si>
  <si>
    <t xml:space="preserve">М НЖБ П14х7х2,3-1шт </t>
  </si>
  <si>
    <t>П20х16х2,5</t>
  </si>
  <si>
    <t>П24х14х10</t>
  </si>
  <si>
    <t>1145</t>
  </si>
  <si>
    <t>1247</t>
  </si>
  <si>
    <t>С ЕЕ24D-1450 шт.</t>
  </si>
  <si>
    <t>АКТ- расчет на списание магнитов для ремонта</t>
  </si>
  <si>
    <t>М- ЮНДК П45х55х24-1 шт</t>
  </si>
  <si>
    <t>М НЖБ Д28х8-100 шт</t>
  </si>
  <si>
    <t>Д7,9х10</t>
  </si>
  <si>
    <t>П50х40х10</t>
  </si>
  <si>
    <t>П50х40х5</t>
  </si>
  <si>
    <t>Д16х3 ВМ-1950.5679.13.03.003</t>
  </si>
  <si>
    <t>П55х40х3</t>
  </si>
  <si>
    <t>П55х24х3</t>
  </si>
  <si>
    <t>П14х7х2,4</t>
  </si>
  <si>
    <t>П7х6х3</t>
  </si>
  <si>
    <t>Д40х5х3</t>
  </si>
  <si>
    <t>Д40х5х2</t>
  </si>
  <si>
    <t>943</t>
  </si>
  <si>
    <t>П 5х5х20 (ЭПГ110.156)</t>
  </si>
  <si>
    <t>Д40х9</t>
  </si>
  <si>
    <t>1262</t>
  </si>
  <si>
    <t>П30х30х9</t>
  </si>
  <si>
    <t>К35х5(10)х6</t>
  </si>
  <si>
    <t>К25х5,5(10)х5</t>
  </si>
  <si>
    <t>Д8х10</t>
  </si>
  <si>
    <t>П10х10х4</t>
  </si>
  <si>
    <t>К11,2х7х15</t>
  </si>
  <si>
    <t>1245</t>
  </si>
  <si>
    <t>М НЖБ Д8*3 - 300 шт.</t>
  </si>
  <si>
    <t>АУИБ 757.159.004</t>
  </si>
  <si>
    <t>П84х12х7</t>
  </si>
  <si>
    <t>Д15х7х5</t>
  </si>
  <si>
    <t>М НЖБ П20х10х8-50 шт</t>
  </si>
  <si>
    <t>М НЖБ П40х40х10-4 шт</t>
  </si>
  <si>
    <t>К60х25х9</t>
  </si>
  <si>
    <t>С  R5K R14*5-1000 шт</t>
  </si>
  <si>
    <t>П2х3.5х3.8 DFM</t>
  </si>
  <si>
    <t>П7х8х17</t>
  </si>
  <si>
    <t>П50х8,5х2,7(БРАС757157.001)</t>
  </si>
  <si>
    <t>П50х8,5х2,7(БРАС757157.001-01)</t>
  </si>
  <si>
    <t>П52х20х8</t>
  </si>
  <si>
    <t>1119</t>
  </si>
  <si>
    <t>д12х4 нжб1200-150</t>
  </si>
  <si>
    <t>Д12х2</t>
  </si>
  <si>
    <t>П10х5х5</t>
  </si>
  <si>
    <t>972</t>
  </si>
  <si>
    <t>1303</t>
  </si>
  <si>
    <t xml:space="preserve">М НЖБ П40х40х9-230шт </t>
  </si>
  <si>
    <t>М НЖБ Д5х3- 50 шт</t>
  </si>
  <si>
    <t>М НЖБ Д8х4 -1100шт.</t>
  </si>
  <si>
    <t>М НЖБ Д12х5 -50шт.</t>
  </si>
  <si>
    <t>М П10х10х8-5 шт</t>
  </si>
  <si>
    <t>30М7115.01.30.007(П27х24х27)</t>
  </si>
  <si>
    <t>Д10*12</t>
  </si>
  <si>
    <t>Д40х5</t>
  </si>
  <si>
    <t>П7х6х2,5</t>
  </si>
  <si>
    <t>Д5х2,5</t>
  </si>
  <si>
    <t>МД72х12-12 шт</t>
  </si>
  <si>
    <t>М НЖБ Д20х5- 18 шт</t>
  </si>
  <si>
    <t>Э.200116.020-01 П50х37х13</t>
  </si>
  <si>
    <t>К22,4х8,9х10 ЭПГ110.138</t>
  </si>
  <si>
    <t>магнитопл П250х25х1</t>
  </si>
  <si>
    <t>Д8х4 ЭПГ111.011</t>
  </si>
  <si>
    <t>1322</t>
  </si>
  <si>
    <t>МД36-115 шт.</t>
  </si>
  <si>
    <t>М.гиб.рез-1 шт.</t>
  </si>
  <si>
    <t>С SQ2K P3622-200 шт</t>
  </si>
  <si>
    <t>М НЖБ Д4х2-80 шт+Д5х2-1360шт.</t>
  </si>
  <si>
    <t>М НЖБN35 8/00-2,5-6 шт</t>
  </si>
  <si>
    <t>М НЖБ Д5х6 -10 шт</t>
  </si>
  <si>
    <t>М НЖБ Д8х5 -66шт</t>
  </si>
  <si>
    <t>П84*66-8 шт</t>
  </si>
  <si>
    <t>К86х32х9 Кр.Борец</t>
  </si>
  <si>
    <t>П50х55х10</t>
  </si>
  <si>
    <t>К38х24х7</t>
  </si>
  <si>
    <t>К23х10х7</t>
  </si>
  <si>
    <t>П84*66-10 шт</t>
  </si>
  <si>
    <t>М НЖБ д30х7- 8 шт</t>
  </si>
  <si>
    <t>К14,5х6х22, К29х6х22</t>
  </si>
  <si>
    <t>К16х10х4,5</t>
  </si>
  <si>
    <t>П98х32х42</t>
  </si>
  <si>
    <t>П5,5х1,5х5,5</t>
  </si>
  <si>
    <t>П5,5х2х5,5</t>
  </si>
  <si>
    <t>П5,5х2,5х5,5</t>
  </si>
  <si>
    <t>C4х32</t>
  </si>
  <si>
    <t>магнит в оправе Д20+-0,5</t>
  </si>
  <si>
    <t>П27х24х27</t>
  </si>
  <si>
    <t>909</t>
  </si>
  <si>
    <t>910</t>
  </si>
  <si>
    <t>1352</t>
  </si>
  <si>
    <t>Д12х5</t>
  </si>
  <si>
    <t>Д12х25</t>
  </si>
  <si>
    <t>Д8х3(5)х2</t>
  </si>
  <si>
    <t>П4х4х3 б/п</t>
  </si>
  <si>
    <t>Д10х5</t>
  </si>
  <si>
    <t>МД85х9-20 шт.</t>
  </si>
  <si>
    <t>М НЖБ П50х30х5- 4 шт.</t>
  </si>
  <si>
    <t>М КС П24х55х3-2 шт</t>
  </si>
  <si>
    <t>П10х7х2,5</t>
  </si>
  <si>
    <t>Плоский магнит "стрелка"</t>
  </si>
  <si>
    <t>Кольцевой магнит большой Д17 со вставкой(110.045)</t>
  </si>
  <si>
    <t xml:space="preserve"> Малый Д5 со звездочкой (110.015)</t>
  </si>
  <si>
    <t>Кольцевой магнит большой усиленной намагниченности</t>
  </si>
  <si>
    <t>Круглый магнит аурикулярный Д2,5</t>
  </si>
  <si>
    <t>Круглый магнит малый Д3,5</t>
  </si>
  <si>
    <t>Круглый магнит большой Д5</t>
  </si>
  <si>
    <t>Кольцевой магнит малый Д11 со вставкой (110.044)</t>
  </si>
  <si>
    <t>4х кольцевой магнит</t>
  </si>
  <si>
    <t xml:space="preserve"> Односторонний под наклейку  Д5</t>
  </si>
  <si>
    <t>Крестообразный  магнит</t>
  </si>
  <si>
    <t xml:space="preserve"> Односторонний под наклейку  Д7</t>
  </si>
  <si>
    <t xml:space="preserve"> Большой Д7 со звездочкой (110.015)</t>
  </si>
  <si>
    <t>30М.14.2990.011(Д19,8х6)</t>
  </si>
  <si>
    <t>П25х14х7</t>
  </si>
  <si>
    <t>1302</t>
  </si>
  <si>
    <t>Д22х25((сост.из 3 штук)</t>
  </si>
  <si>
    <t>Д27х5</t>
  </si>
  <si>
    <t>П50х20х20</t>
  </si>
  <si>
    <t>МП25х10х5-60 шт</t>
  </si>
  <si>
    <t>МНЖБ П40х10-4 шт.</t>
  </si>
  <si>
    <t>М НЖБД20х5-70 шт.</t>
  </si>
  <si>
    <t>М НЖБК22х6х3-72 шт.</t>
  </si>
  <si>
    <t>М НЖБ П25х14-700 шт</t>
  </si>
  <si>
    <t>ОТГРУЗКА</t>
  </si>
  <si>
    <t>ЗА 2016 Г</t>
  </si>
  <si>
    <t>Химволокно</t>
  </si>
  <si>
    <t>отгрузка за январь</t>
  </si>
  <si>
    <t>1115 кг</t>
  </si>
  <si>
    <t>2657 кг</t>
  </si>
  <si>
    <t>1050 кг</t>
  </si>
  <si>
    <t>ЯНВАРЬ</t>
  </si>
  <si>
    <t>2017 г.</t>
  </si>
  <si>
    <t>П64х27х27</t>
  </si>
  <si>
    <t>П7х7х17</t>
  </si>
  <si>
    <t>119</t>
  </si>
  <si>
    <t>1217</t>
  </si>
  <si>
    <t>МД36 - 1000 шт</t>
  </si>
  <si>
    <t>М НЖБД20х6-405 шт.</t>
  </si>
  <si>
    <t>М НЖБ Д12*3 - 14 шт.</t>
  </si>
  <si>
    <t>М КС Д10х5- 10 шт</t>
  </si>
  <si>
    <t>М К 7*5-1 шт.</t>
  </si>
  <si>
    <t xml:space="preserve">Д13.5х2,5 </t>
  </si>
  <si>
    <t>П30х10х4</t>
  </si>
  <si>
    <t>М НЖБ Д22х8х8-3 шт</t>
  </si>
  <si>
    <t>М НЖБ Д11х16-100 шт</t>
  </si>
  <si>
    <t>П64х20х14</t>
  </si>
  <si>
    <t>6ти кольцевой</t>
  </si>
  <si>
    <t>П5х5х6</t>
  </si>
  <si>
    <t>ЭПГ 110.094 (П24х16х10)-Чебоксары</t>
  </si>
  <si>
    <t>большая Фронда</t>
  </si>
  <si>
    <t>Д5х20</t>
  </si>
  <si>
    <t>пж 06.56.026(П40х10х10)</t>
  </si>
  <si>
    <t>пж 06.56.029 (П40х10х10 с прорез)</t>
  </si>
  <si>
    <t>1377</t>
  </si>
  <si>
    <t>1403</t>
  </si>
  <si>
    <t>1396</t>
  </si>
  <si>
    <t>М НЖБ Д11х6- 21 шт</t>
  </si>
  <si>
    <t>М НЖБ Д5х2- 2 шт</t>
  </si>
  <si>
    <t>М НЖБ П20х10х8-10 шт</t>
  </si>
  <si>
    <t>М НЖБ 30х16хR50,15х3,1       -50 шт</t>
  </si>
  <si>
    <t>М НЖБД80х10-15 шт</t>
  </si>
  <si>
    <t>МД18х3-3500 шт</t>
  </si>
  <si>
    <t>П25х8х6</t>
  </si>
  <si>
    <t>Д11х7х62</t>
  </si>
  <si>
    <t>П10х7х2,4</t>
  </si>
  <si>
    <t>Д25х5</t>
  </si>
  <si>
    <t>Д6х2-Днамаг N48H</t>
  </si>
  <si>
    <t>С6х3 N42H</t>
  </si>
  <si>
    <t>K20х5(8)х5</t>
  </si>
  <si>
    <t>К25х5,5(10)х3</t>
  </si>
  <si>
    <t>К31х12х22</t>
  </si>
  <si>
    <t>Д5х2 с ник.покр.</t>
  </si>
  <si>
    <t>Д11х12</t>
  </si>
  <si>
    <t>Д15х3</t>
  </si>
  <si>
    <t>Д8х4 ЭПГ111.011МЗКТ</t>
  </si>
  <si>
    <t>П17х8х7</t>
  </si>
  <si>
    <t>май17г</t>
  </si>
  <si>
    <t>Д28х5</t>
  </si>
  <si>
    <t>N33-низкая пов.инд.130</t>
  </si>
  <si>
    <t>магнит по 7</t>
  </si>
  <si>
    <t>С D20*6- 35 шт.</t>
  </si>
  <si>
    <t>МД72х10-220 шт</t>
  </si>
  <si>
    <t>М НЖБ Д5х10- 60 шт</t>
  </si>
  <si>
    <t>М НЖБ П25х14- 14 шт</t>
  </si>
  <si>
    <t>М. НЖБ Д11х15-40 шт</t>
  </si>
  <si>
    <t>КС П10х7х2,4-40 шт.</t>
  </si>
  <si>
    <t>КС П14х7х2,5-91 +П35х55х3-11 шт..</t>
  </si>
  <si>
    <t>П84*64*20</t>
  </si>
  <si>
    <t>П50х23х52 (ИНТЕГРАЛ)</t>
  </si>
  <si>
    <t>К47х8(12)х14,5</t>
  </si>
  <si>
    <t>Д20х4</t>
  </si>
  <si>
    <t>П40х20х20(ЭПГ111.039)с д3,5</t>
  </si>
  <si>
    <t>Д11,9х3,3</t>
  </si>
  <si>
    <t>П12х10х20 (скл. Интеграл)</t>
  </si>
  <si>
    <t>П40х25х10</t>
  </si>
  <si>
    <t>ЭПГ110.014</t>
  </si>
  <si>
    <t>ЭПГ110.044</t>
  </si>
  <si>
    <t>Д8х7</t>
  </si>
  <si>
    <t>Д8х5</t>
  </si>
  <si>
    <t>П2х5х2</t>
  </si>
  <si>
    <t xml:space="preserve">8ПМ.610.033    МП-1  </t>
  </si>
  <si>
    <t>П20х20х5</t>
  </si>
  <si>
    <t>П15х4,5х4</t>
  </si>
  <si>
    <t>424</t>
  </si>
  <si>
    <t>МД36-230 шт</t>
  </si>
  <si>
    <t>МП5х20-360 шт.</t>
  </si>
  <si>
    <t>МП17х8х7-1420 шт.</t>
  </si>
  <si>
    <t>С M400НН С10х200- 16 шт</t>
  </si>
  <si>
    <t>С600НН С8х160-28 шт.</t>
  </si>
  <si>
    <t>М НЖБ Д10х3-100 шт</t>
  </si>
  <si>
    <t>М НЖБ Д14х5-50 шт</t>
  </si>
  <si>
    <t>М НЖБ R47х4-236 шт</t>
  </si>
  <si>
    <t>М НЖБ Д28х5-10 шт</t>
  </si>
  <si>
    <t>МНЖБ П20х20х5-23  шт</t>
  </si>
  <si>
    <t>М- ЮНДК Д22,7х8,2х8,9--1600 шт</t>
  </si>
  <si>
    <t>КС П5х2,5-25 шт.</t>
  </si>
  <si>
    <t>КС Д10х5-4 шт.</t>
  </si>
  <si>
    <t>КС П40х55х3-6 шт.</t>
  </si>
  <si>
    <t>КС К7х5-100 шт.</t>
  </si>
  <si>
    <t>П30х16х10</t>
  </si>
  <si>
    <t>П55х16х25</t>
  </si>
  <si>
    <t>П55х18х5</t>
  </si>
  <si>
    <t>Д8,2х6,4</t>
  </si>
  <si>
    <t>Д9х7</t>
  </si>
  <si>
    <t>Д5х8</t>
  </si>
  <si>
    <t>С8х30</t>
  </si>
  <si>
    <t>1428</t>
  </si>
  <si>
    <t>1439</t>
  </si>
  <si>
    <t>1438</t>
  </si>
  <si>
    <t>1409</t>
  </si>
  <si>
    <t>1410</t>
  </si>
  <si>
    <t>Д6х2 НЖБ1400</t>
  </si>
  <si>
    <t>Д6х1 НЖБ1400</t>
  </si>
  <si>
    <t>1445</t>
  </si>
  <si>
    <t>МЭ250-3730-102</t>
  </si>
  <si>
    <t>Магн. гиб. резина 1х25-20 шт</t>
  </si>
  <si>
    <t>М НЖБ Д3х6-10 шт</t>
  </si>
  <si>
    <t>М НЖБ Д6х1-100 шт</t>
  </si>
  <si>
    <t>М НЖБ Д6х2-100 шт</t>
  </si>
  <si>
    <t>М НЖБ Д6х2-10 шт</t>
  </si>
  <si>
    <t>М НЖБ Д8,2х4-5000 шт</t>
  </si>
  <si>
    <t>М НЖБ Д8х10-500 шт</t>
  </si>
  <si>
    <t>М НЖБ Д9,6,8-50 шт</t>
  </si>
  <si>
    <t>М НЖБ Д28х5-17 шт</t>
  </si>
  <si>
    <t>М НЖБ П25х14-3 шт</t>
  </si>
  <si>
    <t>М НЖБ П25х14-33 шт</t>
  </si>
  <si>
    <t>М НЖБ П30х20х10-6 шт</t>
  </si>
  <si>
    <t>М НЖБ П30х20х3-3 шт.</t>
  </si>
  <si>
    <t>М НЖБ П52х16-4 шт</t>
  </si>
  <si>
    <t>КС Д5х2,5-30 шт.</t>
  </si>
  <si>
    <t>ИБЯД.04.00.001</t>
  </si>
  <si>
    <t>П31х35х8</t>
  </si>
  <si>
    <t>Магнит Д90/2</t>
  </si>
  <si>
    <t>П60х20х7</t>
  </si>
  <si>
    <t>К59х44х4</t>
  </si>
  <si>
    <t>К45х22х5</t>
  </si>
  <si>
    <t xml:space="preserve">Д10х14 </t>
  </si>
  <si>
    <t>АЮДИ 757.159.001</t>
  </si>
  <si>
    <t>Д13,5х4 б/п</t>
  </si>
  <si>
    <t>Д20х20</t>
  </si>
  <si>
    <t>П80х40х20</t>
  </si>
  <si>
    <t>774</t>
  </si>
  <si>
    <t>1449</t>
  </si>
  <si>
    <t>МД36-550 шт.</t>
  </si>
  <si>
    <t>МД45х7-12 шт</t>
  </si>
  <si>
    <t>МД45х7-1100 шт</t>
  </si>
  <si>
    <t>МД61х24х7-80 шт</t>
  </si>
  <si>
    <t>МД20х5-40 шт</t>
  </si>
  <si>
    <t>МП2х4х4-80 шт</t>
  </si>
  <si>
    <t>МП10х10х8-650 шт</t>
  </si>
  <si>
    <t>МП84*64*14-60 шт</t>
  </si>
  <si>
    <t>МП85х65-1463 шт</t>
  </si>
  <si>
    <t>МП31х19-300 шт</t>
  </si>
  <si>
    <t>М НЖБ  Д8х5-31 шт</t>
  </si>
  <si>
    <t>М НЖБ Д10х3-210 шт</t>
  </si>
  <si>
    <t>М НЖБ Д12х3- 15 шт</t>
  </si>
  <si>
    <t>М НЖБ Д12х5- 100 шт</t>
  </si>
  <si>
    <t>М НЖБ  Д13х7-3 шт</t>
  </si>
  <si>
    <t>М НЖБ П7х7х3-3 шт</t>
  </si>
  <si>
    <t>М НЖБ П40х40х9-11 шт</t>
  </si>
  <si>
    <t>на 01.10.17</t>
  </si>
  <si>
    <t>СД523007</t>
  </si>
  <si>
    <t>АУИБ 757.159.008</t>
  </si>
  <si>
    <t>СМр1 Д220-170/7</t>
  </si>
  <si>
    <t>МС 215х22</t>
  </si>
  <si>
    <t>Д150/5-Н</t>
  </si>
  <si>
    <t>СМР1 L175х15/7</t>
  </si>
  <si>
    <t>К25х5(10)х5</t>
  </si>
  <si>
    <t>К25х6х5</t>
  </si>
  <si>
    <t>СМР1 L220х165/7</t>
  </si>
  <si>
    <t>П50х50х24</t>
  </si>
  <si>
    <t>К15х5х5с зенк</t>
  </si>
  <si>
    <t>П26х15х4 б/п</t>
  </si>
  <si>
    <t>П20х8х3</t>
  </si>
  <si>
    <t>Д14,5х4(Химволокно)</t>
  </si>
  <si>
    <t>Д12х12</t>
  </si>
  <si>
    <t>П14х7х2</t>
  </si>
  <si>
    <t>П70х4х11</t>
  </si>
  <si>
    <t>на холод-ке</t>
  </si>
  <si>
    <t>П80х40х20 и П88х24х12,5</t>
  </si>
  <si>
    <t>размагничены</t>
  </si>
  <si>
    <t xml:space="preserve"> плюс 3 шт размагн.</t>
  </si>
  <si>
    <t>Д10х16</t>
  </si>
  <si>
    <t>примерно 3000 шт ненамагн</t>
  </si>
  <si>
    <t>N42SH</t>
  </si>
  <si>
    <t>0861-8569.05 (Д20х25 с резьбой)</t>
  </si>
  <si>
    <t>со сколами</t>
  </si>
  <si>
    <t>К53х23х15</t>
  </si>
  <si>
    <t>стеллаж 7</t>
  </si>
  <si>
    <t>стеллаж 4</t>
  </si>
  <si>
    <t>на полу архивной</t>
  </si>
  <si>
    <t xml:space="preserve">7 стеллаж </t>
  </si>
  <si>
    <t xml:space="preserve">1 стеллаж </t>
  </si>
  <si>
    <t xml:space="preserve">4 стеллаж </t>
  </si>
  <si>
    <t>3 стеллаж</t>
  </si>
  <si>
    <t>2 стеллаж</t>
  </si>
  <si>
    <t>низк.св. стеллаж 5</t>
  </si>
  <si>
    <t>5 стеллаж</t>
  </si>
  <si>
    <t>на сепаратор</t>
  </si>
  <si>
    <t>ПС30х16х3</t>
  </si>
  <si>
    <t>шкаф- центр вверху</t>
  </si>
  <si>
    <t>2 шт размаг. 1 стеллаж</t>
  </si>
  <si>
    <t>размаг.-шкаф-центр</t>
  </si>
  <si>
    <t>шкаф-центр</t>
  </si>
  <si>
    <t>не намаг.шкаф центр</t>
  </si>
  <si>
    <t>размаг.-шкаф центр</t>
  </si>
  <si>
    <t>на полу возле шкафа</t>
  </si>
  <si>
    <t>есть разм.- шкаф центр и 1 стел.</t>
  </si>
  <si>
    <t>29 шт ненам.-2 стел.</t>
  </si>
  <si>
    <t>проверено 1 сент</t>
  </si>
  <si>
    <t>М П2х4х4-920 шт.</t>
  </si>
  <si>
    <t>МП24х10-6174 шт</t>
  </si>
  <si>
    <t>М НЖБ Д5х2-820 шт</t>
  </si>
  <si>
    <t>С DMR30 Н20х12х6 -120 шт.</t>
  </si>
  <si>
    <t>М НЖБ Д28х5-  4 шт.</t>
  </si>
  <si>
    <t>М НЖБ П31х35х8- 6 шт.</t>
  </si>
  <si>
    <t>М НЖБД30х7-  2шт.</t>
  </si>
  <si>
    <t>ОКТЯБРЬ</t>
  </si>
  <si>
    <t xml:space="preserve">ОСТАТОК   2017 г. </t>
  </si>
  <si>
    <t>01.11.17г.</t>
  </si>
  <si>
    <t>Планка магнит.</t>
  </si>
  <si>
    <t>Планка магнитная 0,5 м</t>
  </si>
  <si>
    <t>Планка магнитная  1 м</t>
  </si>
  <si>
    <t>Планка магнитная 0,75 м</t>
  </si>
  <si>
    <t>23х6,4х12,5</t>
  </si>
  <si>
    <t>К6х4х3</t>
  </si>
  <si>
    <t>Д13,5х2</t>
  </si>
  <si>
    <t>К34х26х3</t>
  </si>
  <si>
    <t>Д8,5х2,5 Магнитопласт</t>
  </si>
  <si>
    <t>Зам.директора по производству</t>
  </si>
  <si>
    <t>939</t>
  </si>
  <si>
    <t>1493</t>
  </si>
  <si>
    <t>1482</t>
  </si>
  <si>
    <t>926</t>
  </si>
  <si>
    <t>М К85х9-120 шт</t>
  </si>
  <si>
    <t>С H38-2780 шт+ DMR40H38-960 шт.</t>
  </si>
  <si>
    <t>СLP3 Н45х8х12-900 шт.</t>
  </si>
  <si>
    <t>МД72х10-12776 шт.</t>
  </si>
  <si>
    <t>МП25х16-7680 шт</t>
  </si>
  <si>
    <t>МП85х65-6908 шт</t>
  </si>
  <si>
    <t>Сердечник  LPE E16х8х4-550+С Ш4х4- 500 шт</t>
  </si>
  <si>
    <t>С R3K ЕЕ30-3350 шт</t>
  </si>
  <si>
    <t>М НЖБ Д3х2 -10 шт</t>
  </si>
  <si>
    <t>М НЖБ Д3,5х3 -50 шт</t>
  </si>
  <si>
    <t>М НЖБ Д5х3- 100 шт</t>
  </si>
  <si>
    <t>М МЦО НЖБ N35 8/00-2,5</t>
  </si>
  <si>
    <t>М НЖБ Д11х16-506шт.</t>
  </si>
  <si>
    <t>М НЖБД15х5-187 шт.</t>
  </si>
  <si>
    <t>М НЖБ д22х8х8- 6 шт</t>
  </si>
  <si>
    <t>М НЖБ П3х3х5-  1500 шт</t>
  </si>
  <si>
    <t>М НЖБ П14х7х2,5-200 шт</t>
  </si>
  <si>
    <t>М НЖБ П20х10х8- 50 шт.</t>
  </si>
  <si>
    <t>М НЖБ П40х10х5- 50 шт.</t>
  </si>
  <si>
    <t>М НЖБ П50х13-2 шт</t>
  </si>
  <si>
    <t>М ЮНДК Д21х25- 100 шт.</t>
  </si>
  <si>
    <t>КС П3х6х8-1800 шт.</t>
  </si>
  <si>
    <t>КС 7х5-200 шт.</t>
  </si>
  <si>
    <t>НОЯБРЬ</t>
  </si>
  <si>
    <t>на 01.11.17</t>
  </si>
  <si>
    <t>на 01.12.17</t>
  </si>
  <si>
    <t xml:space="preserve">Д12х18 </t>
  </si>
  <si>
    <t>П100х30х15</t>
  </si>
  <si>
    <t>Д16х3</t>
  </si>
  <si>
    <t>ЭПГ110.032</t>
  </si>
  <si>
    <t>Д10х14,5</t>
  </si>
  <si>
    <t>СМР1 300х250/5 с корпусом</t>
  </si>
  <si>
    <t>СМБ1-305/400</t>
  </si>
  <si>
    <t>1343</t>
  </si>
  <si>
    <t xml:space="preserve">Директор </t>
  </si>
  <si>
    <t>Жихар А.И.</t>
  </si>
  <si>
    <t>Список товаров в обороте на 1 ноября 2017 г.</t>
  </si>
  <si>
    <t>01.12.17г.</t>
  </si>
  <si>
    <t>МД20х5-12 шт</t>
  </si>
  <si>
    <t>МД18х3-4100 шт</t>
  </si>
  <si>
    <t>МД18х3-1200 шт</t>
  </si>
  <si>
    <t>МП5х20-220 шт.</t>
  </si>
  <si>
    <t>МД72х12-3276 шт.</t>
  </si>
  <si>
    <t>Д5х3 N42H</t>
  </si>
  <si>
    <t>Д20х10</t>
  </si>
  <si>
    <t>на 31.12.17</t>
  </si>
  <si>
    <t>СМР1 250х250/9</t>
  </si>
  <si>
    <t>П70х15х8</t>
  </si>
  <si>
    <t>С6х3</t>
  </si>
  <si>
    <t>уловитель НЖБ стерж 22х125</t>
  </si>
  <si>
    <t>1437</t>
  </si>
  <si>
    <t>ВОЗВРАТ БРАКА С  ПОЛЕСЬЯ  299136*0,03= 8974,08</t>
  </si>
  <si>
    <t>ПРИХОД НА СКЛАД ЗА ДЕКАБРЬ</t>
  </si>
  <si>
    <t>БЕЗ ВОЗВРАТА БРАКА</t>
  </si>
  <si>
    <t>РАЗНИЦА</t>
  </si>
  <si>
    <t>В 1С</t>
  </si>
  <si>
    <t>По складу</t>
  </si>
  <si>
    <t>01.01.18г.</t>
  </si>
  <si>
    <t>МД45х7-40 шт</t>
  </si>
  <si>
    <t>МД18х3-1000 шт</t>
  </si>
  <si>
    <t>С DMR40H38-1029 шт.</t>
  </si>
  <si>
    <t>СLP3 Н45х8х12-860 шт.</t>
  </si>
  <si>
    <t>Сердечник  LPE E16х8х4-1100 шт</t>
  </si>
  <si>
    <t>С R3K ЕЕ30-4000 шт</t>
  </si>
  <si>
    <t>М НЖБ Д3х3-1600 шт</t>
  </si>
  <si>
    <t>М НЖБ Д3,5х2-21 шт</t>
  </si>
  <si>
    <t>М НЖБ Д8х3-100 шт</t>
  </si>
  <si>
    <t>М НЖБ Д8х10-50 шт</t>
  </si>
  <si>
    <t>М  НЖБ Д8х10- 9514 шт.</t>
  </si>
  <si>
    <t>М НЖБ Д10х3-665 шт</t>
  </si>
  <si>
    <t>М НЖБ Д11х6-100 шт</t>
  </si>
  <si>
    <t>М AMTC/N35/Д.0.20.5-8 шт</t>
  </si>
  <si>
    <t>М НЖБ П47х28х3,5-27 шт</t>
  </si>
  <si>
    <t>М НЖБ Д22х8х8-8 шт</t>
  </si>
  <si>
    <t>на 01.01.18</t>
  </si>
  <si>
    <t>на 01.02.18</t>
  </si>
  <si>
    <t>Д2Ох5</t>
  </si>
  <si>
    <t>К32х12х5 нам.D</t>
  </si>
  <si>
    <t>П53х3,5х4,5</t>
  </si>
  <si>
    <t>СМП1 470х450х200</t>
  </si>
  <si>
    <t>к21х12х7</t>
  </si>
  <si>
    <t>к38х22х7</t>
  </si>
  <si>
    <t>8000НМ</t>
  </si>
  <si>
    <t>10000НМ</t>
  </si>
  <si>
    <t xml:space="preserve">П4х4х3 </t>
  </si>
  <si>
    <t>1502</t>
  </si>
  <si>
    <t>1503</t>
  </si>
  <si>
    <t>1504</t>
  </si>
  <si>
    <t>1505</t>
  </si>
  <si>
    <t>1506</t>
  </si>
  <si>
    <t>1507</t>
  </si>
  <si>
    <t>ЭПГ110.045</t>
  </si>
  <si>
    <t>1514</t>
  </si>
  <si>
    <t>ЯНВАРЬ 2018 г.</t>
  </si>
  <si>
    <t>01.02.18г.</t>
  </si>
  <si>
    <t>Д5х16</t>
  </si>
  <si>
    <t xml:space="preserve">Д7,9х10 </t>
  </si>
  <si>
    <t>М НЖБ Д5х3- 40 шт</t>
  </si>
  <si>
    <t>М НЖБ Д5х10- 100 шт</t>
  </si>
  <si>
    <t>М НЖБ Д3,5х2-120 шт</t>
  </si>
  <si>
    <t>М НЖБ Д8,2х4-1000 шт</t>
  </si>
  <si>
    <t>С DMR40H38-285 шт.</t>
  </si>
  <si>
    <t>С600НН С8х160-10 шт.</t>
  </si>
  <si>
    <t>С DMR30 H16-560 шт.</t>
  </si>
  <si>
    <t>С LPE E16х8х4-840 шт</t>
  </si>
  <si>
    <t>С R5K H23-250 шт</t>
  </si>
  <si>
    <t>С R7K H23-250 шт</t>
  </si>
  <si>
    <t>С R10K H23-250 шт</t>
  </si>
  <si>
    <t>С R5K H38-250 шт</t>
  </si>
  <si>
    <t>С R7K H38-250 шт</t>
  </si>
  <si>
    <t>С R10K H38-250 шт</t>
  </si>
  <si>
    <t>МД36-400 шт.</t>
  </si>
  <si>
    <t>М Д85х9-30 шт</t>
  </si>
  <si>
    <t>М Д85х44-5 шт</t>
  </si>
  <si>
    <t>М П17х8х7-650 шт</t>
  </si>
  <si>
    <t>М НЖБД15х5(10)х5-170 шт.</t>
  </si>
  <si>
    <t>М НЖБ П3х3х5-  1700 шт</t>
  </si>
  <si>
    <t>М НЖБ N35 8-160 шт</t>
  </si>
  <si>
    <t>М НЖБ П14х7х4-410+П14х7х2,3- 378 шт</t>
  </si>
  <si>
    <t>М НЖБ Д11х15-700шт.</t>
  </si>
  <si>
    <t>М НЖБ Д8х10-100 шт</t>
  </si>
  <si>
    <t>М  НЖБ Д8х10- 1200 шт.</t>
  </si>
  <si>
    <t>КС Д10х5-15 шт.</t>
  </si>
  <si>
    <t>КС П24х55х3-5 шт.</t>
  </si>
  <si>
    <t>КС П24х55х3-9 шт.</t>
  </si>
  <si>
    <t>КС П24х55х3-1 шт.</t>
  </si>
  <si>
    <t>на 01.03.18</t>
  </si>
  <si>
    <t>К12х3х11,5</t>
  </si>
  <si>
    <t>Порошок</t>
  </si>
  <si>
    <t>Порошок 28СА250</t>
  </si>
  <si>
    <t>СМП400 подборщик</t>
  </si>
  <si>
    <t>К59х25х9</t>
  </si>
  <si>
    <t xml:space="preserve">П6х6х4 </t>
  </si>
  <si>
    <t>СМП2 500х500</t>
  </si>
  <si>
    <t>СМР1 д22х150/5 с/к</t>
  </si>
  <si>
    <t>Д45х15</t>
  </si>
  <si>
    <t>01.03.18г.</t>
  </si>
  <si>
    <t>ФЕВРАЛЬ</t>
  </si>
  <si>
    <t>ФЕВРАЛЬ 2018 г.</t>
  </si>
  <si>
    <t xml:space="preserve">ОСТАТОК   2018 г. </t>
  </si>
  <si>
    <t>М НЖБ Д3,5х3-120 шт</t>
  </si>
  <si>
    <t>1521</t>
  </si>
  <si>
    <t>Образцы К14,5х6х22, К29х6х22</t>
  </si>
  <si>
    <t>АУИБ 757.159.007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</si>
</sst>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d\ mmmm\ yyyy"/>
    <numFmt numFmtId="165" formatCode="#,##0.0_р_."/>
    <numFmt numFmtId="166" formatCode="#,##0_р_."/>
    <numFmt numFmtId="167" formatCode="#,##0\ _р_."/>
    <numFmt numFmtId="168" formatCode="#,##0.00_р_."/>
    <numFmt numFmtId="169" formatCode="#,##0.000_р_."/>
    <numFmt numFmtId="170" formatCode="dd/mm/yy;@"/>
  </numFmts>
  <fonts count="78" x14ac:knownFonts="1">
    <font>
      <sz val="10"/>
      <name val="Arial Cyr"/>
      <charset val="204"/>
    </font>
    <font>
      <sz val="10"/>
      <name val="Arial Cyr"/>
      <charset val="204"/>
    </font>
    <font>
      <sz val="14"/>
      <name val="Arial Cyr"/>
      <family val="2"/>
      <charset val="204"/>
    </font>
    <font>
      <b/>
      <sz val="14"/>
      <name val="Arial Cyr"/>
      <family val="2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12"/>
      <name val="Arial Cyr"/>
      <family val="2"/>
      <charset val="204"/>
    </font>
    <font>
      <sz val="16"/>
      <name val="Arial Cyr"/>
      <family val="2"/>
      <charset val="204"/>
    </font>
    <font>
      <sz val="11"/>
      <name val="Arial Cyr"/>
      <family val="2"/>
      <charset val="204"/>
    </font>
    <font>
      <b/>
      <sz val="16"/>
      <name val="Arial Cyr"/>
      <family val="2"/>
      <charset val="204"/>
    </font>
    <font>
      <b/>
      <sz val="14"/>
      <name val="Arial Cyr"/>
      <charset val="204"/>
    </font>
    <font>
      <b/>
      <sz val="9"/>
      <name val="Arial Cyr"/>
      <family val="2"/>
      <charset val="204"/>
    </font>
    <font>
      <b/>
      <sz val="11"/>
      <name val="Arial CYR"/>
      <family val="2"/>
      <charset val="204"/>
    </font>
    <font>
      <b/>
      <sz val="12"/>
      <name val="Arial Cyr"/>
      <charset val="204"/>
    </font>
    <font>
      <sz val="11"/>
      <name val="Arial Cyr"/>
      <charset val="204"/>
    </font>
    <font>
      <sz val="9"/>
      <name val="Arial Cyr"/>
      <charset val="204"/>
    </font>
    <font>
      <sz val="8"/>
      <name val="Arial Cyr"/>
      <family val="2"/>
      <charset val="204"/>
    </font>
    <font>
      <sz val="9"/>
      <name val="Arial Cyr"/>
      <family val="2"/>
      <charset val="204"/>
    </font>
    <font>
      <sz val="14"/>
      <name val="Arial Cyr"/>
      <charset val="204"/>
    </font>
    <font>
      <sz val="8"/>
      <name val="Arial Cyr"/>
      <charset val="204"/>
    </font>
    <font>
      <b/>
      <sz val="11"/>
      <name val="Arial Cyr"/>
      <charset val="204"/>
    </font>
    <font>
      <b/>
      <sz val="8"/>
      <name val="Arial Cyr"/>
      <family val="2"/>
      <charset val="204"/>
    </font>
    <font>
      <b/>
      <sz val="9"/>
      <name val="Arial Cyr"/>
      <charset val="204"/>
    </font>
    <font>
      <b/>
      <sz val="10"/>
      <name val="Arial Cyr"/>
      <charset val="204"/>
    </font>
    <font>
      <b/>
      <sz val="16"/>
      <name val="Arial Cyr"/>
      <charset val="204"/>
    </font>
    <font>
      <b/>
      <sz val="14"/>
      <color indexed="9"/>
      <name val="Arial Cyr"/>
      <charset val="204"/>
    </font>
    <font>
      <b/>
      <sz val="14"/>
      <color indexed="9"/>
      <name val="Arial Cyr"/>
      <family val="2"/>
      <charset val="204"/>
    </font>
    <font>
      <sz val="14"/>
      <color indexed="9"/>
      <name val="Arial Cyr"/>
      <charset val="204"/>
    </font>
    <font>
      <sz val="10"/>
      <name val="Helv"/>
    </font>
    <font>
      <sz val="10"/>
      <color indexed="9"/>
      <name val="Helv"/>
    </font>
    <font>
      <b/>
      <sz val="8"/>
      <name val="Arial Cyr"/>
      <charset val="204"/>
    </font>
    <font>
      <sz val="9"/>
      <name val="Arial Black"/>
      <family val="2"/>
      <charset val="204"/>
    </font>
    <font>
      <b/>
      <sz val="8"/>
      <name val="Arial"/>
      <family val="2"/>
      <charset val="204"/>
    </font>
    <font>
      <b/>
      <sz val="8"/>
      <color indexed="9"/>
      <name val="Arial"/>
      <family val="2"/>
      <charset val="204"/>
    </font>
    <font>
      <b/>
      <sz val="9"/>
      <name val="Arial"/>
      <family val="2"/>
      <charset val="204"/>
    </font>
    <font>
      <b/>
      <sz val="10"/>
      <name val="Arial Black"/>
      <family val="2"/>
      <charset val="204"/>
    </font>
    <font>
      <sz val="10"/>
      <name val="Arial Black"/>
      <family val="2"/>
      <charset val="204"/>
    </font>
    <font>
      <b/>
      <sz val="12"/>
      <name val="Arial"/>
      <family val="2"/>
      <charset val="204"/>
    </font>
    <font>
      <b/>
      <sz val="12"/>
      <color indexed="9"/>
      <name val="Arial"/>
      <family val="2"/>
      <charset val="204"/>
    </font>
    <font>
      <b/>
      <sz val="9"/>
      <color indexed="9"/>
      <name val="Arial"/>
      <family val="2"/>
      <charset val="204"/>
    </font>
    <font>
      <b/>
      <sz val="9"/>
      <name val="Arial Black"/>
      <family val="2"/>
      <charset val="204"/>
    </font>
    <font>
      <sz val="9"/>
      <name val="Helv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b/>
      <sz val="10"/>
      <color indexed="9"/>
      <name val="Arial"/>
      <family val="2"/>
      <charset val="204"/>
    </font>
    <font>
      <b/>
      <sz val="16"/>
      <color indexed="9"/>
      <name val="Arial Cyr"/>
      <charset val="204"/>
    </font>
    <font>
      <sz val="10"/>
      <color indexed="81"/>
      <name val="Tahoma"/>
      <charset val="204"/>
    </font>
    <font>
      <b/>
      <sz val="10"/>
      <color indexed="81"/>
      <name val="Tahoma"/>
      <charset val="204"/>
    </font>
    <font>
      <sz val="9"/>
      <color indexed="9"/>
      <name val="Arial Black"/>
      <family val="2"/>
      <charset val="204"/>
    </font>
    <font>
      <b/>
      <sz val="16"/>
      <color indexed="9"/>
      <name val="Arial"/>
      <family val="2"/>
      <charset val="204"/>
    </font>
    <font>
      <b/>
      <sz val="11"/>
      <name val="Arial"/>
      <family val="2"/>
      <charset val="204"/>
    </font>
    <font>
      <sz val="16"/>
      <name val="Arial Cyr"/>
      <charset val="204"/>
    </font>
    <font>
      <b/>
      <sz val="18"/>
      <name val="Arial Cyr"/>
      <charset val="204"/>
    </font>
    <font>
      <b/>
      <sz val="18"/>
      <name val="Arial Cyr"/>
      <family val="2"/>
      <charset val="204"/>
    </font>
    <font>
      <sz val="12"/>
      <name val="Arial Cyr"/>
      <charset val="204"/>
    </font>
    <font>
      <sz val="12"/>
      <name val="Arial Cyr"/>
      <family val="2"/>
      <charset val="204"/>
    </font>
    <font>
      <b/>
      <sz val="12"/>
      <color indexed="9"/>
      <name val="Arial Cyr"/>
      <charset val="204"/>
    </font>
    <font>
      <b/>
      <sz val="11"/>
      <name val="Arial Black"/>
      <family val="2"/>
      <charset val="204"/>
    </font>
    <font>
      <sz val="12"/>
      <name val="Arial Black"/>
      <family val="2"/>
      <charset val="204"/>
    </font>
    <font>
      <sz val="10"/>
      <color indexed="9"/>
      <name val="Arial Cyr"/>
      <charset val="204"/>
    </font>
    <font>
      <b/>
      <sz val="18"/>
      <color indexed="9"/>
      <name val="Arial Cyr"/>
      <charset val="204"/>
    </font>
    <font>
      <sz val="11"/>
      <color indexed="9"/>
      <name val="Arial Cyr"/>
      <charset val="204"/>
    </font>
    <font>
      <sz val="9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b/>
      <sz val="14"/>
      <name val="Arial Black"/>
      <family val="2"/>
      <charset val="204"/>
    </font>
    <font>
      <b/>
      <sz val="12"/>
      <name val="Times New Roman"/>
      <family val="1"/>
      <charset val="204"/>
    </font>
    <font>
      <sz val="14"/>
      <name val="Arial Black"/>
      <family val="2"/>
      <charset val="204"/>
    </font>
    <font>
      <sz val="11"/>
      <name val="Arial Black"/>
      <family val="2"/>
      <charset val="204"/>
    </font>
    <font>
      <b/>
      <sz val="14"/>
      <name val="Times New Roman"/>
      <family val="1"/>
      <charset val="204"/>
    </font>
    <font>
      <b/>
      <sz val="12"/>
      <name val="Arial Black"/>
      <family val="2"/>
      <charset val="204"/>
    </font>
    <font>
      <sz val="8"/>
      <name val="Arial"/>
      <family val="2"/>
      <charset val="204"/>
    </font>
    <font>
      <sz val="8"/>
      <color indexed="9"/>
      <name val="Arial"/>
      <family val="2"/>
      <charset val="204"/>
    </font>
    <font>
      <b/>
      <sz val="12"/>
      <color indexed="10"/>
      <name val="Arial"/>
      <family val="2"/>
      <charset val="204"/>
    </font>
    <font>
      <b/>
      <sz val="11"/>
      <color indexed="9"/>
      <name val="Arial Cyr"/>
      <family val="2"/>
      <charset val="204"/>
    </font>
    <font>
      <b/>
      <sz val="11"/>
      <color indexed="9"/>
      <name val="Arial Cyr"/>
      <charset val="204"/>
    </font>
    <font>
      <b/>
      <sz val="10"/>
      <name val="Times New Roman"/>
      <family val="1"/>
      <charset val="204"/>
    </font>
    <font>
      <sz val="9"/>
      <name val="Arial"/>
      <family val="2"/>
      <charset val="204"/>
    </font>
    <font>
      <sz val="14"/>
      <color indexed="9"/>
      <name val="Arial Cyr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2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8" fillId="0" borderId="0"/>
  </cellStyleXfs>
  <cellXfs count="901">
    <xf numFmtId="0" fontId="0" fillId="0" borderId="0" xfId="0"/>
    <xf numFmtId="167" fontId="23" fillId="2" borderId="1" xfId="0" applyNumberFormat="1" applyFont="1" applyFill="1" applyBorder="1" applyAlignment="1">
      <alignment wrapText="1"/>
    </xf>
    <xf numFmtId="0" fontId="9" fillId="2" borderId="0" xfId="1" applyFont="1" applyFill="1"/>
    <xf numFmtId="0" fontId="8" fillId="2" borderId="0" xfId="1" applyFont="1" applyFill="1"/>
    <xf numFmtId="0" fontId="1" fillId="3" borderId="0" xfId="1" applyFont="1" applyFill="1"/>
    <xf numFmtId="0" fontId="3" fillId="2" borderId="0" xfId="1" applyFont="1" applyFill="1"/>
    <xf numFmtId="0" fontId="22" fillId="2" borderId="1" xfId="1" applyFont="1" applyFill="1" applyBorder="1" applyAlignment="1">
      <alignment horizontal="center" wrapText="1"/>
    </xf>
    <xf numFmtId="0" fontId="31" fillId="2" borderId="1" xfId="1" applyFont="1" applyFill="1" applyBorder="1" applyAlignment="1">
      <alignment wrapText="1"/>
    </xf>
    <xf numFmtId="0" fontId="3" fillId="3" borderId="0" xfId="1" applyFont="1" applyFill="1"/>
    <xf numFmtId="167" fontId="23" fillId="2" borderId="1" xfId="1" applyNumberFormat="1" applyFont="1" applyFill="1" applyBorder="1" applyAlignment="1">
      <alignment wrapText="1"/>
    </xf>
    <xf numFmtId="0" fontId="1" fillId="2" borderId="0" xfId="1" applyFont="1" applyFill="1"/>
    <xf numFmtId="0" fontId="3" fillId="2" borderId="1" xfId="1" applyFont="1" applyFill="1" applyBorder="1" applyAlignment="1">
      <alignment horizontal="right"/>
    </xf>
    <xf numFmtId="0" fontId="11" fillId="2" borderId="1" xfId="1" applyFont="1" applyFill="1" applyBorder="1"/>
    <xf numFmtId="0" fontId="5" fillId="2" borderId="1" xfId="1" applyFont="1" applyFill="1" applyBorder="1"/>
    <xf numFmtId="0" fontId="3" fillId="2" borderId="1" xfId="1" applyFont="1" applyFill="1" applyBorder="1"/>
    <xf numFmtId="0" fontId="10" fillId="2" borderId="1" xfId="1" applyFont="1" applyFill="1" applyBorder="1" applyAlignment="1">
      <alignment horizontal="right"/>
    </xf>
    <xf numFmtId="0" fontId="1" fillId="2" borderId="1" xfId="1" applyFont="1" applyFill="1" applyBorder="1"/>
    <xf numFmtId="0" fontId="12" fillId="2" borderId="1" xfId="1" applyFont="1" applyFill="1" applyBorder="1"/>
    <xf numFmtId="166" fontId="3" fillId="2" borderId="1" xfId="1" applyNumberFormat="1" applyFont="1" applyFill="1" applyBorder="1"/>
    <xf numFmtId="0" fontId="10" fillId="2" borderId="1" xfId="1" applyFont="1" applyFill="1" applyBorder="1"/>
    <xf numFmtId="166" fontId="3" fillId="2" borderId="2" xfId="1" applyNumberFormat="1" applyFont="1" applyFill="1" applyBorder="1"/>
    <xf numFmtId="0" fontId="14" fillId="2" borderId="0" xfId="1" applyFont="1" applyFill="1"/>
    <xf numFmtId="0" fontId="1" fillId="4" borderId="0" xfId="1" applyFont="1" applyFill="1"/>
    <xf numFmtId="0" fontId="19" fillId="2" borderId="1" xfId="1" applyFont="1" applyFill="1" applyBorder="1" applyAlignment="1">
      <alignment horizontal="left" wrapText="1"/>
    </xf>
    <xf numFmtId="0" fontId="10" fillId="2" borderId="0" xfId="1" applyFont="1" applyFill="1"/>
    <xf numFmtId="0" fontId="2" fillId="2" borderId="0" xfId="1" applyFont="1" applyFill="1" applyAlignment="1">
      <alignment horizontal="right"/>
    </xf>
    <xf numFmtId="0" fontId="10" fillId="2" borderId="0" xfId="1" applyFont="1" applyFill="1" applyBorder="1"/>
    <xf numFmtId="0" fontId="2" fillId="2" borderId="0" xfId="1" applyFont="1" applyFill="1" applyBorder="1" applyAlignment="1">
      <alignment horizontal="right"/>
    </xf>
    <xf numFmtId="0" fontId="7" fillId="2" borderId="0" xfId="1" applyFont="1" applyFill="1" applyBorder="1"/>
    <xf numFmtId="0" fontId="27" fillId="2" borderId="0" xfId="1" applyFont="1" applyFill="1" applyBorder="1" applyAlignment="1">
      <alignment horizontal="right"/>
    </xf>
    <xf numFmtId="0" fontId="1" fillId="2" borderId="0" xfId="1" applyFont="1" applyFill="1" applyBorder="1"/>
    <xf numFmtId="0" fontId="18" fillId="2" borderId="0" xfId="1" applyFont="1" applyFill="1" applyBorder="1" applyAlignment="1">
      <alignment horizontal="right"/>
    </xf>
    <xf numFmtId="0" fontId="11" fillId="2" borderId="0" xfId="1" applyFont="1" applyFill="1" applyBorder="1"/>
    <xf numFmtId="0" fontId="25" fillId="2" borderId="0" xfId="1" applyFont="1" applyFill="1" applyBorder="1" applyAlignment="1">
      <alignment horizontal="right"/>
    </xf>
    <xf numFmtId="0" fontId="8" fillId="2" borderId="1" xfId="1" applyFont="1" applyFill="1" applyBorder="1"/>
    <xf numFmtId="166" fontId="7" fillId="2" borderId="1" xfId="1" applyNumberFormat="1" applyFont="1" applyFill="1" applyBorder="1"/>
    <xf numFmtId="0" fontId="9" fillId="2" borderId="3" xfId="1" applyFont="1" applyFill="1" applyBorder="1"/>
    <xf numFmtId="0" fontId="36" fillId="2" borderId="0" xfId="1" applyFont="1" applyFill="1" applyAlignment="1">
      <alignment vertical="center"/>
    </xf>
    <xf numFmtId="0" fontId="37" fillId="2" borderId="0" xfId="1" applyFont="1" applyFill="1" applyBorder="1" applyAlignment="1">
      <alignment wrapText="1"/>
    </xf>
    <xf numFmtId="3" fontId="37" fillId="2" borderId="1" xfId="1" applyNumberFormat="1" applyFont="1" applyFill="1" applyBorder="1"/>
    <xf numFmtId="3" fontId="37" fillId="2" borderId="1" xfId="1" applyNumberFormat="1" applyFont="1" applyFill="1" applyBorder="1" applyAlignment="1">
      <alignment horizontal="right"/>
    </xf>
    <xf numFmtId="166" fontId="37" fillId="2" borderId="1" xfId="1" applyNumberFormat="1" applyFont="1" applyFill="1" applyBorder="1"/>
    <xf numFmtId="166" fontId="38" fillId="2" borderId="1" xfId="1" applyNumberFormat="1" applyFont="1" applyFill="1" applyBorder="1" applyAlignment="1">
      <alignment wrapText="1"/>
    </xf>
    <xf numFmtId="167" fontId="37" fillId="2" borderId="1" xfId="1" applyNumberFormat="1" applyFont="1" applyFill="1" applyBorder="1" applyAlignment="1">
      <alignment wrapText="1"/>
    </xf>
    <xf numFmtId="3" fontId="37" fillId="2" borderId="0" xfId="1" applyNumberFormat="1" applyFont="1" applyFill="1" applyBorder="1"/>
    <xf numFmtId="0" fontId="37" fillId="2" borderId="0" xfId="1" applyFont="1" applyFill="1" applyBorder="1"/>
    <xf numFmtId="0" fontId="37" fillId="2" borderId="0" xfId="1" applyFont="1" applyFill="1"/>
    <xf numFmtId="0" fontId="34" fillId="2" borderId="1" xfId="1" applyFont="1" applyFill="1" applyBorder="1" applyAlignment="1" applyProtection="1">
      <alignment horizontal="left" vertical="center" wrapText="1"/>
      <protection locked="0"/>
    </xf>
    <xf numFmtId="0" fontId="15" fillId="2" borderId="1" xfId="1" applyFont="1" applyFill="1" applyBorder="1"/>
    <xf numFmtId="0" fontId="15" fillId="2" borderId="0" xfId="1" applyFont="1" applyFill="1" applyBorder="1"/>
    <xf numFmtId="0" fontId="15" fillId="2" borderId="0" xfId="1" applyFont="1" applyFill="1"/>
    <xf numFmtId="3" fontId="35" fillId="2" borderId="1" xfId="1" applyNumberFormat="1" applyFont="1" applyFill="1" applyBorder="1" applyAlignment="1">
      <alignment vertical="center"/>
    </xf>
    <xf numFmtId="166" fontId="3" fillId="2" borderId="4" xfId="1" applyNumberFormat="1" applyFont="1" applyFill="1" applyBorder="1"/>
    <xf numFmtId="0" fontId="31" fillId="2" borderId="0" xfId="1" applyFont="1" applyFill="1"/>
    <xf numFmtId="0" fontId="4" fillId="2" borderId="0" xfId="1" applyFont="1" applyFill="1" applyBorder="1" applyAlignment="1">
      <alignment horizontal="center"/>
    </xf>
    <xf numFmtId="0" fontId="15" fillId="2" borderId="5" xfId="1" applyFont="1" applyFill="1" applyBorder="1" applyAlignment="1">
      <alignment horizontal="center"/>
    </xf>
    <xf numFmtId="0" fontId="37" fillId="2" borderId="6" xfId="1" applyFont="1" applyFill="1" applyBorder="1" applyAlignment="1">
      <alignment horizontal="center"/>
    </xf>
    <xf numFmtId="0" fontId="6" fillId="2" borderId="7" xfId="1" applyFont="1" applyFill="1" applyBorder="1" applyAlignment="1">
      <alignment horizontal="left" vertical="center"/>
    </xf>
    <xf numFmtId="0" fontId="31" fillId="2" borderId="8" xfId="1" applyFont="1" applyFill="1" applyBorder="1" applyAlignment="1">
      <alignment horizontal="center" vertical="center" wrapText="1"/>
    </xf>
    <xf numFmtId="0" fontId="26" fillId="2" borderId="1" xfId="1" applyFont="1" applyFill="1" applyBorder="1"/>
    <xf numFmtId="166" fontId="37" fillId="2" borderId="1" xfId="1" applyNumberFormat="1" applyFont="1" applyFill="1" applyBorder="1" applyAlignment="1">
      <alignment wrapText="1"/>
    </xf>
    <xf numFmtId="166" fontId="37" fillId="2" borderId="0" xfId="1" applyNumberFormat="1" applyFont="1" applyFill="1"/>
    <xf numFmtId="166" fontId="29" fillId="2" borderId="1" xfId="0" applyNumberFormat="1" applyFont="1" applyFill="1" applyBorder="1" applyAlignment="1">
      <alignment wrapText="1"/>
    </xf>
    <xf numFmtId="166" fontId="34" fillId="2" borderId="1" xfId="1" applyNumberFormat="1" applyFont="1" applyFill="1" applyBorder="1" applyAlignment="1">
      <alignment wrapText="1"/>
    </xf>
    <xf numFmtId="0" fontId="39" fillId="2" borderId="1" xfId="1" applyFont="1" applyFill="1" applyBorder="1" applyAlignment="1" applyProtection="1">
      <alignment horizontal="left" vertical="center" wrapText="1"/>
      <protection locked="0"/>
    </xf>
    <xf numFmtId="0" fontId="31" fillId="2" borderId="9" xfId="1" applyFont="1" applyFill="1" applyBorder="1" applyAlignment="1">
      <alignment horizontal="right" vertical="center" wrapText="1"/>
    </xf>
    <xf numFmtId="0" fontId="40" fillId="2" borderId="10" xfId="1" applyFont="1" applyFill="1" applyBorder="1" applyAlignment="1">
      <alignment horizontal="center" vertical="center" wrapText="1"/>
    </xf>
    <xf numFmtId="0" fontId="40" fillId="2" borderId="8" xfId="1" applyFont="1" applyFill="1" applyBorder="1" applyAlignment="1">
      <alignment horizontal="center" vertical="center" wrapText="1"/>
    </xf>
    <xf numFmtId="0" fontId="42" fillId="2" borderId="1" xfId="1" applyFont="1" applyFill="1" applyBorder="1" applyAlignment="1">
      <alignment wrapText="1"/>
    </xf>
    <xf numFmtId="0" fontId="43" fillId="2" borderId="1" xfId="1" applyFont="1" applyFill="1" applyBorder="1" applyAlignment="1" applyProtection="1">
      <alignment horizontal="left" vertical="center" wrapText="1"/>
      <protection locked="0"/>
    </xf>
    <xf numFmtId="166" fontId="3" fillId="3" borderId="2" xfId="1" applyNumberFormat="1" applyFont="1" applyFill="1" applyBorder="1"/>
    <xf numFmtId="166" fontId="43" fillId="2" borderId="0" xfId="1" applyNumberFormat="1" applyFont="1" applyFill="1" applyBorder="1" applyAlignment="1">
      <alignment horizontal="left" wrapText="1"/>
    </xf>
    <xf numFmtId="166" fontId="39" fillId="2" borderId="1" xfId="0" applyNumberFormat="1" applyFont="1" applyFill="1" applyBorder="1" applyAlignment="1">
      <alignment wrapText="1"/>
    </xf>
    <xf numFmtId="166" fontId="37" fillId="2" borderId="11" xfId="1" applyNumberFormat="1" applyFont="1" applyFill="1" applyBorder="1" applyAlignment="1">
      <alignment horizontal="right"/>
    </xf>
    <xf numFmtId="166" fontId="24" fillId="2" borderId="1" xfId="1" applyNumberFormat="1" applyFont="1" applyFill="1" applyBorder="1"/>
    <xf numFmtId="166" fontId="8" fillId="2" borderId="1" xfId="1" applyNumberFormat="1" applyFont="1" applyFill="1" applyBorder="1"/>
    <xf numFmtId="0" fontId="19" fillId="2" borderId="0" xfId="1" applyFont="1" applyFill="1" applyAlignment="1">
      <alignment horizontal="left"/>
    </xf>
    <xf numFmtId="0" fontId="19" fillId="2" borderId="8" xfId="1" applyFont="1" applyFill="1" applyBorder="1" applyAlignment="1">
      <alignment horizontal="left" vertical="center" wrapText="1"/>
    </xf>
    <xf numFmtId="0" fontId="19" fillId="2" borderId="6" xfId="1" applyFont="1" applyFill="1" applyBorder="1" applyAlignment="1">
      <alignment horizontal="left"/>
    </xf>
    <xf numFmtId="0" fontId="30" fillId="2" borderId="1" xfId="1" applyFont="1" applyFill="1" applyBorder="1" applyAlignment="1">
      <alignment horizontal="left" wrapText="1"/>
    </xf>
    <xf numFmtId="0" fontId="30" fillId="2" borderId="0" xfId="1" applyFont="1" applyFill="1" applyBorder="1" applyAlignment="1">
      <alignment horizontal="left"/>
    </xf>
    <xf numFmtId="0" fontId="19" fillId="2" borderId="0" xfId="1" applyFont="1" applyFill="1" applyBorder="1" applyAlignment="1">
      <alignment horizontal="left"/>
    </xf>
    <xf numFmtId="166" fontId="39" fillId="2" borderId="1" xfId="1" applyNumberFormat="1" applyFont="1" applyFill="1" applyBorder="1" applyAlignment="1">
      <alignment horizontal="left" wrapText="1"/>
    </xf>
    <xf numFmtId="0" fontId="37" fillId="2" borderId="0" xfId="1" applyFont="1" applyFill="1" applyAlignment="1"/>
    <xf numFmtId="167" fontId="20" fillId="2" borderId="1" xfId="0" applyNumberFormat="1" applyFont="1" applyFill="1" applyBorder="1" applyAlignment="1"/>
    <xf numFmtId="166" fontId="34" fillId="2" borderId="1" xfId="1" applyNumberFormat="1" applyFont="1" applyFill="1" applyBorder="1" applyAlignment="1">
      <alignment horizontal="left" wrapText="1"/>
    </xf>
    <xf numFmtId="0" fontId="32" fillId="2" borderId="1" xfId="1" applyFont="1" applyFill="1" applyBorder="1" applyAlignment="1">
      <alignment wrapText="1"/>
    </xf>
    <xf numFmtId="167" fontId="20" fillId="2" borderId="1" xfId="0" applyNumberFormat="1" applyFont="1" applyFill="1" applyBorder="1" applyAlignment="1">
      <alignment wrapText="1"/>
    </xf>
    <xf numFmtId="166" fontId="44" fillId="2" borderId="1" xfId="1" applyNumberFormat="1" applyFont="1" applyFill="1" applyBorder="1" applyAlignment="1">
      <alignment wrapText="1"/>
    </xf>
    <xf numFmtId="166" fontId="39" fillId="2" borderId="1" xfId="1" applyNumberFormat="1" applyFont="1" applyFill="1" applyBorder="1" applyAlignment="1">
      <alignment wrapText="1"/>
    </xf>
    <xf numFmtId="0" fontId="38" fillId="2" borderId="1" xfId="1" applyFont="1" applyFill="1" applyBorder="1" applyAlignment="1" applyProtection="1">
      <alignment horizontal="left" vertical="center" wrapText="1"/>
      <protection locked="0"/>
    </xf>
    <xf numFmtId="0" fontId="44" fillId="2" borderId="1" xfId="1" applyFont="1" applyFill="1" applyBorder="1" applyAlignment="1" applyProtection="1">
      <alignment horizontal="left" vertical="center" wrapText="1"/>
      <protection locked="0"/>
    </xf>
    <xf numFmtId="166" fontId="38" fillId="2" borderId="1" xfId="1" applyNumberFormat="1" applyFont="1" applyFill="1" applyBorder="1" applyAlignment="1">
      <alignment horizontal="left" wrapText="1"/>
    </xf>
    <xf numFmtId="0" fontId="38" fillId="2" borderId="1" xfId="1" applyFont="1" applyFill="1" applyBorder="1" applyAlignment="1">
      <alignment wrapText="1"/>
    </xf>
    <xf numFmtId="2" fontId="33" fillId="2" borderId="1" xfId="1" applyNumberFormat="1" applyFont="1" applyFill="1" applyBorder="1" applyAlignment="1" applyProtection="1">
      <alignment horizontal="left" vertical="center" wrapText="1"/>
      <protection locked="0"/>
    </xf>
    <xf numFmtId="168" fontId="44" fillId="2" borderId="1" xfId="1" applyNumberFormat="1" applyFont="1" applyFill="1" applyBorder="1" applyAlignment="1">
      <alignment wrapText="1"/>
    </xf>
    <xf numFmtId="2" fontId="39" fillId="2" borderId="1" xfId="1" applyNumberFormat="1" applyFont="1" applyFill="1" applyBorder="1" applyAlignment="1" applyProtection="1">
      <alignment horizontal="left" vertical="center" wrapText="1"/>
      <protection locked="0"/>
    </xf>
    <xf numFmtId="2" fontId="38" fillId="2" borderId="1" xfId="1" applyNumberFormat="1" applyFont="1" applyFill="1" applyBorder="1" applyAlignment="1" applyProtection="1">
      <alignment horizontal="left" vertical="center" wrapText="1"/>
      <protection locked="0"/>
    </xf>
    <xf numFmtId="0" fontId="33" fillId="2" borderId="1" xfId="1" applyFont="1" applyFill="1" applyBorder="1" applyAlignment="1">
      <alignment wrapText="1"/>
    </xf>
    <xf numFmtId="2" fontId="39" fillId="2" borderId="1" xfId="1" applyNumberFormat="1" applyFont="1" applyFill="1" applyBorder="1" applyAlignment="1">
      <alignment wrapText="1"/>
    </xf>
    <xf numFmtId="167" fontId="23" fillId="4" borderId="1" xfId="0" applyNumberFormat="1" applyFont="1" applyFill="1" applyBorder="1" applyAlignment="1">
      <alignment wrapText="1"/>
    </xf>
    <xf numFmtId="167" fontId="22" fillId="4" borderId="1" xfId="0" applyNumberFormat="1" applyFont="1" applyFill="1" applyBorder="1" applyAlignment="1">
      <alignment wrapText="1"/>
    </xf>
    <xf numFmtId="166" fontId="26" fillId="2" borderId="1" xfId="1" applyNumberFormat="1" applyFont="1" applyFill="1" applyBorder="1"/>
    <xf numFmtId="166" fontId="3" fillId="2" borderId="6" xfId="1" applyNumberFormat="1" applyFont="1" applyFill="1" applyBorder="1"/>
    <xf numFmtId="0" fontId="50" fillId="2" borderId="1" xfId="1" applyFont="1" applyFill="1" applyBorder="1"/>
    <xf numFmtId="0" fontId="50" fillId="2" borderId="1" xfId="1" applyFont="1" applyFill="1" applyBorder="1" applyAlignment="1">
      <alignment wrapText="1"/>
    </xf>
    <xf numFmtId="167" fontId="50" fillId="2" borderId="1" xfId="0" applyNumberFormat="1" applyFont="1" applyFill="1" applyBorder="1" applyAlignment="1">
      <alignment wrapText="1"/>
    </xf>
    <xf numFmtId="167" fontId="50" fillId="2" borderId="1" xfId="1" applyNumberFormat="1" applyFont="1" applyFill="1" applyBorder="1" applyAlignment="1">
      <alignment wrapText="1"/>
    </xf>
    <xf numFmtId="0" fontId="50" fillId="2" borderId="0" xfId="1" applyFont="1" applyFill="1" applyBorder="1"/>
    <xf numFmtId="0" fontId="9" fillId="2" borderId="1" xfId="1" applyFont="1" applyFill="1" applyBorder="1"/>
    <xf numFmtId="0" fontId="14" fillId="2" borderId="1" xfId="1" applyFont="1" applyFill="1" applyBorder="1"/>
    <xf numFmtId="166" fontId="3" fillId="2" borderId="0" xfId="1" applyNumberFormat="1" applyFont="1" applyFill="1" applyBorder="1"/>
    <xf numFmtId="0" fontId="0" fillId="2" borderId="1" xfId="0" applyFill="1" applyBorder="1"/>
    <xf numFmtId="0" fontId="51" fillId="2" borderId="1" xfId="1" applyFont="1" applyFill="1" applyBorder="1"/>
    <xf numFmtId="0" fontId="53" fillId="2" borderId="1" xfId="1" applyFont="1" applyFill="1" applyBorder="1"/>
    <xf numFmtId="0" fontId="52" fillId="2" borderId="1" xfId="1" applyFont="1" applyFill="1" applyBorder="1"/>
    <xf numFmtId="166" fontId="44" fillId="2" borderId="1" xfId="0" applyNumberFormat="1" applyFont="1" applyFill="1" applyBorder="1" applyAlignment="1">
      <alignment wrapText="1"/>
    </xf>
    <xf numFmtId="168" fontId="39" fillId="2" borderId="1" xfId="0" applyNumberFormat="1" applyFont="1" applyFill="1" applyBorder="1" applyAlignment="1">
      <alignment wrapText="1"/>
    </xf>
    <xf numFmtId="0" fontId="20" fillId="2" borderId="0" xfId="1" applyFont="1" applyFill="1"/>
    <xf numFmtId="0" fontId="57" fillId="2" borderId="1" xfId="1" applyFont="1" applyFill="1" applyBorder="1"/>
    <xf numFmtId="0" fontId="20" fillId="2" borderId="1" xfId="1" applyFont="1" applyFill="1" applyBorder="1"/>
    <xf numFmtId="0" fontId="54" fillId="2" borderId="0" xfId="1" applyFont="1" applyFill="1"/>
    <xf numFmtId="0" fontId="6" fillId="2" borderId="0" xfId="1" applyFont="1" applyFill="1"/>
    <xf numFmtId="0" fontId="58" fillId="2" borderId="1" xfId="1" applyFont="1" applyFill="1" applyBorder="1"/>
    <xf numFmtId="0" fontId="55" fillId="2" borderId="1" xfId="1" applyFont="1" applyFill="1" applyBorder="1"/>
    <xf numFmtId="0" fontId="54" fillId="2" borderId="1" xfId="1" applyFont="1" applyFill="1" applyBorder="1"/>
    <xf numFmtId="0" fontId="54" fillId="3" borderId="1" xfId="1" applyFont="1" applyFill="1" applyBorder="1"/>
    <xf numFmtId="0" fontId="26" fillId="2" borderId="0" xfId="1" applyFont="1" applyFill="1"/>
    <xf numFmtId="0" fontId="59" fillId="2" borderId="1" xfId="1" applyFont="1" applyFill="1" applyBorder="1"/>
    <xf numFmtId="0" fontId="59" fillId="2" borderId="0" xfId="1" applyFont="1" applyFill="1"/>
    <xf numFmtId="0" fontId="60" fillId="2" borderId="1" xfId="1" applyFont="1" applyFill="1" applyBorder="1"/>
    <xf numFmtId="0" fontId="61" fillId="2" borderId="1" xfId="1" applyFont="1" applyFill="1" applyBorder="1"/>
    <xf numFmtId="0" fontId="61" fillId="2" borderId="0" xfId="1" applyFont="1" applyFill="1"/>
    <xf numFmtId="169" fontId="26" fillId="2" borderId="0" xfId="1" applyNumberFormat="1" applyFont="1" applyFill="1" applyBorder="1"/>
    <xf numFmtId="166" fontId="56" fillId="2" borderId="0" xfId="1" applyNumberFormat="1" applyFont="1" applyFill="1" applyBorder="1"/>
    <xf numFmtId="0" fontId="6" fillId="2" borderId="1" xfId="1" applyFont="1" applyFill="1" applyBorder="1"/>
    <xf numFmtId="0" fontId="55" fillId="2" borderId="0" xfId="1" applyFont="1" applyFill="1" applyBorder="1"/>
    <xf numFmtId="0" fontId="54" fillId="2" borderId="0" xfId="1" applyFont="1" applyFill="1" applyBorder="1"/>
    <xf numFmtId="166" fontId="40" fillId="5" borderId="12" xfId="1" applyNumberFormat="1" applyFont="1" applyFill="1" applyBorder="1" applyAlignment="1">
      <alignment horizontal="center" vertical="center" wrapText="1"/>
    </xf>
    <xf numFmtId="166" fontId="37" fillId="5" borderId="13" xfId="1" applyNumberFormat="1" applyFont="1" applyFill="1" applyBorder="1" applyAlignment="1">
      <alignment horizontal="center"/>
    </xf>
    <xf numFmtId="166" fontId="37" fillId="5" borderId="1" xfId="1" applyNumberFormat="1" applyFont="1" applyFill="1" applyBorder="1"/>
    <xf numFmtId="166" fontId="37" fillId="5" borderId="1" xfId="1" applyNumberFormat="1" applyFont="1" applyFill="1" applyBorder="1" applyAlignment="1">
      <alignment wrapText="1"/>
    </xf>
    <xf numFmtId="166" fontId="37" fillId="5" borderId="1" xfId="1" applyNumberFormat="1" applyFont="1" applyFill="1" applyBorder="1" applyAlignment="1">
      <alignment horizontal="right"/>
    </xf>
    <xf numFmtId="166" fontId="37" fillId="5" borderId="1" xfId="1" applyNumberFormat="1" applyFont="1" applyFill="1" applyBorder="1" applyAlignment="1">
      <alignment horizontal="right" wrapText="1"/>
    </xf>
    <xf numFmtId="166" fontId="37" fillId="5" borderId="0" xfId="1" applyNumberFormat="1" applyFont="1" applyFill="1" applyBorder="1" applyAlignment="1">
      <alignment horizontal="right"/>
    </xf>
    <xf numFmtId="166" fontId="37" fillId="5" borderId="0" xfId="1" applyNumberFormat="1" applyFont="1" applyFill="1" applyBorder="1"/>
    <xf numFmtId="166" fontId="62" fillId="2" borderId="1" xfId="0" applyNumberFormat="1" applyFont="1" applyFill="1" applyBorder="1" applyAlignment="1">
      <alignment wrapText="1"/>
    </xf>
    <xf numFmtId="166" fontId="3" fillId="6" borderId="1" xfId="1" applyNumberFormat="1" applyFont="1" applyFill="1" applyBorder="1"/>
    <xf numFmtId="166" fontId="3" fillId="6" borderId="2" xfId="1" applyNumberFormat="1" applyFont="1" applyFill="1" applyBorder="1"/>
    <xf numFmtId="0" fontId="36" fillId="2" borderId="0" xfId="1" applyFont="1" applyFill="1" applyBorder="1" applyAlignment="1">
      <alignment vertical="center"/>
    </xf>
    <xf numFmtId="0" fontId="20" fillId="2" borderId="0" xfId="1" applyFont="1" applyFill="1" applyBorder="1"/>
    <xf numFmtId="3" fontId="15" fillId="2" borderId="0" xfId="1" applyNumberFormat="1" applyFont="1" applyFill="1" applyBorder="1"/>
    <xf numFmtId="166" fontId="10" fillId="2" borderId="0" xfId="1" applyNumberFormat="1" applyFont="1" applyFill="1" applyBorder="1"/>
    <xf numFmtId="166" fontId="45" fillId="2" borderId="0" xfId="1" applyNumberFormat="1" applyFont="1" applyFill="1" applyBorder="1"/>
    <xf numFmtId="0" fontId="42" fillId="2" borderId="1" xfId="1" applyFont="1" applyFill="1" applyBorder="1" applyAlignment="1" applyProtection="1">
      <alignment horizontal="left" vertical="center" wrapText="1"/>
      <protection locked="0"/>
    </xf>
    <xf numFmtId="0" fontId="63" fillId="2" borderId="1" xfId="1" applyFont="1" applyFill="1" applyBorder="1" applyAlignment="1" applyProtection="1">
      <alignment horizontal="left" vertical="center" wrapText="1"/>
      <protection locked="0"/>
    </xf>
    <xf numFmtId="2" fontId="62" fillId="2" borderId="1" xfId="1" applyNumberFormat="1" applyFont="1" applyFill="1" applyBorder="1" applyAlignment="1">
      <alignment wrapText="1"/>
    </xf>
    <xf numFmtId="0" fontId="62" fillId="2" borderId="1" xfId="1" applyFont="1" applyFill="1" applyBorder="1" applyAlignment="1">
      <alignment wrapText="1"/>
    </xf>
    <xf numFmtId="2" fontId="62" fillId="2" borderId="1" xfId="1" applyNumberFormat="1" applyFont="1" applyFill="1" applyBorder="1" applyAlignment="1" applyProtection="1">
      <alignment horizontal="left" vertical="center" wrapText="1"/>
      <protection locked="0"/>
    </xf>
    <xf numFmtId="169" fontId="64" fillId="2" borderId="1" xfId="1" applyNumberFormat="1" applyFont="1" applyFill="1" applyBorder="1" applyAlignment="1">
      <alignment wrapText="1"/>
    </xf>
    <xf numFmtId="169" fontId="3" fillId="2" borderId="1" xfId="1" applyNumberFormat="1" applyFont="1" applyFill="1" applyBorder="1"/>
    <xf numFmtId="166" fontId="13" fillId="2" borderId="0" xfId="1" applyNumberFormat="1" applyFont="1" applyFill="1"/>
    <xf numFmtId="166" fontId="13" fillId="2" borderId="1" xfId="1" applyNumberFormat="1" applyFont="1" applyFill="1" applyBorder="1"/>
    <xf numFmtId="166" fontId="54" fillId="2" borderId="1" xfId="1" applyNumberFormat="1" applyFont="1" applyFill="1" applyBorder="1"/>
    <xf numFmtId="166" fontId="6" fillId="2" borderId="1" xfId="1" applyNumberFormat="1" applyFont="1" applyFill="1" applyBorder="1"/>
    <xf numFmtId="166" fontId="55" fillId="2" borderId="1" xfId="1" applyNumberFormat="1" applyFont="1" applyFill="1" applyBorder="1"/>
    <xf numFmtId="166" fontId="13" fillId="2" borderId="0" xfId="1" applyNumberFormat="1" applyFont="1" applyFill="1" applyBorder="1"/>
    <xf numFmtId="166" fontId="35" fillId="2" borderId="1" xfId="1" applyNumberFormat="1" applyFont="1" applyFill="1" applyBorder="1" applyAlignment="1">
      <alignment wrapText="1"/>
    </xf>
    <xf numFmtId="166" fontId="23" fillId="2" borderId="1" xfId="1" applyNumberFormat="1" applyFont="1" applyFill="1" applyBorder="1"/>
    <xf numFmtId="169" fontId="10" fillId="2" borderId="0" xfId="1" applyNumberFormat="1" applyFont="1" applyFill="1" applyBorder="1"/>
    <xf numFmtId="169" fontId="10" fillId="2" borderId="0" xfId="1" applyNumberFormat="1" applyFont="1" applyFill="1"/>
    <xf numFmtId="169" fontId="10" fillId="2" borderId="1" xfId="1" applyNumberFormat="1" applyFont="1" applyFill="1" applyBorder="1"/>
    <xf numFmtId="2" fontId="23" fillId="2" borderId="0" xfId="1" applyNumberFormat="1" applyFont="1" applyFill="1" applyBorder="1"/>
    <xf numFmtId="2" fontId="5" fillId="2" borderId="1" xfId="1" applyNumberFormat="1" applyFont="1" applyFill="1" applyBorder="1"/>
    <xf numFmtId="2" fontId="35" fillId="2" borderId="1" xfId="1" applyNumberFormat="1" applyFont="1" applyFill="1" applyBorder="1" applyAlignment="1">
      <alignment wrapText="1"/>
    </xf>
    <xf numFmtId="2" fontId="4" fillId="2" borderId="1" xfId="1" applyNumberFormat="1" applyFont="1" applyFill="1" applyBorder="1"/>
    <xf numFmtId="2" fontId="23" fillId="2" borderId="1" xfId="1" applyNumberFormat="1" applyFont="1" applyFill="1" applyBorder="1"/>
    <xf numFmtId="2" fontId="4" fillId="2" borderId="0" xfId="1" applyNumberFormat="1" applyFont="1" applyFill="1" applyBorder="1"/>
    <xf numFmtId="165" fontId="3" fillId="2" borderId="1" xfId="1" applyNumberFormat="1" applyFont="1" applyFill="1" applyBorder="1"/>
    <xf numFmtId="165" fontId="3" fillId="2" borderId="0" xfId="1" applyNumberFormat="1" applyFont="1" applyFill="1"/>
    <xf numFmtId="165" fontId="10" fillId="2" borderId="1" xfId="1" applyNumberFormat="1" applyFont="1" applyFill="1" applyBorder="1"/>
    <xf numFmtId="165" fontId="10" fillId="2" borderId="0" xfId="1" applyNumberFormat="1" applyFont="1" applyFill="1" applyBorder="1"/>
    <xf numFmtId="165" fontId="18" fillId="2" borderId="0" xfId="1" applyNumberFormat="1" applyFont="1" applyFill="1"/>
    <xf numFmtId="165" fontId="66" fillId="2" borderId="1" xfId="1" applyNumberFormat="1" applyFont="1" applyFill="1" applyBorder="1" applyAlignment="1">
      <alignment wrapText="1"/>
    </xf>
    <xf numFmtId="165" fontId="2" fillId="2" borderId="1" xfId="1" applyNumberFormat="1" applyFont="1" applyFill="1" applyBorder="1"/>
    <xf numFmtId="165" fontId="18" fillId="2" borderId="1" xfId="1" applyNumberFormat="1" applyFont="1" applyFill="1" applyBorder="1"/>
    <xf numFmtId="165" fontId="18" fillId="3" borderId="1" xfId="1" applyNumberFormat="1" applyFont="1" applyFill="1" applyBorder="1"/>
    <xf numFmtId="165" fontId="2" fillId="2" borderId="0" xfId="1" applyNumberFormat="1" applyFont="1" applyFill="1" applyBorder="1"/>
    <xf numFmtId="165" fontId="18" fillId="2" borderId="0" xfId="1" applyNumberFormat="1" applyFont="1" applyFill="1" applyBorder="1"/>
    <xf numFmtId="165" fontId="18" fillId="7" borderId="1" xfId="1" applyNumberFormat="1" applyFont="1" applyFill="1" applyBorder="1"/>
    <xf numFmtId="169" fontId="3" fillId="3" borderId="1" xfId="1" applyNumberFormat="1" applyFont="1" applyFill="1" applyBorder="1"/>
    <xf numFmtId="166" fontId="34" fillId="2" borderId="1" xfId="0" applyNumberFormat="1" applyFont="1" applyFill="1" applyBorder="1" applyAlignment="1">
      <alignment wrapText="1"/>
    </xf>
    <xf numFmtId="2" fontId="1" fillId="2" borderId="1" xfId="1" applyNumberFormat="1" applyFont="1" applyFill="1" applyBorder="1"/>
    <xf numFmtId="2" fontId="1" fillId="2" borderId="0" xfId="1" applyNumberFormat="1" applyFont="1" applyFill="1" applyBorder="1"/>
    <xf numFmtId="166" fontId="42" fillId="2" borderId="1" xfId="1" applyNumberFormat="1" applyFont="1" applyFill="1" applyBorder="1" applyAlignment="1">
      <alignment wrapText="1"/>
    </xf>
    <xf numFmtId="166" fontId="43" fillId="2" borderId="1" xfId="1" applyNumberFormat="1" applyFont="1" applyFill="1" applyBorder="1" applyAlignment="1">
      <alignment wrapText="1"/>
    </xf>
    <xf numFmtId="166" fontId="42" fillId="2" borderId="1" xfId="1" applyNumberFormat="1" applyFont="1" applyFill="1" applyBorder="1" applyAlignment="1">
      <alignment horizontal="left" wrapText="1"/>
    </xf>
    <xf numFmtId="2" fontId="42" fillId="2" borderId="1" xfId="1" applyNumberFormat="1" applyFont="1" applyFill="1" applyBorder="1" applyAlignment="1" applyProtection="1">
      <alignment horizontal="left" vertical="center" wrapText="1"/>
      <protection locked="0"/>
    </xf>
    <xf numFmtId="166" fontId="37" fillId="2" borderId="13" xfId="1" applyNumberFormat="1" applyFont="1" applyFill="1" applyBorder="1" applyAlignment="1">
      <alignment horizontal="right"/>
    </xf>
    <xf numFmtId="166" fontId="26" fillId="2" borderId="2" xfId="1" applyNumberFormat="1" applyFont="1" applyFill="1" applyBorder="1"/>
    <xf numFmtId="166" fontId="10" fillId="2" borderId="1" xfId="1" applyNumberFormat="1" applyFont="1" applyFill="1" applyBorder="1"/>
    <xf numFmtId="166" fontId="10" fillId="3" borderId="1" xfId="1" applyNumberFormat="1" applyFont="1" applyFill="1" applyBorder="1"/>
    <xf numFmtId="0" fontId="68" fillId="2" borderId="1" xfId="0" applyFont="1" applyFill="1" applyBorder="1" applyAlignment="1">
      <alignment horizontal="center" vertical="center" wrapText="1"/>
    </xf>
    <xf numFmtId="2" fontId="63" fillId="2" borderId="1" xfId="1" applyNumberFormat="1" applyFont="1" applyFill="1" applyBorder="1" applyAlignment="1" applyProtection="1">
      <alignment horizontal="left" vertical="center" wrapText="1"/>
      <protection locked="0"/>
    </xf>
    <xf numFmtId="166" fontId="44" fillId="2" borderId="1" xfId="1" applyNumberFormat="1" applyFont="1" applyFill="1" applyBorder="1" applyAlignment="1">
      <alignment horizontal="left" wrapText="1"/>
    </xf>
    <xf numFmtId="166" fontId="63" fillId="2" borderId="1" xfId="1" applyNumberFormat="1" applyFont="1" applyFill="1" applyBorder="1" applyAlignment="1">
      <alignment wrapText="1"/>
    </xf>
    <xf numFmtId="0" fontId="51" fillId="2" borderId="0" xfId="1" applyFont="1" applyFill="1" applyBorder="1"/>
    <xf numFmtId="14" fontId="9" fillId="2" borderId="3" xfId="1" applyNumberFormat="1" applyFont="1" applyFill="1" applyBorder="1"/>
    <xf numFmtId="0" fontId="34" fillId="2" borderId="1" xfId="1" applyNumberFormat="1" applyFont="1" applyFill="1" applyBorder="1" applyAlignment="1">
      <alignment horizontal="center"/>
    </xf>
    <xf numFmtId="0" fontId="34" fillId="2" borderId="1" xfId="1" applyNumberFormat="1" applyFont="1" applyFill="1" applyBorder="1" applyAlignment="1">
      <alignment horizontal="right"/>
    </xf>
    <xf numFmtId="0" fontId="34" fillId="2" borderId="1" xfId="1" applyNumberFormat="1" applyFont="1" applyFill="1" applyBorder="1" applyAlignment="1"/>
    <xf numFmtId="49" fontId="34" fillId="2" borderId="1" xfId="1" applyNumberFormat="1" applyFont="1" applyFill="1" applyBorder="1" applyAlignment="1">
      <alignment horizontal="center"/>
    </xf>
    <xf numFmtId="167" fontId="13" fillId="2" borderId="1" xfId="0" applyNumberFormat="1" applyFont="1" applyFill="1" applyBorder="1" applyAlignment="1">
      <alignment wrapText="1"/>
    </xf>
    <xf numFmtId="168" fontId="29" fillId="2" borderId="1" xfId="0" applyNumberFormat="1" applyFont="1" applyFill="1" applyBorder="1" applyAlignment="1">
      <alignment wrapText="1"/>
    </xf>
    <xf numFmtId="168" fontId="39" fillId="2" borderId="1" xfId="1" applyNumberFormat="1" applyFont="1" applyFill="1" applyBorder="1" applyAlignment="1">
      <alignment wrapText="1"/>
    </xf>
    <xf numFmtId="2" fontId="44" fillId="2" borderId="1" xfId="1" applyNumberFormat="1" applyFont="1" applyFill="1" applyBorder="1" applyAlignment="1">
      <alignment wrapText="1"/>
    </xf>
    <xf numFmtId="2" fontId="34" fillId="2" borderId="1" xfId="1" applyNumberFormat="1" applyFont="1" applyFill="1" applyBorder="1" applyAlignment="1" applyProtection="1">
      <alignment horizontal="left" vertical="center" wrapText="1"/>
      <protection locked="0"/>
    </xf>
    <xf numFmtId="0" fontId="29" fillId="2" borderId="1" xfId="0" applyFont="1" applyFill="1" applyBorder="1" applyAlignment="1">
      <alignment wrapText="1"/>
    </xf>
    <xf numFmtId="168" fontId="42" fillId="2" borderId="1" xfId="0" applyNumberFormat="1" applyFont="1" applyFill="1" applyBorder="1" applyAlignment="1">
      <alignment wrapText="1"/>
    </xf>
    <xf numFmtId="2" fontId="42" fillId="2" borderId="1" xfId="1" applyNumberFormat="1" applyFont="1" applyFill="1" applyBorder="1" applyAlignment="1">
      <alignment wrapText="1"/>
    </xf>
    <xf numFmtId="166" fontId="42" fillId="2" borderId="1" xfId="0" applyNumberFormat="1" applyFont="1" applyFill="1" applyBorder="1" applyAlignment="1">
      <alignment wrapText="1"/>
    </xf>
    <xf numFmtId="166" fontId="42" fillId="2" borderId="0" xfId="1" applyNumberFormat="1" applyFont="1" applyFill="1" applyAlignment="1">
      <alignment horizontal="left" wrapText="1"/>
    </xf>
    <xf numFmtId="0" fontId="42" fillId="2" borderId="0" xfId="1" applyFont="1" applyFill="1" applyBorder="1" applyAlignment="1">
      <alignment wrapText="1"/>
    </xf>
    <xf numFmtId="0" fontId="42" fillId="2" borderId="14" xfId="1" applyFont="1" applyFill="1" applyBorder="1" applyAlignment="1">
      <alignment horizontal="left" vertical="center" wrapText="1"/>
    </xf>
    <xf numFmtId="166" fontId="42" fillId="2" borderId="15" xfId="1" applyNumberFormat="1" applyFont="1" applyFill="1" applyBorder="1" applyAlignment="1">
      <alignment horizontal="center" wrapText="1"/>
    </xf>
    <xf numFmtId="166" fontId="42" fillId="2" borderId="0" xfId="1" applyNumberFormat="1" applyFont="1" applyFill="1" applyBorder="1" applyAlignment="1">
      <alignment horizontal="left" wrapText="1"/>
    </xf>
    <xf numFmtId="167" fontId="34" fillId="2" borderId="0" xfId="1" applyNumberFormat="1" applyFont="1" applyFill="1" applyAlignment="1">
      <alignment horizontal="right"/>
    </xf>
    <xf numFmtId="0" fontId="34" fillId="2" borderId="16" xfId="1" applyFont="1" applyFill="1" applyBorder="1" applyAlignment="1">
      <alignment wrapText="1"/>
    </xf>
    <xf numFmtId="167" fontId="34" fillId="2" borderId="17" xfId="1" applyNumberFormat="1" applyFont="1" applyFill="1" applyBorder="1" applyAlignment="1">
      <alignment horizontal="right" vertical="center" wrapText="1"/>
    </xf>
    <xf numFmtId="167" fontId="34" fillId="2" borderId="18" xfId="1" applyNumberFormat="1" applyFont="1" applyFill="1" applyBorder="1" applyAlignment="1">
      <alignment horizontal="right"/>
    </xf>
    <xf numFmtId="167" fontId="34" fillId="2" borderId="1" xfId="1" applyNumberFormat="1" applyFont="1" applyFill="1" applyBorder="1" applyAlignment="1">
      <alignment horizontal="right"/>
    </xf>
    <xf numFmtId="3" fontId="34" fillId="2" borderId="0" xfId="1" applyNumberFormat="1" applyFont="1" applyFill="1" applyBorder="1"/>
    <xf numFmtId="167" fontId="34" fillId="2" borderId="0" xfId="1" applyNumberFormat="1" applyFont="1" applyFill="1" applyBorder="1" applyAlignment="1">
      <alignment horizontal="right"/>
    </xf>
    <xf numFmtId="166" fontId="63" fillId="2" borderId="1" xfId="0" applyNumberFormat="1" applyFont="1" applyFill="1" applyBorder="1" applyAlignment="1">
      <alignment wrapText="1"/>
    </xf>
    <xf numFmtId="0" fontId="63" fillId="2" borderId="1" xfId="1" applyFont="1" applyFill="1" applyBorder="1" applyAlignment="1">
      <alignment wrapText="1"/>
    </xf>
    <xf numFmtId="3" fontId="35" fillId="2" borderId="19" xfId="1" applyNumberFormat="1" applyFont="1" applyFill="1" applyBorder="1" applyAlignment="1">
      <alignment vertical="center"/>
    </xf>
    <xf numFmtId="0" fontId="37" fillId="2" borderId="8" xfId="1" applyFont="1" applyFill="1" applyBorder="1" applyAlignment="1">
      <alignment horizontal="center" vertical="center" wrapText="1"/>
    </xf>
    <xf numFmtId="0" fontId="37" fillId="2" borderId="1" xfId="1" applyFont="1" applyFill="1" applyBorder="1"/>
    <xf numFmtId="0" fontId="37" fillId="2" borderId="1" xfId="1" applyFont="1" applyFill="1" applyBorder="1" applyAlignment="1">
      <alignment wrapText="1"/>
    </xf>
    <xf numFmtId="167" fontId="37" fillId="2" borderId="1" xfId="0" applyNumberFormat="1" applyFont="1" applyFill="1" applyBorder="1" applyAlignment="1">
      <alignment wrapText="1"/>
    </xf>
    <xf numFmtId="167" fontId="13" fillId="4" borderId="1" xfId="0" applyNumberFormat="1" applyFont="1" applyFill="1" applyBorder="1" applyAlignment="1">
      <alignment wrapText="1"/>
    </xf>
    <xf numFmtId="0" fontId="54" fillId="2" borderId="1" xfId="0" applyFont="1" applyFill="1" applyBorder="1"/>
    <xf numFmtId="164" fontId="6" fillId="2" borderId="0" xfId="1" applyNumberFormat="1" applyFont="1" applyFill="1" applyBorder="1" applyAlignment="1">
      <alignment horizontal="right" wrapText="1"/>
    </xf>
    <xf numFmtId="164" fontId="6" fillId="2" borderId="0" xfId="1" applyNumberFormat="1" applyFont="1" applyFill="1" applyBorder="1" applyAlignment="1">
      <alignment horizontal="right"/>
    </xf>
    <xf numFmtId="1" fontId="21" fillId="2" borderId="0" xfId="1" applyNumberFormat="1" applyFont="1" applyFill="1" applyAlignment="1">
      <alignment horizontal="left" vertical="center"/>
    </xf>
    <xf numFmtId="164" fontId="69" fillId="2" borderId="0" xfId="1" applyNumberFormat="1" applyFont="1" applyFill="1" applyBorder="1" applyAlignment="1">
      <alignment horizontal="right" wrapText="1"/>
    </xf>
    <xf numFmtId="0" fontId="34" fillId="2" borderId="0" xfId="1" applyFont="1" applyFill="1" applyBorder="1" applyAlignment="1">
      <alignment wrapText="1"/>
    </xf>
    <xf numFmtId="0" fontId="9" fillId="2" borderId="6" xfId="1" applyFont="1" applyFill="1" applyBorder="1"/>
    <xf numFmtId="0" fontId="6" fillId="7" borderId="0" xfId="1" applyFont="1" applyFill="1"/>
    <xf numFmtId="0" fontId="71" fillId="2" borderId="1" xfId="0" applyFont="1" applyFill="1" applyBorder="1" applyAlignment="1">
      <alignment wrapText="1"/>
    </xf>
    <xf numFmtId="2" fontId="63" fillId="2" borderId="1" xfId="1" applyNumberFormat="1" applyFont="1" applyFill="1" applyBorder="1" applyAlignment="1">
      <alignment wrapText="1"/>
    </xf>
    <xf numFmtId="3" fontId="35" fillId="2" borderId="0" xfId="1" applyNumberFormat="1" applyFont="1" applyFill="1" applyBorder="1" applyAlignment="1"/>
    <xf numFmtId="0" fontId="30" fillId="2" borderId="20" xfId="1" applyFont="1" applyFill="1" applyBorder="1"/>
    <xf numFmtId="0" fontId="50" fillId="2" borderId="21" xfId="1" applyFont="1" applyFill="1" applyBorder="1" applyAlignment="1">
      <alignment horizontal="left"/>
    </xf>
    <xf numFmtId="0" fontId="15" fillId="2" borderId="21" xfId="1" applyFont="1" applyFill="1" applyBorder="1"/>
    <xf numFmtId="166" fontId="37" fillId="5" borderId="22" xfId="1" applyNumberFormat="1" applyFont="1" applyFill="1" applyBorder="1" applyAlignment="1">
      <alignment horizontal="right"/>
    </xf>
    <xf numFmtId="3" fontId="35" fillId="2" borderId="23" xfId="1" applyNumberFormat="1" applyFont="1" applyFill="1" applyBorder="1" applyAlignment="1">
      <alignment vertical="center"/>
    </xf>
    <xf numFmtId="166" fontId="24" fillId="6" borderId="1" xfId="1" applyNumberFormat="1" applyFont="1" applyFill="1" applyBorder="1"/>
    <xf numFmtId="3" fontId="35" fillId="2" borderId="24" xfId="1" applyNumberFormat="1" applyFont="1" applyFill="1" applyBorder="1" applyAlignment="1">
      <alignment vertical="center"/>
    </xf>
    <xf numFmtId="3" fontId="35" fillId="2" borderId="25" xfId="1" applyNumberFormat="1" applyFont="1" applyFill="1" applyBorder="1" applyAlignment="1">
      <alignment vertical="center"/>
    </xf>
    <xf numFmtId="3" fontId="35" fillId="2" borderId="26" xfId="1" applyNumberFormat="1" applyFont="1" applyFill="1" applyBorder="1" applyAlignment="1">
      <alignment vertical="center"/>
    </xf>
    <xf numFmtId="3" fontId="35" fillId="2" borderId="27" xfId="1" applyNumberFormat="1" applyFont="1" applyFill="1" applyBorder="1" applyAlignment="1">
      <alignment vertical="center"/>
    </xf>
    <xf numFmtId="3" fontId="35" fillId="2" borderId="28" xfId="1" applyNumberFormat="1" applyFont="1" applyFill="1" applyBorder="1" applyAlignment="1">
      <alignment vertical="center"/>
    </xf>
    <xf numFmtId="3" fontId="35" fillId="2" borderId="29" xfId="1" applyNumberFormat="1" applyFont="1" applyFill="1" applyBorder="1" applyAlignment="1">
      <alignment vertical="center"/>
    </xf>
    <xf numFmtId="3" fontId="35" fillId="2" borderId="13" xfId="1" applyNumberFormat="1" applyFont="1" applyFill="1" applyBorder="1" applyAlignment="1">
      <alignment vertical="center"/>
    </xf>
    <xf numFmtId="3" fontId="35" fillId="2" borderId="30" xfId="1" applyNumberFormat="1" applyFont="1" applyFill="1" applyBorder="1" applyAlignment="1">
      <alignment vertical="center"/>
    </xf>
    <xf numFmtId="3" fontId="35" fillId="2" borderId="31" xfId="1" applyNumberFormat="1" applyFont="1" applyFill="1" applyBorder="1" applyAlignment="1">
      <alignment vertical="center"/>
    </xf>
    <xf numFmtId="0" fontId="10" fillId="2" borderId="16" xfId="1" applyFont="1" applyFill="1" applyBorder="1" applyAlignment="1">
      <alignment horizontal="right"/>
    </xf>
    <xf numFmtId="166" fontId="34" fillId="2" borderId="23" xfId="1" applyNumberFormat="1" applyFont="1" applyFill="1" applyBorder="1" applyAlignment="1">
      <alignment wrapText="1"/>
    </xf>
    <xf numFmtId="0" fontId="13" fillId="2" borderId="1" xfId="0" applyFont="1" applyFill="1" applyBorder="1" applyAlignment="1">
      <alignment wrapText="1"/>
    </xf>
    <xf numFmtId="166" fontId="34" fillId="2" borderId="1" xfId="1" applyNumberFormat="1" applyFont="1" applyFill="1" applyBorder="1" applyAlignment="1">
      <alignment horizontal="center"/>
    </xf>
    <xf numFmtId="166" fontId="37" fillId="2" borderId="1" xfId="1" applyNumberFormat="1" applyFont="1" applyFill="1" applyBorder="1" applyAlignment="1">
      <alignment horizontal="left" wrapText="1"/>
    </xf>
    <xf numFmtId="2" fontId="38" fillId="2" borderId="1" xfId="1" applyNumberFormat="1" applyFont="1" applyFill="1" applyBorder="1" applyAlignment="1">
      <alignment wrapText="1"/>
    </xf>
    <xf numFmtId="2" fontId="44" fillId="2" borderId="1" xfId="1" applyNumberFormat="1" applyFont="1" applyFill="1" applyBorder="1" applyAlignment="1" applyProtection="1">
      <alignment horizontal="left" vertical="center" wrapText="1"/>
      <protection locked="0"/>
    </xf>
    <xf numFmtId="168" fontId="49" fillId="2" borderId="1" xfId="1" applyNumberFormat="1" applyFont="1" applyFill="1" applyBorder="1" applyAlignment="1">
      <alignment wrapText="1"/>
    </xf>
    <xf numFmtId="168" fontId="48" fillId="2" borderId="1" xfId="0" applyNumberFormat="1" applyFont="1" applyFill="1" applyBorder="1" applyAlignment="1">
      <alignment wrapText="1"/>
    </xf>
    <xf numFmtId="0" fontId="13" fillId="2" borderId="1" xfId="0" applyFont="1" applyFill="1" applyBorder="1"/>
    <xf numFmtId="168" fontId="34" fillId="2" borderId="1" xfId="1" applyNumberFormat="1" applyFont="1" applyFill="1" applyBorder="1" applyAlignment="1">
      <alignment wrapText="1"/>
    </xf>
    <xf numFmtId="166" fontId="37" fillId="5" borderId="0" xfId="1" applyNumberFormat="1" applyFont="1" applyFill="1" applyAlignment="1">
      <alignment horizontal="center"/>
    </xf>
    <xf numFmtId="166" fontId="37" fillId="5" borderId="1" xfId="1" applyNumberFormat="1" applyFont="1" applyFill="1" applyBorder="1" applyAlignment="1">
      <alignment horizontal="center"/>
    </xf>
    <xf numFmtId="166" fontId="37" fillId="5" borderId="1" xfId="1" applyNumberFormat="1" applyFont="1" applyFill="1" applyBorder="1" applyAlignment="1">
      <alignment horizontal="center" wrapText="1"/>
    </xf>
    <xf numFmtId="166" fontId="37" fillId="5" borderId="1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7" fontId="37" fillId="5" borderId="1" xfId="1" applyNumberFormat="1" applyFont="1" applyFill="1" applyBorder="1" applyAlignment="1">
      <alignment horizontal="center" wrapText="1"/>
    </xf>
    <xf numFmtId="166" fontId="37" fillId="5" borderId="0" xfId="1" applyNumberFormat="1" applyFont="1" applyFill="1" applyBorder="1" applyAlignment="1">
      <alignment horizontal="center"/>
    </xf>
    <xf numFmtId="3" fontId="37" fillId="3" borderId="1" xfId="1" applyNumberFormat="1" applyFont="1" applyFill="1" applyBorder="1"/>
    <xf numFmtId="167" fontId="22" fillId="2" borderId="1" xfId="0" applyNumberFormat="1" applyFont="1" applyFill="1" applyBorder="1" applyAlignment="1">
      <alignment wrapText="1"/>
    </xf>
    <xf numFmtId="3" fontId="35" fillId="2" borderId="0" xfId="1" applyNumberFormat="1" applyFont="1" applyFill="1" applyBorder="1" applyAlignment="1">
      <alignment vertical="center"/>
    </xf>
    <xf numFmtId="0" fontId="9" fillId="2" borderId="0" xfId="1" applyFont="1" applyFill="1" applyBorder="1"/>
    <xf numFmtId="165" fontId="3" fillId="2" borderId="0" xfId="1" applyNumberFormat="1" applyFont="1" applyFill="1" applyBorder="1"/>
    <xf numFmtId="0" fontId="6" fillId="2" borderId="0" xfId="1" applyFont="1" applyFill="1" applyBorder="1"/>
    <xf numFmtId="166" fontId="28" fillId="2" borderId="1" xfId="0" applyNumberFormat="1" applyFont="1" applyFill="1" applyBorder="1" applyAlignment="1">
      <alignment wrapText="1"/>
    </xf>
    <xf numFmtId="168" fontId="28" fillId="2" borderId="1" xfId="0" applyNumberFormat="1" applyFont="1" applyFill="1" applyBorder="1" applyAlignment="1">
      <alignment wrapText="1"/>
    </xf>
    <xf numFmtId="168" fontId="16" fillId="2" borderId="0" xfId="1" applyNumberFormat="1" applyFont="1" applyFill="1" applyBorder="1" applyAlignment="1">
      <alignment horizontal="right"/>
    </xf>
    <xf numFmtId="168" fontId="37" fillId="2" borderId="0" xfId="1" applyNumberFormat="1" applyFont="1" applyFill="1" applyAlignment="1"/>
    <xf numFmtId="166" fontId="70" fillId="2" borderId="1" xfId="1" applyNumberFormat="1" applyFont="1" applyFill="1" applyBorder="1" applyAlignment="1">
      <alignment wrapText="1"/>
    </xf>
    <xf numFmtId="166" fontId="70" fillId="2" borderId="1" xfId="0" applyNumberFormat="1" applyFont="1" applyFill="1" applyBorder="1" applyAlignment="1">
      <alignment wrapText="1"/>
    </xf>
    <xf numFmtId="2" fontId="32" fillId="2" borderId="1" xfId="1" applyNumberFormat="1" applyFont="1" applyFill="1" applyBorder="1" applyAlignment="1" applyProtection="1">
      <alignment horizontal="left" vertical="center" wrapText="1"/>
      <protection locked="0"/>
    </xf>
    <xf numFmtId="2" fontId="32" fillId="2" borderId="1" xfId="1" applyNumberFormat="1" applyFont="1" applyFill="1" applyBorder="1" applyAlignment="1">
      <alignment wrapText="1"/>
    </xf>
    <xf numFmtId="168" fontId="70" fillId="2" borderId="1" xfId="0" applyNumberFormat="1" applyFont="1" applyFill="1" applyBorder="1" applyAlignment="1">
      <alignment wrapText="1"/>
    </xf>
    <xf numFmtId="166" fontId="32" fillId="2" borderId="1" xfId="0" applyNumberFormat="1" applyFont="1" applyFill="1" applyBorder="1" applyAlignment="1">
      <alignment wrapText="1"/>
    </xf>
    <xf numFmtId="168" fontId="16" fillId="2" borderId="0" xfId="1" applyNumberFormat="1" applyFont="1" applyFill="1" applyAlignment="1">
      <alignment horizontal="right"/>
    </xf>
    <xf numFmtId="168" fontId="16" fillId="2" borderId="0" xfId="1" applyNumberFormat="1" applyFont="1" applyFill="1" applyAlignment="1">
      <alignment horizontal="left"/>
    </xf>
    <xf numFmtId="168" fontId="31" fillId="2" borderId="18" xfId="1" applyNumberFormat="1" applyFont="1" applyFill="1" applyBorder="1" applyAlignment="1">
      <alignment horizontal="right" wrapText="1"/>
    </xf>
    <xf numFmtId="168" fontId="16" fillId="2" borderId="18" xfId="1" applyNumberFormat="1" applyFont="1" applyFill="1" applyBorder="1" applyAlignment="1">
      <alignment horizontal="right"/>
    </xf>
    <xf numFmtId="168" fontId="16" fillId="2" borderId="18" xfId="1" applyNumberFormat="1" applyFont="1" applyFill="1" applyBorder="1"/>
    <xf numFmtId="168" fontId="16" fillId="8" borderId="19" xfId="1" applyNumberFormat="1" applyFont="1" applyFill="1" applyBorder="1"/>
    <xf numFmtId="168" fontId="16" fillId="2" borderId="32" xfId="1" applyNumberFormat="1" applyFont="1" applyFill="1" applyBorder="1" applyAlignment="1">
      <alignment horizontal="right"/>
    </xf>
    <xf numFmtId="168" fontId="37" fillId="2" borderId="0" xfId="1" applyNumberFormat="1" applyFont="1" applyFill="1" applyBorder="1" applyAlignment="1">
      <alignment wrapText="1"/>
    </xf>
    <xf numFmtId="168" fontId="37" fillId="2" borderId="1" xfId="1" applyNumberFormat="1" applyFont="1" applyFill="1" applyBorder="1" applyAlignment="1">
      <alignment horizontal="right"/>
    </xf>
    <xf numFmtId="168" fontId="38" fillId="2" borderId="0" xfId="1" applyNumberFormat="1" applyFont="1" applyFill="1" applyBorder="1" applyAlignment="1">
      <alignment horizontal="left"/>
    </xf>
    <xf numFmtId="168" fontId="37" fillId="2" borderId="0" xfId="1" applyNumberFormat="1" applyFont="1" applyFill="1" applyBorder="1" applyAlignment="1">
      <alignment horizontal="right"/>
    </xf>
    <xf numFmtId="168" fontId="37" fillId="2" borderId="0" xfId="1" applyNumberFormat="1" applyFont="1" applyFill="1" applyAlignment="1">
      <alignment horizontal="right"/>
    </xf>
    <xf numFmtId="168" fontId="40" fillId="2" borderId="7" xfId="1" applyNumberFormat="1" applyFont="1" applyFill="1" applyBorder="1" applyAlignment="1">
      <alignment horizontal="center" vertical="center" wrapText="1"/>
    </xf>
    <xf numFmtId="168" fontId="37" fillId="2" borderId="0" xfId="1" applyNumberFormat="1" applyFont="1" applyFill="1" applyBorder="1"/>
    <xf numFmtId="168" fontId="37" fillId="2" borderId="0" xfId="1" applyNumberFormat="1" applyFont="1" applyFill="1"/>
    <xf numFmtId="168" fontId="11" fillId="2" borderId="0" xfId="1" applyNumberFormat="1" applyFont="1" applyFill="1" applyBorder="1"/>
    <xf numFmtId="168" fontId="4" fillId="2" borderId="0" xfId="1" applyNumberFormat="1" applyFont="1" applyFill="1" applyAlignment="1">
      <alignment horizontal="left"/>
    </xf>
    <xf numFmtId="168" fontId="40" fillId="2" borderId="1" xfId="1" applyNumberFormat="1" applyFont="1" applyFill="1" applyBorder="1" applyAlignment="1">
      <alignment horizontal="right" wrapText="1"/>
    </xf>
    <xf numFmtId="168" fontId="11" fillId="2" borderId="1" xfId="1" applyNumberFormat="1" applyFont="1" applyFill="1" applyBorder="1"/>
    <xf numFmtId="168" fontId="22" fillId="2" borderId="1" xfId="1" applyNumberFormat="1" applyFont="1" applyFill="1" applyBorder="1"/>
    <xf numFmtId="168" fontId="22" fillId="2" borderId="3" xfId="1" applyNumberFormat="1" applyFont="1" applyFill="1" applyBorder="1"/>
    <xf numFmtId="168" fontId="11" fillId="2" borderId="6" xfId="1" applyNumberFormat="1" applyFont="1" applyFill="1" applyBorder="1"/>
    <xf numFmtId="168" fontId="41" fillId="2" borderId="1" xfId="0" applyNumberFormat="1" applyFont="1" applyFill="1" applyBorder="1" applyAlignment="1">
      <alignment horizontal="right"/>
    </xf>
    <xf numFmtId="168" fontId="41" fillId="2" borderId="2" xfId="0" applyNumberFormat="1" applyFont="1" applyFill="1" applyBorder="1" applyAlignment="1">
      <alignment horizontal="right"/>
    </xf>
    <xf numFmtId="168" fontId="41" fillId="2" borderId="3" xfId="0" applyNumberFormat="1" applyFont="1" applyFill="1" applyBorder="1" applyAlignment="1">
      <alignment horizontal="right"/>
    </xf>
    <xf numFmtId="168" fontId="11" fillId="2" borderId="2" xfId="1" applyNumberFormat="1" applyFont="1" applyFill="1" applyBorder="1"/>
    <xf numFmtId="168" fontId="22" fillId="2" borderId="13" xfId="1" applyNumberFormat="1" applyFont="1" applyFill="1" applyBorder="1"/>
    <xf numFmtId="168" fontId="11" fillId="2" borderId="29" xfId="1" applyNumberFormat="1" applyFont="1" applyFill="1" applyBorder="1"/>
    <xf numFmtId="168" fontId="13" fillId="2" borderId="3" xfId="0" applyNumberFormat="1" applyFont="1" applyFill="1" applyBorder="1" applyAlignment="1">
      <alignment wrapText="1"/>
    </xf>
    <xf numFmtId="168" fontId="11" fillId="2" borderId="13" xfId="1" applyNumberFormat="1" applyFont="1" applyFill="1" applyBorder="1"/>
    <xf numFmtId="168" fontId="41" fillId="2" borderId="6" xfId="0" applyNumberFormat="1" applyFont="1" applyFill="1" applyBorder="1" applyAlignment="1">
      <alignment horizontal="right"/>
    </xf>
    <xf numFmtId="168" fontId="17" fillId="2" borderId="1" xfId="1" applyNumberFormat="1" applyFont="1" applyFill="1" applyBorder="1"/>
    <xf numFmtId="168" fontId="22" fillId="2" borderId="2" xfId="1" applyNumberFormat="1" applyFont="1" applyFill="1" applyBorder="1"/>
    <xf numFmtId="168" fontId="0" fillId="0" borderId="1" xfId="0" applyNumberFormat="1" applyBorder="1"/>
    <xf numFmtId="168" fontId="0" fillId="0" borderId="3" xfId="0" applyNumberFormat="1" applyBorder="1"/>
    <xf numFmtId="168" fontId="17" fillId="2" borderId="6" xfId="1" applyNumberFormat="1" applyFont="1" applyFill="1" applyBorder="1"/>
    <xf numFmtId="168" fontId="22" fillId="2" borderId="6" xfId="1" applyNumberFormat="1" applyFont="1" applyFill="1" applyBorder="1"/>
    <xf numFmtId="168" fontId="15" fillId="2" borderId="1" xfId="1" applyNumberFormat="1" applyFont="1" applyFill="1" applyBorder="1"/>
    <xf numFmtId="168" fontId="11" fillId="2" borderId="3" xfId="1" applyNumberFormat="1" applyFont="1" applyFill="1" applyBorder="1"/>
    <xf numFmtId="168" fontId="15" fillId="2" borderId="6" xfId="1" applyNumberFormat="1" applyFont="1" applyFill="1" applyBorder="1"/>
    <xf numFmtId="168" fontId="17" fillId="2" borderId="2" xfId="1" applyNumberFormat="1" applyFont="1" applyFill="1" applyBorder="1"/>
    <xf numFmtId="168" fontId="41" fillId="2" borderId="13" xfId="0" applyNumberFormat="1" applyFont="1" applyFill="1" applyBorder="1" applyAlignment="1">
      <alignment horizontal="right"/>
    </xf>
    <xf numFmtId="168" fontId="17" fillId="2" borderId="1" xfId="1" applyNumberFormat="1" applyFont="1" applyFill="1" applyBorder="1" applyAlignment="1">
      <alignment wrapText="1"/>
    </xf>
    <xf numFmtId="168" fontId="11" fillId="2" borderId="21" xfId="1" applyNumberFormat="1" applyFont="1" applyFill="1" applyBorder="1"/>
    <xf numFmtId="168" fontId="3" fillId="2" borderId="0" xfId="1" applyNumberFormat="1" applyFont="1" applyFill="1" applyBorder="1"/>
    <xf numFmtId="0" fontId="17" fillId="2" borderId="1" xfId="1" applyFont="1" applyFill="1" applyBorder="1"/>
    <xf numFmtId="167" fontId="32" fillId="2" borderId="1" xfId="0" applyNumberFormat="1" applyFont="1" applyFill="1" applyBorder="1" applyAlignment="1">
      <alignment wrapText="1"/>
    </xf>
    <xf numFmtId="0" fontId="65" fillId="2" borderId="1" xfId="0" applyFont="1" applyFill="1" applyBorder="1" applyAlignment="1">
      <alignment horizontal="center" vertical="center" wrapText="1"/>
    </xf>
    <xf numFmtId="168" fontId="1" fillId="2" borderId="0" xfId="1" applyNumberFormat="1" applyFont="1" applyFill="1"/>
    <xf numFmtId="168" fontId="9" fillId="2" borderId="0" xfId="1" applyNumberFormat="1" applyFont="1" applyFill="1"/>
    <xf numFmtId="168" fontId="40" fillId="2" borderId="1" xfId="1" applyNumberFormat="1" applyFont="1" applyFill="1" applyBorder="1" applyAlignment="1">
      <alignment wrapText="1"/>
    </xf>
    <xf numFmtId="168" fontId="8" fillId="2" borderId="0" xfId="1" applyNumberFormat="1" applyFont="1" applyFill="1"/>
    <xf numFmtId="168" fontId="3" fillId="2" borderId="19" xfId="1" applyNumberFormat="1" applyFont="1" applyFill="1" applyBorder="1"/>
    <xf numFmtId="168" fontId="37" fillId="2" borderId="30" xfId="1" applyNumberFormat="1" applyFont="1" applyFill="1" applyBorder="1" applyAlignment="1">
      <alignment wrapText="1"/>
    </xf>
    <xf numFmtId="168" fontId="1" fillId="2" borderId="0" xfId="1" applyNumberFormat="1" applyFont="1" applyFill="1" applyBorder="1"/>
    <xf numFmtId="168" fontId="40" fillId="2" borderId="10" xfId="1" applyNumberFormat="1" applyFont="1" applyFill="1" applyBorder="1" applyAlignment="1">
      <alignment horizontal="right" vertical="center" wrapText="1"/>
    </xf>
    <xf numFmtId="168" fontId="37" fillId="2" borderId="33" xfId="1" applyNumberFormat="1" applyFont="1" applyFill="1" applyBorder="1" applyAlignment="1">
      <alignment horizontal="right"/>
    </xf>
    <xf numFmtId="168" fontId="37" fillId="2" borderId="23" xfId="1" applyNumberFormat="1" applyFont="1" applyFill="1" applyBorder="1" applyAlignment="1">
      <alignment horizontal="right"/>
    </xf>
    <xf numFmtId="3" fontId="37" fillId="8" borderId="1" xfId="1" applyNumberFormat="1" applyFont="1" applyFill="1" applyBorder="1"/>
    <xf numFmtId="168" fontId="37" fillId="2" borderId="34" xfId="1" applyNumberFormat="1" applyFont="1" applyFill="1" applyBorder="1" applyAlignment="1">
      <alignment horizontal="right"/>
    </xf>
    <xf numFmtId="0" fontId="40" fillId="2" borderId="25" xfId="1" applyFont="1" applyFill="1" applyBorder="1" applyAlignment="1">
      <alignment vertical="center" wrapText="1"/>
    </xf>
    <xf numFmtId="0" fontId="36" fillId="2" borderId="31" xfId="1" applyFont="1" applyFill="1" applyBorder="1" applyAlignment="1">
      <alignment vertical="center"/>
    </xf>
    <xf numFmtId="166" fontId="71" fillId="2" borderId="1" xfId="0" applyNumberFormat="1" applyFont="1" applyFill="1" applyBorder="1" applyAlignment="1">
      <alignment wrapText="1"/>
    </xf>
    <xf numFmtId="2" fontId="33" fillId="2" borderId="1" xfId="1" applyNumberFormat="1" applyFont="1" applyFill="1" applyBorder="1" applyAlignment="1">
      <alignment wrapText="1"/>
    </xf>
    <xf numFmtId="168" fontId="33" fillId="2" borderId="1" xfId="1" applyNumberFormat="1" applyFont="1" applyFill="1" applyBorder="1" applyAlignment="1">
      <alignment wrapText="1"/>
    </xf>
    <xf numFmtId="166" fontId="33" fillId="2" borderId="1" xfId="0" applyNumberFormat="1" applyFont="1" applyFill="1" applyBorder="1" applyAlignment="1">
      <alignment wrapText="1"/>
    </xf>
    <xf numFmtId="0" fontId="33" fillId="2" borderId="1" xfId="1" applyFont="1" applyFill="1" applyBorder="1" applyAlignment="1" applyProtection="1">
      <alignment horizontal="left" vertical="center" wrapText="1"/>
      <protection locked="0"/>
    </xf>
    <xf numFmtId="2" fontId="71" fillId="2" borderId="1" xfId="1" applyNumberFormat="1" applyFont="1" applyFill="1" applyBorder="1" applyAlignment="1" applyProtection="1">
      <alignment horizontal="left" vertical="center" wrapText="1"/>
      <protection locked="0"/>
    </xf>
    <xf numFmtId="2" fontId="43" fillId="2" borderId="1" xfId="1" applyNumberFormat="1" applyFont="1" applyFill="1" applyBorder="1" applyAlignment="1">
      <alignment wrapText="1"/>
    </xf>
    <xf numFmtId="168" fontId="71" fillId="2" borderId="1" xfId="0" applyNumberFormat="1" applyFont="1" applyFill="1" applyBorder="1" applyAlignment="1">
      <alignment wrapText="1"/>
    </xf>
    <xf numFmtId="168" fontId="37" fillId="3" borderId="0" xfId="1" applyNumberFormat="1" applyFont="1" applyFill="1" applyAlignment="1"/>
    <xf numFmtId="168" fontId="37" fillId="3" borderId="1" xfId="1" applyNumberFormat="1" applyFont="1" applyFill="1" applyBorder="1" applyAlignment="1">
      <alignment horizontal="right"/>
    </xf>
    <xf numFmtId="168" fontId="37" fillId="3" borderId="0" xfId="1" applyNumberFormat="1" applyFont="1" applyFill="1" applyAlignment="1">
      <alignment horizontal="right"/>
    </xf>
    <xf numFmtId="1" fontId="34" fillId="2" borderId="1" xfId="1" applyNumberFormat="1" applyFont="1" applyFill="1" applyBorder="1" applyAlignment="1">
      <alignment horizontal="right"/>
    </xf>
    <xf numFmtId="1" fontId="34" fillId="2" borderId="1" xfId="1" applyNumberFormat="1" applyFont="1" applyFill="1" applyBorder="1" applyAlignment="1"/>
    <xf numFmtId="0" fontId="37" fillId="2" borderId="0" xfId="1" applyFont="1" applyFill="1" applyBorder="1" applyAlignment="1">
      <alignment horizontal="center"/>
    </xf>
    <xf numFmtId="168" fontId="16" fillId="2" borderId="19" xfId="1" applyNumberFormat="1" applyFont="1" applyFill="1" applyBorder="1"/>
    <xf numFmtId="168" fontId="0" fillId="2" borderId="1" xfId="0" applyNumberFormat="1" applyFill="1" applyBorder="1"/>
    <xf numFmtId="4" fontId="23" fillId="2" borderId="1" xfId="0" applyNumberFormat="1" applyFont="1" applyFill="1" applyBorder="1" applyAlignment="1">
      <alignment wrapText="1"/>
    </xf>
    <xf numFmtId="166" fontId="37" fillId="2" borderId="0" xfId="1" applyNumberFormat="1" applyFont="1" applyFill="1" applyBorder="1" applyAlignment="1">
      <alignment horizontal="center"/>
    </xf>
    <xf numFmtId="168" fontId="37" fillId="6" borderId="1" xfId="1" applyNumberFormat="1" applyFont="1" applyFill="1" applyBorder="1" applyAlignment="1">
      <alignment horizontal="right"/>
    </xf>
    <xf numFmtId="1" fontId="34" fillId="2" borderId="1" xfId="1" applyNumberFormat="1" applyFont="1" applyFill="1" applyBorder="1" applyAlignment="1">
      <alignment horizontal="center"/>
    </xf>
    <xf numFmtId="0" fontId="34" fillId="2" borderId="1" xfId="1" applyNumberFormat="1" applyFont="1" applyFill="1" applyBorder="1" applyAlignment="1">
      <alignment horizontal="left"/>
    </xf>
    <xf numFmtId="166" fontId="34" fillId="2" borderId="1" xfId="1" applyNumberFormat="1" applyFont="1" applyFill="1" applyBorder="1" applyAlignment="1">
      <alignment horizontal="left"/>
    </xf>
    <xf numFmtId="49" fontId="34" fillId="2" borderId="1" xfId="1" applyNumberFormat="1" applyFont="1" applyFill="1" applyBorder="1" applyAlignment="1">
      <alignment horizontal="left"/>
    </xf>
    <xf numFmtId="0" fontId="34" fillId="2" borderId="1" xfId="1" applyFont="1" applyFill="1" applyBorder="1"/>
    <xf numFmtId="49" fontId="34" fillId="2" borderId="1" xfId="1" applyNumberFormat="1" applyFont="1" applyFill="1" applyBorder="1"/>
    <xf numFmtId="0" fontId="34" fillId="2" borderId="1" xfId="1" applyFont="1" applyFill="1" applyBorder="1" applyAlignment="1">
      <alignment horizontal="left"/>
    </xf>
    <xf numFmtId="0" fontId="34" fillId="2" borderId="0" xfId="1" applyNumberFormat="1" applyFont="1" applyFill="1" applyBorder="1" applyAlignment="1"/>
    <xf numFmtId="0" fontId="34" fillId="2" borderId="1" xfId="1" applyFont="1" applyFill="1" applyBorder="1" applyAlignment="1">
      <alignment horizontal="center"/>
    </xf>
    <xf numFmtId="49" fontId="34" fillId="2" borderId="1" xfId="1" applyNumberFormat="1" applyFont="1" applyFill="1" applyBorder="1" applyAlignment="1">
      <alignment wrapText="1"/>
    </xf>
    <xf numFmtId="0" fontId="34" fillId="2" borderId="1" xfId="1" applyNumberFormat="1" applyFont="1" applyFill="1" applyBorder="1" applyAlignment="1">
      <alignment horizontal="center" wrapText="1"/>
    </xf>
    <xf numFmtId="49" fontId="34" fillId="2" borderId="1" xfId="1" applyNumberFormat="1" applyFont="1" applyFill="1" applyBorder="1" applyAlignment="1">
      <alignment horizontal="right"/>
    </xf>
    <xf numFmtId="166" fontId="34" fillId="2" borderId="1" xfId="1" applyNumberFormat="1" applyFont="1" applyFill="1" applyBorder="1" applyAlignment="1"/>
    <xf numFmtId="0" fontId="34" fillId="2" borderId="1" xfId="1" applyFont="1" applyFill="1" applyBorder="1" applyAlignment="1">
      <alignment horizontal="right"/>
    </xf>
    <xf numFmtId="0" fontId="34" fillId="2" borderId="1" xfId="1" applyNumberFormat="1" applyFont="1" applyFill="1" applyBorder="1" applyAlignment="1" applyProtection="1">
      <alignment horizontal="center" vertical="center" wrapText="1"/>
      <protection locked="0"/>
    </xf>
    <xf numFmtId="1" fontId="34" fillId="2" borderId="1" xfId="1" applyNumberFormat="1" applyFont="1" applyFill="1" applyBorder="1"/>
    <xf numFmtId="1" fontId="34" fillId="2" borderId="1" xfId="1" applyNumberFormat="1" applyFont="1" applyFill="1" applyBorder="1" applyAlignment="1">
      <alignment horizontal="left"/>
    </xf>
    <xf numFmtId="2" fontId="71" fillId="2" borderId="1" xfId="1" applyNumberFormat="1" applyFont="1" applyFill="1" applyBorder="1" applyAlignment="1">
      <alignment wrapText="1"/>
    </xf>
    <xf numFmtId="3" fontId="39" fillId="2" borderId="22" xfId="1" applyNumberFormat="1" applyFont="1" applyFill="1" applyBorder="1" applyAlignment="1">
      <alignment horizontal="left" wrapText="1"/>
    </xf>
    <xf numFmtId="168" fontId="0" fillId="0" borderId="2" xfId="0" applyNumberFormat="1" applyBorder="1"/>
    <xf numFmtId="167" fontId="30" fillId="2" borderId="1" xfId="0" applyNumberFormat="1" applyFont="1" applyFill="1" applyBorder="1" applyAlignment="1">
      <alignment wrapText="1"/>
    </xf>
    <xf numFmtId="3" fontId="35" fillId="2" borderId="35" xfId="1" applyNumberFormat="1" applyFont="1" applyFill="1" applyBorder="1" applyAlignment="1">
      <alignment vertical="center"/>
    </xf>
    <xf numFmtId="3" fontId="35" fillId="2" borderId="36" xfId="1" applyNumberFormat="1" applyFont="1" applyFill="1" applyBorder="1" applyAlignment="1">
      <alignment vertical="center"/>
    </xf>
    <xf numFmtId="168" fontId="72" fillId="2" borderId="0" xfId="1" applyNumberFormat="1" applyFont="1" applyFill="1" applyBorder="1" applyAlignment="1">
      <alignment horizontal="right"/>
    </xf>
    <xf numFmtId="167" fontId="34" fillId="3" borderId="1" xfId="1" applyNumberFormat="1" applyFont="1" applyFill="1" applyBorder="1" applyAlignment="1">
      <alignment horizontal="right"/>
    </xf>
    <xf numFmtId="0" fontId="68" fillId="3" borderId="1" xfId="0" applyFont="1" applyFill="1" applyBorder="1" applyAlignment="1">
      <alignment horizontal="center" vertical="center" wrapText="1"/>
    </xf>
    <xf numFmtId="166" fontId="54" fillId="3" borderId="1" xfId="1" applyNumberFormat="1" applyFont="1" applyFill="1" applyBorder="1"/>
    <xf numFmtId="169" fontId="10" fillId="3" borderId="1" xfId="1" applyNumberFormat="1" applyFont="1" applyFill="1" applyBorder="1"/>
    <xf numFmtId="2" fontId="1" fillId="3" borderId="1" xfId="1" applyNumberFormat="1" applyFont="1" applyFill="1" applyBorder="1"/>
    <xf numFmtId="0" fontId="14" fillId="3" borderId="1" xfId="1" applyFont="1" applyFill="1" applyBorder="1"/>
    <xf numFmtId="0" fontId="2" fillId="2" borderId="37" xfId="1" applyFont="1" applyFill="1" applyBorder="1" applyAlignment="1">
      <alignment horizontal="right"/>
    </xf>
    <xf numFmtId="167" fontId="23" fillId="5" borderId="1" xfId="0" applyNumberFormat="1" applyFont="1" applyFill="1" applyBorder="1" applyAlignment="1">
      <alignment wrapText="1"/>
    </xf>
    <xf numFmtId="168" fontId="37" fillId="7" borderId="1" xfId="1" applyNumberFormat="1" applyFont="1" applyFill="1" applyBorder="1" applyAlignment="1">
      <alignment horizontal="right"/>
    </xf>
    <xf numFmtId="14" fontId="12" fillId="2" borderId="3" xfId="1" applyNumberFormat="1" applyFont="1" applyFill="1" applyBorder="1"/>
    <xf numFmtId="0" fontId="67" fillId="2" borderId="1" xfId="1" applyFont="1" applyFill="1" applyBorder="1" applyAlignment="1">
      <alignment wrapText="1"/>
    </xf>
    <xf numFmtId="166" fontId="12" fillId="2" borderId="2" xfId="1" applyNumberFormat="1" applyFont="1" applyFill="1" applyBorder="1"/>
    <xf numFmtId="166" fontId="12" fillId="2" borderId="1" xfId="1" applyNumberFormat="1" applyFont="1" applyFill="1" applyBorder="1"/>
    <xf numFmtId="166" fontId="73" fillId="2" borderId="2" xfId="1" applyNumberFormat="1" applyFont="1" applyFill="1" applyBorder="1"/>
    <xf numFmtId="166" fontId="73" fillId="2" borderId="1" xfId="1" applyNumberFormat="1" applyFont="1" applyFill="1" applyBorder="1"/>
    <xf numFmtId="166" fontId="12" fillId="3" borderId="2" xfId="1" applyNumberFormat="1" applyFont="1" applyFill="1" applyBorder="1"/>
    <xf numFmtId="166" fontId="20" fillId="2" borderId="1" xfId="1" applyNumberFormat="1" applyFont="1" applyFill="1" applyBorder="1"/>
    <xf numFmtId="166" fontId="12" fillId="2" borderId="6" xfId="1" applyNumberFormat="1" applyFont="1" applyFill="1" applyBorder="1"/>
    <xf numFmtId="166" fontId="50" fillId="2" borderId="13" xfId="1" applyNumberFormat="1" applyFont="1" applyFill="1" applyBorder="1" applyAlignment="1">
      <alignment horizontal="right"/>
    </xf>
    <xf numFmtId="166" fontId="74" fillId="2" borderId="0" xfId="1" applyNumberFormat="1" applyFont="1" applyFill="1" applyBorder="1"/>
    <xf numFmtId="166" fontId="20" fillId="2" borderId="0" xfId="1" applyNumberFormat="1" applyFont="1" applyFill="1" applyBorder="1"/>
    <xf numFmtId="166" fontId="12" fillId="2" borderId="0" xfId="1" applyNumberFormat="1" applyFont="1" applyFill="1" applyBorder="1"/>
    <xf numFmtId="0" fontId="14" fillId="2" borderId="0" xfId="1" applyFont="1" applyFill="1" applyBorder="1"/>
    <xf numFmtId="14" fontId="9" fillId="3" borderId="3" xfId="1" applyNumberFormat="1" applyFont="1" applyFill="1" applyBorder="1"/>
    <xf numFmtId="166" fontId="3" fillId="3" borderId="1" xfId="1" applyNumberFormat="1" applyFont="1" applyFill="1" applyBorder="1"/>
    <xf numFmtId="166" fontId="24" fillId="3" borderId="1" xfId="1" applyNumberFormat="1" applyFont="1" applyFill="1" applyBorder="1"/>
    <xf numFmtId="0" fontId="58" fillId="2" borderId="34" xfId="1" applyFont="1" applyFill="1" applyBorder="1" applyAlignment="1">
      <alignment wrapText="1"/>
    </xf>
    <xf numFmtId="0" fontId="55" fillId="2" borderId="34" xfId="1" applyFont="1" applyFill="1" applyBorder="1"/>
    <xf numFmtId="0" fontId="6" fillId="2" borderId="34" xfId="1" applyFont="1" applyFill="1" applyBorder="1"/>
    <xf numFmtId="0" fontId="54" fillId="2" borderId="34" xfId="1" applyFont="1" applyFill="1" applyBorder="1"/>
    <xf numFmtId="0" fontId="6" fillId="3" borderId="34" xfId="1" applyFont="1" applyFill="1" applyBorder="1"/>
    <xf numFmtId="0" fontId="54" fillId="3" borderId="34" xfId="1" applyFont="1" applyFill="1" applyBorder="1"/>
    <xf numFmtId="166" fontId="54" fillId="2" borderId="34" xfId="1" applyNumberFormat="1" applyFont="1" applyFill="1" applyBorder="1"/>
    <xf numFmtId="0" fontId="13" fillId="2" borderId="34" xfId="1" applyFont="1" applyFill="1" applyBorder="1"/>
    <xf numFmtId="166" fontId="12" fillId="3" borderId="1" xfId="1" applyNumberFormat="1" applyFont="1" applyFill="1" applyBorder="1"/>
    <xf numFmtId="3" fontId="35" fillId="2" borderId="2" xfId="1" applyNumberFormat="1" applyFont="1" applyFill="1" applyBorder="1" applyAlignment="1">
      <alignment vertical="center"/>
    </xf>
    <xf numFmtId="3" fontId="35" fillId="2" borderId="3" xfId="1" applyNumberFormat="1" applyFont="1" applyFill="1" applyBorder="1" applyAlignment="1">
      <alignment vertical="center"/>
    </xf>
    <xf numFmtId="3" fontId="35" fillId="2" borderId="6" xfId="1" applyNumberFormat="1" applyFont="1" applyFill="1" applyBorder="1" applyAlignment="1">
      <alignment vertical="center"/>
    </xf>
    <xf numFmtId="166" fontId="3" fillId="7" borderId="2" xfId="1" applyNumberFormat="1" applyFont="1" applyFill="1" applyBorder="1"/>
    <xf numFmtId="166" fontId="23" fillId="2" borderId="0" xfId="1" applyNumberFormat="1" applyFont="1" applyFill="1"/>
    <xf numFmtId="169" fontId="5" fillId="2" borderId="0" xfId="1" applyNumberFormat="1" applyFont="1" applyFill="1"/>
    <xf numFmtId="170" fontId="23" fillId="2" borderId="3" xfId="1" applyNumberFormat="1" applyFont="1" applyFill="1" applyBorder="1"/>
    <xf numFmtId="169" fontId="5" fillId="2" borderId="3" xfId="1" applyNumberFormat="1" applyFont="1" applyFill="1" applyBorder="1"/>
    <xf numFmtId="169" fontId="35" fillId="2" borderId="1" xfId="1" applyNumberFormat="1" applyFont="1" applyFill="1" applyBorder="1" applyAlignment="1">
      <alignment wrapText="1"/>
    </xf>
    <xf numFmtId="169" fontId="5" fillId="2" borderId="1" xfId="1" applyNumberFormat="1" applyFont="1" applyFill="1" applyBorder="1"/>
    <xf numFmtId="0" fontId="75" fillId="2" borderId="1" xfId="0" applyFont="1" applyFill="1" applyBorder="1" applyAlignment="1">
      <alignment horizontal="center" vertical="center" wrapText="1"/>
    </xf>
    <xf numFmtId="0" fontId="75" fillId="2" borderId="3" xfId="0" applyFont="1" applyFill="1" applyBorder="1" applyAlignment="1">
      <alignment horizontal="center" vertical="center" wrapText="1"/>
    </xf>
    <xf numFmtId="0" fontId="23" fillId="2" borderId="0" xfId="1" applyFont="1" applyFill="1" applyBorder="1"/>
    <xf numFmtId="166" fontId="23" fillId="2" borderId="0" xfId="1" applyNumberFormat="1" applyFont="1" applyFill="1" applyBorder="1"/>
    <xf numFmtId="169" fontId="5" fillId="2" borderId="0" xfId="1" applyNumberFormat="1" applyFont="1" applyFill="1" applyBorder="1"/>
    <xf numFmtId="168" fontId="63" fillId="2" borderId="1" xfId="0" applyNumberFormat="1" applyFont="1" applyFill="1" applyBorder="1" applyAlignment="1">
      <alignment wrapText="1"/>
    </xf>
    <xf numFmtId="166" fontId="76" fillId="2" borderId="1" xfId="0" applyNumberFormat="1" applyFont="1" applyFill="1" applyBorder="1" applyAlignment="1">
      <alignment wrapText="1"/>
    </xf>
    <xf numFmtId="0" fontId="34" fillId="2" borderId="1" xfId="1" applyFont="1" applyFill="1" applyBorder="1" applyAlignment="1">
      <alignment wrapText="1"/>
    </xf>
    <xf numFmtId="167" fontId="20" fillId="0" borderId="1" xfId="0" applyNumberFormat="1" applyFont="1" applyFill="1" applyBorder="1" applyAlignment="1">
      <alignment wrapText="1"/>
    </xf>
    <xf numFmtId="166" fontId="63" fillId="2" borderId="1" xfId="1" applyNumberFormat="1" applyFont="1" applyFill="1" applyBorder="1" applyAlignment="1">
      <alignment horizontal="left" wrapText="1"/>
    </xf>
    <xf numFmtId="0" fontId="39" fillId="2" borderId="1" xfId="1" applyFont="1" applyFill="1" applyBorder="1" applyAlignment="1">
      <alignment wrapText="1"/>
    </xf>
    <xf numFmtId="166" fontId="3" fillId="2" borderId="1" xfId="1" applyNumberFormat="1" applyFont="1" applyFill="1" applyBorder="1" applyAlignment="1">
      <alignment horizontal="center"/>
    </xf>
    <xf numFmtId="167" fontId="23" fillId="0" borderId="1" xfId="0" applyNumberFormat="1" applyFont="1" applyFill="1" applyBorder="1" applyAlignment="1">
      <alignment wrapText="1"/>
    </xf>
    <xf numFmtId="167" fontId="22" fillId="0" borderId="1" xfId="0" applyNumberFormat="1" applyFont="1" applyFill="1" applyBorder="1" applyAlignment="1">
      <alignment wrapText="1"/>
    </xf>
    <xf numFmtId="167" fontId="43" fillId="2" borderId="1" xfId="1" applyNumberFormat="1" applyFont="1" applyFill="1" applyBorder="1" applyAlignment="1">
      <alignment wrapText="1"/>
    </xf>
    <xf numFmtId="168" fontId="37" fillId="8" borderId="1" xfId="1" applyNumberFormat="1" applyFont="1" applyFill="1" applyBorder="1" applyAlignment="1">
      <alignment horizontal="right"/>
    </xf>
    <xf numFmtId="168" fontId="37" fillId="2" borderId="4" xfId="1" applyNumberFormat="1" applyFont="1" applyFill="1" applyBorder="1" applyAlignment="1">
      <alignment horizontal="right"/>
    </xf>
    <xf numFmtId="168" fontId="37" fillId="2" borderId="38" xfId="1" applyNumberFormat="1" applyFont="1" applyFill="1" applyBorder="1" applyAlignment="1">
      <alignment horizontal="right"/>
    </xf>
    <xf numFmtId="168" fontId="37" fillId="2" borderId="39" xfId="1" applyNumberFormat="1" applyFont="1" applyFill="1" applyBorder="1" applyAlignment="1">
      <alignment horizontal="right"/>
    </xf>
    <xf numFmtId="168" fontId="63" fillId="2" borderId="1" xfId="1" applyNumberFormat="1" applyFont="1" applyFill="1" applyBorder="1" applyAlignment="1">
      <alignment wrapText="1"/>
    </xf>
    <xf numFmtId="168" fontId="37" fillId="9" borderId="1" xfId="1" applyNumberFormat="1" applyFont="1" applyFill="1" applyBorder="1" applyAlignment="1">
      <alignment horizontal="right"/>
    </xf>
    <xf numFmtId="0" fontId="9" fillId="2" borderId="34" xfId="1" applyFont="1" applyFill="1" applyBorder="1"/>
    <xf numFmtId="0" fontId="31" fillId="2" borderId="34" xfId="1" applyFont="1" applyFill="1" applyBorder="1"/>
    <xf numFmtId="0" fontId="8" fillId="2" borderId="34" xfId="1" applyFont="1" applyFill="1" applyBorder="1"/>
    <xf numFmtId="0" fontId="3" fillId="2" borderId="34" xfId="1" applyFont="1" applyFill="1" applyBorder="1"/>
    <xf numFmtId="0" fontId="1" fillId="2" borderId="34" xfId="1" applyFont="1" applyFill="1" applyBorder="1"/>
    <xf numFmtId="0" fontId="1" fillId="3" borderId="34" xfId="1" applyFont="1" applyFill="1" applyBorder="1"/>
    <xf numFmtId="0" fontId="3" fillId="3" borderId="34" xfId="1" applyFont="1" applyFill="1" applyBorder="1"/>
    <xf numFmtId="166" fontId="54" fillId="3" borderId="34" xfId="1" applyNumberFormat="1" applyFont="1" applyFill="1" applyBorder="1"/>
    <xf numFmtId="0" fontId="14" fillId="2" borderId="34" xfId="1" applyFont="1" applyFill="1" applyBorder="1"/>
    <xf numFmtId="165" fontId="1" fillId="2" borderId="34" xfId="1" applyNumberFormat="1" applyFont="1" applyFill="1" applyBorder="1"/>
    <xf numFmtId="0" fontId="10" fillId="2" borderId="34" xfId="1" applyFont="1" applyFill="1" applyBorder="1"/>
    <xf numFmtId="0" fontId="3" fillId="2" borderId="2" xfId="1" applyFont="1" applyFill="1" applyBorder="1" applyAlignment="1">
      <alignment horizontal="right"/>
    </xf>
    <xf numFmtId="0" fontId="22" fillId="2" borderId="2" xfId="1" applyFont="1" applyFill="1" applyBorder="1" applyAlignment="1">
      <alignment horizontal="center" wrapText="1"/>
    </xf>
    <xf numFmtId="0" fontId="19" fillId="2" borderId="2" xfId="1" applyFont="1" applyFill="1" applyBorder="1" applyAlignment="1">
      <alignment horizontal="left" wrapText="1"/>
    </xf>
    <xf numFmtId="167" fontId="37" fillId="2" borderId="2" xfId="0" applyNumberFormat="1" applyFont="1" applyFill="1" applyBorder="1" applyAlignment="1">
      <alignment wrapText="1"/>
    </xf>
    <xf numFmtId="49" fontId="34" fillId="2" borderId="2" xfId="1" applyNumberFormat="1" applyFont="1" applyFill="1" applyBorder="1" applyAlignment="1">
      <alignment horizontal="center"/>
    </xf>
    <xf numFmtId="0" fontId="15" fillId="2" borderId="2" xfId="1" applyFont="1" applyFill="1" applyBorder="1"/>
    <xf numFmtId="3" fontId="37" fillId="2" borderId="2" xfId="1" applyNumberFormat="1" applyFont="1" applyFill="1" applyBorder="1"/>
    <xf numFmtId="168" fontId="37" fillId="2" borderId="2" xfId="1" applyNumberFormat="1" applyFont="1" applyFill="1" applyBorder="1" applyAlignment="1">
      <alignment horizontal="right"/>
    </xf>
    <xf numFmtId="167" fontId="34" fillId="2" borderId="2" xfId="1" applyNumberFormat="1" applyFont="1" applyFill="1" applyBorder="1" applyAlignment="1">
      <alignment horizontal="right"/>
    </xf>
    <xf numFmtId="166" fontId="62" fillId="2" borderId="2" xfId="1" applyNumberFormat="1" applyFont="1" applyFill="1" applyBorder="1" applyAlignment="1">
      <alignment wrapText="1"/>
    </xf>
    <xf numFmtId="166" fontId="37" fillId="5" borderId="2" xfId="1" applyNumberFormat="1" applyFont="1" applyFill="1" applyBorder="1" applyAlignment="1">
      <alignment horizontal="center"/>
    </xf>
    <xf numFmtId="168" fontId="16" fillId="2" borderId="28" xfId="1" applyNumberFormat="1" applyFont="1" applyFill="1" applyBorder="1"/>
    <xf numFmtId="168" fontId="16" fillId="2" borderId="1" xfId="1" applyNumberFormat="1" applyFont="1" applyFill="1" applyBorder="1"/>
    <xf numFmtId="168" fontId="40" fillId="2" borderId="40" xfId="1" applyNumberFormat="1" applyFont="1" applyFill="1" applyBorder="1" applyAlignment="1">
      <alignment horizontal="center" vertical="center" wrapText="1"/>
    </xf>
    <xf numFmtId="168" fontId="37" fillId="2" borderId="3" xfId="1" applyNumberFormat="1" applyFont="1" applyFill="1" applyBorder="1" applyAlignment="1">
      <alignment horizontal="right"/>
    </xf>
    <xf numFmtId="0" fontId="37" fillId="2" borderId="1" xfId="1" applyFont="1" applyFill="1" applyBorder="1" applyAlignment="1">
      <alignment horizontal="center"/>
    </xf>
    <xf numFmtId="0" fontId="37" fillId="10" borderId="1" xfId="1" applyFont="1" applyFill="1" applyBorder="1"/>
    <xf numFmtId="170" fontId="54" fillId="2" borderId="3" xfId="1" applyNumberFormat="1" applyFont="1" applyFill="1" applyBorder="1"/>
    <xf numFmtId="166" fontId="55" fillId="2" borderId="1" xfId="1" applyNumberFormat="1" applyFont="1" applyFill="1" applyBorder="1" applyAlignment="1">
      <alignment wrapText="1"/>
    </xf>
    <xf numFmtId="0" fontId="37" fillId="2" borderId="39" xfId="1" applyFont="1" applyFill="1" applyBorder="1" applyAlignment="1">
      <alignment horizontal="center"/>
    </xf>
    <xf numFmtId="3" fontId="37" fillId="2" borderId="34" xfId="1" applyNumberFormat="1" applyFont="1" applyFill="1" applyBorder="1"/>
    <xf numFmtId="3" fontId="37" fillId="2" borderId="34" xfId="1" applyNumberFormat="1" applyFont="1" applyFill="1" applyBorder="1" applyAlignment="1">
      <alignment horizontal="right"/>
    </xf>
    <xf numFmtId="167" fontId="37" fillId="2" borderId="34" xfId="1" applyNumberFormat="1" applyFont="1" applyFill="1" applyBorder="1" applyAlignment="1">
      <alignment wrapText="1"/>
    </xf>
    <xf numFmtId="166" fontId="37" fillId="2" borderId="16" xfId="1" applyNumberFormat="1" applyFont="1" applyFill="1" applyBorder="1" applyAlignment="1">
      <alignment wrapText="1"/>
    </xf>
    <xf numFmtId="168" fontId="37" fillId="2" borderId="6" xfId="1" applyNumberFormat="1" applyFont="1" applyFill="1" applyBorder="1" applyAlignment="1">
      <alignment horizontal="right"/>
    </xf>
    <xf numFmtId="0" fontId="40" fillId="2" borderId="15" xfId="1" applyFont="1" applyFill="1" applyBorder="1" applyAlignment="1">
      <alignment horizontal="center" vertical="center" wrapText="1"/>
    </xf>
    <xf numFmtId="3" fontId="37" fillId="7" borderId="1" xfId="1" applyNumberFormat="1" applyFont="1" applyFill="1" applyBorder="1"/>
    <xf numFmtId="0" fontId="34" fillId="7" borderId="1" xfId="1" applyNumberFormat="1" applyFont="1" applyFill="1" applyBorder="1" applyAlignment="1">
      <alignment horizontal="center"/>
    </xf>
    <xf numFmtId="166" fontId="3" fillId="7" borderId="4" xfId="1" applyNumberFormat="1" applyFont="1" applyFill="1" applyBorder="1"/>
    <xf numFmtId="167" fontId="43" fillId="2" borderId="1" xfId="0" applyNumberFormat="1" applyFont="1" applyFill="1" applyBorder="1" applyAlignment="1">
      <alignment wrapText="1"/>
    </xf>
    <xf numFmtId="3" fontId="37" fillId="2" borderId="3" xfId="1" applyNumberFormat="1" applyFont="1" applyFill="1" applyBorder="1"/>
    <xf numFmtId="166" fontId="37" fillId="2" borderId="0" xfId="1" applyNumberFormat="1" applyFont="1" applyFill="1" applyAlignment="1">
      <alignment horizontal="center"/>
    </xf>
    <xf numFmtId="0" fontId="10" fillId="2" borderId="3" xfId="1" applyFont="1" applyFill="1" applyBorder="1" applyAlignment="1">
      <alignment horizontal="right"/>
    </xf>
    <xf numFmtId="0" fontId="22" fillId="2" borderId="3" xfId="1" applyFont="1" applyFill="1" applyBorder="1" applyAlignment="1">
      <alignment horizontal="center" wrapText="1"/>
    </xf>
    <xf numFmtId="0" fontId="19" fillId="2" borderId="3" xfId="1" applyFont="1" applyFill="1" applyBorder="1" applyAlignment="1">
      <alignment horizontal="left" wrapText="1"/>
    </xf>
    <xf numFmtId="0" fontId="26" fillId="2" borderId="12" xfId="1" applyFont="1" applyFill="1" applyBorder="1" applyAlignment="1">
      <alignment horizontal="right"/>
    </xf>
    <xf numFmtId="0" fontId="10" fillId="2" borderId="7" xfId="1" applyFont="1" applyFill="1" applyBorder="1" applyAlignment="1">
      <alignment horizontal="right"/>
    </xf>
    <xf numFmtId="0" fontId="30" fillId="2" borderId="12" xfId="1" applyFont="1" applyFill="1" applyBorder="1"/>
    <xf numFmtId="0" fontId="50" fillId="2" borderId="8" xfId="1" applyFont="1" applyFill="1" applyBorder="1" applyAlignment="1">
      <alignment horizontal="left"/>
    </xf>
    <xf numFmtId="0" fontId="34" fillId="3" borderId="1" xfId="1" applyNumberFormat="1" applyFont="1" applyFill="1" applyBorder="1" applyAlignment="1">
      <alignment horizontal="center"/>
    </xf>
    <xf numFmtId="0" fontId="34" fillId="2" borderId="0" xfId="1" applyNumberFormat="1" applyFont="1" applyFill="1" applyAlignment="1">
      <alignment horizontal="center"/>
    </xf>
    <xf numFmtId="0" fontId="34" fillId="2" borderId="0" xfId="1" applyNumberFormat="1" applyFont="1" applyFill="1" applyBorder="1" applyAlignment="1">
      <alignment horizontal="center"/>
    </xf>
    <xf numFmtId="0" fontId="34" fillId="2" borderId="11" xfId="1" applyNumberFormat="1" applyFont="1" applyFill="1" applyBorder="1" applyAlignment="1">
      <alignment horizontal="center" vertical="center" wrapText="1"/>
    </xf>
    <xf numFmtId="0" fontId="34" fillId="2" borderId="1" xfId="1" applyNumberFormat="1" applyFont="1" applyFill="1" applyBorder="1"/>
    <xf numFmtId="0" fontId="34" fillId="3" borderId="1" xfId="1" applyNumberFormat="1" applyFont="1" applyFill="1" applyBorder="1" applyAlignment="1">
      <alignment horizontal="left"/>
    </xf>
    <xf numFmtId="0" fontId="34" fillId="2" borderId="1" xfId="1" applyNumberFormat="1" applyFont="1" applyFill="1" applyBorder="1" applyAlignment="1">
      <alignment wrapText="1"/>
    </xf>
    <xf numFmtId="0" fontId="34" fillId="3" borderId="3" xfId="1" applyNumberFormat="1" applyFont="1" applyFill="1" applyBorder="1" applyAlignment="1">
      <alignment horizontal="left"/>
    </xf>
    <xf numFmtId="0" fontId="34" fillId="2" borderId="11" xfId="1" applyNumberFormat="1" applyFont="1" applyFill="1" applyBorder="1" applyAlignment="1">
      <alignment horizontal="center"/>
    </xf>
    <xf numFmtId="0" fontId="34" fillId="3" borderId="1" xfId="1" applyNumberFormat="1" applyFont="1" applyFill="1" applyBorder="1" applyAlignment="1"/>
    <xf numFmtId="168" fontId="37" fillId="8" borderId="3" xfId="1" applyNumberFormat="1" applyFont="1" applyFill="1" applyBorder="1" applyAlignment="1">
      <alignment horizontal="right"/>
    </xf>
    <xf numFmtId="0" fontId="37" fillId="2" borderId="1" xfId="1" applyFont="1" applyFill="1" applyBorder="1" applyAlignment="1" applyProtection="1">
      <alignment horizontal="left" vertical="center" wrapText="1"/>
      <protection locked="0"/>
    </xf>
    <xf numFmtId="166" fontId="71" fillId="2" borderId="1" xfId="1" applyNumberFormat="1" applyFont="1" applyFill="1" applyBorder="1" applyAlignment="1">
      <alignment wrapText="1"/>
    </xf>
    <xf numFmtId="0" fontId="63" fillId="3" borderId="1" xfId="1" applyFont="1" applyFill="1" applyBorder="1" applyAlignment="1" applyProtection="1">
      <alignment horizontal="left" vertical="center" wrapText="1"/>
      <protection locked="0"/>
    </xf>
    <xf numFmtId="167" fontId="20" fillId="0" borderId="1" xfId="0" applyNumberFormat="1" applyFont="1" applyFill="1" applyBorder="1" applyAlignment="1">
      <alignment horizontal="left" wrapText="1"/>
    </xf>
    <xf numFmtId="0" fontId="18" fillId="2" borderId="0" xfId="1" applyFont="1" applyFill="1"/>
    <xf numFmtId="14" fontId="3" fillId="2" borderId="3" xfId="1" applyNumberFormat="1" applyFont="1" applyFill="1" applyBorder="1"/>
    <xf numFmtId="0" fontId="66" fillId="2" borderId="1" xfId="1" applyFont="1" applyFill="1" applyBorder="1" applyAlignment="1">
      <alignment wrapText="1"/>
    </xf>
    <xf numFmtId="166" fontId="25" fillId="2" borderId="0" xfId="1" applyNumberFormat="1" applyFont="1" applyFill="1" applyBorder="1"/>
    <xf numFmtId="0" fontId="18" fillId="2" borderId="0" xfId="1" applyFont="1" applyFill="1" applyBorder="1"/>
    <xf numFmtId="166" fontId="6" fillId="2" borderId="2" xfId="1" applyNumberFormat="1" applyFont="1" applyFill="1" applyBorder="1" applyAlignment="1">
      <alignment wrapText="1"/>
    </xf>
    <xf numFmtId="0" fontId="76" fillId="2" borderId="1" xfId="0" applyFont="1" applyFill="1" applyBorder="1" applyAlignment="1">
      <alignment wrapText="1"/>
    </xf>
    <xf numFmtId="168" fontId="37" fillId="7" borderId="34" xfId="1" applyNumberFormat="1" applyFont="1" applyFill="1" applyBorder="1" applyAlignment="1">
      <alignment horizontal="right"/>
    </xf>
    <xf numFmtId="0" fontId="34" fillId="2" borderId="3" xfId="1" applyNumberFormat="1" applyFont="1" applyFill="1" applyBorder="1" applyAlignment="1">
      <alignment horizontal="left"/>
    </xf>
    <xf numFmtId="0" fontId="11" fillId="2" borderId="3" xfId="1" applyFont="1" applyFill="1" applyBorder="1"/>
    <xf numFmtId="3" fontId="37" fillId="2" borderId="38" xfId="1" applyNumberFormat="1" applyFont="1" applyFill="1" applyBorder="1"/>
    <xf numFmtId="0" fontId="26" fillId="2" borderId="20" xfId="1" applyFont="1" applyFill="1" applyBorder="1" applyAlignment="1">
      <alignment horizontal="right"/>
    </xf>
    <xf numFmtId="0" fontId="34" fillId="2" borderId="41" xfId="1" applyNumberFormat="1" applyFont="1" applyFill="1" applyBorder="1" applyAlignment="1">
      <alignment horizontal="center"/>
    </xf>
    <xf numFmtId="166" fontId="37" fillId="5" borderId="21" xfId="1" applyNumberFormat="1" applyFont="1" applyFill="1" applyBorder="1" applyAlignment="1">
      <alignment horizontal="right"/>
    </xf>
    <xf numFmtId="168" fontId="37" fillId="5" borderId="21" xfId="1" applyNumberFormat="1" applyFont="1" applyFill="1" applyBorder="1" applyAlignment="1">
      <alignment horizontal="right"/>
    </xf>
    <xf numFmtId="3" fontId="37" fillId="2" borderId="21" xfId="1" applyNumberFormat="1" applyFont="1" applyFill="1" applyBorder="1"/>
    <xf numFmtId="166" fontId="37" fillId="2" borderId="1" xfId="1" applyNumberFormat="1" applyFont="1" applyFill="1" applyBorder="1" applyAlignment="1">
      <alignment horizontal="center"/>
    </xf>
    <xf numFmtId="167" fontId="37" fillId="2" borderId="1" xfId="1" applyNumberFormat="1" applyFont="1" applyFill="1" applyBorder="1" applyAlignment="1">
      <alignment horizontal="center" wrapText="1"/>
    </xf>
    <xf numFmtId="3" fontId="37" fillId="2" borderId="6" xfId="1" applyNumberFormat="1" applyFont="1" applyFill="1" applyBorder="1"/>
    <xf numFmtId="3" fontId="37" fillId="2" borderId="4" xfId="1" applyNumberFormat="1" applyFont="1" applyFill="1" applyBorder="1"/>
    <xf numFmtId="0" fontId="76" fillId="2" borderId="1" xfId="1" applyFont="1" applyFill="1" applyBorder="1" applyAlignment="1">
      <alignment wrapText="1"/>
    </xf>
    <xf numFmtId="14" fontId="43" fillId="0" borderId="1" xfId="0" applyNumberFormat="1" applyFont="1" applyFill="1" applyBorder="1" applyAlignment="1">
      <alignment wrapText="1"/>
    </xf>
    <xf numFmtId="3" fontId="34" fillId="2" borderId="22" xfId="1" applyNumberFormat="1" applyFont="1" applyFill="1" applyBorder="1" applyAlignment="1">
      <alignment horizontal="left" wrapText="1"/>
    </xf>
    <xf numFmtId="166" fontId="40" fillId="5" borderId="32" xfId="1" applyNumberFormat="1" applyFont="1" applyFill="1" applyBorder="1" applyAlignment="1">
      <alignment horizontal="center" vertical="center" wrapText="1"/>
    </xf>
    <xf numFmtId="0" fontId="40" fillId="2" borderId="30" xfId="1" applyFont="1" applyFill="1" applyBorder="1" applyAlignment="1">
      <alignment horizontal="center" vertical="center" wrapText="1"/>
    </xf>
    <xf numFmtId="166" fontId="37" fillId="5" borderId="34" xfId="1" applyNumberFormat="1" applyFont="1" applyFill="1" applyBorder="1" applyAlignment="1">
      <alignment horizontal="center"/>
    </xf>
    <xf numFmtId="166" fontId="37" fillId="5" borderId="34" xfId="1" applyNumberFormat="1" applyFont="1" applyFill="1" applyBorder="1" applyAlignment="1">
      <alignment horizontal="center" wrapText="1"/>
    </xf>
    <xf numFmtId="166" fontId="37" fillId="5" borderId="34" xfId="0" applyNumberFormat="1" applyFont="1" applyFill="1" applyBorder="1" applyAlignment="1">
      <alignment horizontal="center"/>
    </xf>
    <xf numFmtId="166" fontId="37" fillId="5" borderId="34" xfId="1" applyNumberFormat="1" applyFont="1" applyFill="1" applyBorder="1"/>
    <xf numFmtId="166" fontId="37" fillId="5" borderId="34" xfId="1" applyNumberFormat="1" applyFont="1" applyFill="1" applyBorder="1" applyAlignment="1">
      <alignment horizontal="right"/>
    </xf>
    <xf numFmtId="166" fontId="37" fillId="5" borderId="34" xfId="1" applyNumberFormat="1" applyFont="1" applyFill="1" applyBorder="1" applyAlignment="1">
      <alignment horizontal="right" wrapText="1"/>
    </xf>
    <xf numFmtId="166" fontId="37" fillId="5" borderId="34" xfId="1" applyNumberFormat="1" applyFont="1" applyFill="1" applyBorder="1" applyAlignment="1">
      <alignment wrapText="1"/>
    </xf>
    <xf numFmtId="166" fontId="37" fillId="2" borderId="34" xfId="1" applyNumberFormat="1" applyFont="1" applyFill="1" applyBorder="1"/>
    <xf numFmtId="167" fontId="37" fillId="2" borderId="34" xfId="1" applyNumberFormat="1" applyFont="1" applyFill="1" applyBorder="1" applyAlignment="1">
      <alignment horizontal="center" wrapText="1"/>
    </xf>
    <xf numFmtId="0" fontId="37" fillId="2" borderId="13" xfId="1" applyFont="1" applyFill="1" applyBorder="1" applyAlignment="1">
      <alignment horizontal="center"/>
    </xf>
    <xf numFmtId="3" fontId="37" fillId="2" borderId="19" xfId="1" applyNumberFormat="1" applyFont="1" applyFill="1" applyBorder="1"/>
    <xf numFmtId="3" fontId="37" fillId="2" borderId="19" xfId="1" applyNumberFormat="1" applyFont="1" applyFill="1" applyBorder="1" applyAlignment="1">
      <alignment horizontal="right"/>
    </xf>
    <xf numFmtId="167" fontId="37" fillId="2" borderId="19" xfId="1" applyNumberFormat="1" applyFont="1" applyFill="1" applyBorder="1" applyAlignment="1">
      <alignment wrapText="1"/>
    </xf>
    <xf numFmtId="166" fontId="37" fillId="5" borderId="41" xfId="1" applyNumberFormat="1" applyFont="1" applyFill="1" applyBorder="1" applyAlignment="1">
      <alignment horizontal="right"/>
    </xf>
    <xf numFmtId="0" fontId="31" fillId="2" borderId="42" xfId="1" applyFont="1" applyFill="1" applyBorder="1" applyAlignment="1">
      <alignment horizontal="right" vertical="center" wrapText="1"/>
    </xf>
    <xf numFmtId="0" fontId="6" fillId="2" borderId="17" xfId="1" applyFont="1" applyFill="1" applyBorder="1" applyAlignment="1">
      <alignment horizontal="left" vertical="center"/>
    </xf>
    <xf numFmtId="0" fontId="19" fillId="2" borderId="43" xfId="1" applyFont="1" applyFill="1" applyBorder="1" applyAlignment="1">
      <alignment horizontal="left" vertical="center" wrapText="1"/>
    </xf>
    <xf numFmtId="0" fontId="37" fillId="2" borderId="43" xfId="1" applyFont="1" applyFill="1" applyBorder="1" applyAlignment="1">
      <alignment horizontal="center" vertical="center" wrapText="1"/>
    </xf>
    <xf numFmtId="0" fontId="34" fillId="2" borderId="44" xfId="1" applyNumberFormat="1" applyFont="1" applyFill="1" applyBorder="1" applyAlignment="1">
      <alignment horizontal="center" vertical="center" wrapText="1"/>
    </xf>
    <xf numFmtId="0" fontId="31" fillId="2" borderId="45" xfId="1" applyFont="1" applyFill="1" applyBorder="1" applyAlignment="1">
      <alignment horizontal="center" vertical="center" wrapText="1"/>
    </xf>
    <xf numFmtId="168" fontId="40" fillId="2" borderId="45" xfId="1" applyNumberFormat="1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right"/>
    </xf>
    <xf numFmtId="0" fontId="34" fillId="2" borderId="3" xfId="1" applyNumberFormat="1" applyFont="1" applyFill="1" applyBorder="1" applyAlignment="1">
      <alignment horizontal="center"/>
    </xf>
    <xf numFmtId="0" fontId="15" fillId="2" borderId="3" xfId="1" applyFont="1" applyFill="1" applyBorder="1"/>
    <xf numFmtId="0" fontId="37" fillId="2" borderId="3" xfId="1" applyFont="1" applyFill="1" applyBorder="1" applyAlignment="1">
      <alignment wrapText="1"/>
    </xf>
    <xf numFmtId="167" fontId="37" fillId="2" borderId="3" xfId="0" applyNumberFormat="1" applyFont="1" applyFill="1" applyBorder="1" applyAlignment="1">
      <alignment wrapText="1"/>
    </xf>
    <xf numFmtId="49" fontId="34" fillId="2" borderId="3" xfId="1" applyNumberFormat="1" applyFont="1" applyFill="1" applyBorder="1"/>
    <xf numFmtId="167" fontId="20" fillId="0" borderId="3" xfId="0" applyNumberFormat="1" applyFont="1" applyFill="1" applyBorder="1" applyAlignment="1">
      <alignment wrapText="1"/>
    </xf>
    <xf numFmtId="49" fontId="34" fillId="2" borderId="3" xfId="1" applyNumberFormat="1" applyFont="1" applyFill="1" applyBorder="1" applyAlignment="1">
      <alignment horizontal="center"/>
    </xf>
    <xf numFmtId="0" fontId="3" fillId="2" borderId="3" xfId="1" applyFont="1" applyFill="1" applyBorder="1"/>
    <xf numFmtId="0" fontId="3" fillId="2" borderId="6" xfId="1" applyFont="1" applyFill="1" applyBorder="1" applyAlignment="1">
      <alignment horizontal="right"/>
    </xf>
    <xf numFmtId="0" fontId="22" fillId="2" borderId="6" xfId="1" applyFont="1" applyFill="1" applyBorder="1" applyAlignment="1">
      <alignment horizontal="center" wrapText="1"/>
    </xf>
    <xf numFmtId="0" fontId="19" fillId="2" borderId="6" xfId="1" applyFont="1" applyFill="1" applyBorder="1" applyAlignment="1">
      <alignment horizontal="left" wrapText="1"/>
    </xf>
    <xf numFmtId="167" fontId="37" fillId="2" borderId="6" xfId="0" applyNumberFormat="1" applyFont="1" applyFill="1" applyBorder="1" applyAlignment="1">
      <alignment wrapText="1"/>
    </xf>
    <xf numFmtId="49" fontId="34" fillId="2" borderId="6" xfId="1" applyNumberFormat="1" applyFont="1" applyFill="1" applyBorder="1" applyAlignment="1">
      <alignment horizontal="center"/>
    </xf>
    <xf numFmtId="0" fontId="15" fillId="2" borderId="6" xfId="1" applyFont="1" applyFill="1" applyBorder="1"/>
    <xf numFmtId="167" fontId="13" fillId="2" borderId="3" xfId="0" applyNumberFormat="1" applyFont="1" applyFill="1" applyBorder="1" applyAlignment="1">
      <alignment wrapText="1"/>
    </xf>
    <xf numFmtId="49" fontId="34" fillId="2" borderId="3" xfId="1" applyNumberFormat="1" applyFont="1" applyFill="1" applyBorder="1" applyAlignment="1">
      <alignment horizontal="left"/>
    </xf>
    <xf numFmtId="167" fontId="20" fillId="2" borderId="3" xfId="0" applyNumberFormat="1" applyFont="1" applyFill="1" applyBorder="1" applyAlignment="1">
      <alignment wrapText="1"/>
    </xf>
    <xf numFmtId="0" fontId="37" fillId="2" borderId="3" xfId="1" applyFont="1" applyFill="1" applyBorder="1"/>
    <xf numFmtId="166" fontId="34" fillId="2" borderId="3" xfId="1" applyNumberFormat="1" applyFont="1" applyFill="1" applyBorder="1" applyAlignment="1">
      <alignment horizontal="left"/>
    </xf>
    <xf numFmtId="0" fontId="34" fillId="2" borderId="3" xfId="1" applyFont="1" applyFill="1" applyBorder="1" applyAlignment="1">
      <alignment horizontal="center"/>
    </xf>
    <xf numFmtId="167" fontId="13" fillId="4" borderId="3" xfId="0" applyNumberFormat="1" applyFont="1" applyFill="1" applyBorder="1" applyAlignment="1">
      <alignment wrapText="1"/>
    </xf>
    <xf numFmtId="0" fontId="34" fillId="2" borderId="3" xfId="1" applyFont="1" applyFill="1" applyBorder="1"/>
    <xf numFmtId="0" fontId="54" fillId="2" borderId="3" xfId="0" applyFont="1" applyFill="1" applyBorder="1"/>
    <xf numFmtId="0" fontId="5" fillId="2" borderId="3" xfId="1" applyFont="1" applyFill="1" applyBorder="1"/>
    <xf numFmtId="167" fontId="22" fillId="4" borderId="3" xfId="0" applyNumberFormat="1" applyFont="1" applyFill="1" applyBorder="1" applyAlignment="1">
      <alignment wrapText="1"/>
    </xf>
    <xf numFmtId="0" fontId="10" fillId="2" borderId="3" xfId="1" applyFont="1" applyFill="1" applyBorder="1"/>
    <xf numFmtId="0" fontId="50" fillId="2" borderId="3" xfId="1" applyFont="1" applyFill="1" applyBorder="1"/>
    <xf numFmtId="167" fontId="50" fillId="2" borderId="3" xfId="0" applyNumberFormat="1" applyFont="1" applyFill="1" applyBorder="1" applyAlignment="1">
      <alignment wrapText="1"/>
    </xf>
    <xf numFmtId="1" fontId="34" fillId="2" borderId="3" xfId="1" applyNumberFormat="1" applyFont="1" applyFill="1" applyBorder="1" applyAlignment="1"/>
    <xf numFmtId="167" fontId="23" fillId="0" borderId="3" xfId="0" applyNumberFormat="1" applyFont="1" applyFill="1" applyBorder="1" applyAlignment="1">
      <alignment wrapText="1"/>
    </xf>
    <xf numFmtId="167" fontId="50" fillId="2" borderId="3" xfId="1" applyNumberFormat="1" applyFont="1" applyFill="1" applyBorder="1" applyAlignment="1">
      <alignment wrapText="1"/>
    </xf>
    <xf numFmtId="0" fontId="34" fillId="2" borderId="3" xfId="1" applyNumberFormat="1" applyFont="1" applyFill="1" applyBorder="1" applyAlignment="1"/>
    <xf numFmtId="0" fontId="34" fillId="2" borderId="3" xfId="1" applyFont="1" applyFill="1" applyBorder="1" applyAlignment="1">
      <alignment horizontal="left"/>
    </xf>
    <xf numFmtId="166" fontId="34" fillId="2" borderId="3" xfId="1" applyNumberFormat="1" applyFont="1" applyFill="1" applyBorder="1" applyAlignment="1">
      <alignment horizontal="center"/>
    </xf>
    <xf numFmtId="49" fontId="34" fillId="2" borderId="3" xfId="1" applyNumberFormat="1" applyFont="1" applyFill="1" applyBorder="1" applyAlignment="1">
      <alignment horizontal="right"/>
    </xf>
    <xf numFmtId="1" fontId="34" fillId="2" borderId="3" xfId="1" applyNumberFormat="1" applyFont="1" applyFill="1" applyBorder="1" applyAlignment="1">
      <alignment horizontal="left"/>
    </xf>
    <xf numFmtId="0" fontId="34" fillId="2" borderId="3" xfId="1" applyFont="1" applyFill="1" applyBorder="1" applyAlignment="1">
      <alignment horizontal="right"/>
    </xf>
    <xf numFmtId="0" fontId="34" fillId="2" borderId="3" xfId="1" applyNumberFormat="1" applyFont="1" applyFill="1" applyBorder="1"/>
    <xf numFmtId="167" fontId="20" fillId="2" borderId="3" xfId="0" applyNumberFormat="1" applyFont="1" applyFill="1" applyBorder="1" applyAlignment="1"/>
    <xf numFmtId="167" fontId="32" fillId="2" borderId="3" xfId="0" applyNumberFormat="1" applyFont="1" applyFill="1" applyBorder="1" applyAlignment="1">
      <alignment wrapText="1"/>
    </xf>
    <xf numFmtId="3" fontId="37" fillId="2" borderId="3" xfId="1" applyNumberFormat="1" applyFont="1" applyFill="1" applyBorder="1" applyAlignment="1">
      <alignment horizontal="right"/>
    </xf>
    <xf numFmtId="0" fontId="0" fillId="2" borderId="3" xfId="0" applyFill="1" applyBorder="1"/>
    <xf numFmtId="167" fontId="20" fillId="0" borderId="6" xfId="0" applyNumberFormat="1" applyFont="1" applyFill="1" applyBorder="1" applyAlignment="1">
      <alignment horizontal="left" wrapText="1"/>
    </xf>
    <xf numFmtId="0" fontId="34" fillId="2" borderId="6" xfId="1" applyNumberFormat="1" applyFont="1" applyFill="1" applyBorder="1" applyAlignment="1">
      <alignment horizontal="center"/>
    </xf>
    <xf numFmtId="0" fontId="10" fillId="2" borderId="2" xfId="1" applyFont="1" applyFill="1" applyBorder="1" applyAlignment="1">
      <alignment horizontal="right"/>
    </xf>
    <xf numFmtId="0" fontId="37" fillId="2" borderId="2" xfId="1" applyFont="1" applyFill="1" applyBorder="1"/>
    <xf numFmtId="0" fontId="34" fillId="2" borderId="2" xfId="1" applyNumberFormat="1" applyFont="1" applyFill="1" applyBorder="1" applyAlignment="1">
      <alignment horizontal="center"/>
    </xf>
    <xf numFmtId="49" fontId="34" fillId="2" borderId="2" xfId="1" applyNumberFormat="1" applyFont="1" applyFill="1" applyBorder="1"/>
    <xf numFmtId="0" fontId="11" fillId="2" borderId="2" xfId="1" applyFont="1" applyFill="1" applyBorder="1"/>
    <xf numFmtId="167" fontId="20" fillId="0" borderId="6" xfId="0" applyNumberFormat="1" applyFont="1" applyFill="1" applyBorder="1" applyAlignment="1">
      <alignment wrapText="1"/>
    </xf>
    <xf numFmtId="0" fontId="37" fillId="2" borderId="6" xfId="1" applyFont="1" applyFill="1" applyBorder="1" applyAlignment="1">
      <alignment wrapText="1"/>
    </xf>
    <xf numFmtId="49" fontId="34" fillId="2" borderId="6" xfId="1" applyNumberFormat="1" applyFont="1" applyFill="1" applyBorder="1"/>
    <xf numFmtId="0" fontId="11" fillId="2" borderId="6" xfId="1" applyFont="1" applyFill="1" applyBorder="1"/>
    <xf numFmtId="0" fontId="3" fillId="2" borderId="2" xfId="1" applyFont="1" applyFill="1" applyBorder="1"/>
    <xf numFmtId="0" fontId="50" fillId="2" borderId="2" xfId="1" applyFont="1" applyFill="1" applyBorder="1"/>
    <xf numFmtId="167" fontId="43" fillId="2" borderId="2" xfId="0" applyNumberFormat="1" applyFont="1" applyFill="1" applyBorder="1" applyAlignment="1">
      <alignment wrapText="1"/>
    </xf>
    <xf numFmtId="0" fontId="34" fillId="3" borderId="2" xfId="1" applyNumberFormat="1" applyFont="1" applyFill="1" applyBorder="1" applyAlignment="1">
      <alignment horizontal="center"/>
    </xf>
    <xf numFmtId="167" fontId="13" fillId="2" borderId="6" xfId="0" applyNumberFormat="1" applyFont="1" applyFill="1" applyBorder="1" applyAlignment="1">
      <alignment wrapText="1"/>
    </xf>
    <xf numFmtId="49" fontId="34" fillId="2" borderId="6" xfId="1" applyNumberFormat="1" applyFont="1" applyFill="1" applyBorder="1" applyAlignment="1">
      <alignment horizontal="left"/>
    </xf>
    <xf numFmtId="166" fontId="34" fillId="2" borderId="2" xfId="1" applyNumberFormat="1" applyFont="1" applyFill="1" applyBorder="1" applyAlignment="1">
      <alignment horizontal="center"/>
    </xf>
    <xf numFmtId="0" fontId="10" fillId="2" borderId="6" xfId="1" applyFont="1" applyFill="1" applyBorder="1" applyAlignment="1">
      <alignment horizontal="right"/>
    </xf>
    <xf numFmtId="167" fontId="20" fillId="2" borderId="6" xfId="0" applyNumberFormat="1" applyFont="1" applyFill="1" applyBorder="1" applyAlignment="1">
      <alignment wrapText="1"/>
    </xf>
    <xf numFmtId="3" fontId="37" fillId="2" borderId="39" xfId="1" applyNumberFormat="1" applyFont="1" applyFill="1" applyBorder="1"/>
    <xf numFmtId="167" fontId="20" fillId="2" borderId="2" xfId="0" applyNumberFormat="1" applyFont="1" applyFill="1" applyBorder="1" applyAlignment="1">
      <alignment wrapText="1"/>
    </xf>
    <xf numFmtId="0" fontId="37" fillId="10" borderId="6" xfId="1" applyFont="1" applyFill="1" applyBorder="1"/>
    <xf numFmtId="0" fontId="34" fillId="2" borderId="6" xfId="1" applyFont="1" applyFill="1" applyBorder="1" applyAlignment="1">
      <alignment horizontal="center"/>
    </xf>
    <xf numFmtId="0" fontId="3" fillId="2" borderId="6" xfId="1" applyFont="1" applyFill="1" applyBorder="1"/>
    <xf numFmtId="0" fontId="37" fillId="2" borderId="6" xfId="1" applyFont="1" applyFill="1" applyBorder="1"/>
    <xf numFmtId="1" fontId="34" fillId="2" borderId="6" xfId="1" applyNumberFormat="1" applyFont="1" applyFill="1" applyBorder="1" applyAlignment="1">
      <alignment horizontal="center"/>
    </xf>
    <xf numFmtId="167" fontId="37" fillId="2" borderId="6" xfId="1" applyNumberFormat="1" applyFont="1" applyFill="1" applyBorder="1" applyAlignment="1">
      <alignment wrapText="1"/>
    </xf>
    <xf numFmtId="1" fontId="34" fillId="2" borderId="6" xfId="1" applyNumberFormat="1" applyFont="1" applyFill="1" applyBorder="1"/>
    <xf numFmtId="167" fontId="13" fillId="2" borderId="2" xfId="0" applyNumberFormat="1" applyFont="1" applyFill="1" applyBorder="1" applyAlignment="1">
      <alignment wrapText="1"/>
    </xf>
    <xf numFmtId="0" fontId="34" fillId="2" borderId="6" xfId="1" applyFont="1" applyFill="1" applyBorder="1"/>
    <xf numFmtId="167" fontId="23" fillId="0" borderId="2" xfId="0" applyNumberFormat="1" applyFont="1" applyFill="1" applyBorder="1" applyAlignment="1">
      <alignment wrapText="1"/>
    </xf>
    <xf numFmtId="1" fontId="34" fillId="2" borderId="2" xfId="1" applyNumberFormat="1" applyFont="1" applyFill="1" applyBorder="1" applyAlignment="1">
      <alignment horizontal="center"/>
    </xf>
    <xf numFmtId="167" fontId="23" fillId="2" borderId="6" xfId="0" applyNumberFormat="1" applyFont="1" applyFill="1" applyBorder="1" applyAlignment="1">
      <alignment wrapText="1"/>
    </xf>
    <xf numFmtId="0" fontId="50" fillId="2" borderId="6" xfId="1" applyFont="1" applyFill="1" applyBorder="1"/>
    <xf numFmtId="0" fontId="34" fillId="3" borderId="6" xfId="1" applyNumberFormat="1" applyFont="1" applyFill="1" applyBorder="1" applyAlignment="1"/>
    <xf numFmtId="49" fontId="34" fillId="2" borderId="2" xfId="1" applyNumberFormat="1" applyFont="1" applyFill="1" applyBorder="1" applyAlignment="1">
      <alignment wrapText="1"/>
    </xf>
    <xf numFmtId="0" fontId="10" fillId="2" borderId="2" xfId="1" applyFont="1" applyFill="1" applyBorder="1"/>
    <xf numFmtId="167" fontId="50" fillId="2" borderId="2" xfId="1" applyNumberFormat="1" applyFont="1" applyFill="1" applyBorder="1" applyAlignment="1">
      <alignment wrapText="1"/>
    </xf>
    <xf numFmtId="0" fontId="34" fillId="2" borderId="2" xfId="1" applyNumberFormat="1" applyFont="1" applyFill="1" applyBorder="1" applyAlignment="1"/>
    <xf numFmtId="0" fontId="32" fillId="2" borderId="2" xfId="1" applyFont="1" applyFill="1" applyBorder="1" applyAlignment="1">
      <alignment wrapText="1"/>
    </xf>
    <xf numFmtId="166" fontId="34" fillId="2" borderId="2" xfId="1" applyNumberFormat="1" applyFont="1" applyFill="1" applyBorder="1" applyAlignment="1">
      <alignment horizontal="left"/>
    </xf>
    <xf numFmtId="0" fontId="50" fillId="2" borderId="6" xfId="1" applyFont="1" applyFill="1" applyBorder="1" applyAlignment="1">
      <alignment wrapText="1"/>
    </xf>
    <xf numFmtId="49" fontId="34" fillId="2" borderId="6" xfId="1" applyNumberFormat="1" applyFont="1" applyFill="1" applyBorder="1" applyAlignment="1">
      <alignment wrapText="1"/>
    </xf>
    <xf numFmtId="49" fontId="34" fillId="2" borderId="2" xfId="1" applyNumberFormat="1" applyFont="1" applyFill="1" applyBorder="1" applyAlignment="1">
      <alignment horizontal="left"/>
    </xf>
    <xf numFmtId="0" fontId="34" fillId="2" borderId="2" xfId="1" applyFont="1" applyFill="1" applyBorder="1" applyAlignment="1">
      <alignment horizontal="left"/>
    </xf>
    <xf numFmtId="0" fontId="34" fillId="2" borderId="2" xfId="1" applyFont="1" applyFill="1" applyBorder="1"/>
    <xf numFmtId="0" fontId="10" fillId="2" borderId="6" xfId="1" applyFont="1" applyFill="1" applyBorder="1"/>
    <xf numFmtId="1" fontId="34" fillId="2" borderId="2" xfId="1" applyNumberFormat="1" applyFont="1" applyFill="1" applyBorder="1" applyAlignment="1">
      <alignment horizontal="right"/>
    </xf>
    <xf numFmtId="167" fontId="50" fillId="2" borderId="6" xfId="0" applyNumberFormat="1" applyFont="1" applyFill="1" applyBorder="1" applyAlignment="1">
      <alignment wrapText="1"/>
    </xf>
    <xf numFmtId="0" fontId="34" fillId="2" borderId="6" xfId="1" applyNumberFormat="1" applyFont="1" applyFill="1" applyBorder="1" applyAlignment="1"/>
    <xf numFmtId="0" fontId="5" fillId="2" borderId="6" xfId="1" applyFont="1" applyFill="1" applyBorder="1"/>
    <xf numFmtId="1" fontId="34" fillId="2" borderId="6" xfId="1" applyNumberFormat="1" applyFont="1" applyFill="1" applyBorder="1" applyAlignment="1"/>
    <xf numFmtId="49" fontId="34" fillId="2" borderId="2" xfId="1" applyNumberFormat="1" applyFont="1" applyFill="1" applyBorder="1" applyAlignment="1">
      <alignment horizontal="right"/>
    </xf>
    <xf numFmtId="167" fontId="50" fillId="2" borderId="2" xfId="0" applyNumberFormat="1" applyFont="1" applyFill="1" applyBorder="1" applyAlignment="1">
      <alignment wrapText="1"/>
    </xf>
    <xf numFmtId="0" fontId="34" fillId="2" borderId="6" xfId="1" applyNumberFormat="1" applyFont="1" applyFill="1" applyBorder="1" applyAlignment="1">
      <alignment horizontal="left"/>
    </xf>
    <xf numFmtId="0" fontId="5" fillId="2" borderId="2" xfId="1" applyFont="1" applyFill="1" applyBorder="1"/>
    <xf numFmtId="167" fontId="30" fillId="2" borderId="6" xfId="0" applyNumberFormat="1" applyFont="1" applyFill="1" applyBorder="1" applyAlignment="1">
      <alignment wrapText="1"/>
    </xf>
    <xf numFmtId="166" fontId="34" fillId="2" borderId="6" xfId="1" applyNumberFormat="1" applyFont="1" applyFill="1" applyBorder="1" applyAlignment="1">
      <alignment horizontal="left"/>
    </xf>
    <xf numFmtId="0" fontId="0" fillId="2" borderId="2" xfId="0" applyFill="1" applyBorder="1"/>
    <xf numFmtId="167" fontId="22" fillId="2" borderId="2" xfId="0" applyNumberFormat="1" applyFont="1" applyFill="1" applyBorder="1" applyAlignment="1">
      <alignment wrapText="1"/>
    </xf>
    <xf numFmtId="0" fontId="34" fillId="7" borderId="2" xfId="1" applyNumberFormat="1" applyFont="1" applyFill="1" applyBorder="1" applyAlignment="1">
      <alignment horizontal="center"/>
    </xf>
    <xf numFmtId="3" fontId="37" fillId="2" borderId="2" xfId="1" applyNumberFormat="1" applyFont="1" applyFill="1" applyBorder="1" applyAlignment="1">
      <alignment horizontal="right"/>
    </xf>
    <xf numFmtId="0" fontId="34" fillId="2" borderId="2" xfId="1" applyNumberFormat="1" applyFont="1" applyFill="1" applyBorder="1" applyAlignment="1">
      <alignment wrapText="1"/>
    </xf>
    <xf numFmtId="167" fontId="23" fillId="2" borderId="2" xfId="1" applyNumberFormat="1" applyFont="1" applyFill="1" applyBorder="1" applyAlignment="1">
      <alignment wrapText="1"/>
    </xf>
    <xf numFmtId="167" fontId="37" fillId="2" borderId="4" xfId="1" applyNumberFormat="1" applyFont="1" applyFill="1" applyBorder="1" applyAlignment="1">
      <alignment wrapText="1"/>
    </xf>
    <xf numFmtId="0" fontId="2" fillId="2" borderId="9" xfId="1" applyFont="1" applyFill="1" applyBorder="1" applyAlignment="1">
      <alignment horizontal="right"/>
    </xf>
    <xf numFmtId="0" fontId="4" fillId="2" borderId="7" xfId="1" applyFont="1" applyFill="1" applyBorder="1" applyAlignment="1">
      <alignment horizontal="center"/>
    </xf>
    <xf numFmtId="0" fontId="19" fillId="2" borderId="8" xfId="1" applyFont="1" applyFill="1" applyBorder="1" applyAlignment="1">
      <alignment horizontal="left"/>
    </xf>
    <xf numFmtId="0" fontId="37" fillId="2" borderId="8" xfId="1" applyFont="1" applyFill="1" applyBorder="1" applyAlignment="1">
      <alignment horizontal="center"/>
    </xf>
    <xf numFmtId="0" fontId="34" fillId="2" borderId="7" xfId="1" applyNumberFormat="1" applyFont="1" applyFill="1" applyBorder="1" applyAlignment="1">
      <alignment horizontal="center"/>
    </xf>
    <xf numFmtId="0" fontId="15" fillId="2" borderId="9" xfId="1" applyFont="1" applyFill="1" applyBorder="1" applyAlignment="1">
      <alignment horizontal="center"/>
    </xf>
    <xf numFmtId="0" fontId="37" fillId="2" borderId="32" xfId="1" applyFont="1" applyFill="1" applyBorder="1" applyAlignment="1">
      <alignment horizontal="center"/>
    </xf>
    <xf numFmtId="0" fontId="37" fillId="2" borderId="10" xfId="1" applyFont="1" applyFill="1" applyBorder="1" applyAlignment="1">
      <alignment horizontal="center"/>
    </xf>
    <xf numFmtId="0" fontId="3" fillId="2" borderId="46" xfId="1" applyFont="1" applyFill="1" applyBorder="1" applyAlignment="1">
      <alignment horizontal="right"/>
    </xf>
    <xf numFmtId="0" fontId="22" fillId="2" borderId="47" xfId="1" applyFont="1" applyFill="1" applyBorder="1" applyAlignment="1">
      <alignment horizontal="center" wrapText="1"/>
    </xf>
    <xf numFmtId="0" fontId="19" fillId="2" borderId="47" xfId="1" applyFont="1" applyFill="1" applyBorder="1" applyAlignment="1">
      <alignment horizontal="left" wrapText="1"/>
    </xf>
    <xf numFmtId="0" fontId="13" fillId="2" borderId="47" xfId="0" applyFont="1" applyFill="1" applyBorder="1" applyAlignment="1">
      <alignment wrapText="1"/>
    </xf>
    <xf numFmtId="0" fontId="34" fillId="2" borderId="47" xfId="1" applyNumberFormat="1" applyFont="1" applyFill="1" applyBorder="1" applyAlignment="1">
      <alignment horizontal="center"/>
    </xf>
    <xf numFmtId="0" fontId="11" fillId="2" borderId="48" xfId="1" applyFont="1" applyFill="1" applyBorder="1"/>
    <xf numFmtId="0" fontId="3" fillId="2" borderId="49" xfId="1" applyFont="1" applyFill="1" applyBorder="1" applyAlignment="1">
      <alignment horizontal="right"/>
    </xf>
    <xf numFmtId="0" fontId="11" fillId="2" borderId="50" xfId="1" applyFont="1" applyFill="1" applyBorder="1"/>
    <xf numFmtId="0" fontId="10" fillId="2" borderId="49" xfId="1" applyFont="1" applyFill="1" applyBorder="1" applyAlignment="1">
      <alignment horizontal="right"/>
    </xf>
    <xf numFmtId="0" fontId="15" fillId="2" borderId="50" xfId="1" applyFont="1" applyFill="1" applyBorder="1"/>
    <xf numFmtId="0" fontId="10" fillId="2" borderId="51" xfId="1" applyFont="1" applyFill="1" applyBorder="1" applyAlignment="1">
      <alignment horizontal="right"/>
    </xf>
    <xf numFmtId="0" fontId="22" fillId="2" borderId="52" xfId="1" applyFont="1" applyFill="1" applyBorder="1" applyAlignment="1">
      <alignment horizontal="center" wrapText="1"/>
    </xf>
    <xf numFmtId="0" fontId="19" fillId="2" borderId="52" xfId="1" applyFont="1" applyFill="1" applyBorder="1" applyAlignment="1">
      <alignment horizontal="left" wrapText="1"/>
    </xf>
    <xf numFmtId="0" fontId="37" fillId="2" borderId="52" xfId="1" applyFont="1" applyFill="1" applyBorder="1"/>
    <xf numFmtId="0" fontId="34" fillId="2" borderId="52" xfId="1" applyNumberFormat="1" applyFont="1" applyFill="1" applyBorder="1" applyAlignment="1">
      <alignment horizontal="center"/>
    </xf>
    <xf numFmtId="0" fontId="5" fillId="2" borderId="53" xfId="1" applyFont="1" applyFill="1" applyBorder="1"/>
    <xf numFmtId="3" fontId="37" fillId="2" borderId="54" xfId="1" applyNumberFormat="1" applyFont="1" applyFill="1" applyBorder="1"/>
    <xf numFmtId="168" fontId="37" fillId="2" borderId="48" xfId="1" applyNumberFormat="1" applyFont="1" applyFill="1" applyBorder="1" applyAlignment="1">
      <alignment horizontal="right"/>
    </xf>
    <xf numFmtId="3" fontId="37" fillId="2" borderId="55" xfId="1" applyNumberFormat="1" applyFont="1" applyFill="1" applyBorder="1"/>
    <xf numFmtId="168" fontId="37" fillId="2" borderId="50" xfId="1" applyNumberFormat="1" applyFont="1" applyFill="1" applyBorder="1" applyAlignment="1">
      <alignment horizontal="right"/>
    </xf>
    <xf numFmtId="3" fontId="37" fillId="2" borderId="56" xfId="1" applyNumberFormat="1" applyFont="1" applyFill="1" applyBorder="1"/>
    <xf numFmtId="168" fontId="37" fillId="2" borderId="53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right"/>
    </xf>
    <xf numFmtId="0" fontId="22" fillId="2" borderId="8" xfId="1" applyFont="1" applyFill="1" applyBorder="1" applyAlignment="1">
      <alignment horizontal="center" wrapText="1"/>
    </xf>
    <xf numFmtId="0" fontId="19" fillId="2" borderId="8" xfId="1" applyFont="1" applyFill="1" applyBorder="1" applyAlignment="1">
      <alignment horizontal="left" wrapText="1"/>
    </xf>
    <xf numFmtId="167" fontId="37" fillId="2" borderId="8" xfId="0" applyNumberFormat="1" applyFont="1" applyFill="1" applyBorder="1" applyAlignment="1">
      <alignment wrapText="1"/>
    </xf>
    <xf numFmtId="49" fontId="34" fillId="2" borderId="8" xfId="1" applyNumberFormat="1" applyFont="1" applyFill="1" applyBorder="1"/>
    <xf numFmtId="0" fontId="11" fillId="2" borderId="10" xfId="1" applyFont="1" applyFill="1" applyBorder="1"/>
    <xf numFmtId="3" fontId="37" fillId="2" borderId="12" xfId="1" applyNumberFormat="1" applyFont="1" applyFill="1" applyBorder="1"/>
    <xf numFmtId="168" fontId="37" fillId="2" borderId="10" xfId="1" applyNumberFormat="1" applyFont="1" applyFill="1" applyBorder="1" applyAlignment="1">
      <alignment horizontal="right"/>
    </xf>
    <xf numFmtId="0" fontId="3" fillId="2" borderId="46" xfId="1" applyFont="1" applyFill="1" applyBorder="1"/>
    <xf numFmtId="0" fontId="37" fillId="2" borderId="47" xfId="1" applyFont="1" applyFill="1" applyBorder="1"/>
    <xf numFmtId="0" fontId="15" fillId="2" borderId="48" xfId="1" applyFont="1" applyFill="1" applyBorder="1"/>
    <xf numFmtId="0" fontId="3" fillId="2" borderId="51" xfId="1" applyFont="1" applyFill="1" applyBorder="1" applyAlignment="1">
      <alignment horizontal="right"/>
    </xf>
    <xf numFmtId="0" fontId="15" fillId="2" borderId="53" xfId="1" applyFont="1" applyFill="1" applyBorder="1"/>
    <xf numFmtId="0" fontId="10" fillId="2" borderId="12" xfId="1" applyFont="1" applyFill="1" applyBorder="1" applyAlignment="1">
      <alignment horizontal="right"/>
    </xf>
    <xf numFmtId="0" fontId="37" fillId="2" borderId="8" xfId="1" applyFont="1" applyFill="1" applyBorder="1" applyAlignment="1">
      <alignment wrapText="1"/>
    </xf>
    <xf numFmtId="0" fontId="34" fillId="2" borderId="8" xfId="1" applyNumberFormat="1" applyFont="1" applyFill="1" applyBorder="1" applyAlignment="1">
      <alignment horizontal="center"/>
    </xf>
    <xf numFmtId="0" fontId="15" fillId="2" borderId="10" xfId="1" applyFont="1" applyFill="1" applyBorder="1"/>
    <xf numFmtId="3" fontId="37" fillId="2" borderId="32" xfId="1" applyNumberFormat="1" applyFont="1" applyFill="1" applyBorder="1"/>
    <xf numFmtId="167" fontId="37" fillId="2" borderId="8" xfId="1" applyNumberFormat="1" applyFont="1" applyFill="1" applyBorder="1" applyAlignment="1">
      <alignment wrapText="1"/>
    </xf>
    <xf numFmtId="0" fontId="3" fillId="2" borderId="51" xfId="1" applyFont="1" applyFill="1" applyBorder="1"/>
    <xf numFmtId="0" fontId="34" fillId="2" borderId="52" xfId="1" applyNumberFormat="1" applyFont="1" applyFill="1" applyBorder="1"/>
    <xf numFmtId="0" fontId="11" fillId="2" borderId="53" xfId="1" applyFont="1" applyFill="1" applyBorder="1"/>
    <xf numFmtId="0" fontId="5" fillId="2" borderId="10" xfId="1" applyFont="1" applyFill="1" applyBorder="1"/>
    <xf numFmtId="167" fontId="13" fillId="2" borderId="8" xfId="0" applyNumberFormat="1" applyFont="1" applyFill="1" applyBorder="1" applyAlignment="1">
      <alignment wrapText="1"/>
    </xf>
    <xf numFmtId="0" fontId="34" fillId="2" borderId="8" xfId="1" applyNumberFormat="1" applyFont="1" applyFill="1" applyBorder="1" applyAlignment="1">
      <alignment horizontal="left"/>
    </xf>
    <xf numFmtId="167" fontId="20" fillId="2" borderId="8" xfId="0" applyNumberFormat="1" applyFont="1" applyFill="1" applyBorder="1" applyAlignment="1">
      <alignment wrapText="1"/>
    </xf>
    <xf numFmtId="0" fontId="37" fillId="2" borderId="8" xfId="1" applyFont="1" applyFill="1" applyBorder="1"/>
    <xf numFmtId="0" fontId="3" fillId="2" borderId="12" xfId="1" applyFont="1" applyFill="1" applyBorder="1"/>
    <xf numFmtId="167" fontId="37" fillId="2" borderId="52" xfId="0" applyNumberFormat="1" applyFont="1" applyFill="1" applyBorder="1" applyAlignment="1">
      <alignment wrapText="1"/>
    </xf>
    <xf numFmtId="0" fontId="34" fillId="2" borderId="8" xfId="1" applyNumberFormat="1" applyFont="1" applyFill="1" applyBorder="1" applyAlignment="1">
      <alignment horizontal="right"/>
    </xf>
    <xf numFmtId="167" fontId="43" fillId="2" borderId="8" xfId="1" applyNumberFormat="1" applyFont="1" applyFill="1" applyBorder="1" applyAlignment="1">
      <alignment wrapText="1"/>
    </xf>
    <xf numFmtId="0" fontId="5" fillId="2" borderId="50" xfId="1" applyFont="1" applyFill="1" applyBorder="1"/>
    <xf numFmtId="0" fontId="54" fillId="2" borderId="52" xfId="0" applyFont="1" applyFill="1" applyBorder="1"/>
    <xf numFmtId="3" fontId="37" fillId="2" borderId="51" xfId="1" applyNumberFormat="1" applyFont="1" applyFill="1" applyBorder="1"/>
    <xf numFmtId="168" fontId="37" fillId="2" borderId="57" xfId="1" applyNumberFormat="1" applyFont="1" applyFill="1" applyBorder="1" applyAlignment="1">
      <alignment horizontal="right"/>
    </xf>
    <xf numFmtId="0" fontId="34" fillId="2" borderId="52" xfId="1" applyNumberFormat="1" applyFont="1" applyFill="1" applyBorder="1" applyAlignment="1"/>
    <xf numFmtId="3" fontId="37" fillId="2" borderId="46" xfId="1" applyNumberFormat="1" applyFont="1" applyFill="1" applyBorder="1"/>
    <xf numFmtId="168" fontId="37" fillId="2" borderId="45" xfId="1" applyNumberFormat="1" applyFont="1" applyFill="1" applyBorder="1" applyAlignment="1">
      <alignment horizontal="right"/>
    </xf>
    <xf numFmtId="167" fontId="13" fillId="2" borderId="47" xfId="0" applyNumberFormat="1" applyFont="1" applyFill="1" applyBorder="1" applyAlignment="1">
      <alignment wrapText="1"/>
    </xf>
    <xf numFmtId="167" fontId="13" fillId="2" borderId="52" xfId="0" applyNumberFormat="1" applyFont="1" applyFill="1" applyBorder="1" applyAlignment="1">
      <alignment wrapText="1"/>
    </xf>
    <xf numFmtId="0" fontId="10" fillId="2" borderId="46" xfId="1" applyFont="1" applyFill="1" applyBorder="1" applyAlignment="1">
      <alignment horizontal="right"/>
    </xf>
    <xf numFmtId="167" fontId="37" fillId="2" borderId="47" xfId="1" applyNumberFormat="1" applyFont="1" applyFill="1" applyBorder="1" applyAlignment="1">
      <alignment wrapText="1"/>
    </xf>
    <xf numFmtId="0" fontId="34" fillId="2" borderId="47" xfId="1" applyNumberFormat="1" applyFont="1" applyFill="1" applyBorder="1" applyAlignment="1"/>
    <xf numFmtId="0" fontId="50" fillId="2" borderId="52" xfId="1" applyFont="1" applyFill="1" applyBorder="1"/>
    <xf numFmtId="0" fontId="50" fillId="2" borderId="8" xfId="1" applyFont="1" applyFill="1" applyBorder="1"/>
    <xf numFmtId="0" fontId="50" fillId="2" borderId="47" xfId="1" applyFont="1" applyFill="1" applyBorder="1"/>
    <xf numFmtId="0" fontId="34" fillId="2" borderId="52" xfId="1" applyNumberFormat="1" applyFont="1" applyFill="1" applyBorder="1" applyAlignment="1">
      <alignment horizontal="left"/>
    </xf>
    <xf numFmtId="0" fontId="34" fillId="2" borderId="47" xfId="1" applyNumberFormat="1" applyFont="1" applyFill="1" applyBorder="1"/>
    <xf numFmtId="0" fontId="10" fillId="2" borderId="48" xfId="1" applyFont="1" applyFill="1" applyBorder="1"/>
    <xf numFmtId="167" fontId="20" fillId="2" borderId="52" xfId="0" applyNumberFormat="1" applyFont="1" applyFill="1" applyBorder="1" applyAlignment="1">
      <alignment wrapText="1"/>
    </xf>
    <xf numFmtId="49" fontId="34" fillId="2" borderId="52" xfId="1" applyNumberFormat="1" applyFont="1" applyFill="1" applyBorder="1"/>
    <xf numFmtId="0" fontId="3" fillId="2" borderId="53" xfId="1" applyFont="1" applyFill="1" applyBorder="1"/>
    <xf numFmtId="167" fontId="50" fillId="2" borderId="47" xfId="1" applyNumberFormat="1" applyFont="1" applyFill="1" applyBorder="1" applyAlignment="1">
      <alignment wrapText="1"/>
    </xf>
    <xf numFmtId="0" fontId="3" fillId="2" borderId="50" xfId="1" applyFont="1" applyFill="1" applyBorder="1"/>
    <xf numFmtId="0" fontId="10" fillId="2" borderId="50" xfId="1" applyFont="1" applyFill="1" applyBorder="1"/>
    <xf numFmtId="167" fontId="20" fillId="0" borderId="8" xfId="0" applyNumberFormat="1" applyFont="1" applyFill="1" applyBorder="1" applyAlignment="1">
      <alignment wrapText="1"/>
    </xf>
    <xf numFmtId="0" fontId="34" fillId="2" borderId="8" xfId="1" applyFont="1" applyFill="1" applyBorder="1"/>
    <xf numFmtId="167" fontId="20" fillId="0" borderId="47" xfId="0" applyNumberFormat="1" applyFont="1" applyFill="1" applyBorder="1" applyAlignment="1">
      <alignment wrapText="1"/>
    </xf>
    <xf numFmtId="49" fontId="34" fillId="2" borderId="47" xfId="1" applyNumberFormat="1" applyFont="1" applyFill="1" applyBorder="1" applyAlignment="1">
      <alignment wrapText="1"/>
    </xf>
    <xf numFmtId="0" fontId="3" fillId="2" borderId="48" xfId="1" applyFont="1" applyFill="1" applyBorder="1"/>
    <xf numFmtId="167" fontId="20" fillId="0" borderId="52" xfId="0" applyNumberFormat="1" applyFont="1" applyFill="1" applyBorder="1" applyAlignment="1">
      <alignment wrapText="1"/>
    </xf>
    <xf numFmtId="166" fontId="34" fillId="2" borderId="52" xfId="1" applyNumberFormat="1" applyFont="1" applyFill="1" applyBorder="1" applyAlignment="1">
      <alignment horizontal="left"/>
    </xf>
    <xf numFmtId="0" fontId="10" fillId="2" borderId="12" xfId="1" applyFont="1" applyFill="1" applyBorder="1"/>
    <xf numFmtId="0" fontId="34" fillId="2" borderId="47" xfId="1" applyNumberFormat="1" applyFont="1" applyFill="1" applyBorder="1" applyAlignment="1">
      <alignment horizontal="left"/>
    </xf>
    <xf numFmtId="0" fontId="3" fillId="2" borderId="10" xfId="1" applyFont="1" applyFill="1" applyBorder="1"/>
    <xf numFmtId="1" fontId="34" fillId="2" borderId="8" xfId="1" applyNumberFormat="1" applyFont="1" applyFill="1" applyBorder="1" applyAlignment="1"/>
    <xf numFmtId="0" fontId="34" fillId="2" borderId="8" xfId="1" applyNumberFormat="1" applyFont="1" applyFill="1" applyBorder="1" applyAlignment="1"/>
    <xf numFmtId="167" fontId="50" fillId="2" borderId="47" xfId="0" applyNumberFormat="1" applyFont="1" applyFill="1" applyBorder="1" applyAlignment="1">
      <alignment wrapText="1"/>
    </xf>
    <xf numFmtId="0" fontId="5" fillId="2" borderId="48" xfId="1" applyFont="1" applyFill="1" applyBorder="1"/>
    <xf numFmtId="167" fontId="20" fillId="2" borderId="47" xfId="0" applyNumberFormat="1" applyFont="1" applyFill="1" applyBorder="1" applyAlignment="1">
      <alignment wrapText="1"/>
    </xf>
    <xf numFmtId="167" fontId="50" fillId="2" borderId="8" xfId="0" applyNumberFormat="1" applyFont="1" applyFill="1" applyBorder="1" applyAlignment="1">
      <alignment wrapText="1"/>
    </xf>
    <xf numFmtId="167" fontId="23" fillId="2" borderId="8" xfId="0" applyNumberFormat="1" applyFont="1" applyFill="1" applyBorder="1" applyAlignment="1">
      <alignment wrapText="1"/>
    </xf>
    <xf numFmtId="0" fontId="10" fillId="2" borderId="46" xfId="1" applyFont="1" applyFill="1" applyBorder="1"/>
    <xf numFmtId="49" fontId="34" fillId="2" borderId="47" xfId="1" applyNumberFormat="1" applyFont="1" applyFill="1" applyBorder="1" applyAlignment="1">
      <alignment horizontal="left"/>
    </xf>
    <xf numFmtId="167" fontId="50" fillId="2" borderId="52" xfId="1" applyNumberFormat="1" applyFont="1" applyFill="1" applyBorder="1" applyAlignment="1">
      <alignment wrapText="1"/>
    </xf>
    <xf numFmtId="49" fontId="34" fillId="2" borderId="8" xfId="1" applyNumberFormat="1" applyFont="1" applyFill="1" applyBorder="1" applyAlignment="1">
      <alignment horizontal="left"/>
    </xf>
    <xf numFmtId="0" fontId="34" fillId="2" borderId="8" xfId="1" applyNumberFormat="1" applyFont="1" applyFill="1" applyBorder="1"/>
    <xf numFmtId="1" fontId="34" fillId="2" borderId="8" xfId="1" applyNumberFormat="1" applyFont="1" applyFill="1" applyBorder="1" applyAlignment="1">
      <alignment horizontal="left"/>
    </xf>
    <xf numFmtId="167" fontId="23" fillId="2" borderId="47" xfId="0" applyNumberFormat="1" applyFont="1" applyFill="1" applyBorder="1" applyAlignment="1">
      <alignment wrapText="1"/>
    </xf>
    <xf numFmtId="167" fontId="30" fillId="2" borderId="52" xfId="0" applyNumberFormat="1" applyFont="1" applyFill="1" applyBorder="1" applyAlignment="1">
      <alignment wrapText="1"/>
    </xf>
    <xf numFmtId="0" fontId="0" fillId="2" borderId="47" xfId="0" applyFill="1" applyBorder="1"/>
    <xf numFmtId="0" fontId="34" fillId="2" borderId="52" xfId="1" applyFont="1" applyFill="1" applyBorder="1"/>
    <xf numFmtId="0" fontId="34" fillId="2" borderId="47" xfId="1" applyNumberFormat="1" applyFont="1" applyFill="1" applyBorder="1" applyAlignment="1" applyProtection="1">
      <alignment horizontal="center" vertical="center" wrapText="1"/>
      <protection locked="0"/>
    </xf>
    <xf numFmtId="3" fontId="37" fillId="8" borderId="46" xfId="1" applyNumberFormat="1" applyFont="1" applyFill="1" applyBorder="1"/>
    <xf numFmtId="3" fontId="37" fillId="2" borderId="22" xfId="1" applyNumberFormat="1" applyFont="1" applyFill="1" applyBorder="1"/>
    <xf numFmtId="167" fontId="50" fillId="2" borderId="8" xfId="1" applyNumberFormat="1" applyFont="1" applyFill="1" applyBorder="1" applyAlignment="1">
      <alignment wrapText="1"/>
    </xf>
    <xf numFmtId="0" fontId="0" fillId="2" borderId="8" xfId="0" applyFill="1" applyBorder="1"/>
    <xf numFmtId="0" fontId="10" fillId="2" borderId="51" xfId="1" applyFont="1" applyFill="1" applyBorder="1"/>
    <xf numFmtId="3" fontId="37" fillId="2" borderId="32" xfId="1" applyNumberFormat="1" applyFont="1" applyFill="1" applyBorder="1" applyAlignment="1">
      <alignment horizontal="right"/>
    </xf>
    <xf numFmtId="0" fontId="50" fillId="2" borderId="47" xfId="1" applyFont="1" applyFill="1" applyBorder="1" applyAlignment="1">
      <alignment wrapText="1"/>
    </xf>
    <xf numFmtId="167" fontId="23" fillId="2" borderId="52" xfId="0" applyNumberFormat="1" applyFont="1" applyFill="1" applyBorder="1" applyAlignment="1">
      <alignment wrapText="1"/>
    </xf>
    <xf numFmtId="0" fontId="34" fillId="2" borderId="52" xfId="1" applyNumberFormat="1" applyFont="1" applyFill="1" applyBorder="1" applyAlignment="1">
      <alignment wrapText="1"/>
    </xf>
    <xf numFmtId="167" fontId="23" fillId="2" borderId="53" xfId="1" applyNumberFormat="1" applyFont="1" applyFill="1" applyBorder="1" applyAlignment="1">
      <alignment wrapText="1"/>
    </xf>
    <xf numFmtId="167" fontId="37" fillId="2" borderId="56" xfId="1" applyNumberFormat="1" applyFont="1" applyFill="1" applyBorder="1" applyAlignment="1">
      <alignment wrapText="1"/>
    </xf>
    <xf numFmtId="166" fontId="37" fillId="2" borderId="32" xfId="1" applyNumberFormat="1" applyFont="1" applyFill="1" applyBorder="1" applyAlignment="1">
      <alignment wrapText="1"/>
    </xf>
    <xf numFmtId="167" fontId="34" fillId="2" borderId="58" xfId="1" applyNumberFormat="1" applyFont="1" applyFill="1" applyBorder="1" applyAlignment="1">
      <alignment horizontal="right"/>
    </xf>
    <xf numFmtId="167" fontId="34" fillId="2" borderId="9" xfId="1" applyNumberFormat="1" applyFont="1" applyFill="1" applyBorder="1" applyAlignment="1">
      <alignment horizontal="right" vertical="center" wrapText="1"/>
    </xf>
    <xf numFmtId="168" fontId="16" fillId="9" borderId="19" xfId="1" applyNumberFormat="1" applyFont="1" applyFill="1" applyBorder="1"/>
    <xf numFmtId="3" fontId="72" fillId="2" borderId="1" xfId="1" applyNumberFormat="1" applyFont="1" applyFill="1" applyBorder="1"/>
    <xf numFmtId="168" fontId="10" fillId="2" borderId="0" xfId="1" applyNumberFormat="1" applyFont="1" applyFill="1" applyBorder="1"/>
    <xf numFmtId="167" fontId="20" fillId="2" borderId="1" xfId="0" applyNumberFormat="1" applyFont="1" applyFill="1" applyBorder="1" applyAlignment="1">
      <alignment horizontal="left" wrapText="1"/>
    </xf>
    <xf numFmtId="166" fontId="37" fillId="2" borderId="0" xfId="1" applyNumberFormat="1" applyFont="1" applyFill="1" applyBorder="1"/>
    <xf numFmtId="0" fontId="77" fillId="2" borderId="0" xfId="1" applyFont="1" applyFill="1" applyBorder="1" applyAlignment="1">
      <alignment horizontal="right"/>
    </xf>
    <xf numFmtId="0" fontId="11" fillId="7" borderId="1" xfId="1" applyFont="1" applyFill="1" applyBorder="1"/>
    <xf numFmtId="0" fontId="10" fillId="7" borderId="1" xfId="1" applyFont="1" applyFill="1" applyBorder="1"/>
    <xf numFmtId="169" fontId="37" fillId="2" borderId="1" xfId="1" applyNumberFormat="1" applyFont="1" applyFill="1" applyBorder="1" applyAlignment="1">
      <alignment horizontal="right"/>
    </xf>
    <xf numFmtId="0" fontId="3" fillId="7" borderId="1" xfId="1" applyFont="1" applyFill="1" applyBorder="1"/>
    <xf numFmtId="168" fontId="54" fillId="2" borderId="0" xfId="1" applyNumberFormat="1" applyFont="1" applyFill="1"/>
    <xf numFmtId="168" fontId="6" fillId="2" borderId="1" xfId="1" applyNumberFormat="1" applyFont="1" applyFill="1" applyBorder="1"/>
    <xf numFmtId="168" fontId="6" fillId="2" borderId="0" xfId="1" applyNumberFormat="1" applyFont="1" applyFill="1"/>
    <xf numFmtId="168" fontId="54" fillId="2" borderId="1" xfId="1" applyNumberFormat="1" applyFont="1" applyFill="1" applyBorder="1"/>
    <xf numFmtId="168" fontId="54" fillId="2" borderId="0" xfId="1" applyNumberFormat="1" applyFont="1" applyFill="1" applyBorder="1"/>
    <xf numFmtId="168" fontId="6" fillId="2" borderId="38" xfId="1" applyNumberFormat="1" applyFont="1" applyFill="1" applyBorder="1"/>
    <xf numFmtId="0" fontId="3" fillId="2" borderId="38" xfId="1" applyFont="1" applyFill="1" applyBorder="1"/>
    <xf numFmtId="0" fontId="1" fillId="2" borderId="38" xfId="1" applyFont="1" applyFill="1" applyBorder="1"/>
    <xf numFmtId="0" fontId="14" fillId="2" borderId="3" xfId="1" applyFont="1" applyFill="1" applyBorder="1"/>
    <xf numFmtId="0" fontId="8" fillId="2" borderId="4" xfId="1" applyFont="1" applyFill="1" applyBorder="1"/>
    <xf numFmtId="0" fontId="3" fillId="2" borderId="4" xfId="1" applyFont="1" applyFill="1" applyBorder="1"/>
    <xf numFmtId="0" fontId="1" fillId="2" borderId="4" xfId="1" applyFont="1" applyFill="1" applyBorder="1"/>
    <xf numFmtId="0" fontId="1" fillId="3" borderId="4" xfId="1" applyFont="1" applyFill="1" applyBorder="1"/>
    <xf numFmtId="0" fontId="14" fillId="2" borderId="4" xfId="1" applyFont="1" applyFill="1" applyBorder="1"/>
    <xf numFmtId="0" fontId="1" fillId="2" borderId="39" xfId="1" applyFont="1" applyFill="1" applyBorder="1"/>
    <xf numFmtId="168" fontId="58" fillId="2" borderId="1" xfId="1" applyNumberFormat="1" applyFont="1" applyFill="1" applyBorder="1"/>
    <xf numFmtId="168" fontId="16" fillId="7" borderId="19" xfId="1" applyNumberFormat="1" applyFont="1" applyFill="1" applyBorder="1"/>
    <xf numFmtId="168" fontId="11" fillId="7" borderId="6" xfId="1" applyNumberFormat="1" applyFont="1" applyFill="1" applyBorder="1"/>
    <xf numFmtId="168" fontId="7" fillId="2" borderId="0" xfId="1" applyNumberFormat="1" applyFont="1" applyFill="1" applyBorder="1"/>
    <xf numFmtId="166" fontId="3" fillId="7" borderId="1" xfId="1" applyNumberFormat="1" applyFont="1" applyFill="1" applyBorder="1"/>
    <xf numFmtId="0" fontId="22" fillId="0" borderId="3" xfId="0" applyFont="1" applyFill="1" applyBorder="1" applyAlignment="1">
      <alignment wrapText="1"/>
    </xf>
    <xf numFmtId="4" fontId="54" fillId="0" borderId="1" xfId="0" applyNumberFormat="1" applyFont="1" applyFill="1" applyBorder="1" applyAlignment="1">
      <alignment horizontal="right" wrapText="1"/>
    </xf>
    <xf numFmtId="168" fontId="37" fillId="5" borderId="1" xfId="1" applyNumberFormat="1" applyFont="1" applyFill="1" applyBorder="1" applyAlignment="1">
      <alignment horizontal="right"/>
    </xf>
    <xf numFmtId="168" fontId="16" fillId="2" borderId="7" xfId="1" applyNumberFormat="1" applyFont="1" applyFill="1" applyBorder="1" applyAlignment="1">
      <alignment horizontal="right"/>
    </xf>
    <xf numFmtId="166" fontId="63" fillId="2" borderId="15" xfId="1" applyNumberFormat="1" applyFont="1" applyFill="1" applyBorder="1" applyAlignment="1">
      <alignment horizontal="center" wrapText="1"/>
    </xf>
    <xf numFmtId="166" fontId="63" fillId="2" borderId="0" xfId="1" applyNumberFormat="1" applyFont="1" applyFill="1" applyAlignment="1">
      <alignment horizontal="left" wrapText="1"/>
    </xf>
    <xf numFmtId="0" fontId="62" fillId="2" borderId="1" xfId="0" applyFont="1" applyFill="1" applyBorder="1" applyAlignment="1">
      <alignment wrapText="1"/>
    </xf>
    <xf numFmtId="166" fontId="24" fillId="7" borderId="1" xfId="1" applyNumberFormat="1" applyFont="1" applyFill="1" applyBorder="1"/>
    <xf numFmtId="14" fontId="37" fillId="0" borderId="1" xfId="0" applyNumberFormat="1" applyFont="1" applyFill="1" applyBorder="1" applyAlignment="1">
      <alignment wrapText="1"/>
    </xf>
    <xf numFmtId="167" fontId="20" fillId="0" borderId="1" xfId="0" applyNumberFormat="1" applyFont="1" applyFill="1" applyBorder="1" applyAlignment="1"/>
    <xf numFmtId="0" fontId="10" fillId="7" borderId="0" xfId="1" applyFont="1" applyFill="1"/>
    <xf numFmtId="3" fontId="35" fillId="11" borderId="13" xfId="1" applyNumberFormat="1" applyFont="1" applyFill="1" applyBorder="1" applyAlignment="1">
      <alignment vertical="center"/>
    </xf>
    <xf numFmtId="49" fontId="34" fillId="10" borderId="1" xfId="1" applyNumberFormat="1" applyFont="1" applyFill="1" applyBorder="1"/>
    <xf numFmtId="0" fontId="34" fillId="10" borderId="1" xfId="1" applyNumberFormat="1" applyFont="1" applyFill="1" applyBorder="1" applyAlignment="1">
      <alignment horizontal="center"/>
    </xf>
    <xf numFmtId="0" fontId="3" fillId="11" borderId="1" xfId="1" applyFont="1" applyFill="1" applyBorder="1" applyAlignment="1">
      <alignment horizontal="right"/>
    </xf>
    <xf numFmtId="0" fontId="22" fillId="11" borderId="1" xfId="1" applyFont="1" applyFill="1" applyBorder="1" applyAlignment="1">
      <alignment horizontal="center" wrapText="1"/>
    </xf>
    <xf numFmtId="0" fontId="19" fillId="11" borderId="1" xfId="1" applyFont="1" applyFill="1" applyBorder="1" applyAlignment="1">
      <alignment horizontal="left" wrapText="1"/>
    </xf>
    <xf numFmtId="0" fontId="50" fillId="11" borderId="1" xfId="1" applyFont="1" applyFill="1" applyBorder="1"/>
    <xf numFmtId="0" fontId="34" fillId="11" borderId="1" xfId="1" applyNumberFormat="1" applyFont="1" applyFill="1" applyBorder="1" applyAlignment="1"/>
    <xf numFmtId="3" fontId="37" fillId="11" borderId="1" xfId="1" applyNumberFormat="1" applyFont="1" applyFill="1" applyBorder="1"/>
    <xf numFmtId="168" fontId="37" fillId="11" borderId="34" xfId="1" applyNumberFormat="1" applyFont="1" applyFill="1" applyBorder="1" applyAlignment="1">
      <alignment horizontal="right"/>
    </xf>
    <xf numFmtId="168" fontId="37" fillId="11" borderId="1" xfId="1" applyNumberFormat="1" applyFont="1" applyFill="1" applyBorder="1" applyAlignment="1">
      <alignment horizontal="right"/>
    </xf>
    <xf numFmtId="167" fontId="34" fillId="11" borderId="1" xfId="1" applyNumberFormat="1" applyFont="1" applyFill="1" applyBorder="1" applyAlignment="1">
      <alignment horizontal="right"/>
    </xf>
    <xf numFmtId="2" fontId="34" fillId="11" borderId="1" xfId="1" applyNumberFormat="1" applyFont="1" applyFill="1" applyBorder="1" applyAlignment="1" applyProtection="1">
      <alignment horizontal="left" vertical="center" wrapText="1"/>
      <protection locked="0"/>
    </xf>
    <xf numFmtId="166" fontId="37" fillId="11" borderId="1" xfId="1" applyNumberFormat="1" applyFont="1" applyFill="1" applyBorder="1"/>
    <xf numFmtId="3" fontId="37" fillId="11" borderId="34" xfId="1" applyNumberFormat="1" applyFont="1" applyFill="1" applyBorder="1"/>
    <xf numFmtId="3" fontId="35" fillId="11" borderId="29" xfId="1" applyNumberFormat="1" applyFont="1" applyFill="1" applyBorder="1" applyAlignment="1">
      <alignment vertical="center"/>
    </xf>
    <xf numFmtId="0" fontId="3" fillId="11" borderId="1" xfId="1" applyFont="1" applyFill="1" applyBorder="1"/>
    <xf numFmtId="167" fontId="13" fillId="11" borderId="1" xfId="0" applyNumberFormat="1" applyFont="1" applyFill="1" applyBorder="1" applyAlignment="1">
      <alignment wrapText="1"/>
    </xf>
    <xf numFmtId="0" fontId="34" fillId="11" borderId="1" xfId="1" applyNumberFormat="1" applyFont="1" applyFill="1" applyBorder="1" applyAlignment="1">
      <alignment horizontal="center"/>
    </xf>
    <xf numFmtId="0" fontId="11" fillId="11" borderId="1" xfId="1" applyFont="1" applyFill="1" applyBorder="1"/>
    <xf numFmtId="166" fontId="42" fillId="11" borderId="1" xfId="1" applyNumberFormat="1" applyFont="1" applyFill="1" applyBorder="1" applyAlignment="1">
      <alignment wrapText="1"/>
    </xf>
    <xf numFmtId="166" fontId="37" fillId="11" borderId="1" xfId="1" applyNumberFormat="1" applyFont="1" applyFill="1" applyBorder="1" applyAlignment="1">
      <alignment horizontal="center"/>
    </xf>
    <xf numFmtId="166" fontId="34" fillId="11" borderId="1" xfId="1" applyNumberFormat="1" applyFont="1" applyFill="1" applyBorder="1" applyAlignment="1">
      <alignment horizontal="center"/>
    </xf>
    <xf numFmtId="0" fontId="5" fillId="11" borderId="1" xfId="1" applyFont="1" applyFill="1" applyBorder="1"/>
    <xf numFmtId="168" fontId="37" fillId="2" borderId="21" xfId="1" applyNumberFormat="1" applyFont="1" applyFill="1" applyBorder="1" applyAlignment="1">
      <alignment horizontal="right"/>
    </xf>
    <xf numFmtId="166" fontId="37" fillId="2" borderId="13" xfId="1" applyNumberFormat="1" applyFont="1" applyFill="1" applyBorder="1" applyAlignment="1">
      <alignment horizontal="center"/>
    </xf>
    <xf numFmtId="166" fontId="37" fillId="2" borderId="1" xfId="1" applyNumberFormat="1" applyFont="1" applyFill="1" applyBorder="1" applyAlignment="1">
      <alignment horizontal="center" wrapText="1"/>
    </xf>
    <xf numFmtId="166" fontId="37" fillId="2" borderId="1" xfId="0" applyNumberFormat="1" applyFont="1" applyFill="1" applyBorder="1" applyAlignment="1">
      <alignment horizontal="center"/>
    </xf>
    <xf numFmtId="168" fontId="0" fillId="2" borderId="2" xfId="0" applyNumberFormat="1" applyFill="1" applyBorder="1"/>
    <xf numFmtId="166" fontId="37" fillId="2" borderId="1" xfId="1" applyNumberFormat="1" applyFont="1" applyFill="1" applyBorder="1" applyAlignment="1">
      <alignment horizontal="right"/>
    </xf>
    <xf numFmtId="166" fontId="37" fillId="2" borderId="1" xfId="1" applyNumberFormat="1" applyFont="1" applyFill="1" applyBorder="1" applyAlignment="1">
      <alignment horizontal="right" wrapText="1"/>
    </xf>
    <xf numFmtId="164" fontId="6" fillId="2" borderId="0" xfId="1" applyNumberFormat="1" applyFont="1" applyFill="1" applyBorder="1" applyAlignment="1">
      <alignment horizontal="right" wrapText="1"/>
    </xf>
    <xf numFmtId="164" fontId="6" fillId="2" borderId="0" xfId="1" applyNumberFormat="1" applyFont="1" applyFill="1" applyBorder="1" applyAlignment="1">
      <alignment horizontal="right"/>
    </xf>
    <xf numFmtId="164" fontId="69" fillId="2" borderId="0" xfId="1" applyNumberFormat="1" applyFont="1" applyFill="1" applyBorder="1" applyAlignment="1">
      <alignment horizontal="right" wrapText="1"/>
    </xf>
    <xf numFmtId="0" fontId="2" fillId="2" borderId="0" xfId="1" applyFont="1" applyFill="1" applyAlignment="1">
      <alignment horizontal="center"/>
    </xf>
    <xf numFmtId="0" fontId="55" fillId="2" borderId="0" xfId="1" applyFont="1" applyFill="1" applyAlignment="1">
      <alignment horizontal="center"/>
    </xf>
    <xf numFmtId="0" fontId="57" fillId="2" borderId="0" xfId="1" applyFont="1" applyFill="1" applyBorder="1" applyAlignment="1">
      <alignment horizontal="center" vertical="center" wrapText="1"/>
    </xf>
    <xf numFmtId="0" fontId="40" fillId="2" borderId="0" xfId="1" applyFont="1" applyFill="1" applyBorder="1" applyAlignment="1">
      <alignment horizontal="center" vertical="center" wrapText="1"/>
    </xf>
    <xf numFmtId="1" fontId="21" fillId="2" borderId="0" xfId="1" applyNumberFormat="1" applyFont="1" applyFill="1" applyAlignment="1">
      <alignment horizontal="left" vertical="center"/>
    </xf>
    <xf numFmtId="166" fontId="16" fillId="2" borderId="0" xfId="1" applyNumberFormat="1" applyFont="1" applyFill="1" applyAlignment="1">
      <alignment horizontal="left"/>
    </xf>
    <xf numFmtId="166" fontId="4" fillId="2" borderId="0" xfId="1" applyNumberFormat="1" applyFont="1" applyFill="1" applyAlignment="1">
      <alignment horizontal="left"/>
    </xf>
  </cellXfs>
  <cellStyles count="2">
    <cellStyle name="Обычный" xfId="0" builtinId="0"/>
    <cellStyle name="Обычный_ДВИЖ.по скл.2011г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125133313244522235" filterMode="1"/>
  <dimension ref="A1:HK10549"/>
  <sheetViews>
    <sheetView showZeros="0" view="pageBreakPreview" topLeftCell="A337" zoomScale="75" zoomScaleNormal="75" zoomScaleSheetLayoutView="75" workbookViewId="0">
      <selection activeCell="B437" sqref="B437"/>
    </sheetView>
  </sheetViews>
  <sheetFormatPr defaultColWidth="16.7109375" defaultRowHeight="18" x14ac:dyDescent="0.25"/>
  <cols>
    <col min="1" max="1" width="0.140625" style="10" customWidth="1"/>
    <col min="2" max="2" width="7.42578125" style="25" customWidth="1"/>
    <col min="3" max="3" width="18.140625" style="10" customWidth="1"/>
    <col min="4" max="4" width="11.28515625" style="76" customWidth="1"/>
    <col min="5" max="5" width="31.5703125" style="46" customWidth="1"/>
    <col min="6" max="6" width="8.7109375" style="523" customWidth="1"/>
    <col min="7" max="7" width="5.85546875" style="50" customWidth="1"/>
    <col min="8" max="8" width="14.5703125" style="46" hidden="1" customWidth="1"/>
    <col min="9" max="9" width="15.28515625" style="315" hidden="1" customWidth="1"/>
    <col min="10" max="10" width="11.140625" style="46" hidden="1" customWidth="1"/>
    <col min="11" max="11" width="13.140625" style="373" hidden="1" customWidth="1"/>
    <col min="12" max="12" width="14.5703125" style="226" hidden="1" customWidth="1"/>
    <col min="13" max="13" width="33" style="221" hidden="1" customWidth="1"/>
    <col min="14" max="14" width="11.85546875" style="278" hidden="1" customWidth="1"/>
    <col min="15" max="15" width="12" style="46" customWidth="1"/>
    <col min="16" max="16" width="18.85546875" style="312" customWidth="1"/>
    <col min="17" max="16384" width="16.7109375" style="10"/>
  </cols>
  <sheetData>
    <row r="1" spans="2:16" ht="0.75" customHeight="1" x14ac:dyDescent="0.25">
      <c r="B1" s="894"/>
      <c r="C1" s="894"/>
      <c r="D1" s="894"/>
      <c r="E1" s="895"/>
      <c r="H1" s="83"/>
      <c r="I1" s="294"/>
      <c r="J1" s="83"/>
      <c r="K1" s="371"/>
    </row>
    <row r="2" spans="2:16" s="2" customFormat="1" ht="42.75" customHeight="1" thickBot="1" x14ac:dyDescent="0.45">
      <c r="B2" s="891" t="s">
        <v>37</v>
      </c>
      <c r="C2" s="892"/>
      <c r="D2" s="892"/>
      <c r="E2" s="893"/>
      <c r="F2" s="524"/>
      <c r="G2" s="50"/>
      <c r="H2" s="38"/>
      <c r="I2" s="38" t="s">
        <v>191</v>
      </c>
      <c r="J2" s="38" t="s">
        <v>602</v>
      </c>
      <c r="K2" s="38" t="s">
        <v>808</v>
      </c>
      <c r="L2" s="227"/>
      <c r="M2" s="222"/>
      <c r="N2" s="376"/>
      <c r="O2" s="38"/>
      <c r="P2" s="308" t="s">
        <v>191</v>
      </c>
    </row>
    <row r="3" spans="2:16" s="2" customFormat="1" ht="27.75" customHeight="1" thickBot="1" x14ac:dyDescent="0.35">
      <c r="B3" s="242"/>
      <c r="C3" s="896" t="s">
        <v>861</v>
      </c>
      <c r="D3" s="896"/>
      <c r="E3" s="896"/>
      <c r="F3" s="896"/>
      <c r="G3" s="896"/>
      <c r="H3" s="897"/>
      <c r="I3" s="897"/>
      <c r="J3" s="897"/>
      <c r="K3" s="897"/>
      <c r="L3" s="897"/>
      <c r="M3" s="897"/>
      <c r="N3" s="897"/>
      <c r="O3" s="896"/>
      <c r="P3" s="896"/>
    </row>
    <row r="4" spans="2:16" s="53" customFormat="1" ht="82.5" customHeight="1" thickBot="1" x14ac:dyDescent="0.35">
      <c r="B4" s="576" t="s">
        <v>6</v>
      </c>
      <c r="C4" s="577" t="s">
        <v>17</v>
      </c>
      <c r="D4" s="578" t="s">
        <v>223</v>
      </c>
      <c r="E4" s="579" t="s">
        <v>16</v>
      </c>
      <c r="F4" s="580" t="s">
        <v>41</v>
      </c>
      <c r="G4" s="581" t="s">
        <v>7</v>
      </c>
      <c r="H4" s="561" t="s">
        <v>8</v>
      </c>
      <c r="I4" s="313" t="s">
        <v>103</v>
      </c>
      <c r="J4" s="498"/>
      <c r="K4" s="356" t="s">
        <v>12</v>
      </c>
      <c r="L4" s="228" t="s">
        <v>69</v>
      </c>
      <c r="M4" s="223" t="s">
        <v>14</v>
      </c>
      <c r="N4" s="560" t="s">
        <v>11</v>
      </c>
      <c r="O4" s="508" t="s">
        <v>8</v>
      </c>
      <c r="P4" s="582" t="s">
        <v>103</v>
      </c>
    </row>
    <row r="5" spans="2:16" s="3" customFormat="1" ht="27.75" customHeight="1" thickBot="1" x14ac:dyDescent="0.3">
      <c r="B5" s="692">
        <v>1</v>
      </c>
      <c r="C5" s="693"/>
      <c r="D5" s="694"/>
      <c r="E5" s="695"/>
      <c r="F5" s="696"/>
      <c r="G5" s="697"/>
      <c r="H5" s="571" t="s">
        <v>751</v>
      </c>
      <c r="I5" s="56" t="s">
        <v>751</v>
      </c>
      <c r="K5" s="357"/>
      <c r="L5" s="229"/>
      <c r="M5" s="224"/>
      <c r="N5" s="284"/>
      <c r="O5" s="698" t="s">
        <v>849</v>
      </c>
      <c r="P5" s="699" t="s">
        <v>849</v>
      </c>
    </row>
    <row r="6" spans="2:16" s="5" customFormat="1" ht="26.25" hidden="1" customHeight="1" x14ac:dyDescent="0.25">
      <c r="B6" s="592"/>
      <c r="C6" s="593" t="s">
        <v>18</v>
      </c>
      <c r="D6" s="594" t="s">
        <v>9</v>
      </c>
      <c r="E6" s="626" t="s">
        <v>752</v>
      </c>
      <c r="F6" s="627">
        <v>1475</v>
      </c>
      <c r="G6" s="597" t="s">
        <v>0</v>
      </c>
      <c r="H6" s="39">
        <v>0</v>
      </c>
      <c r="I6" s="309">
        <v>0</v>
      </c>
      <c r="J6" s="39">
        <f t="shared" ref="J6:J69" si="0">N6+O6-H6</f>
        <v>0</v>
      </c>
      <c r="K6" s="309" t="e">
        <f>#REF!</f>
        <v>#REF!</v>
      </c>
      <c r="L6" s="230" t="e">
        <f>K6*J6</f>
        <v>#REF!</v>
      </c>
      <c r="M6" s="60"/>
      <c r="N6" s="279"/>
      <c r="O6" s="555">
        <v>0</v>
      </c>
      <c r="P6" s="507">
        <v>0</v>
      </c>
    </row>
    <row r="7" spans="2:16" s="5" customFormat="1" ht="26.25" customHeight="1" x14ac:dyDescent="0.25">
      <c r="B7" s="700">
        <v>1</v>
      </c>
      <c r="C7" s="701" t="s">
        <v>18</v>
      </c>
      <c r="D7" s="702" t="s">
        <v>9</v>
      </c>
      <c r="E7" s="703" t="s">
        <v>268</v>
      </c>
      <c r="F7" s="704">
        <v>411</v>
      </c>
      <c r="G7" s="705" t="s">
        <v>0</v>
      </c>
      <c r="H7" s="572">
        <v>228</v>
      </c>
      <c r="I7" s="360">
        <v>184.68</v>
      </c>
      <c r="J7" s="39">
        <f t="shared" si="0"/>
        <v>876</v>
      </c>
      <c r="K7" s="309" t="e">
        <f>#REF!*0.8</f>
        <v>#REF!</v>
      </c>
      <c r="L7" s="230" t="e">
        <f>K7*J7</f>
        <v>#REF!</v>
      </c>
      <c r="M7" s="194"/>
      <c r="N7" s="562">
        <v>876</v>
      </c>
      <c r="O7" s="716">
        <v>228</v>
      </c>
      <c r="P7" s="717">
        <v>184.68</v>
      </c>
    </row>
    <row r="8" spans="2:16" s="5" customFormat="1" ht="26.25" customHeight="1" x14ac:dyDescent="0.25">
      <c r="B8" s="706">
        <v>2</v>
      </c>
      <c r="C8" s="6" t="s">
        <v>18</v>
      </c>
      <c r="D8" s="23" t="s">
        <v>9</v>
      </c>
      <c r="E8" s="269" t="s">
        <v>705</v>
      </c>
      <c r="F8" s="208">
        <v>1451</v>
      </c>
      <c r="G8" s="707"/>
      <c r="H8" s="572">
        <v>1026</v>
      </c>
      <c r="I8" s="360">
        <v>800.28</v>
      </c>
      <c r="J8" s="39">
        <f t="shared" si="0"/>
        <v>0</v>
      </c>
      <c r="K8" s="309" t="e">
        <f>#REF!*0.8</f>
        <v>#REF!</v>
      </c>
      <c r="L8" s="230"/>
      <c r="M8" s="194"/>
      <c r="N8" s="562"/>
      <c r="O8" s="718">
        <v>1026</v>
      </c>
      <c r="P8" s="719">
        <v>800.28</v>
      </c>
    </row>
    <row r="9" spans="2:16" ht="26.25" customHeight="1" x14ac:dyDescent="0.25">
      <c r="B9" s="708">
        <v>3</v>
      </c>
      <c r="C9" s="6" t="s">
        <v>18</v>
      </c>
      <c r="D9" s="23" t="s">
        <v>9</v>
      </c>
      <c r="E9" s="237" t="s">
        <v>91</v>
      </c>
      <c r="F9" s="383">
        <v>555</v>
      </c>
      <c r="G9" s="709" t="s">
        <v>0</v>
      </c>
      <c r="H9" s="572">
        <v>2240</v>
      </c>
      <c r="I9" s="360">
        <v>2284.8000000000002</v>
      </c>
      <c r="J9" s="39">
        <f t="shared" si="0"/>
        <v>0</v>
      </c>
      <c r="K9" s="309" t="e">
        <f>#REF!*0.8</f>
        <v>#REF!</v>
      </c>
      <c r="L9" s="230" t="e">
        <f t="shared" ref="L9:L16" si="1">K9*J9</f>
        <v>#REF!</v>
      </c>
      <c r="M9" s="154"/>
      <c r="N9" s="562"/>
      <c r="O9" s="718">
        <v>2240</v>
      </c>
      <c r="P9" s="719">
        <v>2284.8000000000002</v>
      </c>
    </row>
    <row r="10" spans="2:16" ht="26.25" customHeight="1" thickBot="1" x14ac:dyDescent="0.3">
      <c r="B10" s="710">
        <v>4</v>
      </c>
      <c r="C10" s="711" t="s">
        <v>18</v>
      </c>
      <c r="D10" s="712" t="s">
        <v>9</v>
      </c>
      <c r="E10" s="713" t="s">
        <v>31</v>
      </c>
      <c r="F10" s="714" t="s">
        <v>45</v>
      </c>
      <c r="G10" s="715" t="s">
        <v>0</v>
      </c>
      <c r="H10" s="572">
        <v>1440</v>
      </c>
      <c r="I10" s="360">
        <v>359.42</v>
      </c>
      <c r="J10" s="39">
        <f t="shared" si="0"/>
        <v>0</v>
      </c>
      <c r="K10" s="309">
        <v>0.25</v>
      </c>
      <c r="L10" s="230">
        <f t="shared" si="1"/>
        <v>0</v>
      </c>
      <c r="M10" s="82"/>
      <c r="N10" s="562"/>
      <c r="O10" s="720">
        <v>1440</v>
      </c>
      <c r="P10" s="721">
        <v>359.42</v>
      </c>
    </row>
    <row r="11" spans="2:16" ht="26.25" hidden="1" customHeight="1" thickBot="1" x14ac:dyDescent="0.3">
      <c r="B11" s="628"/>
      <c r="C11" s="484" t="s">
        <v>18</v>
      </c>
      <c r="D11" s="485" t="s">
        <v>9</v>
      </c>
      <c r="E11" s="629" t="s">
        <v>500</v>
      </c>
      <c r="F11" s="630">
        <v>137</v>
      </c>
      <c r="G11" s="488" t="s">
        <v>0</v>
      </c>
      <c r="H11" s="39"/>
      <c r="I11" s="360">
        <v>0</v>
      </c>
      <c r="J11" s="39">
        <f t="shared" si="0"/>
        <v>0</v>
      </c>
      <c r="K11" s="309">
        <v>1.1499999999999999</v>
      </c>
      <c r="L11" s="230">
        <f t="shared" si="1"/>
        <v>0</v>
      </c>
      <c r="M11" s="89"/>
      <c r="N11" s="279"/>
      <c r="O11" s="489"/>
      <c r="P11" s="467">
        <v>0</v>
      </c>
    </row>
    <row r="12" spans="2:16" ht="26.25" hidden="1" customHeight="1" x14ac:dyDescent="0.25">
      <c r="B12" s="11"/>
      <c r="C12" s="6" t="s">
        <v>18</v>
      </c>
      <c r="D12" s="23" t="s">
        <v>9</v>
      </c>
      <c r="E12" s="237" t="s">
        <v>13</v>
      </c>
      <c r="F12" s="208" t="s">
        <v>46</v>
      </c>
      <c r="G12" s="48" t="s">
        <v>0</v>
      </c>
      <c r="H12" s="39"/>
      <c r="I12" s="309">
        <v>0</v>
      </c>
      <c r="J12" s="39">
        <f t="shared" si="0"/>
        <v>0</v>
      </c>
      <c r="K12" s="309" t="e">
        <f>#REF!*0.8</f>
        <v>#REF!</v>
      </c>
      <c r="L12" s="230" t="e">
        <f t="shared" si="1"/>
        <v>#REF!</v>
      </c>
      <c r="M12" s="42"/>
      <c r="N12" s="279"/>
      <c r="O12" s="39"/>
      <c r="P12" s="309">
        <v>0</v>
      </c>
    </row>
    <row r="13" spans="2:16" ht="26.25" hidden="1" customHeight="1" x14ac:dyDescent="0.25">
      <c r="B13" s="14"/>
      <c r="C13" s="6" t="s">
        <v>18</v>
      </c>
      <c r="D13" s="23" t="s">
        <v>9</v>
      </c>
      <c r="E13" s="237" t="s">
        <v>753</v>
      </c>
      <c r="F13" s="208">
        <v>1466</v>
      </c>
      <c r="G13" s="48" t="s">
        <v>0</v>
      </c>
      <c r="H13" s="39"/>
      <c r="I13" s="309">
        <v>0</v>
      </c>
      <c r="J13" s="39">
        <f t="shared" si="0"/>
        <v>0</v>
      </c>
      <c r="K13" s="309" t="e">
        <f>#REF!*0.8</f>
        <v>#REF!</v>
      </c>
      <c r="L13" s="230" t="e">
        <f t="shared" si="1"/>
        <v>#REF!</v>
      </c>
      <c r="M13" s="63"/>
      <c r="N13" s="279"/>
      <c r="O13" s="39"/>
      <c r="P13" s="309">
        <v>0</v>
      </c>
    </row>
    <row r="14" spans="2:16" ht="26.25" hidden="1" customHeight="1" x14ac:dyDescent="0.25">
      <c r="B14" s="11"/>
      <c r="C14" s="6" t="s">
        <v>18</v>
      </c>
      <c r="D14" s="23" t="s">
        <v>9</v>
      </c>
      <c r="E14" s="238" t="s">
        <v>105</v>
      </c>
      <c r="F14" s="208">
        <v>592</v>
      </c>
      <c r="G14" s="48" t="s">
        <v>0</v>
      </c>
      <c r="H14" s="39"/>
      <c r="I14" s="309">
        <v>0</v>
      </c>
      <c r="J14" s="39">
        <f t="shared" si="0"/>
        <v>0</v>
      </c>
      <c r="K14" s="309" t="e">
        <f>#REF!*0.8</f>
        <v>#REF!</v>
      </c>
      <c r="L14" s="230" t="e">
        <f t="shared" si="1"/>
        <v>#REF!</v>
      </c>
      <c r="M14" s="89"/>
      <c r="N14" s="279"/>
      <c r="O14" s="39"/>
      <c r="P14" s="309">
        <v>0</v>
      </c>
    </row>
    <row r="15" spans="2:16" ht="26.25" hidden="1" customHeight="1" x14ac:dyDescent="0.25">
      <c r="B15" s="11"/>
      <c r="C15" s="6" t="s">
        <v>18</v>
      </c>
      <c r="D15" s="23" t="s">
        <v>9</v>
      </c>
      <c r="E15" s="238" t="s">
        <v>106</v>
      </c>
      <c r="F15" s="208" t="s">
        <v>107</v>
      </c>
      <c r="G15" s="48" t="s">
        <v>0</v>
      </c>
      <c r="H15" s="39"/>
      <c r="I15" s="309">
        <v>0</v>
      </c>
      <c r="J15" s="39">
        <f t="shared" si="0"/>
        <v>0</v>
      </c>
      <c r="K15" s="309" t="e">
        <f>#REF!*0.8</f>
        <v>#REF!</v>
      </c>
      <c r="L15" s="230" t="e">
        <f t="shared" si="1"/>
        <v>#REF!</v>
      </c>
      <c r="M15" s="89"/>
      <c r="N15" s="279"/>
      <c r="O15" s="39"/>
      <c r="P15" s="309">
        <v>0</v>
      </c>
    </row>
    <row r="16" spans="2:16" ht="26.25" hidden="1" customHeight="1" thickBot="1" x14ac:dyDescent="0.3">
      <c r="B16" s="515"/>
      <c r="C16" s="516" t="s">
        <v>18</v>
      </c>
      <c r="D16" s="517" t="s">
        <v>9</v>
      </c>
      <c r="E16" s="586" t="s">
        <v>135</v>
      </c>
      <c r="F16" s="584" t="s">
        <v>104</v>
      </c>
      <c r="G16" s="585" t="s">
        <v>0</v>
      </c>
      <c r="H16" s="39"/>
      <c r="I16" s="309">
        <v>0</v>
      </c>
      <c r="J16" s="39">
        <f t="shared" si="0"/>
        <v>0</v>
      </c>
      <c r="K16" s="309" t="e">
        <f>#REF!*0.8</f>
        <v>#REF!</v>
      </c>
      <c r="L16" s="230" t="e">
        <f t="shared" si="1"/>
        <v>#REF!</v>
      </c>
      <c r="M16" s="89"/>
      <c r="N16" s="279"/>
      <c r="O16" s="513"/>
      <c r="P16" s="497">
        <v>0</v>
      </c>
    </row>
    <row r="17" spans="1:52" s="5" customFormat="1" ht="26.25" hidden="1" customHeight="1" thickBot="1" x14ac:dyDescent="0.3">
      <c r="B17" s="722">
        <v>5</v>
      </c>
      <c r="C17" s="723" t="s">
        <v>18</v>
      </c>
      <c r="D17" s="724" t="s">
        <v>9</v>
      </c>
      <c r="E17" s="725" t="s">
        <v>433</v>
      </c>
      <c r="F17" s="726" t="s">
        <v>821</v>
      </c>
      <c r="G17" s="727" t="s">
        <v>0</v>
      </c>
      <c r="H17" s="572"/>
      <c r="I17" s="360"/>
      <c r="J17" s="39">
        <f t="shared" si="0"/>
        <v>2000</v>
      </c>
      <c r="K17" s="309">
        <v>0.62</v>
      </c>
      <c r="L17" s="230"/>
      <c r="M17" s="233" t="s">
        <v>607</v>
      </c>
      <c r="N17" s="562">
        <v>2000</v>
      </c>
      <c r="O17" s="728"/>
      <c r="P17" s="729"/>
    </row>
    <row r="18" spans="1:52" s="5" customFormat="1" ht="26.25" hidden="1" customHeight="1" thickBot="1" x14ac:dyDescent="0.3">
      <c r="B18" s="483"/>
      <c r="C18" s="484" t="s">
        <v>18</v>
      </c>
      <c r="D18" s="485" t="s">
        <v>9</v>
      </c>
      <c r="E18" s="486" t="s">
        <v>109</v>
      </c>
      <c r="F18" s="631" t="s">
        <v>674</v>
      </c>
      <c r="G18" s="632" t="s">
        <v>0</v>
      </c>
      <c r="H18" s="39"/>
      <c r="I18" s="309">
        <v>0</v>
      </c>
      <c r="J18" s="39">
        <f t="shared" si="0"/>
        <v>0</v>
      </c>
      <c r="K18" s="309" t="e">
        <f>#REF!*0.8</f>
        <v>#REF!</v>
      </c>
      <c r="L18" s="230" t="e">
        <f>K18*J310</f>
        <v>#REF!</v>
      </c>
      <c r="M18" s="233" t="s">
        <v>675</v>
      </c>
      <c r="N18" s="279"/>
      <c r="O18" s="556"/>
      <c r="P18" s="490">
        <v>0</v>
      </c>
    </row>
    <row r="19" spans="1:52" s="5" customFormat="1" ht="26.25" hidden="1" customHeight="1" thickBot="1" x14ac:dyDescent="0.3">
      <c r="B19" s="583"/>
      <c r="C19" s="516" t="s">
        <v>18</v>
      </c>
      <c r="D19" s="517" t="s">
        <v>9</v>
      </c>
      <c r="E19" s="587" t="s">
        <v>237</v>
      </c>
      <c r="F19" s="588"/>
      <c r="G19" s="546" t="s">
        <v>0</v>
      </c>
      <c r="H19" s="39"/>
      <c r="I19" s="309">
        <v>0</v>
      </c>
      <c r="J19" s="39">
        <f t="shared" si="0"/>
        <v>0</v>
      </c>
      <c r="K19" s="309" t="e">
        <f>#REF!*0.8</f>
        <v>#REF!</v>
      </c>
      <c r="L19" s="230"/>
      <c r="M19" s="62" t="s">
        <v>239</v>
      </c>
      <c r="N19" s="279"/>
      <c r="O19" s="513"/>
      <c r="P19" s="507">
        <v>0</v>
      </c>
    </row>
    <row r="20" spans="1:52" ht="26.25" customHeight="1" x14ac:dyDescent="0.25">
      <c r="B20" s="730">
        <v>5</v>
      </c>
      <c r="C20" s="701" t="s">
        <v>18</v>
      </c>
      <c r="D20" s="702" t="s">
        <v>9</v>
      </c>
      <c r="E20" s="731" t="s">
        <v>38</v>
      </c>
      <c r="F20" s="704">
        <v>170</v>
      </c>
      <c r="G20" s="732" t="s">
        <v>0</v>
      </c>
      <c r="H20" s="572">
        <v>145</v>
      </c>
      <c r="I20" s="360">
        <v>82.13</v>
      </c>
      <c r="J20" s="39">
        <f t="shared" si="0"/>
        <v>0</v>
      </c>
      <c r="K20" s="309">
        <v>0.56999999999999995</v>
      </c>
      <c r="L20" s="230">
        <f>K20*J312</f>
        <v>0</v>
      </c>
      <c r="M20" s="90"/>
      <c r="N20" s="562"/>
      <c r="O20" s="716">
        <v>145</v>
      </c>
      <c r="P20" s="717">
        <v>82.13</v>
      </c>
    </row>
    <row r="21" spans="1:52" ht="26.25" customHeight="1" thickBot="1" x14ac:dyDescent="0.3">
      <c r="B21" s="733">
        <v>6</v>
      </c>
      <c r="C21" s="711" t="s">
        <v>18</v>
      </c>
      <c r="D21" s="712" t="s">
        <v>9</v>
      </c>
      <c r="E21" s="713" t="s">
        <v>292</v>
      </c>
      <c r="F21" s="714" t="s">
        <v>48</v>
      </c>
      <c r="G21" s="734" t="s">
        <v>0</v>
      </c>
      <c r="H21" s="572">
        <v>1200</v>
      </c>
      <c r="I21" s="360">
        <v>408</v>
      </c>
      <c r="J21" s="39">
        <f t="shared" si="0"/>
        <v>4850</v>
      </c>
      <c r="K21" s="309" t="e">
        <f>#REF!*0.8</f>
        <v>#REF!</v>
      </c>
      <c r="L21" s="230" t="e">
        <f>K21*J313</f>
        <v>#REF!</v>
      </c>
      <c r="M21" s="220"/>
      <c r="N21" s="562">
        <f>800+2000</f>
        <v>2800</v>
      </c>
      <c r="O21" s="720">
        <v>3250</v>
      </c>
      <c r="P21" s="721">
        <v>1105</v>
      </c>
    </row>
    <row r="22" spans="1:52" ht="26.25" hidden="1" customHeight="1" x14ac:dyDescent="0.25">
      <c r="B22" s="483"/>
      <c r="C22" s="484" t="s">
        <v>18</v>
      </c>
      <c r="D22" s="485" t="s">
        <v>9</v>
      </c>
      <c r="E22" s="629" t="s">
        <v>461</v>
      </c>
      <c r="F22" s="630">
        <v>1189</v>
      </c>
      <c r="G22" s="632" t="s">
        <v>0</v>
      </c>
      <c r="H22" s="39"/>
      <c r="I22" s="309">
        <v>0</v>
      </c>
      <c r="J22" s="39">
        <f t="shared" si="0"/>
        <v>0</v>
      </c>
      <c r="K22" s="309" t="e">
        <f>#REF!*0.8</f>
        <v>#REF!</v>
      </c>
      <c r="L22" s="230" t="e">
        <f>K22*J314</f>
        <v>#REF!</v>
      </c>
      <c r="M22" s="234" t="s">
        <v>734</v>
      </c>
      <c r="N22" s="279"/>
      <c r="O22" s="556"/>
      <c r="P22" s="490">
        <v>0</v>
      </c>
    </row>
    <row r="23" spans="1:52" ht="26.25" hidden="1" customHeight="1" x14ac:dyDescent="0.25">
      <c r="B23" s="15"/>
      <c r="C23" s="6" t="s">
        <v>18</v>
      </c>
      <c r="D23" s="23" t="s">
        <v>9</v>
      </c>
      <c r="E23" s="212" t="s">
        <v>265</v>
      </c>
      <c r="F23" s="208"/>
      <c r="G23" s="48" t="s">
        <v>0</v>
      </c>
      <c r="H23" s="39"/>
      <c r="I23" s="309">
        <v>0</v>
      </c>
      <c r="J23" s="39">
        <f t="shared" si="0"/>
        <v>0</v>
      </c>
      <c r="K23" s="309">
        <v>1440</v>
      </c>
      <c r="L23" s="230">
        <f>K23*J315</f>
        <v>0</v>
      </c>
      <c r="M23" s="42"/>
      <c r="N23" s="279"/>
      <c r="O23" s="39"/>
      <c r="P23" s="490">
        <v>0</v>
      </c>
    </row>
    <row r="24" spans="1:52" s="4" customFormat="1" ht="26.25" hidden="1" customHeight="1" thickBot="1" x14ac:dyDescent="0.3">
      <c r="A24" s="10"/>
      <c r="B24" s="11"/>
      <c r="C24" s="6" t="s">
        <v>18</v>
      </c>
      <c r="D24" s="23" t="s">
        <v>9</v>
      </c>
      <c r="E24" s="212"/>
      <c r="F24" s="397"/>
      <c r="G24" s="48" t="s">
        <v>0</v>
      </c>
      <c r="H24" s="39"/>
      <c r="I24" s="360">
        <v>0</v>
      </c>
      <c r="J24" s="39">
        <f t="shared" si="0"/>
        <v>0</v>
      </c>
      <c r="K24" s="309" t="e">
        <f>#REF!*0.8</f>
        <v>#REF!</v>
      </c>
      <c r="L24" s="230" t="e">
        <f>K24*J316</f>
        <v>#REF!</v>
      </c>
      <c r="M24" s="155"/>
      <c r="N24" s="279"/>
      <c r="O24" s="39"/>
      <c r="P24" s="360">
        <v>0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</row>
    <row r="25" spans="1:52" s="4" customFormat="1" ht="26.25" hidden="1" customHeight="1" thickBot="1" x14ac:dyDescent="0.3">
      <c r="A25" s="10"/>
      <c r="B25" s="11"/>
      <c r="C25" s="6" t="s">
        <v>18</v>
      </c>
      <c r="D25" s="23" t="s">
        <v>9</v>
      </c>
      <c r="E25" s="1" t="s">
        <v>466</v>
      </c>
      <c r="F25" s="211" t="s">
        <v>300</v>
      </c>
      <c r="G25" s="19"/>
      <c r="H25" s="39"/>
      <c r="I25" s="309">
        <v>0</v>
      </c>
      <c r="J25" s="39">
        <f t="shared" si="0"/>
        <v>0</v>
      </c>
      <c r="K25" s="309" t="e">
        <f>#REF!*0.8</f>
        <v>#REF!</v>
      </c>
      <c r="L25" s="230"/>
      <c r="M25" s="64"/>
      <c r="N25" s="279"/>
      <c r="O25" s="39"/>
      <c r="P25" s="360">
        <v>0</v>
      </c>
    </row>
    <row r="26" spans="1:52" ht="26.25" hidden="1" customHeight="1" x14ac:dyDescent="0.25">
      <c r="B26" s="11"/>
      <c r="C26" s="6" t="s">
        <v>18</v>
      </c>
      <c r="D26" s="23" t="s">
        <v>9</v>
      </c>
      <c r="E26" s="212" t="s">
        <v>265</v>
      </c>
      <c r="F26" s="398">
        <v>852</v>
      </c>
      <c r="G26" s="48" t="s">
        <v>0</v>
      </c>
      <c r="H26" s="39"/>
      <c r="I26" s="360">
        <v>0</v>
      </c>
      <c r="J26" s="39">
        <f t="shared" si="0"/>
        <v>0</v>
      </c>
      <c r="K26" s="309" t="e">
        <f>#REF!*0.8</f>
        <v>#REF!</v>
      </c>
      <c r="L26" s="230" t="e">
        <f>K26*J318</f>
        <v>#REF!</v>
      </c>
      <c r="M26" s="155" t="s">
        <v>535</v>
      </c>
      <c r="N26" s="279"/>
      <c r="O26" s="39"/>
      <c r="P26" s="360">
        <v>0</v>
      </c>
    </row>
    <row r="27" spans="1:52" ht="26.25" hidden="1" customHeight="1" x14ac:dyDescent="0.25">
      <c r="B27" s="11"/>
      <c r="C27" s="6" t="s">
        <v>18</v>
      </c>
      <c r="D27" s="23" t="s">
        <v>9</v>
      </c>
      <c r="E27" s="239" t="s">
        <v>455</v>
      </c>
      <c r="F27" s="384">
        <v>1231</v>
      </c>
      <c r="G27" s="48" t="s">
        <v>0</v>
      </c>
      <c r="H27" s="39">
        <v>0</v>
      </c>
      <c r="I27" s="360">
        <v>0</v>
      </c>
      <c r="J27" s="39">
        <f t="shared" si="0"/>
        <v>0</v>
      </c>
      <c r="K27" s="309" t="e">
        <f>#REF!*0.8</f>
        <v>#REF!</v>
      </c>
      <c r="L27" s="230" t="e">
        <f>K27*J319</f>
        <v>#REF!</v>
      </c>
      <c r="M27" s="155"/>
      <c r="N27" s="279"/>
      <c r="O27" s="39">
        <v>0</v>
      </c>
      <c r="P27" s="309">
        <v>0</v>
      </c>
    </row>
    <row r="28" spans="1:52" s="4" customFormat="1" ht="26.25" hidden="1" customHeight="1" x14ac:dyDescent="0.25">
      <c r="A28" s="10"/>
      <c r="B28" s="11"/>
      <c r="C28" s="6" t="s">
        <v>18</v>
      </c>
      <c r="D28" s="23" t="s">
        <v>9</v>
      </c>
      <c r="E28" s="463"/>
      <c r="F28" s="211"/>
      <c r="G28" s="48" t="s">
        <v>0</v>
      </c>
      <c r="H28" s="39"/>
      <c r="I28" s="360">
        <v>0</v>
      </c>
      <c r="J28" s="39">
        <f t="shared" si="0"/>
        <v>0</v>
      </c>
      <c r="K28" s="309" t="e">
        <f>#REF!*0.8</f>
        <v>#REF!</v>
      </c>
      <c r="L28" s="230"/>
      <c r="M28" s="64"/>
      <c r="N28" s="279"/>
      <c r="O28" s="39"/>
      <c r="P28" s="360">
        <v>0</v>
      </c>
    </row>
    <row r="29" spans="1:52" s="4" customFormat="1" ht="26.25" hidden="1" customHeight="1" x14ac:dyDescent="0.25">
      <c r="A29" s="10"/>
      <c r="B29" s="11"/>
      <c r="C29" s="6" t="s">
        <v>18</v>
      </c>
      <c r="D29" s="23" t="s">
        <v>9</v>
      </c>
      <c r="E29" s="212" t="s">
        <v>282</v>
      </c>
      <c r="F29" s="211" t="s">
        <v>301</v>
      </c>
      <c r="G29" s="19"/>
      <c r="H29" s="39"/>
      <c r="I29" s="309">
        <v>0</v>
      </c>
      <c r="J29" s="39">
        <f t="shared" si="0"/>
        <v>0</v>
      </c>
      <c r="K29" s="309" t="e">
        <f>#REF!*0.8</f>
        <v>#REF!</v>
      </c>
      <c r="L29" s="230"/>
      <c r="M29" s="64"/>
      <c r="N29" s="279"/>
      <c r="O29" s="39"/>
      <c r="P29" s="309">
        <v>0</v>
      </c>
    </row>
    <row r="30" spans="1:52" ht="26.25" hidden="1" customHeight="1" x14ac:dyDescent="0.25">
      <c r="B30" s="11"/>
      <c r="C30" s="6" t="s">
        <v>18</v>
      </c>
      <c r="D30" s="23" t="s">
        <v>9</v>
      </c>
      <c r="E30" s="212" t="s">
        <v>493</v>
      </c>
      <c r="F30" s="211"/>
      <c r="G30" s="19"/>
      <c r="H30" s="39"/>
      <c r="I30" s="309">
        <v>0</v>
      </c>
      <c r="J30" s="39">
        <f t="shared" si="0"/>
        <v>0</v>
      </c>
      <c r="K30" s="309" t="e">
        <f>#REF!*0.8</f>
        <v>#REF!</v>
      </c>
      <c r="L30" s="230"/>
      <c r="M30" s="64"/>
      <c r="N30" s="279"/>
      <c r="O30" s="39"/>
      <c r="P30" s="309">
        <v>0</v>
      </c>
    </row>
    <row r="31" spans="1:52" ht="26.25" hidden="1" customHeight="1" x14ac:dyDescent="0.25">
      <c r="B31" s="11"/>
      <c r="C31" s="6" t="s">
        <v>18</v>
      </c>
      <c r="D31" s="23" t="s">
        <v>9</v>
      </c>
      <c r="E31" s="212" t="s">
        <v>452</v>
      </c>
      <c r="F31" s="211"/>
      <c r="G31" s="19"/>
      <c r="H31" s="39"/>
      <c r="I31" s="309">
        <v>0</v>
      </c>
      <c r="J31" s="39">
        <f t="shared" si="0"/>
        <v>0</v>
      </c>
      <c r="K31" s="309"/>
      <c r="L31" s="230"/>
      <c r="M31" s="64"/>
      <c r="N31" s="279"/>
      <c r="O31" s="39"/>
      <c r="P31" s="309">
        <v>0</v>
      </c>
    </row>
    <row r="32" spans="1:52" s="4" customFormat="1" ht="26.25" hidden="1" customHeight="1" x14ac:dyDescent="0.25">
      <c r="A32" s="10"/>
      <c r="B32" s="11"/>
      <c r="C32" s="6" t="s">
        <v>18</v>
      </c>
      <c r="D32" s="23" t="s">
        <v>9</v>
      </c>
      <c r="E32" s="212" t="s">
        <v>281</v>
      </c>
      <c r="F32" s="211" t="s">
        <v>302</v>
      </c>
      <c r="G32" s="19"/>
      <c r="H32" s="39"/>
      <c r="I32" s="309">
        <v>0</v>
      </c>
      <c r="J32" s="39">
        <f t="shared" si="0"/>
        <v>0</v>
      </c>
      <c r="K32" s="309" t="e">
        <f>#REF!*0.8</f>
        <v>#REF!</v>
      </c>
      <c r="L32" s="230"/>
      <c r="M32" s="64"/>
      <c r="N32" s="279"/>
      <c r="O32" s="39"/>
      <c r="P32" s="309">
        <v>0</v>
      </c>
    </row>
    <row r="33" spans="1:219" s="4" customFormat="1" ht="26.25" hidden="1" customHeight="1" thickBot="1" x14ac:dyDescent="0.3">
      <c r="A33" s="10"/>
      <c r="B33" s="11"/>
      <c r="C33" s="6" t="s">
        <v>18</v>
      </c>
      <c r="D33" s="23" t="s">
        <v>9</v>
      </c>
      <c r="E33" s="237" t="s">
        <v>726</v>
      </c>
      <c r="F33" s="211" t="s">
        <v>732</v>
      </c>
      <c r="G33" s="19"/>
      <c r="H33" s="39"/>
      <c r="I33" s="309">
        <v>0</v>
      </c>
      <c r="J33" s="39">
        <f t="shared" si="0"/>
        <v>0</v>
      </c>
      <c r="K33" s="309" t="e">
        <f>#REF!*0.8</f>
        <v>#REF!</v>
      </c>
      <c r="L33" s="230"/>
      <c r="M33" s="233" t="s">
        <v>735</v>
      </c>
      <c r="N33" s="279"/>
      <c r="O33" s="39"/>
      <c r="P33" s="497">
        <v>0</v>
      </c>
    </row>
    <row r="34" spans="1:219" ht="26.25" hidden="1" customHeight="1" thickBot="1" x14ac:dyDescent="0.3">
      <c r="B34" s="11"/>
      <c r="C34" s="6" t="s">
        <v>18</v>
      </c>
      <c r="D34" s="23" t="s">
        <v>9</v>
      </c>
      <c r="E34" s="237" t="s">
        <v>95</v>
      </c>
      <c r="F34" s="208" t="s">
        <v>99</v>
      </c>
      <c r="G34" s="48" t="s">
        <v>0</v>
      </c>
      <c r="H34" s="39"/>
      <c r="I34" s="360">
        <v>0</v>
      </c>
      <c r="J34" s="39">
        <f t="shared" si="0"/>
        <v>0</v>
      </c>
      <c r="K34" s="309">
        <v>0.36</v>
      </c>
      <c r="L34" s="230">
        <f>K34*J326</f>
        <v>0</v>
      </c>
      <c r="M34" s="233" t="s">
        <v>736</v>
      </c>
      <c r="N34" s="279"/>
      <c r="O34" s="503"/>
      <c r="P34" s="309">
        <v>0</v>
      </c>
    </row>
    <row r="35" spans="1:219" ht="26.25" hidden="1" customHeight="1" x14ac:dyDescent="0.25">
      <c r="B35" s="15"/>
      <c r="C35" s="6" t="s">
        <v>18</v>
      </c>
      <c r="D35" s="23" t="s">
        <v>177</v>
      </c>
      <c r="E35" s="104" t="s">
        <v>215</v>
      </c>
      <c r="F35" s="208" t="s">
        <v>178</v>
      </c>
      <c r="G35" s="48" t="s">
        <v>0</v>
      </c>
      <c r="H35" s="39"/>
      <c r="I35" s="309">
        <v>0</v>
      </c>
      <c r="J35" s="39">
        <f t="shared" si="0"/>
        <v>0</v>
      </c>
      <c r="K35" s="309" t="e">
        <f>#REF!*0.8</f>
        <v>#REF!</v>
      </c>
      <c r="L35" s="230" t="e">
        <f>K35*J327</f>
        <v>#REF!</v>
      </c>
      <c r="M35" s="62" t="s">
        <v>275</v>
      </c>
      <c r="N35" s="140"/>
      <c r="O35" s="39"/>
      <c r="P35" s="490">
        <v>0</v>
      </c>
    </row>
    <row r="36" spans="1:219" ht="26.25" hidden="1" customHeight="1" x14ac:dyDescent="0.25">
      <c r="B36" s="515"/>
      <c r="C36" s="516" t="s">
        <v>18</v>
      </c>
      <c r="D36" s="517" t="s">
        <v>9</v>
      </c>
      <c r="E36" s="586" t="s">
        <v>505</v>
      </c>
      <c r="F36" s="584"/>
      <c r="G36" s="585"/>
      <c r="H36" s="39"/>
      <c r="I36" s="309">
        <v>0</v>
      </c>
      <c r="J36" s="39">
        <f t="shared" si="0"/>
        <v>0</v>
      </c>
      <c r="K36" s="309" t="e">
        <f>#REF!*0.8</f>
        <v>#REF!</v>
      </c>
      <c r="L36" s="230"/>
      <c r="M36" s="146" t="s">
        <v>331</v>
      </c>
      <c r="N36" s="279"/>
      <c r="O36" s="513"/>
      <c r="P36" s="497">
        <v>0</v>
      </c>
    </row>
    <row r="37" spans="1:219" ht="26.25" customHeight="1" thickBot="1" x14ac:dyDescent="0.3">
      <c r="B37" s="735">
        <v>7</v>
      </c>
      <c r="C37" s="723" t="s">
        <v>18</v>
      </c>
      <c r="D37" s="724" t="s">
        <v>9</v>
      </c>
      <c r="E37" s="736" t="s">
        <v>283</v>
      </c>
      <c r="F37" s="737">
        <v>1383</v>
      </c>
      <c r="G37" s="738"/>
      <c r="H37" s="572">
        <v>220</v>
      </c>
      <c r="I37" s="309">
        <v>338.8</v>
      </c>
      <c r="J37" s="39">
        <f t="shared" si="0"/>
        <v>0</v>
      </c>
      <c r="K37" s="309" t="e">
        <f>#REF!*0.8</f>
        <v>#REF!</v>
      </c>
      <c r="L37" s="230"/>
      <c r="M37" s="233"/>
      <c r="N37" s="562"/>
      <c r="O37" s="739">
        <v>220</v>
      </c>
      <c r="P37" s="729">
        <v>338.8</v>
      </c>
    </row>
    <row r="38" spans="1:219" ht="26.25" hidden="1" customHeight="1" x14ac:dyDescent="0.25">
      <c r="B38" s="592"/>
      <c r="C38" s="593" t="s">
        <v>18</v>
      </c>
      <c r="D38" s="594" t="s">
        <v>9</v>
      </c>
      <c r="E38" s="633" t="s">
        <v>725</v>
      </c>
      <c r="F38" s="627">
        <v>1452</v>
      </c>
      <c r="G38" s="597" t="s">
        <v>0</v>
      </c>
      <c r="H38" s="39"/>
      <c r="I38" s="309">
        <v>0</v>
      </c>
      <c r="J38" s="39">
        <f t="shared" si="0"/>
        <v>0</v>
      </c>
      <c r="K38" s="309" t="e">
        <f>#REF!*0.8</f>
        <v>#REF!</v>
      </c>
      <c r="L38" s="230" t="e">
        <f t="shared" ref="L38:L44" si="2">K38*J330</f>
        <v>#REF!</v>
      </c>
      <c r="M38" s="233" t="s">
        <v>737</v>
      </c>
      <c r="N38" s="279"/>
      <c r="O38" s="555"/>
      <c r="P38" s="507">
        <v>0</v>
      </c>
    </row>
    <row r="39" spans="1:219" ht="26.25" customHeight="1" thickBot="1" x14ac:dyDescent="0.3">
      <c r="B39" s="722">
        <v>8</v>
      </c>
      <c r="C39" s="723" t="s">
        <v>18</v>
      </c>
      <c r="D39" s="724" t="s">
        <v>9</v>
      </c>
      <c r="E39" s="740" t="s">
        <v>115</v>
      </c>
      <c r="F39" s="737" t="s">
        <v>116</v>
      </c>
      <c r="G39" s="738" t="s">
        <v>0</v>
      </c>
      <c r="H39" s="572">
        <v>350</v>
      </c>
      <c r="I39" s="360">
        <v>962.5</v>
      </c>
      <c r="J39" s="39">
        <f t="shared" si="0"/>
        <v>0</v>
      </c>
      <c r="K39" s="309" t="e">
        <f>#REF!*0.8</f>
        <v>#REF!</v>
      </c>
      <c r="L39" s="230" t="e">
        <f t="shared" si="2"/>
        <v>#REF!</v>
      </c>
      <c r="M39" s="233" t="s">
        <v>652</v>
      </c>
      <c r="N39" s="562">
        <v>200</v>
      </c>
      <c r="O39" s="739">
        <v>150</v>
      </c>
      <c r="P39" s="729">
        <v>412.5</v>
      </c>
    </row>
    <row r="40" spans="1:219" s="4" customFormat="1" ht="26.25" hidden="1" customHeight="1" thickBot="1" x14ac:dyDescent="0.3">
      <c r="A40" s="10"/>
      <c r="B40" s="592"/>
      <c r="C40" s="593" t="s">
        <v>18</v>
      </c>
      <c r="D40" s="594" t="s">
        <v>9</v>
      </c>
      <c r="E40" s="634" t="s">
        <v>451</v>
      </c>
      <c r="F40" s="635" t="s">
        <v>383</v>
      </c>
      <c r="G40" s="597" t="s">
        <v>0</v>
      </c>
      <c r="H40" s="39"/>
      <c r="I40" s="360">
        <v>0</v>
      </c>
      <c r="J40" s="39">
        <f t="shared" si="0"/>
        <v>0</v>
      </c>
      <c r="K40" s="309" t="e">
        <f>#REF!*0.8</f>
        <v>#REF!</v>
      </c>
      <c r="L40" s="230" t="e">
        <f t="shared" si="2"/>
        <v>#REF!</v>
      </c>
      <c r="M40" s="233" t="s">
        <v>528</v>
      </c>
      <c r="N40" s="279"/>
      <c r="O40" s="555"/>
      <c r="P40" s="469">
        <v>0</v>
      </c>
    </row>
    <row r="41" spans="1:219" s="4" customFormat="1" ht="26.25" customHeight="1" thickBot="1" x14ac:dyDescent="0.3">
      <c r="A41" s="10"/>
      <c r="B41" s="722">
        <v>9</v>
      </c>
      <c r="C41" s="723" t="s">
        <v>18</v>
      </c>
      <c r="D41" s="724" t="s">
        <v>9</v>
      </c>
      <c r="E41" s="725" t="s">
        <v>210</v>
      </c>
      <c r="F41" s="737" t="s">
        <v>256</v>
      </c>
      <c r="G41" s="727" t="s">
        <v>0</v>
      </c>
      <c r="H41" s="572">
        <v>56</v>
      </c>
      <c r="I41" s="360">
        <v>105.28</v>
      </c>
      <c r="J41" s="39">
        <f t="shared" si="0"/>
        <v>0</v>
      </c>
      <c r="K41" s="309">
        <v>1.88</v>
      </c>
      <c r="L41" s="230">
        <f t="shared" si="2"/>
        <v>0</v>
      </c>
      <c r="M41" s="89" t="s">
        <v>566</v>
      </c>
      <c r="N41" s="562">
        <v>10</v>
      </c>
      <c r="O41" s="739">
        <v>46</v>
      </c>
      <c r="P41" s="729">
        <v>86.48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</row>
    <row r="42" spans="1:219" ht="26.25" hidden="1" customHeight="1" x14ac:dyDescent="0.25">
      <c r="B42" s="592"/>
      <c r="C42" s="593" t="s">
        <v>18</v>
      </c>
      <c r="D42" s="594" t="s">
        <v>9</v>
      </c>
      <c r="E42" s="595"/>
      <c r="F42" s="596"/>
      <c r="G42" s="636" t="s">
        <v>0</v>
      </c>
      <c r="H42" s="39"/>
      <c r="I42" s="360">
        <v>0</v>
      </c>
      <c r="J42" s="39">
        <f t="shared" si="0"/>
        <v>0</v>
      </c>
      <c r="K42" s="309">
        <v>1.76</v>
      </c>
      <c r="L42" s="230">
        <f t="shared" si="2"/>
        <v>0</v>
      </c>
      <c r="M42" s="89"/>
      <c r="N42" s="279"/>
      <c r="O42" s="555"/>
      <c r="P42" s="469">
        <v>0</v>
      </c>
    </row>
    <row r="43" spans="1:219" s="5" customFormat="1" ht="26.25" customHeight="1" x14ac:dyDescent="0.25">
      <c r="B43" s="700">
        <v>10</v>
      </c>
      <c r="C43" s="701" t="s">
        <v>18</v>
      </c>
      <c r="D43" s="702" t="s">
        <v>9</v>
      </c>
      <c r="E43" s="731" t="s">
        <v>39</v>
      </c>
      <c r="F43" s="704" t="s">
        <v>67</v>
      </c>
      <c r="G43" s="732" t="s">
        <v>0</v>
      </c>
      <c r="H43" s="572">
        <v>1405</v>
      </c>
      <c r="I43" s="360">
        <v>5395.2</v>
      </c>
      <c r="J43" s="39">
        <f t="shared" si="0"/>
        <v>0</v>
      </c>
      <c r="K43" s="309" t="e">
        <f>#REF!*0.8</f>
        <v>#REF!</v>
      </c>
      <c r="L43" s="230" t="e">
        <f t="shared" si="2"/>
        <v>#REF!</v>
      </c>
      <c r="M43" s="98"/>
      <c r="N43" s="562">
        <v>100</v>
      </c>
      <c r="O43" s="716">
        <v>1305</v>
      </c>
      <c r="P43" s="717">
        <v>5011.2</v>
      </c>
    </row>
    <row r="44" spans="1:219" s="5" customFormat="1" ht="26.25" customHeight="1" thickBot="1" x14ac:dyDescent="0.3">
      <c r="B44" s="741">
        <v>11</v>
      </c>
      <c r="C44" s="711" t="s">
        <v>18</v>
      </c>
      <c r="D44" s="712" t="s">
        <v>9</v>
      </c>
      <c r="E44" s="713" t="s">
        <v>543</v>
      </c>
      <c r="F44" s="742" t="s">
        <v>303</v>
      </c>
      <c r="G44" s="743" t="s">
        <v>0</v>
      </c>
      <c r="H44" s="572">
        <v>120</v>
      </c>
      <c r="I44" s="360">
        <v>193.2</v>
      </c>
      <c r="J44" s="39">
        <f t="shared" si="0"/>
        <v>120</v>
      </c>
      <c r="K44" s="309" t="e">
        <f>#REF!*0.8</f>
        <v>#REF!</v>
      </c>
      <c r="L44" s="230" t="e">
        <f t="shared" si="2"/>
        <v>#REF!</v>
      </c>
      <c r="M44" s="220" t="s">
        <v>825</v>
      </c>
      <c r="N44" s="562">
        <v>120</v>
      </c>
      <c r="O44" s="720">
        <v>120</v>
      </c>
      <c r="P44" s="721">
        <v>193.2</v>
      </c>
    </row>
    <row r="45" spans="1:219" s="8" customFormat="1" ht="26.25" hidden="1" customHeight="1" x14ac:dyDescent="0.25">
      <c r="A45" s="5"/>
      <c r="B45" s="637"/>
      <c r="C45" s="484" t="s">
        <v>18</v>
      </c>
      <c r="D45" s="485" t="s">
        <v>357</v>
      </c>
      <c r="E45" s="638" t="s">
        <v>356</v>
      </c>
      <c r="F45" s="631" t="s">
        <v>358</v>
      </c>
      <c r="G45" s="632" t="s">
        <v>0</v>
      </c>
      <c r="H45" s="39"/>
      <c r="I45" s="309">
        <v>0</v>
      </c>
      <c r="J45" s="39">
        <f t="shared" si="0"/>
        <v>0</v>
      </c>
      <c r="K45" s="309" t="e">
        <f>#REF!*0.8</f>
        <v>#REF!</v>
      </c>
      <c r="L45" s="230"/>
      <c r="M45" s="89"/>
      <c r="N45" s="140"/>
      <c r="O45" s="489"/>
      <c r="P45" s="490">
        <v>0</v>
      </c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</row>
    <row r="46" spans="1:219" s="8" customFormat="1" ht="26.25" hidden="1" customHeight="1" x14ac:dyDescent="0.25">
      <c r="A46" s="5"/>
      <c r="B46" s="591"/>
      <c r="C46" s="516" t="s">
        <v>18</v>
      </c>
      <c r="D46" s="517" t="s">
        <v>177</v>
      </c>
      <c r="E46" s="589" t="s">
        <v>693</v>
      </c>
      <c r="F46" s="588" t="s">
        <v>697</v>
      </c>
      <c r="G46" s="546"/>
      <c r="H46" s="39"/>
      <c r="I46" s="360">
        <v>0</v>
      </c>
      <c r="J46" s="39">
        <f t="shared" si="0"/>
        <v>0</v>
      </c>
      <c r="K46" s="309" t="e">
        <f>#REF!*0.8</f>
        <v>#REF!</v>
      </c>
      <c r="L46" s="230"/>
      <c r="M46" s="89"/>
      <c r="N46" s="140"/>
      <c r="O46" s="547"/>
      <c r="P46" s="497">
        <v>0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</row>
    <row r="47" spans="1:219" s="5" customFormat="1" ht="30" customHeight="1" thickBot="1" x14ac:dyDescent="0.3">
      <c r="B47" s="722">
        <v>12</v>
      </c>
      <c r="C47" s="723" t="s">
        <v>18</v>
      </c>
      <c r="D47" s="724" t="s">
        <v>9</v>
      </c>
      <c r="E47" s="725" t="s">
        <v>225</v>
      </c>
      <c r="F47" s="737" t="s">
        <v>234</v>
      </c>
      <c r="G47" s="727" t="s">
        <v>0</v>
      </c>
      <c r="H47" s="572">
        <v>2000</v>
      </c>
      <c r="I47" s="360">
        <v>280</v>
      </c>
      <c r="J47" s="39">
        <f t="shared" si="0"/>
        <v>0</v>
      </c>
      <c r="K47" s="309" t="e">
        <f>#REF!*0.8</f>
        <v>#REF!</v>
      </c>
      <c r="L47" s="406" t="e">
        <f>K47*J339</f>
        <v>#REF!</v>
      </c>
      <c r="M47" s="233" t="s">
        <v>632</v>
      </c>
      <c r="N47" s="562"/>
      <c r="O47" s="739">
        <v>2000</v>
      </c>
      <c r="P47" s="729">
        <v>280</v>
      </c>
    </row>
    <row r="48" spans="1:219" s="5" customFormat="1" ht="32.25" hidden="1" customHeight="1" x14ac:dyDescent="0.25">
      <c r="B48" s="483"/>
      <c r="C48" s="484" t="s">
        <v>18</v>
      </c>
      <c r="D48" s="485" t="s">
        <v>9</v>
      </c>
      <c r="E48" s="639" t="s">
        <v>727</v>
      </c>
      <c r="F48" s="640"/>
      <c r="G48" s="488" t="s">
        <v>0</v>
      </c>
      <c r="H48" s="39"/>
      <c r="I48" s="309">
        <v>0</v>
      </c>
      <c r="J48" s="39">
        <f t="shared" si="0"/>
        <v>0</v>
      </c>
      <c r="K48" s="309" t="e">
        <f>#REF!*0.8</f>
        <v>#REF!</v>
      </c>
      <c r="L48" s="230"/>
      <c r="M48" s="233" t="s">
        <v>738</v>
      </c>
      <c r="N48" s="279"/>
      <c r="O48" s="556"/>
      <c r="P48" s="490">
        <v>0</v>
      </c>
    </row>
    <row r="49" spans="1:16" s="5" customFormat="1" ht="26.25" hidden="1" customHeight="1" x14ac:dyDescent="0.25">
      <c r="B49" s="592"/>
      <c r="C49" s="593" t="s">
        <v>18</v>
      </c>
      <c r="D49" s="594" t="s">
        <v>9</v>
      </c>
      <c r="E49" s="595" t="s">
        <v>644</v>
      </c>
      <c r="F49" s="596" t="s">
        <v>512</v>
      </c>
      <c r="G49" s="597" t="s">
        <v>0</v>
      </c>
      <c r="H49" s="489"/>
      <c r="I49" s="467">
        <v>0</v>
      </c>
      <c r="J49" s="39">
        <f t="shared" si="0"/>
        <v>0</v>
      </c>
      <c r="K49" s="490" t="e">
        <f>#REF!*0.8</f>
        <v>#REF!</v>
      </c>
      <c r="L49" s="491"/>
      <c r="M49" s="492"/>
      <c r="N49" s="493"/>
      <c r="O49" s="555"/>
      <c r="P49" s="469">
        <v>0</v>
      </c>
    </row>
    <row r="50" spans="1:16" s="5" customFormat="1" ht="26.25" customHeight="1" thickBot="1" x14ac:dyDescent="0.3">
      <c r="B50" s="722">
        <v>13</v>
      </c>
      <c r="C50" s="723" t="s">
        <v>18</v>
      </c>
      <c r="D50" s="724" t="s">
        <v>9</v>
      </c>
      <c r="E50" s="725" t="s">
        <v>315</v>
      </c>
      <c r="F50" s="737">
        <v>1094</v>
      </c>
      <c r="G50" s="744" t="s">
        <v>0</v>
      </c>
      <c r="H50" s="572">
        <v>1760</v>
      </c>
      <c r="I50" s="360">
        <v>338.32</v>
      </c>
      <c r="J50" s="39">
        <f t="shared" si="0"/>
        <v>0</v>
      </c>
      <c r="K50" s="309">
        <v>0.19</v>
      </c>
      <c r="L50" s="230"/>
      <c r="M50" s="89"/>
      <c r="N50" s="562"/>
      <c r="O50" s="739">
        <v>1760</v>
      </c>
      <c r="P50" s="729">
        <v>338.32</v>
      </c>
    </row>
    <row r="51" spans="1:16" s="5" customFormat="1" ht="26.25" hidden="1" customHeight="1" x14ac:dyDescent="0.25">
      <c r="B51" s="592"/>
      <c r="C51" s="593" t="s">
        <v>18</v>
      </c>
      <c r="D51" s="594" t="s">
        <v>9</v>
      </c>
      <c r="E51" s="641" t="s">
        <v>490</v>
      </c>
      <c r="F51" s="642" t="s">
        <v>270</v>
      </c>
      <c r="G51" s="636" t="s">
        <v>0</v>
      </c>
      <c r="H51" s="39"/>
      <c r="I51" s="309">
        <v>0</v>
      </c>
      <c r="J51" s="39">
        <f t="shared" si="0"/>
        <v>0</v>
      </c>
      <c r="K51" s="309" t="e">
        <f>#REF!*0.8</f>
        <v>#REF!</v>
      </c>
      <c r="L51" s="230"/>
      <c r="M51" s="89"/>
      <c r="N51" s="279"/>
      <c r="O51" s="555"/>
      <c r="P51" s="507">
        <v>0</v>
      </c>
    </row>
    <row r="52" spans="1:16" s="5" customFormat="1" ht="26.25" customHeight="1" thickBot="1" x14ac:dyDescent="0.3">
      <c r="B52" s="722">
        <v>14</v>
      </c>
      <c r="C52" s="723" t="s">
        <v>18</v>
      </c>
      <c r="D52" s="724" t="s">
        <v>9</v>
      </c>
      <c r="E52" s="745" t="s">
        <v>455</v>
      </c>
      <c r="F52" s="746" t="s">
        <v>456</v>
      </c>
      <c r="G52" s="727" t="s">
        <v>0</v>
      </c>
      <c r="H52" s="572">
        <v>400</v>
      </c>
      <c r="I52" s="360">
        <v>691.2</v>
      </c>
      <c r="J52" s="39">
        <f t="shared" si="0"/>
        <v>0</v>
      </c>
      <c r="K52" s="309">
        <v>1.73</v>
      </c>
      <c r="L52" s="230"/>
      <c r="M52" s="89"/>
      <c r="N52" s="562"/>
      <c r="O52" s="739">
        <v>400</v>
      </c>
      <c r="P52" s="729">
        <v>691.2</v>
      </c>
    </row>
    <row r="53" spans="1:16" s="4" customFormat="1" ht="26.25" hidden="1" customHeight="1" x14ac:dyDescent="0.25">
      <c r="A53" s="10"/>
      <c r="B53" s="483"/>
      <c r="C53" s="484" t="s">
        <v>18</v>
      </c>
      <c r="D53" s="485" t="s">
        <v>9</v>
      </c>
      <c r="E53" s="486" t="s">
        <v>661</v>
      </c>
      <c r="F53" s="643">
        <v>1131</v>
      </c>
      <c r="G53" s="632" t="s">
        <v>0</v>
      </c>
      <c r="H53" s="39"/>
      <c r="I53" s="309">
        <v>0</v>
      </c>
      <c r="J53" s="39">
        <f t="shared" si="0"/>
        <v>0</v>
      </c>
      <c r="K53" s="309" t="e">
        <f>#REF!*0.8</f>
        <v>#REF!</v>
      </c>
      <c r="L53" s="230"/>
      <c r="M53" s="64"/>
      <c r="N53" s="279"/>
      <c r="O53" s="489"/>
      <c r="P53" s="490">
        <v>0</v>
      </c>
    </row>
    <row r="54" spans="1:16" s="4" customFormat="1" ht="26.25" hidden="1" customHeight="1" x14ac:dyDescent="0.25">
      <c r="A54" s="10"/>
      <c r="B54" s="591"/>
      <c r="C54" s="516" t="s">
        <v>18</v>
      </c>
      <c r="D54" s="517" t="s">
        <v>9</v>
      </c>
      <c r="E54" s="598" t="s">
        <v>266</v>
      </c>
      <c r="F54" s="599" t="s">
        <v>79</v>
      </c>
      <c r="G54" s="546" t="s">
        <v>0</v>
      </c>
      <c r="H54" s="39"/>
      <c r="I54" s="309">
        <v>0</v>
      </c>
      <c r="J54" s="39">
        <f t="shared" si="0"/>
        <v>0</v>
      </c>
      <c r="K54" s="309" t="e">
        <f>#REF!*0.8</f>
        <v>#REF!</v>
      </c>
      <c r="L54" s="230" t="e">
        <f>K54*J346</f>
        <v>#REF!</v>
      </c>
      <c r="M54" s="42"/>
      <c r="N54" s="279"/>
      <c r="O54" s="513"/>
      <c r="P54" s="497">
        <v>0</v>
      </c>
    </row>
    <row r="55" spans="1:16" ht="26.25" hidden="1" customHeight="1" thickBot="1" x14ac:dyDescent="0.3">
      <c r="B55" s="735">
        <v>16</v>
      </c>
      <c r="C55" s="723" t="s">
        <v>18</v>
      </c>
      <c r="D55" s="724" t="s">
        <v>9</v>
      </c>
      <c r="E55" s="747" t="s">
        <v>507</v>
      </c>
      <c r="F55" s="737" t="s">
        <v>184</v>
      </c>
      <c r="G55" s="738" t="s">
        <v>0</v>
      </c>
      <c r="H55" s="572"/>
      <c r="I55" s="360">
        <v>0</v>
      </c>
      <c r="J55" s="39">
        <f t="shared" si="0"/>
        <v>5000</v>
      </c>
      <c r="K55" s="309">
        <v>0.39</v>
      </c>
      <c r="L55" s="230">
        <f>K55*J347</f>
        <v>0</v>
      </c>
      <c r="M55" s="154" t="s">
        <v>801</v>
      </c>
      <c r="N55" s="562">
        <v>5000</v>
      </c>
      <c r="O55" s="739"/>
      <c r="P55" s="729">
        <v>0</v>
      </c>
    </row>
    <row r="56" spans="1:16" ht="26.25" hidden="1" customHeight="1" x14ac:dyDescent="0.25">
      <c r="B56" s="644"/>
      <c r="C56" s="593" t="s">
        <v>18</v>
      </c>
      <c r="D56" s="594" t="s">
        <v>9</v>
      </c>
      <c r="E56" s="645" t="s">
        <v>390</v>
      </c>
      <c r="F56" s="627">
        <v>1464</v>
      </c>
      <c r="G56" s="597" t="s">
        <v>0</v>
      </c>
      <c r="H56" s="39"/>
      <c r="I56" s="360">
        <v>0</v>
      </c>
      <c r="J56" s="39">
        <f t="shared" si="0"/>
        <v>0</v>
      </c>
      <c r="K56" s="309" t="e">
        <f>#REF!*0.8</f>
        <v>#REF!</v>
      </c>
      <c r="L56" s="230"/>
      <c r="M56" s="456" t="s">
        <v>739</v>
      </c>
      <c r="N56" s="279"/>
      <c r="O56" s="646"/>
      <c r="P56" s="507">
        <v>0</v>
      </c>
    </row>
    <row r="57" spans="1:16" ht="26.25" hidden="1" customHeight="1" thickBot="1" x14ac:dyDescent="0.3">
      <c r="B57" s="722">
        <v>17</v>
      </c>
      <c r="C57" s="723" t="s">
        <v>18</v>
      </c>
      <c r="D57" s="724" t="s">
        <v>9</v>
      </c>
      <c r="E57" s="748" t="s">
        <v>90</v>
      </c>
      <c r="F57" s="737">
        <v>403</v>
      </c>
      <c r="G57" s="738" t="s">
        <v>0</v>
      </c>
      <c r="H57" s="572">
        <v>80</v>
      </c>
      <c r="I57" s="360">
        <v>52.8</v>
      </c>
      <c r="J57" s="39">
        <f t="shared" si="0"/>
        <v>38</v>
      </c>
      <c r="K57" s="309" t="e">
        <f>#REF!*0.8</f>
        <v>#REF!</v>
      </c>
      <c r="L57" s="230" t="e">
        <f>K57*J348</f>
        <v>#REF!</v>
      </c>
      <c r="M57" s="213"/>
      <c r="N57" s="562">
        <v>118</v>
      </c>
      <c r="O57" s="739"/>
      <c r="P57" s="729">
        <v>0</v>
      </c>
    </row>
    <row r="58" spans="1:16" ht="26.25" hidden="1" customHeight="1" x14ac:dyDescent="0.25">
      <c r="B58" s="483"/>
      <c r="C58" s="484" t="s">
        <v>18</v>
      </c>
      <c r="D58" s="485" t="s">
        <v>9</v>
      </c>
      <c r="E58" s="647" t="s">
        <v>552</v>
      </c>
      <c r="F58" s="630">
        <v>1353</v>
      </c>
      <c r="G58" s="488"/>
      <c r="H58" s="39"/>
      <c r="I58" s="360">
        <v>0</v>
      </c>
      <c r="J58" s="39">
        <f t="shared" si="0"/>
        <v>0</v>
      </c>
      <c r="K58" s="309" t="e">
        <f>#REF!*0.8</f>
        <v>#REF!</v>
      </c>
      <c r="L58" s="230"/>
      <c r="M58" s="213"/>
      <c r="N58" s="279"/>
      <c r="O58" s="489"/>
      <c r="P58" s="467">
        <v>0</v>
      </c>
    </row>
    <row r="59" spans="1:16" ht="26.25" hidden="1" customHeight="1" x14ac:dyDescent="0.25">
      <c r="B59" s="11"/>
      <c r="C59" s="6" t="s">
        <v>18</v>
      </c>
      <c r="D59" s="23" t="s">
        <v>9</v>
      </c>
      <c r="E59" s="87" t="s">
        <v>553</v>
      </c>
      <c r="F59" s="208">
        <v>1353</v>
      </c>
      <c r="G59" s="48"/>
      <c r="H59" s="39"/>
      <c r="I59" s="360">
        <v>0</v>
      </c>
      <c r="J59" s="39">
        <f t="shared" si="0"/>
        <v>0</v>
      </c>
      <c r="K59" s="309" t="e">
        <f>#REF!*0.8</f>
        <v>#REF!</v>
      </c>
      <c r="L59" s="230"/>
      <c r="M59" s="213"/>
      <c r="N59" s="279"/>
      <c r="O59" s="39"/>
      <c r="P59" s="360">
        <v>0</v>
      </c>
    </row>
    <row r="60" spans="1:16" ht="26.25" hidden="1" customHeight="1" x14ac:dyDescent="0.25">
      <c r="B60" s="11"/>
      <c r="C60" s="6" t="s">
        <v>18</v>
      </c>
      <c r="D60" s="23" t="s">
        <v>9</v>
      </c>
      <c r="E60" s="87" t="s">
        <v>554</v>
      </c>
      <c r="F60" s="208">
        <v>1353</v>
      </c>
      <c r="G60" s="48"/>
      <c r="H60" s="39"/>
      <c r="I60" s="360">
        <v>0</v>
      </c>
      <c r="J60" s="39">
        <f t="shared" si="0"/>
        <v>0</v>
      </c>
      <c r="K60" s="309" t="e">
        <f>#REF!*0.8</f>
        <v>#REF!</v>
      </c>
      <c r="L60" s="230"/>
      <c r="M60" s="213"/>
      <c r="N60" s="279"/>
      <c r="O60" s="39"/>
      <c r="P60" s="360">
        <v>0</v>
      </c>
    </row>
    <row r="61" spans="1:16" ht="26.25" hidden="1" customHeight="1" x14ac:dyDescent="0.25">
      <c r="B61" s="11"/>
      <c r="C61" s="6" t="s">
        <v>18</v>
      </c>
      <c r="D61" s="23" t="s">
        <v>9</v>
      </c>
      <c r="E61" s="237" t="s">
        <v>323</v>
      </c>
      <c r="F61" s="522">
        <v>997</v>
      </c>
      <c r="G61" s="48"/>
      <c r="H61" s="39"/>
      <c r="I61" s="360">
        <v>0</v>
      </c>
      <c r="J61" s="39">
        <f t="shared" si="0"/>
        <v>0</v>
      </c>
      <c r="K61" s="309" t="e">
        <f>#REF!*0.8</f>
        <v>#REF!</v>
      </c>
      <c r="L61" s="230" t="e">
        <f>K61*J352</f>
        <v>#REF!</v>
      </c>
      <c r="M61" s="233" t="s">
        <v>589</v>
      </c>
      <c r="N61" s="279"/>
      <c r="O61" s="503"/>
      <c r="P61" s="309">
        <v>0</v>
      </c>
    </row>
    <row r="62" spans="1:16" ht="26.25" hidden="1" customHeight="1" x14ac:dyDescent="0.25">
      <c r="B62" s="583"/>
      <c r="C62" s="516" t="s">
        <v>18</v>
      </c>
      <c r="D62" s="517" t="s">
        <v>9</v>
      </c>
      <c r="E62" s="601" t="s">
        <v>324</v>
      </c>
      <c r="F62" s="602">
        <v>996</v>
      </c>
      <c r="G62" s="585"/>
      <c r="H62" s="39"/>
      <c r="I62" s="360">
        <v>0</v>
      </c>
      <c r="J62" s="39">
        <f t="shared" si="0"/>
        <v>0</v>
      </c>
      <c r="K62" s="309" t="e">
        <f>#REF!*0.8</f>
        <v>#REF!</v>
      </c>
      <c r="L62" s="230"/>
      <c r="M62" s="213"/>
      <c r="N62" s="279"/>
      <c r="O62" s="513"/>
      <c r="P62" s="469">
        <v>0</v>
      </c>
    </row>
    <row r="63" spans="1:16" ht="26.25" customHeight="1" thickBot="1" x14ac:dyDescent="0.3">
      <c r="B63" s="722">
        <v>15</v>
      </c>
      <c r="C63" s="723" t="s">
        <v>18</v>
      </c>
      <c r="D63" s="724" t="s">
        <v>9</v>
      </c>
      <c r="E63" s="748" t="s">
        <v>489</v>
      </c>
      <c r="F63" s="737">
        <v>505</v>
      </c>
      <c r="G63" s="738" t="s">
        <v>0</v>
      </c>
      <c r="H63" s="572">
        <v>400</v>
      </c>
      <c r="I63" s="360">
        <v>104</v>
      </c>
      <c r="J63" s="39">
        <f t="shared" si="0"/>
        <v>0</v>
      </c>
      <c r="K63" s="309" t="e">
        <f>#REF!*0.8</f>
        <v>#REF!</v>
      </c>
      <c r="L63" s="230" t="e">
        <f>K63*J354</f>
        <v>#REF!</v>
      </c>
      <c r="M63" s="233" t="s">
        <v>676</v>
      </c>
      <c r="N63" s="562"/>
      <c r="O63" s="739">
        <v>400</v>
      </c>
      <c r="P63" s="729">
        <v>104</v>
      </c>
    </row>
    <row r="64" spans="1:16" ht="26.25" hidden="1" customHeight="1" x14ac:dyDescent="0.25">
      <c r="B64" s="592"/>
      <c r="C64" s="593" t="s">
        <v>18</v>
      </c>
      <c r="D64" s="594" t="s">
        <v>9</v>
      </c>
      <c r="E64" s="648" t="s">
        <v>646</v>
      </c>
      <c r="F64" s="649">
        <v>922</v>
      </c>
      <c r="G64" s="597"/>
      <c r="H64" s="39"/>
      <c r="I64" s="360"/>
      <c r="J64" s="39">
        <f t="shared" si="0"/>
        <v>0</v>
      </c>
      <c r="K64" s="309" t="e">
        <f>#REF!*0.8</f>
        <v>#REF!</v>
      </c>
      <c r="L64" s="230"/>
      <c r="M64" s="233"/>
      <c r="N64" s="279"/>
      <c r="O64" s="555"/>
      <c r="P64" s="469"/>
    </row>
    <row r="65" spans="1:52" ht="26.25" customHeight="1" thickBot="1" x14ac:dyDescent="0.3">
      <c r="B65" s="749">
        <v>16</v>
      </c>
      <c r="C65" s="723" t="s">
        <v>18</v>
      </c>
      <c r="D65" s="724" t="s">
        <v>9</v>
      </c>
      <c r="E65" s="748" t="s">
        <v>508</v>
      </c>
      <c r="F65" s="737">
        <v>1239</v>
      </c>
      <c r="G65" s="738" t="s">
        <v>0</v>
      </c>
      <c r="H65" s="572">
        <v>1000</v>
      </c>
      <c r="I65" s="360">
        <v>200</v>
      </c>
      <c r="J65" s="39">
        <f t="shared" si="0"/>
        <v>0</v>
      </c>
      <c r="K65" s="309" t="e">
        <f>#REF!*0.8</f>
        <v>#REF!</v>
      </c>
      <c r="L65" s="230" t="e">
        <f>K65*J356</f>
        <v>#REF!</v>
      </c>
      <c r="M65" s="205" t="s">
        <v>677</v>
      </c>
      <c r="N65" s="562"/>
      <c r="O65" s="739">
        <v>1000</v>
      </c>
      <c r="P65" s="729">
        <v>200</v>
      </c>
    </row>
    <row r="66" spans="1:52" ht="26.25" hidden="1" customHeight="1" x14ac:dyDescent="0.25">
      <c r="B66" s="650"/>
      <c r="C66" s="593" t="s">
        <v>18</v>
      </c>
      <c r="D66" s="594" t="s">
        <v>9</v>
      </c>
      <c r="E66" s="651" t="s">
        <v>604</v>
      </c>
      <c r="F66" s="652">
        <v>922</v>
      </c>
      <c r="G66" s="597"/>
      <c r="H66" s="39"/>
      <c r="I66" s="360">
        <v>0</v>
      </c>
      <c r="J66" s="39">
        <f t="shared" si="0"/>
        <v>0</v>
      </c>
      <c r="K66" s="309" t="e">
        <f>#REF!*0.8</f>
        <v>#REF!</v>
      </c>
      <c r="L66" s="230"/>
      <c r="M66" s="205"/>
      <c r="N66" s="279"/>
      <c r="O66" s="646"/>
      <c r="P66" s="507">
        <v>0</v>
      </c>
    </row>
    <row r="67" spans="1:52" ht="26.25" customHeight="1" x14ac:dyDescent="0.25">
      <c r="B67" s="700">
        <v>17</v>
      </c>
      <c r="C67" s="701" t="s">
        <v>18</v>
      </c>
      <c r="D67" s="702" t="s">
        <v>9</v>
      </c>
      <c r="E67" s="731" t="s">
        <v>100</v>
      </c>
      <c r="F67" s="704">
        <v>579</v>
      </c>
      <c r="G67" s="732" t="s">
        <v>0</v>
      </c>
      <c r="H67" s="572">
        <v>500</v>
      </c>
      <c r="I67" s="360">
        <v>335</v>
      </c>
      <c r="J67" s="39">
        <f t="shared" si="0"/>
        <v>0</v>
      </c>
      <c r="K67" s="309" t="e">
        <f>#REF!*0.8</f>
        <v>#REF!</v>
      </c>
      <c r="L67" s="230" t="e">
        <f>K67*J358</f>
        <v>#REF!</v>
      </c>
      <c r="M67" s="456" t="s">
        <v>740</v>
      </c>
      <c r="N67" s="562">
        <v>400</v>
      </c>
      <c r="O67" s="716">
        <v>100</v>
      </c>
      <c r="P67" s="717">
        <v>67</v>
      </c>
    </row>
    <row r="68" spans="1:52" s="5" customFormat="1" ht="26.25" customHeight="1" thickBot="1" x14ac:dyDescent="0.3">
      <c r="B68" s="733">
        <v>18</v>
      </c>
      <c r="C68" s="711" t="s">
        <v>18</v>
      </c>
      <c r="D68" s="712" t="s">
        <v>9</v>
      </c>
      <c r="E68" s="750" t="s">
        <v>330</v>
      </c>
      <c r="F68" s="742">
        <v>1323</v>
      </c>
      <c r="G68" s="743" t="s">
        <v>0</v>
      </c>
      <c r="H68" s="572">
        <v>180</v>
      </c>
      <c r="I68" s="360">
        <v>432</v>
      </c>
      <c r="J68" s="39">
        <f t="shared" si="0"/>
        <v>0</v>
      </c>
      <c r="K68" s="309" t="e">
        <f>#REF!*0.8</f>
        <v>#REF!</v>
      </c>
      <c r="L68" s="230"/>
      <c r="M68" s="205"/>
      <c r="N68" s="562"/>
      <c r="O68" s="720">
        <v>180</v>
      </c>
      <c r="P68" s="721">
        <v>432</v>
      </c>
    </row>
    <row r="69" spans="1:52" ht="26.25" hidden="1" customHeight="1" x14ac:dyDescent="0.25">
      <c r="B69" s="592"/>
      <c r="C69" s="593" t="s">
        <v>18</v>
      </c>
      <c r="D69" s="594" t="s">
        <v>9</v>
      </c>
      <c r="E69" s="595" t="s">
        <v>217</v>
      </c>
      <c r="F69" s="596" t="s">
        <v>126</v>
      </c>
      <c r="G69" s="636" t="s">
        <v>0</v>
      </c>
      <c r="H69" s="39"/>
      <c r="I69" s="360">
        <v>0</v>
      </c>
      <c r="J69" s="39">
        <f t="shared" si="0"/>
        <v>0</v>
      </c>
      <c r="K69" s="309" t="e">
        <f>#REF!*0.8</f>
        <v>#REF!</v>
      </c>
      <c r="L69" s="230" t="e">
        <f>K69*J360</f>
        <v>#REF!</v>
      </c>
      <c r="M69" s="535"/>
      <c r="N69" s="279"/>
      <c r="O69" s="555"/>
      <c r="P69" s="469">
        <v>0</v>
      </c>
    </row>
    <row r="70" spans="1:52" ht="26.25" customHeight="1" thickBot="1" x14ac:dyDescent="0.3">
      <c r="B70" s="722">
        <v>19</v>
      </c>
      <c r="C70" s="723" t="s">
        <v>18</v>
      </c>
      <c r="D70" s="724" t="s">
        <v>9</v>
      </c>
      <c r="E70" s="748" t="s">
        <v>5</v>
      </c>
      <c r="F70" s="737" t="s">
        <v>43</v>
      </c>
      <c r="G70" s="738" t="s">
        <v>0</v>
      </c>
      <c r="H70" s="572">
        <v>11760</v>
      </c>
      <c r="I70" s="360">
        <v>1293.5999999999999</v>
      </c>
      <c r="J70" s="39">
        <f t="shared" ref="J70:J133" si="3">N70+O70-H70</f>
        <v>0</v>
      </c>
      <c r="K70" s="309" t="e">
        <f>#REF!*0.8</f>
        <v>#REF!</v>
      </c>
      <c r="L70" s="230" t="e">
        <f>K70*J361</f>
        <v>#REF!</v>
      </c>
      <c r="M70" s="220" t="s">
        <v>802</v>
      </c>
      <c r="N70" s="563"/>
      <c r="O70" s="739">
        <v>11760</v>
      </c>
      <c r="P70" s="729">
        <v>1293.5999999999999</v>
      </c>
    </row>
    <row r="71" spans="1:52" ht="26.25" hidden="1" customHeight="1" x14ac:dyDescent="0.25">
      <c r="B71" s="650"/>
      <c r="C71" s="593" t="s">
        <v>18</v>
      </c>
      <c r="D71" s="594" t="s">
        <v>9</v>
      </c>
      <c r="E71" s="653" t="s">
        <v>167</v>
      </c>
      <c r="F71" s="627" t="s">
        <v>179</v>
      </c>
      <c r="G71" s="597" t="s">
        <v>0</v>
      </c>
      <c r="H71" s="39"/>
      <c r="I71" s="309">
        <v>0</v>
      </c>
      <c r="J71" s="39">
        <f t="shared" si="3"/>
        <v>0</v>
      </c>
      <c r="K71" s="309" t="e">
        <f>#REF!*0.8</f>
        <v>#REF!</v>
      </c>
      <c r="L71" s="230" t="e">
        <f>K71*J362</f>
        <v>#REF!</v>
      </c>
      <c r="M71" s="89" t="s">
        <v>454</v>
      </c>
      <c r="N71" s="279"/>
      <c r="O71" s="555"/>
      <c r="P71" s="507">
        <v>0</v>
      </c>
    </row>
    <row r="72" spans="1:52" ht="26.25" customHeight="1" thickBot="1" x14ac:dyDescent="0.3">
      <c r="B72" s="722">
        <v>20</v>
      </c>
      <c r="C72" s="723" t="s">
        <v>18</v>
      </c>
      <c r="D72" s="724" t="s">
        <v>9</v>
      </c>
      <c r="E72" s="736" t="s">
        <v>250</v>
      </c>
      <c r="F72" s="746">
        <v>998</v>
      </c>
      <c r="G72" s="738" t="s">
        <v>0</v>
      </c>
      <c r="H72" s="572">
        <v>3920</v>
      </c>
      <c r="I72" s="360">
        <v>376.32</v>
      </c>
      <c r="J72" s="39">
        <f t="shared" si="3"/>
        <v>0</v>
      </c>
      <c r="K72" s="309">
        <v>0.1</v>
      </c>
      <c r="L72" s="230">
        <f>K72*J363</f>
        <v>0</v>
      </c>
      <c r="M72" s="91"/>
      <c r="N72" s="562"/>
      <c r="O72" s="739">
        <v>3920</v>
      </c>
      <c r="P72" s="729">
        <v>376.32</v>
      </c>
    </row>
    <row r="73" spans="1:52" s="5" customFormat="1" ht="26.25" hidden="1" customHeight="1" x14ac:dyDescent="0.25">
      <c r="B73" s="592"/>
      <c r="C73" s="593" t="s">
        <v>18</v>
      </c>
      <c r="D73" s="594" t="s">
        <v>9</v>
      </c>
      <c r="E73" s="633" t="s">
        <v>728</v>
      </c>
      <c r="F73" s="654">
        <v>1453</v>
      </c>
      <c r="G73" s="636" t="s">
        <v>0</v>
      </c>
      <c r="H73" s="39"/>
      <c r="I73" s="360">
        <v>0</v>
      </c>
      <c r="J73" s="39">
        <f t="shared" si="3"/>
        <v>0</v>
      </c>
      <c r="K73" s="309" t="e">
        <f>#REF!*0.8</f>
        <v>#REF!</v>
      </c>
      <c r="L73" s="230"/>
      <c r="M73" s="205" t="s">
        <v>741</v>
      </c>
      <c r="N73" s="279"/>
      <c r="O73" s="555"/>
      <c r="P73" s="507">
        <v>0</v>
      </c>
    </row>
    <row r="74" spans="1:52" s="5" customFormat="1" ht="26.25" customHeight="1" thickBot="1" x14ac:dyDescent="0.3">
      <c r="B74" s="722">
        <v>21</v>
      </c>
      <c r="C74" s="723" t="s">
        <v>18</v>
      </c>
      <c r="D74" s="724" t="s">
        <v>9</v>
      </c>
      <c r="E74" s="748" t="s">
        <v>294</v>
      </c>
      <c r="F74" s="751" t="s">
        <v>42</v>
      </c>
      <c r="G74" s="738" t="s">
        <v>0</v>
      </c>
      <c r="H74" s="572"/>
      <c r="I74" s="360">
        <v>0</v>
      </c>
      <c r="J74" s="39">
        <f t="shared" si="3"/>
        <v>100</v>
      </c>
      <c r="K74" s="309">
        <v>1.36</v>
      </c>
      <c r="L74" s="230">
        <f>K74*J365</f>
        <v>0</v>
      </c>
      <c r="M74" s="205"/>
      <c r="N74" s="562"/>
      <c r="O74" s="739">
        <v>100</v>
      </c>
      <c r="P74" s="729">
        <v>136</v>
      </c>
    </row>
    <row r="75" spans="1:52" ht="26.25" hidden="1" customHeight="1" x14ac:dyDescent="0.25">
      <c r="B75" s="483"/>
      <c r="C75" s="484" t="s">
        <v>18</v>
      </c>
      <c r="D75" s="485" t="s">
        <v>9</v>
      </c>
      <c r="E75" s="486" t="s">
        <v>293</v>
      </c>
      <c r="F75" s="631"/>
      <c r="G75" s="488" t="s">
        <v>0</v>
      </c>
      <c r="H75" s="39">
        <v>0</v>
      </c>
      <c r="I75" s="309">
        <v>0</v>
      </c>
      <c r="J75" s="39">
        <f t="shared" si="3"/>
        <v>0</v>
      </c>
      <c r="K75" s="309" t="e">
        <f>#REF!*0.8</f>
        <v>#REF!</v>
      </c>
      <c r="L75" s="230" t="e">
        <f>K75*J366</f>
        <v>#REF!</v>
      </c>
      <c r="M75" s="64"/>
      <c r="N75" s="279"/>
      <c r="O75" s="489">
        <v>0</v>
      </c>
      <c r="P75" s="490">
        <v>0</v>
      </c>
    </row>
    <row r="76" spans="1:52" ht="26.25" hidden="1" customHeight="1" x14ac:dyDescent="0.25">
      <c r="B76" s="583"/>
      <c r="C76" s="516" t="s">
        <v>18</v>
      </c>
      <c r="D76" s="517" t="s">
        <v>9</v>
      </c>
      <c r="E76" s="587" t="s">
        <v>620</v>
      </c>
      <c r="F76" s="588"/>
      <c r="G76" s="585"/>
      <c r="H76" s="39"/>
      <c r="I76" s="309"/>
      <c r="J76" s="39">
        <f t="shared" si="3"/>
        <v>0</v>
      </c>
      <c r="K76" s="309" t="e">
        <f>#REF!*0.8</f>
        <v>#REF!</v>
      </c>
      <c r="L76" s="230"/>
      <c r="M76" s="64"/>
      <c r="N76" s="279"/>
      <c r="O76" s="513"/>
      <c r="P76" s="497"/>
    </row>
    <row r="77" spans="1:52" ht="38.25" customHeight="1" thickBot="1" x14ac:dyDescent="0.3">
      <c r="B77" s="749">
        <v>22</v>
      </c>
      <c r="C77" s="723" t="s">
        <v>18</v>
      </c>
      <c r="D77" s="724" t="s">
        <v>9</v>
      </c>
      <c r="E77" s="752" t="s">
        <v>619</v>
      </c>
      <c r="F77" s="737">
        <v>325</v>
      </c>
      <c r="G77" s="738" t="s">
        <v>0</v>
      </c>
      <c r="H77" s="572">
        <v>3200</v>
      </c>
      <c r="I77" s="309">
        <v>672</v>
      </c>
      <c r="J77" s="39">
        <f t="shared" si="3"/>
        <v>6400</v>
      </c>
      <c r="K77" s="309" t="e">
        <f>#REF!*0.8</f>
        <v>#REF!</v>
      </c>
      <c r="L77" s="230" t="e">
        <f>K77*J368</f>
        <v>#REF!</v>
      </c>
      <c r="M77" s="220" t="s">
        <v>829</v>
      </c>
      <c r="N77" s="562">
        <v>6400</v>
      </c>
      <c r="O77" s="739">
        <v>3200</v>
      </c>
      <c r="P77" s="729">
        <v>672</v>
      </c>
    </row>
    <row r="78" spans="1:52" s="4" customFormat="1" ht="26.25" hidden="1" customHeight="1" x14ac:dyDescent="0.25">
      <c r="A78" s="10"/>
      <c r="B78" s="592"/>
      <c r="C78" s="593" t="s">
        <v>18</v>
      </c>
      <c r="D78" s="594" t="s">
        <v>9</v>
      </c>
      <c r="E78" s="641" t="s">
        <v>280</v>
      </c>
      <c r="F78" s="652" t="s">
        <v>491</v>
      </c>
      <c r="G78" s="597" t="s">
        <v>0</v>
      </c>
      <c r="H78" s="39"/>
      <c r="I78" s="360">
        <v>0</v>
      </c>
      <c r="J78" s="39">
        <f t="shared" si="3"/>
        <v>0</v>
      </c>
      <c r="K78" s="309" t="e">
        <f>#REF!*0.8</f>
        <v>#REF!</v>
      </c>
      <c r="L78" s="230" t="e">
        <f>K78*J369</f>
        <v>#REF!</v>
      </c>
      <c r="M78" s="155"/>
      <c r="N78" s="279"/>
      <c r="O78" s="555"/>
      <c r="P78" s="469">
        <v>0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</row>
    <row r="79" spans="1:52" ht="26.25" customHeight="1" thickBot="1" x14ac:dyDescent="0.3">
      <c r="B79" s="749">
        <v>23</v>
      </c>
      <c r="C79" s="723" t="s">
        <v>18</v>
      </c>
      <c r="D79" s="724" t="s">
        <v>9</v>
      </c>
      <c r="E79" s="740" t="s">
        <v>252</v>
      </c>
      <c r="F79" s="737">
        <v>1172</v>
      </c>
      <c r="G79" s="738" t="s">
        <v>0</v>
      </c>
      <c r="H79" s="572">
        <v>7040</v>
      </c>
      <c r="I79" s="360">
        <v>1337.6</v>
      </c>
      <c r="J79" s="39">
        <f t="shared" si="3"/>
        <v>0</v>
      </c>
      <c r="K79" s="309">
        <v>0.19</v>
      </c>
      <c r="L79" s="230">
        <f>K79*J370</f>
        <v>0</v>
      </c>
      <c r="M79" s="154"/>
      <c r="N79" s="562"/>
      <c r="O79" s="739">
        <v>7040</v>
      </c>
      <c r="P79" s="729">
        <v>1337.6</v>
      </c>
    </row>
    <row r="80" spans="1:52" ht="26.25" hidden="1" customHeight="1" x14ac:dyDescent="0.25">
      <c r="B80" s="637"/>
      <c r="C80" s="484" t="s">
        <v>18</v>
      </c>
      <c r="D80" s="485" t="s">
        <v>9</v>
      </c>
      <c r="E80" s="655" t="s">
        <v>233</v>
      </c>
      <c r="F80" s="640">
        <v>850</v>
      </c>
      <c r="G80" s="488"/>
      <c r="H80" s="39"/>
      <c r="I80" s="309">
        <v>0</v>
      </c>
      <c r="J80" s="39">
        <f t="shared" si="3"/>
        <v>0</v>
      </c>
      <c r="K80" s="309" t="e">
        <f>#REF!*0.8</f>
        <v>#REF!</v>
      </c>
      <c r="L80" s="230"/>
      <c r="M80" s="91"/>
      <c r="N80" s="279"/>
      <c r="O80" s="489"/>
      <c r="P80" s="467">
        <v>0</v>
      </c>
    </row>
    <row r="81" spans="2:16" ht="26.25" hidden="1" customHeight="1" x14ac:dyDescent="0.25">
      <c r="B81" s="14"/>
      <c r="C81" s="6" t="s">
        <v>18</v>
      </c>
      <c r="D81" s="23" t="s">
        <v>9</v>
      </c>
      <c r="E81" s="212" t="s">
        <v>166</v>
      </c>
      <c r="F81" s="522">
        <v>849</v>
      </c>
      <c r="G81" s="48"/>
      <c r="H81" s="39"/>
      <c r="I81" s="309">
        <v>0</v>
      </c>
      <c r="J81" s="39">
        <f t="shared" si="3"/>
        <v>0</v>
      </c>
      <c r="K81" s="309" t="e">
        <f>#REF!*0.8</f>
        <v>#REF!</v>
      </c>
      <c r="L81" s="230"/>
      <c r="M81" s="91"/>
      <c r="N81" s="279"/>
      <c r="O81" s="39"/>
      <c r="P81" s="360">
        <v>0</v>
      </c>
    </row>
    <row r="82" spans="2:16" ht="26.25" hidden="1" customHeight="1" x14ac:dyDescent="0.25">
      <c r="B82" s="591"/>
      <c r="C82" s="516" t="s">
        <v>18</v>
      </c>
      <c r="D82" s="517" t="s">
        <v>9</v>
      </c>
      <c r="E82" s="604" t="s">
        <v>603</v>
      </c>
      <c r="F82" s="603">
        <v>851</v>
      </c>
      <c r="G82" s="585"/>
      <c r="H82" s="39"/>
      <c r="I82" s="309">
        <v>0</v>
      </c>
      <c r="J82" s="39">
        <f t="shared" si="3"/>
        <v>0</v>
      </c>
      <c r="K82" s="309" t="e">
        <f>#REF!*0.8</f>
        <v>#REF!</v>
      </c>
      <c r="L82" s="230"/>
      <c r="M82" s="91"/>
      <c r="N82" s="279"/>
      <c r="O82" s="513"/>
      <c r="P82" s="497">
        <v>0</v>
      </c>
    </row>
    <row r="83" spans="2:16" ht="26.25" customHeight="1" thickBot="1" x14ac:dyDescent="0.3">
      <c r="B83" s="735">
        <v>24</v>
      </c>
      <c r="C83" s="723" t="s">
        <v>18</v>
      </c>
      <c r="D83" s="724" t="s">
        <v>9</v>
      </c>
      <c r="E83" s="748" t="s">
        <v>98</v>
      </c>
      <c r="F83" s="737" t="s">
        <v>94</v>
      </c>
      <c r="G83" s="738" t="s">
        <v>0</v>
      </c>
      <c r="H83" s="572">
        <v>17100</v>
      </c>
      <c r="I83" s="360">
        <v>6498</v>
      </c>
      <c r="J83" s="39">
        <f t="shared" si="3"/>
        <v>11700</v>
      </c>
      <c r="K83" s="309" t="e">
        <f>#REF!*0.8</f>
        <v>#REF!</v>
      </c>
      <c r="L83" s="230" t="e">
        <f>K83*J377</f>
        <v>#REF!</v>
      </c>
      <c r="M83" s="194" t="s">
        <v>742</v>
      </c>
      <c r="N83" s="562">
        <v>10800</v>
      </c>
      <c r="O83" s="739">
        <v>18000</v>
      </c>
      <c r="P83" s="729">
        <v>6840</v>
      </c>
    </row>
    <row r="84" spans="2:16" ht="26.25" hidden="1" customHeight="1" x14ac:dyDescent="0.25">
      <c r="B84" s="650"/>
      <c r="C84" s="593" t="s">
        <v>18</v>
      </c>
      <c r="D84" s="594" t="s">
        <v>9</v>
      </c>
      <c r="E84" s="651" t="s">
        <v>557</v>
      </c>
      <c r="F84" s="656">
        <v>1299</v>
      </c>
      <c r="G84" s="597" t="s">
        <v>0</v>
      </c>
      <c r="H84" s="39"/>
      <c r="I84" s="360">
        <v>0</v>
      </c>
      <c r="J84" s="39">
        <f t="shared" si="3"/>
        <v>0</v>
      </c>
      <c r="K84" s="309" t="e">
        <f>#REF!*0.8</f>
        <v>#REF!</v>
      </c>
      <c r="L84" s="230" t="e">
        <f>K84*J378</f>
        <v>#REF!</v>
      </c>
      <c r="M84" s="91"/>
      <c r="N84" s="279"/>
      <c r="O84" s="555"/>
      <c r="P84" s="469">
        <v>0</v>
      </c>
    </row>
    <row r="85" spans="2:16" ht="26.25" customHeight="1" thickBot="1" x14ac:dyDescent="0.3">
      <c r="B85" s="749">
        <v>25</v>
      </c>
      <c r="C85" s="723" t="s">
        <v>18</v>
      </c>
      <c r="D85" s="724" t="s">
        <v>9</v>
      </c>
      <c r="E85" s="748" t="s">
        <v>295</v>
      </c>
      <c r="F85" s="737" t="s">
        <v>176</v>
      </c>
      <c r="G85" s="738" t="s">
        <v>0</v>
      </c>
      <c r="H85" s="572">
        <v>15120</v>
      </c>
      <c r="I85" s="360">
        <v>3175.2</v>
      </c>
      <c r="J85" s="39">
        <f t="shared" si="3"/>
        <v>0</v>
      </c>
      <c r="K85" s="309" t="e">
        <f>#REF!*0.8</f>
        <v>#REF!</v>
      </c>
      <c r="L85" s="230" t="e">
        <f>K85*J379</f>
        <v>#REF!</v>
      </c>
      <c r="M85" s="194"/>
      <c r="N85" s="562"/>
      <c r="O85" s="739">
        <v>15120</v>
      </c>
      <c r="P85" s="729">
        <v>3175.2</v>
      </c>
    </row>
    <row r="86" spans="2:16" ht="26.25" hidden="1" customHeight="1" x14ac:dyDescent="0.25">
      <c r="B86" s="483"/>
      <c r="C86" s="484" t="s">
        <v>18</v>
      </c>
      <c r="D86" s="485" t="s">
        <v>9</v>
      </c>
      <c r="E86" s="629" t="s">
        <v>296</v>
      </c>
      <c r="F86" s="630" t="s">
        <v>82</v>
      </c>
      <c r="G86" s="488" t="s">
        <v>0</v>
      </c>
      <c r="H86" s="39"/>
      <c r="I86" s="360">
        <v>0</v>
      </c>
      <c r="J86" s="39">
        <f t="shared" si="3"/>
        <v>0</v>
      </c>
      <c r="K86" s="309" t="e">
        <f>#REF!*0.8</f>
        <v>#REF!</v>
      </c>
      <c r="L86" s="230" t="e">
        <f>K86*J380</f>
        <v>#REF!</v>
      </c>
      <c r="M86" s="205" t="s">
        <v>743</v>
      </c>
      <c r="N86" s="279"/>
      <c r="O86" s="489"/>
      <c r="P86" s="490">
        <v>0</v>
      </c>
    </row>
    <row r="87" spans="2:16" ht="26.25" hidden="1" customHeight="1" x14ac:dyDescent="0.25">
      <c r="B87" s="583"/>
      <c r="C87" s="516" t="s">
        <v>18</v>
      </c>
      <c r="D87" s="517" t="s">
        <v>9</v>
      </c>
      <c r="E87" s="606" t="s">
        <v>222</v>
      </c>
      <c r="F87" s="602">
        <v>993</v>
      </c>
      <c r="G87" s="607" t="s">
        <v>0</v>
      </c>
      <c r="H87" s="39"/>
      <c r="I87" s="360">
        <v>0</v>
      </c>
      <c r="J87" s="39">
        <f t="shared" si="3"/>
        <v>0</v>
      </c>
      <c r="K87" s="309" t="e">
        <f>#REF!*0.8</f>
        <v>#REF!</v>
      </c>
      <c r="L87" s="230"/>
      <c r="M87" s="205" t="s">
        <v>547</v>
      </c>
      <c r="N87" s="279"/>
      <c r="O87" s="513"/>
      <c r="P87" s="469">
        <v>0</v>
      </c>
    </row>
    <row r="88" spans="2:16" ht="26.25" hidden="1" customHeight="1" thickBot="1" x14ac:dyDescent="0.3">
      <c r="B88" s="722">
        <v>29</v>
      </c>
      <c r="C88" s="723" t="s">
        <v>18</v>
      </c>
      <c r="D88" s="724" t="s">
        <v>9</v>
      </c>
      <c r="E88" s="748" t="s">
        <v>426</v>
      </c>
      <c r="F88" s="737">
        <v>1229</v>
      </c>
      <c r="G88" s="738" t="s">
        <v>0</v>
      </c>
      <c r="H88" s="572">
        <v>2000</v>
      </c>
      <c r="I88" s="360">
        <v>520</v>
      </c>
      <c r="J88" s="39">
        <f t="shared" si="3"/>
        <v>2800</v>
      </c>
      <c r="K88" s="309">
        <v>0.26</v>
      </c>
      <c r="L88" s="230">
        <f>K88*J382</f>
        <v>0</v>
      </c>
      <c r="M88" s="194"/>
      <c r="N88" s="562">
        <v>4800</v>
      </c>
      <c r="O88" s="728"/>
      <c r="P88" s="729">
        <v>0</v>
      </c>
    </row>
    <row r="89" spans="2:16" ht="26.25" hidden="1" customHeight="1" x14ac:dyDescent="0.25">
      <c r="B89" s="592"/>
      <c r="C89" s="593" t="s">
        <v>18</v>
      </c>
      <c r="D89" s="594" t="s">
        <v>9</v>
      </c>
      <c r="E89" s="651" t="s">
        <v>29</v>
      </c>
      <c r="F89" s="627" t="s">
        <v>44</v>
      </c>
      <c r="G89" s="597" t="s">
        <v>0</v>
      </c>
      <c r="H89" s="39"/>
      <c r="I89" s="309">
        <v>0</v>
      </c>
      <c r="J89" s="39">
        <f t="shared" si="3"/>
        <v>0</v>
      </c>
      <c r="K89" s="309">
        <v>0.11</v>
      </c>
      <c r="L89" s="230">
        <f>K89*J383</f>
        <v>0</v>
      </c>
      <c r="M89" s="42" t="s">
        <v>339</v>
      </c>
      <c r="N89" s="279"/>
      <c r="O89" s="555"/>
      <c r="P89" s="507">
        <v>0</v>
      </c>
    </row>
    <row r="90" spans="2:16" ht="26.25" customHeight="1" x14ac:dyDescent="0.25">
      <c r="B90" s="700">
        <v>26</v>
      </c>
      <c r="C90" s="701" t="s">
        <v>18</v>
      </c>
      <c r="D90" s="702" t="s">
        <v>9</v>
      </c>
      <c r="E90" s="731" t="s">
        <v>297</v>
      </c>
      <c r="F90" s="704" t="s">
        <v>47</v>
      </c>
      <c r="G90" s="732" t="s">
        <v>0</v>
      </c>
      <c r="H90" s="572">
        <v>600</v>
      </c>
      <c r="I90" s="360">
        <v>588</v>
      </c>
      <c r="J90" s="39">
        <f t="shared" si="3"/>
        <v>0</v>
      </c>
      <c r="K90" s="309" t="e">
        <f>#REF!*0.8</f>
        <v>#REF!</v>
      </c>
      <c r="L90" s="230" t="e">
        <f>K90*J384</f>
        <v>#REF!</v>
      </c>
      <c r="M90" s="205"/>
      <c r="N90" s="562"/>
      <c r="O90" s="716">
        <v>600</v>
      </c>
      <c r="P90" s="717">
        <v>588</v>
      </c>
    </row>
    <row r="91" spans="2:16" ht="26.25" customHeight="1" x14ac:dyDescent="0.25">
      <c r="B91" s="708">
        <v>27</v>
      </c>
      <c r="C91" s="6" t="s">
        <v>18</v>
      </c>
      <c r="D91" s="23" t="s">
        <v>9</v>
      </c>
      <c r="E91" s="237" t="s">
        <v>89</v>
      </c>
      <c r="F91" s="208">
        <v>495</v>
      </c>
      <c r="G91" s="709" t="s">
        <v>0</v>
      </c>
      <c r="H91" s="572">
        <v>2760</v>
      </c>
      <c r="I91" s="360">
        <v>2437.63</v>
      </c>
      <c r="J91" s="39">
        <f t="shared" si="3"/>
        <v>0</v>
      </c>
      <c r="K91" s="309">
        <v>0.88</v>
      </c>
      <c r="L91" s="230">
        <f>K91*J385</f>
        <v>0</v>
      </c>
      <c r="M91" s="89"/>
      <c r="N91" s="562"/>
      <c r="O91" s="718">
        <v>2760</v>
      </c>
      <c r="P91" s="719">
        <v>2437.63</v>
      </c>
    </row>
    <row r="92" spans="2:16" ht="26.25" customHeight="1" thickBot="1" x14ac:dyDescent="0.3">
      <c r="B92" s="708">
        <v>28</v>
      </c>
      <c r="C92" s="6" t="s">
        <v>18</v>
      </c>
      <c r="D92" s="23" t="s">
        <v>9</v>
      </c>
      <c r="E92" s="241" t="s">
        <v>428</v>
      </c>
      <c r="F92" s="208">
        <v>326</v>
      </c>
      <c r="G92" s="753" t="s">
        <v>0</v>
      </c>
      <c r="H92" s="572">
        <v>2340</v>
      </c>
      <c r="I92" s="360">
        <v>982.8</v>
      </c>
      <c r="J92" s="39">
        <f t="shared" si="3"/>
        <v>9126</v>
      </c>
      <c r="K92" s="309" t="e">
        <f>#REF!*0.8</f>
        <v>#REF!</v>
      </c>
      <c r="L92" s="230" t="e">
        <f>K92*J386</f>
        <v>#REF!</v>
      </c>
      <c r="M92" s="194" t="s">
        <v>828</v>
      </c>
      <c r="N92" s="564">
        <v>9126</v>
      </c>
      <c r="O92" s="718">
        <v>2340</v>
      </c>
      <c r="P92" s="719">
        <v>982.8</v>
      </c>
    </row>
    <row r="93" spans="2:16" ht="26.25" hidden="1" customHeight="1" thickBot="1" x14ac:dyDescent="0.3">
      <c r="B93" s="710">
        <v>33</v>
      </c>
      <c r="C93" s="711" t="s">
        <v>18</v>
      </c>
      <c r="D93" s="712" t="s">
        <v>9</v>
      </c>
      <c r="E93" s="754" t="s">
        <v>427</v>
      </c>
      <c r="F93" s="714">
        <v>385</v>
      </c>
      <c r="G93" s="715" t="s">
        <v>0</v>
      </c>
      <c r="H93" s="572"/>
      <c r="I93" s="309">
        <v>0</v>
      </c>
      <c r="J93" s="39">
        <f t="shared" si="3"/>
        <v>1008</v>
      </c>
      <c r="K93" s="309" t="e">
        <f>#REF!*0.8</f>
        <v>#REF!</v>
      </c>
      <c r="L93" s="230"/>
      <c r="M93" s="195"/>
      <c r="N93" s="564">
        <v>1008</v>
      </c>
      <c r="O93" s="755"/>
      <c r="P93" s="756">
        <v>0</v>
      </c>
    </row>
    <row r="94" spans="2:16" ht="26.25" hidden="1" customHeight="1" thickBot="1" x14ac:dyDescent="0.3">
      <c r="B94" s="628"/>
      <c r="C94" s="484" t="s">
        <v>18</v>
      </c>
      <c r="D94" s="485" t="s">
        <v>9</v>
      </c>
      <c r="E94" s="657" t="s">
        <v>622</v>
      </c>
      <c r="F94" s="658">
        <v>1394</v>
      </c>
      <c r="G94" s="632" t="s">
        <v>0</v>
      </c>
      <c r="H94" s="39"/>
      <c r="I94" s="360">
        <v>0</v>
      </c>
      <c r="J94" s="39">
        <f t="shared" si="3"/>
        <v>0</v>
      </c>
      <c r="K94" s="309" t="e">
        <f>#REF!*0.8</f>
        <v>#REF!</v>
      </c>
      <c r="L94" s="230"/>
      <c r="M94" s="205"/>
      <c r="N94" s="281"/>
      <c r="O94" s="489"/>
      <c r="P94" s="467">
        <v>0</v>
      </c>
    </row>
    <row r="95" spans="2:16" ht="26.25" hidden="1" customHeight="1" x14ac:dyDescent="0.25">
      <c r="B95" s="15"/>
      <c r="C95" s="6" t="s">
        <v>18</v>
      </c>
      <c r="D95" s="23" t="s">
        <v>9</v>
      </c>
      <c r="E95" s="463" t="s">
        <v>623</v>
      </c>
      <c r="F95" s="382">
        <v>1395</v>
      </c>
      <c r="G95" s="13" t="s">
        <v>0</v>
      </c>
      <c r="H95" s="39"/>
      <c r="I95" s="360">
        <v>0</v>
      </c>
      <c r="J95" s="39">
        <f t="shared" si="3"/>
        <v>0</v>
      </c>
      <c r="K95" s="309" t="e">
        <f>#REF!*0.8</f>
        <v>#REF!</v>
      </c>
      <c r="L95" s="230"/>
      <c r="M95" s="205"/>
      <c r="N95" s="282"/>
      <c r="O95" s="39"/>
      <c r="P95" s="360">
        <v>0</v>
      </c>
    </row>
    <row r="96" spans="2:16" ht="26.25" hidden="1" customHeight="1" x14ac:dyDescent="0.25">
      <c r="B96" s="15"/>
      <c r="C96" s="6" t="s">
        <v>18</v>
      </c>
      <c r="D96" s="23" t="s">
        <v>9</v>
      </c>
      <c r="E96" s="1" t="s">
        <v>530</v>
      </c>
      <c r="F96" s="382">
        <v>1321</v>
      </c>
      <c r="G96" s="13" t="s">
        <v>0</v>
      </c>
      <c r="H96" s="39"/>
      <c r="I96" s="360">
        <v>0</v>
      </c>
      <c r="J96" s="39">
        <f t="shared" si="3"/>
        <v>0</v>
      </c>
      <c r="K96" s="309" t="e">
        <f>#REF!*0.8</f>
        <v>#REF!</v>
      </c>
      <c r="L96" s="230"/>
      <c r="M96" s="205" t="s">
        <v>542</v>
      </c>
      <c r="N96" s="281"/>
      <c r="O96" s="39"/>
      <c r="P96" s="360">
        <v>0</v>
      </c>
    </row>
    <row r="97" spans="1:16" ht="26.25" hidden="1" customHeight="1" x14ac:dyDescent="0.25">
      <c r="B97" s="15"/>
      <c r="C97" s="6" t="s">
        <v>18</v>
      </c>
      <c r="D97" s="23" t="s">
        <v>9</v>
      </c>
      <c r="E97" s="241" t="s">
        <v>616</v>
      </c>
      <c r="F97" s="208">
        <v>978</v>
      </c>
      <c r="G97" s="48" t="s">
        <v>0</v>
      </c>
      <c r="H97" s="39"/>
      <c r="I97" s="360">
        <v>0</v>
      </c>
      <c r="J97" s="39">
        <f t="shared" si="3"/>
        <v>0</v>
      </c>
      <c r="K97" s="309" t="e">
        <f>#REF!*0.8</f>
        <v>#REF!</v>
      </c>
      <c r="L97" s="230"/>
      <c r="M97" s="89"/>
      <c r="N97" s="281"/>
      <c r="O97" s="39"/>
      <c r="P97" s="360">
        <v>0</v>
      </c>
    </row>
    <row r="98" spans="1:16" ht="26.25" hidden="1" customHeight="1" thickBot="1" x14ac:dyDescent="0.3">
      <c r="B98" s="515"/>
      <c r="C98" s="516" t="s">
        <v>18</v>
      </c>
      <c r="D98" s="517" t="s">
        <v>9</v>
      </c>
      <c r="E98" s="606" t="s">
        <v>511</v>
      </c>
      <c r="F98" s="584">
        <v>1292</v>
      </c>
      <c r="G98" s="585" t="s">
        <v>0</v>
      </c>
      <c r="H98" s="39"/>
      <c r="I98" s="360">
        <v>0</v>
      </c>
      <c r="J98" s="39">
        <f t="shared" si="3"/>
        <v>0</v>
      </c>
      <c r="K98" s="309" t="e">
        <f>#REF!*0.8</f>
        <v>#REF!</v>
      </c>
      <c r="L98" s="230"/>
      <c r="M98" s="89"/>
      <c r="N98" s="281"/>
      <c r="O98" s="513"/>
      <c r="P98" s="468">
        <v>0</v>
      </c>
    </row>
    <row r="99" spans="1:16" ht="26.25" customHeight="1" x14ac:dyDescent="0.25">
      <c r="B99" s="700">
        <v>29</v>
      </c>
      <c r="C99" s="701" t="s">
        <v>18</v>
      </c>
      <c r="D99" s="702" t="s">
        <v>9</v>
      </c>
      <c r="E99" s="731" t="s">
        <v>108</v>
      </c>
      <c r="F99" s="704">
        <v>600</v>
      </c>
      <c r="G99" s="732" t="s">
        <v>0</v>
      </c>
      <c r="H99" s="572">
        <v>152</v>
      </c>
      <c r="I99" s="360">
        <v>481.84</v>
      </c>
      <c r="J99" s="39">
        <f t="shared" si="3"/>
        <v>152</v>
      </c>
      <c r="K99" s="309" t="e">
        <f>#REF!*0.8</f>
        <v>#REF!</v>
      </c>
      <c r="L99" s="230" t="e">
        <f t="shared" ref="L99:L106" si="4">K99*J393</f>
        <v>#REF!</v>
      </c>
      <c r="M99" s="154"/>
      <c r="N99" s="562">
        <v>152</v>
      </c>
      <c r="O99" s="758">
        <v>152</v>
      </c>
      <c r="P99" s="759">
        <v>481.84</v>
      </c>
    </row>
    <row r="100" spans="1:16" ht="26.25" customHeight="1" x14ac:dyDescent="0.25">
      <c r="B100" s="706">
        <v>30</v>
      </c>
      <c r="C100" s="6" t="s">
        <v>18</v>
      </c>
      <c r="D100" s="23" t="s">
        <v>9</v>
      </c>
      <c r="E100" s="237" t="s">
        <v>66</v>
      </c>
      <c r="F100" s="210">
        <v>395</v>
      </c>
      <c r="G100" s="709" t="s">
        <v>0</v>
      </c>
      <c r="H100" s="572">
        <v>100</v>
      </c>
      <c r="I100" s="360">
        <v>670</v>
      </c>
      <c r="J100" s="39">
        <f t="shared" si="3"/>
        <v>100</v>
      </c>
      <c r="K100" s="309" t="e">
        <f>#REF!*0.8</f>
        <v>#REF!</v>
      </c>
      <c r="L100" s="230" t="e">
        <f t="shared" si="4"/>
        <v>#REF!</v>
      </c>
      <c r="M100" s="154"/>
      <c r="N100" s="562">
        <v>100</v>
      </c>
      <c r="O100" s="718">
        <v>100</v>
      </c>
      <c r="P100" s="719">
        <v>670</v>
      </c>
    </row>
    <row r="101" spans="1:16" ht="26.25" customHeight="1" thickBot="1" x14ac:dyDescent="0.3">
      <c r="B101" s="710">
        <v>31</v>
      </c>
      <c r="C101" s="711" t="s">
        <v>18</v>
      </c>
      <c r="D101" s="712" t="s">
        <v>9</v>
      </c>
      <c r="E101" s="713" t="s">
        <v>65</v>
      </c>
      <c r="F101" s="757">
        <v>406</v>
      </c>
      <c r="G101" s="734" t="s">
        <v>0</v>
      </c>
      <c r="H101" s="572">
        <v>168</v>
      </c>
      <c r="I101" s="360">
        <v>2177.2800000000002</v>
      </c>
      <c r="J101" s="39">
        <f t="shared" si="3"/>
        <v>0</v>
      </c>
      <c r="K101" s="309" t="e">
        <f>#REF!*0.8</f>
        <v>#REF!</v>
      </c>
      <c r="L101" s="230" t="e">
        <f t="shared" si="4"/>
        <v>#REF!</v>
      </c>
      <c r="M101" s="154"/>
      <c r="N101" s="562">
        <v>126</v>
      </c>
      <c r="O101" s="720">
        <v>42</v>
      </c>
      <c r="P101" s="721">
        <v>544.32000000000005</v>
      </c>
    </row>
    <row r="102" spans="1:16" ht="26.25" hidden="1" customHeight="1" x14ac:dyDescent="0.25">
      <c r="B102" s="637"/>
      <c r="C102" s="484" t="s">
        <v>18</v>
      </c>
      <c r="D102" s="485" t="s">
        <v>9</v>
      </c>
      <c r="E102" s="655" t="s">
        <v>253</v>
      </c>
      <c r="F102" s="643">
        <v>829</v>
      </c>
      <c r="G102" s="632" t="s">
        <v>0</v>
      </c>
      <c r="H102" s="39"/>
      <c r="I102" s="309">
        <v>0</v>
      </c>
      <c r="J102" s="39">
        <f t="shared" si="3"/>
        <v>0</v>
      </c>
      <c r="K102" s="309" t="e">
        <f>#REF!*0.8</f>
        <v>#REF!</v>
      </c>
      <c r="L102" s="230" t="e">
        <f t="shared" si="4"/>
        <v>#REF!</v>
      </c>
      <c r="M102" s="89"/>
      <c r="N102" s="279"/>
      <c r="O102" s="489"/>
      <c r="P102" s="490">
        <v>0</v>
      </c>
    </row>
    <row r="103" spans="1:16" s="4" customFormat="1" ht="26.25" hidden="1" customHeight="1" x14ac:dyDescent="0.25">
      <c r="A103" s="10"/>
      <c r="B103" s="14"/>
      <c r="C103" s="6" t="s">
        <v>18</v>
      </c>
      <c r="D103" s="23" t="s">
        <v>9</v>
      </c>
      <c r="E103" s="212" t="s">
        <v>665</v>
      </c>
      <c r="F103" s="384">
        <v>1424</v>
      </c>
      <c r="G103" s="12"/>
      <c r="H103" s="39"/>
      <c r="I103" s="360">
        <v>0</v>
      </c>
      <c r="J103" s="39">
        <f t="shared" si="3"/>
        <v>0</v>
      </c>
      <c r="K103" s="309" t="e">
        <f>#REF!*0.8</f>
        <v>#REF!</v>
      </c>
      <c r="L103" s="230" t="e">
        <f t="shared" si="4"/>
        <v>#REF!</v>
      </c>
      <c r="M103" s="205"/>
      <c r="N103" s="279"/>
      <c r="O103" s="503"/>
      <c r="P103" s="309">
        <v>0</v>
      </c>
    </row>
    <row r="104" spans="1:16" s="4" customFormat="1" ht="26.25" hidden="1" customHeight="1" x14ac:dyDescent="0.25">
      <c r="A104" s="10"/>
      <c r="B104" s="15"/>
      <c r="C104" s="6" t="s">
        <v>18</v>
      </c>
      <c r="D104" s="23" t="s">
        <v>9</v>
      </c>
      <c r="E104" s="212" t="s">
        <v>523</v>
      </c>
      <c r="F104" s="270"/>
      <c r="G104" s="12"/>
      <c r="H104" s="39"/>
      <c r="I104" s="309">
        <v>0</v>
      </c>
      <c r="J104" s="39">
        <f t="shared" si="3"/>
        <v>0</v>
      </c>
      <c r="K104" s="309" t="e">
        <f>#REF!*0.8</f>
        <v>#REF!</v>
      </c>
      <c r="L104" s="230" t="e">
        <f t="shared" si="4"/>
        <v>#REF!</v>
      </c>
      <c r="M104" s="89"/>
      <c r="N104" s="279"/>
      <c r="O104" s="39"/>
      <c r="P104" s="490">
        <v>0</v>
      </c>
    </row>
    <row r="105" spans="1:16" s="4" customFormat="1" ht="26.25" hidden="1" customHeight="1" x14ac:dyDescent="0.25">
      <c r="A105" s="10"/>
      <c r="B105" s="15"/>
      <c r="C105" s="6" t="s">
        <v>18</v>
      </c>
      <c r="D105" s="23" t="s">
        <v>9</v>
      </c>
      <c r="E105" s="100" t="s">
        <v>544</v>
      </c>
      <c r="F105" s="384">
        <v>1075</v>
      </c>
      <c r="G105" s="12"/>
      <c r="H105" s="39"/>
      <c r="I105" s="360">
        <v>0</v>
      </c>
      <c r="J105" s="39">
        <f t="shared" si="3"/>
        <v>0</v>
      </c>
      <c r="K105" s="309" t="e">
        <f>#REF!*0.8</f>
        <v>#REF!</v>
      </c>
      <c r="L105" s="230" t="e">
        <f t="shared" si="4"/>
        <v>#REF!</v>
      </c>
      <c r="M105" s="205"/>
      <c r="N105" s="279"/>
      <c r="O105" s="39"/>
      <c r="P105" s="468">
        <v>0</v>
      </c>
    </row>
    <row r="106" spans="1:16" ht="26.25" hidden="1" customHeight="1" x14ac:dyDescent="0.25">
      <c r="B106" s="15"/>
      <c r="C106" s="6" t="s">
        <v>18</v>
      </c>
      <c r="D106" s="23" t="s">
        <v>9</v>
      </c>
      <c r="E106" s="237" t="s">
        <v>724</v>
      </c>
      <c r="F106" s="527">
        <v>1360</v>
      </c>
      <c r="G106" s="12" t="s">
        <v>0</v>
      </c>
      <c r="H106" s="39"/>
      <c r="I106" s="360">
        <v>0</v>
      </c>
      <c r="J106" s="39">
        <f t="shared" si="3"/>
        <v>0</v>
      </c>
      <c r="K106" s="309" t="e">
        <f>#REF!*0.8</f>
        <v>#REF!</v>
      </c>
      <c r="L106" s="230" t="e">
        <f t="shared" si="4"/>
        <v>#REF!</v>
      </c>
      <c r="M106" s="82"/>
      <c r="N106" s="279"/>
      <c r="O106" s="503"/>
      <c r="P106" s="309">
        <v>0</v>
      </c>
    </row>
    <row r="107" spans="1:16" ht="26.25" hidden="1" customHeight="1" thickBot="1" x14ac:dyDescent="0.3">
      <c r="B107" s="15"/>
      <c r="C107" s="6" t="s">
        <v>18</v>
      </c>
      <c r="D107" s="23" t="s">
        <v>9</v>
      </c>
      <c r="E107" s="237" t="s">
        <v>492</v>
      </c>
      <c r="F107" s="270"/>
      <c r="G107" s="12"/>
      <c r="H107" s="39"/>
      <c r="I107" s="309">
        <v>0</v>
      </c>
      <c r="J107" s="39">
        <f t="shared" si="3"/>
        <v>0</v>
      </c>
      <c r="K107" s="309"/>
      <c r="L107" s="230"/>
      <c r="M107" s="82"/>
      <c r="N107" s="279"/>
      <c r="O107" s="39"/>
      <c r="P107" s="490">
        <v>0</v>
      </c>
    </row>
    <row r="108" spans="1:16" ht="26.25" hidden="1" customHeight="1" x14ac:dyDescent="0.25">
      <c r="B108" s="515"/>
      <c r="C108" s="516" t="s">
        <v>18</v>
      </c>
      <c r="D108" s="517" t="s">
        <v>9</v>
      </c>
      <c r="E108" s="601" t="s">
        <v>501</v>
      </c>
      <c r="F108" s="529">
        <v>1276</v>
      </c>
      <c r="G108" s="585" t="s">
        <v>0</v>
      </c>
      <c r="H108" s="39"/>
      <c r="I108" s="360">
        <v>0</v>
      </c>
      <c r="J108" s="39">
        <f t="shared" si="3"/>
        <v>0</v>
      </c>
      <c r="K108" s="309" t="e">
        <f>#REF!*0.8</f>
        <v>#REF!</v>
      </c>
      <c r="L108" s="230"/>
      <c r="M108" s="534"/>
      <c r="N108" s="279"/>
      <c r="O108" s="513"/>
      <c r="P108" s="468">
        <v>0</v>
      </c>
    </row>
    <row r="109" spans="1:16" ht="26.25" customHeight="1" thickBot="1" x14ac:dyDescent="0.3">
      <c r="B109" s="735">
        <v>32</v>
      </c>
      <c r="C109" s="723" t="s">
        <v>18</v>
      </c>
      <c r="D109" s="724" t="s">
        <v>9</v>
      </c>
      <c r="E109" s="745" t="s">
        <v>161</v>
      </c>
      <c r="F109" s="737" t="s">
        <v>221</v>
      </c>
      <c r="G109" s="738" t="s">
        <v>0</v>
      </c>
      <c r="H109" s="572">
        <v>2400</v>
      </c>
      <c r="I109" s="360">
        <v>9216</v>
      </c>
      <c r="J109" s="39">
        <f t="shared" si="3"/>
        <v>0</v>
      </c>
      <c r="K109" s="309" t="e">
        <f>#REF!*0.8</f>
        <v>#REF!</v>
      </c>
      <c r="L109" s="230" t="e">
        <f>K109*J403</f>
        <v>#REF!</v>
      </c>
      <c r="M109" s="205"/>
      <c r="N109" s="562"/>
      <c r="O109" s="739">
        <v>2400</v>
      </c>
      <c r="P109" s="729">
        <v>9216</v>
      </c>
    </row>
    <row r="110" spans="1:16" ht="26.25" hidden="1" customHeight="1" x14ac:dyDescent="0.25">
      <c r="B110" s="628"/>
      <c r="C110" s="484" t="s">
        <v>18</v>
      </c>
      <c r="D110" s="485" t="s">
        <v>458</v>
      </c>
      <c r="E110" s="647" t="s">
        <v>161</v>
      </c>
      <c r="F110" s="487" t="s">
        <v>374</v>
      </c>
      <c r="G110" s="488"/>
      <c r="H110" s="39"/>
      <c r="I110" s="309">
        <v>0</v>
      </c>
      <c r="J110" s="39">
        <f t="shared" si="3"/>
        <v>0</v>
      </c>
      <c r="K110" s="309" t="e">
        <f>#REF!*0.8</f>
        <v>#REF!</v>
      </c>
      <c r="L110" s="230" t="e">
        <f>K110*J404</f>
        <v>#REF!</v>
      </c>
      <c r="M110" s="155"/>
      <c r="N110" s="140"/>
      <c r="O110" s="489"/>
      <c r="P110" s="490">
        <v>0</v>
      </c>
    </row>
    <row r="111" spans="1:16" ht="26.25" hidden="1" customHeight="1" x14ac:dyDescent="0.25">
      <c r="B111" s="15"/>
      <c r="C111" s="6" t="s">
        <v>18</v>
      </c>
      <c r="D111" s="23" t="s">
        <v>9</v>
      </c>
      <c r="E111" s="87" t="s">
        <v>658</v>
      </c>
      <c r="F111" s="211"/>
      <c r="G111" s="48"/>
      <c r="H111" s="39"/>
      <c r="I111" s="360"/>
      <c r="J111" s="39">
        <f t="shared" si="3"/>
        <v>0</v>
      </c>
      <c r="K111" s="309"/>
      <c r="L111" s="230"/>
      <c r="M111" s="155"/>
      <c r="N111" s="140"/>
      <c r="O111" s="39"/>
      <c r="P111" s="360"/>
    </row>
    <row r="112" spans="1:16" ht="26.25" hidden="1" customHeight="1" x14ac:dyDescent="0.25">
      <c r="B112" s="15"/>
      <c r="C112" s="6" t="s">
        <v>18</v>
      </c>
      <c r="D112" s="23" t="s">
        <v>9</v>
      </c>
      <c r="E112" s="101" t="s">
        <v>551</v>
      </c>
      <c r="F112" s="211" t="s">
        <v>558</v>
      </c>
      <c r="G112" s="48"/>
      <c r="H112" s="39"/>
      <c r="I112" s="360">
        <v>0</v>
      </c>
      <c r="J112" s="39">
        <f t="shared" si="3"/>
        <v>0</v>
      </c>
      <c r="K112" s="309" t="e">
        <f>#REF!*0.8</f>
        <v>#REF!</v>
      </c>
      <c r="L112" s="230" t="e">
        <f>K112*J406</f>
        <v>#REF!</v>
      </c>
      <c r="M112" s="91"/>
      <c r="N112" s="279"/>
      <c r="O112" s="39"/>
      <c r="P112" s="360">
        <v>0</v>
      </c>
    </row>
    <row r="113" spans="1:52" ht="26.25" hidden="1" customHeight="1" x14ac:dyDescent="0.25">
      <c r="B113" s="591"/>
      <c r="C113" s="516" t="s">
        <v>18</v>
      </c>
      <c r="D113" s="517" t="s">
        <v>9</v>
      </c>
      <c r="E113" s="608" t="s">
        <v>195</v>
      </c>
      <c r="F113" s="590" t="s">
        <v>559</v>
      </c>
      <c r="G113" s="585"/>
      <c r="H113" s="39"/>
      <c r="I113" s="360">
        <v>0</v>
      </c>
      <c r="J113" s="39">
        <f t="shared" si="3"/>
        <v>0</v>
      </c>
      <c r="K113" s="309" t="e">
        <f>#REF!*0.8</f>
        <v>#REF!</v>
      </c>
      <c r="L113" s="230" t="e">
        <f>K113*J407</f>
        <v>#REF!</v>
      </c>
      <c r="M113" s="203"/>
      <c r="N113" s="279"/>
      <c r="O113" s="513"/>
      <c r="P113" s="468">
        <v>0</v>
      </c>
    </row>
    <row r="114" spans="1:52" ht="29.25" customHeight="1" x14ac:dyDescent="0.25">
      <c r="B114" s="730">
        <v>33</v>
      </c>
      <c r="C114" s="701" t="s">
        <v>18</v>
      </c>
      <c r="D114" s="702" t="s">
        <v>9</v>
      </c>
      <c r="E114" s="760" t="s">
        <v>459</v>
      </c>
      <c r="F114" s="704" t="s">
        <v>463</v>
      </c>
      <c r="G114" s="732"/>
      <c r="H114" s="572">
        <v>2100</v>
      </c>
      <c r="I114" s="309">
        <v>4221</v>
      </c>
      <c r="J114" s="39">
        <f t="shared" si="3"/>
        <v>6280</v>
      </c>
      <c r="K114" s="309" t="e">
        <f>#REF!*0.8</f>
        <v>#REF!</v>
      </c>
      <c r="L114" s="230"/>
      <c r="M114" s="194" t="s">
        <v>830</v>
      </c>
      <c r="N114" s="562">
        <f>2980+3300</f>
        <v>6280</v>
      </c>
      <c r="O114" s="758">
        <v>2100</v>
      </c>
      <c r="P114" s="717">
        <v>4221</v>
      </c>
    </row>
    <row r="115" spans="1:52" ht="33" customHeight="1" thickBot="1" x14ac:dyDescent="0.3">
      <c r="B115" s="710">
        <v>34</v>
      </c>
      <c r="C115" s="711" t="s">
        <v>18</v>
      </c>
      <c r="D115" s="712" t="s">
        <v>9</v>
      </c>
      <c r="E115" s="761" t="s">
        <v>460</v>
      </c>
      <c r="F115" s="714" t="s">
        <v>498</v>
      </c>
      <c r="G115" s="734" t="s">
        <v>0</v>
      </c>
      <c r="H115" s="572">
        <v>1890</v>
      </c>
      <c r="I115" s="360">
        <v>3798.9</v>
      </c>
      <c r="J115" s="39">
        <f t="shared" si="3"/>
        <v>3150</v>
      </c>
      <c r="K115" s="309" t="e">
        <f>#REF!*0.8</f>
        <v>#REF!</v>
      </c>
      <c r="L115" s="230"/>
      <c r="M115" s="154"/>
      <c r="N115" s="562">
        <v>2520</v>
      </c>
      <c r="O115" s="720">
        <v>2520</v>
      </c>
      <c r="P115" s="721">
        <v>5065.2</v>
      </c>
    </row>
    <row r="116" spans="1:52" ht="26.25" hidden="1" customHeight="1" x14ac:dyDescent="0.25">
      <c r="B116" s="637"/>
      <c r="C116" s="484" t="s">
        <v>18</v>
      </c>
      <c r="D116" s="485" t="s">
        <v>9</v>
      </c>
      <c r="E116" s="655" t="s">
        <v>317</v>
      </c>
      <c r="F116" s="487"/>
      <c r="G116" s="488"/>
      <c r="H116" s="39"/>
      <c r="I116" s="309">
        <v>0</v>
      </c>
      <c r="J116" s="39">
        <f t="shared" si="3"/>
        <v>0</v>
      </c>
      <c r="K116" s="309"/>
      <c r="L116" s="230"/>
      <c r="M116" s="64"/>
      <c r="N116" s="279"/>
      <c r="O116" s="489"/>
      <c r="P116" s="490">
        <v>0</v>
      </c>
    </row>
    <row r="117" spans="1:52" s="4" customFormat="1" ht="26.25" hidden="1" customHeight="1" x14ac:dyDescent="0.25">
      <c r="A117" s="10"/>
      <c r="B117" s="583"/>
      <c r="C117" s="516" t="s">
        <v>18</v>
      </c>
      <c r="D117" s="517" t="s">
        <v>9</v>
      </c>
      <c r="E117" s="598" t="s">
        <v>207</v>
      </c>
      <c r="F117" s="588" t="s">
        <v>488</v>
      </c>
      <c r="G117" s="609"/>
      <c r="H117" s="39"/>
      <c r="I117" s="360">
        <v>0</v>
      </c>
      <c r="J117" s="39">
        <f t="shared" si="3"/>
        <v>0</v>
      </c>
      <c r="K117" s="309" t="e">
        <f>#REF!*0.8</f>
        <v>#REF!</v>
      </c>
      <c r="L117" s="230"/>
      <c r="M117" s="91"/>
      <c r="N117" s="279"/>
      <c r="O117" s="513"/>
      <c r="P117" s="468">
        <v>0</v>
      </c>
    </row>
    <row r="118" spans="1:52" ht="26.25" customHeight="1" x14ac:dyDescent="0.25">
      <c r="B118" s="762">
        <v>35</v>
      </c>
      <c r="C118" s="701" t="s">
        <v>18</v>
      </c>
      <c r="D118" s="702" t="s">
        <v>9</v>
      </c>
      <c r="E118" s="763" t="s">
        <v>443</v>
      </c>
      <c r="F118" s="764">
        <v>1062</v>
      </c>
      <c r="G118" s="732" t="s">
        <v>0</v>
      </c>
      <c r="H118" s="572">
        <v>790</v>
      </c>
      <c r="I118" s="360">
        <v>3586.6</v>
      </c>
      <c r="J118" s="39">
        <f t="shared" si="3"/>
        <v>0</v>
      </c>
      <c r="K118" s="309">
        <v>4.54</v>
      </c>
      <c r="L118" s="230"/>
      <c r="N118" s="562"/>
      <c r="O118" s="716">
        <v>790</v>
      </c>
      <c r="P118" s="717">
        <v>3586.6</v>
      </c>
    </row>
    <row r="119" spans="1:52" ht="26.25" customHeight="1" x14ac:dyDescent="0.25">
      <c r="B119" s="708">
        <v>36</v>
      </c>
      <c r="C119" s="6" t="s">
        <v>18</v>
      </c>
      <c r="D119" s="23" t="s">
        <v>142</v>
      </c>
      <c r="E119" s="104" t="s">
        <v>1</v>
      </c>
      <c r="F119" s="208" t="s">
        <v>64</v>
      </c>
      <c r="G119" s="709" t="s">
        <v>0</v>
      </c>
      <c r="H119" s="572">
        <v>6000</v>
      </c>
      <c r="I119" s="360">
        <v>1260</v>
      </c>
      <c r="J119" s="39">
        <f t="shared" si="3"/>
        <v>1200</v>
      </c>
      <c r="K119" s="309" t="e">
        <f>#REF!*0.8</f>
        <v>#REF!</v>
      </c>
      <c r="L119" s="230" t="e">
        <f t="shared" ref="L119:L127" si="5">K119*J413</f>
        <v>#REF!</v>
      </c>
      <c r="M119" s="155"/>
      <c r="N119" s="565">
        <v>4200</v>
      </c>
      <c r="O119" s="718">
        <v>3000</v>
      </c>
      <c r="P119" s="719">
        <v>630</v>
      </c>
    </row>
    <row r="120" spans="1:52" ht="26.25" customHeight="1" x14ac:dyDescent="0.25">
      <c r="B120" s="706">
        <v>37</v>
      </c>
      <c r="C120" s="6" t="s">
        <v>18</v>
      </c>
      <c r="D120" s="23" t="s">
        <v>142</v>
      </c>
      <c r="E120" s="104" t="s">
        <v>2</v>
      </c>
      <c r="F120" s="208" t="s">
        <v>63</v>
      </c>
      <c r="G120" s="709" t="s">
        <v>0</v>
      </c>
      <c r="H120" s="572">
        <v>6000</v>
      </c>
      <c r="I120" s="360">
        <v>2100</v>
      </c>
      <c r="J120" s="39">
        <f t="shared" si="3"/>
        <v>1200</v>
      </c>
      <c r="K120" s="309" t="e">
        <f>#REF!*0.8</f>
        <v>#REF!</v>
      </c>
      <c r="L120" s="230" t="e">
        <f t="shared" si="5"/>
        <v>#REF!</v>
      </c>
      <c r="M120" s="194"/>
      <c r="N120" s="565">
        <v>4200</v>
      </c>
      <c r="O120" s="718">
        <v>3000</v>
      </c>
      <c r="P120" s="719">
        <v>1050</v>
      </c>
    </row>
    <row r="121" spans="1:52" ht="26.25" customHeight="1" thickBot="1" x14ac:dyDescent="0.3">
      <c r="B121" s="733">
        <v>38</v>
      </c>
      <c r="C121" s="711" t="s">
        <v>18</v>
      </c>
      <c r="D121" s="712" t="s">
        <v>142</v>
      </c>
      <c r="E121" s="765" t="s">
        <v>35</v>
      </c>
      <c r="F121" s="714" t="s">
        <v>51</v>
      </c>
      <c r="G121" s="734" t="s">
        <v>0</v>
      </c>
      <c r="H121" s="572">
        <v>1300</v>
      </c>
      <c r="I121" s="360">
        <v>832</v>
      </c>
      <c r="J121" s="39">
        <f t="shared" si="3"/>
        <v>1200</v>
      </c>
      <c r="K121" s="309">
        <v>0.64</v>
      </c>
      <c r="L121" s="230">
        <f t="shared" si="5"/>
        <v>0</v>
      </c>
      <c r="M121" s="196"/>
      <c r="N121" s="566">
        <v>1200</v>
      </c>
      <c r="O121" s="720">
        <v>1300</v>
      </c>
      <c r="P121" s="721">
        <v>832</v>
      </c>
    </row>
    <row r="122" spans="1:52" s="4" customFormat="1" ht="26.25" hidden="1" customHeight="1" x14ac:dyDescent="0.25">
      <c r="A122" s="10"/>
      <c r="B122" s="592"/>
      <c r="C122" s="593" t="s">
        <v>18</v>
      </c>
      <c r="D122" s="594" t="s">
        <v>142</v>
      </c>
      <c r="E122" s="659" t="s">
        <v>372</v>
      </c>
      <c r="F122" s="635" t="s">
        <v>375</v>
      </c>
      <c r="G122" s="597" t="s">
        <v>0</v>
      </c>
      <c r="H122" s="39">
        <v>0</v>
      </c>
      <c r="I122" s="309">
        <v>0</v>
      </c>
      <c r="J122" s="39">
        <f t="shared" si="3"/>
        <v>0</v>
      </c>
      <c r="K122" s="309" t="e">
        <f>#REF!/1.4</f>
        <v>#REF!</v>
      </c>
      <c r="L122" s="230" t="e">
        <f t="shared" si="5"/>
        <v>#REF!</v>
      </c>
      <c r="M122" s="89"/>
      <c r="N122" s="140"/>
      <c r="O122" s="555">
        <v>0</v>
      </c>
      <c r="P122" s="507">
        <v>0</v>
      </c>
    </row>
    <row r="123" spans="1:52" ht="26.25" customHeight="1" thickBot="1" x14ac:dyDescent="0.3">
      <c r="B123" s="722">
        <v>39</v>
      </c>
      <c r="C123" s="723" t="s">
        <v>18</v>
      </c>
      <c r="D123" s="724" t="s">
        <v>142</v>
      </c>
      <c r="E123" s="766" t="s">
        <v>28</v>
      </c>
      <c r="F123" s="737" t="s">
        <v>50</v>
      </c>
      <c r="G123" s="738" t="s">
        <v>0</v>
      </c>
      <c r="H123" s="572">
        <v>11040</v>
      </c>
      <c r="I123" s="360">
        <v>1766.4</v>
      </c>
      <c r="J123" s="39">
        <f t="shared" si="3"/>
        <v>15138</v>
      </c>
      <c r="K123" s="309" t="e">
        <f>#REF!/1.4</f>
        <v>#REF!</v>
      </c>
      <c r="L123" s="230" t="e">
        <f t="shared" si="5"/>
        <v>#REF!</v>
      </c>
      <c r="M123" s="194"/>
      <c r="N123" s="566">
        <v>14400</v>
      </c>
      <c r="O123" s="739">
        <v>11778</v>
      </c>
      <c r="P123" s="729">
        <v>1884.48</v>
      </c>
    </row>
    <row r="124" spans="1:52" s="4" customFormat="1" ht="26.25" hidden="1" customHeight="1" x14ac:dyDescent="0.25">
      <c r="A124" s="10"/>
      <c r="B124" s="592"/>
      <c r="C124" s="593" t="s">
        <v>18</v>
      </c>
      <c r="D124" s="594" t="s">
        <v>142</v>
      </c>
      <c r="E124" s="660" t="s">
        <v>165</v>
      </c>
      <c r="F124" s="661" t="s">
        <v>164</v>
      </c>
      <c r="G124" s="597" t="s">
        <v>0</v>
      </c>
      <c r="H124" s="39"/>
      <c r="I124" s="360">
        <v>0</v>
      </c>
      <c r="J124" s="39">
        <f t="shared" si="3"/>
        <v>0</v>
      </c>
      <c r="K124" s="309" t="e">
        <f>#REF!/1.4</f>
        <v>#REF!</v>
      </c>
      <c r="L124" s="230" t="e">
        <f t="shared" si="5"/>
        <v>#REF!</v>
      </c>
      <c r="M124" s="205"/>
      <c r="N124" s="140"/>
      <c r="O124" s="646"/>
      <c r="P124" s="507">
        <v>0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</row>
    <row r="125" spans="1:52" ht="26.25" customHeight="1" x14ac:dyDescent="0.25">
      <c r="B125" s="700">
        <v>40</v>
      </c>
      <c r="C125" s="701" t="s">
        <v>18</v>
      </c>
      <c r="D125" s="702" t="s">
        <v>142</v>
      </c>
      <c r="E125" s="767" t="s">
        <v>531</v>
      </c>
      <c r="F125" s="704" t="s">
        <v>49</v>
      </c>
      <c r="G125" s="732" t="s">
        <v>0</v>
      </c>
      <c r="H125" s="572">
        <v>2326</v>
      </c>
      <c r="I125" s="360">
        <v>907.14</v>
      </c>
      <c r="J125" s="39">
        <f t="shared" si="3"/>
        <v>0</v>
      </c>
      <c r="K125" s="309" t="e">
        <f>#REF!/1.4</f>
        <v>#REF!</v>
      </c>
      <c r="L125" s="230" t="e">
        <f t="shared" si="5"/>
        <v>#REF!</v>
      </c>
      <c r="M125" s="205"/>
      <c r="N125" s="565"/>
      <c r="O125" s="716">
        <v>2326</v>
      </c>
      <c r="P125" s="717">
        <v>907.14</v>
      </c>
    </row>
    <row r="126" spans="1:52" ht="26.25" hidden="1" customHeight="1" thickBot="1" x14ac:dyDescent="0.3">
      <c r="B126" s="733">
        <v>46</v>
      </c>
      <c r="C126" s="711" t="s">
        <v>18</v>
      </c>
      <c r="D126" s="712" t="s">
        <v>142</v>
      </c>
      <c r="E126" s="765" t="s">
        <v>470</v>
      </c>
      <c r="F126" s="768">
        <v>1248</v>
      </c>
      <c r="G126" s="734"/>
      <c r="H126" s="572"/>
      <c r="I126" s="309">
        <v>0</v>
      </c>
      <c r="J126" s="39">
        <f t="shared" si="3"/>
        <v>185</v>
      </c>
      <c r="K126" s="309"/>
      <c r="L126" s="230">
        <f t="shared" si="5"/>
        <v>0</v>
      </c>
      <c r="M126" s="89"/>
      <c r="N126" s="566">
        <v>185</v>
      </c>
      <c r="O126" s="755"/>
      <c r="P126" s="756">
        <v>0</v>
      </c>
    </row>
    <row r="127" spans="1:52" ht="26.25" hidden="1" customHeight="1" x14ac:dyDescent="0.25">
      <c r="B127" s="628"/>
      <c r="C127" s="484" t="s">
        <v>129</v>
      </c>
      <c r="D127" s="485" t="s">
        <v>142</v>
      </c>
      <c r="E127" s="638" t="s">
        <v>130</v>
      </c>
      <c r="F127" s="662" t="s">
        <v>198</v>
      </c>
      <c r="G127" s="663" t="s">
        <v>0</v>
      </c>
      <c r="H127" s="39">
        <v>0</v>
      </c>
      <c r="I127" s="309">
        <v>0</v>
      </c>
      <c r="J127" s="39">
        <f t="shared" si="3"/>
        <v>0</v>
      </c>
      <c r="K127" s="309" t="e">
        <f>#REF!/1.4</f>
        <v>#REF!</v>
      </c>
      <c r="L127" s="230" t="e">
        <f t="shared" si="5"/>
        <v>#REF!</v>
      </c>
      <c r="M127" s="60"/>
      <c r="N127" s="140"/>
      <c r="O127" s="489">
        <v>0</v>
      </c>
      <c r="P127" s="507">
        <v>0</v>
      </c>
    </row>
    <row r="128" spans="1:52" ht="26.25" hidden="1" customHeight="1" x14ac:dyDescent="0.25">
      <c r="B128" s="11"/>
      <c r="C128" s="6" t="s">
        <v>18</v>
      </c>
      <c r="D128" s="23" t="s">
        <v>142</v>
      </c>
      <c r="E128" s="104" t="s">
        <v>817</v>
      </c>
      <c r="F128" s="210">
        <v>1289</v>
      </c>
      <c r="G128" s="48" t="s">
        <v>0</v>
      </c>
      <c r="H128" s="39"/>
      <c r="I128" s="360">
        <v>0</v>
      </c>
      <c r="J128" s="39">
        <f t="shared" si="3"/>
        <v>0</v>
      </c>
      <c r="K128" s="309" t="e">
        <f>#REF!/1.4</f>
        <v>#REF!</v>
      </c>
      <c r="L128" s="230" t="e">
        <f t="shared" ref="L128:L147" si="6">K128*J425</f>
        <v>#REF!</v>
      </c>
      <c r="M128" s="88"/>
      <c r="N128" s="140"/>
      <c r="O128" s="39"/>
      <c r="P128" s="309">
        <v>0</v>
      </c>
    </row>
    <row r="129" spans="1:219" s="5" customFormat="1" ht="26.25" hidden="1" customHeight="1" thickBot="1" x14ac:dyDescent="0.3">
      <c r="B129" s="14"/>
      <c r="C129" s="6" t="s">
        <v>18</v>
      </c>
      <c r="D129" s="23" t="s">
        <v>142</v>
      </c>
      <c r="E129" s="104" t="s">
        <v>502</v>
      </c>
      <c r="F129" s="390">
        <v>761</v>
      </c>
      <c r="G129" s="12" t="s">
        <v>0</v>
      </c>
      <c r="H129" s="39"/>
      <c r="I129" s="309">
        <v>0</v>
      </c>
      <c r="J129" s="39">
        <f t="shared" si="3"/>
        <v>0</v>
      </c>
      <c r="K129" s="309" t="e">
        <f>#REF!/1.4</f>
        <v>#REF!</v>
      </c>
      <c r="L129" s="230" t="e">
        <f t="shared" si="6"/>
        <v>#REF!</v>
      </c>
      <c r="M129" s="42"/>
      <c r="N129" s="140"/>
      <c r="O129" s="39"/>
      <c r="P129" s="490">
        <v>0</v>
      </c>
    </row>
    <row r="130" spans="1:219" ht="26.25" hidden="1" customHeight="1" x14ac:dyDescent="0.25">
      <c r="B130" s="515"/>
      <c r="C130" s="516" t="s">
        <v>18</v>
      </c>
      <c r="D130" s="517" t="s">
        <v>142</v>
      </c>
      <c r="E130" s="611" t="s">
        <v>185</v>
      </c>
      <c r="F130" s="605">
        <v>879</v>
      </c>
      <c r="G130" s="609" t="s">
        <v>0</v>
      </c>
      <c r="H130" s="39"/>
      <c r="I130" s="309">
        <v>0</v>
      </c>
      <c r="J130" s="39">
        <f t="shared" si="3"/>
        <v>0</v>
      </c>
      <c r="K130" s="309" t="e">
        <f>#REF!/1.4</f>
        <v>#REF!</v>
      </c>
      <c r="L130" s="230" t="e">
        <f t="shared" si="6"/>
        <v>#REF!</v>
      </c>
      <c r="M130" s="42" t="s">
        <v>155</v>
      </c>
      <c r="N130" s="140"/>
      <c r="O130" s="513"/>
      <c r="P130" s="497">
        <v>0</v>
      </c>
    </row>
    <row r="131" spans="1:219" s="21" customFormat="1" ht="26.25" hidden="1" customHeight="1" x14ac:dyDescent="0.25">
      <c r="B131" s="762">
        <v>47</v>
      </c>
      <c r="C131" s="701" t="s">
        <v>18</v>
      </c>
      <c r="D131" s="702" t="s">
        <v>142</v>
      </c>
      <c r="E131" s="767" t="s">
        <v>515</v>
      </c>
      <c r="F131" s="769" t="s">
        <v>585</v>
      </c>
      <c r="G131" s="770" t="s">
        <v>0</v>
      </c>
      <c r="H131" s="572">
        <v>70000</v>
      </c>
      <c r="I131" s="309">
        <v>2100</v>
      </c>
      <c r="J131" s="39">
        <f t="shared" si="3"/>
        <v>160000</v>
      </c>
      <c r="K131" s="309" t="e">
        <f>#REF!/1.4</f>
        <v>#REF!</v>
      </c>
      <c r="L131" s="230" t="e">
        <f t="shared" si="6"/>
        <v>#REF!</v>
      </c>
      <c r="M131" s="271"/>
      <c r="N131" s="565">
        <v>230000</v>
      </c>
      <c r="O131" s="758"/>
      <c r="P131" s="717">
        <v>0</v>
      </c>
    </row>
    <row r="132" spans="1:219" s="3" customFormat="1" ht="26.25" customHeight="1" x14ac:dyDescent="0.25">
      <c r="B132" s="706">
        <v>41</v>
      </c>
      <c r="C132" s="6" t="s">
        <v>18</v>
      </c>
      <c r="D132" s="23" t="s">
        <v>142</v>
      </c>
      <c r="E132" s="104" t="s">
        <v>134</v>
      </c>
      <c r="F132" s="526" t="s">
        <v>236</v>
      </c>
      <c r="G132" s="707" t="s">
        <v>0</v>
      </c>
      <c r="H132" s="572">
        <v>180</v>
      </c>
      <c r="I132" s="360">
        <v>143.65</v>
      </c>
      <c r="J132" s="39">
        <f t="shared" si="3"/>
        <v>0</v>
      </c>
      <c r="K132" s="309">
        <v>0.81</v>
      </c>
      <c r="L132" s="230">
        <f t="shared" si="6"/>
        <v>0</v>
      </c>
      <c r="M132" s="89"/>
      <c r="N132" s="565"/>
      <c r="O132" s="718">
        <v>180</v>
      </c>
      <c r="P132" s="719">
        <v>143.65</v>
      </c>
    </row>
    <row r="133" spans="1:219" ht="26.25" customHeight="1" x14ac:dyDescent="0.25">
      <c r="B133" s="706">
        <v>42</v>
      </c>
      <c r="C133" s="6" t="s">
        <v>18</v>
      </c>
      <c r="D133" s="23" t="s">
        <v>142</v>
      </c>
      <c r="E133" s="104" t="s">
        <v>429</v>
      </c>
      <c r="F133" s="208" t="s">
        <v>68</v>
      </c>
      <c r="G133" s="709" t="s">
        <v>0</v>
      </c>
      <c r="H133" s="572">
        <v>115</v>
      </c>
      <c r="I133" s="360">
        <v>23.95</v>
      </c>
      <c r="J133" s="39">
        <f t="shared" si="3"/>
        <v>0</v>
      </c>
      <c r="K133" s="309">
        <v>0.21</v>
      </c>
      <c r="L133" s="230">
        <f t="shared" si="6"/>
        <v>0</v>
      </c>
      <c r="M133" s="92"/>
      <c r="N133" s="565"/>
      <c r="O133" s="718">
        <v>115</v>
      </c>
      <c r="P133" s="719">
        <v>23.95</v>
      </c>
    </row>
    <row r="134" spans="1:219" s="4" customFormat="1" ht="26.25" customHeight="1" x14ac:dyDescent="0.25">
      <c r="A134" s="10"/>
      <c r="B134" s="706">
        <v>43</v>
      </c>
      <c r="C134" s="6" t="s">
        <v>18</v>
      </c>
      <c r="D134" s="23" t="s">
        <v>142</v>
      </c>
      <c r="E134" s="87" t="s">
        <v>338</v>
      </c>
      <c r="F134" s="526" t="s">
        <v>534</v>
      </c>
      <c r="G134" s="753" t="s">
        <v>0</v>
      </c>
      <c r="H134" s="572">
        <v>180</v>
      </c>
      <c r="I134" s="360">
        <v>307.8</v>
      </c>
      <c r="J134" s="39">
        <f t="shared" ref="J134:J197" si="7">N134+O134-H134</f>
        <v>0</v>
      </c>
      <c r="K134" s="309" t="e">
        <f>#REF!/1.4</f>
        <v>#REF!</v>
      </c>
      <c r="L134" s="230" t="e">
        <f t="shared" si="6"/>
        <v>#REF!</v>
      </c>
      <c r="M134" s="205"/>
      <c r="N134" s="565"/>
      <c r="O134" s="718">
        <v>180</v>
      </c>
      <c r="P134" s="719">
        <v>307.8</v>
      </c>
    </row>
    <row r="135" spans="1:219" s="4" customFormat="1" ht="26.25" customHeight="1" thickBot="1" x14ac:dyDescent="0.3">
      <c r="A135" s="10"/>
      <c r="B135" s="706">
        <v>44</v>
      </c>
      <c r="C135" s="6" t="s">
        <v>18</v>
      </c>
      <c r="D135" s="23" t="s">
        <v>142</v>
      </c>
      <c r="E135" s="87" t="s">
        <v>450</v>
      </c>
      <c r="F135" s="526" t="s">
        <v>457</v>
      </c>
      <c r="G135" s="753" t="s">
        <v>0</v>
      </c>
      <c r="H135" s="572">
        <v>600</v>
      </c>
      <c r="I135" s="360">
        <v>66</v>
      </c>
      <c r="J135" s="39">
        <f t="shared" si="7"/>
        <v>0</v>
      </c>
      <c r="K135" s="309" t="e">
        <f>#REF!/1.4</f>
        <v>#REF!</v>
      </c>
      <c r="L135" s="230" t="e">
        <f t="shared" si="6"/>
        <v>#REF!</v>
      </c>
      <c r="M135" s="42"/>
      <c r="N135" s="565"/>
      <c r="O135" s="718">
        <v>600</v>
      </c>
      <c r="P135" s="719">
        <v>66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</row>
    <row r="136" spans="1:219" s="4" customFormat="1" ht="26.25" hidden="1" customHeight="1" thickBot="1" x14ac:dyDescent="0.3">
      <c r="A136" s="10"/>
      <c r="B136" s="733">
        <v>52</v>
      </c>
      <c r="C136" s="711" t="s">
        <v>18</v>
      </c>
      <c r="D136" s="712" t="s">
        <v>142</v>
      </c>
      <c r="E136" s="771" t="s">
        <v>818</v>
      </c>
      <c r="F136" s="772" t="s">
        <v>822</v>
      </c>
      <c r="G136" s="773" t="s">
        <v>0</v>
      </c>
      <c r="H136" s="572"/>
      <c r="I136" s="309">
        <v>0</v>
      </c>
      <c r="J136" s="39">
        <f t="shared" si="7"/>
        <v>200</v>
      </c>
      <c r="K136" s="309" t="e">
        <f>#REF!/1.4</f>
        <v>#REF!</v>
      </c>
      <c r="L136" s="230" t="e">
        <f t="shared" si="6"/>
        <v>#REF!</v>
      </c>
      <c r="M136" s="89"/>
      <c r="N136" s="565">
        <v>200</v>
      </c>
      <c r="O136" s="755"/>
      <c r="P136" s="756">
        <v>0</v>
      </c>
    </row>
    <row r="137" spans="1:219" ht="26.25" hidden="1" customHeight="1" x14ac:dyDescent="0.25">
      <c r="B137" s="483"/>
      <c r="C137" s="484" t="s">
        <v>18</v>
      </c>
      <c r="D137" s="485" t="s">
        <v>142</v>
      </c>
      <c r="E137" s="664" t="s">
        <v>114</v>
      </c>
      <c r="F137" s="665" t="s">
        <v>117</v>
      </c>
      <c r="G137" s="488" t="s">
        <v>0</v>
      </c>
      <c r="H137" s="39"/>
      <c r="I137" s="309">
        <v>0</v>
      </c>
      <c r="J137" s="39">
        <f t="shared" si="7"/>
        <v>0</v>
      </c>
      <c r="K137" s="309" t="e">
        <f>#REF!/1.4</f>
        <v>#REF!</v>
      </c>
      <c r="L137" s="230" t="e">
        <f t="shared" si="6"/>
        <v>#REF!</v>
      </c>
      <c r="M137" s="82"/>
      <c r="N137" s="140"/>
      <c r="O137" s="489"/>
      <c r="P137" s="490">
        <v>0</v>
      </c>
    </row>
    <row r="138" spans="1:219" ht="26.25" hidden="1" customHeight="1" x14ac:dyDescent="0.25">
      <c r="B138" s="11"/>
      <c r="C138" s="6" t="s">
        <v>18</v>
      </c>
      <c r="D138" s="23" t="s">
        <v>142</v>
      </c>
      <c r="E138" s="107" t="s">
        <v>173</v>
      </c>
      <c r="F138" s="208" t="s">
        <v>118</v>
      </c>
      <c r="G138" s="48" t="s">
        <v>0</v>
      </c>
      <c r="H138" s="39"/>
      <c r="I138" s="309">
        <v>0</v>
      </c>
      <c r="J138" s="39">
        <f t="shared" si="7"/>
        <v>0</v>
      </c>
      <c r="K138" s="309" t="e">
        <f>#REF!/1.4</f>
        <v>#REF!</v>
      </c>
      <c r="L138" s="230" t="e">
        <f t="shared" si="6"/>
        <v>#REF!</v>
      </c>
      <c r="M138" s="204"/>
      <c r="N138" s="140"/>
      <c r="O138" s="39"/>
      <c r="P138" s="309">
        <v>0</v>
      </c>
    </row>
    <row r="139" spans="1:219" s="4" customFormat="1" ht="26.25" hidden="1" customHeight="1" x14ac:dyDescent="0.25">
      <c r="A139" s="10"/>
      <c r="B139" s="583"/>
      <c r="C139" s="516" t="s">
        <v>18</v>
      </c>
      <c r="D139" s="517" t="s">
        <v>142</v>
      </c>
      <c r="E139" s="600" t="s">
        <v>532</v>
      </c>
      <c r="F139" s="612">
        <v>1329</v>
      </c>
      <c r="G139" s="591" t="s">
        <v>0</v>
      </c>
      <c r="H139" s="39"/>
      <c r="I139" s="360">
        <v>0</v>
      </c>
      <c r="J139" s="39">
        <f t="shared" si="7"/>
        <v>0</v>
      </c>
      <c r="K139" s="309" t="e">
        <f>#REF!/1.4</f>
        <v>#REF!</v>
      </c>
      <c r="L139" s="230" t="e">
        <f t="shared" si="6"/>
        <v>#REF!</v>
      </c>
      <c r="M139" s="205" t="s">
        <v>536</v>
      </c>
      <c r="N139" s="140"/>
      <c r="O139" s="513"/>
      <c r="P139" s="497">
        <v>0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</row>
    <row r="140" spans="1:219" ht="26.25" customHeight="1" x14ac:dyDescent="0.25">
      <c r="B140" s="700">
        <v>45</v>
      </c>
      <c r="C140" s="701" t="s">
        <v>18</v>
      </c>
      <c r="D140" s="702" t="s">
        <v>142</v>
      </c>
      <c r="E140" s="774" t="s">
        <v>122</v>
      </c>
      <c r="F140" s="704" t="s">
        <v>125</v>
      </c>
      <c r="G140" s="732" t="s">
        <v>0</v>
      </c>
      <c r="H140" s="572">
        <v>1300</v>
      </c>
      <c r="I140" s="360">
        <v>149.76</v>
      </c>
      <c r="J140" s="39">
        <f t="shared" si="7"/>
        <v>0</v>
      </c>
      <c r="K140" s="309">
        <v>0.12</v>
      </c>
      <c r="L140" s="230">
        <f t="shared" si="6"/>
        <v>0</v>
      </c>
      <c r="M140" s="92"/>
      <c r="N140" s="565"/>
      <c r="O140" s="716">
        <v>1300</v>
      </c>
      <c r="P140" s="717">
        <v>149.76</v>
      </c>
    </row>
    <row r="141" spans="1:219" ht="32.25" customHeight="1" x14ac:dyDescent="0.25">
      <c r="B141" s="706">
        <v>46</v>
      </c>
      <c r="C141" s="6" t="s">
        <v>18</v>
      </c>
      <c r="D141" s="23" t="s">
        <v>142</v>
      </c>
      <c r="E141" s="106" t="s">
        <v>248</v>
      </c>
      <c r="F141" s="526" t="s">
        <v>235</v>
      </c>
      <c r="G141" s="775"/>
      <c r="H141" s="572">
        <v>16000</v>
      </c>
      <c r="I141" s="360">
        <v>640</v>
      </c>
      <c r="J141" s="39">
        <f t="shared" si="7"/>
        <v>0</v>
      </c>
      <c r="K141" s="309" t="e">
        <f>#REF!/1.4</f>
        <v>#REF!</v>
      </c>
      <c r="L141" s="230" t="e">
        <f t="shared" si="6"/>
        <v>#REF!</v>
      </c>
      <c r="M141" s="460"/>
      <c r="N141" s="565"/>
      <c r="O141" s="718">
        <v>16000</v>
      </c>
      <c r="P141" s="719">
        <v>640</v>
      </c>
    </row>
    <row r="142" spans="1:219" ht="26.25" customHeight="1" x14ac:dyDescent="0.25">
      <c r="B142" s="706">
        <v>47</v>
      </c>
      <c r="C142" s="6" t="s">
        <v>18</v>
      </c>
      <c r="D142" s="23" t="s">
        <v>142</v>
      </c>
      <c r="E142" s="104" t="s">
        <v>612</v>
      </c>
      <c r="F142" s="208" t="s">
        <v>174</v>
      </c>
      <c r="G142" s="776" t="s">
        <v>0</v>
      </c>
      <c r="H142" s="572">
        <v>4000</v>
      </c>
      <c r="I142" s="360">
        <v>160</v>
      </c>
      <c r="J142" s="39">
        <f t="shared" si="7"/>
        <v>0</v>
      </c>
      <c r="K142" s="309" t="e">
        <f>#REF!/1.4</f>
        <v>#REF!</v>
      </c>
      <c r="L142" s="230" t="e">
        <f t="shared" si="6"/>
        <v>#REF!</v>
      </c>
      <c r="M142" s="42"/>
      <c r="N142" s="565">
        <v>50</v>
      </c>
      <c r="O142" s="718">
        <v>3950</v>
      </c>
      <c r="P142" s="719">
        <v>158</v>
      </c>
    </row>
    <row r="143" spans="1:219" ht="26.25" customHeight="1" x14ac:dyDescent="0.25">
      <c r="B143" s="706">
        <v>48</v>
      </c>
      <c r="C143" s="6" t="s">
        <v>18</v>
      </c>
      <c r="D143" s="23" t="s">
        <v>142</v>
      </c>
      <c r="E143" s="104" t="s">
        <v>153</v>
      </c>
      <c r="F143" s="208" t="s">
        <v>175</v>
      </c>
      <c r="G143" s="709" t="s">
        <v>0</v>
      </c>
      <c r="H143" s="572">
        <v>1640</v>
      </c>
      <c r="I143" s="360">
        <v>8.36</v>
      </c>
      <c r="J143" s="39">
        <f t="shared" si="7"/>
        <v>0</v>
      </c>
      <c r="K143" s="309">
        <v>0.01</v>
      </c>
      <c r="L143" s="230">
        <f t="shared" si="6"/>
        <v>0</v>
      </c>
      <c r="M143" s="42"/>
      <c r="N143" s="565"/>
      <c r="O143" s="718">
        <v>1640</v>
      </c>
      <c r="P143" s="719">
        <v>8.36</v>
      </c>
    </row>
    <row r="144" spans="1:219" ht="26.25" customHeight="1" x14ac:dyDescent="0.25">
      <c r="B144" s="706">
        <v>49</v>
      </c>
      <c r="C144" s="6" t="s">
        <v>18</v>
      </c>
      <c r="D144" s="23" t="s">
        <v>142</v>
      </c>
      <c r="E144" s="104" t="s">
        <v>32</v>
      </c>
      <c r="F144" s="208" t="s">
        <v>53</v>
      </c>
      <c r="G144" s="709" t="s">
        <v>0</v>
      </c>
      <c r="H144" s="572">
        <v>5000</v>
      </c>
      <c r="I144" s="360">
        <v>43</v>
      </c>
      <c r="J144" s="39">
        <f t="shared" si="7"/>
        <v>0</v>
      </c>
      <c r="K144" s="309">
        <v>0.01</v>
      </c>
      <c r="L144" s="230">
        <f t="shared" si="6"/>
        <v>0</v>
      </c>
      <c r="M144" s="89"/>
      <c r="N144" s="565"/>
      <c r="O144" s="718">
        <v>5000</v>
      </c>
      <c r="P144" s="719">
        <v>43</v>
      </c>
    </row>
    <row r="145" spans="1:52" ht="26.25" customHeight="1" x14ac:dyDescent="0.25">
      <c r="B145" s="706">
        <v>50</v>
      </c>
      <c r="C145" s="6" t="s">
        <v>18</v>
      </c>
      <c r="D145" s="23" t="s">
        <v>142</v>
      </c>
      <c r="E145" s="105" t="s">
        <v>86</v>
      </c>
      <c r="F145" s="392">
        <v>503</v>
      </c>
      <c r="G145" s="709" t="s">
        <v>0</v>
      </c>
      <c r="H145" s="572">
        <v>2200</v>
      </c>
      <c r="I145" s="360">
        <v>277.2</v>
      </c>
      <c r="J145" s="39">
        <f t="shared" si="7"/>
        <v>0</v>
      </c>
      <c r="K145" s="309">
        <v>0.13</v>
      </c>
      <c r="L145" s="230">
        <f t="shared" si="6"/>
        <v>0</v>
      </c>
      <c r="M145" s="42"/>
      <c r="N145" s="565"/>
      <c r="O145" s="718">
        <v>2200</v>
      </c>
      <c r="P145" s="719">
        <v>277.2</v>
      </c>
    </row>
    <row r="146" spans="1:52" ht="26.25" customHeight="1" x14ac:dyDescent="0.25">
      <c r="B146" s="706">
        <v>51</v>
      </c>
      <c r="C146" s="6" t="s">
        <v>18</v>
      </c>
      <c r="D146" s="23" t="s">
        <v>142</v>
      </c>
      <c r="E146" s="86" t="s">
        <v>83</v>
      </c>
      <c r="F146" s="392" t="s">
        <v>52</v>
      </c>
      <c r="G146" s="709" t="s">
        <v>0</v>
      </c>
      <c r="H146" s="572">
        <v>1500</v>
      </c>
      <c r="I146" s="360">
        <v>9255</v>
      </c>
      <c r="J146" s="39">
        <f t="shared" si="7"/>
        <v>345</v>
      </c>
      <c r="K146" s="309" t="e">
        <f>#REF!/1.4</f>
        <v>#REF!</v>
      </c>
      <c r="L146" s="230" t="e">
        <f t="shared" si="6"/>
        <v>#REF!</v>
      </c>
      <c r="M146" s="196"/>
      <c r="N146" s="565">
        <v>345</v>
      </c>
      <c r="O146" s="718">
        <v>1500</v>
      </c>
      <c r="P146" s="719">
        <v>9255</v>
      </c>
    </row>
    <row r="147" spans="1:52" s="4" customFormat="1" ht="26.25" customHeight="1" thickBot="1" x14ac:dyDescent="0.3">
      <c r="A147" s="10"/>
      <c r="B147" s="733">
        <v>52</v>
      </c>
      <c r="C147" s="711" t="s">
        <v>18</v>
      </c>
      <c r="D147" s="712" t="s">
        <v>142</v>
      </c>
      <c r="E147" s="765" t="s">
        <v>225</v>
      </c>
      <c r="F147" s="768">
        <v>1177</v>
      </c>
      <c r="G147" s="743" t="s">
        <v>0</v>
      </c>
      <c r="H147" s="572">
        <v>1000</v>
      </c>
      <c r="I147" s="360">
        <v>90</v>
      </c>
      <c r="J147" s="39">
        <f t="shared" si="7"/>
        <v>0</v>
      </c>
      <c r="K147" s="309">
        <v>0.09</v>
      </c>
      <c r="L147" s="230">
        <f t="shared" si="6"/>
        <v>0</v>
      </c>
      <c r="M147" s="42"/>
      <c r="N147" s="565"/>
      <c r="O147" s="720">
        <v>1000</v>
      </c>
      <c r="P147" s="721">
        <v>90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</row>
    <row r="148" spans="1:52" s="4" customFormat="1" ht="26.25" hidden="1" customHeight="1" x14ac:dyDescent="0.25">
      <c r="A148" s="10"/>
      <c r="B148" s="483"/>
      <c r="C148" s="484" t="s">
        <v>18</v>
      </c>
      <c r="D148" s="485" t="s">
        <v>142</v>
      </c>
      <c r="E148" s="666" t="s">
        <v>574</v>
      </c>
      <c r="F148" s="667">
        <v>1372</v>
      </c>
      <c r="G148" s="632" t="s">
        <v>0</v>
      </c>
      <c r="H148" s="39"/>
      <c r="I148" s="360">
        <v>0</v>
      </c>
      <c r="J148" s="39">
        <f t="shared" si="7"/>
        <v>0</v>
      </c>
      <c r="K148" s="309" t="e">
        <f>#REF!/1.4</f>
        <v>#REF!</v>
      </c>
      <c r="L148" s="230"/>
      <c r="M148" s="42"/>
      <c r="N148" s="140"/>
      <c r="O148" s="489"/>
      <c r="P148" s="490">
        <v>0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</row>
    <row r="149" spans="1:52" s="4" customFormat="1" ht="26.25" hidden="1" customHeight="1" x14ac:dyDescent="0.25">
      <c r="A149" s="10"/>
      <c r="B149" s="11"/>
      <c r="C149" s="6" t="s">
        <v>18</v>
      </c>
      <c r="D149" s="23" t="s">
        <v>142</v>
      </c>
      <c r="E149" s="86" t="s">
        <v>575</v>
      </c>
      <c r="F149" s="384">
        <v>1373</v>
      </c>
      <c r="G149" s="12" t="s">
        <v>0</v>
      </c>
      <c r="H149" s="39"/>
      <c r="I149" s="360">
        <v>0</v>
      </c>
      <c r="J149" s="39">
        <f t="shared" si="7"/>
        <v>0</v>
      </c>
      <c r="K149" s="309" t="e">
        <f>#REF!/1.4</f>
        <v>#REF!</v>
      </c>
      <c r="L149" s="230"/>
      <c r="M149" s="42"/>
      <c r="N149" s="140"/>
      <c r="O149" s="39"/>
      <c r="P149" s="309">
        <v>0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</row>
    <row r="150" spans="1:52" s="4" customFormat="1" ht="26.25" hidden="1" customHeight="1" x14ac:dyDescent="0.25">
      <c r="A150" s="10"/>
      <c r="B150" s="11"/>
      <c r="C150" s="6" t="s">
        <v>18</v>
      </c>
      <c r="D150" s="23" t="s">
        <v>142</v>
      </c>
      <c r="E150" s="86" t="s">
        <v>576</v>
      </c>
      <c r="F150" s="384">
        <v>1374</v>
      </c>
      <c r="G150" s="12" t="s">
        <v>0</v>
      </c>
      <c r="H150" s="39"/>
      <c r="I150" s="360">
        <v>0</v>
      </c>
      <c r="J150" s="39">
        <f t="shared" si="7"/>
        <v>0</v>
      </c>
      <c r="K150" s="309" t="e">
        <f>#REF!/1.4</f>
        <v>#REF!</v>
      </c>
      <c r="L150" s="230"/>
      <c r="M150" s="42"/>
      <c r="N150" s="140"/>
      <c r="O150" s="39"/>
      <c r="P150" s="309">
        <v>0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</row>
    <row r="151" spans="1:52" s="4" customFormat="1" ht="26.25" hidden="1" customHeight="1" x14ac:dyDescent="0.25">
      <c r="A151" s="10"/>
      <c r="B151" s="11"/>
      <c r="C151" s="6" t="s">
        <v>18</v>
      </c>
      <c r="D151" s="23" t="s">
        <v>142</v>
      </c>
      <c r="E151" s="100" t="s">
        <v>570</v>
      </c>
      <c r="F151" s="386">
        <v>1309</v>
      </c>
      <c r="G151" s="12" t="s">
        <v>0</v>
      </c>
      <c r="H151" s="39"/>
      <c r="I151" s="360">
        <v>0</v>
      </c>
      <c r="J151" s="39">
        <f t="shared" si="7"/>
        <v>0</v>
      </c>
      <c r="K151" s="309" t="e">
        <f>#REF!/1.4</f>
        <v>#REF!</v>
      </c>
      <c r="L151" s="230"/>
      <c r="M151" s="42"/>
      <c r="N151" s="413"/>
      <c r="O151" s="39"/>
      <c r="P151" s="309">
        <v>0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</row>
    <row r="152" spans="1:52" s="4" customFormat="1" ht="38.25" hidden="1" customHeight="1" x14ac:dyDescent="0.25">
      <c r="A152" s="10"/>
      <c r="B152" s="11"/>
      <c r="C152" s="6" t="s">
        <v>18</v>
      </c>
      <c r="D152" s="23" t="s">
        <v>142</v>
      </c>
      <c r="E152" s="100" t="s">
        <v>573</v>
      </c>
      <c r="F152" s="386">
        <v>1375</v>
      </c>
      <c r="G152" s="12" t="s">
        <v>0</v>
      </c>
      <c r="H152" s="39"/>
      <c r="I152" s="360">
        <v>0</v>
      </c>
      <c r="J152" s="39">
        <f t="shared" si="7"/>
        <v>0</v>
      </c>
      <c r="K152" s="309" t="e">
        <f>#REF!/1.4</f>
        <v>#REF!</v>
      </c>
      <c r="L152" s="230"/>
      <c r="M152" s="42"/>
      <c r="N152" s="413"/>
      <c r="O152" s="39"/>
      <c r="P152" s="309">
        <v>0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</row>
    <row r="153" spans="1:52" s="4" customFormat="1" ht="43.5" hidden="1" customHeight="1" x14ac:dyDescent="0.25">
      <c r="A153" s="10"/>
      <c r="B153" s="11"/>
      <c r="C153" s="6" t="s">
        <v>18</v>
      </c>
      <c r="D153" s="23" t="s">
        <v>142</v>
      </c>
      <c r="E153" s="100" t="s">
        <v>571</v>
      </c>
      <c r="F153" s="386">
        <v>1310</v>
      </c>
      <c r="G153" s="12" t="s">
        <v>0</v>
      </c>
      <c r="H153" s="39"/>
      <c r="I153" s="360">
        <v>0</v>
      </c>
      <c r="J153" s="39">
        <f t="shared" si="7"/>
        <v>0</v>
      </c>
      <c r="K153" s="309" t="e">
        <f>#REF!/1.4</f>
        <v>#REF!</v>
      </c>
      <c r="L153" s="230"/>
      <c r="M153" s="42"/>
      <c r="N153" s="413"/>
      <c r="O153" s="39"/>
      <c r="P153" s="309">
        <v>0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</row>
    <row r="154" spans="1:52" s="4" customFormat="1" ht="26.25" hidden="1" customHeight="1" x14ac:dyDescent="0.25">
      <c r="A154" s="10"/>
      <c r="B154" s="11"/>
      <c r="C154" s="6" t="s">
        <v>18</v>
      </c>
      <c r="D154" s="23" t="s">
        <v>142</v>
      </c>
      <c r="E154" s="100" t="s">
        <v>577</v>
      </c>
      <c r="F154" s="386">
        <v>1311</v>
      </c>
      <c r="G154" s="12" t="s">
        <v>0</v>
      </c>
      <c r="H154" s="39"/>
      <c r="I154" s="360">
        <v>0</v>
      </c>
      <c r="J154" s="39">
        <f t="shared" si="7"/>
        <v>0</v>
      </c>
      <c r="K154" s="309" t="e">
        <f>#REF!/1.4</f>
        <v>#REF!</v>
      </c>
      <c r="L154" s="230"/>
      <c r="M154" s="42"/>
      <c r="N154" s="413"/>
      <c r="O154" s="39"/>
      <c r="P154" s="309">
        <v>0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</row>
    <row r="155" spans="1:52" s="4" customFormat="1" ht="26.25" hidden="1" customHeight="1" x14ac:dyDescent="0.25">
      <c r="A155" s="10"/>
      <c r="B155" s="11"/>
      <c r="C155" s="6" t="s">
        <v>18</v>
      </c>
      <c r="D155" s="23" t="s">
        <v>142</v>
      </c>
      <c r="E155" s="100" t="s">
        <v>578</v>
      </c>
      <c r="F155" s="386">
        <v>1312</v>
      </c>
      <c r="G155" s="12" t="s">
        <v>0</v>
      </c>
      <c r="H155" s="39"/>
      <c r="I155" s="360">
        <v>0</v>
      </c>
      <c r="J155" s="39">
        <f t="shared" si="7"/>
        <v>0</v>
      </c>
      <c r="K155" s="309" t="e">
        <f>#REF!/1.4</f>
        <v>#REF!</v>
      </c>
      <c r="L155" s="230"/>
      <c r="M155" s="42"/>
      <c r="N155" s="413"/>
      <c r="O155" s="39"/>
      <c r="P155" s="309">
        <v>0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</row>
    <row r="156" spans="1:52" s="4" customFormat="1" ht="26.25" hidden="1" customHeight="1" x14ac:dyDescent="0.25">
      <c r="A156" s="10"/>
      <c r="B156" s="11"/>
      <c r="C156" s="6" t="s">
        <v>18</v>
      </c>
      <c r="D156" s="23" t="s">
        <v>142</v>
      </c>
      <c r="E156" s="100" t="s">
        <v>582</v>
      </c>
      <c r="F156" s="386">
        <v>1376</v>
      </c>
      <c r="G156" s="12" t="s">
        <v>0</v>
      </c>
      <c r="H156" s="39"/>
      <c r="I156" s="360">
        <v>0</v>
      </c>
      <c r="J156" s="39">
        <f t="shared" si="7"/>
        <v>0</v>
      </c>
      <c r="K156" s="309" t="e">
        <f>#REF!/1.4</f>
        <v>#REF!</v>
      </c>
      <c r="L156" s="230"/>
      <c r="M156" s="42"/>
      <c r="N156" s="413"/>
      <c r="O156" s="39"/>
      <c r="P156" s="309">
        <v>0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</row>
    <row r="157" spans="1:52" s="4" customFormat="1" ht="26.25" hidden="1" customHeight="1" x14ac:dyDescent="0.25">
      <c r="A157" s="10"/>
      <c r="B157" s="11"/>
      <c r="C157" s="6" t="s">
        <v>18</v>
      </c>
      <c r="D157" s="23" t="s">
        <v>142</v>
      </c>
      <c r="E157" s="100" t="s">
        <v>572</v>
      </c>
      <c r="F157" s="386">
        <v>1314</v>
      </c>
      <c r="G157" s="12" t="s">
        <v>0</v>
      </c>
      <c r="H157" s="39"/>
      <c r="I157" s="360">
        <v>0</v>
      </c>
      <c r="J157" s="39">
        <f t="shared" si="7"/>
        <v>0</v>
      </c>
      <c r="K157" s="309" t="e">
        <f>#REF!/1.4</f>
        <v>#REF!</v>
      </c>
      <c r="L157" s="230"/>
      <c r="M157" s="42"/>
      <c r="N157" s="413"/>
      <c r="O157" s="39"/>
      <c r="P157" s="309">
        <v>0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</row>
    <row r="158" spans="1:52" s="4" customFormat="1" ht="26.25" hidden="1" customHeight="1" x14ac:dyDescent="0.25">
      <c r="A158" s="10"/>
      <c r="B158" s="11"/>
      <c r="C158" s="6" t="s">
        <v>18</v>
      </c>
      <c r="D158" s="23" t="s">
        <v>142</v>
      </c>
      <c r="E158" s="463" t="s">
        <v>617</v>
      </c>
      <c r="F158" s="386">
        <v>1313</v>
      </c>
      <c r="G158" s="12" t="s">
        <v>0</v>
      </c>
      <c r="H158" s="39"/>
      <c r="I158" s="360">
        <v>0</v>
      </c>
      <c r="J158" s="39">
        <f t="shared" si="7"/>
        <v>0</v>
      </c>
      <c r="K158" s="309" t="e">
        <f>#REF!/1.4</f>
        <v>#REF!</v>
      </c>
      <c r="L158" s="230"/>
      <c r="M158" s="42"/>
      <c r="N158" s="413"/>
      <c r="O158" s="39"/>
      <c r="P158" s="309">
        <v>0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</row>
    <row r="159" spans="1:52" s="4" customFormat="1" ht="26.25" hidden="1" customHeight="1" x14ac:dyDescent="0.25">
      <c r="A159" s="10"/>
      <c r="B159" s="11"/>
      <c r="C159" s="6" t="s">
        <v>18</v>
      </c>
      <c r="D159" s="23" t="s">
        <v>142</v>
      </c>
      <c r="E159" s="100" t="s">
        <v>581</v>
      </c>
      <c r="F159" s="386">
        <v>1378</v>
      </c>
      <c r="G159" s="12" t="s">
        <v>0</v>
      </c>
      <c r="H159" s="39"/>
      <c r="I159" s="360">
        <v>0</v>
      </c>
      <c r="J159" s="39">
        <f t="shared" si="7"/>
        <v>0</v>
      </c>
      <c r="K159" s="309" t="e">
        <f>#REF!/1.4</f>
        <v>#REF!</v>
      </c>
      <c r="L159" s="230"/>
      <c r="M159" s="42"/>
      <c r="N159" s="413"/>
      <c r="O159" s="39"/>
      <c r="P159" s="309">
        <v>0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</row>
    <row r="160" spans="1:52" s="4" customFormat="1" ht="26.25" hidden="1" customHeight="1" x14ac:dyDescent="0.25">
      <c r="A160" s="10"/>
      <c r="B160" s="11"/>
      <c r="C160" s="6" t="s">
        <v>18</v>
      </c>
      <c r="D160" s="23" t="s">
        <v>142</v>
      </c>
      <c r="E160" s="100" t="s">
        <v>579</v>
      </c>
      <c r="F160" s="386">
        <v>1315</v>
      </c>
      <c r="G160" s="12" t="s">
        <v>0</v>
      </c>
      <c r="H160" s="39"/>
      <c r="I160" s="360">
        <v>0</v>
      </c>
      <c r="J160" s="39">
        <f t="shared" si="7"/>
        <v>0</v>
      </c>
      <c r="K160" s="309" t="e">
        <f>#REF!/1.4</f>
        <v>#REF!</v>
      </c>
      <c r="L160" s="230"/>
      <c r="M160" s="42"/>
      <c r="N160" s="413"/>
      <c r="O160" s="39"/>
      <c r="P160" s="309">
        <v>0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</row>
    <row r="161" spans="1:16" ht="26.25" hidden="1" customHeight="1" x14ac:dyDescent="0.25">
      <c r="B161" s="11"/>
      <c r="C161" s="6" t="s">
        <v>18</v>
      </c>
      <c r="D161" s="23" t="s">
        <v>142</v>
      </c>
      <c r="E161" s="100" t="s">
        <v>580</v>
      </c>
      <c r="F161" s="393" t="s">
        <v>624</v>
      </c>
      <c r="G161" s="346" t="s">
        <v>0</v>
      </c>
      <c r="H161" s="39"/>
      <c r="I161" s="360">
        <v>0</v>
      </c>
      <c r="J161" s="39">
        <f t="shared" si="7"/>
        <v>0</v>
      </c>
      <c r="K161" s="309" t="e">
        <f>#REF!/1.4</f>
        <v>#REF!</v>
      </c>
      <c r="L161" s="230" t="e">
        <f>K161*J458</f>
        <v>#REF!</v>
      </c>
      <c r="M161" s="205"/>
      <c r="N161" s="140"/>
      <c r="O161" s="39"/>
      <c r="P161" s="309">
        <v>0</v>
      </c>
    </row>
    <row r="162" spans="1:16" s="4" customFormat="1" ht="26.25" hidden="1" customHeight="1" x14ac:dyDescent="0.25">
      <c r="A162" s="10"/>
      <c r="B162" s="11"/>
      <c r="C162" s="6" t="s">
        <v>18</v>
      </c>
      <c r="D162" s="23" t="s">
        <v>142</v>
      </c>
      <c r="E162" s="463" t="s">
        <v>666</v>
      </c>
      <c r="F162" s="387" t="s">
        <v>368</v>
      </c>
      <c r="G162" s="12" t="s">
        <v>0</v>
      </c>
      <c r="H162" s="39"/>
      <c r="I162" s="360">
        <v>0</v>
      </c>
      <c r="J162" s="39">
        <f t="shared" si="7"/>
        <v>0</v>
      </c>
      <c r="K162" s="309" t="e">
        <f>#REF!/1.4</f>
        <v>#REF!</v>
      </c>
      <c r="L162" s="230" t="e">
        <f>K162*J459</f>
        <v>#REF!</v>
      </c>
      <c r="M162" s="88"/>
      <c r="N162" s="140"/>
      <c r="O162" s="503"/>
      <c r="P162" s="309">
        <v>0</v>
      </c>
    </row>
    <row r="163" spans="1:16" s="4" customFormat="1" ht="26.25" hidden="1" customHeight="1" x14ac:dyDescent="0.25">
      <c r="A163" s="10"/>
      <c r="B163" s="583"/>
      <c r="C163" s="516" t="s">
        <v>18</v>
      </c>
      <c r="D163" s="517" t="s">
        <v>142</v>
      </c>
      <c r="E163" s="613" t="s">
        <v>667</v>
      </c>
      <c r="F163" s="588" t="s">
        <v>472</v>
      </c>
      <c r="G163" s="546" t="s">
        <v>0</v>
      </c>
      <c r="H163" s="39"/>
      <c r="I163" s="360">
        <v>0</v>
      </c>
      <c r="J163" s="39">
        <f t="shared" si="7"/>
        <v>0</v>
      </c>
      <c r="K163" s="309" t="e">
        <f>#REF!/1.4</f>
        <v>#REF!</v>
      </c>
      <c r="L163" s="230" t="e">
        <f>K163*J460</f>
        <v>#REF!</v>
      </c>
      <c r="M163" s="205"/>
      <c r="N163" s="140"/>
      <c r="O163" s="547"/>
      <c r="P163" s="497">
        <v>0</v>
      </c>
    </row>
    <row r="164" spans="1:16" ht="26.25" hidden="1" customHeight="1" thickBot="1" x14ac:dyDescent="0.3">
      <c r="B164" s="749">
        <v>61</v>
      </c>
      <c r="C164" s="723" t="s">
        <v>129</v>
      </c>
      <c r="D164" s="724" t="s">
        <v>142</v>
      </c>
      <c r="E164" s="777" t="s">
        <v>671</v>
      </c>
      <c r="F164" s="778">
        <v>629</v>
      </c>
      <c r="G164" s="727" t="s">
        <v>0</v>
      </c>
      <c r="H164" s="572"/>
      <c r="I164" s="309">
        <v>0</v>
      </c>
      <c r="J164" s="39">
        <f t="shared" si="7"/>
        <v>170</v>
      </c>
      <c r="K164" s="309" t="e">
        <f>#REF!/1.4</f>
        <v>#REF!</v>
      </c>
      <c r="L164" s="230" t="e">
        <f>K164*J461</f>
        <v>#REF!</v>
      </c>
      <c r="M164" s="146" t="s">
        <v>706</v>
      </c>
      <c r="N164" s="565">
        <v>170</v>
      </c>
      <c r="O164" s="739"/>
      <c r="P164" s="729">
        <v>0</v>
      </c>
    </row>
    <row r="165" spans="1:16" ht="26.25" hidden="1" customHeight="1" x14ac:dyDescent="0.25">
      <c r="B165" s="592"/>
      <c r="C165" s="593" t="s">
        <v>19</v>
      </c>
      <c r="D165" s="594" t="s">
        <v>140</v>
      </c>
      <c r="E165" s="668" t="s">
        <v>160</v>
      </c>
      <c r="F165" s="669"/>
      <c r="G165" s="650" t="s">
        <v>36</v>
      </c>
      <c r="H165" s="39"/>
      <c r="I165" s="309">
        <v>0</v>
      </c>
      <c r="J165" s="39">
        <f t="shared" si="7"/>
        <v>0</v>
      </c>
      <c r="K165" s="309" t="e">
        <f>#REF!/1.4</f>
        <v>#REF!</v>
      </c>
      <c r="L165" s="230" t="e">
        <f>K165*J462</f>
        <v>#REF!</v>
      </c>
      <c r="M165" s="42"/>
      <c r="N165" s="140"/>
      <c r="O165" s="555"/>
      <c r="P165" s="507">
        <v>0</v>
      </c>
    </row>
    <row r="166" spans="1:16" ht="26.25" hidden="1" customHeight="1" x14ac:dyDescent="0.25">
      <c r="B166" s="700">
        <v>62</v>
      </c>
      <c r="C166" s="701" t="s">
        <v>19</v>
      </c>
      <c r="D166" s="702" t="s">
        <v>140</v>
      </c>
      <c r="E166" s="779" t="s">
        <v>815</v>
      </c>
      <c r="F166" s="780" t="s">
        <v>823</v>
      </c>
      <c r="G166" s="781"/>
      <c r="H166" s="572"/>
      <c r="I166" s="360"/>
      <c r="J166" s="39">
        <f t="shared" si="7"/>
        <v>3</v>
      </c>
      <c r="K166" s="309" t="e">
        <f>#REF!/1.4</f>
        <v>#REF!</v>
      </c>
      <c r="L166" s="230"/>
      <c r="M166" s="42"/>
      <c r="N166" s="565">
        <v>3</v>
      </c>
      <c r="O166" s="758"/>
      <c r="P166" s="717"/>
    </row>
    <row r="167" spans="1:16" ht="26.25" hidden="1" customHeight="1" thickBot="1" x14ac:dyDescent="0.3">
      <c r="B167" s="733">
        <v>63</v>
      </c>
      <c r="C167" s="711" t="s">
        <v>19</v>
      </c>
      <c r="D167" s="712" t="s">
        <v>140</v>
      </c>
      <c r="E167" s="782" t="s">
        <v>816</v>
      </c>
      <c r="F167" s="783">
        <v>1487</v>
      </c>
      <c r="G167" s="715" t="s">
        <v>0</v>
      </c>
      <c r="H167" s="572"/>
      <c r="I167" s="360">
        <v>0</v>
      </c>
      <c r="J167" s="39">
        <f t="shared" si="7"/>
        <v>6</v>
      </c>
      <c r="K167" s="309" t="e">
        <f>#REF!/1.4</f>
        <v>#REF!</v>
      </c>
      <c r="L167" s="230" t="e">
        <f t="shared" ref="L167:L185" si="8">K167*J463</f>
        <v>#REF!</v>
      </c>
      <c r="M167" s="92"/>
      <c r="N167" s="565">
        <v>6</v>
      </c>
      <c r="O167" s="755"/>
      <c r="P167" s="721">
        <v>0</v>
      </c>
    </row>
    <row r="168" spans="1:16" ht="26.25" hidden="1" customHeight="1" x14ac:dyDescent="0.25">
      <c r="B168" s="637"/>
      <c r="C168" s="484" t="s">
        <v>19</v>
      </c>
      <c r="D168" s="485" t="s">
        <v>140</v>
      </c>
      <c r="E168" s="638" t="s">
        <v>30</v>
      </c>
      <c r="F168" s="631" t="s">
        <v>224</v>
      </c>
      <c r="G168" s="637" t="s">
        <v>0</v>
      </c>
      <c r="H168" s="39"/>
      <c r="I168" s="309">
        <v>0</v>
      </c>
      <c r="J168" s="39">
        <f t="shared" si="7"/>
        <v>0</v>
      </c>
      <c r="K168" s="309" t="e">
        <f>#REF!/1.4</f>
        <v>#REF!</v>
      </c>
      <c r="L168" s="230" t="e">
        <f t="shared" si="8"/>
        <v>#REF!</v>
      </c>
      <c r="M168" s="42"/>
      <c r="N168" s="140"/>
      <c r="O168" s="489"/>
      <c r="P168" s="490">
        <v>0</v>
      </c>
    </row>
    <row r="169" spans="1:16" ht="26.25" hidden="1" customHeight="1" x14ac:dyDescent="0.25">
      <c r="B169" s="591"/>
      <c r="C169" s="516" t="s">
        <v>19</v>
      </c>
      <c r="D169" s="517" t="s">
        <v>140</v>
      </c>
      <c r="E169" s="610" t="s">
        <v>555</v>
      </c>
      <c r="F169" s="605">
        <v>1347</v>
      </c>
      <c r="G169" s="585" t="s">
        <v>0</v>
      </c>
      <c r="H169" s="39"/>
      <c r="I169" s="360">
        <v>0</v>
      </c>
      <c r="J169" s="39">
        <f t="shared" si="7"/>
        <v>0</v>
      </c>
      <c r="K169" s="309" t="e">
        <f>#REF!/1.4</f>
        <v>#REF!</v>
      </c>
      <c r="L169" s="230" t="e">
        <f t="shared" si="8"/>
        <v>#REF!</v>
      </c>
      <c r="M169" s="89"/>
      <c r="N169" s="140"/>
      <c r="O169" s="513"/>
      <c r="P169" s="497">
        <v>0</v>
      </c>
    </row>
    <row r="170" spans="1:16" ht="26.25" hidden="1" customHeight="1" thickBot="1" x14ac:dyDescent="0.3">
      <c r="B170" s="784">
        <v>64</v>
      </c>
      <c r="C170" s="723" t="s">
        <v>19</v>
      </c>
      <c r="D170" s="724" t="s">
        <v>140</v>
      </c>
      <c r="E170" s="766" t="s">
        <v>23</v>
      </c>
      <c r="F170" s="737" t="s">
        <v>56</v>
      </c>
      <c r="G170" s="738" t="s">
        <v>0</v>
      </c>
      <c r="H170" s="572"/>
      <c r="I170" s="360">
        <v>0</v>
      </c>
      <c r="J170" s="39">
        <f t="shared" si="7"/>
        <v>2000</v>
      </c>
      <c r="K170" s="309" t="e">
        <f>#REF!/1.4</f>
        <v>#REF!</v>
      </c>
      <c r="L170" s="230" t="e">
        <f t="shared" si="8"/>
        <v>#REF!</v>
      </c>
      <c r="M170" s="460"/>
      <c r="N170" s="565">
        <v>2000</v>
      </c>
      <c r="O170" s="739"/>
      <c r="P170" s="729">
        <v>0</v>
      </c>
    </row>
    <row r="171" spans="1:16" ht="26.25" hidden="1" customHeight="1" x14ac:dyDescent="0.25">
      <c r="B171" s="663"/>
      <c r="C171" s="484" t="s">
        <v>19</v>
      </c>
      <c r="D171" s="485" t="s">
        <v>140</v>
      </c>
      <c r="E171" s="664" t="s">
        <v>93</v>
      </c>
      <c r="F171" s="670" t="s">
        <v>306</v>
      </c>
      <c r="G171" s="488" t="s">
        <v>0</v>
      </c>
      <c r="H171" s="39"/>
      <c r="I171" s="309">
        <v>0</v>
      </c>
      <c r="J171" s="39">
        <f t="shared" si="7"/>
        <v>0</v>
      </c>
      <c r="K171" s="309" t="e">
        <f>#REF!/1.4</f>
        <v>#REF!</v>
      </c>
      <c r="L171" s="230" t="e">
        <f t="shared" si="8"/>
        <v>#REF!</v>
      </c>
      <c r="M171" s="89"/>
      <c r="N171" s="140"/>
      <c r="O171" s="489"/>
      <c r="P171" s="490">
        <v>0</v>
      </c>
    </row>
    <row r="172" spans="1:16" ht="26.25" hidden="1" customHeight="1" x14ac:dyDescent="0.25">
      <c r="B172" s="14"/>
      <c r="C172" s="6" t="s">
        <v>19</v>
      </c>
      <c r="D172" s="23" t="s">
        <v>140</v>
      </c>
      <c r="E172" s="107" t="s">
        <v>721</v>
      </c>
      <c r="F172" s="522">
        <v>393</v>
      </c>
      <c r="G172" s="13" t="s">
        <v>0</v>
      </c>
      <c r="H172" s="39"/>
      <c r="I172" s="309">
        <v>0</v>
      </c>
      <c r="J172" s="39">
        <f t="shared" si="7"/>
        <v>0</v>
      </c>
      <c r="K172" s="309" t="e">
        <f>#REF!/1.4</f>
        <v>#REF!</v>
      </c>
      <c r="L172" s="230" t="e">
        <f t="shared" si="8"/>
        <v>#REF!</v>
      </c>
      <c r="M172" s="92"/>
      <c r="N172" s="140"/>
      <c r="O172" s="39"/>
      <c r="P172" s="309">
        <v>0</v>
      </c>
    </row>
    <row r="173" spans="1:16" ht="26.25" hidden="1" customHeight="1" x14ac:dyDescent="0.25">
      <c r="B173" s="11"/>
      <c r="C173" s="6" t="s">
        <v>19</v>
      </c>
      <c r="D173" s="23" t="s">
        <v>140</v>
      </c>
      <c r="E173" s="107" t="s">
        <v>238</v>
      </c>
      <c r="F173" s="390">
        <v>1089</v>
      </c>
      <c r="G173" s="14" t="s">
        <v>0</v>
      </c>
      <c r="H173" s="39"/>
      <c r="I173" s="309">
        <v>0</v>
      </c>
      <c r="J173" s="39">
        <f t="shared" si="7"/>
        <v>0</v>
      </c>
      <c r="K173" s="309" t="e">
        <f>#REF!/1.4</f>
        <v>#REF!</v>
      </c>
      <c r="L173" s="230" t="e">
        <f t="shared" si="8"/>
        <v>#REF!</v>
      </c>
      <c r="M173" s="42"/>
      <c r="N173" s="140"/>
      <c r="O173" s="39"/>
      <c r="P173" s="309">
        <v>0</v>
      </c>
    </row>
    <row r="174" spans="1:16" ht="26.25" hidden="1" customHeight="1" x14ac:dyDescent="0.25">
      <c r="B174" s="591"/>
      <c r="C174" s="516" t="s">
        <v>19</v>
      </c>
      <c r="D174" s="517" t="s">
        <v>140</v>
      </c>
      <c r="E174" s="610" t="s">
        <v>131</v>
      </c>
      <c r="F174" s="605">
        <v>72</v>
      </c>
      <c r="G174" s="591" t="s">
        <v>0</v>
      </c>
      <c r="H174" s="39">
        <v>0</v>
      </c>
      <c r="I174" s="309">
        <v>0</v>
      </c>
      <c r="J174" s="39">
        <f t="shared" si="7"/>
        <v>0</v>
      </c>
      <c r="K174" s="309" t="e">
        <f>#REF!/1.4</f>
        <v>#REF!</v>
      </c>
      <c r="L174" s="230" t="e">
        <f t="shared" si="8"/>
        <v>#REF!</v>
      </c>
      <c r="M174" s="88"/>
      <c r="N174" s="140"/>
      <c r="O174" s="513">
        <v>0</v>
      </c>
      <c r="P174" s="497">
        <v>0</v>
      </c>
    </row>
    <row r="175" spans="1:16" ht="26.25" customHeight="1" x14ac:dyDescent="0.25">
      <c r="B175" s="700">
        <v>53</v>
      </c>
      <c r="C175" s="701" t="s">
        <v>19</v>
      </c>
      <c r="D175" s="702" t="s">
        <v>140</v>
      </c>
      <c r="E175" s="767" t="s">
        <v>545</v>
      </c>
      <c r="F175" s="785">
        <v>1340</v>
      </c>
      <c r="G175" s="732" t="s">
        <v>0</v>
      </c>
      <c r="H175" s="572">
        <v>2400</v>
      </c>
      <c r="I175" s="360">
        <v>1416</v>
      </c>
      <c r="J175" s="39">
        <f t="shared" si="7"/>
        <v>0</v>
      </c>
      <c r="K175" s="309" t="e">
        <f>#REF!/1.4</f>
        <v>#REF!</v>
      </c>
      <c r="L175" s="230" t="e">
        <f t="shared" si="8"/>
        <v>#REF!</v>
      </c>
      <c r="M175" s="291"/>
      <c r="N175" s="565"/>
      <c r="O175" s="716">
        <v>2400</v>
      </c>
      <c r="P175" s="717">
        <v>1416</v>
      </c>
    </row>
    <row r="176" spans="1:16" ht="26.25" customHeight="1" thickBot="1" x14ac:dyDescent="0.3">
      <c r="B176" s="733">
        <v>54</v>
      </c>
      <c r="C176" s="711" t="s">
        <v>19</v>
      </c>
      <c r="D176" s="712" t="s">
        <v>147</v>
      </c>
      <c r="E176" s="765" t="s">
        <v>546</v>
      </c>
      <c r="F176" s="768">
        <v>1348</v>
      </c>
      <c r="G176" s="773" t="s">
        <v>0</v>
      </c>
      <c r="H176" s="572">
        <v>2400</v>
      </c>
      <c r="I176" s="360">
        <v>936</v>
      </c>
      <c r="J176" s="39">
        <f t="shared" si="7"/>
        <v>0</v>
      </c>
      <c r="K176" s="309" t="e">
        <f>#REF!/1.4</f>
        <v>#REF!</v>
      </c>
      <c r="L176" s="230" t="e">
        <f t="shared" si="8"/>
        <v>#REF!</v>
      </c>
      <c r="M176" s="60"/>
      <c r="N176" s="565"/>
      <c r="O176" s="720">
        <v>2400</v>
      </c>
      <c r="P176" s="721">
        <v>936</v>
      </c>
    </row>
    <row r="177" spans="1:52" ht="26.25" hidden="1" customHeight="1" x14ac:dyDescent="0.25">
      <c r="B177" s="483"/>
      <c r="C177" s="484" t="s">
        <v>19</v>
      </c>
      <c r="D177" s="485" t="s">
        <v>140</v>
      </c>
      <c r="E177" s="638" t="s">
        <v>80</v>
      </c>
      <c r="F177" s="671">
        <v>92</v>
      </c>
      <c r="G177" s="632" t="s">
        <v>0</v>
      </c>
      <c r="H177" s="39"/>
      <c r="I177" s="309">
        <v>0</v>
      </c>
      <c r="J177" s="39">
        <f t="shared" si="7"/>
        <v>0</v>
      </c>
      <c r="K177" s="309" t="e">
        <f>#REF!/1.4</f>
        <v>#REF!</v>
      </c>
      <c r="L177" s="230" t="e">
        <f t="shared" si="8"/>
        <v>#REF!</v>
      </c>
      <c r="M177" s="93"/>
      <c r="N177" s="140"/>
      <c r="O177" s="489"/>
      <c r="P177" s="490">
        <v>0</v>
      </c>
    </row>
    <row r="178" spans="1:52" ht="26.25" hidden="1" customHeight="1" x14ac:dyDescent="0.25">
      <c r="B178" s="609"/>
      <c r="C178" s="516" t="s">
        <v>19</v>
      </c>
      <c r="D178" s="517" t="s">
        <v>140</v>
      </c>
      <c r="E178" s="589" t="s">
        <v>696</v>
      </c>
      <c r="F178" s="588" t="s">
        <v>699</v>
      </c>
      <c r="G178" s="546" t="s">
        <v>0</v>
      </c>
      <c r="H178" s="39"/>
      <c r="I178" s="309">
        <v>0</v>
      </c>
      <c r="J178" s="39">
        <f t="shared" si="7"/>
        <v>0</v>
      </c>
      <c r="K178" s="309" t="e">
        <f>#REF!/1.4</f>
        <v>#REF!</v>
      </c>
      <c r="L178" s="230" t="e">
        <f t="shared" si="8"/>
        <v>#REF!</v>
      </c>
      <c r="M178" s="204"/>
      <c r="N178" s="140"/>
      <c r="O178" s="513"/>
      <c r="P178" s="497">
        <v>0</v>
      </c>
    </row>
    <row r="179" spans="1:52" ht="26.25" customHeight="1" x14ac:dyDescent="0.25">
      <c r="B179" s="700">
        <v>55</v>
      </c>
      <c r="C179" s="701" t="s">
        <v>19</v>
      </c>
      <c r="D179" s="702" t="s">
        <v>140</v>
      </c>
      <c r="E179" s="767" t="s">
        <v>75</v>
      </c>
      <c r="F179" s="704">
        <v>437</v>
      </c>
      <c r="G179" s="732" t="s">
        <v>0</v>
      </c>
      <c r="H179" s="572">
        <v>1400</v>
      </c>
      <c r="I179" s="360">
        <v>546</v>
      </c>
      <c r="J179" s="39">
        <f t="shared" si="7"/>
        <v>2100</v>
      </c>
      <c r="K179" s="309" t="e">
        <f>#REF!/1.4</f>
        <v>#REF!</v>
      </c>
      <c r="L179" s="230" t="e">
        <f t="shared" si="8"/>
        <v>#REF!</v>
      </c>
      <c r="M179" s="196"/>
      <c r="N179" s="565">
        <v>2100</v>
      </c>
      <c r="O179" s="716">
        <v>1400</v>
      </c>
      <c r="P179" s="717">
        <v>546</v>
      </c>
    </row>
    <row r="180" spans="1:52" ht="26.25" customHeight="1" thickBot="1" x14ac:dyDescent="0.3">
      <c r="B180" s="733">
        <v>56</v>
      </c>
      <c r="C180" s="711" t="s">
        <v>19</v>
      </c>
      <c r="D180" s="712" t="s">
        <v>140</v>
      </c>
      <c r="E180" s="765" t="s">
        <v>78</v>
      </c>
      <c r="F180" s="714">
        <v>391</v>
      </c>
      <c r="G180" s="734" t="s">
        <v>0</v>
      </c>
      <c r="H180" s="572">
        <v>1800</v>
      </c>
      <c r="I180" s="360">
        <v>21.24</v>
      </c>
      <c r="J180" s="39">
        <f t="shared" si="7"/>
        <v>0</v>
      </c>
      <c r="K180" s="309">
        <v>0.01</v>
      </c>
      <c r="L180" s="230">
        <f t="shared" si="8"/>
        <v>0</v>
      </c>
      <c r="M180" s="42"/>
      <c r="N180" s="565"/>
      <c r="O180" s="720">
        <v>1800</v>
      </c>
      <c r="P180" s="721">
        <v>21.24</v>
      </c>
    </row>
    <row r="181" spans="1:52" ht="26.25" hidden="1" customHeight="1" x14ac:dyDescent="0.25">
      <c r="B181" s="483"/>
      <c r="C181" s="484" t="s">
        <v>19</v>
      </c>
      <c r="D181" s="485" t="s">
        <v>147</v>
      </c>
      <c r="E181" s="638" t="s">
        <v>209</v>
      </c>
      <c r="F181" s="672">
        <v>373</v>
      </c>
      <c r="G181" s="488" t="s">
        <v>0</v>
      </c>
      <c r="H181" s="39"/>
      <c r="I181" s="360">
        <v>0</v>
      </c>
      <c r="J181" s="39">
        <f t="shared" si="7"/>
        <v>0</v>
      </c>
      <c r="K181" s="309" t="e">
        <f>#REF!/1.4</f>
        <v>#REF!</v>
      </c>
      <c r="L181" s="230" t="e">
        <f t="shared" si="8"/>
        <v>#REF!</v>
      </c>
      <c r="M181" s="363" t="s">
        <v>679</v>
      </c>
      <c r="N181" s="140"/>
      <c r="O181" s="556"/>
      <c r="P181" s="490">
        <v>0</v>
      </c>
    </row>
    <row r="182" spans="1:52" s="22" customFormat="1" ht="26.25" hidden="1" customHeight="1" x14ac:dyDescent="0.25">
      <c r="A182" s="10"/>
      <c r="B182" s="11"/>
      <c r="C182" s="6" t="s">
        <v>19</v>
      </c>
      <c r="D182" s="23" t="s">
        <v>147</v>
      </c>
      <c r="E182" s="104" t="s">
        <v>146</v>
      </c>
      <c r="F182" s="385" t="s">
        <v>244</v>
      </c>
      <c r="G182" s="14" t="s">
        <v>0</v>
      </c>
      <c r="H182" s="39">
        <v>0</v>
      </c>
      <c r="I182" s="309">
        <v>0</v>
      </c>
      <c r="J182" s="39">
        <f t="shared" si="7"/>
        <v>0</v>
      </c>
      <c r="K182" s="309" t="e">
        <f>#REF!/1.4</f>
        <v>#REF!</v>
      </c>
      <c r="L182" s="230" t="e">
        <f t="shared" si="8"/>
        <v>#REF!</v>
      </c>
      <c r="M182" s="249" t="s">
        <v>678</v>
      </c>
      <c r="N182" s="140"/>
      <c r="O182" s="503">
        <v>0</v>
      </c>
      <c r="P182" s="309">
        <v>0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</row>
    <row r="183" spans="1:52" ht="26.25" hidden="1" customHeight="1" x14ac:dyDescent="0.25">
      <c r="B183" s="14"/>
      <c r="C183" s="6" t="s">
        <v>19</v>
      </c>
      <c r="D183" s="23" t="s">
        <v>15</v>
      </c>
      <c r="E183" s="107" t="s">
        <v>154</v>
      </c>
      <c r="F183" s="390">
        <v>589</v>
      </c>
      <c r="G183" s="13" t="s">
        <v>0</v>
      </c>
      <c r="H183" s="39">
        <v>0</v>
      </c>
      <c r="I183" s="309">
        <v>0</v>
      </c>
      <c r="J183" s="39">
        <f t="shared" si="7"/>
        <v>0</v>
      </c>
      <c r="K183" s="372" t="e">
        <f>#REF!/1.4</f>
        <v>#REF!</v>
      </c>
      <c r="L183" s="230" t="e">
        <f t="shared" si="8"/>
        <v>#REF!</v>
      </c>
      <c r="M183" s="90"/>
      <c r="N183" s="140"/>
      <c r="O183" s="39">
        <v>0</v>
      </c>
      <c r="P183" s="490">
        <v>0</v>
      </c>
    </row>
    <row r="184" spans="1:52" s="21" customFormat="1" ht="26.25" hidden="1" customHeight="1" x14ac:dyDescent="0.25">
      <c r="B184" s="15"/>
      <c r="C184" s="6" t="s">
        <v>19</v>
      </c>
      <c r="D184" s="23" t="s">
        <v>15</v>
      </c>
      <c r="E184" s="104" t="s">
        <v>208</v>
      </c>
      <c r="F184" s="386">
        <v>944</v>
      </c>
      <c r="G184" s="19" t="s">
        <v>0</v>
      </c>
      <c r="H184" s="39"/>
      <c r="I184" s="309">
        <v>0</v>
      </c>
      <c r="J184" s="39">
        <f t="shared" si="7"/>
        <v>0</v>
      </c>
      <c r="K184" s="372" t="e">
        <f>#REF!/1.4</f>
        <v>#REF!</v>
      </c>
      <c r="L184" s="230" t="e">
        <f t="shared" si="8"/>
        <v>#REF!</v>
      </c>
      <c r="M184" s="116" t="s">
        <v>212</v>
      </c>
      <c r="N184" s="140"/>
      <c r="O184" s="39"/>
      <c r="P184" s="309">
        <v>0</v>
      </c>
    </row>
    <row r="185" spans="1:52" ht="26.25" hidden="1" customHeight="1" x14ac:dyDescent="0.25">
      <c r="B185" s="11"/>
      <c r="C185" s="6" t="s">
        <v>19</v>
      </c>
      <c r="D185" s="23" t="s">
        <v>15</v>
      </c>
      <c r="E185" s="104" t="s">
        <v>284</v>
      </c>
      <c r="F185" s="209"/>
      <c r="G185" s="48" t="s">
        <v>0</v>
      </c>
      <c r="H185" s="39"/>
      <c r="I185" s="309">
        <v>0</v>
      </c>
      <c r="J185" s="39">
        <f t="shared" si="7"/>
        <v>0</v>
      </c>
      <c r="K185" s="372" t="e">
        <f>#REF!/1.4</f>
        <v>#REF!</v>
      </c>
      <c r="L185" s="230" t="e">
        <f t="shared" si="8"/>
        <v>#REF!</v>
      </c>
      <c r="M185" s="99" t="s">
        <v>263</v>
      </c>
      <c r="N185" s="140"/>
      <c r="O185" s="39"/>
      <c r="P185" s="309">
        <v>0</v>
      </c>
    </row>
    <row r="186" spans="1:52" ht="26.25" hidden="1" customHeight="1" x14ac:dyDescent="0.25">
      <c r="B186" s="11"/>
      <c r="C186" s="6" t="s">
        <v>19</v>
      </c>
      <c r="D186" s="23" t="s">
        <v>15</v>
      </c>
      <c r="E186" s="104"/>
      <c r="F186" s="209"/>
      <c r="G186" s="48"/>
      <c r="H186" s="39"/>
      <c r="I186" s="309">
        <v>0</v>
      </c>
      <c r="J186" s="39">
        <f t="shared" si="7"/>
        <v>0</v>
      </c>
      <c r="K186" s="372"/>
      <c r="L186" s="230"/>
      <c r="M186" s="99"/>
      <c r="N186" s="140"/>
      <c r="O186" s="39"/>
      <c r="P186" s="309">
        <v>0</v>
      </c>
    </row>
    <row r="187" spans="1:52" ht="26.25" hidden="1" customHeight="1" x14ac:dyDescent="0.25">
      <c r="B187" s="11"/>
      <c r="C187" s="6" t="s">
        <v>19</v>
      </c>
      <c r="D187" s="23" t="s">
        <v>15</v>
      </c>
      <c r="E187" s="1" t="s">
        <v>329</v>
      </c>
      <c r="F187" s="209"/>
      <c r="G187" s="48"/>
      <c r="H187" s="39"/>
      <c r="I187" s="309">
        <v>0</v>
      </c>
      <c r="J187" s="39">
        <f t="shared" si="7"/>
        <v>0</v>
      </c>
      <c r="K187" s="372" t="e">
        <f>#REF!/1.4</f>
        <v>#REF!</v>
      </c>
      <c r="L187" s="230"/>
      <c r="M187" s="99" t="s">
        <v>332</v>
      </c>
      <c r="N187" s="140"/>
      <c r="O187" s="39"/>
      <c r="P187" s="309">
        <v>0</v>
      </c>
    </row>
    <row r="188" spans="1:52" ht="26.25" hidden="1" customHeight="1" x14ac:dyDescent="0.25">
      <c r="B188" s="11"/>
      <c r="C188" s="6" t="s">
        <v>19</v>
      </c>
      <c r="D188" s="23" t="s">
        <v>15</v>
      </c>
      <c r="E188" s="1" t="s">
        <v>366</v>
      </c>
      <c r="F188" s="209">
        <v>1142</v>
      </c>
      <c r="G188" s="48"/>
      <c r="H188" s="39"/>
      <c r="I188" s="309">
        <v>0</v>
      </c>
      <c r="J188" s="39">
        <f t="shared" si="7"/>
        <v>0</v>
      </c>
      <c r="K188" s="372" t="e">
        <f>#REF!/1.4</f>
        <v>#REF!</v>
      </c>
      <c r="L188" s="230"/>
      <c r="M188" s="99" t="s">
        <v>371</v>
      </c>
      <c r="N188" s="140"/>
      <c r="O188" s="39"/>
      <c r="P188" s="309">
        <v>0</v>
      </c>
    </row>
    <row r="189" spans="1:52" s="4" customFormat="1" ht="26.25" hidden="1" customHeight="1" x14ac:dyDescent="0.25">
      <c r="A189" s="10"/>
      <c r="B189" s="591"/>
      <c r="C189" s="516" t="s">
        <v>19</v>
      </c>
      <c r="D189" s="517" t="s">
        <v>15</v>
      </c>
      <c r="E189" s="614" t="s">
        <v>172</v>
      </c>
      <c r="F189" s="615">
        <v>1204</v>
      </c>
      <c r="G189" s="585" t="s">
        <v>0</v>
      </c>
      <c r="H189" s="39"/>
      <c r="I189" s="360">
        <v>0</v>
      </c>
      <c r="J189" s="39">
        <f t="shared" si="7"/>
        <v>0</v>
      </c>
      <c r="K189" s="309" t="e">
        <f>#REF!/1.4</f>
        <v>#REF!</v>
      </c>
      <c r="L189" s="230" t="e">
        <f>K189*J485</f>
        <v>#REF!</v>
      </c>
      <c r="M189" s="367"/>
      <c r="N189" s="140"/>
      <c r="O189" s="513"/>
      <c r="P189" s="497">
        <v>0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52" ht="26.25" customHeight="1" x14ac:dyDescent="0.25">
      <c r="B190" s="700">
        <v>57</v>
      </c>
      <c r="C190" s="701" t="s">
        <v>19</v>
      </c>
      <c r="D190" s="702" t="s">
        <v>15</v>
      </c>
      <c r="E190" s="767" t="s">
        <v>21</v>
      </c>
      <c r="F190" s="785" t="s">
        <v>127</v>
      </c>
      <c r="G190" s="732" t="s">
        <v>0</v>
      </c>
      <c r="H190" s="572">
        <v>2261</v>
      </c>
      <c r="I190" s="360">
        <v>158.27000000000001</v>
      </c>
      <c r="J190" s="39">
        <f t="shared" si="7"/>
        <v>0</v>
      </c>
      <c r="K190" s="309">
        <v>7.0000000000000007E-2</v>
      </c>
      <c r="L190" s="230">
        <f>K190*J486</f>
        <v>0</v>
      </c>
      <c r="M190" s="363"/>
      <c r="N190" s="565"/>
      <c r="O190" s="716">
        <v>2261</v>
      </c>
      <c r="P190" s="717">
        <v>158.27000000000001</v>
      </c>
    </row>
    <row r="191" spans="1:52" ht="26.25" customHeight="1" x14ac:dyDescent="0.25">
      <c r="B191" s="706">
        <v>58</v>
      </c>
      <c r="C191" s="6" t="s">
        <v>19</v>
      </c>
      <c r="D191" s="23" t="s">
        <v>15</v>
      </c>
      <c r="E191" s="104" t="s">
        <v>111</v>
      </c>
      <c r="F191" s="208" t="s">
        <v>81</v>
      </c>
      <c r="G191" s="709" t="s">
        <v>0</v>
      </c>
      <c r="H191" s="572">
        <v>5000</v>
      </c>
      <c r="I191" s="360">
        <v>1285.5</v>
      </c>
      <c r="J191" s="39">
        <f t="shared" si="7"/>
        <v>0</v>
      </c>
      <c r="K191" s="309">
        <v>0.26</v>
      </c>
      <c r="L191" s="230">
        <f>K191*J487</f>
        <v>0</v>
      </c>
      <c r="M191" s="94"/>
      <c r="N191" s="565"/>
      <c r="O191" s="718">
        <v>5000</v>
      </c>
      <c r="P191" s="719">
        <v>1285.5</v>
      </c>
    </row>
    <row r="192" spans="1:52" ht="26.25" customHeight="1" thickBot="1" x14ac:dyDescent="0.3">
      <c r="B192" s="733">
        <v>59</v>
      </c>
      <c r="C192" s="711" t="s">
        <v>19</v>
      </c>
      <c r="D192" s="712" t="s">
        <v>15</v>
      </c>
      <c r="E192" s="765" t="s">
        <v>550</v>
      </c>
      <c r="F192" s="714">
        <v>374</v>
      </c>
      <c r="G192" s="734" t="s">
        <v>0</v>
      </c>
      <c r="H192" s="572">
        <v>54065</v>
      </c>
      <c r="I192" s="360">
        <v>11353.65</v>
      </c>
      <c r="J192" s="39">
        <f t="shared" si="7"/>
        <v>0</v>
      </c>
      <c r="K192" s="309" t="e">
        <f>#REF!/1.4</f>
        <v>#REF!</v>
      </c>
      <c r="L192" s="230" t="e">
        <f>K192*J488</f>
        <v>#REF!</v>
      </c>
      <c r="M192" s="363"/>
      <c r="N192" s="565">
        <v>520</v>
      </c>
      <c r="O192" s="720">
        <v>53545</v>
      </c>
      <c r="P192" s="721">
        <v>11244.45</v>
      </c>
    </row>
    <row r="193" spans="2:16" ht="26.25" hidden="1" customHeight="1" x14ac:dyDescent="0.25">
      <c r="B193" s="650"/>
      <c r="C193" s="593" t="s">
        <v>19</v>
      </c>
      <c r="D193" s="594" t="s">
        <v>193</v>
      </c>
      <c r="E193" s="660" t="s">
        <v>197</v>
      </c>
      <c r="F193" s="656">
        <v>1071</v>
      </c>
      <c r="G193" s="650" t="s">
        <v>0</v>
      </c>
      <c r="H193" s="39"/>
      <c r="I193" s="309">
        <v>0</v>
      </c>
      <c r="J193" s="39">
        <f t="shared" si="7"/>
        <v>0</v>
      </c>
      <c r="K193" s="309" t="e">
        <f>#REF!/1.4</f>
        <v>#REF!</v>
      </c>
      <c r="L193" s="230"/>
      <c r="M193" s="82" t="s">
        <v>276</v>
      </c>
      <c r="N193" s="140"/>
      <c r="O193" s="555"/>
      <c r="P193" s="507">
        <v>0</v>
      </c>
    </row>
    <row r="194" spans="2:16" s="21" customFormat="1" ht="26.25" customHeight="1" thickBot="1" x14ac:dyDescent="0.3">
      <c r="B194" s="722">
        <v>60</v>
      </c>
      <c r="C194" s="723" t="s">
        <v>19</v>
      </c>
      <c r="D194" s="724" t="s">
        <v>15</v>
      </c>
      <c r="E194" s="766" t="s">
        <v>33</v>
      </c>
      <c r="F194" s="737" t="s">
        <v>62</v>
      </c>
      <c r="G194" s="738" t="s">
        <v>0</v>
      </c>
      <c r="H194" s="572">
        <v>674</v>
      </c>
      <c r="I194" s="360">
        <v>141.54</v>
      </c>
      <c r="J194" s="39">
        <f t="shared" si="7"/>
        <v>0</v>
      </c>
      <c r="K194" s="309">
        <v>0.21</v>
      </c>
      <c r="L194" s="230">
        <f t="shared" ref="L194:L224" si="9">K194*J490</f>
        <v>0</v>
      </c>
      <c r="M194" s="365"/>
      <c r="N194" s="565"/>
      <c r="O194" s="739">
        <v>674</v>
      </c>
      <c r="P194" s="729">
        <v>141.54</v>
      </c>
    </row>
    <row r="195" spans="2:16" s="21" customFormat="1" ht="26.25" hidden="1" customHeight="1" x14ac:dyDescent="0.25">
      <c r="B195" s="644"/>
      <c r="C195" s="593" t="s">
        <v>19</v>
      </c>
      <c r="D195" s="594" t="s">
        <v>15</v>
      </c>
      <c r="E195" s="660" t="s">
        <v>102</v>
      </c>
      <c r="F195" s="635" t="s">
        <v>271</v>
      </c>
      <c r="G195" s="673" t="s">
        <v>0</v>
      </c>
      <c r="H195" s="39"/>
      <c r="I195" s="309">
        <v>0</v>
      </c>
      <c r="J195" s="39">
        <f t="shared" si="7"/>
        <v>0</v>
      </c>
      <c r="K195" s="309" t="e">
        <f>#REF!/1.4</f>
        <v>#REF!</v>
      </c>
      <c r="L195" s="230" t="e">
        <f t="shared" si="9"/>
        <v>#REF!</v>
      </c>
      <c r="M195" s="543" t="s">
        <v>804</v>
      </c>
      <c r="N195" s="140"/>
      <c r="O195" s="555"/>
      <c r="P195" s="507">
        <v>0</v>
      </c>
    </row>
    <row r="196" spans="2:16" ht="26.25" customHeight="1" x14ac:dyDescent="0.25">
      <c r="B196" s="700">
        <v>61</v>
      </c>
      <c r="C196" s="701" t="s">
        <v>19</v>
      </c>
      <c r="D196" s="702" t="s">
        <v>15</v>
      </c>
      <c r="E196" s="767" t="s">
        <v>143</v>
      </c>
      <c r="F196" s="704" t="s">
        <v>201</v>
      </c>
      <c r="G196" s="732" t="s">
        <v>0</v>
      </c>
      <c r="H196" s="572">
        <v>752</v>
      </c>
      <c r="I196" s="360">
        <v>496.32</v>
      </c>
      <c r="J196" s="39">
        <f t="shared" si="7"/>
        <v>0</v>
      </c>
      <c r="K196" s="309">
        <v>0.66</v>
      </c>
      <c r="L196" s="230">
        <f t="shared" si="9"/>
        <v>0</v>
      </c>
      <c r="M196" s="363" t="s">
        <v>651</v>
      </c>
      <c r="N196" s="565"/>
      <c r="O196" s="716">
        <v>752</v>
      </c>
      <c r="P196" s="717">
        <v>496.32</v>
      </c>
    </row>
    <row r="197" spans="2:16" ht="26.25" customHeight="1" x14ac:dyDescent="0.25">
      <c r="B197" s="706">
        <v>62</v>
      </c>
      <c r="C197" s="6" t="s">
        <v>19</v>
      </c>
      <c r="D197" s="79" t="s">
        <v>193</v>
      </c>
      <c r="E197" s="104" t="s">
        <v>102</v>
      </c>
      <c r="F197" s="208">
        <v>596</v>
      </c>
      <c r="G197" s="709" t="s">
        <v>0</v>
      </c>
      <c r="H197" s="572">
        <v>750</v>
      </c>
      <c r="I197" s="360">
        <v>615</v>
      </c>
      <c r="J197" s="39">
        <f t="shared" si="7"/>
        <v>0</v>
      </c>
      <c r="K197" s="309" t="e">
        <f>#REF!/1.4</f>
        <v>#REF!</v>
      </c>
      <c r="L197" s="230" t="e">
        <f t="shared" si="9"/>
        <v>#REF!</v>
      </c>
      <c r="M197" s="364"/>
      <c r="N197" s="565">
        <v>300</v>
      </c>
      <c r="O197" s="718">
        <v>450</v>
      </c>
      <c r="P197" s="719">
        <v>211.5</v>
      </c>
    </row>
    <row r="198" spans="2:16" s="21" customFormat="1" ht="26.25" customHeight="1" thickBot="1" x14ac:dyDescent="0.3">
      <c r="B198" s="733">
        <v>63</v>
      </c>
      <c r="C198" s="711" t="s">
        <v>19</v>
      </c>
      <c r="D198" s="712" t="s">
        <v>15</v>
      </c>
      <c r="E198" s="765" t="s">
        <v>123</v>
      </c>
      <c r="F198" s="742">
        <v>620</v>
      </c>
      <c r="G198" s="734" t="s">
        <v>0</v>
      </c>
      <c r="H198" s="572">
        <v>1089</v>
      </c>
      <c r="I198" s="360">
        <v>686.07</v>
      </c>
      <c r="J198" s="39">
        <f t="shared" ref="J198:J264" si="10">N198+O198-H198</f>
        <v>0</v>
      </c>
      <c r="K198" s="309">
        <v>0.63</v>
      </c>
      <c r="L198" s="230">
        <f t="shared" si="9"/>
        <v>0</v>
      </c>
      <c r="M198" s="370"/>
      <c r="N198" s="565"/>
      <c r="O198" s="720">
        <v>1089</v>
      </c>
      <c r="P198" s="721">
        <v>686.07</v>
      </c>
    </row>
    <row r="199" spans="2:16" s="21" customFormat="1" ht="26.25" hidden="1" customHeight="1" x14ac:dyDescent="0.25">
      <c r="B199" s="628"/>
      <c r="C199" s="484" t="s">
        <v>19</v>
      </c>
      <c r="D199" s="485" t="s">
        <v>15</v>
      </c>
      <c r="E199" s="638" t="s">
        <v>208</v>
      </c>
      <c r="F199" s="672">
        <v>944</v>
      </c>
      <c r="G199" s="663" t="s">
        <v>0</v>
      </c>
      <c r="H199" s="39"/>
      <c r="I199" s="309">
        <v>0</v>
      </c>
      <c r="J199" s="39">
        <f t="shared" si="10"/>
        <v>0</v>
      </c>
      <c r="K199" s="372" t="e">
        <f>#REF!/1.4</f>
        <v>#REF!</v>
      </c>
      <c r="L199" s="230" t="e">
        <f t="shared" si="9"/>
        <v>#REF!</v>
      </c>
      <c r="M199" s="116" t="s">
        <v>212</v>
      </c>
      <c r="N199" s="140"/>
      <c r="O199" s="489"/>
      <c r="P199" s="490">
        <v>0</v>
      </c>
    </row>
    <row r="200" spans="2:16" s="21" customFormat="1" ht="26.25" hidden="1" customHeight="1" x14ac:dyDescent="0.25">
      <c r="B200" s="515"/>
      <c r="C200" s="516" t="s">
        <v>19</v>
      </c>
      <c r="D200" s="517" t="s">
        <v>15</v>
      </c>
      <c r="E200" s="610" t="s">
        <v>148</v>
      </c>
      <c r="F200" s="616">
        <v>426</v>
      </c>
      <c r="G200" s="546" t="s">
        <v>0</v>
      </c>
      <c r="H200" s="39"/>
      <c r="I200" s="309">
        <v>0</v>
      </c>
      <c r="J200" s="39">
        <f t="shared" si="10"/>
        <v>0</v>
      </c>
      <c r="K200" s="372" t="e">
        <f>#REF!/1.4</f>
        <v>#REF!</v>
      </c>
      <c r="L200" s="230" t="e">
        <f t="shared" si="9"/>
        <v>#REF!</v>
      </c>
      <c r="M200" s="272" t="s">
        <v>152</v>
      </c>
      <c r="N200" s="140"/>
      <c r="O200" s="513"/>
      <c r="P200" s="497">
        <v>0</v>
      </c>
    </row>
    <row r="201" spans="2:16" s="21" customFormat="1" ht="26.25" customHeight="1" x14ac:dyDescent="0.25">
      <c r="B201" s="700">
        <v>64</v>
      </c>
      <c r="C201" s="701" t="s">
        <v>19</v>
      </c>
      <c r="D201" s="702" t="s">
        <v>15</v>
      </c>
      <c r="E201" s="767" t="s">
        <v>61</v>
      </c>
      <c r="F201" s="704">
        <v>208</v>
      </c>
      <c r="G201" s="732" t="s">
        <v>0</v>
      </c>
      <c r="H201" s="572"/>
      <c r="I201" s="360">
        <v>0</v>
      </c>
      <c r="J201" s="39">
        <f t="shared" si="10"/>
        <v>3674</v>
      </c>
      <c r="K201" s="309" t="e">
        <f>#REF!/1.4</f>
        <v>#REF!</v>
      </c>
      <c r="L201" s="230" t="e">
        <f t="shared" si="9"/>
        <v>#REF!</v>
      </c>
      <c r="M201" s="300" t="s">
        <v>826</v>
      </c>
      <c r="N201" s="565">
        <f>2938+50</f>
        <v>2988</v>
      </c>
      <c r="O201" s="716">
        <v>686</v>
      </c>
      <c r="P201" s="717">
        <v>692.86</v>
      </c>
    </row>
    <row r="202" spans="2:16" ht="26.25" customHeight="1" x14ac:dyDescent="0.25">
      <c r="B202" s="706">
        <v>65</v>
      </c>
      <c r="C202" s="6" t="s">
        <v>19</v>
      </c>
      <c r="D202" s="23" t="s">
        <v>15</v>
      </c>
      <c r="E202" s="104" t="s">
        <v>87</v>
      </c>
      <c r="F202" s="383">
        <v>506</v>
      </c>
      <c r="G202" s="709" t="s">
        <v>0</v>
      </c>
      <c r="H202" s="572">
        <v>400</v>
      </c>
      <c r="I202" s="360">
        <v>824</v>
      </c>
      <c r="J202" s="39">
        <f t="shared" si="10"/>
        <v>850</v>
      </c>
      <c r="K202" s="309" t="e">
        <f>#REF!/1.4</f>
        <v>#REF!</v>
      </c>
      <c r="L202" s="230" t="e">
        <f t="shared" si="9"/>
        <v>#REF!</v>
      </c>
      <c r="M202" s="191" t="s">
        <v>827</v>
      </c>
      <c r="N202" s="565">
        <v>850</v>
      </c>
      <c r="O202" s="718">
        <v>400</v>
      </c>
      <c r="P202" s="719">
        <v>824</v>
      </c>
    </row>
    <row r="203" spans="2:16" ht="26.25" customHeight="1" x14ac:dyDescent="0.25">
      <c r="B203" s="706">
        <v>66</v>
      </c>
      <c r="C203" s="6" t="s">
        <v>19</v>
      </c>
      <c r="D203" s="23" t="s">
        <v>15</v>
      </c>
      <c r="E203" s="104" t="s">
        <v>144</v>
      </c>
      <c r="F203" s="208">
        <v>590</v>
      </c>
      <c r="G203" s="709" t="s">
        <v>0</v>
      </c>
      <c r="H203" s="572">
        <v>464</v>
      </c>
      <c r="I203" s="360">
        <v>912.19</v>
      </c>
      <c r="J203" s="39">
        <f t="shared" si="10"/>
        <v>0</v>
      </c>
      <c r="K203" s="309">
        <v>1.97</v>
      </c>
      <c r="L203" s="230">
        <f t="shared" si="9"/>
        <v>0</v>
      </c>
      <c r="M203" s="363"/>
      <c r="N203" s="565">
        <v>2</v>
      </c>
      <c r="O203" s="718">
        <v>462</v>
      </c>
      <c r="P203" s="719">
        <v>910.14</v>
      </c>
    </row>
    <row r="204" spans="2:16" ht="26.25" customHeight="1" thickBot="1" x14ac:dyDescent="0.3">
      <c r="B204" s="733">
        <v>67</v>
      </c>
      <c r="C204" s="711" t="s">
        <v>19</v>
      </c>
      <c r="D204" s="712" t="s">
        <v>15</v>
      </c>
      <c r="E204" s="765" t="s">
        <v>22</v>
      </c>
      <c r="F204" s="714" t="s">
        <v>57</v>
      </c>
      <c r="G204" s="734" t="s">
        <v>0</v>
      </c>
      <c r="H204" s="572">
        <v>1670</v>
      </c>
      <c r="I204" s="360">
        <v>501</v>
      </c>
      <c r="J204" s="39">
        <f t="shared" si="10"/>
        <v>0</v>
      </c>
      <c r="K204" s="309" t="e">
        <f>#REF!/1.4</f>
        <v>#REF!</v>
      </c>
      <c r="L204" s="230" t="e">
        <f t="shared" si="9"/>
        <v>#REF!</v>
      </c>
      <c r="M204" s="364"/>
      <c r="N204" s="565"/>
      <c r="O204" s="720">
        <v>1670</v>
      </c>
      <c r="P204" s="721">
        <v>501</v>
      </c>
    </row>
    <row r="205" spans="2:16" ht="26.25" hidden="1" customHeight="1" x14ac:dyDescent="0.25">
      <c r="B205" s="483"/>
      <c r="C205" s="484" t="s">
        <v>19</v>
      </c>
      <c r="D205" s="485" t="s">
        <v>15</v>
      </c>
      <c r="E205" s="638" t="s">
        <v>113</v>
      </c>
      <c r="F205" s="674">
        <v>605</v>
      </c>
      <c r="G205" s="488" t="s">
        <v>0</v>
      </c>
      <c r="H205" s="39"/>
      <c r="I205" s="360">
        <v>0</v>
      </c>
      <c r="J205" s="39">
        <f t="shared" si="10"/>
        <v>0</v>
      </c>
      <c r="K205" s="309" t="e">
        <f>#REF!/1.4</f>
        <v>#REF!</v>
      </c>
      <c r="L205" s="230" t="e">
        <f t="shared" si="9"/>
        <v>#REF!</v>
      </c>
      <c r="M205" s="250" t="s">
        <v>537</v>
      </c>
      <c r="N205" s="140"/>
      <c r="O205" s="489"/>
      <c r="P205" s="467">
        <v>0</v>
      </c>
    </row>
    <row r="206" spans="2:16" ht="26.25" hidden="1" customHeight="1" x14ac:dyDescent="0.25">
      <c r="B206" s="591"/>
      <c r="C206" s="516" t="s">
        <v>19</v>
      </c>
      <c r="D206" s="517" t="s">
        <v>15</v>
      </c>
      <c r="E206" s="610" t="s">
        <v>74</v>
      </c>
      <c r="F206" s="584">
        <v>339</v>
      </c>
      <c r="G206" s="585" t="s">
        <v>0</v>
      </c>
      <c r="H206" s="39"/>
      <c r="I206" s="309">
        <v>0</v>
      </c>
      <c r="J206" s="39">
        <f t="shared" si="10"/>
        <v>0</v>
      </c>
      <c r="K206" s="372" t="e">
        <f>#REF!/1.4</f>
        <v>#REF!</v>
      </c>
      <c r="L206" s="230" t="e">
        <f t="shared" si="9"/>
        <v>#REF!</v>
      </c>
      <c r="M206" s="146" t="s">
        <v>439</v>
      </c>
      <c r="N206" s="140"/>
      <c r="O206" s="513"/>
      <c r="P206" s="497">
        <v>0</v>
      </c>
    </row>
    <row r="207" spans="2:16" ht="26.25" customHeight="1" thickBot="1" x14ac:dyDescent="0.3">
      <c r="B207" s="722">
        <v>68</v>
      </c>
      <c r="C207" s="723" t="s">
        <v>19</v>
      </c>
      <c r="D207" s="724" t="s">
        <v>15</v>
      </c>
      <c r="E207" s="766" t="s">
        <v>453</v>
      </c>
      <c r="F207" s="726" t="s">
        <v>606</v>
      </c>
      <c r="G207" s="786" t="s">
        <v>0</v>
      </c>
      <c r="H207" s="572"/>
      <c r="I207" s="309">
        <v>0</v>
      </c>
      <c r="J207" s="39">
        <f t="shared" si="10"/>
        <v>744</v>
      </c>
      <c r="K207" s="309" t="e">
        <f>#REF!/1.4</f>
        <v>#REF!</v>
      </c>
      <c r="L207" s="230" t="e">
        <f t="shared" si="9"/>
        <v>#REF!</v>
      </c>
      <c r="M207" s="458" t="s">
        <v>831</v>
      </c>
      <c r="N207" s="565">
        <v>510</v>
      </c>
      <c r="O207" s="728">
        <v>234</v>
      </c>
      <c r="P207" s="729">
        <v>28.08</v>
      </c>
    </row>
    <row r="208" spans="2:16" ht="26.25" hidden="1" customHeight="1" thickBot="1" x14ac:dyDescent="0.3">
      <c r="B208" s="483"/>
      <c r="C208" s="484" t="s">
        <v>19</v>
      </c>
      <c r="D208" s="485" t="s">
        <v>15</v>
      </c>
      <c r="E208" s="638" t="s">
        <v>139</v>
      </c>
      <c r="F208" s="630" t="s">
        <v>55</v>
      </c>
      <c r="G208" s="488" t="s">
        <v>0</v>
      </c>
      <c r="H208" s="39"/>
      <c r="I208" s="309">
        <v>0</v>
      </c>
      <c r="J208" s="39">
        <f t="shared" si="10"/>
        <v>0</v>
      </c>
      <c r="K208" s="372" t="e">
        <f>#REF!/1.4</f>
        <v>#REF!</v>
      </c>
      <c r="L208" s="230" t="e">
        <f t="shared" si="9"/>
        <v>#REF!</v>
      </c>
      <c r="M208" s="233" t="s">
        <v>474</v>
      </c>
      <c r="N208" s="140"/>
      <c r="O208" s="489"/>
      <c r="P208" s="490">
        <v>0</v>
      </c>
    </row>
    <row r="209" spans="2:16" ht="26.25" hidden="1" customHeight="1" thickBot="1" x14ac:dyDescent="0.3">
      <c r="B209" s="11"/>
      <c r="C209" s="6" t="s">
        <v>19</v>
      </c>
      <c r="D209" s="23" t="s">
        <v>193</v>
      </c>
      <c r="E209" s="104" t="s">
        <v>188</v>
      </c>
      <c r="F209" s="385" t="s">
        <v>190</v>
      </c>
      <c r="G209" s="19" t="s">
        <v>0</v>
      </c>
      <c r="H209" s="39"/>
      <c r="I209" s="309">
        <v>0</v>
      </c>
      <c r="J209" s="39">
        <f t="shared" si="10"/>
        <v>0</v>
      </c>
      <c r="K209" s="309" t="e">
        <f>#REF!/1.4</f>
        <v>#REF!</v>
      </c>
      <c r="L209" s="230" t="e">
        <f t="shared" si="9"/>
        <v>#REF!</v>
      </c>
      <c r="M209" s="146" t="s">
        <v>379</v>
      </c>
      <c r="N209" s="140"/>
      <c r="O209" s="39"/>
      <c r="P209" s="309">
        <v>0</v>
      </c>
    </row>
    <row r="210" spans="2:16" ht="26.25" hidden="1" customHeight="1" x14ac:dyDescent="0.25">
      <c r="B210" s="15"/>
      <c r="C210" s="6" t="s">
        <v>19</v>
      </c>
      <c r="D210" s="23" t="s">
        <v>203</v>
      </c>
      <c r="E210" s="104" t="s">
        <v>204</v>
      </c>
      <c r="F210" s="387" t="s">
        <v>194</v>
      </c>
      <c r="G210" s="19" t="s">
        <v>0</v>
      </c>
      <c r="H210" s="39"/>
      <c r="I210" s="309">
        <v>0</v>
      </c>
      <c r="J210" s="39">
        <f t="shared" si="10"/>
        <v>0</v>
      </c>
      <c r="K210" s="309" t="e">
        <f>#REF!/1.4</f>
        <v>#REF!</v>
      </c>
      <c r="L210" s="230" t="e">
        <f t="shared" si="9"/>
        <v>#REF!</v>
      </c>
      <c r="M210" s="64" t="s">
        <v>205</v>
      </c>
      <c r="N210" s="140"/>
      <c r="O210" s="39"/>
      <c r="P210" s="309">
        <v>0</v>
      </c>
    </row>
    <row r="211" spans="2:16" ht="26.25" hidden="1" customHeight="1" x14ac:dyDescent="0.25">
      <c r="B211" s="591"/>
      <c r="C211" s="516" t="s">
        <v>20</v>
      </c>
      <c r="D211" s="517" t="s">
        <v>15</v>
      </c>
      <c r="E211" s="610" t="s">
        <v>96</v>
      </c>
      <c r="F211" s="605">
        <v>103</v>
      </c>
      <c r="G211" s="546" t="s">
        <v>0</v>
      </c>
      <c r="H211" s="39"/>
      <c r="I211" s="309">
        <v>0</v>
      </c>
      <c r="J211" s="39">
        <f t="shared" si="10"/>
        <v>0</v>
      </c>
      <c r="K211" s="372" t="e">
        <f>#REF!/1.4</f>
        <v>#REF!</v>
      </c>
      <c r="L211" s="230" t="e">
        <f t="shared" si="9"/>
        <v>#REF!</v>
      </c>
      <c r="M211" s="157" t="s">
        <v>408</v>
      </c>
      <c r="N211" s="140"/>
      <c r="O211" s="513"/>
      <c r="P211" s="497">
        <v>0</v>
      </c>
    </row>
    <row r="212" spans="2:16" s="21" customFormat="1" ht="26.25" hidden="1" customHeight="1" thickBot="1" x14ac:dyDescent="0.3">
      <c r="B212" s="735">
        <v>81</v>
      </c>
      <c r="C212" s="723" t="s">
        <v>19</v>
      </c>
      <c r="D212" s="724" t="s">
        <v>193</v>
      </c>
      <c r="E212" s="766" t="s">
        <v>367</v>
      </c>
      <c r="F212" s="726" t="s">
        <v>220</v>
      </c>
      <c r="G212" s="727" t="s">
        <v>0</v>
      </c>
      <c r="H212" s="572"/>
      <c r="I212" s="309">
        <v>0</v>
      </c>
      <c r="J212" s="39">
        <f t="shared" si="10"/>
        <v>300</v>
      </c>
      <c r="K212" s="309" t="e">
        <f>#REF!/1.4</f>
        <v>#REF!</v>
      </c>
      <c r="L212" s="230" t="e">
        <f t="shared" si="9"/>
        <v>#REF!</v>
      </c>
      <c r="M212" s="557" t="s">
        <v>832</v>
      </c>
      <c r="N212" s="565">
        <v>300</v>
      </c>
      <c r="O212" s="728"/>
      <c r="P212" s="729">
        <v>0</v>
      </c>
    </row>
    <row r="213" spans="2:16" ht="26.25" hidden="1" customHeight="1" x14ac:dyDescent="0.25">
      <c r="B213" s="483"/>
      <c r="C213" s="484" t="s">
        <v>19</v>
      </c>
      <c r="D213" s="485" t="s">
        <v>15</v>
      </c>
      <c r="E213" s="638" t="s">
        <v>110</v>
      </c>
      <c r="F213" s="640" t="s">
        <v>112</v>
      </c>
      <c r="G213" s="663" t="s">
        <v>0</v>
      </c>
      <c r="H213" s="39"/>
      <c r="I213" s="360">
        <v>0</v>
      </c>
      <c r="J213" s="39">
        <f t="shared" si="10"/>
        <v>0</v>
      </c>
      <c r="K213" s="309" t="e">
        <f>#REF!/1.4</f>
        <v>#REF!</v>
      </c>
      <c r="L213" s="230" t="e">
        <f t="shared" si="9"/>
        <v>#REF!</v>
      </c>
      <c r="M213" s="64"/>
      <c r="N213" s="140"/>
      <c r="O213" s="556"/>
      <c r="P213" s="490">
        <v>0</v>
      </c>
    </row>
    <row r="214" spans="2:16" ht="26.25" hidden="1" customHeight="1" x14ac:dyDescent="0.25">
      <c r="B214" s="583"/>
      <c r="C214" s="516" t="s">
        <v>19</v>
      </c>
      <c r="D214" s="517" t="s">
        <v>15</v>
      </c>
      <c r="E214" s="610" t="s">
        <v>101</v>
      </c>
      <c r="F214" s="588"/>
      <c r="G214" s="591" t="s">
        <v>0</v>
      </c>
      <c r="H214" s="39"/>
      <c r="I214" s="309">
        <v>0</v>
      </c>
      <c r="J214" s="39">
        <f t="shared" si="10"/>
        <v>0</v>
      </c>
      <c r="K214" s="372" t="e">
        <f>#REF!/1.4</f>
        <v>#REF!</v>
      </c>
      <c r="L214" s="230" t="e">
        <f t="shared" si="9"/>
        <v>#REF!</v>
      </c>
      <c r="M214" s="90" t="s">
        <v>121</v>
      </c>
      <c r="N214" s="140"/>
      <c r="O214" s="513"/>
      <c r="P214" s="507">
        <v>0</v>
      </c>
    </row>
    <row r="215" spans="2:16" ht="26.25" customHeight="1" thickBot="1" x14ac:dyDescent="0.3">
      <c r="B215" s="722">
        <v>69</v>
      </c>
      <c r="C215" s="723" t="s">
        <v>20</v>
      </c>
      <c r="D215" s="724" t="s">
        <v>15</v>
      </c>
      <c r="E215" s="766" t="s">
        <v>163</v>
      </c>
      <c r="F215" s="737">
        <v>433</v>
      </c>
      <c r="G215" s="738" t="s">
        <v>0</v>
      </c>
      <c r="H215" s="572">
        <v>192</v>
      </c>
      <c r="I215" s="360">
        <v>971.52</v>
      </c>
      <c r="J215" s="39">
        <f t="shared" si="10"/>
        <v>0</v>
      </c>
      <c r="K215" s="309" t="e">
        <f>#REF!/1.4</f>
        <v>#REF!</v>
      </c>
      <c r="L215" s="230" t="e">
        <f t="shared" si="9"/>
        <v>#REF!</v>
      </c>
      <c r="M215" s="365"/>
      <c r="N215" s="565"/>
      <c r="O215" s="739">
        <v>192</v>
      </c>
      <c r="P215" s="729">
        <v>971.52</v>
      </c>
    </row>
    <row r="216" spans="2:16" ht="26.25" hidden="1" customHeight="1" x14ac:dyDescent="0.25">
      <c r="B216" s="483"/>
      <c r="C216" s="484" t="s">
        <v>19</v>
      </c>
      <c r="D216" s="485" t="s">
        <v>15</v>
      </c>
      <c r="E216" s="638" t="s">
        <v>156</v>
      </c>
      <c r="F216" s="631" t="s">
        <v>119</v>
      </c>
      <c r="G216" s="637" t="s">
        <v>0</v>
      </c>
      <c r="H216" s="39"/>
      <c r="I216" s="309">
        <v>0</v>
      </c>
      <c r="J216" s="39">
        <f t="shared" si="10"/>
        <v>0</v>
      </c>
      <c r="K216" s="372" t="e">
        <f>#REF!/1.4</f>
        <v>#REF!</v>
      </c>
      <c r="L216" s="230" t="e">
        <f t="shared" si="9"/>
        <v>#REF!</v>
      </c>
      <c r="M216" s="90" t="s">
        <v>120</v>
      </c>
      <c r="N216" s="140"/>
      <c r="O216" s="489"/>
      <c r="P216" s="490">
        <v>0</v>
      </c>
    </row>
    <row r="217" spans="2:16" ht="26.25" hidden="1" customHeight="1" x14ac:dyDescent="0.25">
      <c r="B217" s="609"/>
      <c r="C217" s="516" t="s">
        <v>19</v>
      </c>
      <c r="D217" s="517" t="s">
        <v>141</v>
      </c>
      <c r="E217" s="610" t="s">
        <v>88</v>
      </c>
      <c r="F217" s="599" t="s">
        <v>267</v>
      </c>
      <c r="G217" s="546" t="s">
        <v>0</v>
      </c>
      <c r="H217" s="39"/>
      <c r="I217" s="309">
        <v>0</v>
      </c>
      <c r="J217" s="39">
        <f t="shared" si="10"/>
        <v>0</v>
      </c>
      <c r="K217" s="309" t="e">
        <f>#REF!/1.4</f>
        <v>#REF!</v>
      </c>
      <c r="L217" s="230" t="e">
        <f t="shared" si="9"/>
        <v>#REF!</v>
      </c>
      <c r="M217" s="214" t="s">
        <v>506</v>
      </c>
      <c r="N217" s="140"/>
      <c r="O217" s="513"/>
      <c r="P217" s="497">
        <v>0</v>
      </c>
    </row>
    <row r="218" spans="2:16" ht="26.25" hidden="1" customHeight="1" thickBot="1" x14ac:dyDescent="0.3">
      <c r="B218" s="722">
        <v>83</v>
      </c>
      <c r="C218" s="723" t="s">
        <v>18</v>
      </c>
      <c r="D218" s="724" t="s">
        <v>40</v>
      </c>
      <c r="E218" s="766" t="s">
        <v>211</v>
      </c>
      <c r="F218" s="787">
        <v>642</v>
      </c>
      <c r="G218" s="738" t="s">
        <v>0</v>
      </c>
      <c r="H218" s="572"/>
      <c r="I218" s="360">
        <v>0</v>
      </c>
      <c r="J218" s="39">
        <f t="shared" si="10"/>
        <v>10</v>
      </c>
      <c r="K218" s="309" t="e">
        <f>#REF!/1.4</f>
        <v>#REF!</v>
      </c>
      <c r="L218" s="230" t="e">
        <f t="shared" si="9"/>
        <v>#REF!</v>
      </c>
      <c r="M218" s="219" t="s">
        <v>833</v>
      </c>
      <c r="N218" s="565">
        <v>10</v>
      </c>
      <c r="O218" s="728"/>
      <c r="P218" s="729">
        <v>0</v>
      </c>
    </row>
    <row r="219" spans="2:16" ht="26.25" hidden="1" customHeight="1" x14ac:dyDescent="0.25">
      <c r="B219" s="483"/>
      <c r="C219" s="484" t="s">
        <v>18</v>
      </c>
      <c r="D219" s="485" t="s">
        <v>40</v>
      </c>
      <c r="E219" s="638" t="s">
        <v>226</v>
      </c>
      <c r="F219" s="640">
        <v>966</v>
      </c>
      <c r="G219" s="488"/>
      <c r="H219" s="39"/>
      <c r="I219" s="309">
        <v>0</v>
      </c>
      <c r="J219" s="39">
        <f t="shared" si="10"/>
        <v>0</v>
      </c>
      <c r="K219" s="309" t="e">
        <f>#REF!/1.4</f>
        <v>#REF!</v>
      </c>
      <c r="L219" s="230" t="e">
        <f t="shared" si="9"/>
        <v>#REF!</v>
      </c>
      <c r="M219" s="96" t="s">
        <v>307</v>
      </c>
      <c r="N219" s="140"/>
      <c r="O219" s="489"/>
      <c r="P219" s="490">
        <v>0</v>
      </c>
    </row>
    <row r="220" spans="2:16" ht="26.25" hidden="1" customHeight="1" x14ac:dyDescent="0.25">
      <c r="B220" s="11"/>
      <c r="C220" s="6" t="s">
        <v>18</v>
      </c>
      <c r="D220" s="23" t="s">
        <v>40</v>
      </c>
      <c r="E220" s="104" t="s">
        <v>227</v>
      </c>
      <c r="F220" s="394">
        <v>496</v>
      </c>
      <c r="G220" s="48"/>
      <c r="H220" s="39"/>
      <c r="I220" s="309">
        <v>0</v>
      </c>
      <c r="J220" s="39">
        <f t="shared" si="10"/>
        <v>0</v>
      </c>
      <c r="K220" s="309" t="e">
        <f>#REF!/1.4</f>
        <v>#REF!</v>
      </c>
      <c r="L220" s="230" t="e">
        <f t="shared" si="9"/>
        <v>#REF!</v>
      </c>
      <c r="M220" s="215" t="s">
        <v>232</v>
      </c>
      <c r="N220" s="140"/>
      <c r="O220" s="39"/>
      <c r="P220" s="309">
        <v>0</v>
      </c>
    </row>
    <row r="221" spans="2:16" ht="26.25" hidden="1" customHeight="1" x14ac:dyDescent="0.25">
      <c r="B221" s="11"/>
      <c r="C221" s="6" t="s">
        <v>18</v>
      </c>
      <c r="D221" s="23" t="s">
        <v>40</v>
      </c>
      <c r="E221" s="104" t="s">
        <v>245</v>
      </c>
      <c r="F221" s="210"/>
      <c r="G221" s="48"/>
      <c r="H221" s="39"/>
      <c r="I221" s="309">
        <v>0</v>
      </c>
      <c r="J221" s="39">
        <f t="shared" si="10"/>
        <v>0</v>
      </c>
      <c r="K221" s="309" t="e">
        <f>#REF!/1.4</f>
        <v>#REF!</v>
      </c>
      <c r="L221" s="230" t="e">
        <f t="shared" si="9"/>
        <v>#REF!</v>
      </c>
      <c r="M221" s="95" t="s">
        <v>241</v>
      </c>
      <c r="N221" s="140"/>
      <c r="O221" s="39"/>
      <c r="P221" s="309">
        <v>0</v>
      </c>
    </row>
    <row r="222" spans="2:16" ht="26.25" hidden="1" customHeight="1" x14ac:dyDescent="0.25">
      <c r="B222" s="583"/>
      <c r="C222" s="516" t="s">
        <v>18</v>
      </c>
      <c r="D222" s="517" t="s">
        <v>40</v>
      </c>
      <c r="E222" s="610" t="s">
        <v>246</v>
      </c>
      <c r="F222" s="617">
        <v>663</v>
      </c>
      <c r="G222" s="607" t="s">
        <v>0</v>
      </c>
      <c r="H222" s="39"/>
      <c r="I222" s="360">
        <v>0</v>
      </c>
      <c r="J222" s="39">
        <f t="shared" si="10"/>
        <v>0</v>
      </c>
      <c r="K222" s="309" t="e">
        <f>#REF!/1.4</f>
        <v>#REF!</v>
      </c>
      <c r="L222" s="230" t="e">
        <f t="shared" si="9"/>
        <v>#REF!</v>
      </c>
      <c r="M222" s="96" t="s">
        <v>277</v>
      </c>
      <c r="N222" s="140"/>
      <c r="O222" s="513"/>
      <c r="P222" s="468">
        <v>0</v>
      </c>
    </row>
    <row r="223" spans="2:16" ht="26.25" hidden="1" customHeight="1" thickBot="1" x14ac:dyDescent="0.3">
      <c r="B223" s="722">
        <v>84</v>
      </c>
      <c r="C223" s="723" t="s">
        <v>18</v>
      </c>
      <c r="D223" s="724" t="s">
        <v>40</v>
      </c>
      <c r="E223" s="766" t="s">
        <v>228</v>
      </c>
      <c r="F223" s="788">
        <v>515</v>
      </c>
      <c r="G223" s="738"/>
      <c r="H223" s="572">
        <v>450</v>
      </c>
      <c r="I223" s="360">
        <v>283.5</v>
      </c>
      <c r="J223" s="39">
        <f t="shared" si="10"/>
        <v>50</v>
      </c>
      <c r="K223" s="309">
        <v>0.63</v>
      </c>
      <c r="L223" s="230">
        <f t="shared" si="9"/>
        <v>0</v>
      </c>
      <c r="M223" s="219" t="s">
        <v>834</v>
      </c>
      <c r="N223" s="565">
        <v>500</v>
      </c>
      <c r="O223" s="739"/>
      <c r="P223" s="729">
        <v>0</v>
      </c>
    </row>
    <row r="224" spans="2:16" ht="26.25" hidden="1" customHeight="1" x14ac:dyDescent="0.25">
      <c r="B224" s="592"/>
      <c r="C224" s="593" t="s">
        <v>18</v>
      </c>
      <c r="D224" s="594" t="s">
        <v>40</v>
      </c>
      <c r="E224" s="675" t="s">
        <v>186</v>
      </c>
      <c r="F224" s="676">
        <v>586</v>
      </c>
      <c r="G224" s="677" t="s">
        <v>0</v>
      </c>
      <c r="H224" s="39"/>
      <c r="I224" s="309">
        <v>0</v>
      </c>
      <c r="J224" s="39">
        <f t="shared" si="10"/>
        <v>0</v>
      </c>
      <c r="K224" s="309" t="e">
        <f>#REF!/1.4</f>
        <v>#REF!</v>
      </c>
      <c r="L224" s="230" t="e">
        <f t="shared" si="9"/>
        <v>#REF!</v>
      </c>
      <c r="M224" s="215" t="s">
        <v>707</v>
      </c>
      <c r="N224" s="140"/>
      <c r="O224" s="555"/>
      <c r="P224" s="507">
        <v>0</v>
      </c>
    </row>
    <row r="225" spans="1:51" ht="26.25" customHeight="1" thickBot="1" x14ac:dyDescent="0.3">
      <c r="B225" s="700">
        <v>70</v>
      </c>
      <c r="C225" s="701" t="s">
        <v>18</v>
      </c>
      <c r="D225" s="702" t="s">
        <v>40</v>
      </c>
      <c r="E225" s="789" t="s">
        <v>285</v>
      </c>
      <c r="F225" s="785">
        <v>1224</v>
      </c>
      <c r="G225" s="790"/>
      <c r="H225" s="572">
        <v>1440</v>
      </c>
      <c r="I225" s="360">
        <v>244.8</v>
      </c>
      <c r="J225" s="39">
        <f t="shared" si="10"/>
        <v>0</v>
      </c>
      <c r="K225" s="309" t="e">
        <f>#REF!/1.4</f>
        <v>#REF!</v>
      </c>
      <c r="L225" s="230"/>
      <c r="M225" s="250" t="s">
        <v>538</v>
      </c>
      <c r="N225" s="565"/>
      <c r="O225" s="716">
        <v>1440</v>
      </c>
      <c r="P225" s="759">
        <v>244.8</v>
      </c>
    </row>
    <row r="226" spans="1:51" ht="26.25" hidden="1" customHeight="1" thickBot="1" x14ac:dyDescent="0.3">
      <c r="B226" s="733">
        <v>86</v>
      </c>
      <c r="C226" s="711" t="s">
        <v>18</v>
      </c>
      <c r="D226" s="712" t="s">
        <v>40</v>
      </c>
      <c r="E226" s="765" t="s">
        <v>229</v>
      </c>
      <c r="F226" s="783">
        <v>452</v>
      </c>
      <c r="G226" s="734"/>
      <c r="H226" s="572"/>
      <c r="I226" s="360">
        <v>0</v>
      </c>
      <c r="J226" s="39">
        <f t="shared" si="10"/>
        <v>100</v>
      </c>
      <c r="K226" s="309" t="e">
        <f>#REF!/1.4</f>
        <v>#REF!</v>
      </c>
      <c r="L226" s="230" t="e">
        <f>K226*J522</f>
        <v>#REF!</v>
      </c>
      <c r="M226" s="369" t="s">
        <v>835</v>
      </c>
      <c r="N226" s="565">
        <v>100</v>
      </c>
      <c r="O226" s="720"/>
      <c r="P226" s="721">
        <v>0</v>
      </c>
    </row>
    <row r="227" spans="1:51" s="4" customFormat="1" ht="26.25" hidden="1" customHeight="1" x14ac:dyDescent="0.25">
      <c r="A227" s="10"/>
      <c r="B227" s="592"/>
      <c r="C227" s="593" t="s">
        <v>18</v>
      </c>
      <c r="D227" s="594" t="s">
        <v>40</v>
      </c>
      <c r="E227" s="645"/>
      <c r="F227" s="678">
        <v>1304</v>
      </c>
      <c r="G227" s="597"/>
      <c r="H227" s="39"/>
      <c r="I227" s="360">
        <v>0</v>
      </c>
      <c r="J227" s="39">
        <f t="shared" si="10"/>
        <v>0</v>
      </c>
      <c r="K227" s="309" t="e">
        <f>#REF!/1.4</f>
        <v>#REF!</v>
      </c>
      <c r="L227" s="230"/>
      <c r="M227" s="250" t="s">
        <v>539</v>
      </c>
      <c r="N227" s="140"/>
      <c r="O227" s="555"/>
      <c r="P227" s="469">
        <v>0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</row>
    <row r="228" spans="1:51" ht="26.25" customHeight="1" thickBot="1" x14ac:dyDescent="0.3">
      <c r="B228" s="722">
        <v>71</v>
      </c>
      <c r="C228" s="723" t="s">
        <v>18</v>
      </c>
      <c r="D228" s="724" t="s">
        <v>40</v>
      </c>
      <c r="E228" s="766" t="s">
        <v>158</v>
      </c>
      <c r="F228" s="737">
        <v>808</v>
      </c>
      <c r="G228" s="738" t="s">
        <v>0</v>
      </c>
      <c r="H228" s="572">
        <v>1280</v>
      </c>
      <c r="I228" s="360">
        <v>332.8</v>
      </c>
      <c r="J228" s="39">
        <f t="shared" si="10"/>
        <v>0</v>
      </c>
      <c r="K228" s="309">
        <v>0.26</v>
      </c>
      <c r="L228" s="230">
        <f>K228*J524</f>
        <v>0</v>
      </c>
      <c r="M228" s="369" t="s">
        <v>803</v>
      </c>
      <c r="N228" s="565"/>
      <c r="O228" s="739">
        <v>1280</v>
      </c>
      <c r="P228" s="729">
        <v>332.8</v>
      </c>
    </row>
    <row r="229" spans="1:51" ht="26.25" hidden="1" customHeight="1" x14ac:dyDescent="0.25">
      <c r="B229" s="483"/>
      <c r="C229" s="484" t="s">
        <v>18</v>
      </c>
      <c r="D229" s="485" t="s">
        <v>40</v>
      </c>
      <c r="E229" s="638" t="s">
        <v>642</v>
      </c>
      <c r="F229" s="630">
        <v>1401</v>
      </c>
      <c r="G229" s="488"/>
      <c r="H229" s="39"/>
      <c r="I229" s="309">
        <v>0</v>
      </c>
      <c r="J229" s="39">
        <f t="shared" si="10"/>
        <v>0</v>
      </c>
      <c r="K229" s="309" t="e">
        <f>#REF!/1.4</f>
        <v>#REF!</v>
      </c>
      <c r="L229" s="230" t="e">
        <f>K229*J525</f>
        <v>#REF!</v>
      </c>
      <c r="M229" s="158" t="s">
        <v>628</v>
      </c>
      <c r="N229" s="140"/>
      <c r="O229" s="489"/>
      <c r="P229" s="490">
        <v>0</v>
      </c>
    </row>
    <row r="230" spans="1:51" ht="26.25" hidden="1" customHeight="1" x14ac:dyDescent="0.25">
      <c r="B230" s="19"/>
      <c r="C230" s="6" t="s">
        <v>18</v>
      </c>
      <c r="D230" s="23" t="s">
        <v>40</v>
      </c>
      <c r="E230" s="104" t="s">
        <v>360</v>
      </c>
      <c r="F230" s="208"/>
      <c r="G230" s="48"/>
      <c r="H230" s="39"/>
      <c r="I230" s="309">
        <v>0</v>
      </c>
      <c r="J230" s="39">
        <f t="shared" si="10"/>
        <v>0</v>
      </c>
      <c r="K230" s="309"/>
      <c r="L230" s="230"/>
      <c r="M230" s="90"/>
      <c r="N230" s="140"/>
      <c r="O230" s="39"/>
      <c r="P230" s="497">
        <v>0</v>
      </c>
    </row>
    <row r="231" spans="1:51" ht="26.25" hidden="1" customHeight="1" x14ac:dyDescent="0.25">
      <c r="B231" s="583"/>
      <c r="C231" s="516" t="s">
        <v>18</v>
      </c>
      <c r="D231" s="517" t="s">
        <v>40</v>
      </c>
      <c r="E231" s="610" t="s">
        <v>124</v>
      </c>
      <c r="F231" s="545" t="s">
        <v>183</v>
      </c>
      <c r="G231" s="585" t="s">
        <v>0</v>
      </c>
      <c r="H231" s="39"/>
      <c r="I231" s="360">
        <v>0</v>
      </c>
      <c r="J231" s="39">
        <f t="shared" si="10"/>
        <v>0</v>
      </c>
      <c r="K231" s="309" t="e">
        <f>#REF!/1.4</f>
        <v>#REF!</v>
      </c>
      <c r="L231" s="230" t="e">
        <f>K231*J527</f>
        <v>#REF!</v>
      </c>
      <c r="M231" s="364" t="s">
        <v>519</v>
      </c>
      <c r="N231" s="140"/>
      <c r="O231" s="513"/>
      <c r="P231" s="497">
        <v>0</v>
      </c>
    </row>
    <row r="232" spans="1:51" ht="26.25" customHeight="1" x14ac:dyDescent="0.25">
      <c r="B232" s="700">
        <v>72</v>
      </c>
      <c r="C232" s="701" t="s">
        <v>18</v>
      </c>
      <c r="D232" s="702" t="s">
        <v>40</v>
      </c>
      <c r="E232" s="791" t="s">
        <v>286</v>
      </c>
      <c r="F232" s="704">
        <v>1072</v>
      </c>
      <c r="G232" s="732" t="s">
        <v>0</v>
      </c>
      <c r="H232" s="572">
        <v>4880</v>
      </c>
      <c r="I232" s="360">
        <v>7124.8</v>
      </c>
      <c r="J232" s="39">
        <f t="shared" si="10"/>
        <v>0</v>
      </c>
      <c r="K232" s="309" t="e">
        <f>#REF!/1.4</f>
        <v>#REF!</v>
      </c>
      <c r="L232" s="230" t="e">
        <f>K232*J528</f>
        <v>#REF!</v>
      </c>
      <c r="M232" s="399"/>
      <c r="N232" s="567"/>
      <c r="O232" s="716">
        <v>4880</v>
      </c>
      <c r="P232" s="717">
        <v>7124.8</v>
      </c>
    </row>
    <row r="233" spans="1:51" ht="32.25" customHeight="1" thickBot="1" x14ac:dyDescent="0.3">
      <c r="B233" s="733">
        <v>73</v>
      </c>
      <c r="C233" s="711" t="s">
        <v>18</v>
      </c>
      <c r="D233" s="712" t="s">
        <v>40</v>
      </c>
      <c r="E233" s="771" t="s">
        <v>269</v>
      </c>
      <c r="F233" s="714">
        <v>481</v>
      </c>
      <c r="G233" s="734" t="s">
        <v>0</v>
      </c>
      <c r="H233" s="572">
        <v>4712</v>
      </c>
      <c r="I233" s="360">
        <v>1130.8800000000001</v>
      </c>
      <c r="J233" s="39">
        <f t="shared" si="10"/>
        <v>0</v>
      </c>
      <c r="K233" s="309">
        <v>0.24</v>
      </c>
      <c r="L233" s="230">
        <f>K233*J529</f>
        <v>0</v>
      </c>
      <c r="M233" s="250" t="s">
        <v>540</v>
      </c>
      <c r="N233" s="567"/>
      <c r="O233" s="720">
        <v>4712</v>
      </c>
      <c r="P233" s="721">
        <v>1130.8800000000001</v>
      </c>
    </row>
    <row r="234" spans="1:51" ht="26.25" hidden="1" customHeight="1" x14ac:dyDescent="0.25">
      <c r="B234" s="592"/>
      <c r="C234" s="593" t="s">
        <v>18</v>
      </c>
      <c r="D234" s="594" t="s">
        <v>40</v>
      </c>
      <c r="E234" s="645" t="s">
        <v>389</v>
      </c>
      <c r="F234" s="627">
        <v>1170</v>
      </c>
      <c r="G234" s="597" t="s">
        <v>0</v>
      </c>
      <c r="H234" s="39"/>
      <c r="I234" s="309">
        <v>0</v>
      </c>
      <c r="J234" s="39">
        <f t="shared" si="10"/>
        <v>0</v>
      </c>
      <c r="K234" s="309" t="e">
        <f>#REF!/1.4</f>
        <v>#REF!</v>
      </c>
      <c r="L234" s="230"/>
      <c r="M234" s="156" t="s">
        <v>409</v>
      </c>
      <c r="N234" s="143"/>
      <c r="O234" s="555"/>
      <c r="P234" s="507">
        <v>0</v>
      </c>
    </row>
    <row r="235" spans="1:51" ht="26.25" customHeight="1" thickBot="1" x14ac:dyDescent="0.3">
      <c r="B235" s="722">
        <v>74</v>
      </c>
      <c r="C235" s="723" t="s">
        <v>18</v>
      </c>
      <c r="D235" s="724" t="s">
        <v>40</v>
      </c>
      <c r="E235" s="766" t="s">
        <v>71</v>
      </c>
      <c r="F235" s="737" t="s">
        <v>76</v>
      </c>
      <c r="G235" s="738" t="s">
        <v>0</v>
      </c>
      <c r="H235" s="572">
        <v>8962</v>
      </c>
      <c r="I235" s="360">
        <v>2841.74</v>
      </c>
      <c r="J235" s="39">
        <f t="shared" si="10"/>
        <v>0</v>
      </c>
      <c r="K235" s="309">
        <v>0.32</v>
      </c>
      <c r="L235" s="230">
        <f>K235*J531</f>
        <v>0</v>
      </c>
      <c r="M235" s="399"/>
      <c r="N235" s="565"/>
      <c r="O235" s="739">
        <v>8962</v>
      </c>
      <c r="P235" s="729">
        <v>2841.74</v>
      </c>
    </row>
    <row r="236" spans="1:51" ht="26.25" hidden="1" customHeight="1" x14ac:dyDescent="0.25">
      <c r="B236" s="483"/>
      <c r="C236" s="484" t="s">
        <v>18</v>
      </c>
      <c r="D236" s="485" t="s">
        <v>40</v>
      </c>
      <c r="E236" s="647" t="s">
        <v>621</v>
      </c>
      <c r="F236" s="679" t="s">
        <v>625</v>
      </c>
      <c r="G236" s="488" t="s">
        <v>0</v>
      </c>
      <c r="H236" s="39"/>
      <c r="I236" s="309">
        <v>0</v>
      </c>
      <c r="J236" s="39">
        <f t="shared" si="10"/>
        <v>0</v>
      </c>
      <c r="K236" s="309" t="e">
        <f>#REF!/1.4</f>
        <v>#REF!</v>
      </c>
      <c r="L236" s="230" t="e">
        <f>K236*J532</f>
        <v>#REF!</v>
      </c>
      <c r="M236" s="158" t="s">
        <v>653</v>
      </c>
      <c r="N236" s="141"/>
      <c r="O236" s="556"/>
      <c r="P236" s="490">
        <v>0</v>
      </c>
    </row>
    <row r="237" spans="1:51" ht="26.25" hidden="1" customHeight="1" x14ac:dyDescent="0.25">
      <c r="B237" s="11"/>
      <c r="C237" s="6" t="s">
        <v>18</v>
      </c>
      <c r="D237" s="23" t="s">
        <v>40</v>
      </c>
      <c r="E237" s="106" t="s">
        <v>703</v>
      </c>
      <c r="F237" s="209" t="s">
        <v>700</v>
      </c>
      <c r="G237" s="48" t="s">
        <v>0</v>
      </c>
      <c r="H237" s="39"/>
      <c r="I237" s="360">
        <v>0</v>
      </c>
      <c r="J237" s="39">
        <f t="shared" si="10"/>
        <v>0</v>
      </c>
      <c r="K237" s="309" t="e">
        <f>#REF!/1.4</f>
        <v>#REF!</v>
      </c>
      <c r="L237" s="230"/>
      <c r="M237" s="215" t="s">
        <v>708</v>
      </c>
      <c r="N237" s="141"/>
      <c r="O237" s="503"/>
      <c r="P237" s="309">
        <v>0</v>
      </c>
    </row>
    <row r="238" spans="1:51" ht="26.25" hidden="1" customHeight="1" x14ac:dyDescent="0.25">
      <c r="B238" s="15"/>
      <c r="C238" s="6" t="s">
        <v>18</v>
      </c>
      <c r="D238" s="23" t="s">
        <v>40</v>
      </c>
      <c r="E238" s="106" t="s">
        <v>702</v>
      </c>
      <c r="F238" s="209" t="s">
        <v>701</v>
      </c>
      <c r="G238" s="48"/>
      <c r="H238" s="39"/>
      <c r="I238" s="360">
        <v>0</v>
      </c>
      <c r="J238" s="39">
        <f t="shared" si="10"/>
        <v>0</v>
      </c>
      <c r="K238" s="309" t="e">
        <f>#REF!/1.4</f>
        <v>#REF!</v>
      </c>
      <c r="L238" s="230"/>
      <c r="M238" s="215" t="s">
        <v>709</v>
      </c>
      <c r="N238" s="141"/>
      <c r="O238" s="503"/>
      <c r="P238" s="309">
        <v>0</v>
      </c>
    </row>
    <row r="239" spans="1:51" ht="26.25" hidden="1" customHeight="1" x14ac:dyDescent="0.25">
      <c r="B239" s="15"/>
      <c r="C239" s="6" t="s">
        <v>18</v>
      </c>
      <c r="D239" s="23" t="s">
        <v>40</v>
      </c>
      <c r="E239" s="106" t="s">
        <v>216</v>
      </c>
      <c r="F239" s="208">
        <v>1191</v>
      </c>
      <c r="G239" s="48" t="s">
        <v>0</v>
      </c>
      <c r="H239" s="39"/>
      <c r="I239" s="360">
        <v>0</v>
      </c>
      <c r="J239" s="39">
        <f t="shared" si="10"/>
        <v>0</v>
      </c>
      <c r="K239" s="309" t="e">
        <f>#REF!/1.4</f>
        <v>#REF!</v>
      </c>
      <c r="L239" s="230" t="e">
        <f>K239*J535</f>
        <v>#REF!</v>
      </c>
      <c r="M239" s="369" t="s">
        <v>710</v>
      </c>
      <c r="N239" s="140"/>
      <c r="O239" s="39"/>
      <c r="P239" s="309">
        <v>0</v>
      </c>
    </row>
    <row r="240" spans="1:51" ht="26.25" hidden="1" customHeight="1" x14ac:dyDescent="0.25">
      <c r="B240" s="515"/>
      <c r="C240" s="516" t="s">
        <v>18</v>
      </c>
      <c r="D240" s="517" t="s">
        <v>40</v>
      </c>
      <c r="E240" s="611" t="s">
        <v>637</v>
      </c>
      <c r="F240" s="590" t="s">
        <v>199</v>
      </c>
      <c r="G240" s="585" t="s">
        <v>0</v>
      </c>
      <c r="H240" s="39"/>
      <c r="I240" s="309">
        <v>0</v>
      </c>
      <c r="J240" s="39">
        <f t="shared" si="10"/>
        <v>0</v>
      </c>
      <c r="K240" s="309" t="e">
        <f>#REF!/1.4</f>
        <v>#REF!</v>
      </c>
      <c r="L240" s="230" t="e">
        <f>K240*J536</f>
        <v>#REF!</v>
      </c>
      <c r="M240" s="214" t="s">
        <v>240</v>
      </c>
      <c r="N240" s="140"/>
      <c r="O240" s="513"/>
      <c r="P240" s="497">
        <v>0</v>
      </c>
    </row>
    <row r="241" spans="2:16" ht="26.25" customHeight="1" thickBot="1" x14ac:dyDescent="0.3">
      <c r="B241" s="722">
        <v>75</v>
      </c>
      <c r="C241" s="723" t="s">
        <v>18</v>
      </c>
      <c r="D241" s="724" t="s">
        <v>40</v>
      </c>
      <c r="E241" s="792" t="s">
        <v>462</v>
      </c>
      <c r="F241" s="737" t="s">
        <v>447</v>
      </c>
      <c r="G241" s="738" t="s">
        <v>0</v>
      </c>
      <c r="H241" s="572">
        <v>7000</v>
      </c>
      <c r="I241" s="360">
        <v>3710</v>
      </c>
      <c r="J241" s="39">
        <f t="shared" si="10"/>
        <v>0</v>
      </c>
      <c r="K241" s="309" t="e">
        <f>#REF!/1.4</f>
        <v>#REF!</v>
      </c>
      <c r="L241" s="230" t="e">
        <f>K241*J537</f>
        <v>#REF!</v>
      </c>
      <c r="M241" s="369" t="s">
        <v>711</v>
      </c>
      <c r="N241" s="565"/>
      <c r="O241" s="739">
        <v>7000</v>
      </c>
      <c r="P241" s="729">
        <v>3710</v>
      </c>
    </row>
    <row r="242" spans="2:16" ht="34.5" hidden="1" customHeight="1" x14ac:dyDescent="0.25">
      <c r="B242" s="628"/>
      <c r="C242" s="484" t="s">
        <v>18</v>
      </c>
      <c r="D242" s="485" t="s">
        <v>40</v>
      </c>
      <c r="E242" s="680" t="s">
        <v>638</v>
      </c>
      <c r="F242" s="658">
        <v>830</v>
      </c>
      <c r="G242" s="488"/>
      <c r="H242" s="39"/>
      <c r="I242" s="360">
        <v>0</v>
      </c>
      <c r="J242" s="39">
        <f t="shared" si="10"/>
        <v>0</v>
      </c>
      <c r="K242" s="309" t="e">
        <f>#REF!/1.4</f>
        <v>#REF!</v>
      </c>
      <c r="L242" s="230"/>
      <c r="M242" s="250" t="s">
        <v>614</v>
      </c>
      <c r="N242" s="140"/>
      <c r="O242" s="489"/>
      <c r="P242" s="467">
        <v>0</v>
      </c>
    </row>
    <row r="243" spans="2:16" ht="26.25" hidden="1" customHeight="1" x14ac:dyDescent="0.25">
      <c r="B243" s="11"/>
      <c r="C243" s="6" t="s">
        <v>18</v>
      </c>
      <c r="D243" s="23" t="s">
        <v>40</v>
      </c>
      <c r="E243" s="106" t="s">
        <v>444</v>
      </c>
      <c r="F243" s="386">
        <v>1196</v>
      </c>
      <c r="G243" s="48" t="s">
        <v>0</v>
      </c>
      <c r="H243" s="39"/>
      <c r="I243" s="309">
        <v>0</v>
      </c>
      <c r="J243" s="39">
        <f t="shared" si="10"/>
        <v>0</v>
      </c>
      <c r="K243" s="309" t="e">
        <f>#REF!/1.4</f>
        <v>#REF!</v>
      </c>
      <c r="L243" s="230" t="e">
        <f>K243*J539</f>
        <v>#REF!</v>
      </c>
      <c r="M243" s="94" t="s">
        <v>170</v>
      </c>
      <c r="N243" s="140"/>
      <c r="O243" s="39"/>
      <c r="P243" s="309">
        <v>0</v>
      </c>
    </row>
    <row r="244" spans="2:16" ht="26.25" hidden="1" customHeight="1" x14ac:dyDescent="0.25">
      <c r="B244" s="11"/>
      <c r="C244" s="6" t="s">
        <v>18</v>
      </c>
      <c r="D244" s="23" t="s">
        <v>40</v>
      </c>
      <c r="E244" s="106" t="s">
        <v>309</v>
      </c>
      <c r="F244" s="386"/>
      <c r="G244" s="48"/>
      <c r="H244" s="39"/>
      <c r="I244" s="309">
        <v>0</v>
      </c>
      <c r="J244" s="39">
        <f t="shared" si="10"/>
        <v>0</v>
      </c>
      <c r="K244" s="309"/>
      <c r="L244" s="230"/>
      <c r="M244" s="94"/>
      <c r="N244" s="140"/>
      <c r="O244" s="39"/>
      <c r="P244" s="309">
        <v>0</v>
      </c>
    </row>
    <row r="245" spans="2:16" ht="26.25" hidden="1" customHeight="1" x14ac:dyDescent="0.25">
      <c r="B245" s="583"/>
      <c r="C245" s="516" t="s">
        <v>18</v>
      </c>
      <c r="D245" s="517" t="s">
        <v>40</v>
      </c>
      <c r="E245" s="611" t="s">
        <v>465</v>
      </c>
      <c r="F245" s="616">
        <v>773</v>
      </c>
      <c r="G245" s="607" t="s">
        <v>0</v>
      </c>
      <c r="H245" s="39"/>
      <c r="I245" s="309">
        <v>0</v>
      </c>
      <c r="J245" s="39">
        <f t="shared" si="10"/>
        <v>0</v>
      </c>
      <c r="K245" s="309" t="e">
        <f>#REF!/1.4</f>
        <v>#REF!</v>
      </c>
      <c r="L245" s="230" t="e">
        <f>K245*J541</f>
        <v>#REF!</v>
      </c>
      <c r="M245" s="95" t="s">
        <v>242</v>
      </c>
      <c r="N245" s="140"/>
      <c r="O245" s="513"/>
      <c r="P245" s="497">
        <v>0</v>
      </c>
    </row>
    <row r="246" spans="2:16" ht="26.25" customHeight="1" thickBot="1" x14ac:dyDescent="0.3">
      <c r="B246" s="722">
        <v>76</v>
      </c>
      <c r="C246" s="723" t="s">
        <v>18</v>
      </c>
      <c r="D246" s="724" t="s">
        <v>40</v>
      </c>
      <c r="E246" s="766" t="s">
        <v>533</v>
      </c>
      <c r="F246" s="737">
        <v>86</v>
      </c>
      <c r="G246" s="738" t="s">
        <v>0</v>
      </c>
      <c r="H246" s="572">
        <v>1020</v>
      </c>
      <c r="I246" s="360">
        <v>1387.2</v>
      </c>
      <c r="J246" s="39">
        <f t="shared" si="10"/>
        <v>0</v>
      </c>
      <c r="K246" s="309">
        <v>1.36</v>
      </c>
      <c r="L246" s="230">
        <f>K246*J542</f>
        <v>0</v>
      </c>
      <c r="M246" s="250" t="s">
        <v>541</v>
      </c>
      <c r="N246" s="565"/>
      <c r="O246" s="728">
        <v>1020</v>
      </c>
      <c r="P246" s="729">
        <v>1387.2</v>
      </c>
    </row>
    <row r="247" spans="2:16" ht="26.25" hidden="1" customHeight="1" x14ac:dyDescent="0.25">
      <c r="B247" s="592"/>
      <c r="C247" s="593" t="s">
        <v>18</v>
      </c>
      <c r="D247" s="594" t="s">
        <v>40</v>
      </c>
      <c r="E247" s="660" t="s">
        <v>645</v>
      </c>
      <c r="F247" s="627">
        <v>1275</v>
      </c>
      <c r="G247" s="597" t="s">
        <v>0</v>
      </c>
      <c r="H247" s="39"/>
      <c r="I247" s="360"/>
      <c r="J247" s="39">
        <f t="shared" si="10"/>
        <v>0</v>
      </c>
      <c r="K247" s="309" t="e">
        <f>#REF!/1.4</f>
        <v>#REF!</v>
      </c>
      <c r="L247" s="230"/>
      <c r="M247" s="158" t="s">
        <v>744</v>
      </c>
      <c r="N247" s="41"/>
      <c r="O247" s="646"/>
      <c r="P247" s="507"/>
    </row>
    <row r="248" spans="2:16" ht="26.25" customHeight="1" thickBot="1" x14ac:dyDescent="0.3">
      <c r="B248" s="722">
        <v>77</v>
      </c>
      <c r="C248" s="723" t="s">
        <v>18</v>
      </c>
      <c r="D248" s="724" t="s">
        <v>40</v>
      </c>
      <c r="E248" s="793" t="s">
        <v>495</v>
      </c>
      <c r="F248" s="737">
        <v>828</v>
      </c>
      <c r="G248" s="738"/>
      <c r="H248" s="572">
        <v>11</v>
      </c>
      <c r="I248" s="360">
        <v>11.33</v>
      </c>
      <c r="J248" s="39">
        <f t="shared" si="10"/>
        <v>0</v>
      </c>
      <c r="K248" s="309" t="e">
        <f>#REF!/1.4</f>
        <v>#REF!</v>
      </c>
      <c r="L248" s="230"/>
      <c r="M248" s="250" t="s">
        <v>712</v>
      </c>
      <c r="N248" s="565"/>
      <c r="O248" s="728">
        <v>11</v>
      </c>
      <c r="P248" s="729">
        <v>11.33</v>
      </c>
    </row>
    <row r="249" spans="2:16" ht="26.25" hidden="1" customHeight="1" x14ac:dyDescent="0.25">
      <c r="B249" s="483"/>
      <c r="C249" s="484" t="s">
        <v>18</v>
      </c>
      <c r="D249" s="485" t="s">
        <v>40</v>
      </c>
      <c r="E249" s="638" t="s">
        <v>310</v>
      </c>
      <c r="F249" s="630"/>
      <c r="G249" s="488"/>
      <c r="H249" s="39"/>
      <c r="I249" s="309">
        <v>0</v>
      </c>
      <c r="J249" s="39">
        <f t="shared" si="10"/>
        <v>0</v>
      </c>
      <c r="K249" s="309"/>
      <c r="L249" s="230"/>
      <c r="M249" s="62"/>
      <c r="N249" s="140"/>
      <c r="O249" s="489"/>
      <c r="P249" s="490">
        <v>0</v>
      </c>
    </row>
    <row r="250" spans="2:16" s="21" customFormat="1" ht="26.25" hidden="1" customHeight="1" x14ac:dyDescent="0.25">
      <c r="B250" s="11"/>
      <c r="C250" s="6" t="s">
        <v>18</v>
      </c>
      <c r="D250" s="23" t="s">
        <v>40</v>
      </c>
      <c r="E250" s="104" t="s">
        <v>478</v>
      </c>
      <c r="F250" s="208" t="s">
        <v>70</v>
      </c>
      <c r="G250" s="48" t="s">
        <v>0</v>
      </c>
      <c r="H250" s="40"/>
      <c r="I250" s="309">
        <v>0</v>
      </c>
      <c r="J250" s="39">
        <f t="shared" si="10"/>
        <v>0</v>
      </c>
      <c r="K250" s="309" t="e">
        <f>#REF!/1.4</f>
        <v>#REF!</v>
      </c>
      <c r="L250" s="230" t="e">
        <f>K250*J546</f>
        <v>#REF!</v>
      </c>
      <c r="M250" s="214" t="s">
        <v>241</v>
      </c>
      <c r="N250" s="140"/>
      <c r="O250" s="40"/>
      <c r="P250" s="309">
        <v>0</v>
      </c>
    </row>
    <row r="251" spans="2:16" ht="26.25" hidden="1" customHeight="1" x14ac:dyDescent="0.25">
      <c r="B251" s="15"/>
      <c r="C251" s="6" t="s">
        <v>18</v>
      </c>
      <c r="D251" s="23" t="s">
        <v>40</v>
      </c>
      <c r="E251" s="106" t="s">
        <v>318</v>
      </c>
      <c r="F251" s="387" t="s">
        <v>437</v>
      </c>
      <c r="G251" s="48" t="s">
        <v>0</v>
      </c>
      <c r="H251" s="39"/>
      <c r="I251" s="309">
        <v>0</v>
      </c>
      <c r="J251" s="39">
        <f t="shared" si="10"/>
        <v>0</v>
      </c>
      <c r="K251" s="309" t="e">
        <f>#REF!/1.4</f>
        <v>#REF!</v>
      </c>
      <c r="L251" s="230" t="e">
        <f>K251*J547</f>
        <v>#REF!</v>
      </c>
      <c r="M251" s="213" t="s">
        <v>440</v>
      </c>
      <c r="N251" s="140"/>
      <c r="O251" s="39"/>
      <c r="P251" s="309">
        <v>0</v>
      </c>
    </row>
    <row r="252" spans="2:16" ht="26.25" hidden="1" customHeight="1" x14ac:dyDescent="0.25">
      <c r="B252" s="515"/>
      <c r="C252" s="516" t="s">
        <v>18</v>
      </c>
      <c r="D252" s="517" t="s">
        <v>40</v>
      </c>
      <c r="E252" s="611" t="s">
        <v>438</v>
      </c>
      <c r="F252" s="599" t="s">
        <v>58</v>
      </c>
      <c r="G252" s="607" t="s">
        <v>0</v>
      </c>
      <c r="H252" s="39"/>
      <c r="I252" s="309">
        <v>0</v>
      </c>
      <c r="J252" s="39">
        <f t="shared" si="10"/>
        <v>0</v>
      </c>
      <c r="K252" s="309" t="e">
        <f>#REF!/1.4</f>
        <v>#REF!</v>
      </c>
      <c r="L252" s="230" t="e">
        <f>K252*J548</f>
        <v>#REF!</v>
      </c>
      <c r="M252" s="146" t="s">
        <v>333</v>
      </c>
      <c r="N252" s="140"/>
      <c r="O252" s="513"/>
      <c r="P252" s="497">
        <v>0</v>
      </c>
    </row>
    <row r="253" spans="2:16" ht="26.25" customHeight="1" thickBot="1" x14ac:dyDescent="0.3">
      <c r="B253" s="722">
        <v>78</v>
      </c>
      <c r="C253" s="723" t="s">
        <v>18</v>
      </c>
      <c r="D253" s="724" t="s">
        <v>40</v>
      </c>
      <c r="E253" s="792" t="s">
        <v>288</v>
      </c>
      <c r="F253" s="746" t="s">
        <v>434</v>
      </c>
      <c r="G253" s="738"/>
      <c r="H253" s="572">
        <v>1440</v>
      </c>
      <c r="I253" s="360">
        <v>246.82</v>
      </c>
      <c r="J253" s="39">
        <f t="shared" si="10"/>
        <v>0</v>
      </c>
      <c r="K253" s="309">
        <v>0.17</v>
      </c>
      <c r="L253" s="230"/>
      <c r="M253" s="370" t="s">
        <v>520</v>
      </c>
      <c r="N253" s="568"/>
      <c r="O253" s="728">
        <v>1440</v>
      </c>
      <c r="P253" s="729">
        <v>246.82</v>
      </c>
    </row>
    <row r="254" spans="2:16" ht="26.25" hidden="1" customHeight="1" x14ac:dyDescent="0.25">
      <c r="B254" s="663"/>
      <c r="C254" s="484" t="s">
        <v>18</v>
      </c>
      <c r="D254" s="485" t="s">
        <v>40</v>
      </c>
      <c r="E254" s="680" t="s">
        <v>384</v>
      </c>
      <c r="F254" s="670"/>
      <c r="G254" s="488"/>
      <c r="H254" s="39"/>
      <c r="I254" s="309">
        <v>0</v>
      </c>
      <c r="J254" s="39">
        <f t="shared" si="10"/>
        <v>0</v>
      </c>
      <c r="K254" s="309" t="e">
        <f>#REF!/1.4</f>
        <v>#REF!</v>
      </c>
      <c r="L254" s="230"/>
      <c r="M254" s="72"/>
      <c r="N254" s="141"/>
      <c r="O254" s="489"/>
      <c r="P254" s="490">
        <v>0</v>
      </c>
    </row>
    <row r="255" spans="2:16" ht="26.25" hidden="1" customHeight="1" x14ac:dyDescent="0.25">
      <c r="B255" s="19"/>
      <c r="C255" s="6" t="s">
        <v>18</v>
      </c>
      <c r="D255" s="23" t="s">
        <v>40</v>
      </c>
      <c r="E255" s="106" t="s">
        <v>289</v>
      </c>
      <c r="F255" s="385" t="s">
        <v>376</v>
      </c>
      <c r="G255" s="48"/>
      <c r="H255" s="39"/>
      <c r="I255" s="309">
        <v>0</v>
      </c>
      <c r="J255" s="39">
        <f t="shared" si="10"/>
        <v>0</v>
      </c>
      <c r="K255" s="309" t="e">
        <f>#REF!/1.4</f>
        <v>#REF!</v>
      </c>
      <c r="L255" s="230"/>
      <c r="M255" s="457" t="s">
        <v>499</v>
      </c>
      <c r="N255" s="141"/>
      <c r="O255" s="39"/>
      <c r="P255" s="309">
        <v>0</v>
      </c>
    </row>
    <row r="256" spans="2:16" ht="26.25" hidden="1" customHeight="1" x14ac:dyDescent="0.25">
      <c r="B256" s="609"/>
      <c r="C256" s="516" t="s">
        <v>18</v>
      </c>
      <c r="D256" s="517" t="s">
        <v>40</v>
      </c>
      <c r="E256" s="611" t="s">
        <v>308</v>
      </c>
      <c r="F256" s="599"/>
      <c r="G256" s="585"/>
      <c r="H256" s="39"/>
      <c r="I256" s="309">
        <v>0</v>
      </c>
      <c r="J256" s="39">
        <f t="shared" si="10"/>
        <v>0</v>
      </c>
      <c r="K256" s="309" t="e">
        <f>#REF!/1.4</f>
        <v>#REF!</v>
      </c>
      <c r="L256" s="230"/>
      <c r="M256" s="72"/>
      <c r="N256" s="141"/>
      <c r="O256" s="513"/>
      <c r="P256" s="497">
        <v>0</v>
      </c>
    </row>
    <row r="257" spans="2:16" ht="26.25" hidden="1" customHeight="1" x14ac:dyDescent="0.25">
      <c r="B257" s="794">
        <v>95</v>
      </c>
      <c r="C257" s="701" t="s">
        <v>18</v>
      </c>
      <c r="D257" s="702" t="s">
        <v>40</v>
      </c>
      <c r="E257" s="789" t="s">
        <v>819</v>
      </c>
      <c r="F257" s="795" t="s">
        <v>824</v>
      </c>
      <c r="G257" s="732"/>
      <c r="H257" s="572"/>
      <c r="I257" s="309">
        <v>0</v>
      </c>
      <c r="J257" s="39">
        <f t="shared" si="10"/>
        <v>100</v>
      </c>
      <c r="K257" s="309" t="e">
        <f>#REF!/1.4</f>
        <v>#REF!</v>
      </c>
      <c r="L257" s="230"/>
      <c r="M257" s="191" t="s">
        <v>836</v>
      </c>
      <c r="N257" s="568">
        <v>100</v>
      </c>
      <c r="O257" s="758"/>
      <c r="P257" s="717">
        <v>0</v>
      </c>
    </row>
    <row r="258" spans="2:16" ht="26.25" customHeight="1" thickBot="1" x14ac:dyDescent="0.3">
      <c r="B258" s="733">
        <v>79</v>
      </c>
      <c r="C258" s="711" t="s">
        <v>18</v>
      </c>
      <c r="D258" s="712" t="s">
        <v>40</v>
      </c>
      <c r="E258" s="796" t="s">
        <v>182</v>
      </c>
      <c r="F258" s="714" t="s">
        <v>181</v>
      </c>
      <c r="G258" s="734" t="s">
        <v>0</v>
      </c>
      <c r="H258" s="572">
        <v>348</v>
      </c>
      <c r="I258" s="360">
        <v>44.75</v>
      </c>
      <c r="J258" s="39">
        <f t="shared" si="10"/>
        <v>0</v>
      </c>
      <c r="K258" s="309" t="e">
        <f>#REF!/1.4</f>
        <v>#REF!</v>
      </c>
      <c r="L258" s="230" t="e">
        <f>K258*J554</f>
        <v>#REF!</v>
      </c>
      <c r="M258" s="367"/>
      <c r="N258" s="565"/>
      <c r="O258" s="755">
        <v>348</v>
      </c>
      <c r="P258" s="721">
        <v>44.75</v>
      </c>
    </row>
    <row r="259" spans="2:16" ht="26.25" hidden="1" customHeight="1" x14ac:dyDescent="0.25">
      <c r="B259" s="483"/>
      <c r="C259" s="484" t="s">
        <v>18</v>
      </c>
      <c r="D259" s="485" t="s">
        <v>40</v>
      </c>
      <c r="E259" s="664" t="s">
        <v>694</v>
      </c>
      <c r="F259" s="630">
        <v>1446</v>
      </c>
      <c r="G259" s="488"/>
      <c r="H259" s="39"/>
      <c r="I259" s="309">
        <v>0</v>
      </c>
      <c r="J259" s="39">
        <f t="shared" si="10"/>
        <v>0</v>
      </c>
      <c r="K259" s="309" t="e">
        <f>#REF!/1.4</f>
        <v>#REF!</v>
      </c>
      <c r="L259" s="230"/>
      <c r="M259" s="250" t="s">
        <v>713</v>
      </c>
      <c r="N259" s="140"/>
      <c r="O259" s="489"/>
      <c r="P259" s="490">
        <v>0</v>
      </c>
    </row>
    <row r="260" spans="2:16" ht="26.25" hidden="1" customHeight="1" x14ac:dyDescent="0.25">
      <c r="B260" s="609"/>
      <c r="C260" s="516" t="s">
        <v>18</v>
      </c>
      <c r="D260" s="517" t="s">
        <v>40</v>
      </c>
      <c r="E260" s="600" t="s">
        <v>230</v>
      </c>
      <c r="F260" s="618" t="s">
        <v>257</v>
      </c>
      <c r="G260" s="585" t="s">
        <v>0</v>
      </c>
      <c r="H260" s="39"/>
      <c r="I260" s="309">
        <v>0</v>
      </c>
      <c r="J260" s="39">
        <f t="shared" si="10"/>
        <v>0</v>
      </c>
      <c r="K260" s="309" t="e">
        <f>#REF!/1.4</f>
        <v>#REF!</v>
      </c>
      <c r="L260" s="230" t="e">
        <f>K260*J556</f>
        <v>#REF!</v>
      </c>
      <c r="M260" s="72" t="s">
        <v>260</v>
      </c>
      <c r="N260" s="141"/>
      <c r="O260" s="513"/>
      <c r="P260" s="497">
        <v>0</v>
      </c>
    </row>
    <row r="261" spans="2:16" ht="26.25" hidden="1" customHeight="1" thickBot="1" x14ac:dyDescent="0.3">
      <c r="B261" s="784">
        <v>97</v>
      </c>
      <c r="C261" s="723" t="s">
        <v>18</v>
      </c>
      <c r="D261" s="724" t="s">
        <v>40</v>
      </c>
      <c r="E261" s="747" t="s">
        <v>231</v>
      </c>
      <c r="F261" s="797" t="s">
        <v>516</v>
      </c>
      <c r="G261" s="738" t="s">
        <v>0</v>
      </c>
      <c r="H261" s="572"/>
      <c r="I261" s="360">
        <v>0</v>
      </c>
      <c r="J261" s="39">
        <f t="shared" si="10"/>
        <v>210</v>
      </c>
      <c r="K261" s="309" t="e">
        <f>#REF!/1.4</f>
        <v>#REF!</v>
      </c>
      <c r="L261" s="230" t="e">
        <f>K261*J557</f>
        <v>#REF!</v>
      </c>
      <c r="M261" s="297" t="s">
        <v>745</v>
      </c>
      <c r="N261" s="568">
        <v>210</v>
      </c>
      <c r="O261" s="728"/>
      <c r="P261" s="729">
        <v>0</v>
      </c>
    </row>
    <row r="262" spans="2:16" ht="26.25" hidden="1" customHeight="1" x14ac:dyDescent="0.25">
      <c r="B262" s="673"/>
      <c r="C262" s="593" t="s">
        <v>18</v>
      </c>
      <c r="D262" s="594" t="s">
        <v>40</v>
      </c>
      <c r="E262" s="645" t="s">
        <v>287</v>
      </c>
      <c r="F262" s="681" t="s">
        <v>378</v>
      </c>
      <c r="G262" s="597"/>
      <c r="H262" s="39"/>
      <c r="I262" s="309">
        <v>0</v>
      </c>
      <c r="J262" s="39">
        <f t="shared" si="10"/>
        <v>0</v>
      </c>
      <c r="K262" s="309" t="e">
        <f>#REF!/1.4</f>
        <v>#REF!</v>
      </c>
      <c r="L262" s="230"/>
      <c r="M262" s="215" t="s">
        <v>745</v>
      </c>
      <c r="N262" s="141"/>
      <c r="O262" s="555"/>
      <c r="P262" s="507">
        <v>0</v>
      </c>
    </row>
    <row r="263" spans="2:16" ht="26.25" hidden="1" customHeight="1" thickBot="1" x14ac:dyDescent="0.3">
      <c r="B263" s="749">
        <v>98</v>
      </c>
      <c r="C263" s="723" t="s">
        <v>18</v>
      </c>
      <c r="D263" s="724" t="s">
        <v>40</v>
      </c>
      <c r="E263" s="792" t="s">
        <v>151</v>
      </c>
      <c r="F263" s="798">
        <v>606</v>
      </c>
      <c r="G263" s="738" t="s">
        <v>0</v>
      </c>
      <c r="H263" s="572"/>
      <c r="I263" s="360">
        <v>0</v>
      </c>
      <c r="J263" s="39">
        <f t="shared" si="10"/>
        <v>100</v>
      </c>
      <c r="K263" s="309" t="e">
        <f>#REF!/1.4</f>
        <v>#REF!</v>
      </c>
      <c r="L263" s="230" t="e">
        <f>K263*J559</f>
        <v>#REF!</v>
      </c>
      <c r="M263" s="219" t="s">
        <v>680</v>
      </c>
      <c r="N263" s="565">
        <v>100</v>
      </c>
      <c r="O263" s="728"/>
      <c r="P263" s="729">
        <v>0</v>
      </c>
    </row>
    <row r="264" spans="2:16" ht="26.25" hidden="1" customHeight="1" x14ac:dyDescent="0.25">
      <c r="B264" s="637"/>
      <c r="C264" s="484" t="s">
        <v>18</v>
      </c>
      <c r="D264" s="485" t="s">
        <v>40</v>
      </c>
      <c r="E264" s="680" t="s">
        <v>524</v>
      </c>
      <c r="F264" s="672">
        <v>1181</v>
      </c>
      <c r="G264" s="488"/>
      <c r="H264" s="39"/>
      <c r="I264" s="309">
        <v>0</v>
      </c>
      <c r="J264" s="39">
        <f t="shared" si="10"/>
        <v>0</v>
      </c>
      <c r="K264" s="309" t="e">
        <f>#REF!/1.4</f>
        <v>#REF!</v>
      </c>
      <c r="L264" s="230"/>
      <c r="M264" s="250" t="s">
        <v>615</v>
      </c>
      <c r="N264" s="140"/>
      <c r="O264" s="489"/>
      <c r="P264" s="490">
        <v>0</v>
      </c>
    </row>
    <row r="265" spans="2:16" ht="26.25" hidden="1" customHeight="1" x14ac:dyDescent="0.25">
      <c r="B265" s="14"/>
      <c r="C265" s="6" t="s">
        <v>18</v>
      </c>
      <c r="D265" s="23" t="s">
        <v>40</v>
      </c>
      <c r="E265" s="106" t="s">
        <v>773</v>
      </c>
      <c r="F265" s="386"/>
      <c r="G265" s="48"/>
      <c r="H265" s="39"/>
      <c r="I265" s="309"/>
      <c r="J265" s="39"/>
      <c r="K265" s="309"/>
      <c r="L265" s="230"/>
      <c r="M265" s="250"/>
      <c r="N265" s="140"/>
      <c r="O265" s="39"/>
      <c r="P265" s="467"/>
    </row>
    <row r="266" spans="2:16" ht="26.25" hidden="1" customHeight="1" x14ac:dyDescent="0.25">
      <c r="B266" s="14"/>
      <c r="C266" s="6" t="s">
        <v>18</v>
      </c>
      <c r="D266" s="23" t="s">
        <v>40</v>
      </c>
      <c r="E266" s="1" t="s">
        <v>643</v>
      </c>
      <c r="F266" s="386">
        <v>893</v>
      </c>
      <c r="G266" s="48"/>
      <c r="H266" s="39"/>
      <c r="I266" s="309">
        <v>0</v>
      </c>
      <c r="J266" s="39">
        <f t="shared" ref="J266:J290" si="11">N266+O266-H266</f>
        <v>0</v>
      </c>
      <c r="K266" s="309" t="e">
        <f>#REF!/1.4</f>
        <v>#REF!</v>
      </c>
      <c r="L266" s="230" t="e">
        <f>K266*J561</f>
        <v>#REF!</v>
      </c>
      <c r="M266" s="99" t="s">
        <v>410</v>
      </c>
      <c r="N266" s="140"/>
      <c r="O266" s="39"/>
      <c r="P266" s="467">
        <v>0</v>
      </c>
    </row>
    <row r="267" spans="2:16" ht="26.25" hidden="1" customHeight="1" x14ac:dyDescent="0.25">
      <c r="B267" s="14"/>
      <c r="C267" s="6" t="s">
        <v>18</v>
      </c>
      <c r="D267" s="23" t="s">
        <v>40</v>
      </c>
      <c r="E267" s="87" t="s">
        <v>514</v>
      </c>
      <c r="F267" s="386">
        <v>1126</v>
      </c>
      <c r="G267" s="48"/>
      <c r="H267" s="39"/>
      <c r="I267" s="309">
        <v>0</v>
      </c>
      <c r="J267" s="39">
        <f t="shared" si="11"/>
        <v>0</v>
      </c>
      <c r="K267" s="309" t="e">
        <f>#REF!/1.4</f>
        <v>#REF!</v>
      </c>
      <c r="L267" s="230" t="e">
        <f>K267*J562</f>
        <v>#REF!</v>
      </c>
      <c r="M267" s="215"/>
      <c r="N267" s="140"/>
      <c r="O267" s="39"/>
      <c r="P267" s="309">
        <v>0</v>
      </c>
    </row>
    <row r="268" spans="2:16" ht="26.25" hidden="1" customHeight="1" x14ac:dyDescent="0.25">
      <c r="B268" s="11"/>
      <c r="C268" s="6" t="s">
        <v>18</v>
      </c>
      <c r="D268" s="23" t="s">
        <v>40</v>
      </c>
      <c r="E268" s="104" t="s">
        <v>214</v>
      </c>
      <c r="F268" s="210">
        <v>735</v>
      </c>
      <c r="G268" s="48" t="s">
        <v>0</v>
      </c>
      <c r="H268" s="39"/>
      <c r="I268" s="360"/>
      <c r="J268" s="39">
        <f t="shared" si="11"/>
        <v>0</v>
      </c>
      <c r="K268" s="309" t="e">
        <f>#REF!/1.4</f>
        <v>#REF!</v>
      </c>
      <c r="L268" s="230" t="e">
        <f>K268*J563</f>
        <v>#REF!</v>
      </c>
      <c r="M268" s="215" t="s">
        <v>627</v>
      </c>
      <c r="N268" s="140"/>
      <c r="O268" s="39"/>
      <c r="P268" s="360"/>
    </row>
    <row r="269" spans="2:16" ht="26.25" hidden="1" customHeight="1" x14ac:dyDescent="0.25">
      <c r="B269" s="11"/>
      <c r="C269" s="6" t="s">
        <v>18</v>
      </c>
      <c r="D269" s="23" t="s">
        <v>40</v>
      </c>
      <c r="E269" s="87" t="s">
        <v>663</v>
      </c>
      <c r="F269" s="210"/>
      <c r="G269" s="48"/>
      <c r="H269" s="39"/>
      <c r="I269" s="360"/>
      <c r="J269" s="39">
        <f t="shared" si="11"/>
        <v>0</v>
      </c>
      <c r="K269" s="309"/>
      <c r="L269" s="230"/>
      <c r="M269" s="215"/>
      <c r="N269" s="140"/>
      <c r="O269" s="39"/>
      <c r="P269" s="468"/>
    </row>
    <row r="270" spans="2:16" ht="26.25" hidden="1" customHeight="1" x14ac:dyDescent="0.25">
      <c r="B270" s="19"/>
      <c r="C270" s="6" t="s">
        <v>18</v>
      </c>
      <c r="D270" s="23" t="s">
        <v>40</v>
      </c>
      <c r="E270" s="87" t="s">
        <v>290</v>
      </c>
      <c r="F270" s="385" t="s">
        <v>369</v>
      </c>
      <c r="G270" s="48"/>
      <c r="H270" s="39"/>
      <c r="I270" s="360">
        <v>0</v>
      </c>
      <c r="J270" s="39">
        <f t="shared" si="11"/>
        <v>0</v>
      </c>
      <c r="K270" s="309" t="e">
        <f>#REF!/1.4</f>
        <v>#REF!</v>
      </c>
      <c r="L270" s="230" t="e">
        <f>K270*J565</f>
        <v>#REF!</v>
      </c>
      <c r="M270" s="215" t="s">
        <v>746</v>
      </c>
      <c r="N270" s="141"/>
      <c r="O270" s="39"/>
      <c r="P270" s="309">
        <v>0</v>
      </c>
    </row>
    <row r="271" spans="2:16" ht="26.25" hidden="1" customHeight="1" x14ac:dyDescent="0.25">
      <c r="B271" s="19"/>
      <c r="C271" s="6" t="s">
        <v>18</v>
      </c>
      <c r="D271" s="23" t="s">
        <v>40</v>
      </c>
      <c r="E271" s="1" t="s">
        <v>513</v>
      </c>
      <c r="F271" s="385" t="s">
        <v>517</v>
      </c>
      <c r="G271" s="48" t="s">
        <v>0</v>
      </c>
      <c r="H271" s="39"/>
      <c r="I271" s="360">
        <v>0</v>
      </c>
      <c r="J271" s="39">
        <f t="shared" si="11"/>
        <v>0</v>
      </c>
      <c r="K271" s="309" t="e">
        <f>#REF!/1.4</f>
        <v>#REF!</v>
      </c>
      <c r="L271" s="230" t="e">
        <f>K271*J566</f>
        <v>#REF!</v>
      </c>
      <c r="M271" s="370" t="s">
        <v>521</v>
      </c>
      <c r="N271" s="141"/>
      <c r="O271" s="39"/>
      <c r="P271" s="467">
        <v>0</v>
      </c>
    </row>
    <row r="272" spans="2:16" ht="26.25" hidden="1" customHeight="1" x14ac:dyDescent="0.25">
      <c r="B272" s="19"/>
      <c r="C272" s="6" t="s">
        <v>18</v>
      </c>
      <c r="D272" s="23" t="s">
        <v>40</v>
      </c>
      <c r="E272" s="1" t="s">
        <v>766</v>
      </c>
      <c r="F272" s="385"/>
      <c r="G272" s="48"/>
      <c r="H272" s="39"/>
      <c r="I272" s="360"/>
      <c r="J272" s="39">
        <f t="shared" si="11"/>
        <v>0</v>
      </c>
      <c r="K272" s="309" t="e">
        <f>#REF!/1.4</f>
        <v>#REF!</v>
      </c>
      <c r="L272" s="230"/>
      <c r="M272" s="370"/>
      <c r="N272" s="141"/>
      <c r="O272" s="39"/>
      <c r="P272" s="360"/>
    </row>
    <row r="273" spans="1:16" ht="26.25" hidden="1" customHeight="1" x14ac:dyDescent="0.25">
      <c r="B273" s="19"/>
      <c r="C273" s="6" t="s">
        <v>18</v>
      </c>
      <c r="D273" s="23" t="s">
        <v>40</v>
      </c>
      <c r="E273" s="1" t="s">
        <v>561</v>
      </c>
      <c r="F273" s="385"/>
      <c r="G273" s="48"/>
      <c r="H273" s="39"/>
      <c r="I273" s="360"/>
      <c r="J273" s="39">
        <f t="shared" si="11"/>
        <v>0</v>
      </c>
      <c r="K273" s="309" t="e">
        <f>#REF!/1.4</f>
        <v>#REF!</v>
      </c>
      <c r="L273" s="230"/>
      <c r="M273" s="370"/>
      <c r="N273" s="141"/>
      <c r="O273" s="39"/>
      <c r="P273" s="360"/>
    </row>
    <row r="274" spans="1:16" ht="26.25" hidden="1" customHeight="1" x14ac:dyDescent="0.25">
      <c r="B274" s="19"/>
      <c r="C274" s="6" t="s">
        <v>18</v>
      </c>
      <c r="D274" s="23" t="s">
        <v>40</v>
      </c>
      <c r="E274" s="1" t="s">
        <v>562</v>
      </c>
      <c r="F274" s="385"/>
      <c r="G274" s="48"/>
      <c r="H274" s="39"/>
      <c r="I274" s="360"/>
      <c r="J274" s="39">
        <f t="shared" si="11"/>
        <v>0</v>
      </c>
      <c r="K274" s="309" t="e">
        <f>#REF!/1.4</f>
        <v>#REF!</v>
      </c>
      <c r="L274" s="230"/>
      <c r="M274" s="370"/>
      <c r="N274" s="141"/>
      <c r="O274" s="39"/>
      <c r="P274" s="468"/>
    </row>
    <row r="275" spans="1:16" ht="26.25" hidden="1" customHeight="1" x14ac:dyDescent="0.25">
      <c r="B275" s="19"/>
      <c r="C275" s="6" t="s">
        <v>18</v>
      </c>
      <c r="D275" s="23" t="s">
        <v>40</v>
      </c>
      <c r="E275" s="463" t="s">
        <v>729</v>
      </c>
      <c r="F275" s="385" t="s">
        <v>733</v>
      </c>
      <c r="G275" s="48"/>
      <c r="H275" s="39"/>
      <c r="I275" s="360"/>
      <c r="J275" s="39">
        <f t="shared" si="11"/>
        <v>0</v>
      </c>
      <c r="K275" s="309" t="e">
        <f>#REF!/1.4</f>
        <v>#REF!</v>
      </c>
      <c r="L275" s="230"/>
      <c r="M275" s="215" t="s">
        <v>747</v>
      </c>
      <c r="N275" s="141"/>
      <c r="O275" s="39"/>
      <c r="P275" s="309"/>
    </row>
    <row r="276" spans="1:16" s="4" customFormat="1" ht="33" hidden="1" customHeight="1" x14ac:dyDescent="0.25">
      <c r="A276" s="10"/>
      <c r="B276" s="19"/>
      <c r="C276" s="6" t="s">
        <v>18</v>
      </c>
      <c r="D276" s="23" t="s">
        <v>40</v>
      </c>
      <c r="E276" s="87" t="s">
        <v>765</v>
      </c>
      <c r="F276" s="385"/>
      <c r="G276" s="48"/>
      <c r="H276" s="39"/>
      <c r="I276" s="309">
        <v>0</v>
      </c>
      <c r="J276" s="39">
        <f t="shared" si="11"/>
        <v>0</v>
      </c>
      <c r="K276" s="309" t="e">
        <f>#REF!/1.4</f>
        <v>#REF!</v>
      </c>
      <c r="L276" s="230"/>
      <c r="M276" s="250" t="s">
        <v>681</v>
      </c>
      <c r="N276" s="141"/>
      <c r="O276" s="503"/>
      <c r="P276" s="490">
        <v>0</v>
      </c>
    </row>
    <row r="277" spans="1:16" s="4" customFormat="1" ht="26.25" hidden="1" customHeight="1" x14ac:dyDescent="0.25">
      <c r="A277" s="10"/>
      <c r="B277" s="609"/>
      <c r="C277" s="516" t="s">
        <v>18</v>
      </c>
      <c r="D277" s="517" t="s">
        <v>40</v>
      </c>
      <c r="E277" s="613" t="s">
        <v>556</v>
      </c>
      <c r="F277" s="619">
        <v>1334</v>
      </c>
      <c r="G277" s="585"/>
      <c r="H277" s="39"/>
      <c r="I277" s="360">
        <v>0</v>
      </c>
      <c r="J277" s="39">
        <f t="shared" si="11"/>
        <v>0</v>
      </c>
      <c r="K277" s="309" t="e">
        <f>#REF!/1.4</f>
        <v>#REF!</v>
      </c>
      <c r="L277" s="230"/>
      <c r="M277" s="155" t="s">
        <v>682</v>
      </c>
      <c r="N277" s="141"/>
      <c r="O277" s="547"/>
      <c r="P277" s="497">
        <v>0</v>
      </c>
    </row>
    <row r="278" spans="1:16" ht="32.25" hidden="1" customHeight="1" thickBot="1" x14ac:dyDescent="0.3">
      <c r="B278" s="784">
        <v>99</v>
      </c>
      <c r="C278" s="723" t="s">
        <v>18</v>
      </c>
      <c r="D278" s="724" t="s">
        <v>40</v>
      </c>
      <c r="E278" s="747" t="s">
        <v>636</v>
      </c>
      <c r="F278" s="799">
        <v>1371</v>
      </c>
      <c r="G278" s="738"/>
      <c r="H278" s="572"/>
      <c r="I278" s="360"/>
      <c r="J278" s="39">
        <f t="shared" si="11"/>
        <v>10</v>
      </c>
      <c r="K278" s="309" t="e">
        <f>#REF!/1.4</f>
        <v>#REF!</v>
      </c>
      <c r="L278" s="230"/>
      <c r="M278" s="219" t="s">
        <v>683</v>
      </c>
      <c r="N278" s="568">
        <v>10</v>
      </c>
      <c r="O278" s="728"/>
      <c r="P278" s="729"/>
    </row>
    <row r="279" spans="1:16" ht="26.25" hidden="1" customHeight="1" x14ac:dyDescent="0.25">
      <c r="B279" s="628"/>
      <c r="C279" s="484" t="s">
        <v>18</v>
      </c>
      <c r="D279" s="485" t="s">
        <v>40</v>
      </c>
      <c r="E279" s="647" t="s">
        <v>272</v>
      </c>
      <c r="F279" s="672">
        <v>1253</v>
      </c>
      <c r="G279" s="632" t="s">
        <v>0</v>
      </c>
      <c r="H279" s="39">
        <v>0</v>
      </c>
      <c r="I279" s="309">
        <v>0</v>
      </c>
      <c r="J279" s="39">
        <f t="shared" si="11"/>
        <v>0</v>
      </c>
      <c r="K279" s="309" t="e">
        <f>#REF!/1.4</f>
        <v>#REF!</v>
      </c>
      <c r="L279" s="230" t="e">
        <f>K279*J574</f>
        <v>#REF!</v>
      </c>
      <c r="M279" s="99" t="s">
        <v>171</v>
      </c>
      <c r="N279" s="140"/>
      <c r="O279" s="489">
        <v>0</v>
      </c>
      <c r="P279" s="490">
        <v>0</v>
      </c>
    </row>
    <row r="280" spans="1:16" ht="26.25" hidden="1" customHeight="1" x14ac:dyDescent="0.25">
      <c r="B280" s="11"/>
      <c r="C280" s="6" t="s">
        <v>18</v>
      </c>
      <c r="D280" s="23" t="s">
        <v>40</v>
      </c>
      <c r="E280" s="107" t="s">
        <v>583</v>
      </c>
      <c r="F280" s="210">
        <v>1359</v>
      </c>
      <c r="G280" s="14" t="s">
        <v>0</v>
      </c>
      <c r="H280" s="39"/>
      <c r="I280" s="360">
        <v>0</v>
      </c>
      <c r="J280" s="39">
        <f t="shared" si="11"/>
        <v>0</v>
      </c>
      <c r="K280" s="309" t="e">
        <f>#REF!/1.4</f>
        <v>#REF!</v>
      </c>
      <c r="L280" s="230" t="e">
        <f>K280*J575</f>
        <v>#REF!</v>
      </c>
      <c r="M280" s="94" t="s">
        <v>608</v>
      </c>
      <c r="N280" s="140"/>
      <c r="O280" s="39"/>
      <c r="P280" s="360">
        <v>0</v>
      </c>
    </row>
    <row r="281" spans="1:16" ht="26.25" hidden="1" customHeight="1" x14ac:dyDescent="0.25">
      <c r="B281" s="583"/>
      <c r="C281" s="516" t="s">
        <v>18</v>
      </c>
      <c r="D281" s="517" t="s">
        <v>40</v>
      </c>
      <c r="E281" s="614" t="s">
        <v>315</v>
      </c>
      <c r="F281" s="615"/>
      <c r="G281" s="591"/>
      <c r="H281" s="39"/>
      <c r="I281" s="309">
        <v>0</v>
      </c>
      <c r="J281" s="39">
        <f t="shared" si="11"/>
        <v>0</v>
      </c>
      <c r="K281" s="309"/>
      <c r="L281" s="230"/>
      <c r="M281" s="94"/>
      <c r="N281" s="140"/>
      <c r="O281" s="513"/>
      <c r="P281" s="497">
        <v>0</v>
      </c>
    </row>
    <row r="282" spans="1:16" ht="26.25" customHeight="1" thickBot="1" x14ac:dyDescent="0.3">
      <c r="B282" s="722">
        <v>80</v>
      </c>
      <c r="C282" s="723" t="s">
        <v>18</v>
      </c>
      <c r="D282" s="724" t="s">
        <v>40</v>
      </c>
      <c r="E282" s="793" t="s">
        <v>776</v>
      </c>
      <c r="F282" s="788">
        <v>945</v>
      </c>
      <c r="G282" s="744" t="s">
        <v>0</v>
      </c>
      <c r="H282" s="572">
        <v>2</v>
      </c>
      <c r="I282" s="360">
        <v>8</v>
      </c>
      <c r="J282" s="39">
        <f t="shared" si="11"/>
        <v>0</v>
      </c>
      <c r="K282" s="309">
        <v>4</v>
      </c>
      <c r="L282" s="230"/>
      <c r="M282" s="363"/>
      <c r="N282" s="565"/>
      <c r="O282" s="728">
        <v>2</v>
      </c>
      <c r="P282" s="729">
        <v>8</v>
      </c>
    </row>
    <row r="283" spans="1:16" ht="31.5" hidden="1" customHeight="1" x14ac:dyDescent="0.25">
      <c r="B283" s="483"/>
      <c r="C283" s="484" t="s">
        <v>18</v>
      </c>
      <c r="D283" s="485" t="s">
        <v>40</v>
      </c>
      <c r="E283" s="664" t="s">
        <v>586</v>
      </c>
      <c r="F283" s="665"/>
      <c r="G283" s="682"/>
      <c r="H283" s="39"/>
      <c r="I283" s="309">
        <v>0</v>
      </c>
      <c r="J283" s="39">
        <f t="shared" si="11"/>
        <v>0</v>
      </c>
      <c r="K283" s="309" t="e">
        <f>#REF!/1.4</f>
        <v>#REF!</v>
      </c>
      <c r="L283" s="230"/>
      <c r="M283" s="94"/>
      <c r="N283" s="140"/>
      <c r="O283" s="489"/>
      <c r="P283" s="490">
        <v>0</v>
      </c>
    </row>
    <row r="284" spans="1:16" ht="34.5" hidden="1" customHeight="1" x14ac:dyDescent="0.25">
      <c r="B284" s="11"/>
      <c r="C284" s="6" t="s">
        <v>18</v>
      </c>
      <c r="D284" s="23" t="s">
        <v>40</v>
      </c>
      <c r="E284" s="107" t="s">
        <v>659</v>
      </c>
      <c r="F284" s="210"/>
      <c r="G284" s="13"/>
      <c r="H284" s="39"/>
      <c r="I284" s="309">
        <v>0</v>
      </c>
      <c r="J284" s="39">
        <f t="shared" si="11"/>
        <v>0</v>
      </c>
      <c r="K284" s="309" t="e">
        <f>#REF!/1.4</f>
        <v>#REF!</v>
      </c>
      <c r="L284" s="230"/>
      <c r="M284" s="156" t="s">
        <v>477</v>
      </c>
      <c r="N284" s="140"/>
      <c r="O284" s="39"/>
      <c r="P284" s="360">
        <v>0</v>
      </c>
    </row>
    <row r="285" spans="1:16" ht="26.25" hidden="1" customHeight="1" x14ac:dyDescent="0.25">
      <c r="B285" s="11"/>
      <c r="C285" s="6" t="s">
        <v>18</v>
      </c>
      <c r="D285" s="23" t="s">
        <v>40</v>
      </c>
      <c r="E285" s="107" t="s">
        <v>441</v>
      </c>
      <c r="F285" s="210"/>
      <c r="G285" s="13"/>
      <c r="H285" s="39"/>
      <c r="I285" s="309">
        <v>0</v>
      </c>
      <c r="J285" s="39">
        <f t="shared" si="11"/>
        <v>0</v>
      </c>
      <c r="K285" s="309"/>
      <c r="L285" s="230"/>
      <c r="M285" s="94"/>
      <c r="N285" s="140"/>
      <c r="O285" s="39"/>
      <c r="P285" s="309">
        <v>0</v>
      </c>
    </row>
    <row r="286" spans="1:16" ht="26.25" hidden="1" customHeight="1" x14ac:dyDescent="0.25">
      <c r="B286" s="11"/>
      <c r="C286" s="6" t="s">
        <v>18</v>
      </c>
      <c r="D286" s="23" t="s">
        <v>40</v>
      </c>
      <c r="E286" s="107" t="s">
        <v>636</v>
      </c>
      <c r="F286" s="210"/>
      <c r="G286" s="13"/>
      <c r="H286" s="39"/>
      <c r="I286" s="309"/>
      <c r="J286" s="39">
        <f t="shared" si="11"/>
        <v>0</v>
      </c>
      <c r="K286" s="309"/>
      <c r="L286" s="230"/>
      <c r="M286" s="94"/>
      <c r="N286" s="140"/>
      <c r="O286" s="39"/>
      <c r="P286" s="309"/>
    </row>
    <row r="287" spans="1:16" ht="31.5" hidden="1" customHeight="1" x14ac:dyDescent="0.25">
      <c r="B287" s="11"/>
      <c r="C287" s="6" t="s">
        <v>18</v>
      </c>
      <c r="D287" s="23" t="s">
        <v>40</v>
      </c>
      <c r="E287" s="107" t="s">
        <v>648</v>
      </c>
      <c r="F287" s="210"/>
      <c r="G287" s="13"/>
      <c r="H287" s="39"/>
      <c r="I287" s="309"/>
      <c r="J287" s="39">
        <f t="shared" si="11"/>
        <v>0</v>
      </c>
      <c r="K287" s="309"/>
      <c r="L287" s="230"/>
      <c r="M287" s="94"/>
      <c r="N287" s="140"/>
      <c r="O287" s="39"/>
      <c r="P287" s="309"/>
    </row>
    <row r="288" spans="1:16" ht="26.25" hidden="1" customHeight="1" x14ac:dyDescent="0.25">
      <c r="B288" s="15"/>
      <c r="C288" s="6" t="s">
        <v>18</v>
      </c>
      <c r="D288" s="23" t="s">
        <v>40</v>
      </c>
      <c r="E288" s="104" t="s">
        <v>187</v>
      </c>
      <c r="F288" s="393" t="s">
        <v>189</v>
      </c>
      <c r="G288" s="19" t="s">
        <v>0</v>
      </c>
      <c r="H288" s="39"/>
      <c r="I288" s="309">
        <v>0</v>
      </c>
      <c r="J288" s="39">
        <f t="shared" si="11"/>
        <v>0</v>
      </c>
      <c r="K288" s="309" t="e">
        <f>#REF!/1.4</f>
        <v>#REF!</v>
      </c>
      <c r="L288" s="230" t="e">
        <f>K288*J583</f>
        <v>#REF!</v>
      </c>
      <c r="M288" s="117" t="s">
        <v>262</v>
      </c>
      <c r="N288" s="140"/>
      <c r="O288" s="39"/>
      <c r="P288" s="309">
        <v>0</v>
      </c>
    </row>
    <row r="289" spans="1:51" ht="26.25" hidden="1" customHeight="1" x14ac:dyDescent="0.25">
      <c r="B289" s="15"/>
      <c r="C289" s="6" t="s">
        <v>18</v>
      </c>
      <c r="D289" s="23" t="s">
        <v>40</v>
      </c>
      <c r="E289" s="104" t="s">
        <v>730</v>
      </c>
      <c r="F289" s="393"/>
      <c r="G289" s="19"/>
      <c r="H289" s="39"/>
      <c r="I289" s="309"/>
      <c r="J289" s="39">
        <f t="shared" si="11"/>
        <v>0</v>
      </c>
      <c r="K289" s="309"/>
      <c r="L289" s="230"/>
      <c r="M289" s="117"/>
      <c r="N289" s="140"/>
      <c r="O289" s="39"/>
      <c r="P289" s="309"/>
    </row>
    <row r="290" spans="1:51" ht="26.25" hidden="1" customHeight="1" x14ac:dyDescent="0.25">
      <c r="B290" s="15"/>
      <c r="C290" s="6" t="s">
        <v>18</v>
      </c>
      <c r="D290" s="23" t="s">
        <v>40</v>
      </c>
      <c r="E290" s="104" t="s">
        <v>525</v>
      </c>
      <c r="F290" s="393"/>
      <c r="G290" s="19"/>
      <c r="H290" s="39"/>
      <c r="I290" s="309">
        <v>0</v>
      </c>
      <c r="J290" s="39">
        <f t="shared" si="11"/>
        <v>0</v>
      </c>
      <c r="K290" s="309"/>
      <c r="L290" s="230"/>
      <c r="M290" s="117"/>
      <c r="N290" s="140"/>
      <c r="O290" s="39"/>
      <c r="P290" s="309">
        <v>0</v>
      </c>
    </row>
    <row r="291" spans="1:51" ht="26.25" hidden="1" customHeight="1" x14ac:dyDescent="0.25">
      <c r="B291" s="15"/>
      <c r="C291" s="6" t="s">
        <v>18</v>
      </c>
      <c r="D291" s="23" t="s">
        <v>40</v>
      </c>
      <c r="E291" s="104" t="s">
        <v>298</v>
      </c>
      <c r="F291" s="393"/>
      <c r="G291" s="19"/>
      <c r="H291" s="39"/>
      <c r="I291" s="360"/>
      <c r="J291" s="39"/>
      <c r="K291" s="309"/>
      <c r="L291" s="230"/>
      <c r="M291" s="117"/>
      <c r="N291" s="140"/>
      <c r="O291" s="39"/>
      <c r="P291" s="360"/>
    </row>
    <row r="292" spans="1:51" ht="26.25" hidden="1" customHeight="1" thickBot="1" x14ac:dyDescent="0.3">
      <c r="B292" s="15"/>
      <c r="C292" s="6" t="s">
        <v>18</v>
      </c>
      <c r="D292" s="23" t="s">
        <v>40</v>
      </c>
      <c r="E292" s="104"/>
      <c r="F292" s="393"/>
      <c r="G292" s="19"/>
      <c r="H292" s="39"/>
      <c r="I292" s="360"/>
      <c r="J292" s="39"/>
      <c r="K292" s="309"/>
      <c r="L292" s="230"/>
      <c r="M292" s="117"/>
      <c r="N292" s="140"/>
      <c r="O292" s="39"/>
      <c r="P292" s="360"/>
    </row>
    <row r="293" spans="1:51" ht="26.25" hidden="1" customHeight="1" x14ac:dyDescent="0.25">
      <c r="B293" s="15"/>
      <c r="C293" s="6" t="s">
        <v>18</v>
      </c>
      <c r="D293" s="23" t="s">
        <v>40</v>
      </c>
      <c r="E293" s="104" t="s">
        <v>587</v>
      </c>
      <c r="F293" s="208">
        <v>1384</v>
      </c>
      <c r="G293" s="48" t="s">
        <v>0</v>
      </c>
      <c r="H293" s="39"/>
      <c r="I293" s="360">
        <v>0</v>
      </c>
      <c r="J293" s="39">
        <f t="shared" ref="J293:J324" si="12">N293+O293-H293</f>
        <v>0</v>
      </c>
      <c r="K293" s="309" t="e">
        <f>#REF!/1.4</f>
        <v>#REF!</v>
      </c>
      <c r="L293" s="230" t="e">
        <f>K293*J586</f>
        <v>#REF!</v>
      </c>
      <c r="M293" s="94" t="s">
        <v>590</v>
      </c>
      <c r="N293" s="140"/>
      <c r="O293" s="39"/>
      <c r="P293" s="360">
        <v>0</v>
      </c>
    </row>
    <row r="294" spans="1:51" ht="26.25" hidden="1" customHeight="1" x14ac:dyDescent="0.25">
      <c r="B294" s="15"/>
      <c r="C294" s="6" t="s">
        <v>18</v>
      </c>
      <c r="D294" s="23" t="s">
        <v>40</v>
      </c>
      <c r="E294" s="104" t="s">
        <v>563</v>
      </c>
      <c r="F294" s="208"/>
      <c r="G294" s="48"/>
      <c r="H294" s="39"/>
      <c r="I294" s="360">
        <v>0</v>
      </c>
      <c r="J294" s="39">
        <f t="shared" si="12"/>
        <v>0</v>
      </c>
      <c r="K294" s="309"/>
      <c r="L294" s="230"/>
      <c r="M294" s="94"/>
      <c r="N294" s="140"/>
      <c r="O294" s="39"/>
      <c r="P294" s="468">
        <v>0</v>
      </c>
    </row>
    <row r="295" spans="1:51" ht="26.25" hidden="1" customHeight="1" x14ac:dyDescent="0.25">
      <c r="B295" s="11"/>
      <c r="C295" s="6" t="s">
        <v>18</v>
      </c>
      <c r="D295" s="23" t="s">
        <v>40</v>
      </c>
      <c r="E295" s="464" t="s">
        <v>633</v>
      </c>
      <c r="F295" s="208">
        <v>1415</v>
      </c>
      <c r="G295" s="48"/>
      <c r="H295" s="39"/>
      <c r="I295" s="360">
        <v>0</v>
      </c>
      <c r="J295" s="39">
        <f t="shared" si="12"/>
        <v>0</v>
      </c>
      <c r="K295" s="471" t="e">
        <f>#REF!/1.4</f>
        <v>#REF!</v>
      </c>
      <c r="L295" s="230"/>
      <c r="M295" s="215" t="s">
        <v>654</v>
      </c>
      <c r="N295" s="140"/>
      <c r="O295" s="503"/>
      <c r="P295" s="309">
        <v>0</v>
      </c>
    </row>
    <row r="296" spans="1:51" ht="26.25" hidden="1" customHeight="1" x14ac:dyDescent="0.25">
      <c r="B296" s="11"/>
      <c r="C296" s="6" t="s">
        <v>18</v>
      </c>
      <c r="D296" s="23" t="s">
        <v>40</v>
      </c>
      <c r="E296" s="459" t="s">
        <v>618</v>
      </c>
      <c r="F296" s="208">
        <v>1397</v>
      </c>
      <c r="G296" s="48"/>
      <c r="H296" s="39"/>
      <c r="I296" s="360">
        <v>0</v>
      </c>
      <c r="J296" s="39">
        <f t="shared" si="12"/>
        <v>0</v>
      </c>
      <c r="K296" s="471" t="e">
        <f>#REF!/1.4</f>
        <v>#REF!</v>
      </c>
      <c r="L296" s="230"/>
      <c r="M296" s="215" t="s">
        <v>629</v>
      </c>
      <c r="N296" s="140"/>
      <c r="O296" s="39"/>
      <c r="P296" s="467">
        <v>0</v>
      </c>
    </row>
    <row r="297" spans="1:51" ht="26.25" hidden="1" customHeight="1" x14ac:dyDescent="0.25">
      <c r="B297" s="583"/>
      <c r="C297" s="516" t="s">
        <v>18</v>
      </c>
      <c r="D297" s="517" t="s">
        <v>40</v>
      </c>
      <c r="E297" s="589" t="s">
        <v>790</v>
      </c>
      <c r="F297" s="584">
        <v>1406</v>
      </c>
      <c r="G297" s="585"/>
      <c r="H297" s="39"/>
      <c r="I297" s="360">
        <v>0</v>
      </c>
      <c r="J297" s="39">
        <f t="shared" si="12"/>
        <v>0</v>
      </c>
      <c r="K297" s="471" t="e">
        <f>#REF!/1.4</f>
        <v>#REF!</v>
      </c>
      <c r="L297" s="230"/>
      <c r="M297" s="215" t="s">
        <v>630</v>
      </c>
      <c r="N297" s="140"/>
      <c r="O297" s="513"/>
      <c r="P297" s="468">
        <v>0</v>
      </c>
    </row>
    <row r="298" spans="1:51" ht="44.25" hidden="1" customHeight="1" thickBot="1" x14ac:dyDescent="0.3">
      <c r="B298" s="722">
        <v>101</v>
      </c>
      <c r="C298" s="723" t="s">
        <v>18</v>
      </c>
      <c r="D298" s="724" t="s">
        <v>40</v>
      </c>
      <c r="E298" s="793" t="s">
        <v>497</v>
      </c>
      <c r="F298" s="746" t="s">
        <v>435</v>
      </c>
      <c r="G298" s="744" t="s">
        <v>0</v>
      </c>
      <c r="H298" s="572"/>
      <c r="I298" s="360">
        <v>0</v>
      </c>
      <c r="J298" s="39">
        <f t="shared" si="12"/>
        <v>500</v>
      </c>
      <c r="K298" s="309" t="e">
        <f>#REF!/1.4</f>
        <v>#REF!</v>
      </c>
      <c r="L298" s="230" t="e">
        <f>K298*J591</f>
        <v>#REF!</v>
      </c>
      <c r="M298" s="218" t="s">
        <v>837</v>
      </c>
      <c r="N298" s="568">
        <v>500</v>
      </c>
      <c r="O298" s="728"/>
      <c r="P298" s="729">
        <v>0</v>
      </c>
    </row>
    <row r="299" spans="1:51" ht="26.25" hidden="1" customHeight="1" x14ac:dyDescent="0.25">
      <c r="B299" s="628"/>
      <c r="C299" s="484" t="s">
        <v>18</v>
      </c>
      <c r="D299" s="485" t="s">
        <v>40</v>
      </c>
      <c r="E299" s="638" t="s">
        <v>634</v>
      </c>
      <c r="F299" s="630">
        <v>380</v>
      </c>
      <c r="G299" s="488" t="s">
        <v>0</v>
      </c>
      <c r="H299" s="39">
        <v>0</v>
      </c>
      <c r="I299" s="309">
        <v>0</v>
      </c>
      <c r="J299" s="39">
        <f t="shared" si="12"/>
        <v>0</v>
      </c>
      <c r="K299" s="309" t="e">
        <f>#REF!/1.4</f>
        <v>#REF!</v>
      </c>
      <c r="L299" s="230" t="e">
        <f>K299*J592</f>
        <v>#REF!</v>
      </c>
      <c r="M299" s="156" t="s">
        <v>655</v>
      </c>
      <c r="N299" s="140"/>
      <c r="O299" s="556">
        <v>0</v>
      </c>
      <c r="P299" s="490">
        <v>0</v>
      </c>
    </row>
    <row r="300" spans="1:51" ht="26.25" hidden="1" customHeight="1" x14ac:dyDescent="0.25">
      <c r="B300" s="19"/>
      <c r="C300" s="6" t="s">
        <v>18</v>
      </c>
      <c r="D300" s="23" t="s">
        <v>40</v>
      </c>
      <c r="E300" s="106" t="s">
        <v>157</v>
      </c>
      <c r="F300" s="385" t="s">
        <v>218</v>
      </c>
      <c r="G300" s="48" t="s">
        <v>0</v>
      </c>
      <c r="H300" s="39"/>
      <c r="I300" s="309">
        <v>0</v>
      </c>
      <c r="J300" s="39">
        <f t="shared" si="12"/>
        <v>0</v>
      </c>
      <c r="K300" s="309" t="e">
        <f>#REF!/1.4</f>
        <v>#REF!</v>
      </c>
      <c r="L300" s="230" t="e">
        <f>K300*J593</f>
        <v>#REF!</v>
      </c>
      <c r="M300" s="146" t="s">
        <v>609</v>
      </c>
      <c r="N300" s="141"/>
      <c r="O300" s="39"/>
      <c r="P300" s="507">
        <v>0</v>
      </c>
    </row>
    <row r="301" spans="1:51" ht="26.25" hidden="1" customHeight="1" x14ac:dyDescent="0.25">
      <c r="B301" s="19"/>
      <c r="C301" s="6" t="s">
        <v>18</v>
      </c>
      <c r="D301" s="23" t="s">
        <v>40</v>
      </c>
      <c r="E301" s="106" t="s">
        <v>299</v>
      </c>
      <c r="F301" s="384">
        <v>876</v>
      </c>
      <c r="G301" s="48"/>
      <c r="H301" s="39"/>
      <c r="I301" s="360">
        <v>0</v>
      </c>
      <c r="J301" s="39">
        <f t="shared" si="12"/>
        <v>0</v>
      </c>
      <c r="K301" s="309" t="e">
        <f>#REF!/1.4</f>
        <v>#REF!</v>
      </c>
      <c r="L301" s="230"/>
      <c r="M301" s="203" t="s">
        <v>748</v>
      </c>
      <c r="N301" s="141"/>
      <c r="O301" s="39"/>
      <c r="P301" s="309">
        <v>0</v>
      </c>
    </row>
    <row r="302" spans="1:51" s="4" customFormat="1" ht="26.25" hidden="1" customHeight="1" x14ac:dyDescent="0.25">
      <c r="A302" s="10"/>
      <c r="B302" s="515"/>
      <c r="C302" s="516" t="s">
        <v>18</v>
      </c>
      <c r="D302" s="517" t="s">
        <v>40</v>
      </c>
      <c r="E302" s="611" t="s">
        <v>291</v>
      </c>
      <c r="F302" s="620">
        <v>1307</v>
      </c>
      <c r="G302" s="585" t="s">
        <v>0</v>
      </c>
      <c r="H302" s="39">
        <v>0</v>
      </c>
      <c r="I302" s="360">
        <v>0</v>
      </c>
      <c r="J302" s="39">
        <f t="shared" si="12"/>
        <v>0</v>
      </c>
      <c r="K302" s="309" t="e">
        <f>#REF!/1.4</f>
        <v>#REF!</v>
      </c>
      <c r="L302" s="230" t="e">
        <f>K302*J595</f>
        <v>#REF!</v>
      </c>
      <c r="M302" s="215" t="s">
        <v>529</v>
      </c>
      <c r="N302" s="140"/>
      <c r="O302" s="513">
        <v>0</v>
      </c>
      <c r="P302" s="469">
        <v>0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1:51" ht="26.25" hidden="1" customHeight="1" thickBot="1" x14ac:dyDescent="0.3">
      <c r="B303" s="722">
        <v>102</v>
      </c>
      <c r="C303" s="723" t="s">
        <v>18</v>
      </c>
      <c r="D303" s="724" t="s">
        <v>40</v>
      </c>
      <c r="E303" s="792" t="s">
        <v>762</v>
      </c>
      <c r="F303" s="746" t="s">
        <v>560</v>
      </c>
      <c r="G303" s="738"/>
      <c r="H303" s="572"/>
      <c r="I303" s="360">
        <v>0</v>
      </c>
      <c r="J303" s="39">
        <f t="shared" si="12"/>
        <v>187</v>
      </c>
      <c r="K303" s="309" t="e">
        <f>#REF!/1.4</f>
        <v>#REF!</v>
      </c>
      <c r="L303" s="230"/>
      <c r="M303" s="297" t="s">
        <v>838</v>
      </c>
      <c r="N303" s="568">
        <v>187</v>
      </c>
      <c r="O303" s="728"/>
      <c r="P303" s="729">
        <v>0</v>
      </c>
    </row>
    <row r="304" spans="1:51" ht="26.25" hidden="1" customHeight="1" x14ac:dyDescent="0.3">
      <c r="B304" s="663"/>
      <c r="C304" s="484"/>
      <c r="D304" s="485"/>
      <c r="E304" s="680"/>
      <c r="F304" s="670"/>
      <c r="G304" s="488"/>
      <c r="H304" s="39"/>
      <c r="I304" s="360"/>
      <c r="J304" s="39">
        <f t="shared" si="12"/>
        <v>0</v>
      </c>
      <c r="K304" s="309"/>
      <c r="L304" s="230"/>
      <c r="M304" s="274"/>
      <c r="N304" s="141"/>
      <c r="O304" s="489"/>
      <c r="P304" s="467"/>
    </row>
    <row r="305" spans="1:52" ht="26.25" hidden="1" customHeight="1" x14ac:dyDescent="0.25">
      <c r="B305" s="609"/>
      <c r="C305" s="516" t="s">
        <v>18</v>
      </c>
      <c r="D305" s="517" t="s">
        <v>40</v>
      </c>
      <c r="E305" s="611" t="s">
        <v>33</v>
      </c>
      <c r="F305" s="599" t="s">
        <v>377</v>
      </c>
      <c r="G305" s="585"/>
      <c r="H305" s="39"/>
      <c r="I305" s="309">
        <v>0</v>
      </c>
      <c r="J305" s="39">
        <f t="shared" si="12"/>
        <v>0</v>
      </c>
      <c r="K305" s="309" t="e">
        <f>#REF!/1.4</f>
        <v>#REF!</v>
      </c>
      <c r="L305" s="230"/>
      <c r="M305" s="94" t="s">
        <v>591</v>
      </c>
      <c r="N305" s="141"/>
      <c r="O305" s="513"/>
      <c r="P305" s="497">
        <v>0</v>
      </c>
    </row>
    <row r="306" spans="1:52" ht="26.25" customHeight="1" x14ac:dyDescent="0.25">
      <c r="B306" s="700">
        <v>81</v>
      </c>
      <c r="C306" s="701" t="s">
        <v>18</v>
      </c>
      <c r="D306" s="702" t="s">
        <v>40</v>
      </c>
      <c r="E306" s="800" t="s">
        <v>337</v>
      </c>
      <c r="F306" s="785" t="s">
        <v>436</v>
      </c>
      <c r="G306" s="732"/>
      <c r="H306" s="572">
        <v>2</v>
      </c>
      <c r="I306" s="360">
        <v>51.42</v>
      </c>
      <c r="J306" s="39">
        <f t="shared" si="12"/>
        <v>0</v>
      </c>
      <c r="K306" s="309">
        <v>25.71</v>
      </c>
      <c r="L306" s="230">
        <f>K306*J599</f>
        <v>0</v>
      </c>
      <c r="M306" s="363"/>
      <c r="N306" s="568"/>
      <c r="O306" s="758">
        <v>2</v>
      </c>
      <c r="P306" s="717">
        <v>51.42</v>
      </c>
    </row>
    <row r="307" spans="1:52" ht="26.25" customHeight="1" thickBot="1" x14ac:dyDescent="0.3">
      <c r="B307" s="733">
        <v>82</v>
      </c>
      <c r="C307" s="711" t="s">
        <v>18</v>
      </c>
      <c r="D307" s="712" t="s">
        <v>40</v>
      </c>
      <c r="E307" s="801" t="s">
        <v>549</v>
      </c>
      <c r="F307" s="768">
        <v>1333</v>
      </c>
      <c r="G307" s="734"/>
      <c r="H307" s="572">
        <v>12</v>
      </c>
      <c r="I307" s="360">
        <v>843.48</v>
      </c>
      <c r="J307" s="39">
        <f t="shared" si="12"/>
        <v>0</v>
      </c>
      <c r="K307" s="309" t="e">
        <f>#REF!/1.4</f>
        <v>#REF!</v>
      </c>
      <c r="L307" s="230" t="e">
        <f>K307*J600</f>
        <v>#REF!</v>
      </c>
      <c r="M307" s="64" t="s">
        <v>567</v>
      </c>
      <c r="N307" s="568"/>
      <c r="O307" s="755">
        <v>12</v>
      </c>
      <c r="P307" s="721">
        <v>843.48</v>
      </c>
    </row>
    <row r="308" spans="1:52" s="4" customFormat="1" ht="33" hidden="1" customHeight="1" x14ac:dyDescent="0.25">
      <c r="A308" s="10"/>
      <c r="B308" s="673"/>
      <c r="C308" s="593" t="s">
        <v>18</v>
      </c>
      <c r="D308" s="594" t="s">
        <v>40</v>
      </c>
      <c r="E308" s="683" t="s">
        <v>639</v>
      </c>
      <c r="F308" s="684">
        <v>1086</v>
      </c>
      <c r="G308" s="597" t="s">
        <v>0</v>
      </c>
      <c r="H308" s="39"/>
      <c r="I308" s="360">
        <v>0</v>
      </c>
      <c r="J308" s="39">
        <f t="shared" si="12"/>
        <v>0</v>
      </c>
      <c r="K308" s="309" t="e">
        <f>#REF!/1.4</f>
        <v>#REF!</v>
      </c>
      <c r="L308" s="230" t="e">
        <f>K308*J601</f>
        <v>#REF!</v>
      </c>
      <c r="M308" s="64" t="s">
        <v>548</v>
      </c>
      <c r="N308" s="141"/>
      <c r="O308" s="555"/>
      <c r="P308" s="469">
        <v>0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</row>
    <row r="309" spans="1:52" s="21" customFormat="1" ht="26.25" customHeight="1" thickBot="1" x14ac:dyDescent="0.3">
      <c r="B309" s="700">
        <v>83</v>
      </c>
      <c r="C309" s="701" t="s">
        <v>136</v>
      </c>
      <c r="D309" s="702" t="s">
        <v>40</v>
      </c>
      <c r="E309" s="802" t="s">
        <v>363</v>
      </c>
      <c r="F309" s="704">
        <v>595</v>
      </c>
      <c r="G309" s="732" t="s">
        <v>0</v>
      </c>
      <c r="H309" s="572">
        <v>22</v>
      </c>
      <c r="I309" s="360">
        <v>115.06</v>
      </c>
      <c r="J309" s="39">
        <f t="shared" si="12"/>
        <v>0</v>
      </c>
      <c r="K309" s="309" t="e">
        <f>#REF!/1.4</f>
        <v>#REF!</v>
      </c>
      <c r="L309" s="230" t="e">
        <f>K309*J602</f>
        <v>#REF!</v>
      </c>
      <c r="M309" s="94" t="s">
        <v>592</v>
      </c>
      <c r="N309" s="565">
        <v>12</v>
      </c>
      <c r="O309" s="758">
        <v>10</v>
      </c>
      <c r="P309" s="717">
        <v>61.7</v>
      </c>
    </row>
    <row r="310" spans="1:52" ht="26.25" hidden="1" customHeight="1" thickBot="1" x14ac:dyDescent="0.3">
      <c r="B310" s="733">
        <v>106</v>
      </c>
      <c r="C310" s="711" t="s">
        <v>18</v>
      </c>
      <c r="D310" s="712" t="s">
        <v>40</v>
      </c>
      <c r="E310" s="796" t="s">
        <v>467</v>
      </c>
      <c r="F310" s="803">
        <v>830</v>
      </c>
      <c r="G310" s="773" t="s">
        <v>0</v>
      </c>
      <c r="H310" s="572"/>
      <c r="I310" s="309">
        <v>0</v>
      </c>
      <c r="J310" s="39">
        <f t="shared" si="12"/>
        <v>6</v>
      </c>
      <c r="K310" s="309" t="e">
        <f>#REF!/1.4</f>
        <v>#REF!</v>
      </c>
      <c r="L310" s="230" t="e">
        <f>K310*J603</f>
        <v>#REF!</v>
      </c>
      <c r="M310" s="47" t="s">
        <v>839</v>
      </c>
      <c r="N310" s="565">
        <v>6</v>
      </c>
      <c r="O310" s="755"/>
      <c r="P310" s="721">
        <v>0</v>
      </c>
    </row>
    <row r="311" spans="1:52" ht="26.25" hidden="1" customHeight="1" x14ac:dyDescent="0.25">
      <c r="B311" s="483"/>
      <c r="C311" s="484" t="s">
        <v>18</v>
      </c>
      <c r="D311" s="485" t="s">
        <v>40</v>
      </c>
      <c r="E311" s="685" t="s">
        <v>319</v>
      </c>
      <c r="F311" s="672">
        <v>1069</v>
      </c>
      <c r="G311" s="682" t="s">
        <v>0</v>
      </c>
      <c r="H311" s="39"/>
      <c r="I311" s="309">
        <v>0</v>
      </c>
      <c r="J311" s="39">
        <f t="shared" si="12"/>
        <v>0</v>
      </c>
      <c r="K311" s="309" t="e">
        <f>#REF!/1.4</f>
        <v>#REF!</v>
      </c>
      <c r="L311" s="230"/>
      <c r="M311" s="90"/>
      <c r="N311" s="140"/>
      <c r="O311" s="489"/>
      <c r="P311" s="490">
        <v>0</v>
      </c>
    </row>
    <row r="312" spans="1:52" ht="26.25" hidden="1" customHeight="1" x14ac:dyDescent="0.25">
      <c r="B312" s="11"/>
      <c r="C312" s="6" t="s">
        <v>18</v>
      </c>
      <c r="D312" s="23" t="s">
        <v>40</v>
      </c>
      <c r="E312" s="112" t="s">
        <v>442</v>
      </c>
      <c r="F312" s="386">
        <v>1200</v>
      </c>
      <c r="G312" s="13"/>
      <c r="H312" s="39"/>
      <c r="I312" s="309">
        <v>0</v>
      </c>
      <c r="J312" s="39">
        <f t="shared" si="12"/>
        <v>0</v>
      </c>
      <c r="K312" s="309" t="e">
        <f>#REF!/1.4</f>
        <v>#REF!</v>
      </c>
      <c r="L312" s="230"/>
      <c r="M312" s="90"/>
      <c r="N312" s="140"/>
      <c r="O312" s="39"/>
      <c r="P312" s="309">
        <v>0</v>
      </c>
    </row>
    <row r="313" spans="1:52" ht="26.25" hidden="1" customHeight="1" x14ac:dyDescent="0.25">
      <c r="B313" s="11"/>
      <c r="C313" s="6" t="s">
        <v>18</v>
      </c>
      <c r="D313" s="23" t="s">
        <v>40</v>
      </c>
      <c r="E313" s="276" t="s">
        <v>640</v>
      </c>
      <c r="F313" s="386"/>
      <c r="G313" s="13"/>
      <c r="H313" s="39"/>
      <c r="I313" s="309">
        <v>0</v>
      </c>
      <c r="J313" s="39">
        <f t="shared" si="12"/>
        <v>0</v>
      </c>
      <c r="K313" s="309" t="e">
        <f>#REF!/1.4</f>
        <v>#REF!</v>
      </c>
      <c r="L313" s="230"/>
      <c r="M313" s="90"/>
      <c r="N313" s="140"/>
      <c r="O313" s="39"/>
      <c r="P313" s="309">
        <v>0</v>
      </c>
    </row>
    <row r="314" spans="1:52" ht="26.25" hidden="1" customHeight="1" x14ac:dyDescent="0.25">
      <c r="B314" s="11"/>
      <c r="C314" s="6" t="s">
        <v>18</v>
      </c>
      <c r="D314" s="23" t="s">
        <v>40</v>
      </c>
      <c r="E314" s="276" t="s">
        <v>641</v>
      </c>
      <c r="F314" s="387"/>
      <c r="G314" s="12"/>
      <c r="H314" s="39"/>
      <c r="I314" s="309">
        <v>0</v>
      </c>
      <c r="J314" s="39">
        <f t="shared" si="12"/>
        <v>0</v>
      </c>
      <c r="K314" s="309" t="e">
        <f>#REF!/1.4</f>
        <v>#REF!</v>
      </c>
      <c r="L314" s="230" t="e">
        <f>K314*J607</f>
        <v>#REF!</v>
      </c>
      <c r="M314" s="90" t="s">
        <v>150</v>
      </c>
      <c r="N314" s="140"/>
      <c r="O314" s="39"/>
      <c r="P314" s="309">
        <v>0</v>
      </c>
    </row>
    <row r="315" spans="1:52" ht="26.25" hidden="1" customHeight="1" x14ac:dyDescent="0.25">
      <c r="B315" s="11"/>
      <c r="C315" s="6" t="s">
        <v>18</v>
      </c>
      <c r="D315" s="23" t="s">
        <v>40</v>
      </c>
      <c r="E315" s="463" t="s">
        <v>759</v>
      </c>
      <c r="F315" s="386">
        <v>1332</v>
      </c>
      <c r="G315" s="14"/>
      <c r="H315" s="39"/>
      <c r="I315" s="309">
        <v>0</v>
      </c>
      <c r="J315" s="39">
        <f t="shared" si="12"/>
        <v>0</v>
      </c>
      <c r="K315" s="309" t="e">
        <f>#REF!/1.4</f>
        <v>#REF!</v>
      </c>
      <c r="L315" s="230"/>
      <c r="M315" s="218" t="s">
        <v>805</v>
      </c>
      <c r="N315" s="140"/>
      <c r="O315" s="39"/>
      <c r="P315" s="309">
        <v>0</v>
      </c>
    </row>
    <row r="316" spans="1:52" ht="26.25" hidden="1" customHeight="1" x14ac:dyDescent="0.25">
      <c r="B316" s="11"/>
      <c r="C316" s="6" t="s">
        <v>18</v>
      </c>
      <c r="D316" s="23" t="s">
        <v>40</v>
      </c>
      <c r="E316" s="112" t="s">
        <v>494</v>
      </c>
      <c r="F316" s="526">
        <v>1332</v>
      </c>
      <c r="G316" s="13"/>
      <c r="H316" s="39"/>
      <c r="I316" s="360">
        <v>0</v>
      </c>
      <c r="J316" s="39">
        <f t="shared" si="12"/>
        <v>0</v>
      </c>
      <c r="K316" s="309" t="e">
        <f>#REF!/1.4</f>
        <v>#REF!</v>
      </c>
      <c r="L316" s="230"/>
      <c r="M316" s="250" t="s">
        <v>714</v>
      </c>
      <c r="N316" s="140"/>
      <c r="O316" s="503"/>
      <c r="P316" s="309">
        <v>0</v>
      </c>
    </row>
    <row r="317" spans="1:52" ht="26.25" hidden="1" customHeight="1" x14ac:dyDescent="0.25">
      <c r="B317" s="11"/>
      <c r="C317" s="6" t="s">
        <v>18</v>
      </c>
      <c r="D317" s="23" t="s">
        <v>40</v>
      </c>
      <c r="E317" s="106" t="s">
        <v>660</v>
      </c>
      <c r="F317" s="387" t="s">
        <v>192</v>
      </c>
      <c r="G317" s="12" t="s">
        <v>0</v>
      </c>
      <c r="H317" s="39"/>
      <c r="I317" s="309">
        <v>0</v>
      </c>
      <c r="J317" s="39">
        <f t="shared" si="12"/>
        <v>0</v>
      </c>
      <c r="K317" s="309" t="e">
        <f>#REF!/1.4</f>
        <v>#REF!</v>
      </c>
      <c r="L317" s="230" t="e">
        <f>K317*J610</f>
        <v>#REF!</v>
      </c>
      <c r="M317" s="90" t="s">
        <v>150</v>
      </c>
      <c r="N317" s="140"/>
      <c r="O317" s="39"/>
      <c r="P317" s="490">
        <v>0</v>
      </c>
    </row>
    <row r="318" spans="1:52" ht="26.25" hidden="1" customHeight="1" x14ac:dyDescent="0.25">
      <c r="B318" s="11"/>
      <c r="C318" s="6" t="s">
        <v>18</v>
      </c>
      <c r="D318" s="23" t="s">
        <v>40</v>
      </c>
      <c r="E318" s="107" t="s">
        <v>311</v>
      </c>
      <c r="F318" s="386"/>
      <c r="G318" s="12" t="s">
        <v>0</v>
      </c>
      <c r="H318" s="39"/>
      <c r="I318" s="309">
        <v>0</v>
      </c>
      <c r="J318" s="39">
        <f t="shared" si="12"/>
        <v>0</v>
      </c>
      <c r="K318" s="309" t="e">
        <f>#REF!/1.4</f>
        <v>#REF!</v>
      </c>
      <c r="L318" s="230"/>
      <c r="M318" s="90"/>
      <c r="N318" s="140"/>
      <c r="O318" s="39"/>
      <c r="P318" s="309">
        <v>0</v>
      </c>
    </row>
    <row r="319" spans="1:52" ht="26.25" hidden="1" customHeight="1" x14ac:dyDescent="0.25">
      <c r="B319" s="11"/>
      <c r="C319" s="6" t="s">
        <v>18</v>
      </c>
      <c r="D319" s="23" t="s">
        <v>40</v>
      </c>
      <c r="E319" s="107" t="s">
        <v>778</v>
      </c>
      <c r="F319" s="386">
        <v>384</v>
      </c>
      <c r="G319" s="12" t="s">
        <v>0</v>
      </c>
      <c r="H319" s="39"/>
      <c r="I319" s="309">
        <v>0</v>
      </c>
      <c r="J319" s="39">
        <f t="shared" si="12"/>
        <v>0</v>
      </c>
      <c r="K319" s="309" t="e">
        <f>#REF!/1.4</f>
        <v>#REF!</v>
      </c>
      <c r="L319" s="230"/>
      <c r="M319" s="64"/>
      <c r="N319" s="140"/>
      <c r="O319" s="39"/>
      <c r="P319" s="309">
        <v>0</v>
      </c>
    </row>
    <row r="320" spans="1:52" ht="26.25" hidden="1" customHeight="1" x14ac:dyDescent="0.25">
      <c r="B320" s="11"/>
      <c r="C320" s="6" t="s">
        <v>18</v>
      </c>
      <c r="D320" s="23" t="s">
        <v>40</v>
      </c>
      <c r="E320" s="107" t="s">
        <v>393</v>
      </c>
      <c r="F320" s="386"/>
      <c r="G320" s="12" t="s">
        <v>0</v>
      </c>
      <c r="H320" s="39"/>
      <c r="I320" s="309">
        <v>0</v>
      </c>
      <c r="J320" s="39">
        <f t="shared" si="12"/>
        <v>0</v>
      </c>
      <c r="K320" s="309" t="e">
        <f>#REF!/1.4</f>
        <v>#REF!</v>
      </c>
      <c r="L320" s="230"/>
      <c r="M320" s="64"/>
      <c r="N320" s="140"/>
      <c r="O320" s="39"/>
      <c r="P320" s="309">
        <v>0</v>
      </c>
    </row>
    <row r="321" spans="2:31" ht="26.25" hidden="1" customHeight="1" x14ac:dyDescent="0.25">
      <c r="B321" s="583"/>
      <c r="C321" s="516" t="s">
        <v>18</v>
      </c>
      <c r="D321" s="517" t="s">
        <v>40</v>
      </c>
      <c r="E321" s="614" t="s">
        <v>392</v>
      </c>
      <c r="F321" s="605"/>
      <c r="G321" s="546" t="s">
        <v>0</v>
      </c>
      <c r="H321" s="39"/>
      <c r="I321" s="309">
        <v>0</v>
      </c>
      <c r="J321" s="39">
        <f t="shared" si="12"/>
        <v>0</v>
      </c>
      <c r="K321" s="309" t="e">
        <f>#REF!/1.4</f>
        <v>#REF!</v>
      </c>
      <c r="L321" s="230"/>
      <c r="M321" s="64"/>
      <c r="N321" s="140"/>
      <c r="O321" s="513"/>
      <c r="P321" s="497">
        <v>0</v>
      </c>
    </row>
    <row r="322" spans="2:31" ht="26.25" customHeight="1" x14ac:dyDescent="0.25">
      <c r="B322" s="700">
        <v>84</v>
      </c>
      <c r="C322" s="701" t="s">
        <v>18</v>
      </c>
      <c r="D322" s="702" t="s">
        <v>40</v>
      </c>
      <c r="E322" s="774" t="s">
        <v>138</v>
      </c>
      <c r="F322" s="804" t="s">
        <v>59</v>
      </c>
      <c r="G322" s="705" t="s">
        <v>0</v>
      </c>
      <c r="H322" s="572">
        <v>1000</v>
      </c>
      <c r="I322" s="360">
        <v>219.4</v>
      </c>
      <c r="J322" s="39">
        <f t="shared" si="12"/>
        <v>0</v>
      </c>
      <c r="K322" s="309">
        <v>0.22</v>
      </c>
      <c r="L322" s="230">
        <f>K322*J615</f>
        <v>0</v>
      </c>
      <c r="M322" s="249"/>
      <c r="N322" s="568"/>
      <c r="O322" s="758">
        <v>1000</v>
      </c>
      <c r="P322" s="717">
        <v>219.4</v>
      </c>
    </row>
    <row r="323" spans="2:31" ht="26.25" customHeight="1" thickBot="1" x14ac:dyDescent="0.3">
      <c r="B323" s="733">
        <v>85</v>
      </c>
      <c r="C323" s="711" t="s">
        <v>18</v>
      </c>
      <c r="D323" s="712" t="s">
        <v>40</v>
      </c>
      <c r="E323" s="765" t="s">
        <v>128</v>
      </c>
      <c r="F323" s="714">
        <v>480</v>
      </c>
      <c r="G323" s="743" t="s">
        <v>0</v>
      </c>
      <c r="H323" s="572">
        <v>1000</v>
      </c>
      <c r="I323" s="360">
        <v>700</v>
      </c>
      <c r="J323" s="39">
        <f t="shared" si="12"/>
        <v>1500</v>
      </c>
      <c r="K323" s="309" t="e">
        <f>#REF!/1.4</f>
        <v>#REF!</v>
      </c>
      <c r="L323" s="230" t="e">
        <f>K323*J616</f>
        <v>#REF!</v>
      </c>
      <c r="M323" s="154" t="s">
        <v>840</v>
      </c>
      <c r="N323" s="565">
        <v>500</v>
      </c>
      <c r="O323" s="755">
        <v>2000</v>
      </c>
      <c r="P323" s="721">
        <v>1400</v>
      </c>
    </row>
    <row r="324" spans="2:31" ht="26.25" hidden="1" customHeight="1" thickBot="1" x14ac:dyDescent="0.3">
      <c r="B324" s="628"/>
      <c r="C324" s="484" t="s">
        <v>18</v>
      </c>
      <c r="D324" s="485" t="s">
        <v>40</v>
      </c>
      <c r="E324" s="686" t="s">
        <v>564</v>
      </c>
      <c r="F324" s="630">
        <v>1300</v>
      </c>
      <c r="G324" s="488" t="s">
        <v>0</v>
      </c>
      <c r="H324" s="39"/>
      <c r="I324" s="360">
        <v>0</v>
      </c>
      <c r="J324" s="39">
        <f t="shared" si="12"/>
        <v>0</v>
      </c>
      <c r="K324" s="309" t="e">
        <f>#REF!/1.4</f>
        <v>#REF!</v>
      </c>
      <c r="L324" s="230"/>
      <c r="M324" s="158" t="s">
        <v>522</v>
      </c>
      <c r="N324" s="140"/>
      <c r="O324" s="489"/>
      <c r="P324" s="467">
        <v>0</v>
      </c>
    </row>
    <row r="325" spans="2:31" ht="26.25" hidden="1" customHeight="1" x14ac:dyDescent="0.25">
      <c r="B325" s="15"/>
      <c r="C325" s="6" t="s">
        <v>18</v>
      </c>
      <c r="D325" s="23" t="s">
        <v>40</v>
      </c>
      <c r="E325" s="286" t="s">
        <v>526</v>
      </c>
      <c r="F325" s="208">
        <v>1301</v>
      </c>
      <c r="G325" s="48" t="s">
        <v>0</v>
      </c>
      <c r="H325" s="39"/>
      <c r="I325" s="309">
        <v>0</v>
      </c>
      <c r="J325" s="39">
        <f t="shared" ref="J325:J356" si="13">N325+O325-H325</f>
        <v>0</v>
      </c>
      <c r="K325" s="309" t="e">
        <f>#REF!/1.4</f>
        <v>#REF!</v>
      </c>
      <c r="L325" s="230"/>
      <c r="M325" s="158" t="s">
        <v>522</v>
      </c>
      <c r="N325" s="140"/>
      <c r="O325" s="39"/>
      <c r="P325" s="497">
        <v>0</v>
      </c>
    </row>
    <row r="326" spans="2:31" ht="26.25" hidden="1" customHeight="1" x14ac:dyDescent="0.25">
      <c r="B326" s="11"/>
      <c r="C326" s="6" t="s">
        <v>18</v>
      </c>
      <c r="D326" s="23" t="s">
        <v>40</v>
      </c>
      <c r="E326" s="104" t="s">
        <v>390</v>
      </c>
      <c r="F326" s="208">
        <v>951</v>
      </c>
      <c r="G326" s="12" t="s">
        <v>0</v>
      </c>
      <c r="H326" s="39"/>
      <c r="I326" s="309">
        <v>0</v>
      </c>
      <c r="J326" s="39">
        <f t="shared" si="13"/>
        <v>0</v>
      </c>
      <c r="K326" s="309" t="e">
        <f>#REF!/1.4</f>
        <v>#REF!</v>
      </c>
      <c r="L326" s="230" t="e">
        <f>K326*J619</f>
        <v>#REF!</v>
      </c>
      <c r="M326" s="155" t="s">
        <v>715</v>
      </c>
      <c r="N326" s="140"/>
      <c r="O326" s="39"/>
      <c r="P326" s="309">
        <v>0</v>
      </c>
    </row>
    <row r="327" spans="2:31" ht="26.25" hidden="1" customHeight="1" x14ac:dyDescent="0.25">
      <c r="B327" s="11"/>
      <c r="C327" s="6" t="s">
        <v>18</v>
      </c>
      <c r="D327" s="23" t="s">
        <v>40</v>
      </c>
      <c r="E327" s="104" t="s">
        <v>97</v>
      </c>
      <c r="F327" s="208"/>
      <c r="G327" s="12" t="s">
        <v>0</v>
      </c>
      <c r="H327" s="39"/>
      <c r="I327" s="309">
        <v>0</v>
      </c>
      <c r="J327" s="39">
        <f t="shared" si="13"/>
        <v>0</v>
      </c>
      <c r="K327" s="309" t="e">
        <f>#REF!/1.4</f>
        <v>#REF!</v>
      </c>
      <c r="L327" s="230"/>
      <c r="M327" s="158"/>
      <c r="N327" s="140"/>
      <c r="O327" s="39"/>
      <c r="P327" s="507">
        <v>0</v>
      </c>
    </row>
    <row r="328" spans="2:31" ht="26.25" hidden="1" customHeight="1" x14ac:dyDescent="0.25">
      <c r="B328" s="583"/>
      <c r="C328" s="516" t="s">
        <v>18</v>
      </c>
      <c r="D328" s="517" t="s">
        <v>40</v>
      </c>
      <c r="E328" s="611" t="s">
        <v>273</v>
      </c>
      <c r="F328" s="621">
        <v>758</v>
      </c>
      <c r="G328" s="546" t="s">
        <v>0</v>
      </c>
      <c r="H328" s="39"/>
      <c r="I328" s="360">
        <v>0</v>
      </c>
      <c r="J328" s="39">
        <f t="shared" si="13"/>
        <v>0</v>
      </c>
      <c r="K328" s="309" t="e">
        <f>#REF!/1.4</f>
        <v>#REF!</v>
      </c>
      <c r="L328" s="230" t="e">
        <f>K328*J621</f>
        <v>#REF!</v>
      </c>
      <c r="M328" s="155" t="s">
        <v>749</v>
      </c>
      <c r="N328" s="140"/>
      <c r="O328" s="513"/>
      <c r="P328" s="497">
        <v>0</v>
      </c>
    </row>
    <row r="329" spans="2:31" ht="26.25" customHeight="1" thickBot="1" x14ac:dyDescent="0.3">
      <c r="B329" s="722">
        <v>86</v>
      </c>
      <c r="C329" s="723" t="s">
        <v>18</v>
      </c>
      <c r="D329" s="724" t="s">
        <v>40</v>
      </c>
      <c r="E329" s="792" t="s">
        <v>767</v>
      </c>
      <c r="F329" s="798">
        <v>1437</v>
      </c>
      <c r="G329" s="727" t="s">
        <v>0</v>
      </c>
      <c r="H329" s="572">
        <v>100</v>
      </c>
      <c r="I329" s="309">
        <v>257</v>
      </c>
      <c r="J329" s="39">
        <f t="shared" si="13"/>
        <v>0</v>
      </c>
      <c r="K329" s="309" t="e">
        <f>#REF!/1.4</f>
        <v>#REF!</v>
      </c>
      <c r="L329" s="406" t="e">
        <f>K329*J622</f>
        <v>#REF!</v>
      </c>
      <c r="M329" s="234" t="s">
        <v>684</v>
      </c>
      <c r="N329" s="569"/>
      <c r="O329" s="728">
        <v>100</v>
      </c>
      <c r="P329" s="729">
        <v>257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2:31" ht="26.25" hidden="1" customHeight="1" x14ac:dyDescent="0.25">
      <c r="B330" s="483"/>
      <c r="C330" s="484" t="s">
        <v>18</v>
      </c>
      <c r="D330" s="485" t="s">
        <v>40</v>
      </c>
      <c r="E330" s="680" t="s">
        <v>380</v>
      </c>
      <c r="F330" s="665">
        <v>1169</v>
      </c>
      <c r="G330" s="632" t="s">
        <v>0</v>
      </c>
      <c r="H330" s="39"/>
      <c r="I330" s="309">
        <v>0</v>
      </c>
      <c r="J330" s="39">
        <f t="shared" si="13"/>
        <v>0</v>
      </c>
      <c r="K330" s="309" t="e">
        <f>#REF!/1.4</f>
        <v>#REF!</v>
      </c>
      <c r="L330" s="230" t="e">
        <f>K330*J623</f>
        <v>#REF!</v>
      </c>
      <c r="M330" s="97" t="s">
        <v>388</v>
      </c>
      <c r="N330" s="41"/>
      <c r="O330" s="489"/>
      <c r="P330" s="490">
        <v>0</v>
      </c>
    </row>
    <row r="331" spans="2:31" ht="26.25" hidden="1" customHeight="1" thickBot="1" x14ac:dyDescent="0.3">
      <c r="B331" s="19"/>
      <c r="C331" s="6" t="s">
        <v>18</v>
      </c>
      <c r="D331" s="23" t="s">
        <v>40</v>
      </c>
      <c r="E331" s="106" t="s">
        <v>196</v>
      </c>
      <c r="F331" s="387" t="s">
        <v>359</v>
      </c>
      <c r="G331" s="12" t="s">
        <v>0</v>
      </c>
      <c r="H331" s="39"/>
      <c r="I331" s="309">
        <v>0</v>
      </c>
      <c r="J331" s="39">
        <f t="shared" si="13"/>
        <v>0</v>
      </c>
      <c r="K331" s="309" t="e">
        <f>#REF!/1.4</f>
        <v>#REF!</v>
      </c>
      <c r="L331" s="230" t="e">
        <f>K331*J624</f>
        <v>#REF!</v>
      </c>
      <c r="M331" s="99" t="s">
        <v>334</v>
      </c>
      <c r="N331" s="140"/>
      <c r="O331" s="39"/>
      <c r="P331" s="497">
        <v>0</v>
      </c>
    </row>
    <row r="332" spans="2:31" ht="26.25" hidden="1" customHeight="1" thickBot="1" x14ac:dyDescent="0.3">
      <c r="B332" s="19"/>
      <c r="C332" s="6" t="s">
        <v>18</v>
      </c>
      <c r="D332" s="23" t="s">
        <v>40</v>
      </c>
      <c r="E332" s="104" t="s">
        <v>77</v>
      </c>
      <c r="F332" s="522">
        <v>474</v>
      </c>
      <c r="G332" s="12" t="s">
        <v>0</v>
      </c>
      <c r="H332" s="39"/>
      <c r="I332" s="360">
        <v>0</v>
      </c>
      <c r="J332" s="39">
        <f t="shared" si="13"/>
        <v>0</v>
      </c>
      <c r="K332" s="309" t="e">
        <f>#REF!/1.4</f>
        <v>#REF!</v>
      </c>
      <c r="L332" s="230" t="e">
        <f>K332*J625</f>
        <v>#REF!</v>
      </c>
      <c r="M332" s="155" t="s">
        <v>750</v>
      </c>
      <c r="N332" s="140"/>
      <c r="O332" s="503"/>
      <c r="P332" s="309">
        <v>0</v>
      </c>
    </row>
    <row r="333" spans="2:31" ht="26.25" hidden="1" customHeight="1" x14ac:dyDescent="0.25">
      <c r="B333" s="19"/>
      <c r="C333" s="6" t="s">
        <v>18</v>
      </c>
      <c r="D333" s="23" t="s">
        <v>40</v>
      </c>
      <c r="E333" s="104" t="s">
        <v>313</v>
      </c>
      <c r="F333" s="208">
        <v>1108</v>
      </c>
      <c r="G333" s="48"/>
      <c r="H333" s="39"/>
      <c r="I333" s="309">
        <v>0</v>
      </c>
      <c r="J333" s="39">
        <f t="shared" si="13"/>
        <v>0</v>
      </c>
      <c r="K333" s="309" t="e">
        <f>#REF!/1.4</f>
        <v>#REF!</v>
      </c>
      <c r="L333" s="230"/>
      <c r="M333" s="116"/>
      <c r="N333" s="140"/>
      <c r="O333" s="39"/>
      <c r="P333" s="490">
        <v>0</v>
      </c>
    </row>
    <row r="334" spans="2:31" ht="26.25" hidden="1" customHeight="1" x14ac:dyDescent="0.25">
      <c r="B334" s="19"/>
      <c r="C334" s="6" t="s">
        <v>18</v>
      </c>
      <c r="D334" s="23" t="s">
        <v>40</v>
      </c>
      <c r="E334" s="104" t="s">
        <v>385</v>
      </c>
      <c r="F334" s="208"/>
      <c r="G334" s="48"/>
      <c r="H334" s="39"/>
      <c r="I334" s="309">
        <v>0</v>
      </c>
      <c r="J334" s="39">
        <f t="shared" si="13"/>
        <v>0</v>
      </c>
      <c r="K334" s="309" t="e">
        <f>#REF!/1.4</f>
        <v>#REF!</v>
      </c>
      <c r="L334" s="230"/>
      <c r="M334" s="116"/>
      <c r="N334" s="140"/>
      <c r="O334" s="39"/>
      <c r="P334" s="309">
        <v>0</v>
      </c>
    </row>
    <row r="335" spans="2:31" ht="26.25" hidden="1" customHeight="1" x14ac:dyDescent="0.25">
      <c r="B335" s="515"/>
      <c r="C335" s="516" t="s">
        <v>18</v>
      </c>
      <c r="D335" s="517" t="s">
        <v>40</v>
      </c>
      <c r="E335" s="614" t="s">
        <v>100</v>
      </c>
      <c r="F335" s="584">
        <v>588</v>
      </c>
      <c r="G335" s="585"/>
      <c r="H335" s="39"/>
      <c r="I335" s="360">
        <v>0</v>
      </c>
      <c r="J335" s="39">
        <f t="shared" si="13"/>
        <v>0</v>
      </c>
      <c r="K335" s="309" t="e">
        <f>#REF!/1.4</f>
        <v>#REF!</v>
      </c>
      <c r="L335" s="230" t="e">
        <f>K335*J628</f>
        <v>#REF!</v>
      </c>
      <c r="M335" s="363" t="s">
        <v>469</v>
      </c>
      <c r="N335" s="140"/>
      <c r="O335" s="513"/>
      <c r="P335" s="468">
        <v>0</v>
      </c>
    </row>
    <row r="336" spans="2:31" ht="26.25" hidden="1" customHeight="1" x14ac:dyDescent="0.25">
      <c r="B336" s="794">
        <v>110</v>
      </c>
      <c r="C336" s="701" t="s">
        <v>18</v>
      </c>
      <c r="D336" s="702" t="s">
        <v>40</v>
      </c>
      <c r="E336" s="774" t="s">
        <v>364</v>
      </c>
      <c r="F336" s="704">
        <v>567</v>
      </c>
      <c r="G336" s="732"/>
      <c r="H336" s="572"/>
      <c r="I336" s="360"/>
      <c r="J336" s="39">
        <f t="shared" si="13"/>
        <v>200</v>
      </c>
      <c r="K336" s="309">
        <v>1.53</v>
      </c>
      <c r="L336" s="230"/>
      <c r="M336" s="154" t="s">
        <v>841</v>
      </c>
      <c r="N336" s="565">
        <v>200</v>
      </c>
      <c r="O336" s="805"/>
      <c r="P336" s="717"/>
    </row>
    <row r="337" spans="1:51" ht="26.25" customHeight="1" thickBot="1" x14ac:dyDescent="0.3">
      <c r="B337" s="733">
        <v>87</v>
      </c>
      <c r="C337" s="711" t="s">
        <v>18</v>
      </c>
      <c r="D337" s="712" t="s">
        <v>40</v>
      </c>
      <c r="E337" s="796" t="s">
        <v>255</v>
      </c>
      <c r="F337" s="714">
        <v>588</v>
      </c>
      <c r="G337" s="734" t="s">
        <v>0</v>
      </c>
      <c r="H337" s="572">
        <v>212</v>
      </c>
      <c r="I337" s="360">
        <v>610.74</v>
      </c>
      <c r="J337" s="39">
        <f t="shared" si="13"/>
        <v>0</v>
      </c>
      <c r="K337" s="309" t="e">
        <f>#REF!/1.4</f>
        <v>#REF!</v>
      </c>
      <c r="L337" s="230" t="e">
        <f>K337*J630</f>
        <v>#REF!</v>
      </c>
      <c r="M337" s="366"/>
      <c r="N337" s="568"/>
      <c r="O337" s="806">
        <v>212</v>
      </c>
      <c r="P337" s="756">
        <v>610.74</v>
      </c>
    </row>
    <row r="338" spans="1:51" ht="26.25" hidden="1" customHeight="1" thickBot="1" x14ac:dyDescent="0.3">
      <c r="B338" s="663"/>
      <c r="C338" s="484" t="s">
        <v>18</v>
      </c>
      <c r="D338" s="485" t="s">
        <v>40</v>
      </c>
      <c r="E338" s="664" t="s">
        <v>764</v>
      </c>
      <c r="F338" s="640">
        <v>1437</v>
      </c>
      <c r="G338" s="488" t="s">
        <v>0</v>
      </c>
      <c r="H338" s="39"/>
      <c r="I338" s="360">
        <v>0</v>
      </c>
      <c r="J338" s="39">
        <f t="shared" si="13"/>
        <v>0</v>
      </c>
      <c r="K338" s="309" t="e">
        <f>#REF!/1.4</f>
        <v>#REF!</v>
      </c>
      <c r="L338" s="230"/>
      <c r="M338" s="155" t="s">
        <v>716</v>
      </c>
      <c r="N338" s="141"/>
      <c r="O338" s="489"/>
      <c r="P338" s="467">
        <v>0</v>
      </c>
    </row>
    <row r="339" spans="1:51" s="4" customFormat="1" ht="26.25" hidden="1" customHeight="1" x14ac:dyDescent="0.25">
      <c r="A339" s="10"/>
      <c r="B339" s="14"/>
      <c r="C339" s="6" t="s">
        <v>18</v>
      </c>
      <c r="D339" s="23" t="s">
        <v>40</v>
      </c>
      <c r="E339" s="107" t="s">
        <v>672</v>
      </c>
      <c r="F339" s="208">
        <v>892</v>
      </c>
      <c r="G339" s="14" t="s">
        <v>0</v>
      </c>
      <c r="H339" s="39"/>
      <c r="I339" s="309">
        <v>0</v>
      </c>
      <c r="J339" s="39">
        <f t="shared" si="13"/>
        <v>0</v>
      </c>
      <c r="K339" s="309" t="e">
        <f>#REF!/1.4</f>
        <v>#REF!</v>
      </c>
      <c r="L339" s="230" t="e">
        <f>K339*J632</f>
        <v>#REF!</v>
      </c>
      <c r="M339" s="72" t="s">
        <v>261</v>
      </c>
      <c r="N339" s="140"/>
      <c r="O339" s="39"/>
      <c r="P339" s="309">
        <v>0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</row>
    <row r="340" spans="1:51" ht="26.25" hidden="1" customHeight="1" x14ac:dyDescent="0.25">
      <c r="B340" s="15"/>
      <c r="C340" s="6" t="s">
        <v>18</v>
      </c>
      <c r="D340" s="23" t="s">
        <v>40</v>
      </c>
      <c r="E340" s="104" t="s">
        <v>149</v>
      </c>
      <c r="F340" s="387"/>
      <c r="G340" s="19"/>
      <c r="H340" s="39"/>
      <c r="I340" s="309">
        <v>0</v>
      </c>
      <c r="J340" s="39">
        <f t="shared" si="13"/>
        <v>0</v>
      </c>
      <c r="K340" s="309" t="e">
        <f>#REF!/1.4</f>
        <v>#REF!</v>
      </c>
      <c r="L340" s="230" t="e">
        <f>K340*J633</f>
        <v>#REF!</v>
      </c>
      <c r="M340" s="90"/>
      <c r="N340" s="140"/>
      <c r="O340" s="39"/>
      <c r="P340" s="309">
        <v>0</v>
      </c>
    </row>
    <row r="341" spans="1:51" ht="26.25" hidden="1" customHeight="1" x14ac:dyDescent="0.25">
      <c r="B341" s="15"/>
      <c r="C341" s="6" t="s">
        <v>18</v>
      </c>
      <c r="D341" s="23" t="s">
        <v>40</v>
      </c>
      <c r="E341" s="104" t="s">
        <v>445</v>
      </c>
      <c r="F341" s="387" t="s">
        <v>448</v>
      </c>
      <c r="G341" s="19"/>
      <c r="H341" s="39"/>
      <c r="I341" s="309">
        <v>0</v>
      </c>
      <c r="J341" s="39">
        <f t="shared" si="13"/>
        <v>0</v>
      </c>
      <c r="K341" s="309" t="e">
        <f>#REF!/1.4</f>
        <v>#REF!</v>
      </c>
      <c r="L341" s="230"/>
      <c r="M341" s="90"/>
      <c r="N341" s="140"/>
      <c r="O341" s="39"/>
      <c r="P341" s="309">
        <v>0</v>
      </c>
    </row>
    <row r="342" spans="1:51" ht="26.25" hidden="1" customHeight="1" thickBot="1" x14ac:dyDescent="0.3">
      <c r="B342" s="15"/>
      <c r="C342" s="6" t="s">
        <v>18</v>
      </c>
      <c r="D342" s="23" t="s">
        <v>40</v>
      </c>
      <c r="E342" s="104" t="s">
        <v>763</v>
      </c>
      <c r="F342" s="387" t="s">
        <v>449</v>
      </c>
      <c r="G342" s="19"/>
      <c r="H342" s="39"/>
      <c r="I342" s="309">
        <v>0</v>
      </c>
      <c r="J342" s="39">
        <f t="shared" si="13"/>
        <v>0</v>
      </c>
      <c r="K342" s="309" t="e">
        <f>#REF!/1.4</f>
        <v>#REF!</v>
      </c>
      <c r="L342" s="230"/>
      <c r="M342" s="90"/>
      <c r="N342" s="140"/>
      <c r="O342" s="39"/>
      <c r="P342" s="309">
        <v>0</v>
      </c>
    </row>
    <row r="343" spans="1:51" ht="26.25" hidden="1" customHeight="1" x14ac:dyDescent="0.25">
      <c r="B343" s="515"/>
      <c r="C343" s="516" t="s">
        <v>18</v>
      </c>
      <c r="D343" s="517" t="s">
        <v>40</v>
      </c>
      <c r="E343" s="614" t="s">
        <v>249</v>
      </c>
      <c r="F343" s="584">
        <v>541</v>
      </c>
      <c r="G343" s="546" t="s">
        <v>0</v>
      </c>
      <c r="H343" s="39"/>
      <c r="I343" s="309">
        <v>0</v>
      </c>
      <c r="J343" s="39">
        <f t="shared" si="13"/>
        <v>0</v>
      </c>
      <c r="K343" s="309" t="e">
        <f>#REF!/1.4</f>
        <v>#REF!</v>
      </c>
      <c r="L343" s="230"/>
      <c r="M343" s="158" t="s">
        <v>503</v>
      </c>
      <c r="N343" s="140"/>
      <c r="O343" s="513"/>
      <c r="P343" s="497">
        <v>0</v>
      </c>
    </row>
    <row r="344" spans="1:51" ht="26.25" customHeight="1" thickBot="1" x14ac:dyDescent="0.3">
      <c r="B344" s="749">
        <v>88</v>
      </c>
      <c r="C344" s="723" t="s">
        <v>18</v>
      </c>
      <c r="D344" s="724" t="s">
        <v>40</v>
      </c>
      <c r="E344" s="807" t="s">
        <v>387</v>
      </c>
      <c r="F344" s="737">
        <v>1123</v>
      </c>
      <c r="G344" s="786"/>
      <c r="H344" s="572"/>
      <c r="I344" s="360">
        <v>0</v>
      </c>
      <c r="J344" s="39">
        <f t="shared" si="13"/>
        <v>50</v>
      </c>
      <c r="K344" s="309" t="e">
        <f>#REF!/1.4</f>
        <v>#REF!</v>
      </c>
      <c r="L344" s="230"/>
      <c r="M344" s="47" t="s">
        <v>842</v>
      </c>
      <c r="N344" s="565"/>
      <c r="O344" s="728">
        <v>50</v>
      </c>
      <c r="P344" s="729">
        <v>253</v>
      </c>
    </row>
    <row r="345" spans="1:51" ht="26.25" hidden="1" customHeight="1" x14ac:dyDescent="0.25">
      <c r="B345" s="637"/>
      <c r="C345" s="484" t="s">
        <v>18</v>
      </c>
      <c r="D345" s="485" t="s">
        <v>40</v>
      </c>
      <c r="E345" s="664" t="s">
        <v>312</v>
      </c>
      <c r="F345" s="630"/>
      <c r="G345" s="637"/>
      <c r="H345" s="39"/>
      <c r="I345" s="309">
        <v>0</v>
      </c>
      <c r="J345" s="39">
        <f t="shared" si="13"/>
        <v>0</v>
      </c>
      <c r="K345" s="309" t="e">
        <f>#REF!/1.4</f>
        <v>#REF!</v>
      </c>
      <c r="L345" s="230"/>
      <c r="M345" s="273"/>
      <c r="N345" s="140"/>
      <c r="O345" s="489"/>
      <c r="P345" s="490">
        <v>0</v>
      </c>
    </row>
    <row r="346" spans="1:51" ht="26.25" hidden="1" customHeight="1" x14ac:dyDescent="0.25">
      <c r="B346" s="14"/>
      <c r="C346" s="6" t="s">
        <v>18</v>
      </c>
      <c r="D346" s="23" t="s">
        <v>40</v>
      </c>
      <c r="E346" s="107" t="s">
        <v>254</v>
      </c>
      <c r="F346" s="208">
        <v>757</v>
      </c>
      <c r="G346" s="48" t="s">
        <v>0</v>
      </c>
      <c r="H346" s="39"/>
      <c r="I346" s="309">
        <v>0</v>
      </c>
      <c r="J346" s="39">
        <f t="shared" si="13"/>
        <v>0</v>
      </c>
      <c r="K346" s="309" t="e">
        <f>#REF!/1.4</f>
        <v>#REF!</v>
      </c>
      <c r="L346" s="230"/>
      <c r="M346" s="94" t="s">
        <v>718</v>
      </c>
      <c r="N346" s="140"/>
      <c r="O346" s="39"/>
      <c r="P346" s="309">
        <v>0</v>
      </c>
    </row>
    <row r="347" spans="1:51" ht="26.25" hidden="1" customHeight="1" x14ac:dyDescent="0.25">
      <c r="B347" s="14"/>
      <c r="C347" s="6" t="s">
        <v>18</v>
      </c>
      <c r="D347" s="23" t="s">
        <v>40</v>
      </c>
      <c r="E347" s="107" t="s">
        <v>722</v>
      </c>
      <c r="F347" s="208">
        <v>1398</v>
      </c>
      <c r="G347" s="48"/>
      <c r="H347" s="39"/>
      <c r="I347" s="360">
        <v>0</v>
      </c>
      <c r="J347" s="39">
        <f t="shared" si="13"/>
        <v>0</v>
      </c>
      <c r="K347" s="309" t="e">
        <f>#REF!/1.4</f>
        <v>#REF!</v>
      </c>
      <c r="L347" s="230"/>
      <c r="M347" s="297" t="s">
        <v>806</v>
      </c>
      <c r="N347" s="140"/>
      <c r="O347" s="39"/>
      <c r="P347" s="360">
        <v>0</v>
      </c>
    </row>
    <row r="348" spans="1:51" ht="26.25" hidden="1" customHeight="1" x14ac:dyDescent="0.25">
      <c r="B348" s="14"/>
      <c r="C348" s="6" t="s">
        <v>18</v>
      </c>
      <c r="D348" s="23" t="s">
        <v>40</v>
      </c>
      <c r="E348" s="459" t="s">
        <v>758</v>
      </c>
      <c r="F348" s="208">
        <v>1332</v>
      </c>
      <c r="G348" s="48"/>
      <c r="H348" s="39"/>
      <c r="I348" s="360">
        <v>0</v>
      </c>
      <c r="J348" s="39">
        <f t="shared" si="13"/>
        <v>0</v>
      </c>
      <c r="K348" s="309" t="e">
        <f>#REF!/1.4</f>
        <v>#REF!</v>
      </c>
      <c r="L348" s="230"/>
      <c r="M348" s="297" t="s">
        <v>807</v>
      </c>
      <c r="N348" s="140"/>
      <c r="O348" s="39"/>
      <c r="P348" s="360">
        <v>0</v>
      </c>
    </row>
    <row r="349" spans="1:51" ht="26.25" hidden="1" customHeight="1" x14ac:dyDescent="0.25">
      <c r="B349" s="14"/>
      <c r="C349" s="6" t="s">
        <v>18</v>
      </c>
      <c r="D349" s="23" t="s">
        <v>40</v>
      </c>
      <c r="E349" s="107" t="s">
        <v>381</v>
      </c>
      <c r="F349" s="208"/>
      <c r="G349" s="14"/>
      <c r="H349" s="39"/>
      <c r="I349" s="309">
        <v>0</v>
      </c>
      <c r="J349" s="39">
        <f t="shared" si="13"/>
        <v>0</v>
      </c>
      <c r="K349" s="309" t="e">
        <f>#REF!/1.4</f>
        <v>#REF!</v>
      </c>
      <c r="L349" s="230"/>
      <c r="M349" s="273"/>
      <c r="N349" s="140"/>
      <c r="O349" s="39"/>
      <c r="P349" s="309">
        <v>0</v>
      </c>
    </row>
    <row r="350" spans="1:51" ht="26.25" hidden="1" customHeight="1" x14ac:dyDescent="0.25">
      <c r="B350" s="14"/>
      <c r="C350" s="6" t="s">
        <v>18</v>
      </c>
      <c r="D350" s="23" t="s">
        <v>40</v>
      </c>
      <c r="E350" s="107" t="s">
        <v>446</v>
      </c>
      <c r="F350" s="208"/>
      <c r="G350" s="14"/>
      <c r="H350" s="39"/>
      <c r="I350" s="309">
        <v>0</v>
      </c>
      <c r="J350" s="39">
        <f t="shared" si="13"/>
        <v>0</v>
      </c>
      <c r="K350" s="309" t="e">
        <f>#REF!/1.4</f>
        <v>#REF!</v>
      </c>
      <c r="L350" s="230"/>
      <c r="M350" s="273"/>
      <c r="N350" s="140"/>
      <c r="O350" s="39"/>
      <c r="P350" s="309">
        <v>0</v>
      </c>
    </row>
    <row r="351" spans="1:51" ht="26.25" hidden="1" customHeight="1" x14ac:dyDescent="0.25">
      <c r="B351" s="14"/>
      <c r="C351" s="6" t="s">
        <v>18</v>
      </c>
      <c r="D351" s="23" t="s">
        <v>40</v>
      </c>
      <c r="E351" s="1" t="s">
        <v>613</v>
      </c>
      <c r="F351" s="208">
        <v>1207</v>
      </c>
      <c r="G351" s="14"/>
      <c r="H351" s="39"/>
      <c r="I351" s="309">
        <v>0</v>
      </c>
      <c r="J351" s="39">
        <f t="shared" si="13"/>
        <v>0</v>
      </c>
      <c r="K351" s="309" t="e">
        <f>#REF!/1.4</f>
        <v>#REF!</v>
      </c>
      <c r="L351" s="230"/>
      <c r="M351" s="273"/>
      <c r="N351" s="140"/>
      <c r="O351" s="39"/>
      <c r="P351" s="309">
        <v>0</v>
      </c>
    </row>
    <row r="352" spans="1:51" ht="26.25" hidden="1" customHeight="1" x14ac:dyDescent="0.25">
      <c r="B352" s="14"/>
      <c r="C352" s="6" t="s">
        <v>18</v>
      </c>
      <c r="D352" s="23" t="s">
        <v>40</v>
      </c>
      <c r="E352" s="107" t="s">
        <v>690</v>
      </c>
      <c r="F352" s="208">
        <v>1194</v>
      </c>
      <c r="G352" s="14"/>
      <c r="H352" s="39"/>
      <c r="I352" s="309">
        <v>0</v>
      </c>
      <c r="J352" s="39">
        <f t="shared" si="13"/>
        <v>0</v>
      </c>
      <c r="K352" s="309" t="e">
        <f>#REF!/1.4</f>
        <v>#REF!</v>
      </c>
      <c r="L352" s="230"/>
      <c r="M352" s="273"/>
      <c r="N352" s="140"/>
      <c r="O352" s="39"/>
      <c r="P352" s="309">
        <v>0</v>
      </c>
    </row>
    <row r="353" spans="1:51" ht="26.25" hidden="1" customHeight="1" x14ac:dyDescent="0.25">
      <c r="B353" s="14"/>
      <c r="C353" s="6" t="s">
        <v>18</v>
      </c>
      <c r="D353" s="23" t="s">
        <v>40</v>
      </c>
      <c r="E353" s="107" t="s">
        <v>584</v>
      </c>
      <c r="F353" s="208">
        <v>1345</v>
      </c>
      <c r="G353" s="14"/>
      <c r="H353" s="39"/>
      <c r="I353" s="309">
        <v>0</v>
      </c>
      <c r="J353" s="39">
        <f t="shared" si="13"/>
        <v>0</v>
      </c>
      <c r="K353" s="309" t="e">
        <f>#REF!/1.4</f>
        <v>#REF!</v>
      </c>
      <c r="L353" s="230"/>
      <c r="M353" s="155" t="s">
        <v>593</v>
      </c>
      <c r="N353" s="140"/>
      <c r="O353" s="39"/>
      <c r="P353" s="309">
        <v>0</v>
      </c>
    </row>
    <row r="354" spans="1:51" ht="26.25" hidden="1" customHeight="1" x14ac:dyDescent="0.25">
      <c r="B354" s="14"/>
      <c r="C354" s="6" t="s">
        <v>18</v>
      </c>
      <c r="D354" s="23" t="s">
        <v>40</v>
      </c>
      <c r="E354" s="107" t="s">
        <v>222</v>
      </c>
      <c r="F354" s="208"/>
      <c r="G354" s="14"/>
      <c r="H354" s="39"/>
      <c r="I354" s="309">
        <v>0</v>
      </c>
      <c r="J354" s="39">
        <f t="shared" si="13"/>
        <v>0</v>
      </c>
      <c r="K354" s="309" t="e">
        <f>#REF!/1.4</f>
        <v>#REF!</v>
      </c>
      <c r="L354" s="230"/>
      <c r="M354" s="273"/>
      <c r="N354" s="140"/>
      <c r="O354" s="39"/>
      <c r="P354" s="309">
        <v>0</v>
      </c>
    </row>
    <row r="355" spans="1:51" s="4" customFormat="1" ht="26.25" hidden="1" customHeight="1" x14ac:dyDescent="0.25">
      <c r="A355" s="10"/>
      <c r="B355" s="14"/>
      <c r="C355" s="6" t="s">
        <v>18</v>
      </c>
      <c r="D355" s="23" t="s">
        <v>40</v>
      </c>
      <c r="E355" s="107" t="s">
        <v>633</v>
      </c>
      <c r="F355" s="208"/>
      <c r="G355" s="14"/>
      <c r="H355" s="39"/>
      <c r="I355" s="309">
        <v>0</v>
      </c>
      <c r="J355" s="39">
        <f t="shared" si="13"/>
        <v>0</v>
      </c>
      <c r="K355" s="309" t="e">
        <f>#REF!/1.4</f>
        <v>#REF!</v>
      </c>
      <c r="L355" s="230"/>
      <c r="M355" s="273"/>
      <c r="N355" s="140"/>
      <c r="O355" s="39"/>
      <c r="P355" s="309">
        <v>0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</row>
    <row r="356" spans="1:51" ht="26.25" hidden="1" customHeight="1" x14ac:dyDescent="0.25">
      <c r="B356" s="14"/>
      <c r="C356" s="6" t="s">
        <v>18</v>
      </c>
      <c r="D356" s="23" t="s">
        <v>40</v>
      </c>
      <c r="E356" s="112" t="s">
        <v>320</v>
      </c>
      <c r="F356" s="208">
        <v>912</v>
      </c>
      <c r="G356" s="13" t="s">
        <v>0</v>
      </c>
      <c r="H356" s="39"/>
      <c r="I356" s="309">
        <v>0</v>
      </c>
      <c r="J356" s="39">
        <f t="shared" si="13"/>
        <v>0</v>
      </c>
      <c r="K356" s="309" t="e">
        <f>#REF!/1.4</f>
        <v>#REF!</v>
      </c>
      <c r="L356" s="230"/>
      <c r="M356" s="273"/>
      <c r="N356" s="140"/>
      <c r="O356" s="39"/>
      <c r="P356" s="309">
        <v>0</v>
      </c>
    </row>
    <row r="357" spans="1:51" ht="26.25" hidden="1" customHeight="1" x14ac:dyDescent="0.25">
      <c r="B357" s="14"/>
      <c r="C357" s="6" t="s">
        <v>18</v>
      </c>
      <c r="D357" s="23" t="s">
        <v>40</v>
      </c>
      <c r="E357" s="107" t="s">
        <v>305</v>
      </c>
      <c r="F357" s="208">
        <v>860</v>
      </c>
      <c r="G357" s="14"/>
      <c r="H357" s="39"/>
      <c r="I357" s="309">
        <v>0</v>
      </c>
      <c r="J357" s="39">
        <f t="shared" ref="J357:J373" si="14">N357+O357-H357</f>
        <v>0</v>
      </c>
      <c r="K357" s="309" t="e">
        <f>#REF!/1.4</f>
        <v>#REF!</v>
      </c>
      <c r="L357" s="230" t="e">
        <f>K357*J650</f>
        <v>#REF!</v>
      </c>
      <c r="M357" s="273"/>
      <c r="N357" s="140"/>
      <c r="O357" s="39"/>
      <c r="P357" s="309">
        <v>0</v>
      </c>
    </row>
    <row r="358" spans="1:51" ht="26.25" hidden="1" customHeight="1" x14ac:dyDescent="0.25">
      <c r="B358" s="14"/>
      <c r="C358" s="6" t="s">
        <v>18</v>
      </c>
      <c r="D358" s="23" t="s">
        <v>40</v>
      </c>
      <c r="E358" s="107" t="s">
        <v>382</v>
      </c>
      <c r="F358" s="208"/>
      <c r="G358" s="14"/>
      <c r="H358" s="39"/>
      <c r="I358" s="309">
        <v>0</v>
      </c>
      <c r="J358" s="39">
        <f t="shared" si="14"/>
        <v>0</v>
      </c>
      <c r="K358" s="309" t="e">
        <f>#REF!/1.4</f>
        <v>#REF!</v>
      </c>
      <c r="L358" s="230"/>
      <c r="M358" s="273"/>
      <c r="N358" s="140"/>
      <c r="O358" s="39"/>
      <c r="P358" s="309">
        <v>0</v>
      </c>
    </row>
    <row r="359" spans="1:51" ht="26.25" hidden="1" customHeight="1" thickBot="1" x14ac:dyDescent="0.3">
      <c r="B359" s="14"/>
      <c r="C359" s="6" t="s">
        <v>18</v>
      </c>
      <c r="D359" s="23" t="s">
        <v>40</v>
      </c>
      <c r="E359" s="107" t="s">
        <v>314</v>
      </c>
      <c r="F359" s="208">
        <v>1393</v>
      </c>
      <c r="G359" s="14"/>
      <c r="H359" s="39"/>
      <c r="I359" s="309">
        <v>0</v>
      </c>
      <c r="J359" s="39">
        <f t="shared" si="14"/>
        <v>0</v>
      </c>
      <c r="K359" s="309" t="e">
        <f>#REF!/1.4</f>
        <v>#REF!</v>
      </c>
      <c r="L359" s="230"/>
      <c r="M359" s="155" t="s">
        <v>717</v>
      </c>
      <c r="N359" s="140"/>
      <c r="O359" s="39"/>
      <c r="P359" s="309">
        <v>0</v>
      </c>
    </row>
    <row r="360" spans="1:51" ht="26.25" hidden="1" customHeight="1" thickBot="1" x14ac:dyDescent="0.3">
      <c r="B360" s="591"/>
      <c r="C360" s="516" t="s">
        <v>18</v>
      </c>
      <c r="D360" s="517" t="s">
        <v>40</v>
      </c>
      <c r="E360" s="614" t="s">
        <v>386</v>
      </c>
      <c r="F360" s="584">
        <v>1257</v>
      </c>
      <c r="G360" s="546" t="s">
        <v>0</v>
      </c>
      <c r="H360" s="39"/>
      <c r="I360" s="309">
        <v>0</v>
      </c>
      <c r="J360" s="39">
        <f t="shared" si="14"/>
        <v>0</v>
      </c>
      <c r="K360" s="309" t="e">
        <f>#REF!/1.4</f>
        <v>#REF!</v>
      </c>
      <c r="L360" s="230" t="e">
        <f>K360*J653</f>
        <v>#REF!</v>
      </c>
      <c r="M360" s="158" t="s">
        <v>504</v>
      </c>
      <c r="N360" s="140"/>
      <c r="O360" s="513"/>
      <c r="P360" s="497">
        <v>0</v>
      </c>
    </row>
    <row r="361" spans="1:51" ht="26.25" hidden="1" customHeight="1" thickBot="1" x14ac:dyDescent="0.3">
      <c r="B361" s="749">
        <v>113</v>
      </c>
      <c r="C361" s="723" t="s">
        <v>18</v>
      </c>
      <c r="D361" s="724" t="s">
        <v>40</v>
      </c>
      <c r="E361" s="792" t="s">
        <v>370</v>
      </c>
      <c r="F361" s="737">
        <v>1488</v>
      </c>
      <c r="G361" s="786"/>
      <c r="H361" s="572"/>
      <c r="I361" s="309">
        <v>0</v>
      </c>
      <c r="J361" s="39">
        <f t="shared" si="14"/>
        <v>50</v>
      </c>
      <c r="K361" s="309" t="e">
        <f>#REF!/1.4</f>
        <v>#REF!</v>
      </c>
      <c r="L361" s="230"/>
      <c r="M361" s="47" t="s">
        <v>843</v>
      </c>
      <c r="N361" s="565">
        <v>50</v>
      </c>
      <c r="O361" s="728"/>
      <c r="P361" s="729">
        <v>0</v>
      </c>
    </row>
    <row r="362" spans="1:51" ht="26.25" hidden="1" customHeight="1" x14ac:dyDescent="0.25">
      <c r="B362" s="663"/>
      <c r="C362" s="484" t="s">
        <v>18</v>
      </c>
      <c r="D362" s="485" t="s">
        <v>40</v>
      </c>
      <c r="E362" s="680" t="s">
        <v>202</v>
      </c>
      <c r="F362" s="670" t="s">
        <v>219</v>
      </c>
      <c r="G362" s="488" t="s">
        <v>0</v>
      </c>
      <c r="H362" s="39"/>
      <c r="I362" s="360">
        <v>0</v>
      </c>
      <c r="J362" s="39">
        <f t="shared" si="14"/>
        <v>0</v>
      </c>
      <c r="K362" s="309">
        <v>21.43</v>
      </c>
      <c r="L362" s="230">
        <f>K362*J655</f>
        <v>0</v>
      </c>
      <c r="M362" s="363" t="s">
        <v>518</v>
      </c>
      <c r="N362" s="141"/>
      <c r="O362" s="489"/>
      <c r="P362" s="467">
        <v>0</v>
      </c>
    </row>
    <row r="363" spans="1:51" ht="36" hidden="1" customHeight="1" x14ac:dyDescent="0.25">
      <c r="B363" s="19"/>
      <c r="C363" s="6" t="s">
        <v>18</v>
      </c>
      <c r="D363" s="23" t="s">
        <v>40</v>
      </c>
      <c r="E363" s="84" t="s">
        <v>253</v>
      </c>
      <c r="F363" s="393" t="s">
        <v>258</v>
      </c>
      <c r="G363" s="48" t="s">
        <v>0</v>
      </c>
      <c r="H363" s="39"/>
      <c r="I363" s="309">
        <v>0</v>
      </c>
      <c r="J363" s="39">
        <f t="shared" si="14"/>
        <v>0</v>
      </c>
      <c r="K363" s="309" t="e">
        <f>#REF!/1.4</f>
        <v>#REF!</v>
      </c>
      <c r="L363" s="230" t="e">
        <f>K363*J656</f>
        <v>#REF!</v>
      </c>
      <c r="M363" s="117" t="s">
        <v>259</v>
      </c>
      <c r="N363" s="141"/>
      <c r="O363" s="39"/>
      <c r="P363" s="309">
        <v>0</v>
      </c>
    </row>
    <row r="364" spans="1:51" s="4" customFormat="1" ht="26.25" hidden="1" customHeight="1" x14ac:dyDescent="0.25">
      <c r="A364" s="10"/>
      <c r="B364" s="19"/>
      <c r="C364" s="6" t="s">
        <v>18</v>
      </c>
      <c r="D364" s="23" t="s">
        <v>40</v>
      </c>
      <c r="E364" s="84" t="s">
        <v>202</v>
      </c>
      <c r="F364" s="393" t="s">
        <v>626</v>
      </c>
      <c r="G364" s="48" t="s">
        <v>0</v>
      </c>
      <c r="H364" s="39"/>
      <c r="I364" s="309">
        <v>0</v>
      </c>
      <c r="J364" s="39">
        <f t="shared" si="14"/>
        <v>0</v>
      </c>
      <c r="K364" s="309" t="e">
        <f>#REF!/1.4</f>
        <v>#REF!</v>
      </c>
      <c r="L364" s="230" t="e">
        <f>K364*J657</f>
        <v>#REF!</v>
      </c>
      <c r="M364" s="155" t="s">
        <v>631</v>
      </c>
      <c r="N364" s="141"/>
      <c r="O364" s="39"/>
      <c r="P364" s="309">
        <v>0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 spans="1:51" ht="26.25" hidden="1" customHeight="1" x14ac:dyDescent="0.25">
      <c r="B365" s="19"/>
      <c r="C365" s="6" t="s">
        <v>18</v>
      </c>
      <c r="D365" s="23" t="s">
        <v>40</v>
      </c>
      <c r="E365" s="106" t="s">
        <v>662</v>
      </c>
      <c r="F365" s="385" t="s">
        <v>200</v>
      </c>
      <c r="G365" s="48" t="s">
        <v>0</v>
      </c>
      <c r="H365" s="39"/>
      <c r="I365" s="309">
        <v>0</v>
      </c>
      <c r="J365" s="39">
        <f t="shared" si="14"/>
        <v>0</v>
      </c>
      <c r="K365" s="309" t="e">
        <f>#REF!/1.4</f>
        <v>#REF!</v>
      </c>
      <c r="L365" s="230" t="e">
        <f>K365*J658</f>
        <v>#REF!</v>
      </c>
      <c r="M365" s="72" t="s">
        <v>206</v>
      </c>
      <c r="N365" s="141"/>
      <c r="O365" s="39"/>
      <c r="P365" s="309">
        <v>0</v>
      </c>
    </row>
    <row r="366" spans="1:51" ht="26.25" hidden="1" customHeight="1" x14ac:dyDescent="0.25">
      <c r="B366" s="609"/>
      <c r="C366" s="516" t="s">
        <v>18</v>
      </c>
      <c r="D366" s="517" t="s">
        <v>40</v>
      </c>
      <c r="E366" s="622" t="s">
        <v>304</v>
      </c>
      <c r="F366" s="599"/>
      <c r="G366" s="585"/>
      <c r="H366" s="39"/>
      <c r="I366" s="309">
        <v>0</v>
      </c>
      <c r="J366" s="39">
        <f t="shared" si="14"/>
        <v>0</v>
      </c>
      <c r="K366" s="309" t="e">
        <f>#REF!/1.4</f>
        <v>#REF!</v>
      </c>
      <c r="L366" s="230"/>
      <c r="M366" s="72"/>
      <c r="N366" s="141"/>
      <c r="O366" s="513"/>
      <c r="P366" s="497">
        <v>0</v>
      </c>
    </row>
    <row r="367" spans="1:51" ht="26.25" hidden="1" customHeight="1" thickBot="1" x14ac:dyDescent="0.3">
      <c r="B367" s="722">
        <v>114</v>
      </c>
      <c r="C367" s="723" t="s">
        <v>18</v>
      </c>
      <c r="D367" s="724" t="s">
        <v>40</v>
      </c>
      <c r="E367" s="808" t="s">
        <v>321</v>
      </c>
      <c r="F367" s="746" t="s">
        <v>322</v>
      </c>
      <c r="G367" s="744" t="s">
        <v>0</v>
      </c>
      <c r="H367" s="572"/>
      <c r="I367" s="360">
        <v>0</v>
      </c>
      <c r="J367" s="39">
        <f t="shared" si="14"/>
        <v>2</v>
      </c>
      <c r="K367" s="309" t="e">
        <f>#REF!/1.4</f>
        <v>#REF!</v>
      </c>
      <c r="L367" s="230"/>
      <c r="M367" s="154" t="s">
        <v>844</v>
      </c>
      <c r="N367" s="568">
        <v>2</v>
      </c>
      <c r="O367" s="739"/>
      <c r="P367" s="729">
        <v>0</v>
      </c>
    </row>
    <row r="368" spans="1:51" ht="26.25" hidden="1" customHeight="1" x14ac:dyDescent="0.25">
      <c r="B368" s="483"/>
      <c r="C368" s="484" t="s">
        <v>18</v>
      </c>
      <c r="D368" s="485" t="s">
        <v>40</v>
      </c>
      <c r="E368" s="685" t="s">
        <v>691</v>
      </c>
      <c r="F368" s="670"/>
      <c r="G368" s="682"/>
      <c r="H368" s="39"/>
      <c r="I368" s="360">
        <v>0</v>
      </c>
      <c r="J368" s="39">
        <f t="shared" si="14"/>
        <v>0</v>
      </c>
      <c r="K368" s="309" t="e">
        <f>#REF!/1.4</f>
        <v>#REF!</v>
      </c>
      <c r="L368" s="230"/>
      <c r="M368" s="366"/>
      <c r="N368" s="141"/>
      <c r="O368" s="556"/>
      <c r="P368" s="490">
        <v>0</v>
      </c>
    </row>
    <row r="369" spans="2:16" ht="26.25" hidden="1" customHeight="1" x14ac:dyDescent="0.25">
      <c r="B369" s="11"/>
      <c r="C369" s="6" t="s">
        <v>18</v>
      </c>
      <c r="D369" s="23" t="s">
        <v>40</v>
      </c>
      <c r="E369" s="112" t="s">
        <v>692</v>
      </c>
      <c r="F369" s="383" t="s">
        <v>704</v>
      </c>
      <c r="G369" s="13"/>
      <c r="H369" s="39"/>
      <c r="I369" s="360">
        <v>0</v>
      </c>
      <c r="J369" s="39">
        <f t="shared" si="14"/>
        <v>0</v>
      </c>
      <c r="K369" s="309" t="e">
        <f>#REF!/1.4</f>
        <v>#REF!</v>
      </c>
      <c r="L369" s="230"/>
      <c r="M369" s="155" t="s">
        <v>719</v>
      </c>
      <c r="N369" s="141"/>
      <c r="O369" s="503"/>
      <c r="P369" s="309">
        <v>0</v>
      </c>
    </row>
    <row r="370" spans="2:16" ht="26.25" hidden="1" customHeight="1" x14ac:dyDescent="0.25">
      <c r="B370" s="19"/>
      <c r="C370" s="6" t="s">
        <v>18</v>
      </c>
      <c r="D370" s="23" t="s">
        <v>40</v>
      </c>
      <c r="E370" s="112" t="s">
        <v>761</v>
      </c>
      <c r="F370" s="385"/>
      <c r="G370" s="13"/>
      <c r="H370" s="39"/>
      <c r="I370" s="309">
        <v>0</v>
      </c>
      <c r="J370" s="39">
        <f t="shared" si="14"/>
        <v>0</v>
      </c>
      <c r="K370" s="309" t="e">
        <f>#REF!/1.4</f>
        <v>#REF!</v>
      </c>
      <c r="L370" s="230"/>
      <c r="M370" s="72"/>
      <c r="N370" s="141"/>
      <c r="O370" s="39"/>
      <c r="P370" s="490">
        <v>0</v>
      </c>
    </row>
    <row r="371" spans="2:16" ht="26.25" hidden="1" customHeight="1" x14ac:dyDescent="0.25">
      <c r="B371" s="19"/>
      <c r="C371" s="6" t="s">
        <v>18</v>
      </c>
      <c r="D371" s="23" t="s">
        <v>40</v>
      </c>
      <c r="E371" s="112" t="s">
        <v>731</v>
      </c>
      <c r="F371" s="385"/>
      <c r="G371" s="13"/>
      <c r="H371" s="39"/>
      <c r="I371" s="309"/>
      <c r="J371" s="39">
        <f t="shared" si="14"/>
        <v>0</v>
      </c>
      <c r="K371" s="309"/>
      <c r="L371" s="230"/>
      <c r="M371" s="72"/>
      <c r="N371" s="141"/>
      <c r="O371" s="39"/>
      <c r="P371" s="309"/>
    </row>
    <row r="372" spans="2:16" ht="26.25" hidden="1" customHeight="1" x14ac:dyDescent="0.25">
      <c r="B372" s="19"/>
      <c r="C372" s="6" t="s">
        <v>18</v>
      </c>
      <c r="D372" s="23" t="s">
        <v>40</v>
      </c>
      <c r="E372" s="112" t="s">
        <v>588</v>
      </c>
      <c r="F372" s="385"/>
      <c r="G372" s="13"/>
      <c r="H372" s="39"/>
      <c r="I372" s="309"/>
      <c r="J372" s="39">
        <f t="shared" si="14"/>
        <v>0</v>
      </c>
      <c r="K372" s="309"/>
      <c r="L372" s="230"/>
      <c r="M372" s="72"/>
      <c r="N372" s="141"/>
      <c r="O372" s="39"/>
      <c r="P372" s="309"/>
    </row>
    <row r="373" spans="2:16" ht="26.25" hidden="1" customHeight="1" x14ac:dyDescent="0.25">
      <c r="B373" s="19"/>
      <c r="C373" s="6" t="s">
        <v>18</v>
      </c>
      <c r="D373" s="23" t="s">
        <v>40</v>
      </c>
      <c r="E373" s="112" t="s">
        <v>391</v>
      </c>
      <c r="F373" s="385"/>
      <c r="G373" s="13"/>
      <c r="H373" s="39"/>
      <c r="I373" s="309">
        <v>0</v>
      </c>
      <c r="J373" s="39">
        <f t="shared" si="14"/>
        <v>0</v>
      </c>
      <c r="K373" s="309" t="e">
        <f>#REF!/1.4</f>
        <v>#REF!</v>
      </c>
      <c r="L373" s="230"/>
      <c r="M373" s="72"/>
      <c r="N373" s="141"/>
      <c r="O373" s="39"/>
      <c r="P373" s="309">
        <v>0</v>
      </c>
    </row>
    <row r="374" spans="2:16" ht="26.25" hidden="1" customHeight="1" x14ac:dyDescent="0.25">
      <c r="B374" s="19"/>
      <c r="C374" s="6" t="s">
        <v>18</v>
      </c>
      <c r="D374" s="23" t="s">
        <v>40</v>
      </c>
      <c r="E374" s="112" t="s">
        <v>768</v>
      </c>
      <c r="F374" s="385"/>
      <c r="G374" s="13"/>
      <c r="H374" s="39"/>
      <c r="I374" s="309"/>
      <c r="J374" s="39"/>
      <c r="K374" s="309"/>
      <c r="L374" s="230"/>
      <c r="M374" s="72"/>
      <c r="N374" s="141"/>
      <c r="O374" s="39"/>
      <c r="P374" s="309"/>
    </row>
    <row r="375" spans="2:16" ht="26.25" hidden="1" customHeight="1" x14ac:dyDescent="0.25">
      <c r="B375" s="19"/>
      <c r="C375" s="6" t="s">
        <v>18</v>
      </c>
      <c r="D375" s="23" t="s">
        <v>40</v>
      </c>
      <c r="E375" s="112" t="s">
        <v>770</v>
      </c>
      <c r="F375" s="385"/>
      <c r="G375" s="13"/>
      <c r="H375" s="39"/>
      <c r="I375" s="309"/>
      <c r="J375" s="39"/>
      <c r="K375" s="309"/>
      <c r="L375" s="230"/>
      <c r="M375" s="72"/>
      <c r="N375" s="141"/>
      <c r="O375" s="39"/>
      <c r="P375" s="309"/>
    </row>
    <row r="376" spans="2:16" ht="26.25" hidden="1" customHeight="1" x14ac:dyDescent="0.25">
      <c r="B376" s="19"/>
      <c r="C376" s="6" t="s">
        <v>18</v>
      </c>
      <c r="D376" s="23" t="s">
        <v>40</v>
      </c>
      <c r="E376" s="112" t="s">
        <v>222</v>
      </c>
      <c r="F376" s="385"/>
      <c r="G376" s="13"/>
      <c r="H376" s="39"/>
      <c r="I376" s="309"/>
      <c r="J376" s="39"/>
      <c r="K376" s="309"/>
      <c r="L376" s="230"/>
      <c r="M376" s="72"/>
      <c r="N376" s="141"/>
      <c r="O376" s="39"/>
      <c r="P376" s="309"/>
    </row>
    <row r="377" spans="2:16" ht="26.25" hidden="1" customHeight="1" x14ac:dyDescent="0.3">
      <c r="B377" s="19"/>
      <c r="C377" s="6" t="s">
        <v>18</v>
      </c>
      <c r="D377" s="23" t="s">
        <v>40</v>
      </c>
      <c r="E377" s="106" t="s">
        <v>168</v>
      </c>
      <c r="F377" s="385"/>
      <c r="G377" s="48"/>
      <c r="H377" s="39"/>
      <c r="I377" s="309">
        <v>0</v>
      </c>
      <c r="J377" s="39">
        <f t="shared" ref="J377:J408" si="15">N377+O377-H377</f>
        <v>0</v>
      </c>
      <c r="K377" s="309" t="e">
        <f>#REF!/1.4</f>
        <v>#REF!</v>
      </c>
      <c r="L377" s="230" t="e">
        <f>K377*J667</f>
        <v>#REF!</v>
      </c>
      <c r="M377" s="275" t="s">
        <v>169</v>
      </c>
      <c r="N377" s="141"/>
      <c r="O377" s="39"/>
      <c r="P377" s="309">
        <v>0</v>
      </c>
    </row>
    <row r="378" spans="2:16" ht="26.25" hidden="1" customHeight="1" x14ac:dyDescent="0.25">
      <c r="B378" s="11"/>
      <c r="C378" s="6" t="s">
        <v>18</v>
      </c>
      <c r="D378" s="23" t="s">
        <v>25</v>
      </c>
      <c r="E378" s="104" t="s">
        <v>316</v>
      </c>
      <c r="F378" s="387"/>
      <c r="G378" s="14" t="s">
        <v>0</v>
      </c>
      <c r="H378" s="39"/>
      <c r="I378" s="309">
        <v>0</v>
      </c>
      <c r="J378" s="39">
        <f t="shared" si="15"/>
        <v>0</v>
      </c>
      <c r="K378" s="309" t="e">
        <f>#REF!/1.4</f>
        <v>#REF!</v>
      </c>
      <c r="L378" s="230" t="e">
        <f>K378*J668</f>
        <v>#REF!</v>
      </c>
      <c r="M378" s="90" t="s">
        <v>132</v>
      </c>
      <c r="N378" s="140"/>
      <c r="O378" s="39"/>
      <c r="P378" s="309">
        <v>0</v>
      </c>
    </row>
    <row r="379" spans="2:16" ht="26.25" hidden="1" customHeight="1" x14ac:dyDescent="0.25">
      <c r="B379" s="583"/>
      <c r="C379" s="516" t="s">
        <v>18</v>
      </c>
      <c r="D379" s="517" t="s">
        <v>25</v>
      </c>
      <c r="E379" s="610" t="s">
        <v>471</v>
      </c>
      <c r="F379" s="588" t="s">
        <v>473</v>
      </c>
      <c r="G379" s="591"/>
      <c r="H379" s="39"/>
      <c r="I379" s="309">
        <v>0</v>
      </c>
      <c r="J379" s="39">
        <f t="shared" si="15"/>
        <v>0</v>
      </c>
      <c r="K379" s="309" t="e">
        <f>#REF!/1.4</f>
        <v>#REF!</v>
      </c>
      <c r="L379" s="230"/>
      <c r="M379" s="214" t="s">
        <v>476</v>
      </c>
      <c r="N379" s="140"/>
      <c r="O379" s="513"/>
      <c r="P379" s="497">
        <v>0</v>
      </c>
    </row>
    <row r="380" spans="2:16" ht="25.5" customHeight="1" x14ac:dyDescent="0.25">
      <c r="B380" s="794">
        <v>89</v>
      </c>
      <c r="C380" s="701" t="s">
        <v>18</v>
      </c>
      <c r="D380" s="702" t="s">
        <v>25</v>
      </c>
      <c r="E380" s="767" t="s">
        <v>24</v>
      </c>
      <c r="F380" s="704">
        <v>311</v>
      </c>
      <c r="G380" s="732" t="s">
        <v>0</v>
      </c>
      <c r="H380" s="572">
        <v>200</v>
      </c>
      <c r="I380" s="360">
        <v>566</v>
      </c>
      <c r="J380" s="39">
        <f t="shared" si="15"/>
        <v>0</v>
      </c>
      <c r="K380" s="309" t="e">
        <f>#REF!/1.4</f>
        <v>#REF!</v>
      </c>
      <c r="L380" s="230" t="e">
        <f>K380*J670</f>
        <v>#REF!</v>
      </c>
      <c r="M380" s="470" t="s">
        <v>685</v>
      </c>
      <c r="N380" s="565"/>
      <c r="O380" s="716">
        <v>200</v>
      </c>
      <c r="P380" s="717">
        <v>566</v>
      </c>
    </row>
    <row r="381" spans="2:16" ht="26.25" customHeight="1" thickBot="1" x14ac:dyDescent="0.3">
      <c r="B381" s="733">
        <v>90</v>
      </c>
      <c r="C381" s="711" t="s">
        <v>18</v>
      </c>
      <c r="D381" s="712" t="s">
        <v>25</v>
      </c>
      <c r="E381" s="796" t="s">
        <v>137</v>
      </c>
      <c r="F381" s="757" t="s">
        <v>180</v>
      </c>
      <c r="G381" s="734" t="s">
        <v>0</v>
      </c>
      <c r="H381" s="572">
        <v>200</v>
      </c>
      <c r="I381" s="360">
        <v>1866</v>
      </c>
      <c r="J381" s="39">
        <f t="shared" si="15"/>
        <v>100</v>
      </c>
      <c r="K381" s="309" t="e">
        <f>#REF!/1.4</f>
        <v>#REF!</v>
      </c>
      <c r="L381" s="230" t="e">
        <f>K381*J671</f>
        <v>#REF!</v>
      </c>
      <c r="M381" s="297" t="s">
        <v>845</v>
      </c>
      <c r="N381" s="565">
        <v>100</v>
      </c>
      <c r="O381" s="720">
        <v>200</v>
      </c>
      <c r="P381" s="721">
        <v>1866</v>
      </c>
    </row>
    <row r="382" spans="2:16" ht="26.25" hidden="1" customHeight="1" x14ac:dyDescent="0.25">
      <c r="B382" s="483"/>
      <c r="C382" s="484" t="s">
        <v>18</v>
      </c>
      <c r="D382" s="485" t="s">
        <v>72</v>
      </c>
      <c r="E382" s="664" t="s">
        <v>211</v>
      </c>
      <c r="F382" s="665"/>
      <c r="G382" s="488"/>
      <c r="H382" s="39"/>
      <c r="I382" s="309">
        <v>0</v>
      </c>
      <c r="J382" s="39">
        <f t="shared" si="15"/>
        <v>0</v>
      </c>
      <c r="K382" s="309"/>
      <c r="L382" s="230"/>
      <c r="M382" s="96"/>
      <c r="N382" s="140"/>
      <c r="O382" s="489"/>
      <c r="P382" s="490">
        <v>0</v>
      </c>
    </row>
    <row r="383" spans="2:16" ht="26.25" hidden="1" customHeight="1" x14ac:dyDescent="0.25">
      <c r="B383" s="14"/>
      <c r="C383" s="6" t="s">
        <v>18</v>
      </c>
      <c r="D383" s="23" t="s">
        <v>72</v>
      </c>
      <c r="E383" s="104" t="s">
        <v>243</v>
      </c>
      <c r="F383" s="386"/>
      <c r="G383" s="48" t="s">
        <v>0</v>
      </c>
      <c r="H383" s="39"/>
      <c r="I383" s="309">
        <v>0</v>
      </c>
      <c r="J383" s="39">
        <f t="shared" si="15"/>
        <v>0</v>
      </c>
      <c r="K383" s="309" t="e">
        <f>#REF!/1.4</f>
        <v>#REF!</v>
      </c>
      <c r="L383" s="230" t="e">
        <f>K383*J673</f>
        <v>#REF!</v>
      </c>
      <c r="M383" s="213" t="s">
        <v>162</v>
      </c>
      <c r="N383" s="140"/>
      <c r="O383" s="39"/>
      <c r="P383" s="309">
        <v>0</v>
      </c>
    </row>
    <row r="384" spans="2:16" ht="26.25" hidden="1" customHeight="1" x14ac:dyDescent="0.25">
      <c r="B384" s="591"/>
      <c r="C384" s="516" t="s">
        <v>18</v>
      </c>
      <c r="D384" s="517" t="s">
        <v>72</v>
      </c>
      <c r="E384" s="610" t="s">
        <v>695</v>
      </c>
      <c r="F384" s="621">
        <v>1447</v>
      </c>
      <c r="G384" s="585"/>
      <c r="H384" s="39"/>
      <c r="I384" s="360">
        <v>0</v>
      </c>
      <c r="J384" s="39">
        <f t="shared" si="15"/>
        <v>0</v>
      </c>
      <c r="K384" s="309" t="e">
        <f>#REF!/1.4</f>
        <v>#REF!</v>
      </c>
      <c r="L384" s="230"/>
      <c r="M384" s="213" t="s">
        <v>720</v>
      </c>
      <c r="N384" s="140"/>
      <c r="O384" s="547"/>
      <c r="P384" s="497">
        <v>0</v>
      </c>
    </row>
    <row r="385" spans="2:16" ht="26.25" customHeight="1" thickBot="1" x14ac:dyDescent="0.3">
      <c r="B385" s="722">
        <v>91</v>
      </c>
      <c r="C385" s="723" t="s">
        <v>18</v>
      </c>
      <c r="D385" s="724" t="s">
        <v>72</v>
      </c>
      <c r="E385" s="766" t="s">
        <v>289</v>
      </c>
      <c r="F385" s="737">
        <v>447</v>
      </c>
      <c r="G385" s="738" t="s">
        <v>0</v>
      </c>
      <c r="H385" s="572">
        <v>365</v>
      </c>
      <c r="I385" s="360">
        <v>248.2</v>
      </c>
      <c r="J385" s="39">
        <f t="shared" si="15"/>
        <v>0</v>
      </c>
      <c r="K385" s="309">
        <v>0.68</v>
      </c>
      <c r="L385" s="230">
        <f>K385*J675</f>
        <v>0</v>
      </c>
      <c r="M385" s="94"/>
      <c r="N385" s="565"/>
      <c r="O385" s="739">
        <v>365</v>
      </c>
      <c r="P385" s="729">
        <v>248.2</v>
      </c>
    </row>
    <row r="386" spans="2:16" ht="26.25" hidden="1" customHeight="1" x14ac:dyDescent="0.25">
      <c r="B386" s="483"/>
      <c r="C386" s="484" t="s">
        <v>18</v>
      </c>
      <c r="D386" s="485" t="s">
        <v>72</v>
      </c>
      <c r="E386" s="638" t="s">
        <v>669</v>
      </c>
      <c r="F386" s="687">
        <v>1427</v>
      </c>
      <c r="G386" s="488"/>
      <c r="H386" s="39"/>
      <c r="I386" s="360"/>
      <c r="J386" s="39">
        <f t="shared" si="15"/>
        <v>0</v>
      </c>
      <c r="K386" s="309"/>
      <c r="L386" s="230"/>
      <c r="M386" s="94"/>
      <c r="N386" s="140"/>
      <c r="O386" s="556"/>
      <c r="P386" s="490"/>
    </row>
    <row r="387" spans="2:16" ht="26.25" hidden="1" customHeight="1" x14ac:dyDescent="0.25">
      <c r="B387" s="11"/>
      <c r="C387" s="6" t="s">
        <v>18</v>
      </c>
      <c r="D387" s="23" t="s">
        <v>72</v>
      </c>
      <c r="E387" s="104" t="s">
        <v>668</v>
      </c>
      <c r="F387" s="510">
        <v>1420</v>
      </c>
      <c r="G387" s="48"/>
      <c r="H387" s="39"/>
      <c r="I387" s="360"/>
      <c r="J387" s="39">
        <f t="shared" si="15"/>
        <v>0</v>
      </c>
      <c r="K387" s="309"/>
      <c r="L387" s="230"/>
      <c r="M387" s="94"/>
      <c r="N387" s="140"/>
      <c r="O387" s="503"/>
      <c r="P387" s="309"/>
    </row>
    <row r="388" spans="2:16" ht="26.25" hidden="1" customHeight="1" x14ac:dyDescent="0.25">
      <c r="B388" s="15"/>
      <c r="C388" s="6" t="s">
        <v>18</v>
      </c>
      <c r="D388" s="23" t="s">
        <v>72</v>
      </c>
      <c r="E388" s="106" t="s">
        <v>495</v>
      </c>
      <c r="F388" s="210"/>
      <c r="G388" s="13"/>
      <c r="H388" s="39"/>
      <c r="I388" s="309">
        <v>0</v>
      </c>
      <c r="J388" s="39">
        <f t="shared" si="15"/>
        <v>0</v>
      </c>
      <c r="K388" s="309" t="e">
        <f>#REF!/1.4</f>
        <v>#REF!</v>
      </c>
      <c r="L388" s="230" t="e">
        <f>K388*J678</f>
        <v>#REF!</v>
      </c>
      <c r="M388" s="90"/>
      <c r="N388" s="140"/>
      <c r="O388" s="39"/>
      <c r="P388" s="490">
        <v>0</v>
      </c>
    </row>
    <row r="389" spans="2:16" ht="26.25" hidden="1" customHeight="1" x14ac:dyDescent="0.25">
      <c r="B389" s="15"/>
      <c r="C389" s="6" t="s">
        <v>18</v>
      </c>
      <c r="D389" s="23" t="s">
        <v>72</v>
      </c>
      <c r="E389" s="106" t="s">
        <v>527</v>
      </c>
      <c r="F389" s="210">
        <v>1419</v>
      </c>
      <c r="G389" s="13"/>
      <c r="H389" s="39"/>
      <c r="I389" s="309">
        <v>0</v>
      </c>
      <c r="J389" s="39">
        <f t="shared" si="15"/>
        <v>0</v>
      </c>
      <c r="K389" s="309" t="e">
        <f>#REF!/1.4</f>
        <v>#REF!</v>
      </c>
      <c r="L389" s="230" t="e">
        <f>K389*J679</f>
        <v>#REF!</v>
      </c>
      <c r="M389" s="155" t="s">
        <v>686</v>
      </c>
      <c r="N389" s="140"/>
      <c r="O389" s="503"/>
      <c r="P389" s="309">
        <v>0</v>
      </c>
    </row>
    <row r="390" spans="2:16" ht="26.25" hidden="1" customHeight="1" x14ac:dyDescent="0.25">
      <c r="B390" s="15"/>
      <c r="C390" s="6" t="s">
        <v>18</v>
      </c>
      <c r="D390" s="23" t="s">
        <v>72</v>
      </c>
      <c r="E390" s="106" t="s">
        <v>287</v>
      </c>
      <c r="F390" s="210">
        <v>1388</v>
      </c>
      <c r="G390" s="13"/>
      <c r="H390" s="39"/>
      <c r="I390" s="309">
        <v>0</v>
      </c>
      <c r="J390" s="39">
        <f t="shared" si="15"/>
        <v>0</v>
      </c>
      <c r="K390" s="309" t="e">
        <f>#REF!/1.4</f>
        <v>#REF!</v>
      </c>
      <c r="L390" s="230"/>
      <c r="M390" s="215" t="s">
        <v>610</v>
      </c>
      <c r="N390" s="140"/>
      <c r="O390" s="39"/>
      <c r="P390" s="490">
        <v>0</v>
      </c>
    </row>
    <row r="391" spans="2:16" ht="26.25" hidden="1" customHeight="1" x14ac:dyDescent="0.25">
      <c r="B391" s="15"/>
      <c r="C391" s="6" t="s">
        <v>18</v>
      </c>
      <c r="D391" s="23" t="s">
        <v>72</v>
      </c>
      <c r="E391" s="106" t="s">
        <v>565</v>
      </c>
      <c r="F391" s="210">
        <v>841</v>
      </c>
      <c r="G391" s="13"/>
      <c r="H391" s="39"/>
      <c r="I391" s="309">
        <v>0</v>
      </c>
      <c r="J391" s="39">
        <f t="shared" si="15"/>
        <v>0</v>
      </c>
      <c r="K391" s="309" t="e">
        <f>#REF!/1.4</f>
        <v>#REF!</v>
      </c>
      <c r="L391" s="230"/>
      <c r="M391" s="155" t="s">
        <v>687</v>
      </c>
      <c r="N391" s="140"/>
      <c r="O391" s="503"/>
      <c r="P391" s="309">
        <v>0</v>
      </c>
    </row>
    <row r="392" spans="2:16" ht="26.25" hidden="1" customHeight="1" x14ac:dyDescent="0.25">
      <c r="B392" s="15"/>
      <c r="C392" s="6" t="s">
        <v>18</v>
      </c>
      <c r="D392" s="23" t="s">
        <v>72</v>
      </c>
      <c r="E392" s="106" t="s">
        <v>486</v>
      </c>
      <c r="F392" s="210"/>
      <c r="G392" s="13"/>
      <c r="H392" s="39"/>
      <c r="I392" s="309">
        <v>0</v>
      </c>
      <c r="J392" s="39">
        <f t="shared" si="15"/>
        <v>0</v>
      </c>
      <c r="K392" s="309" t="e">
        <f>#REF!/1.4</f>
        <v>#REF!</v>
      </c>
      <c r="L392" s="230"/>
      <c r="M392" s="90"/>
      <c r="N392" s="140"/>
      <c r="O392" s="39"/>
      <c r="P392" s="490">
        <v>0</v>
      </c>
    </row>
    <row r="393" spans="2:16" ht="26.25" hidden="1" customHeight="1" x14ac:dyDescent="0.25">
      <c r="B393" s="15"/>
      <c r="C393" s="6" t="s">
        <v>18</v>
      </c>
      <c r="D393" s="23" t="s">
        <v>72</v>
      </c>
      <c r="E393" s="106" t="s">
        <v>487</v>
      </c>
      <c r="F393" s="210"/>
      <c r="G393" s="13"/>
      <c r="H393" s="39"/>
      <c r="I393" s="309">
        <v>0</v>
      </c>
      <c r="J393" s="39">
        <f t="shared" si="15"/>
        <v>0</v>
      </c>
      <c r="K393" s="309"/>
      <c r="L393" s="230"/>
      <c r="M393" s="90"/>
      <c r="N393" s="140"/>
      <c r="O393" s="39"/>
      <c r="P393" s="309">
        <v>0</v>
      </c>
    </row>
    <row r="394" spans="2:16" ht="26.25" hidden="1" customHeight="1" x14ac:dyDescent="0.25">
      <c r="B394" s="15"/>
      <c r="C394" s="6" t="s">
        <v>18</v>
      </c>
      <c r="D394" s="23" t="s">
        <v>72</v>
      </c>
      <c r="E394" s="104" t="s">
        <v>468</v>
      </c>
      <c r="F394" s="210">
        <v>1249</v>
      </c>
      <c r="G394" s="13"/>
      <c r="H394" s="39"/>
      <c r="I394" s="309">
        <v>0</v>
      </c>
      <c r="J394" s="39">
        <f t="shared" si="15"/>
        <v>0</v>
      </c>
      <c r="K394" s="309" t="e">
        <f>#REF!/1.4</f>
        <v>#REF!</v>
      </c>
      <c r="L394" s="230" t="e">
        <f>K394*J684</f>
        <v>#REF!</v>
      </c>
      <c r="M394" s="155" t="s">
        <v>688</v>
      </c>
      <c r="N394" s="140"/>
      <c r="O394" s="503"/>
      <c r="P394" s="309">
        <v>0</v>
      </c>
    </row>
    <row r="395" spans="2:16" ht="26.25" hidden="1" customHeight="1" x14ac:dyDescent="0.25">
      <c r="B395" s="515"/>
      <c r="C395" s="516" t="s">
        <v>18</v>
      </c>
      <c r="D395" s="517" t="s">
        <v>72</v>
      </c>
      <c r="E395" s="623" t="s">
        <v>481</v>
      </c>
      <c r="F395" s="615">
        <v>1235</v>
      </c>
      <c r="G395" s="607"/>
      <c r="H395" s="39"/>
      <c r="I395" s="309">
        <v>0</v>
      </c>
      <c r="J395" s="39">
        <f t="shared" si="15"/>
        <v>0</v>
      </c>
      <c r="K395" s="309" t="e">
        <f>#REF!/1.4</f>
        <v>#REF!</v>
      </c>
      <c r="L395" s="230"/>
      <c r="M395" s="155" t="s">
        <v>464</v>
      </c>
      <c r="N395" s="140"/>
      <c r="O395" s="513"/>
      <c r="P395" s="507">
        <v>0</v>
      </c>
    </row>
    <row r="396" spans="2:16" ht="32.25" customHeight="1" thickBot="1" x14ac:dyDescent="0.3">
      <c r="B396" s="700">
        <v>92</v>
      </c>
      <c r="C396" s="701" t="s">
        <v>18</v>
      </c>
      <c r="D396" s="702" t="s">
        <v>72</v>
      </c>
      <c r="E396" s="767" t="s">
        <v>97</v>
      </c>
      <c r="F396" s="704">
        <v>509</v>
      </c>
      <c r="G396" s="732" t="s">
        <v>0</v>
      </c>
      <c r="H396" s="572">
        <v>1000</v>
      </c>
      <c r="I396" s="360">
        <v>1630</v>
      </c>
      <c r="J396" s="39">
        <f t="shared" si="15"/>
        <v>1800</v>
      </c>
      <c r="K396" s="309" t="e">
        <f>#REF!/1.4</f>
        <v>#REF!</v>
      </c>
      <c r="L396" s="230" t="e">
        <f>K396*J686</f>
        <v>#REF!</v>
      </c>
      <c r="M396" s="220" t="s">
        <v>846</v>
      </c>
      <c r="N396" s="565">
        <v>800</v>
      </c>
      <c r="O396" s="716">
        <v>2000</v>
      </c>
      <c r="P396" s="717">
        <v>3260</v>
      </c>
    </row>
    <row r="397" spans="2:16" ht="26.25" hidden="1" customHeight="1" thickBot="1" x14ac:dyDescent="0.3">
      <c r="B397" s="809">
        <v>119</v>
      </c>
      <c r="C397" s="711" t="s">
        <v>18</v>
      </c>
      <c r="D397" s="712" t="s">
        <v>72</v>
      </c>
      <c r="E397" s="765" t="s">
        <v>92</v>
      </c>
      <c r="F397" s="714">
        <v>557</v>
      </c>
      <c r="G397" s="734" t="s">
        <v>0</v>
      </c>
      <c r="H397" s="572"/>
      <c r="I397" s="360">
        <v>0</v>
      </c>
      <c r="J397" s="39">
        <f t="shared" si="15"/>
        <v>200</v>
      </c>
      <c r="K397" s="309" t="e">
        <f>#REF!/1.4</f>
        <v>#REF!</v>
      </c>
      <c r="L397" s="230" t="e">
        <f>K397*J687</f>
        <v>#REF!</v>
      </c>
      <c r="M397" s="68" t="s">
        <v>847</v>
      </c>
      <c r="N397" s="565">
        <v>200</v>
      </c>
      <c r="O397" s="720"/>
      <c r="P397" s="721">
        <v>0</v>
      </c>
    </row>
    <row r="398" spans="2:16" ht="26.25" hidden="1" customHeight="1" x14ac:dyDescent="0.25">
      <c r="B398" s="673"/>
      <c r="C398" s="593" t="s">
        <v>18</v>
      </c>
      <c r="D398" s="594" t="s">
        <v>72</v>
      </c>
      <c r="E398" s="660" t="s">
        <v>670</v>
      </c>
      <c r="F398" s="627">
        <v>1416</v>
      </c>
      <c r="G398" s="597"/>
      <c r="H398" s="39"/>
      <c r="I398" s="360">
        <v>0</v>
      </c>
      <c r="J398" s="39">
        <f t="shared" si="15"/>
        <v>0</v>
      </c>
      <c r="K398" s="309" t="e">
        <f>#REF!/1.4</f>
        <v>#REF!</v>
      </c>
      <c r="L398" s="230"/>
      <c r="M398" s="234" t="s">
        <v>689</v>
      </c>
      <c r="N398" s="140"/>
      <c r="O398" s="646"/>
      <c r="P398" s="507">
        <v>0</v>
      </c>
    </row>
    <row r="399" spans="2:16" ht="26.25" customHeight="1" thickBot="1" x14ac:dyDescent="0.3">
      <c r="B399" s="722">
        <v>93</v>
      </c>
      <c r="C399" s="723" t="s">
        <v>18</v>
      </c>
      <c r="D399" s="724" t="s">
        <v>72</v>
      </c>
      <c r="E399" s="766" t="s">
        <v>145</v>
      </c>
      <c r="F399" s="737">
        <v>726</v>
      </c>
      <c r="G399" s="738" t="s">
        <v>0</v>
      </c>
      <c r="H399" s="573">
        <v>290</v>
      </c>
      <c r="I399" s="360">
        <v>1467.4</v>
      </c>
      <c r="J399" s="39">
        <f t="shared" si="15"/>
        <v>0</v>
      </c>
      <c r="K399" s="309" t="e">
        <f>#REF!/1.4</f>
        <v>#REF!</v>
      </c>
      <c r="L399" s="230" t="e">
        <f>K399*J689</f>
        <v>#REF!</v>
      </c>
      <c r="M399" s="367"/>
      <c r="N399" s="565"/>
      <c r="O399" s="810">
        <v>290</v>
      </c>
      <c r="P399" s="729">
        <v>1467.4</v>
      </c>
    </row>
    <row r="400" spans="2:16" ht="26.25" hidden="1" customHeight="1" x14ac:dyDescent="0.25">
      <c r="B400" s="483"/>
      <c r="C400" s="484" t="s">
        <v>18</v>
      </c>
      <c r="D400" s="485" t="s">
        <v>72</v>
      </c>
      <c r="E400" s="638" t="s">
        <v>273</v>
      </c>
      <c r="F400" s="640">
        <v>758</v>
      </c>
      <c r="G400" s="488" t="s">
        <v>0</v>
      </c>
      <c r="H400" s="40"/>
      <c r="I400" s="360">
        <v>0</v>
      </c>
      <c r="J400" s="39">
        <f t="shared" si="15"/>
        <v>0</v>
      </c>
      <c r="K400" s="309" t="e">
        <f>#REF!/1.4</f>
        <v>#REF!</v>
      </c>
      <c r="L400" s="230"/>
      <c r="M400" s="366" t="s">
        <v>611</v>
      </c>
      <c r="N400" s="140"/>
      <c r="O400" s="688"/>
      <c r="P400" s="469">
        <v>0</v>
      </c>
    </row>
    <row r="401" spans="1:28" ht="26.25" hidden="1" customHeight="1" x14ac:dyDescent="0.25">
      <c r="B401" s="11"/>
      <c r="C401" s="6" t="s">
        <v>18</v>
      </c>
      <c r="D401" s="23" t="s">
        <v>72</v>
      </c>
      <c r="E401" s="104" t="s">
        <v>484</v>
      </c>
      <c r="F401" s="270">
        <v>494</v>
      </c>
      <c r="G401" s="48"/>
      <c r="H401" s="40"/>
      <c r="I401" s="309">
        <v>0</v>
      </c>
      <c r="J401" s="39">
        <f t="shared" si="15"/>
        <v>0</v>
      </c>
      <c r="K401" s="309" t="e">
        <f>#REF!/1.4</f>
        <v>#REF!</v>
      </c>
      <c r="L401" s="230"/>
      <c r="M401" s="234" t="s">
        <v>657</v>
      </c>
      <c r="N401" s="140"/>
      <c r="O401" s="504"/>
      <c r="P401" s="309">
        <v>0</v>
      </c>
    </row>
    <row r="402" spans="1:28" ht="26.25" hidden="1" customHeight="1" x14ac:dyDescent="0.25">
      <c r="B402" s="583"/>
      <c r="C402" s="516" t="s">
        <v>18</v>
      </c>
      <c r="D402" s="517" t="s">
        <v>72</v>
      </c>
      <c r="E402" s="610" t="s">
        <v>485</v>
      </c>
      <c r="F402" s="617"/>
      <c r="G402" s="585"/>
      <c r="H402" s="40"/>
      <c r="I402" s="309">
        <v>0</v>
      </c>
      <c r="J402" s="39">
        <f t="shared" si="15"/>
        <v>0</v>
      </c>
      <c r="K402" s="309" t="e">
        <f>#REF!/1.4</f>
        <v>#REF!</v>
      </c>
      <c r="L402" s="230"/>
      <c r="M402" s="64"/>
      <c r="N402" s="140"/>
      <c r="O402" s="624"/>
      <c r="P402" s="507">
        <v>0</v>
      </c>
    </row>
    <row r="403" spans="1:28" ht="26.25" customHeight="1" thickBot="1" x14ac:dyDescent="0.3">
      <c r="B403" s="722">
        <v>94</v>
      </c>
      <c r="C403" s="723" t="s">
        <v>18</v>
      </c>
      <c r="D403" s="724" t="s">
        <v>72</v>
      </c>
      <c r="E403" s="807" t="s">
        <v>496</v>
      </c>
      <c r="F403" s="798">
        <v>1268</v>
      </c>
      <c r="G403" s="727" t="s">
        <v>0</v>
      </c>
      <c r="H403" s="573">
        <v>2</v>
      </c>
      <c r="I403" s="360">
        <v>12.26</v>
      </c>
      <c r="J403" s="39">
        <f t="shared" si="15"/>
        <v>0</v>
      </c>
      <c r="K403" s="309">
        <v>6.13</v>
      </c>
      <c r="L403" s="230">
        <f>K403*J693</f>
        <v>0</v>
      </c>
      <c r="M403" s="368"/>
      <c r="N403" s="565"/>
      <c r="O403" s="810">
        <v>2</v>
      </c>
      <c r="P403" s="729">
        <v>12.26</v>
      </c>
    </row>
    <row r="404" spans="1:28" ht="26.25" hidden="1" customHeight="1" x14ac:dyDescent="0.25">
      <c r="B404" s="483"/>
      <c r="C404" s="484" t="s">
        <v>18</v>
      </c>
      <c r="D404" s="485" t="s">
        <v>72</v>
      </c>
      <c r="E404" s="664" t="s">
        <v>664</v>
      </c>
      <c r="F404" s="672">
        <v>1255</v>
      </c>
      <c r="G404" s="632"/>
      <c r="H404" s="40"/>
      <c r="I404" s="309">
        <v>0</v>
      </c>
      <c r="J404" s="39">
        <f t="shared" si="15"/>
        <v>0</v>
      </c>
      <c r="K404" s="309" t="e">
        <f>#REF!/1.4</f>
        <v>#REF!</v>
      </c>
      <c r="L404" s="230"/>
      <c r="M404" s="96" t="s">
        <v>475</v>
      </c>
      <c r="N404" s="140"/>
      <c r="O404" s="688"/>
      <c r="P404" s="490">
        <v>0</v>
      </c>
    </row>
    <row r="405" spans="1:28" ht="26.25" hidden="1" customHeight="1" x14ac:dyDescent="0.25">
      <c r="B405" s="11"/>
      <c r="C405" s="6"/>
      <c r="D405" s="23"/>
      <c r="E405" s="1" t="s">
        <v>330</v>
      </c>
      <c r="F405" s="386"/>
      <c r="G405" s="12"/>
      <c r="H405" s="40"/>
      <c r="I405" s="309"/>
      <c r="J405" s="39">
        <f t="shared" si="15"/>
        <v>0</v>
      </c>
      <c r="K405" s="309"/>
      <c r="L405" s="230"/>
      <c r="M405" s="96"/>
      <c r="N405" s="140"/>
      <c r="O405" s="40"/>
      <c r="P405" s="309"/>
    </row>
    <row r="406" spans="1:28" ht="26.25" hidden="1" customHeight="1" x14ac:dyDescent="0.25">
      <c r="B406" s="11"/>
      <c r="C406" s="6" t="s">
        <v>18</v>
      </c>
      <c r="D406" s="23" t="s">
        <v>72</v>
      </c>
      <c r="E406" s="1" t="s">
        <v>249</v>
      </c>
      <c r="F406" s="386">
        <v>1222</v>
      </c>
      <c r="G406" s="12"/>
      <c r="H406" s="40"/>
      <c r="I406" s="309">
        <v>0</v>
      </c>
      <c r="J406" s="39">
        <f t="shared" si="15"/>
        <v>0</v>
      </c>
      <c r="K406" s="309" t="e">
        <f>#REF!/1.4</f>
        <v>#REF!</v>
      </c>
      <c r="L406" s="230"/>
      <c r="M406" s="96" t="s">
        <v>335</v>
      </c>
      <c r="N406" s="140"/>
      <c r="O406" s="40"/>
      <c r="P406" s="309">
        <v>0</v>
      </c>
    </row>
    <row r="407" spans="1:28" ht="26.25" hidden="1" customHeight="1" x14ac:dyDescent="0.25">
      <c r="B407" s="19"/>
      <c r="C407" s="6" t="s">
        <v>18</v>
      </c>
      <c r="D407" s="23" t="s">
        <v>72</v>
      </c>
      <c r="E407" s="106" t="s">
        <v>247</v>
      </c>
      <c r="F407" s="386"/>
      <c r="G407" s="13" t="s">
        <v>0</v>
      </c>
      <c r="H407" s="39"/>
      <c r="I407" s="309">
        <v>0</v>
      </c>
      <c r="J407" s="39">
        <f t="shared" si="15"/>
        <v>0</v>
      </c>
      <c r="K407" s="309" t="e">
        <f>#REF!/1.4</f>
        <v>#REF!</v>
      </c>
      <c r="L407" s="230"/>
      <c r="M407" s="217" t="s">
        <v>279</v>
      </c>
      <c r="N407" s="140"/>
      <c r="O407" s="39"/>
      <c r="P407" s="309">
        <v>0</v>
      </c>
    </row>
    <row r="408" spans="1:28" ht="26.25" hidden="1" customHeight="1" x14ac:dyDescent="0.25">
      <c r="B408" s="19"/>
      <c r="C408" s="6" t="s">
        <v>18</v>
      </c>
      <c r="D408" s="23" t="s">
        <v>72</v>
      </c>
      <c r="E408" s="106" t="s">
        <v>483</v>
      </c>
      <c r="F408" s="386"/>
      <c r="G408" s="13"/>
      <c r="H408" s="39"/>
      <c r="I408" s="309">
        <v>0</v>
      </c>
      <c r="J408" s="39">
        <f t="shared" si="15"/>
        <v>0</v>
      </c>
      <c r="K408" s="309" t="e">
        <f>#REF!/1.4</f>
        <v>#REF!</v>
      </c>
      <c r="L408" s="230" t="e">
        <f>K408*J698</f>
        <v>#REF!</v>
      </c>
      <c r="M408" s="90"/>
      <c r="N408" s="140"/>
      <c r="O408" s="39"/>
      <c r="P408" s="309">
        <v>0</v>
      </c>
    </row>
    <row r="409" spans="1:28" ht="26.25" hidden="1" customHeight="1" x14ac:dyDescent="0.25">
      <c r="B409" s="19"/>
      <c r="C409" s="6" t="s">
        <v>18</v>
      </c>
      <c r="D409" s="23" t="s">
        <v>72</v>
      </c>
      <c r="E409" s="106" t="s">
        <v>254</v>
      </c>
      <c r="F409" s="386"/>
      <c r="G409" s="13"/>
      <c r="H409" s="39"/>
      <c r="I409" s="309">
        <v>0</v>
      </c>
      <c r="J409" s="39">
        <f t="shared" ref="J409:J432" si="16">N409+O409-H409</f>
        <v>0</v>
      </c>
      <c r="K409" s="309" t="e">
        <f>#REF!/1.4</f>
        <v>#REF!</v>
      </c>
      <c r="L409" s="230"/>
      <c r="M409" s="90"/>
      <c r="N409" s="140"/>
      <c r="O409" s="39"/>
      <c r="P409" s="309">
        <v>0</v>
      </c>
    </row>
    <row r="410" spans="1:28" ht="26.25" hidden="1" customHeight="1" x14ac:dyDescent="0.25">
      <c r="B410" s="19"/>
      <c r="C410" s="6" t="s">
        <v>18</v>
      </c>
      <c r="D410" s="23" t="s">
        <v>72</v>
      </c>
      <c r="E410" s="106" t="s">
        <v>387</v>
      </c>
      <c r="F410" s="386"/>
      <c r="G410" s="13"/>
      <c r="H410" s="39"/>
      <c r="I410" s="309">
        <v>0</v>
      </c>
      <c r="J410" s="39">
        <f t="shared" si="16"/>
        <v>0</v>
      </c>
      <c r="K410" s="309" t="e">
        <f>#REF!/1.4</f>
        <v>#REF!</v>
      </c>
      <c r="L410" s="230"/>
      <c r="M410" s="90"/>
      <c r="N410" s="140"/>
      <c r="O410" s="39"/>
      <c r="P410" s="309">
        <v>0</v>
      </c>
    </row>
    <row r="411" spans="1:28" ht="26.25" hidden="1" customHeight="1" x14ac:dyDescent="0.25">
      <c r="B411" s="19"/>
      <c r="C411" s="6" t="s">
        <v>18</v>
      </c>
      <c r="D411" s="23" t="s">
        <v>72</v>
      </c>
      <c r="E411" s="106" t="s">
        <v>510</v>
      </c>
      <c r="F411" s="386">
        <v>1066</v>
      </c>
      <c r="G411" s="48" t="s">
        <v>0</v>
      </c>
      <c r="H411" s="39"/>
      <c r="I411" s="360">
        <v>0</v>
      </c>
      <c r="J411" s="39">
        <f t="shared" si="16"/>
        <v>0</v>
      </c>
      <c r="K411" s="309" t="e">
        <f>#REF!/1.4</f>
        <v>#REF!</v>
      </c>
      <c r="L411" s="230"/>
      <c r="M411" s="91" t="s">
        <v>568</v>
      </c>
      <c r="N411" s="140"/>
      <c r="O411" s="39"/>
      <c r="P411" s="360">
        <v>0</v>
      </c>
    </row>
    <row r="412" spans="1:28" ht="26.25" hidden="1" customHeight="1" x14ac:dyDescent="0.25">
      <c r="B412" s="19"/>
      <c r="C412" s="6" t="s">
        <v>18</v>
      </c>
      <c r="D412" s="23" t="s">
        <v>72</v>
      </c>
      <c r="E412" s="106" t="s">
        <v>509</v>
      </c>
      <c r="F412" s="386">
        <v>1059</v>
      </c>
      <c r="G412" s="48" t="s">
        <v>0</v>
      </c>
      <c r="H412" s="39"/>
      <c r="I412" s="360">
        <v>0</v>
      </c>
      <c r="J412" s="39">
        <f t="shared" si="16"/>
        <v>0</v>
      </c>
      <c r="K412" s="309" t="e">
        <f>#REF!/1.4</f>
        <v>#REF!</v>
      </c>
      <c r="L412" s="230"/>
      <c r="M412" s="91" t="s">
        <v>568</v>
      </c>
      <c r="N412" s="140"/>
      <c r="O412" s="39"/>
      <c r="P412" s="360">
        <v>0</v>
      </c>
    </row>
    <row r="413" spans="1:28" ht="26.25" hidden="1" customHeight="1" x14ac:dyDescent="0.25">
      <c r="B413" s="19"/>
      <c r="C413" s="6" t="s">
        <v>18</v>
      </c>
      <c r="D413" s="23" t="s">
        <v>72</v>
      </c>
      <c r="E413" s="106" t="s">
        <v>569</v>
      </c>
      <c r="F413" s="386"/>
      <c r="G413" s="13"/>
      <c r="H413" s="39"/>
      <c r="I413" s="309">
        <v>0</v>
      </c>
      <c r="J413" s="39">
        <f t="shared" si="16"/>
        <v>0</v>
      </c>
      <c r="K413" s="309" t="e">
        <f>#REF!/1.4</f>
        <v>#REF!</v>
      </c>
      <c r="L413" s="230" t="e">
        <f>K413*J703</f>
        <v>#REF!</v>
      </c>
      <c r="M413" s="90"/>
      <c r="N413" s="140"/>
      <c r="O413" s="39"/>
      <c r="P413" s="309">
        <v>0</v>
      </c>
    </row>
    <row r="414" spans="1:28" ht="26.25" hidden="1" customHeight="1" x14ac:dyDescent="0.25">
      <c r="B414" s="19"/>
      <c r="C414" s="6" t="s">
        <v>18</v>
      </c>
      <c r="D414" s="23" t="s">
        <v>72</v>
      </c>
      <c r="E414" s="106" t="s">
        <v>482</v>
      </c>
      <c r="F414" s="386"/>
      <c r="G414" s="13" t="s">
        <v>0</v>
      </c>
      <c r="H414" s="39"/>
      <c r="I414" s="309">
        <v>0</v>
      </c>
      <c r="J414" s="39">
        <f t="shared" si="16"/>
        <v>0</v>
      </c>
      <c r="K414" s="309" t="e">
        <f>#REF!/1.4</f>
        <v>#REF!</v>
      </c>
      <c r="L414" s="230" t="e">
        <f>K414*J704</f>
        <v>#REF!</v>
      </c>
      <c r="M414" s="64"/>
      <c r="N414" s="140"/>
      <c r="O414" s="39"/>
      <c r="P414" s="309">
        <v>0</v>
      </c>
    </row>
    <row r="415" spans="1:28" ht="26.25" hidden="1" customHeight="1" x14ac:dyDescent="0.25">
      <c r="B415" s="19"/>
      <c r="C415" s="6" t="s">
        <v>18</v>
      </c>
      <c r="D415" s="23" t="s">
        <v>72</v>
      </c>
      <c r="E415" s="106" t="s">
        <v>274</v>
      </c>
      <c r="F415" s="386"/>
      <c r="G415" s="13"/>
      <c r="H415" s="39"/>
      <c r="I415" s="309">
        <v>0</v>
      </c>
      <c r="J415" s="39">
        <f t="shared" si="16"/>
        <v>0</v>
      </c>
      <c r="K415" s="309" t="e">
        <f>#REF!/1.4</f>
        <v>#REF!</v>
      </c>
      <c r="L415" s="230"/>
      <c r="M415" s="116"/>
      <c r="N415" s="140"/>
      <c r="O415" s="39"/>
      <c r="P415" s="497">
        <v>0</v>
      </c>
    </row>
    <row r="416" spans="1:28" s="4" customFormat="1" ht="26.25" hidden="1" customHeight="1" x14ac:dyDescent="0.25">
      <c r="A416" s="10"/>
      <c r="B416" s="19"/>
      <c r="C416" s="6" t="s">
        <v>18</v>
      </c>
      <c r="D416" s="23" t="s">
        <v>72</v>
      </c>
      <c r="E416" s="87" t="s">
        <v>635</v>
      </c>
      <c r="F416" s="397">
        <v>693</v>
      </c>
      <c r="G416" s="13"/>
      <c r="H416" s="39"/>
      <c r="I416" s="360">
        <v>0</v>
      </c>
      <c r="J416" s="39">
        <f t="shared" si="16"/>
        <v>0</v>
      </c>
      <c r="K416" s="309" t="e">
        <f>#REF!/1.4</f>
        <v>#REF!</v>
      </c>
      <c r="L416" s="230"/>
      <c r="M416" s="234" t="s">
        <v>656</v>
      </c>
      <c r="N416" s="140"/>
      <c r="O416" s="503"/>
      <c r="P416" s="309">
        <v>0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 spans="2:16" ht="26.25" hidden="1" customHeight="1" x14ac:dyDescent="0.25">
      <c r="B417" s="15"/>
      <c r="C417" s="6" t="s">
        <v>18</v>
      </c>
      <c r="D417" s="23" t="s">
        <v>72</v>
      </c>
      <c r="E417" s="1" t="s">
        <v>480</v>
      </c>
      <c r="F417" s="386">
        <v>1148</v>
      </c>
      <c r="G417" s="13"/>
      <c r="H417" s="39"/>
      <c r="I417" s="309">
        <v>0</v>
      </c>
      <c r="J417" s="39">
        <f t="shared" si="16"/>
        <v>0</v>
      </c>
      <c r="K417" s="309" t="e">
        <f>#REF!/1.4</f>
        <v>#REF!</v>
      </c>
      <c r="L417" s="230"/>
      <c r="M417" s="217" t="s">
        <v>278</v>
      </c>
      <c r="N417" s="140"/>
      <c r="O417" s="39"/>
      <c r="P417" s="490">
        <v>0</v>
      </c>
    </row>
    <row r="418" spans="2:16" ht="26.25" hidden="1" customHeight="1" x14ac:dyDescent="0.25">
      <c r="B418" s="15"/>
      <c r="C418" s="6" t="s">
        <v>18</v>
      </c>
      <c r="D418" s="23" t="s">
        <v>72</v>
      </c>
      <c r="E418" s="1" t="s">
        <v>479</v>
      </c>
      <c r="F418" s="386">
        <v>1150</v>
      </c>
      <c r="G418" s="13"/>
      <c r="H418" s="39"/>
      <c r="I418" s="309">
        <v>0</v>
      </c>
      <c r="J418" s="39">
        <f t="shared" si="16"/>
        <v>0</v>
      </c>
      <c r="K418" s="309" t="e">
        <f>#REF!/1.4</f>
        <v>#REF!</v>
      </c>
      <c r="L418" s="230"/>
      <c r="M418" s="217" t="s">
        <v>278</v>
      </c>
      <c r="N418" s="140"/>
      <c r="O418" s="39"/>
      <c r="P418" s="309">
        <v>0</v>
      </c>
    </row>
    <row r="419" spans="2:16" ht="26.25" hidden="1" customHeight="1" x14ac:dyDescent="0.25">
      <c r="B419" s="583"/>
      <c r="C419" s="516" t="s">
        <v>18</v>
      </c>
      <c r="D419" s="517" t="s">
        <v>72</v>
      </c>
      <c r="E419" s="625" t="s">
        <v>362</v>
      </c>
      <c r="F419" s="584">
        <v>1136</v>
      </c>
      <c r="G419" s="585" t="s">
        <v>0</v>
      </c>
      <c r="H419" s="39"/>
      <c r="I419" s="309">
        <v>0</v>
      </c>
      <c r="J419" s="39">
        <f t="shared" si="16"/>
        <v>0</v>
      </c>
      <c r="K419" s="309" t="e">
        <f>#REF!/1.4</f>
        <v>#REF!</v>
      </c>
      <c r="L419" s="230" t="e">
        <f>K419*J709</f>
        <v>#REF!</v>
      </c>
      <c r="M419" s="93" t="s">
        <v>365</v>
      </c>
      <c r="N419" s="140"/>
      <c r="O419" s="513"/>
      <c r="P419" s="497">
        <v>0</v>
      </c>
    </row>
    <row r="420" spans="2:16" ht="26.25" hidden="1" customHeight="1" x14ac:dyDescent="0.25">
      <c r="B420" s="700">
        <v>122</v>
      </c>
      <c r="C420" s="701" t="s">
        <v>26</v>
      </c>
      <c r="D420" s="702" t="s">
        <v>40</v>
      </c>
      <c r="E420" s="811" t="s">
        <v>73</v>
      </c>
      <c r="F420" s="704" t="s">
        <v>60</v>
      </c>
      <c r="G420" s="732" t="s">
        <v>0</v>
      </c>
      <c r="H420" s="572">
        <v>40</v>
      </c>
      <c r="I420" s="360">
        <v>2089.6</v>
      </c>
      <c r="J420" s="39">
        <f t="shared" si="16"/>
        <v>70</v>
      </c>
      <c r="K420" s="309" t="e">
        <f>#REF!/1.4</f>
        <v>#REF!</v>
      </c>
      <c r="L420" s="230" t="e">
        <f>K420*J710</f>
        <v>#REF!</v>
      </c>
      <c r="M420" s="197" t="s">
        <v>213</v>
      </c>
      <c r="N420" s="565">
        <v>110</v>
      </c>
      <c r="O420" s="716"/>
      <c r="P420" s="717">
        <v>0</v>
      </c>
    </row>
    <row r="421" spans="2:16" ht="26.25" customHeight="1" x14ac:dyDescent="0.25">
      <c r="B421" s="706">
        <v>95</v>
      </c>
      <c r="C421" s="6" t="s">
        <v>26</v>
      </c>
      <c r="D421" s="23" t="s">
        <v>9</v>
      </c>
      <c r="E421" s="237" t="s">
        <v>133</v>
      </c>
      <c r="F421" s="208">
        <v>658</v>
      </c>
      <c r="G421" s="709" t="s">
        <v>0</v>
      </c>
      <c r="H421" s="572">
        <v>16</v>
      </c>
      <c r="I421" s="360">
        <v>71.66</v>
      </c>
      <c r="J421" s="39">
        <f t="shared" si="16"/>
        <v>0</v>
      </c>
      <c r="K421" s="309" t="e">
        <f>#REF!/1.4</f>
        <v>#REF!</v>
      </c>
      <c r="L421" s="230" t="e">
        <f>K421*J711</f>
        <v>#REF!</v>
      </c>
      <c r="M421" s="94"/>
      <c r="N421" s="562"/>
      <c r="O421" s="718">
        <v>16</v>
      </c>
      <c r="P421" s="719">
        <v>71.66</v>
      </c>
    </row>
    <row r="422" spans="2:16" ht="26.25" hidden="1" customHeight="1" x14ac:dyDescent="0.25">
      <c r="B422" s="706">
        <v>124</v>
      </c>
      <c r="C422" s="6" t="s">
        <v>811</v>
      </c>
      <c r="D422" s="23" t="s">
        <v>9</v>
      </c>
      <c r="E422" s="237" t="s">
        <v>812</v>
      </c>
      <c r="F422" s="208">
        <v>1425</v>
      </c>
      <c r="G422" s="709"/>
      <c r="H422" s="572"/>
      <c r="I422" s="360"/>
      <c r="J422" s="39">
        <f t="shared" si="16"/>
        <v>7</v>
      </c>
      <c r="K422" s="309" t="e">
        <f>#REF!/1.4</f>
        <v>#REF!</v>
      </c>
      <c r="L422" s="230"/>
      <c r="M422" s="297"/>
      <c r="N422" s="562">
        <v>7</v>
      </c>
      <c r="O422" s="718"/>
      <c r="P422" s="719">
        <v>0</v>
      </c>
    </row>
    <row r="423" spans="2:16" ht="26.25" hidden="1" customHeight="1" x14ac:dyDescent="0.25">
      <c r="B423" s="706">
        <v>125</v>
      </c>
      <c r="C423" s="6" t="s">
        <v>811</v>
      </c>
      <c r="D423" s="23" t="s">
        <v>9</v>
      </c>
      <c r="E423" s="237" t="s">
        <v>814</v>
      </c>
      <c r="F423" s="208">
        <v>1385</v>
      </c>
      <c r="G423" s="709"/>
      <c r="H423" s="572"/>
      <c r="I423" s="360"/>
      <c r="J423" s="39">
        <f t="shared" si="16"/>
        <v>2</v>
      </c>
      <c r="K423" s="309" t="e">
        <f>#REF!/1.4</f>
        <v>#REF!</v>
      </c>
      <c r="L423" s="230"/>
      <c r="M423" s="297"/>
      <c r="N423" s="562">
        <v>2</v>
      </c>
      <c r="O423" s="718"/>
      <c r="P423" s="719">
        <v>0</v>
      </c>
    </row>
    <row r="424" spans="2:16" ht="26.25" hidden="1" customHeight="1" x14ac:dyDescent="0.25">
      <c r="B424" s="706">
        <v>126</v>
      </c>
      <c r="C424" s="6" t="s">
        <v>811</v>
      </c>
      <c r="D424" s="23" t="s">
        <v>9</v>
      </c>
      <c r="E424" s="237" t="s">
        <v>813</v>
      </c>
      <c r="F424" s="208">
        <v>1483</v>
      </c>
      <c r="G424" s="709"/>
      <c r="H424" s="572"/>
      <c r="I424" s="360"/>
      <c r="J424" s="39">
        <f t="shared" si="16"/>
        <v>7</v>
      </c>
      <c r="K424" s="309" t="e">
        <f>#REF!/1.4</f>
        <v>#REF!</v>
      </c>
      <c r="L424" s="230"/>
      <c r="M424" s="297"/>
      <c r="N424" s="562">
        <v>7</v>
      </c>
      <c r="O424" s="718"/>
      <c r="P424" s="719">
        <v>0</v>
      </c>
    </row>
    <row r="425" spans="2:16" ht="26.25" customHeight="1" x14ac:dyDescent="0.25">
      <c r="B425" s="706">
        <v>96</v>
      </c>
      <c r="C425" s="6" t="s">
        <v>431</v>
      </c>
      <c r="D425" s="23" t="s">
        <v>72</v>
      </c>
      <c r="E425" s="87" t="s">
        <v>432</v>
      </c>
      <c r="F425" s="526">
        <v>1190</v>
      </c>
      <c r="G425" s="753" t="s">
        <v>0</v>
      </c>
      <c r="H425" s="572">
        <v>200</v>
      </c>
      <c r="I425" s="360">
        <v>960</v>
      </c>
      <c r="J425" s="39">
        <f t="shared" si="16"/>
        <v>0</v>
      </c>
      <c r="K425" s="309" t="e">
        <f>#REF!/1.4</f>
        <v>#REF!</v>
      </c>
      <c r="L425" s="230" t="e">
        <f>K425*J712</f>
        <v>#REF!</v>
      </c>
      <c r="M425" s="368"/>
      <c r="N425" s="565"/>
      <c r="O425" s="718">
        <v>200</v>
      </c>
      <c r="P425" s="719">
        <v>960</v>
      </c>
    </row>
    <row r="426" spans="2:16" ht="26.25" customHeight="1" thickBot="1" x14ac:dyDescent="0.3">
      <c r="B426" s="706">
        <v>97</v>
      </c>
      <c r="C426" s="6" t="s">
        <v>26</v>
      </c>
      <c r="D426" s="23" t="s">
        <v>40</v>
      </c>
      <c r="E426" s="107" t="s">
        <v>251</v>
      </c>
      <c r="F426" s="208">
        <v>1056</v>
      </c>
      <c r="G426" s="709" t="s">
        <v>0</v>
      </c>
      <c r="H426" s="572">
        <v>100</v>
      </c>
      <c r="I426" s="360">
        <v>2399</v>
      </c>
      <c r="J426" s="39">
        <f t="shared" si="16"/>
        <v>0</v>
      </c>
      <c r="K426" s="309" t="e">
        <f>#REF!/1.4</f>
        <v>#REF!</v>
      </c>
      <c r="L426" s="230" t="e">
        <f>K426*J713</f>
        <v>#REF!</v>
      </c>
      <c r="M426" s="197" t="s">
        <v>213</v>
      </c>
      <c r="N426" s="565"/>
      <c r="O426" s="718">
        <v>100</v>
      </c>
      <c r="P426" s="719">
        <v>2399</v>
      </c>
    </row>
    <row r="427" spans="2:16" ht="26.25" hidden="1" customHeight="1" thickBot="1" x14ac:dyDescent="0.3">
      <c r="B427" s="710">
        <v>129</v>
      </c>
      <c r="C427" s="711" t="s">
        <v>26</v>
      </c>
      <c r="D427" s="712" t="s">
        <v>40</v>
      </c>
      <c r="E427" s="812" t="s">
        <v>754</v>
      </c>
      <c r="F427" s="813">
        <v>1479</v>
      </c>
      <c r="G427" s="814" t="s">
        <v>0</v>
      </c>
      <c r="H427" s="574"/>
      <c r="I427" s="360">
        <v>0</v>
      </c>
      <c r="J427" s="39">
        <f t="shared" si="16"/>
        <v>1</v>
      </c>
      <c r="K427" s="309" t="e">
        <f>#REF!/1.4</f>
        <v>#REF!</v>
      </c>
      <c r="L427" s="230" t="e">
        <f>K427*J714</f>
        <v>#REF!</v>
      </c>
      <c r="M427" s="197" t="s">
        <v>213</v>
      </c>
      <c r="N427" s="570">
        <v>1</v>
      </c>
      <c r="O427" s="815"/>
      <c r="P427" s="721">
        <v>0</v>
      </c>
    </row>
    <row r="428" spans="2:16" ht="26.25" hidden="1" customHeight="1" x14ac:dyDescent="0.25">
      <c r="B428" s="628"/>
      <c r="C428" s="484" t="s">
        <v>26</v>
      </c>
      <c r="D428" s="485" t="s">
        <v>40</v>
      </c>
      <c r="E428" s="657" t="s">
        <v>755</v>
      </c>
      <c r="F428" s="689">
        <v>1471</v>
      </c>
      <c r="G428" s="690"/>
      <c r="H428" s="43"/>
      <c r="I428" s="360">
        <v>0</v>
      </c>
      <c r="J428" s="39">
        <f t="shared" si="16"/>
        <v>0</v>
      </c>
      <c r="K428" s="309" t="e">
        <f>#REF!/1.4</f>
        <v>#REF!</v>
      </c>
      <c r="L428" s="230"/>
      <c r="M428" s="197" t="s">
        <v>213</v>
      </c>
      <c r="N428" s="283"/>
      <c r="O428" s="691"/>
      <c r="P428" s="490">
        <v>0</v>
      </c>
    </row>
    <row r="429" spans="2:16" ht="26.25" hidden="1" customHeight="1" x14ac:dyDescent="0.25">
      <c r="B429" s="15"/>
      <c r="C429" s="6" t="s">
        <v>26</v>
      </c>
      <c r="D429" s="23" t="s">
        <v>40</v>
      </c>
      <c r="E429" s="463" t="s">
        <v>756</v>
      </c>
      <c r="F429" s="210">
        <v>1460</v>
      </c>
      <c r="G429" s="48" t="s">
        <v>0</v>
      </c>
      <c r="H429" s="39"/>
      <c r="I429" s="360">
        <v>0</v>
      </c>
      <c r="J429" s="39">
        <f t="shared" si="16"/>
        <v>0</v>
      </c>
      <c r="K429" s="309" t="e">
        <f>#REF!/1.4</f>
        <v>#REF!</v>
      </c>
      <c r="L429" s="230" t="e">
        <f>K429*J716</f>
        <v>#REF!</v>
      </c>
      <c r="M429" s="197" t="s">
        <v>213</v>
      </c>
      <c r="N429" s="279"/>
      <c r="O429" s="503"/>
      <c r="P429" s="309">
        <v>0</v>
      </c>
    </row>
    <row r="430" spans="2:16" ht="26.25" hidden="1" customHeight="1" x14ac:dyDescent="0.25">
      <c r="B430" s="11"/>
      <c r="C430" s="6" t="s">
        <v>26</v>
      </c>
      <c r="D430" s="23" t="s">
        <v>40</v>
      </c>
      <c r="E430" s="463" t="s">
        <v>757</v>
      </c>
      <c r="F430" s="388">
        <v>1467</v>
      </c>
      <c r="G430" s="48" t="s">
        <v>0</v>
      </c>
      <c r="H430" s="39"/>
      <c r="I430" s="360">
        <v>0</v>
      </c>
      <c r="J430" s="39">
        <f t="shared" si="16"/>
        <v>0</v>
      </c>
      <c r="K430" s="309" t="e">
        <f>#REF!/1.4</f>
        <v>#REF!</v>
      </c>
      <c r="L430" s="230" t="e">
        <f>K430*J717</f>
        <v>#REF!</v>
      </c>
      <c r="M430" s="197" t="s">
        <v>213</v>
      </c>
      <c r="N430" s="279"/>
      <c r="O430" s="39"/>
      <c r="P430" s="309">
        <v>0</v>
      </c>
    </row>
    <row r="431" spans="2:16" ht="26.25" hidden="1" customHeight="1" x14ac:dyDescent="0.25">
      <c r="B431" s="15"/>
      <c r="C431" s="6" t="s">
        <v>26</v>
      </c>
      <c r="D431" s="23" t="s">
        <v>40</v>
      </c>
      <c r="E431" s="463" t="s">
        <v>556</v>
      </c>
      <c r="F431" s="388">
        <v>1298</v>
      </c>
      <c r="G431" s="48" t="s">
        <v>0</v>
      </c>
      <c r="H431" s="39"/>
      <c r="I431" s="360">
        <v>0</v>
      </c>
      <c r="J431" s="39">
        <f t="shared" si="16"/>
        <v>0</v>
      </c>
      <c r="K431" s="309" t="e">
        <f>#REF!/1.4</f>
        <v>#REF!</v>
      </c>
      <c r="L431" s="230" t="e">
        <f>K431*J718</f>
        <v>#REF!</v>
      </c>
      <c r="M431" s="197" t="s">
        <v>213</v>
      </c>
      <c r="N431" s="279"/>
      <c r="O431" s="503"/>
      <c r="P431" s="490">
        <v>0</v>
      </c>
    </row>
    <row r="432" spans="2:16" ht="31.5" hidden="1" customHeight="1" thickBot="1" x14ac:dyDescent="0.3">
      <c r="B432" s="515"/>
      <c r="C432" s="516" t="s">
        <v>26</v>
      </c>
      <c r="D432" s="517" t="s">
        <v>40</v>
      </c>
      <c r="E432" s="613" t="s">
        <v>760</v>
      </c>
      <c r="F432" s="545">
        <v>1468</v>
      </c>
      <c r="G432" s="546" t="s">
        <v>0</v>
      </c>
      <c r="H432" s="39"/>
      <c r="I432" s="309">
        <v>0</v>
      </c>
      <c r="J432" s="39">
        <f t="shared" si="16"/>
        <v>0</v>
      </c>
      <c r="K432" s="309" t="e">
        <f>#REF!/1.4</f>
        <v>#REF!</v>
      </c>
      <c r="L432" s="406" t="e">
        <f>K432*J719</f>
        <v>#REF!</v>
      </c>
      <c r="M432" s="197" t="s">
        <v>213</v>
      </c>
      <c r="N432" s="553"/>
      <c r="O432" s="513"/>
      <c r="P432" s="497">
        <v>0</v>
      </c>
    </row>
    <row r="433" spans="2:219" ht="26.25" customHeight="1" thickBot="1" x14ac:dyDescent="0.3">
      <c r="B433" s="518">
        <v>98</v>
      </c>
      <c r="C433" s="519"/>
      <c r="D433" s="520"/>
      <c r="E433" s="521" t="s">
        <v>3</v>
      </c>
      <c r="F433" s="530"/>
      <c r="G433" s="738"/>
      <c r="H433" s="575">
        <f>SUM(H6:H432)</f>
        <v>330194</v>
      </c>
      <c r="I433" s="551">
        <f>SUM(I6:I432)</f>
        <v>128048.78</v>
      </c>
      <c r="J433" s="552">
        <f>N136+O136-H136</f>
        <v>200</v>
      </c>
      <c r="K433" s="358"/>
      <c r="L433" s="268" t="e">
        <f>SUBTOTAL(9,L6:L432)</f>
        <v>#REF!</v>
      </c>
      <c r="M433" s="400"/>
      <c r="N433" s="255">
        <f>SUBTOTAL(9,N7:N427)</f>
        <v>73087</v>
      </c>
      <c r="O433" s="816">
        <f>SUBTOTAL(9,O6:O432)</f>
        <v>257292</v>
      </c>
      <c r="P433" s="729">
        <f>SUBTOTAL(9,P6:P432)</f>
        <v>123762.33</v>
      </c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  <c r="CG433" s="24"/>
      <c r="CH433" s="24"/>
      <c r="CI433" s="24"/>
      <c r="CJ433" s="24"/>
      <c r="CK433" s="24"/>
      <c r="CL433" s="24"/>
      <c r="CM433" s="24"/>
      <c r="CN433" s="24"/>
      <c r="CO433" s="24"/>
      <c r="CP433" s="24"/>
      <c r="CQ433" s="24"/>
      <c r="CR433" s="24"/>
      <c r="CS433" s="24"/>
      <c r="CT433" s="24"/>
      <c r="CU433" s="24"/>
      <c r="CV433" s="24"/>
      <c r="CW433" s="24"/>
      <c r="CX433" s="24"/>
      <c r="CY433" s="24"/>
      <c r="CZ433" s="24"/>
      <c r="DA433" s="24"/>
      <c r="DB433" s="24"/>
      <c r="DC433" s="24"/>
      <c r="DD433" s="24"/>
      <c r="DE433" s="24"/>
      <c r="DF433" s="24"/>
      <c r="DG433" s="24"/>
      <c r="DH433" s="24"/>
      <c r="DI433" s="24"/>
      <c r="DJ433" s="24"/>
      <c r="DK433" s="24"/>
      <c r="DL433" s="24"/>
      <c r="DM433" s="24"/>
      <c r="DN433" s="24"/>
      <c r="DO433" s="24"/>
      <c r="DP433" s="24"/>
      <c r="DQ433" s="24"/>
      <c r="DR433" s="24"/>
      <c r="DS433" s="24"/>
      <c r="DT433" s="24"/>
      <c r="DU433" s="24"/>
      <c r="DV433" s="24"/>
      <c r="DW433" s="24"/>
      <c r="DX433" s="24"/>
      <c r="DY433" s="24"/>
      <c r="DZ433" s="24"/>
      <c r="EA433" s="24"/>
      <c r="EB433" s="24"/>
      <c r="EC433" s="24"/>
      <c r="ED433" s="24"/>
      <c r="EE433" s="24"/>
      <c r="EF433" s="24"/>
      <c r="EG433" s="24"/>
      <c r="EH433" s="24"/>
      <c r="EI433" s="24"/>
      <c r="EJ433" s="24"/>
      <c r="EK433" s="24"/>
      <c r="EL433" s="24"/>
      <c r="EM433" s="24"/>
      <c r="EN433" s="24"/>
      <c r="EO433" s="24"/>
      <c r="EP433" s="24"/>
      <c r="EQ433" s="24"/>
      <c r="ER433" s="24"/>
      <c r="ES433" s="24"/>
      <c r="ET433" s="24"/>
      <c r="EU433" s="24"/>
      <c r="EV433" s="24"/>
      <c r="EW433" s="24"/>
      <c r="EX433" s="24"/>
      <c r="EY433" s="24"/>
      <c r="EZ433" s="24"/>
      <c r="FA433" s="24"/>
      <c r="FB433" s="24"/>
      <c r="FC433" s="24"/>
      <c r="FD433" s="24"/>
      <c r="FE433" s="24"/>
      <c r="FF433" s="24"/>
      <c r="FG433" s="24"/>
      <c r="FH433" s="24"/>
      <c r="FI433" s="24"/>
      <c r="FJ433" s="24"/>
      <c r="FK433" s="24"/>
      <c r="FL433" s="24"/>
      <c r="FM433" s="24"/>
      <c r="FN433" s="24"/>
      <c r="FO433" s="24"/>
      <c r="FP433" s="24"/>
      <c r="FQ433" s="24"/>
      <c r="FR433" s="24"/>
      <c r="FS433" s="24"/>
      <c r="FT433" s="24"/>
      <c r="FU433" s="24"/>
      <c r="FV433" s="24"/>
      <c r="FW433" s="24"/>
      <c r="FX433" s="24"/>
      <c r="FY433" s="24"/>
      <c r="FZ433" s="24"/>
      <c r="GA433" s="24"/>
      <c r="GB433" s="24"/>
      <c r="GC433" s="24"/>
      <c r="GD433" s="24"/>
      <c r="GE433" s="24"/>
      <c r="GF433" s="24"/>
      <c r="GG433" s="24"/>
      <c r="GH433" s="24"/>
      <c r="GI433" s="24"/>
      <c r="GJ433" s="24"/>
      <c r="GK433" s="24"/>
      <c r="GL433" s="24"/>
      <c r="GM433" s="24"/>
      <c r="GN433" s="24"/>
      <c r="GO433" s="24"/>
      <c r="GP433" s="24"/>
      <c r="GQ433" s="24"/>
      <c r="GR433" s="24"/>
      <c r="GS433" s="24"/>
      <c r="GT433" s="24"/>
      <c r="GU433" s="24"/>
      <c r="GV433" s="24"/>
      <c r="GW433" s="24"/>
      <c r="GX433" s="24"/>
      <c r="GY433" s="24"/>
      <c r="GZ433" s="24"/>
      <c r="HA433" s="24"/>
      <c r="HB433" s="24"/>
      <c r="HC433" s="24"/>
      <c r="HD433" s="24"/>
      <c r="HE433" s="24"/>
      <c r="HF433" s="24"/>
      <c r="HG433" s="24"/>
      <c r="HH433" s="24"/>
      <c r="HI433" s="24"/>
      <c r="HJ433" s="24"/>
      <c r="HK433" s="24"/>
    </row>
    <row r="434" spans="2:219" s="26" customFormat="1" ht="26.25" customHeight="1" x14ac:dyDescent="0.25">
      <c r="B434" s="33">
        <v>99</v>
      </c>
      <c r="C434" s="26" t="s">
        <v>859</v>
      </c>
      <c r="D434" s="80"/>
      <c r="E434" s="108"/>
      <c r="F434" s="524"/>
      <c r="G434" s="49"/>
      <c r="H434" s="44"/>
      <c r="I434" s="311"/>
      <c r="J434" s="44">
        <f>N137+O137-H137</f>
        <v>0</v>
      </c>
      <c r="K434" s="310" t="s">
        <v>34</v>
      </c>
      <c r="L434" s="231"/>
      <c r="M434" s="38"/>
      <c r="N434" s="144"/>
      <c r="O434" s="61" t="s">
        <v>860</v>
      </c>
      <c r="P434" s="312"/>
    </row>
    <row r="435" spans="2:219" s="28" customFormat="1" ht="20.25" hidden="1" x14ac:dyDescent="0.3">
      <c r="B435" s="27"/>
      <c r="D435" s="81"/>
      <c r="E435" s="108"/>
      <c r="F435" s="389"/>
      <c r="H435" s="44"/>
      <c r="I435" s="308"/>
      <c r="J435" s="44"/>
      <c r="K435" s="311"/>
      <c r="L435" s="232"/>
      <c r="M435" s="71"/>
      <c r="N435" s="145">
        <v>321179</v>
      </c>
      <c r="O435" s="46"/>
      <c r="P435" s="312"/>
    </row>
    <row r="436" spans="2:219" s="30" customFormat="1" hidden="1" x14ac:dyDescent="0.25">
      <c r="B436" s="29"/>
      <c r="D436" s="81"/>
      <c r="E436" s="108"/>
      <c r="F436" s="389"/>
      <c r="G436" s="49"/>
      <c r="H436" s="44"/>
      <c r="I436" s="311"/>
      <c r="J436" s="44"/>
      <c r="K436" s="311"/>
      <c r="L436" s="232"/>
      <c r="M436" s="71"/>
      <c r="N436" s="145">
        <f>N435-N433</f>
        <v>248092</v>
      </c>
      <c r="O436" s="46"/>
      <c r="P436" s="312"/>
    </row>
    <row r="437" spans="2:219" s="30" customFormat="1" x14ac:dyDescent="0.25">
      <c r="B437" s="29"/>
      <c r="D437" s="81"/>
      <c r="E437" s="108"/>
      <c r="F437" s="389"/>
      <c r="H437" s="44"/>
      <c r="I437" s="311"/>
      <c r="J437" s="44"/>
      <c r="K437" s="311"/>
      <c r="L437" s="232"/>
      <c r="M437" s="71"/>
      <c r="N437" s="145"/>
      <c r="O437" s="46"/>
      <c r="P437" s="312"/>
    </row>
    <row r="438" spans="2:219" s="30" customFormat="1" x14ac:dyDescent="0.25">
      <c r="B438" s="31"/>
      <c r="C438" s="26"/>
      <c r="D438" s="81"/>
      <c r="E438" s="108"/>
      <c r="F438" s="389"/>
      <c r="G438" s="32"/>
      <c r="H438" s="44"/>
      <c r="I438" s="311"/>
      <c r="J438" s="44"/>
      <c r="K438" s="311"/>
      <c r="L438" s="232"/>
      <c r="M438" s="71"/>
      <c r="N438" s="145"/>
      <c r="O438" s="46"/>
      <c r="P438" s="312"/>
    </row>
    <row r="439" spans="2:219" s="30" customFormat="1" x14ac:dyDescent="0.25">
      <c r="B439" s="31"/>
      <c r="D439" s="81"/>
      <c r="E439" s="45"/>
      <c r="F439" s="389"/>
      <c r="G439" s="49"/>
      <c r="H439" s="44"/>
      <c r="I439" s="311"/>
      <c r="J439" s="44"/>
      <c r="K439" s="311"/>
      <c r="L439" s="232"/>
      <c r="M439" s="225"/>
      <c r="N439" s="145"/>
      <c r="O439" s="45"/>
      <c r="P439" s="405"/>
    </row>
    <row r="440" spans="2:219" s="30" customFormat="1" x14ac:dyDescent="0.25">
      <c r="B440" s="27"/>
      <c r="D440" s="81"/>
      <c r="E440" s="45"/>
      <c r="F440" s="389"/>
      <c r="G440" s="49"/>
      <c r="H440" s="44"/>
      <c r="I440" s="311"/>
      <c r="J440" s="44"/>
      <c r="K440" s="311"/>
      <c r="L440" s="232"/>
      <c r="M440" s="225"/>
      <c r="N440" s="145"/>
      <c r="O440" s="45"/>
      <c r="P440" s="311"/>
    </row>
    <row r="441" spans="2:219" s="30" customFormat="1" x14ac:dyDescent="0.25">
      <c r="B441" s="27"/>
      <c r="D441" s="81"/>
      <c r="E441" s="45"/>
      <c r="F441" s="389"/>
      <c r="G441" s="49"/>
      <c r="H441" s="44"/>
      <c r="I441" s="311"/>
      <c r="J441" s="44"/>
      <c r="K441" s="311"/>
      <c r="L441" s="232"/>
      <c r="M441" s="225"/>
      <c r="N441" s="145"/>
      <c r="O441" s="45"/>
      <c r="P441" s="311"/>
    </row>
    <row r="442" spans="2:219" s="30" customFormat="1" x14ac:dyDescent="0.25">
      <c r="B442" s="27"/>
      <c r="D442" s="81"/>
      <c r="E442" s="45"/>
      <c r="F442" s="389"/>
      <c r="G442" s="49"/>
      <c r="H442" s="44"/>
      <c r="I442" s="311"/>
      <c r="J442" s="44"/>
      <c r="K442" s="311"/>
      <c r="L442" s="232"/>
      <c r="M442" s="225"/>
      <c r="N442" s="380"/>
      <c r="O442" s="45"/>
      <c r="P442" s="311">
        <f>P434-P433</f>
        <v>-123762.33</v>
      </c>
    </row>
    <row r="443" spans="2:219" s="30" customFormat="1" x14ac:dyDescent="0.25">
      <c r="B443" s="27"/>
      <c r="D443" s="81"/>
      <c r="E443" s="45"/>
      <c r="F443" s="389"/>
      <c r="G443" s="49"/>
      <c r="H443" s="44"/>
      <c r="I443" s="311"/>
      <c r="J443" s="44"/>
      <c r="K443" s="311"/>
      <c r="L443" s="232"/>
      <c r="M443" s="225"/>
      <c r="N443" s="380"/>
      <c r="O443" s="45"/>
      <c r="P443" s="311"/>
    </row>
    <row r="444" spans="2:219" s="30" customFormat="1" x14ac:dyDescent="0.25">
      <c r="B444" s="27"/>
      <c r="D444" s="81"/>
      <c r="E444" s="45"/>
      <c r="F444" s="389"/>
      <c r="G444" s="49"/>
      <c r="H444" s="44"/>
      <c r="I444" s="311"/>
      <c r="J444" s="44"/>
      <c r="K444" s="311"/>
      <c r="L444" s="232"/>
      <c r="M444" s="225"/>
      <c r="N444" s="380"/>
      <c r="O444" s="45"/>
      <c r="P444" s="311"/>
    </row>
    <row r="445" spans="2:219" s="30" customFormat="1" x14ac:dyDescent="0.25">
      <c r="B445" s="27"/>
      <c r="D445" s="81"/>
      <c r="E445" s="45"/>
      <c r="F445" s="389"/>
      <c r="G445" s="49"/>
      <c r="H445" s="44"/>
      <c r="I445" s="311"/>
      <c r="J445" s="44"/>
      <c r="K445" s="311"/>
      <c r="L445" s="232"/>
      <c r="M445" s="225"/>
      <c r="N445" s="380"/>
      <c r="O445" s="45"/>
      <c r="P445" s="311"/>
    </row>
    <row r="446" spans="2:219" s="30" customFormat="1" x14ac:dyDescent="0.25">
      <c r="B446" s="27"/>
      <c r="D446" s="81"/>
      <c r="E446" s="45"/>
      <c r="F446" s="389"/>
      <c r="G446" s="49"/>
      <c r="H446" s="44"/>
      <c r="I446" s="311"/>
      <c r="J446" s="44"/>
      <c r="K446" s="311"/>
      <c r="L446" s="232"/>
      <c r="M446" s="225"/>
      <c r="N446" s="380"/>
      <c r="O446" s="45"/>
      <c r="P446" s="311"/>
    </row>
    <row r="447" spans="2:219" s="30" customFormat="1" x14ac:dyDescent="0.25">
      <c r="B447" s="27"/>
      <c r="D447" s="81"/>
      <c r="E447" s="45"/>
      <c r="F447" s="389"/>
      <c r="G447" s="49"/>
      <c r="H447" s="44"/>
      <c r="I447" s="311"/>
      <c r="J447" s="44"/>
      <c r="K447" s="311"/>
      <c r="L447" s="232"/>
      <c r="M447" s="225"/>
      <c r="N447" s="380"/>
      <c r="O447" s="45"/>
      <c r="P447" s="311"/>
    </row>
    <row r="448" spans="2:219" s="30" customFormat="1" x14ac:dyDescent="0.25">
      <c r="B448" s="27"/>
      <c r="D448" s="81"/>
      <c r="E448" s="45"/>
      <c r="F448" s="389"/>
      <c r="G448" s="49"/>
      <c r="H448" s="44"/>
      <c r="I448" s="311"/>
      <c r="J448" s="44"/>
      <c r="K448" s="311"/>
      <c r="L448" s="232"/>
      <c r="M448" s="225"/>
      <c r="N448" s="380"/>
      <c r="O448" s="45"/>
      <c r="P448" s="311"/>
    </row>
    <row r="449" spans="2:16" s="30" customFormat="1" x14ac:dyDescent="0.25">
      <c r="B449" s="27"/>
      <c r="D449" s="81"/>
      <c r="E449" s="45"/>
      <c r="F449" s="389"/>
      <c r="G449" s="49"/>
      <c r="H449" s="44"/>
      <c r="I449" s="311"/>
      <c r="J449" s="44"/>
      <c r="K449" s="311"/>
      <c r="L449" s="232"/>
      <c r="M449" s="225"/>
      <c r="N449" s="380"/>
      <c r="O449" s="45"/>
      <c r="P449" s="311"/>
    </row>
    <row r="450" spans="2:16" s="30" customFormat="1" x14ac:dyDescent="0.25">
      <c r="B450" s="27"/>
      <c r="D450" s="81"/>
      <c r="E450" s="45"/>
      <c r="F450" s="389"/>
      <c r="G450" s="49"/>
      <c r="H450" s="44"/>
      <c r="I450" s="311"/>
      <c r="J450" s="44"/>
      <c r="K450" s="311"/>
      <c r="L450" s="232"/>
      <c r="M450" s="225"/>
      <c r="N450" s="380"/>
      <c r="O450" s="45"/>
      <c r="P450" s="311"/>
    </row>
    <row r="451" spans="2:16" s="30" customFormat="1" x14ac:dyDescent="0.25">
      <c r="B451" s="27"/>
      <c r="D451" s="81"/>
      <c r="E451" s="45"/>
      <c r="F451" s="389"/>
      <c r="G451" s="49"/>
      <c r="H451" s="44"/>
      <c r="I451" s="311"/>
      <c r="J451" s="44"/>
      <c r="K451" s="311"/>
      <c r="L451" s="232"/>
      <c r="M451" s="225"/>
      <c r="N451" s="380"/>
      <c r="O451" s="45"/>
      <c r="P451" s="311"/>
    </row>
    <row r="452" spans="2:16" s="30" customFormat="1" x14ac:dyDescent="0.25">
      <c r="B452" s="27"/>
      <c r="D452" s="81"/>
      <c r="E452" s="45"/>
      <c r="F452" s="389"/>
      <c r="G452" s="49"/>
      <c r="H452" s="44"/>
      <c r="I452" s="311"/>
      <c r="J452" s="44"/>
      <c r="K452" s="311"/>
      <c r="L452" s="232"/>
      <c r="M452" s="225"/>
      <c r="N452" s="380"/>
      <c r="O452" s="45"/>
      <c r="P452" s="311"/>
    </row>
    <row r="453" spans="2:16" s="30" customFormat="1" x14ac:dyDescent="0.25">
      <c r="B453" s="27"/>
      <c r="D453" s="81"/>
      <c r="E453" s="45"/>
      <c r="F453" s="389"/>
      <c r="G453" s="49"/>
      <c r="H453" s="44"/>
      <c r="I453" s="311"/>
      <c r="J453" s="44"/>
      <c r="K453" s="311"/>
      <c r="L453" s="232"/>
      <c r="M453" s="225"/>
      <c r="N453" s="380"/>
      <c r="O453" s="45"/>
      <c r="P453" s="311"/>
    </row>
    <row r="454" spans="2:16" s="30" customFormat="1" x14ac:dyDescent="0.25">
      <c r="B454" s="27"/>
      <c r="D454" s="81"/>
      <c r="E454" s="45"/>
      <c r="F454" s="389"/>
      <c r="G454" s="49"/>
      <c r="H454" s="44"/>
      <c r="I454" s="311"/>
      <c r="J454" s="44"/>
      <c r="K454" s="311"/>
      <c r="L454" s="232"/>
      <c r="M454" s="225"/>
      <c r="N454" s="380"/>
      <c r="O454" s="45"/>
      <c r="P454" s="311"/>
    </row>
    <row r="455" spans="2:16" s="30" customFormat="1" x14ac:dyDescent="0.25">
      <c r="B455" s="27"/>
      <c r="D455" s="81"/>
      <c r="E455" s="45"/>
      <c r="F455" s="389"/>
      <c r="G455" s="49"/>
      <c r="H455" s="44"/>
      <c r="I455" s="311"/>
      <c r="J455" s="44"/>
      <c r="K455" s="311"/>
      <c r="L455" s="232"/>
      <c r="M455" s="225"/>
      <c r="N455" s="380"/>
      <c r="O455" s="45"/>
      <c r="P455" s="311"/>
    </row>
    <row r="456" spans="2:16" s="30" customFormat="1" x14ac:dyDescent="0.25">
      <c r="B456" s="27"/>
      <c r="D456" s="81"/>
      <c r="E456" s="45"/>
      <c r="F456" s="389"/>
      <c r="G456" s="49"/>
      <c r="H456" s="44"/>
      <c r="I456" s="311"/>
      <c r="J456" s="44"/>
      <c r="K456" s="311"/>
      <c r="L456" s="232"/>
      <c r="M456" s="225"/>
      <c r="N456" s="380"/>
      <c r="O456" s="45"/>
      <c r="P456" s="311"/>
    </row>
    <row r="457" spans="2:16" s="30" customFormat="1" x14ac:dyDescent="0.25">
      <c r="B457" s="27"/>
      <c r="D457" s="81"/>
      <c r="E457" s="45"/>
      <c r="F457" s="389"/>
      <c r="G457" s="49"/>
      <c r="H457" s="44"/>
      <c r="I457" s="311"/>
      <c r="J457" s="44"/>
      <c r="K457" s="311"/>
      <c r="L457" s="232"/>
      <c r="M457" s="225"/>
      <c r="N457" s="380"/>
      <c r="O457" s="45"/>
      <c r="P457" s="311"/>
    </row>
    <row r="458" spans="2:16" s="30" customFormat="1" x14ac:dyDescent="0.25">
      <c r="B458" s="27"/>
      <c r="D458" s="81"/>
      <c r="E458" s="45"/>
      <c r="F458" s="389"/>
      <c r="G458" s="49"/>
      <c r="H458" s="44"/>
      <c r="I458" s="311"/>
      <c r="J458" s="44"/>
      <c r="K458" s="311"/>
      <c r="L458" s="232"/>
      <c r="M458" s="225"/>
      <c r="N458" s="380"/>
      <c r="O458" s="45"/>
      <c r="P458" s="311"/>
    </row>
    <row r="459" spans="2:16" s="30" customFormat="1" x14ac:dyDescent="0.25">
      <c r="B459" s="27"/>
      <c r="D459" s="81"/>
      <c r="E459" s="45"/>
      <c r="F459" s="389"/>
      <c r="G459" s="49"/>
      <c r="H459" s="44"/>
      <c r="I459" s="311"/>
      <c r="J459" s="44"/>
      <c r="K459" s="311"/>
      <c r="L459" s="232"/>
      <c r="M459" s="225"/>
      <c r="N459" s="380"/>
      <c r="O459" s="45"/>
      <c r="P459" s="311"/>
    </row>
    <row r="460" spans="2:16" s="30" customFormat="1" x14ac:dyDescent="0.25">
      <c r="B460" s="27"/>
      <c r="D460" s="81"/>
      <c r="E460" s="45"/>
      <c r="F460" s="389"/>
      <c r="G460" s="49"/>
      <c r="H460" s="44"/>
      <c r="I460" s="311"/>
      <c r="J460" s="44"/>
      <c r="K460" s="311"/>
      <c r="L460" s="232"/>
      <c r="M460" s="225"/>
      <c r="N460" s="380"/>
      <c r="O460" s="45"/>
      <c r="P460" s="311"/>
    </row>
    <row r="461" spans="2:16" s="30" customFormat="1" x14ac:dyDescent="0.25">
      <c r="B461" s="27"/>
      <c r="D461" s="81"/>
      <c r="E461" s="45"/>
      <c r="F461" s="389"/>
      <c r="G461" s="49"/>
      <c r="H461" s="44"/>
      <c r="I461" s="311"/>
      <c r="J461" s="44"/>
      <c r="K461" s="311"/>
      <c r="L461" s="232"/>
      <c r="M461" s="225"/>
      <c r="N461" s="380"/>
      <c r="O461" s="45"/>
      <c r="P461" s="311"/>
    </row>
    <row r="462" spans="2:16" s="30" customFormat="1" x14ac:dyDescent="0.25">
      <c r="B462" s="27"/>
      <c r="D462" s="81"/>
      <c r="E462" s="45"/>
      <c r="F462" s="389"/>
      <c r="G462" s="49"/>
      <c r="H462" s="44"/>
      <c r="I462" s="311"/>
      <c r="J462" s="44"/>
      <c r="K462" s="311"/>
      <c r="L462" s="232"/>
      <c r="M462" s="225"/>
      <c r="N462" s="380"/>
      <c r="O462" s="45"/>
      <c r="P462" s="311"/>
    </row>
    <row r="463" spans="2:16" s="30" customFormat="1" x14ac:dyDescent="0.25">
      <c r="B463" s="27"/>
      <c r="D463" s="81"/>
      <c r="E463" s="45"/>
      <c r="F463" s="389"/>
      <c r="G463" s="49"/>
      <c r="H463" s="44"/>
      <c r="I463" s="311"/>
      <c r="J463" s="44"/>
      <c r="K463" s="311"/>
      <c r="L463" s="232"/>
      <c r="M463" s="225"/>
      <c r="N463" s="380"/>
      <c r="O463" s="45"/>
      <c r="P463" s="311"/>
    </row>
    <row r="464" spans="2:16" s="30" customFormat="1" x14ac:dyDescent="0.25">
      <c r="B464" s="27"/>
      <c r="D464" s="81"/>
      <c r="E464" s="45"/>
      <c r="F464" s="389"/>
      <c r="G464" s="49"/>
      <c r="H464" s="44"/>
      <c r="I464" s="311"/>
      <c r="J464" s="44"/>
      <c r="K464" s="311"/>
      <c r="L464" s="232"/>
      <c r="M464" s="225"/>
      <c r="N464" s="380"/>
      <c r="O464" s="45"/>
      <c r="P464" s="311"/>
    </row>
    <row r="465" spans="2:16" s="30" customFormat="1" x14ac:dyDescent="0.25">
      <c r="B465" s="27"/>
      <c r="D465" s="81"/>
      <c r="E465" s="45"/>
      <c r="F465" s="389"/>
      <c r="G465" s="49"/>
      <c r="H465" s="44"/>
      <c r="I465" s="311"/>
      <c r="J465" s="44"/>
      <c r="K465" s="311"/>
      <c r="L465" s="232"/>
      <c r="M465" s="225"/>
      <c r="N465" s="380"/>
      <c r="O465" s="45"/>
      <c r="P465" s="311"/>
    </row>
    <row r="466" spans="2:16" s="30" customFormat="1" x14ac:dyDescent="0.25">
      <c r="B466" s="27"/>
      <c r="D466" s="81"/>
      <c r="E466" s="45"/>
      <c r="F466" s="389"/>
      <c r="G466" s="49"/>
      <c r="H466" s="44"/>
      <c r="I466" s="311"/>
      <c r="J466" s="44"/>
      <c r="K466" s="311"/>
      <c r="L466" s="232"/>
      <c r="M466" s="225"/>
      <c r="N466" s="380"/>
      <c r="O466" s="45"/>
      <c r="P466" s="311"/>
    </row>
    <row r="467" spans="2:16" s="30" customFormat="1" x14ac:dyDescent="0.25">
      <c r="B467" s="27"/>
      <c r="D467" s="81"/>
      <c r="E467" s="45"/>
      <c r="F467" s="389"/>
      <c r="G467" s="49"/>
      <c r="H467" s="44"/>
      <c r="I467" s="311"/>
      <c r="J467" s="44"/>
      <c r="K467" s="311"/>
      <c r="L467" s="232"/>
      <c r="M467" s="225"/>
      <c r="N467" s="380"/>
      <c r="O467" s="45"/>
      <c r="P467" s="311"/>
    </row>
    <row r="468" spans="2:16" s="30" customFormat="1" x14ac:dyDescent="0.25">
      <c r="B468" s="27"/>
      <c r="D468" s="81"/>
      <c r="E468" s="45"/>
      <c r="F468" s="389"/>
      <c r="G468" s="49"/>
      <c r="H468" s="44"/>
      <c r="I468" s="311"/>
      <c r="J468" s="44"/>
      <c r="K468" s="311"/>
      <c r="L468" s="232"/>
      <c r="M468" s="225"/>
      <c r="N468" s="380"/>
      <c r="O468" s="45"/>
      <c r="P468" s="311"/>
    </row>
    <row r="469" spans="2:16" s="30" customFormat="1" x14ac:dyDescent="0.25">
      <c r="B469" s="27"/>
      <c r="D469" s="81"/>
      <c r="E469" s="45"/>
      <c r="F469" s="389"/>
      <c r="G469" s="49"/>
      <c r="H469" s="44"/>
      <c r="I469" s="311"/>
      <c r="J469" s="44"/>
      <c r="K469" s="311"/>
      <c r="L469" s="232"/>
      <c r="M469" s="225"/>
      <c r="N469" s="380"/>
      <c r="O469" s="45"/>
      <c r="P469" s="311"/>
    </row>
    <row r="470" spans="2:16" s="30" customFormat="1" x14ac:dyDescent="0.25">
      <c r="B470" s="27"/>
      <c r="D470" s="81"/>
      <c r="E470" s="45"/>
      <c r="F470" s="389"/>
      <c r="G470" s="49"/>
      <c r="H470" s="44"/>
      <c r="I470" s="311"/>
      <c r="J470" s="44"/>
      <c r="K470" s="311"/>
      <c r="L470" s="232"/>
      <c r="M470" s="225"/>
      <c r="N470" s="380"/>
      <c r="O470" s="45"/>
      <c r="P470" s="311"/>
    </row>
    <row r="471" spans="2:16" s="30" customFormat="1" x14ac:dyDescent="0.25">
      <c r="B471" s="27"/>
      <c r="D471" s="81"/>
      <c r="E471" s="45"/>
      <c r="F471" s="389"/>
      <c r="G471" s="49"/>
      <c r="H471" s="44"/>
      <c r="I471" s="311"/>
      <c r="J471" s="44"/>
      <c r="K471" s="311"/>
      <c r="L471" s="232"/>
      <c r="M471" s="225"/>
      <c r="N471" s="380"/>
      <c r="O471" s="45"/>
      <c r="P471" s="311"/>
    </row>
    <row r="472" spans="2:16" s="30" customFormat="1" x14ac:dyDescent="0.25">
      <c r="B472" s="27"/>
      <c r="D472" s="81"/>
      <c r="E472" s="45"/>
      <c r="F472" s="389"/>
      <c r="G472" s="49"/>
      <c r="H472" s="44"/>
      <c r="I472" s="311"/>
      <c r="J472" s="44"/>
      <c r="K472" s="311"/>
      <c r="L472" s="232"/>
      <c r="M472" s="225"/>
      <c r="N472" s="380"/>
      <c r="O472" s="45"/>
      <c r="P472" s="311"/>
    </row>
    <row r="473" spans="2:16" s="30" customFormat="1" x14ac:dyDescent="0.25">
      <c r="B473" s="27"/>
      <c r="D473" s="81"/>
      <c r="E473" s="45"/>
      <c r="F473" s="389"/>
      <c r="G473" s="49"/>
      <c r="H473" s="44"/>
      <c r="I473" s="311"/>
      <c r="J473" s="44"/>
      <c r="K473" s="311"/>
      <c r="L473" s="232"/>
      <c r="M473" s="225"/>
      <c r="N473" s="380"/>
      <c r="O473" s="45"/>
      <c r="P473" s="311"/>
    </row>
    <row r="474" spans="2:16" s="30" customFormat="1" x14ac:dyDescent="0.25">
      <c r="B474" s="27"/>
      <c r="D474" s="81"/>
      <c r="E474" s="45"/>
      <c r="F474" s="389"/>
      <c r="G474" s="49"/>
      <c r="H474" s="44"/>
      <c r="I474" s="311"/>
      <c r="J474" s="44"/>
      <c r="K474" s="311"/>
      <c r="L474" s="232"/>
      <c r="M474" s="225"/>
      <c r="N474" s="380"/>
      <c r="O474" s="45"/>
      <c r="P474" s="311"/>
    </row>
    <row r="475" spans="2:16" s="30" customFormat="1" x14ac:dyDescent="0.25">
      <c r="B475" s="27"/>
      <c r="D475" s="81"/>
      <c r="E475" s="45"/>
      <c r="F475" s="389"/>
      <c r="G475" s="49"/>
      <c r="H475" s="44"/>
      <c r="I475" s="311"/>
      <c r="J475" s="44"/>
      <c r="K475" s="311"/>
      <c r="L475" s="232"/>
      <c r="M475" s="225"/>
      <c r="N475" s="380"/>
      <c r="O475" s="45"/>
      <c r="P475" s="311"/>
    </row>
    <row r="476" spans="2:16" s="30" customFormat="1" x14ac:dyDescent="0.25">
      <c r="B476" s="27"/>
      <c r="D476" s="81"/>
      <c r="E476" s="45"/>
      <c r="F476" s="389"/>
      <c r="G476" s="49"/>
      <c r="H476" s="44"/>
      <c r="I476" s="311"/>
      <c r="J476" s="44"/>
      <c r="K476" s="311"/>
      <c r="L476" s="232"/>
      <c r="M476" s="225"/>
      <c r="N476" s="380"/>
      <c r="O476" s="45"/>
      <c r="P476" s="311"/>
    </row>
    <row r="477" spans="2:16" s="30" customFormat="1" x14ac:dyDescent="0.25">
      <c r="B477" s="27"/>
      <c r="D477" s="81"/>
      <c r="E477" s="45"/>
      <c r="F477" s="389"/>
      <c r="G477" s="49"/>
      <c r="H477" s="44"/>
      <c r="I477" s="311"/>
      <c r="J477" s="44"/>
      <c r="K477" s="311"/>
      <c r="L477" s="232"/>
      <c r="M477" s="225"/>
      <c r="N477" s="380"/>
      <c r="O477" s="45"/>
      <c r="P477" s="311"/>
    </row>
    <row r="478" spans="2:16" s="30" customFormat="1" x14ac:dyDescent="0.25">
      <c r="B478" s="27"/>
      <c r="D478" s="81"/>
      <c r="E478" s="45"/>
      <c r="F478" s="389"/>
      <c r="G478" s="49"/>
      <c r="H478" s="44"/>
      <c r="I478" s="311"/>
      <c r="J478" s="44"/>
      <c r="K478" s="311"/>
      <c r="L478" s="232"/>
      <c r="M478" s="225"/>
      <c r="N478" s="380"/>
      <c r="O478" s="45"/>
      <c r="P478" s="311"/>
    </row>
    <row r="479" spans="2:16" s="30" customFormat="1" x14ac:dyDescent="0.25">
      <c r="B479" s="27"/>
      <c r="D479" s="81"/>
      <c r="E479" s="45"/>
      <c r="F479" s="389"/>
      <c r="G479" s="49"/>
      <c r="H479" s="44"/>
      <c r="I479" s="311"/>
      <c r="J479" s="44"/>
      <c r="K479" s="311"/>
      <c r="L479" s="232"/>
      <c r="M479" s="225"/>
      <c r="N479" s="380"/>
      <c r="O479" s="45"/>
      <c r="P479" s="311"/>
    </row>
    <row r="480" spans="2:16" s="30" customFormat="1" x14ac:dyDescent="0.25">
      <c r="B480" s="27"/>
      <c r="D480" s="81"/>
      <c r="E480" s="45"/>
      <c r="F480" s="389"/>
      <c r="G480" s="49"/>
      <c r="H480" s="44"/>
      <c r="I480" s="311"/>
      <c r="J480" s="44"/>
      <c r="K480" s="311"/>
      <c r="L480" s="232"/>
      <c r="M480" s="225"/>
      <c r="N480" s="380"/>
      <c r="O480" s="45"/>
      <c r="P480" s="311"/>
    </row>
    <row r="481" spans="2:16" s="30" customFormat="1" x14ac:dyDescent="0.25">
      <c r="B481" s="27"/>
      <c r="D481" s="81"/>
      <c r="E481" s="45"/>
      <c r="F481" s="389"/>
      <c r="G481" s="49"/>
      <c r="H481" s="44"/>
      <c r="I481" s="311"/>
      <c r="J481" s="44"/>
      <c r="K481" s="311"/>
      <c r="L481" s="232"/>
      <c r="M481" s="225"/>
      <c r="N481" s="380"/>
      <c r="O481" s="45"/>
      <c r="P481" s="311"/>
    </row>
    <row r="482" spans="2:16" s="30" customFormat="1" x14ac:dyDescent="0.25">
      <c r="B482" s="27"/>
      <c r="D482" s="81"/>
      <c r="E482" s="45"/>
      <c r="F482" s="389"/>
      <c r="G482" s="49"/>
      <c r="H482" s="44"/>
      <c r="I482" s="311"/>
      <c r="J482" s="44"/>
      <c r="K482" s="311"/>
      <c r="L482" s="232"/>
      <c r="M482" s="225"/>
      <c r="N482" s="380"/>
      <c r="O482" s="45"/>
      <c r="P482" s="311"/>
    </row>
    <row r="483" spans="2:16" s="30" customFormat="1" x14ac:dyDescent="0.25">
      <c r="B483" s="27"/>
      <c r="D483" s="81"/>
      <c r="E483" s="45"/>
      <c r="F483" s="389"/>
      <c r="G483" s="49"/>
      <c r="H483" s="44"/>
      <c r="I483" s="311"/>
      <c r="J483" s="44"/>
      <c r="K483" s="311"/>
      <c r="L483" s="232"/>
      <c r="M483" s="225"/>
      <c r="N483" s="380"/>
      <c r="O483" s="45"/>
      <c r="P483" s="311"/>
    </row>
    <row r="484" spans="2:16" s="30" customFormat="1" x14ac:dyDescent="0.25">
      <c r="B484" s="27"/>
      <c r="D484" s="81"/>
      <c r="E484" s="45"/>
      <c r="F484" s="389"/>
      <c r="G484" s="49"/>
      <c r="H484" s="44"/>
      <c r="I484" s="311"/>
      <c r="J484" s="44"/>
      <c r="K484" s="311"/>
      <c r="L484" s="232"/>
      <c r="M484" s="225"/>
      <c r="N484" s="380"/>
      <c r="O484" s="45"/>
      <c r="P484" s="311"/>
    </row>
    <row r="485" spans="2:16" s="30" customFormat="1" x14ac:dyDescent="0.25">
      <c r="B485" s="27"/>
      <c r="D485" s="81"/>
      <c r="E485" s="45"/>
      <c r="F485" s="389"/>
      <c r="G485" s="49"/>
      <c r="H485" s="44"/>
      <c r="I485" s="311"/>
      <c r="J485" s="44"/>
      <c r="K485" s="311"/>
      <c r="L485" s="232"/>
      <c r="M485" s="225"/>
      <c r="N485" s="380"/>
      <c r="O485" s="45"/>
      <c r="P485" s="311"/>
    </row>
    <row r="486" spans="2:16" s="30" customFormat="1" x14ac:dyDescent="0.25">
      <c r="B486" s="27"/>
      <c r="D486" s="81"/>
      <c r="E486" s="45"/>
      <c r="F486" s="389"/>
      <c r="G486" s="49"/>
      <c r="H486" s="44"/>
      <c r="I486" s="311"/>
      <c r="J486" s="44"/>
      <c r="K486" s="311"/>
      <c r="L486" s="232"/>
      <c r="M486" s="225"/>
      <c r="N486" s="380"/>
      <c r="O486" s="45"/>
      <c r="P486" s="311"/>
    </row>
    <row r="487" spans="2:16" s="30" customFormat="1" x14ac:dyDescent="0.25">
      <c r="B487" s="27"/>
      <c r="D487" s="81"/>
      <c r="E487" s="45"/>
      <c r="F487" s="389"/>
      <c r="G487" s="49"/>
      <c r="H487" s="44"/>
      <c r="I487" s="311"/>
      <c r="J487" s="44"/>
      <c r="K487" s="311"/>
      <c r="L487" s="232"/>
      <c r="M487" s="225"/>
      <c r="N487" s="380"/>
      <c r="O487" s="45"/>
      <c r="P487" s="311"/>
    </row>
    <row r="488" spans="2:16" s="30" customFormat="1" x14ac:dyDescent="0.25">
      <c r="B488" s="27"/>
      <c r="D488" s="81"/>
      <c r="E488" s="45"/>
      <c r="F488" s="389"/>
      <c r="G488" s="49"/>
      <c r="H488" s="44"/>
      <c r="I488" s="311"/>
      <c r="J488" s="44"/>
      <c r="K488" s="311"/>
      <c r="L488" s="232"/>
      <c r="M488" s="225"/>
      <c r="N488" s="380"/>
      <c r="O488" s="45"/>
      <c r="P488" s="311"/>
    </row>
    <row r="489" spans="2:16" s="30" customFormat="1" x14ac:dyDescent="0.25">
      <c r="B489" s="27"/>
      <c r="D489" s="81"/>
      <c r="E489" s="45"/>
      <c r="F489" s="389"/>
      <c r="G489" s="49"/>
      <c r="H489" s="44"/>
      <c r="I489" s="311"/>
      <c r="J489" s="44"/>
      <c r="K489" s="311"/>
      <c r="L489" s="232"/>
      <c r="M489" s="225"/>
      <c r="N489" s="380"/>
      <c r="O489" s="45"/>
      <c r="P489" s="311"/>
    </row>
    <row r="490" spans="2:16" s="30" customFormat="1" x14ac:dyDescent="0.25">
      <c r="B490" s="27"/>
      <c r="D490" s="81"/>
      <c r="E490" s="45"/>
      <c r="F490" s="389"/>
      <c r="G490" s="49"/>
      <c r="H490" s="44"/>
      <c r="I490" s="311"/>
      <c r="J490" s="44"/>
      <c r="K490" s="311"/>
      <c r="L490" s="232"/>
      <c r="M490" s="225"/>
      <c r="N490" s="380"/>
      <c r="O490" s="45"/>
      <c r="P490" s="311"/>
    </row>
    <row r="491" spans="2:16" s="30" customFormat="1" x14ac:dyDescent="0.25">
      <c r="B491" s="27"/>
      <c r="D491" s="81"/>
      <c r="E491" s="45"/>
      <c r="F491" s="389"/>
      <c r="G491" s="49"/>
      <c r="H491" s="44"/>
      <c r="I491" s="311"/>
      <c r="J491" s="44"/>
      <c r="K491" s="311"/>
      <c r="L491" s="232"/>
      <c r="M491" s="225"/>
      <c r="N491" s="380"/>
      <c r="O491" s="45"/>
      <c r="P491" s="311"/>
    </row>
    <row r="492" spans="2:16" s="30" customFormat="1" x14ac:dyDescent="0.25">
      <c r="B492" s="27"/>
      <c r="D492" s="81"/>
      <c r="E492" s="45"/>
      <c r="F492" s="389"/>
      <c r="G492" s="49"/>
      <c r="H492" s="44"/>
      <c r="I492" s="311"/>
      <c r="J492" s="44"/>
      <c r="K492" s="311"/>
      <c r="L492" s="232"/>
      <c r="M492" s="225"/>
      <c r="N492" s="380"/>
      <c r="O492" s="45"/>
      <c r="P492" s="311"/>
    </row>
    <row r="493" spans="2:16" s="30" customFormat="1" x14ac:dyDescent="0.25">
      <c r="B493" s="27"/>
      <c r="D493" s="81"/>
      <c r="E493" s="45"/>
      <c r="F493" s="389"/>
      <c r="G493" s="49"/>
      <c r="H493" s="44"/>
      <c r="I493" s="311"/>
      <c r="J493" s="44"/>
      <c r="K493" s="311"/>
      <c r="L493" s="232"/>
      <c r="M493" s="225"/>
      <c r="N493" s="380"/>
      <c r="O493" s="45"/>
      <c r="P493" s="311"/>
    </row>
    <row r="494" spans="2:16" s="30" customFormat="1" x14ac:dyDescent="0.25">
      <c r="B494" s="27"/>
      <c r="D494" s="81"/>
      <c r="E494" s="45"/>
      <c r="F494" s="389"/>
      <c r="G494" s="49"/>
      <c r="H494" s="44"/>
      <c r="I494" s="311"/>
      <c r="J494" s="44"/>
      <c r="K494" s="311"/>
      <c r="L494" s="232"/>
      <c r="M494" s="225"/>
      <c r="N494" s="380"/>
      <c r="O494" s="45"/>
      <c r="P494" s="311"/>
    </row>
    <row r="495" spans="2:16" s="30" customFormat="1" x14ac:dyDescent="0.25">
      <c r="B495" s="27"/>
      <c r="D495" s="81"/>
      <c r="E495" s="45"/>
      <c r="F495" s="389"/>
      <c r="G495" s="49"/>
      <c r="H495" s="44"/>
      <c r="I495" s="311"/>
      <c r="J495" s="44"/>
      <c r="K495" s="311"/>
      <c r="L495" s="232"/>
      <c r="M495" s="225"/>
      <c r="N495" s="380"/>
      <c r="O495" s="45"/>
      <c r="P495" s="311"/>
    </row>
    <row r="496" spans="2:16" s="30" customFormat="1" x14ac:dyDescent="0.25">
      <c r="B496" s="27"/>
      <c r="D496" s="81"/>
      <c r="E496" s="45"/>
      <c r="F496" s="389"/>
      <c r="G496" s="49"/>
      <c r="H496" s="44"/>
      <c r="I496" s="311"/>
      <c r="J496" s="44"/>
      <c r="K496" s="311"/>
      <c r="L496" s="232"/>
      <c r="M496" s="225"/>
      <c r="N496" s="380"/>
      <c r="O496" s="45"/>
      <c r="P496" s="311"/>
    </row>
    <row r="497" spans="2:16" s="30" customFormat="1" x14ac:dyDescent="0.25">
      <c r="B497" s="27"/>
      <c r="D497" s="81"/>
      <c r="E497" s="45"/>
      <c r="F497" s="389"/>
      <c r="G497" s="49"/>
      <c r="H497" s="44"/>
      <c r="I497" s="311"/>
      <c r="J497" s="44"/>
      <c r="K497" s="311"/>
      <c r="L497" s="232"/>
      <c r="M497" s="225"/>
      <c r="N497" s="380"/>
      <c r="O497" s="45"/>
      <c r="P497" s="311"/>
    </row>
    <row r="498" spans="2:16" s="30" customFormat="1" x14ac:dyDescent="0.25">
      <c r="B498" s="27"/>
      <c r="D498" s="81"/>
      <c r="E498" s="45"/>
      <c r="F498" s="389"/>
      <c r="G498" s="49"/>
      <c r="H498" s="44"/>
      <c r="I498" s="311"/>
      <c r="J498" s="44"/>
      <c r="K498" s="311"/>
      <c r="L498" s="232"/>
      <c r="M498" s="225"/>
      <c r="N498" s="380"/>
      <c r="O498" s="45"/>
      <c r="P498" s="311"/>
    </row>
    <row r="499" spans="2:16" s="30" customFormat="1" x14ac:dyDescent="0.25">
      <c r="B499" s="27"/>
      <c r="D499" s="81"/>
      <c r="E499" s="45"/>
      <c r="F499" s="389"/>
      <c r="G499" s="49"/>
      <c r="H499" s="44"/>
      <c r="I499" s="311"/>
      <c r="J499" s="44"/>
      <c r="K499" s="311"/>
      <c r="L499" s="232"/>
      <c r="M499" s="225"/>
      <c r="N499" s="380"/>
      <c r="O499" s="45"/>
      <c r="P499" s="311"/>
    </row>
    <row r="500" spans="2:16" s="30" customFormat="1" x14ac:dyDescent="0.25">
      <c r="B500" s="27"/>
      <c r="D500" s="81"/>
      <c r="E500" s="45"/>
      <c r="F500" s="389"/>
      <c r="G500" s="49"/>
      <c r="H500" s="44"/>
      <c r="I500" s="311"/>
      <c r="J500" s="44"/>
      <c r="K500" s="311"/>
      <c r="L500" s="232"/>
      <c r="M500" s="225"/>
      <c r="N500" s="380"/>
      <c r="O500" s="45"/>
      <c r="P500" s="311"/>
    </row>
    <row r="501" spans="2:16" s="30" customFormat="1" x14ac:dyDescent="0.25">
      <c r="B501" s="27"/>
      <c r="D501" s="81"/>
      <c r="E501" s="45"/>
      <c r="F501" s="389"/>
      <c r="G501" s="49"/>
      <c r="H501" s="44"/>
      <c r="I501" s="311"/>
      <c r="J501" s="44"/>
      <c r="K501" s="311"/>
      <c r="L501" s="232"/>
      <c r="M501" s="225"/>
      <c r="N501" s="380"/>
      <c r="O501" s="45"/>
      <c r="P501" s="311"/>
    </row>
    <row r="502" spans="2:16" s="30" customFormat="1" x14ac:dyDescent="0.25">
      <c r="B502" s="27"/>
      <c r="D502" s="81"/>
      <c r="E502" s="45"/>
      <c r="F502" s="389"/>
      <c r="G502" s="49"/>
      <c r="H502" s="44"/>
      <c r="I502" s="311"/>
      <c r="J502" s="44"/>
      <c r="K502" s="311"/>
      <c r="L502" s="232"/>
      <c r="M502" s="225"/>
      <c r="N502" s="380"/>
      <c r="O502" s="45"/>
      <c r="P502" s="311"/>
    </row>
    <row r="503" spans="2:16" s="30" customFormat="1" x14ac:dyDescent="0.25">
      <c r="B503" s="27"/>
      <c r="D503" s="81"/>
      <c r="E503" s="45"/>
      <c r="F503" s="389"/>
      <c r="G503" s="49"/>
      <c r="H503" s="44"/>
      <c r="I503" s="311"/>
      <c r="J503" s="44"/>
      <c r="K503" s="311"/>
      <c r="L503" s="232"/>
      <c r="M503" s="225"/>
      <c r="N503" s="380"/>
      <c r="O503" s="45"/>
      <c r="P503" s="311"/>
    </row>
    <row r="504" spans="2:16" s="30" customFormat="1" x14ac:dyDescent="0.25">
      <c r="B504" s="27"/>
      <c r="D504" s="81"/>
      <c r="E504" s="45"/>
      <c r="F504" s="389"/>
      <c r="G504" s="49"/>
      <c r="H504" s="44"/>
      <c r="I504" s="311"/>
      <c r="J504" s="44"/>
      <c r="K504" s="311"/>
      <c r="L504" s="232"/>
      <c r="M504" s="225"/>
      <c r="N504" s="380"/>
      <c r="O504" s="45"/>
      <c r="P504" s="311"/>
    </row>
    <row r="505" spans="2:16" s="30" customFormat="1" x14ac:dyDescent="0.25">
      <c r="B505" s="27"/>
      <c r="D505" s="81"/>
      <c r="E505" s="45"/>
      <c r="F505" s="389"/>
      <c r="G505" s="49"/>
      <c r="H505" s="44"/>
      <c r="I505" s="311"/>
      <c r="J505" s="44"/>
      <c r="K505" s="311"/>
      <c r="L505" s="232"/>
      <c r="M505" s="225"/>
      <c r="N505" s="380"/>
      <c r="O505" s="45"/>
      <c r="P505" s="311"/>
    </row>
    <row r="506" spans="2:16" s="30" customFormat="1" x14ac:dyDescent="0.25">
      <c r="B506" s="27"/>
      <c r="D506" s="81"/>
      <c r="E506" s="45"/>
      <c r="F506" s="389"/>
      <c r="G506" s="49"/>
      <c r="H506" s="44"/>
      <c r="I506" s="311"/>
      <c r="J506" s="44"/>
      <c r="K506" s="311"/>
      <c r="L506" s="232"/>
      <c r="M506" s="225"/>
      <c r="N506" s="380"/>
      <c r="O506" s="45"/>
      <c r="P506" s="311"/>
    </row>
    <row r="507" spans="2:16" s="30" customFormat="1" x14ac:dyDescent="0.25">
      <c r="B507" s="27"/>
      <c r="D507" s="81"/>
      <c r="E507" s="45"/>
      <c r="F507" s="524"/>
      <c r="G507" s="49"/>
      <c r="H507" s="45"/>
      <c r="I507" s="314"/>
      <c r="J507" s="44"/>
      <c r="K507" s="311"/>
      <c r="L507" s="232"/>
      <c r="M507" s="225"/>
      <c r="N507" s="380"/>
      <c r="O507" s="45"/>
      <c r="P507" s="311"/>
    </row>
    <row r="508" spans="2:16" s="30" customFormat="1" x14ac:dyDescent="0.25">
      <c r="B508" s="27"/>
      <c r="D508" s="81"/>
      <c r="E508" s="45"/>
      <c r="F508" s="524"/>
      <c r="G508" s="49"/>
      <c r="H508" s="45"/>
      <c r="I508" s="314"/>
      <c r="J508" s="44"/>
      <c r="K508" s="311"/>
      <c r="L508" s="232"/>
      <c r="M508" s="225"/>
      <c r="N508" s="380"/>
      <c r="O508" s="45"/>
      <c r="P508" s="311"/>
    </row>
    <row r="509" spans="2:16" s="30" customFormat="1" x14ac:dyDescent="0.25">
      <c r="B509" s="27"/>
      <c r="D509" s="81"/>
      <c r="E509" s="45"/>
      <c r="F509" s="524"/>
      <c r="G509" s="49"/>
      <c r="H509" s="45"/>
      <c r="I509" s="314"/>
      <c r="J509" s="44"/>
      <c r="K509" s="311"/>
      <c r="L509" s="232"/>
      <c r="M509" s="225"/>
      <c r="N509" s="380"/>
      <c r="O509" s="45"/>
      <c r="P509" s="311"/>
    </row>
    <row r="510" spans="2:16" s="30" customFormat="1" x14ac:dyDescent="0.25">
      <c r="B510" s="27"/>
      <c r="D510" s="81"/>
      <c r="E510" s="45"/>
      <c r="F510" s="524"/>
      <c r="G510" s="49"/>
      <c r="H510" s="45"/>
      <c r="I510" s="314"/>
      <c r="J510" s="44"/>
      <c r="K510" s="311"/>
      <c r="L510" s="232"/>
      <c r="M510" s="225"/>
      <c r="N510" s="380"/>
      <c r="O510" s="45"/>
      <c r="P510" s="311"/>
    </row>
    <row r="511" spans="2:16" s="30" customFormat="1" x14ac:dyDescent="0.25">
      <c r="B511" s="27"/>
      <c r="D511" s="81"/>
      <c r="E511" s="45"/>
      <c r="F511" s="524"/>
      <c r="G511" s="49"/>
      <c r="H511" s="45"/>
      <c r="I511" s="314"/>
      <c r="J511" s="44"/>
      <c r="K511" s="311"/>
      <c r="L511" s="232"/>
      <c r="M511" s="225"/>
      <c r="N511" s="380"/>
      <c r="O511" s="45"/>
      <c r="P511" s="311"/>
    </row>
    <row r="512" spans="2:16" s="30" customFormat="1" x14ac:dyDescent="0.25">
      <c r="B512" s="27"/>
      <c r="D512" s="81"/>
      <c r="E512" s="45"/>
      <c r="F512" s="524"/>
      <c r="G512" s="49"/>
      <c r="H512" s="45"/>
      <c r="I512" s="314"/>
      <c r="J512" s="44"/>
      <c r="K512" s="311"/>
      <c r="L512" s="232"/>
      <c r="M512" s="225"/>
      <c r="N512" s="380"/>
      <c r="O512" s="45"/>
      <c r="P512" s="311"/>
    </row>
    <row r="513" spans="2:16" s="30" customFormat="1" x14ac:dyDescent="0.25">
      <c r="B513" s="27"/>
      <c r="D513" s="81"/>
      <c r="E513" s="45"/>
      <c r="F513" s="524"/>
      <c r="G513" s="49"/>
      <c r="H513" s="45"/>
      <c r="I513" s="314"/>
      <c r="J513" s="44"/>
      <c r="K513" s="311"/>
      <c r="L513" s="232"/>
      <c r="M513" s="225"/>
      <c r="N513" s="380"/>
      <c r="O513" s="45"/>
      <c r="P513" s="311"/>
    </row>
    <row r="514" spans="2:16" s="30" customFormat="1" x14ac:dyDescent="0.25">
      <c r="B514" s="27"/>
      <c r="D514" s="81"/>
      <c r="E514" s="45"/>
      <c r="F514" s="524"/>
      <c r="G514" s="49"/>
      <c r="H514" s="44"/>
      <c r="I514" s="314"/>
      <c r="J514" s="44"/>
      <c r="K514" s="311"/>
      <c r="L514" s="232"/>
      <c r="M514" s="225"/>
      <c r="N514" s="380"/>
      <c r="O514" s="45"/>
      <c r="P514" s="311"/>
    </row>
    <row r="515" spans="2:16" s="30" customFormat="1" x14ac:dyDescent="0.25">
      <c r="B515" s="27"/>
      <c r="D515" s="81"/>
      <c r="E515" s="45"/>
      <c r="F515" s="524"/>
      <c r="G515" s="151"/>
      <c r="H515" s="44"/>
      <c r="I515" s="314"/>
      <c r="J515" s="44"/>
      <c r="K515" s="311"/>
      <c r="L515" s="232"/>
      <c r="M515" s="225"/>
      <c r="N515" s="380"/>
      <c r="O515" s="45"/>
      <c r="P515" s="311"/>
    </row>
    <row r="516" spans="2:16" s="30" customFormat="1" x14ac:dyDescent="0.25">
      <c r="B516" s="27"/>
      <c r="D516" s="81"/>
      <c r="E516" s="45"/>
      <c r="F516" s="524"/>
      <c r="G516" s="151"/>
      <c r="H516" s="44"/>
      <c r="I516" s="314"/>
      <c r="J516" s="44"/>
      <c r="K516" s="311"/>
      <c r="L516" s="232"/>
      <c r="M516" s="225"/>
      <c r="N516" s="380"/>
      <c r="O516" s="45"/>
      <c r="P516" s="311"/>
    </row>
    <row r="517" spans="2:16" s="30" customFormat="1" x14ac:dyDescent="0.25">
      <c r="B517" s="27"/>
      <c r="D517" s="81"/>
      <c r="E517" s="45"/>
      <c r="F517" s="524"/>
      <c r="G517" s="49"/>
      <c r="H517" s="44"/>
      <c r="I517" s="314"/>
      <c r="J517" s="44"/>
      <c r="K517" s="311"/>
      <c r="L517" s="232"/>
      <c r="M517" s="225"/>
      <c r="N517" s="380"/>
      <c r="O517" s="45"/>
      <c r="P517" s="311"/>
    </row>
    <row r="518" spans="2:16" s="30" customFormat="1" x14ac:dyDescent="0.25">
      <c r="B518" s="27"/>
      <c r="D518" s="81"/>
      <c r="E518" s="45"/>
      <c r="F518" s="524"/>
      <c r="G518" s="151"/>
      <c r="H518" s="44"/>
      <c r="I518" s="314"/>
      <c r="J518" s="44"/>
      <c r="K518" s="311"/>
      <c r="L518" s="232"/>
      <c r="M518" s="225"/>
      <c r="N518" s="380"/>
      <c r="O518" s="45"/>
      <c r="P518" s="311"/>
    </row>
    <row r="519" spans="2:16" s="30" customFormat="1" x14ac:dyDescent="0.25">
      <c r="B519" s="27"/>
      <c r="D519" s="81"/>
      <c r="E519" s="45"/>
      <c r="F519" s="524"/>
      <c r="G519" s="151"/>
      <c r="H519" s="44"/>
      <c r="I519" s="314"/>
      <c r="J519" s="44"/>
      <c r="K519" s="311"/>
      <c r="L519" s="232"/>
      <c r="M519" s="225"/>
      <c r="N519" s="380"/>
      <c r="O519" s="45"/>
      <c r="P519" s="311"/>
    </row>
    <row r="520" spans="2:16" s="30" customFormat="1" x14ac:dyDescent="0.25">
      <c r="B520" s="27"/>
      <c r="D520" s="81"/>
      <c r="E520" s="45"/>
      <c r="F520" s="524"/>
      <c r="G520" s="49"/>
      <c r="H520" s="44"/>
      <c r="I520" s="314"/>
      <c r="J520" s="44"/>
      <c r="K520" s="311"/>
      <c r="L520" s="232"/>
      <c r="M520" s="225"/>
      <c r="N520" s="380"/>
      <c r="O520" s="45"/>
      <c r="P520" s="311"/>
    </row>
    <row r="521" spans="2:16" s="30" customFormat="1" x14ac:dyDescent="0.25">
      <c r="B521" s="27"/>
      <c r="D521" s="81"/>
      <c r="E521" s="45"/>
      <c r="F521" s="524"/>
      <c r="G521" s="49"/>
      <c r="H521" s="44"/>
      <c r="I521" s="314"/>
      <c r="J521" s="44"/>
      <c r="K521" s="311"/>
      <c r="L521" s="232"/>
      <c r="M521" s="225"/>
      <c r="N521" s="380"/>
      <c r="O521" s="45"/>
      <c r="P521" s="311"/>
    </row>
    <row r="522" spans="2:16" s="30" customFormat="1" x14ac:dyDescent="0.25">
      <c r="B522" s="27"/>
      <c r="D522" s="81"/>
      <c r="E522" s="45"/>
      <c r="F522" s="524"/>
      <c r="G522" s="49"/>
      <c r="H522" s="44"/>
      <c r="I522" s="314"/>
      <c r="J522" s="44"/>
      <c r="K522" s="311"/>
      <c r="L522" s="232"/>
      <c r="M522" s="225"/>
      <c r="N522" s="380"/>
      <c r="O522" s="45"/>
      <c r="P522" s="311"/>
    </row>
    <row r="523" spans="2:16" s="30" customFormat="1" x14ac:dyDescent="0.25">
      <c r="B523" s="27"/>
      <c r="D523" s="81"/>
      <c r="E523" s="45"/>
      <c r="F523" s="524"/>
      <c r="G523" s="151"/>
      <c r="H523" s="44"/>
      <c r="I523" s="314"/>
      <c r="J523" s="44"/>
      <c r="K523" s="311"/>
      <c r="L523" s="232"/>
      <c r="M523" s="225"/>
      <c r="N523" s="380"/>
      <c r="O523" s="45"/>
      <c r="P523" s="311"/>
    </row>
    <row r="524" spans="2:16" s="30" customFormat="1" x14ac:dyDescent="0.25">
      <c r="B524" s="27"/>
      <c r="D524" s="81"/>
      <c r="E524" s="45"/>
      <c r="F524" s="524"/>
      <c r="G524" s="151"/>
      <c r="H524" s="44"/>
      <c r="I524" s="314"/>
      <c r="J524" s="44"/>
      <c r="K524" s="311"/>
      <c r="L524" s="232"/>
      <c r="M524" s="225"/>
      <c r="N524" s="380"/>
      <c r="O524" s="45"/>
      <c r="P524" s="311"/>
    </row>
    <row r="525" spans="2:16" s="30" customFormat="1" x14ac:dyDescent="0.25">
      <c r="B525" s="27"/>
      <c r="D525" s="81"/>
      <c r="E525" s="45"/>
      <c r="F525" s="524"/>
      <c r="G525" s="151"/>
      <c r="H525" s="44"/>
      <c r="I525" s="314"/>
      <c r="J525" s="44"/>
      <c r="K525" s="311"/>
      <c r="L525" s="232"/>
      <c r="M525" s="225"/>
      <c r="N525" s="380"/>
      <c r="O525" s="45"/>
      <c r="P525" s="311"/>
    </row>
    <row r="526" spans="2:16" s="30" customFormat="1" x14ac:dyDescent="0.25">
      <c r="B526" s="27"/>
      <c r="D526" s="81"/>
      <c r="E526" s="45"/>
      <c r="F526" s="524"/>
      <c r="G526" s="49"/>
      <c r="H526" s="44"/>
      <c r="I526" s="314"/>
      <c r="J526" s="44"/>
      <c r="K526" s="311"/>
      <c r="L526" s="232"/>
      <c r="M526" s="225"/>
      <c r="N526" s="380"/>
      <c r="O526" s="45"/>
      <c r="P526" s="311"/>
    </row>
    <row r="527" spans="2:16" s="30" customFormat="1" x14ac:dyDescent="0.25">
      <c r="B527" s="27"/>
      <c r="D527" s="81"/>
      <c r="E527" s="45"/>
      <c r="F527" s="524"/>
      <c r="G527" s="151"/>
      <c r="H527" s="44"/>
      <c r="I527" s="314"/>
      <c r="J527" s="44"/>
      <c r="K527" s="311"/>
      <c r="L527" s="232"/>
      <c r="M527" s="225"/>
      <c r="N527" s="380"/>
      <c r="O527" s="45"/>
      <c r="P527" s="311"/>
    </row>
    <row r="528" spans="2:16" s="30" customFormat="1" x14ac:dyDescent="0.25">
      <c r="B528" s="27"/>
      <c r="D528" s="81"/>
      <c r="E528" s="45"/>
      <c r="F528" s="524"/>
      <c r="G528" s="49"/>
      <c r="H528" s="44"/>
      <c r="I528" s="314"/>
      <c r="J528" s="44"/>
      <c r="K528" s="311"/>
      <c r="L528" s="232"/>
      <c r="M528" s="225"/>
      <c r="N528" s="380"/>
      <c r="O528" s="45"/>
      <c r="P528" s="311"/>
    </row>
    <row r="529" spans="2:16" s="30" customFormat="1" x14ac:dyDescent="0.25">
      <c r="B529" s="27"/>
      <c r="D529" s="81"/>
      <c r="E529" s="45"/>
      <c r="F529" s="524"/>
      <c r="G529" s="49"/>
      <c r="H529" s="44"/>
      <c r="I529" s="314"/>
      <c r="J529" s="44"/>
      <c r="K529" s="311"/>
      <c r="L529" s="232"/>
      <c r="M529" s="225"/>
      <c r="N529" s="380"/>
      <c r="O529" s="45"/>
      <c r="P529" s="311"/>
    </row>
    <row r="530" spans="2:16" s="30" customFormat="1" x14ac:dyDescent="0.25">
      <c r="B530" s="27"/>
      <c r="D530" s="81"/>
      <c r="E530" s="45"/>
      <c r="F530" s="524"/>
      <c r="G530" s="151"/>
      <c r="H530" s="44"/>
      <c r="I530" s="314"/>
      <c r="J530" s="44"/>
      <c r="K530" s="311"/>
      <c r="L530" s="232"/>
      <c r="M530" s="225"/>
      <c r="N530" s="380"/>
      <c r="O530" s="45"/>
      <c r="P530" s="311"/>
    </row>
    <row r="531" spans="2:16" s="30" customFormat="1" x14ac:dyDescent="0.25">
      <c r="B531" s="27"/>
      <c r="D531" s="81"/>
      <c r="E531" s="45"/>
      <c r="F531" s="524"/>
      <c r="G531" s="49"/>
      <c r="H531" s="44"/>
      <c r="I531" s="314"/>
      <c r="J531" s="44"/>
      <c r="K531" s="311"/>
      <c r="L531" s="232"/>
      <c r="M531" s="225"/>
      <c r="N531" s="380"/>
      <c r="O531" s="45"/>
      <c r="P531" s="311"/>
    </row>
    <row r="532" spans="2:16" s="30" customFormat="1" x14ac:dyDescent="0.25">
      <c r="B532" s="27"/>
      <c r="D532" s="81"/>
      <c r="E532" s="45"/>
      <c r="F532" s="524"/>
      <c r="G532" s="49"/>
      <c r="H532" s="44"/>
      <c r="I532" s="314"/>
      <c r="J532" s="44"/>
      <c r="K532" s="311"/>
      <c r="L532" s="232"/>
      <c r="M532" s="225"/>
      <c r="N532" s="380"/>
      <c r="O532" s="45"/>
      <c r="P532" s="311"/>
    </row>
    <row r="533" spans="2:16" s="30" customFormat="1" x14ac:dyDescent="0.25">
      <c r="B533" s="27"/>
      <c r="D533" s="81"/>
      <c r="E533" s="45"/>
      <c r="F533" s="524"/>
      <c r="G533" s="151"/>
      <c r="H533" s="44"/>
      <c r="I533" s="314"/>
      <c r="J533" s="44"/>
      <c r="K533" s="311"/>
      <c r="L533" s="232"/>
      <c r="M533" s="225"/>
      <c r="N533" s="380"/>
      <c r="O533" s="45"/>
      <c r="P533" s="311"/>
    </row>
    <row r="534" spans="2:16" s="30" customFormat="1" x14ac:dyDescent="0.25">
      <c r="B534" s="27"/>
      <c r="D534" s="81"/>
      <c r="E534" s="45"/>
      <c r="F534" s="524"/>
      <c r="G534" s="151"/>
      <c r="H534" s="44"/>
      <c r="I534" s="314"/>
      <c r="J534" s="44"/>
      <c r="K534" s="311"/>
      <c r="L534" s="232"/>
      <c r="M534" s="225"/>
      <c r="N534" s="380"/>
      <c r="O534" s="45"/>
      <c r="P534" s="311"/>
    </row>
    <row r="535" spans="2:16" s="30" customFormat="1" x14ac:dyDescent="0.25">
      <c r="B535" s="27"/>
      <c r="D535" s="81"/>
      <c r="E535" s="45"/>
      <c r="F535" s="524"/>
      <c r="G535" s="49"/>
      <c r="H535" s="44"/>
      <c r="I535" s="314"/>
      <c r="J535" s="44"/>
      <c r="K535" s="311"/>
      <c r="L535" s="232"/>
      <c r="M535" s="225"/>
      <c r="N535" s="380"/>
      <c r="O535" s="45"/>
      <c r="P535" s="311"/>
    </row>
    <row r="536" spans="2:16" s="30" customFormat="1" x14ac:dyDescent="0.25">
      <c r="B536" s="27"/>
      <c r="D536" s="81"/>
      <c r="E536" s="45"/>
      <c r="F536" s="524"/>
      <c r="G536" s="151"/>
      <c r="H536" s="44"/>
      <c r="I536" s="314"/>
      <c r="J536" s="44"/>
      <c r="K536" s="311"/>
      <c r="L536" s="232"/>
      <c r="M536" s="225"/>
      <c r="N536" s="380"/>
      <c r="O536" s="45"/>
      <c r="P536" s="311"/>
    </row>
    <row r="537" spans="2:16" s="30" customFormat="1" x14ac:dyDescent="0.25">
      <c r="B537" s="27"/>
      <c r="D537" s="81"/>
      <c r="E537" s="45"/>
      <c r="F537" s="524"/>
      <c r="G537" s="151"/>
      <c r="H537" s="44"/>
      <c r="I537" s="314"/>
      <c r="J537" s="44"/>
      <c r="K537" s="311"/>
      <c r="L537" s="232"/>
      <c r="M537" s="225"/>
      <c r="N537" s="380"/>
      <c r="O537" s="45"/>
      <c r="P537" s="311"/>
    </row>
    <row r="538" spans="2:16" s="30" customFormat="1" x14ac:dyDescent="0.25">
      <c r="B538" s="27"/>
      <c r="D538" s="81"/>
      <c r="E538" s="45"/>
      <c r="F538" s="524"/>
      <c r="G538" s="151"/>
      <c r="H538" s="44"/>
      <c r="I538" s="314"/>
      <c r="J538" s="44"/>
      <c r="K538" s="311"/>
      <c r="L538" s="232"/>
      <c r="M538" s="225"/>
      <c r="N538" s="380"/>
      <c r="O538" s="45"/>
      <c r="P538" s="311"/>
    </row>
    <row r="539" spans="2:16" s="30" customFormat="1" x14ac:dyDescent="0.25">
      <c r="B539" s="27"/>
      <c r="D539" s="81"/>
      <c r="E539" s="45"/>
      <c r="F539" s="524"/>
      <c r="G539" s="151"/>
      <c r="H539" s="44"/>
      <c r="I539" s="314"/>
      <c r="J539" s="44"/>
      <c r="K539" s="311"/>
      <c r="L539" s="232"/>
      <c r="M539" s="225"/>
      <c r="N539" s="380"/>
      <c r="O539" s="45"/>
      <c r="P539" s="311"/>
    </row>
    <row r="540" spans="2:16" s="30" customFormat="1" x14ac:dyDescent="0.25">
      <c r="B540" s="27"/>
      <c r="D540" s="81"/>
      <c r="E540" s="45"/>
      <c r="F540" s="524"/>
      <c r="G540" s="151"/>
      <c r="H540" s="44"/>
      <c r="I540" s="314"/>
      <c r="J540" s="44"/>
      <c r="K540" s="311"/>
      <c r="L540" s="232"/>
      <c r="M540" s="225"/>
      <c r="N540" s="380"/>
      <c r="O540" s="45"/>
      <c r="P540" s="311"/>
    </row>
    <row r="541" spans="2:16" s="30" customFormat="1" x14ac:dyDescent="0.25">
      <c r="B541" s="27"/>
      <c r="D541" s="81"/>
      <c r="E541" s="45"/>
      <c r="F541" s="524"/>
      <c r="G541" s="151"/>
      <c r="H541" s="44"/>
      <c r="I541" s="314"/>
      <c r="J541" s="44"/>
      <c r="K541" s="311"/>
      <c r="L541" s="232"/>
      <c r="M541" s="225"/>
      <c r="N541" s="380"/>
      <c r="O541" s="45"/>
      <c r="P541" s="311"/>
    </row>
    <row r="542" spans="2:16" s="30" customFormat="1" x14ac:dyDescent="0.25">
      <c r="B542" s="27"/>
      <c r="D542" s="81"/>
      <c r="E542" s="45"/>
      <c r="F542" s="524"/>
      <c r="G542" s="151"/>
      <c r="H542" s="44"/>
      <c r="I542" s="314"/>
      <c r="J542" s="44"/>
      <c r="K542" s="311"/>
      <c r="L542" s="232"/>
      <c r="M542" s="225"/>
      <c r="N542" s="380"/>
      <c r="O542" s="45"/>
      <c r="P542" s="311"/>
    </row>
    <row r="543" spans="2:16" s="30" customFormat="1" x14ac:dyDescent="0.25">
      <c r="B543" s="27"/>
      <c r="D543" s="81"/>
      <c r="E543" s="45"/>
      <c r="F543" s="524"/>
      <c r="G543" s="151"/>
      <c r="H543" s="44"/>
      <c r="I543" s="314"/>
      <c r="J543" s="44"/>
      <c r="K543" s="311"/>
      <c r="L543" s="232"/>
      <c r="M543" s="225"/>
      <c r="N543" s="380"/>
      <c r="O543" s="45"/>
      <c r="P543" s="311"/>
    </row>
    <row r="544" spans="2:16" s="30" customFormat="1" x14ac:dyDescent="0.25">
      <c r="B544" s="27"/>
      <c r="D544" s="81"/>
      <c r="E544" s="45"/>
      <c r="F544" s="524"/>
      <c r="G544" s="151"/>
      <c r="H544" s="44"/>
      <c r="I544" s="314"/>
      <c r="J544" s="44"/>
      <c r="K544" s="311"/>
      <c r="L544" s="232"/>
      <c r="M544" s="225"/>
      <c r="N544" s="380"/>
      <c r="O544" s="45"/>
      <c r="P544" s="311"/>
    </row>
    <row r="545" spans="2:16" s="30" customFormat="1" x14ac:dyDescent="0.25">
      <c r="B545" s="27"/>
      <c r="D545" s="81"/>
      <c r="E545" s="45"/>
      <c r="F545" s="524"/>
      <c r="G545" s="151"/>
      <c r="H545" s="44"/>
      <c r="I545" s="314"/>
      <c r="J545" s="44"/>
      <c r="K545" s="311"/>
      <c r="L545" s="232"/>
      <c r="M545" s="225"/>
      <c r="N545" s="380"/>
      <c r="O545" s="45"/>
      <c r="P545" s="311"/>
    </row>
    <row r="546" spans="2:16" s="30" customFormat="1" x14ac:dyDescent="0.25">
      <c r="B546" s="27"/>
      <c r="D546" s="81"/>
      <c r="E546" s="45"/>
      <c r="F546" s="524"/>
      <c r="G546" s="151"/>
      <c r="H546" s="44"/>
      <c r="I546" s="314"/>
      <c r="J546" s="44"/>
      <c r="K546" s="311"/>
      <c r="L546" s="232"/>
      <c r="M546" s="225"/>
      <c r="N546" s="380"/>
      <c r="O546" s="45"/>
      <c r="P546" s="311"/>
    </row>
    <row r="547" spans="2:16" s="30" customFormat="1" x14ac:dyDescent="0.25">
      <c r="B547" s="27"/>
      <c r="D547" s="81"/>
      <c r="E547" s="45"/>
      <c r="F547" s="524"/>
      <c r="G547" s="151"/>
      <c r="H547" s="44"/>
      <c r="I547" s="314"/>
      <c r="J547" s="44"/>
      <c r="K547" s="311"/>
      <c r="L547" s="232"/>
      <c r="M547" s="225"/>
      <c r="N547" s="380"/>
      <c r="O547" s="45"/>
      <c r="P547" s="311"/>
    </row>
    <row r="548" spans="2:16" s="30" customFormat="1" x14ac:dyDescent="0.25">
      <c r="B548" s="27"/>
      <c r="D548" s="81"/>
      <c r="E548" s="45"/>
      <c r="F548" s="524"/>
      <c r="G548" s="151"/>
      <c r="H548" s="44"/>
      <c r="I548" s="314"/>
      <c r="J548" s="44"/>
      <c r="K548" s="311"/>
      <c r="L548" s="232"/>
      <c r="M548" s="225"/>
      <c r="N548" s="380"/>
      <c r="O548" s="45"/>
      <c r="P548" s="311"/>
    </row>
    <row r="549" spans="2:16" s="30" customFormat="1" x14ac:dyDescent="0.25">
      <c r="B549" s="27"/>
      <c r="D549" s="81"/>
      <c r="E549" s="45"/>
      <c r="F549" s="524"/>
      <c r="G549" s="151"/>
      <c r="H549" s="44"/>
      <c r="I549" s="314"/>
      <c r="J549" s="44"/>
      <c r="K549" s="311"/>
      <c r="L549" s="232"/>
      <c r="M549" s="225"/>
      <c r="N549" s="380"/>
      <c r="O549" s="45"/>
      <c r="P549" s="311"/>
    </row>
    <row r="550" spans="2:16" s="30" customFormat="1" x14ac:dyDescent="0.25">
      <c r="B550" s="27"/>
      <c r="D550" s="81"/>
      <c r="E550" s="45"/>
      <c r="F550" s="524"/>
      <c r="G550" s="151"/>
      <c r="H550" s="44"/>
      <c r="I550" s="314"/>
      <c r="J550" s="44"/>
      <c r="K550" s="311"/>
      <c r="L550" s="232"/>
      <c r="M550" s="225"/>
      <c r="N550" s="380"/>
      <c r="O550" s="45"/>
      <c r="P550" s="311"/>
    </row>
    <row r="551" spans="2:16" s="30" customFormat="1" x14ac:dyDescent="0.25">
      <c r="B551" s="27"/>
      <c r="D551" s="81"/>
      <c r="E551" s="45"/>
      <c r="F551" s="524"/>
      <c r="G551" s="151"/>
      <c r="H551" s="44"/>
      <c r="I551" s="314"/>
      <c r="J551" s="44"/>
      <c r="K551" s="311"/>
      <c r="L551" s="232"/>
      <c r="M551" s="225"/>
      <c r="N551" s="380"/>
      <c r="O551" s="45"/>
      <c r="P551" s="311"/>
    </row>
    <row r="552" spans="2:16" s="30" customFormat="1" x14ac:dyDescent="0.25">
      <c r="B552" s="27"/>
      <c r="D552" s="81"/>
      <c r="E552" s="45"/>
      <c r="F552" s="524"/>
      <c r="G552" s="151"/>
      <c r="H552" s="44"/>
      <c r="I552" s="314"/>
      <c r="J552" s="44"/>
      <c r="K552" s="311"/>
      <c r="L552" s="232"/>
      <c r="M552" s="225"/>
      <c r="N552" s="380"/>
      <c r="O552" s="45"/>
      <c r="P552" s="311"/>
    </row>
    <row r="553" spans="2:16" s="30" customFormat="1" x14ac:dyDescent="0.25">
      <c r="B553" s="27"/>
      <c r="D553" s="81"/>
      <c r="E553" s="45"/>
      <c r="F553" s="524"/>
      <c r="G553" s="49"/>
      <c r="H553" s="44"/>
      <c r="I553" s="314"/>
      <c r="J553" s="44"/>
      <c r="K553" s="311"/>
      <c r="L553" s="232"/>
      <c r="M553" s="225"/>
      <c r="N553" s="380"/>
      <c r="O553" s="45"/>
      <c r="P553" s="311"/>
    </row>
    <row r="554" spans="2:16" s="30" customFormat="1" x14ac:dyDescent="0.25">
      <c r="B554" s="27"/>
      <c r="D554" s="81"/>
      <c r="E554" s="45"/>
      <c r="F554" s="524"/>
      <c r="G554" s="49"/>
      <c r="H554" s="44"/>
      <c r="I554" s="314"/>
      <c r="J554" s="44"/>
      <c r="K554" s="311"/>
      <c r="L554" s="232"/>
      <c r="M554" s="225"/>
      <c r="N554" s="380"/>
      <c r="O554" s="45"/>
      <c r="P554" s="311"/>
    </row>
    <row r="555" spans="2:16" s="30" customFormat="1" x14ac:dyDescent="0.25">
      <c r="B555" s="27"/>
      <c r="D555" s="81"/>
      <c r="E555" s="45"/>
      <c r="F555" s="524"/>
      <c r="G555" s="49"/>
      <c r="H555" s="45"/>
      <c r="I555" s="314"/>
      <c r="J555" s="44"/>
      <c r="K555" s="311"/>
      <c r="L555" s="232"/>
      <c r="M555" s="225"/>
      <c r="N555" s="380"/>
      <c r="O555" s="45"/>
      <c r="P555" s="311"/>
    </row>
    <row r="556" spans="2:16" s="30" customFormat="1" x14ac:dyDescent="0.25">
      <c r="B556" s="27"/>
      <c r="D556" s="81"/>
      <c r="E556" s="45"/>
      <c r="F556" s="524"/>
      <c r="G556" s="49"/>
      <c r="H556" s="45"/>
      <c r="I556" s="314"/>
      <c r="J556" s="44"/>
      <c r="K556" s="311"/>
      <c r="L556" s="232"/>
      <c r="M556" s="225"/>
      <c r="N556" s="380"/>
      <c r="O556" s="45"/>
      <c r="P556" s="311"/>
    </row>
    <row r="557" spans="2:16" s="30" customFormat="1" x14ac:dyDescent="0.25">
      <c r="B557" s="27"/>
      <c r="D557" s="81"/>
      <c r="E557" s="45"/>
      <c r="F557" s="524"/>
      <c r="G557" s="49"/>
      <c r="H557" s="45"/>
      <c r="I557" s="314"/>
      <c r="J557" s="44"/>
      <c r="K557" s="311"/>
      <c r="L557" s="232"/>
      <c r="M557" s="225"/>
      <c r="N557" s="380"/>
      <c r="O557" s="45"/>
      <c r="P557" s="311"/>
    </row>
    <row r="558" spans="2:16" s="30" customFormat="1" x14ac:dyDescent="0.25">
      <c r="B558" s="27"/>
      <c r="D558" s="81"/>
      <c r="E558" s="45"/>
      <c r="F558" s="524"/>
      <c r="G558" s="49"/>
      <c r="H558" s="45"/>
      <c r="I558" s="314"/>
      <c r="J558" s="44"/>
      <c r="K558" s="311"/>
      <c r="L558" s="232"/>
      <c r="M558" s="225"/>
      <c r="N558" s="380"/>
      <c r="O558" s="45"/>
      <c r="P558" s="311"/>
    </row>
    <row r="559" spans="2:16" s="30" customFormat="1" x14ac:dyDescent="0.25">
      <c r="B559" s="27"/>
      <c r="D559" s="81"/>
      <c r="E559" s="45"/>
      <c r="F559" s="524"/>
      <c r="G559" s="49"/>
      <c r="H559" s="45"/>
      <c r="I559" s="314"/>
      <c r="J559" s="44"/>
      <c r="K559" s="311"/>
      <c r="L559" s="232"/>
      <c r="M559" s="225"/>
      <c r="N559" s="380"/>
      <c r="O559" s="45"/>
      <c r="P559" s="311"/>
    </row>
    <row r="560" spans="2:16" s="30" customFormat="1" x14ac:dyDescent="0.25">
      <c r="B560" s="27"/>
      <c r="D560" s="81"/>
      <c r="E560" s="45"/>
      <c r="F560" s="524"/>
      <c r="G560" s="49"/>
      <c r="H560" s="45"/>
      <c r="I560" s="314"/>
      <c r="J560" s="44"/>
      <c r="K560" s="311"/>
      <c r="L560" s="232"/>
      <c r="M560" s="225"/>
      <c r="N560" s="380"/>
      <c r="O560" s="45"/>
      <c r="P560" s="311"/>
    </row>
    <row r="561" spans="2:16" s="30" customFormat="1" x14ac:dyDescent="0.25">
      <c r="B561" s="27"/>
      <c r="D561" s="81"/>
      <c r="E561" s="45"/>
      <c r="F561" s="524"/>
      <c r="G561" s="49"/>
      <c r="H561" s="45"/>
      <c r="I561" s="314"/>
      <c r="J561" s="44"/>
      <c r="K561" s="311"/>
      <c r="L561" s="232"/>
      <c r="M561" s="225"/>
      <c r="N561" s="380"/>
      <c r="O561" s="45"/>
      <c r="P561" s="311"/>
    </row>
    <row r="562" spans="2:16" s="30" customFormat="1" x14ac:dyDescent="0.25">
      <c r="B562" s="27"/>
      <c r="D562" s="81"/>
      <c r="E562" s="45"/>
      <c r="F562" s="524"/>
      <c r="G562" s="49"/>
      <c r="H562" s="45"/>
      <c r="I562" s="314"/>
      <c r="J562" s="44"/>
      <c r="K562" s="311"/>
      <c r="L562" s="232"/>
      <c r="M562" s="225"/>
      <c r="N562" s="380"/>
      <c r="O562" s="45"/>
      <c r="P562" s="311"/>
    </row>
    <row r="563" spans="2:16" s="30" customFormat="1" x14ac:dyDescent="0.25">
      <c r="B563" s="27"/>
      <c r="D563" s="81"/>
      <c r="E563" s="45"/>
      <c r="F563" s="524"/>
      <c r="G563" s="49"/>
      <c r="H563" s="45"/>
      <c r="I563" s="314"/>
      <c r="J563" s="44"/>
      <c r="K563" s="311"/>
      <c r="L563" s="232"/>
      <c r="M563" s="225"/>
      <c r="N563" s="380"/>
      <c r="O563" s="45"/>
      <c r="P563" s="311"/>
    </row>
    <row r="564" spans="2:16" s="30" customFormat="1" x14ac:dyDescent="0.25">
      <c r="B564" s="27"/>
      <c r="D564" s="81"/>
      <c r="E564" s="45"/>
      <c r="F564" s="524"/>
      <c r="G564" s="49"/>
      <c r="H564" s="45"/>
      <c r="I564" s="314"/>
      <c r="J564" s="44"/>
      <c r="K564" s="311"/>
      <c r="L564" s="232"/>
      <c r="M564" s="225"/>
      <c r="N564" s="380"/>
      <c r="O564" s="45"/>
      <c r="P564" s="311"/>
    </row>
    <row r="565" spans="2:16" s="30" customFormat="1" x14ac:dyDescent="0.25">
      <c r="B565" s="27"/>
      <c r="D565" s="81"/>
      <c r="E565" s="45"/>
      <c r="F565" s="524"/>
      <c r="G565" s="49"/>
      <c r="H565" s="45"/>
      <c r="I565" s="314"/>
      <c r="J565" s="44"/>
      <c r="K565" s="311"/>
      <c r="L565" s="232"/>
      <c r="M565" s="225"/>
      <c r="N565" s="380"/>
      <c r="O565" s="45"/>
      <c r="P565" s="311"/>
    </row>
    <row r="566" spans="2:16" s="30" customFormat="1" x14ac:dyDescent="0.25">
      <c r="B566" s="27"/>
      <c r="D566" s="81"/>
      <c r="E566" s="45"/>
      <c r="F566" s="524"/>
      <c r="G566" s="49"/>
      <c r="H566" s="45"/>
      <c r="I566" s="314"/>
      <c r="J566" s="44"/>
      <c r="K566" s="311"/>
      <c r="L566" s="232"/>
      <c r="M566" s="225"/>
      <c r="N566" s="380"/>
      <c r="O566" s="45"/>
      <c r="P566" s="311"/>
    </row>
    <row r="567" spans="2:16" s="30" customFormat="1" x14ac:dyDescent="0.25">
      <c r="B567" s="27"/>
      <c r="D567" s="81"/>
      <c r="E567" s="45"/>
      <c r="F567" s="524"/>
      <c r="G567" s="49"/>
      <c r="H567" s="45"/>
      <c r="I567" s="314"/>
      <c r="J567" s="44"/>
      <c r="K567" s="311"/>
      <c r="L567" s="232"/>
      <c r="M567" s="225"/>
      <c r="N567" s="380"/>
      <c r="O567" s="45"/>
      <c r="P567" s="311"/>
    </row>
    <row r="568" spans="2:16" s="30" customFormat="1" x14ac:dyDescent="0.25">
      <c r="B568" s="27"/>
      <c r="D568" s="81"/>
      <c r="E568" s="45"/>
      <c r="F568" s="524"/>
      <c r="G568" s="49"/>
      <c r="H568" s="45"/>
      <c r="I568" s="314"/>
      <c r="J568" s="44"/>
      <c r="K568" s="311"/>
      <c r="L568" s="232"/>
      <c r="M568" s="225"/>
      <c r="N568" s="380"/>
      <c r="O568" s="45"/>
      <c r="P568" s="311"/>
    </row>
    <row r="569" spans="2:16" s="30" customFormat="1" x14ac:dyDescent="0.25">
      <c r="B569" s="27"/>
      <c r="D569" s="81"/>
      <c r="E569" s="45"/>
      <c r="F569" s="524"/>
      <c r="G569" s="49"/>
      <c r="H569" s="45"/>
      <c r="I569" s="314"/>
      <c r="J569" s="44"/>
      <c r="K569" s="311"/>
      <c r="L569" s="232"/>
      <c r="M569" s="225"/>
      <c r="N569" s="380"/>
      <c r="O569" s="45"/>
      <c r="P569" s="311"/>
    </row>
    <row r="570" spans="2:16" s="30" customFormat="1" x14ac:dyDescent="0.25">
      <c r="B570" s="27"/>
      <c r="D570" s="81"/>
      <c r="E570" s="45"/>
      <c r="F570" s="524"/>
      <c r="G570" s="49"/>
      <c r="H570" s="45"/>
      <c r="I570" s="314"/>
      <c r="J570" s="44"/>
      <c r="K570" s="311"/>
      <c r="L570" s="232"/>
      <c r="M570" s="225"/>
      <c r="N570" s="380"/>
      <c r="O570" s="45"/>
      <c r="P570" s="311"/>
    </row>
    <row r="571" spans="2:16" s="30" customFormat="1" x14ac:dyDescent="0.25">
      <c r="B571" s="27"/>
      <c r="D571" s="81"/>
      <c r="E571" s="45"/>
      <c r="F571" s="524"/>
      <c r="G571" s="49"/>
      <c r="H571" s="45"/>
      <c r="I571" s="314"/>
      <c r="J571" s="44"/>
      <c r="K571" s="311"/>
      <c r="L571" s="232"/>
      <c r="M571" s="225"/>
      <c r="N571" s="380"/>
      <c r="O571" s="45"/>
      <c r="P571" s="311"/>
    </row>
    <row r="572" spans="2:16" s="30" customFormat="1" x14ac:dyDescent="0.25">
      <c r="B572" s="27"/>
      <c r="D572" s="81"/>
      <c r="E572" s="45"/>
      <c r="F572" s="524"/>
      <c r="G572" s="49"/>
      <c r="H572" s="45"/>
      <c r="I572" s="314"/>
      <c r="J572" s="44"/>
      <c r="K572" s="311"/>
      <c r="L572" s="232"/>
      <c r="M572" s="225"/>
      <c r="N572" s="380"/>
      <c r="O572" s="45"/>
      <c r="P572" s="311"/>
    </row>
    <row r="573" spans="2:16" s="30" customFormat="1" x14ac:dyDescent="0.25">
      <c r="B573" s="27"/>
      <c r="D573" s="81"/>
      <c r="E573" s="45"/>
      <c r="F573" s="524"/>
      <c r="G573" s="49"/>
      <c r="H573" s="45"/>
      <c r="I573" s="314"/>
      <c r="J573" s="44"/>
      <c r="K573" s="311"/>
      <c r="L573" s="232"/>
      <c r="M573" s="225"/>
      <c r="N573" s="380"/>
      <c r="O573" s="45"/>
      <c r="P573" s="311"/>
    </row>
    <row r="574" spans="2:16" s="30" customFormat="1" x14ac:dyDescent="0.25">
      <c r="B574" s="27"/>
      <c r="D574" s="81"/>
      <c r="E574" s="45"/>
      <c r="F574" s="524"/>
      <c r="G574" s="49"/>
      <c r="H574" s="45"/>
      <c r="I574" s="314"/>
      <c r="J574" s="44"/>
      <c r="K574" s="311"/>
      <c r="L574" s="232"/>
      <c r="M574" s="225"/>
      <c r="N574" s="380"/>
      <c r="O574" s="45"/>
      <c r="P574" s="311"/>
    </row>
    <row r="575" spans="2:16" s="30" customFormat="1" x14ac:dyDescent="0.25">
      <c r="B575" s="27"/>
      <c r="D575" s="81"/>
      <c r="E575" s="45"/>
      <c r="F575" s="524"/>
      <c r="G575" s="49"/>
      <c r="H575" s="45"/>
      <c r="I575" s="314"/>
      <c r="J575" s="44"/>
      <c r="K575" s="311"/>
      <c r="L575" s="232"/>
      <c r="M575" s="225"/>
      <c r="N575" s="380"/>
      <c r="O575" s="45"/>
      <c r="P575" s="311"/>
    </row>
    <row r="576" spans="2:16" s="30" customFormat="1" x14ac:dyDescent="0.25">
      <c r="B576" s="27"/>
      <c r="D576" s="81"/>
      <c r="E576" s="45"/>
      <c r="F576" s="524"/>
      <c r="G576" s="49"/>
      <c r="H576" s="45"/>
      <c r="I576" s="314"/>
      <c r="J576" s="44"/>
      <c r="K576" s="311"/>
      <c r="L576" s="232"/>
      <c r="M576" s="225"/>
      <c r="N576" s="380"/>
      <c r="O576" s="45"/>
      <c r="P576" s="311"/>
    </row>
    <row r="577" spans="2:16" s="30" customFormat="1" x14ac:dyDescent="0.25">
      <c r="B577" s="27"/>
      <c r="D577" s="81"/>
      <c r="E577" s="45"/>
      <c r="F577" s="524"/>
      <c r="G577" s="49"/>
      <c r="H577" s="45"/>
      <c r="I577" s="314"/>
      <c r="J577" s="44"/>
      <c r="K577" s="311"/>
      <c r="L577" s="232"/>
      <c r="M577" s="225"/>
      <c r="N577" s="380"/>
      <c r="O577" s="45"/>
      <c r="P577" s="311"/>
    </row>
    <row r="578" spans="2:16" s="30" customFormat="1" x14ac:dyDescent="0.25">
      <c r="B578" s="27"/>
      <c r="D578" s="81"/>
      <c r="E578" s="45"/>
      <c r="F578" s="524"/>
      <c r="G578" s="49"/>
      <c r="H578" s="45"/>
      <c r="I578" s="314"/>
      <c r="J578" s="44"/>
      <c r="K578" s="311"/>
      <c r="L578" s="232"/>
      <c r="M578" s="225"/>
      <c r="N578" s="380"/>
      <c r="O578" s="45"/>
      <c r="P578" s="311"/>
    </row>
    <row r="579" spans="2:16" s="30" customFormat="1" x14ac:dyDescent="0.25">
      <c r="B579" s="27"/>
      <c r="D579" s="81"/>
      <c r="E579" s="45"/>
      <c r="F579" s="524"/>
      <c r="G579" s="49"/>
      <c r="H579" s="45"/>
      <c r="I579" s="314"/>
      <c r="J579" s="44"/>
      <c r="K579" s="311"/>
      <c r="L579" s="232"/>
      <c r="M579" s="225"/>
      <c r="N579" s="380"/>
      <c r="O579" s="45"/>
      <c r="P579" s="311"/>
    </row>
    <row r="580" spans="2:16" s="30" customFormat="1" x14ac:dyDescent="0.25">
      <c r="B580" s="27"/>
      <c r="D580" s="81"/>
      <c r="E580" s="45"/>
      <c r="F580" s="524"/>
      <c r="G580" s="49"/>
      <c r="H580" s="45"/>
      <c r="I580" s="314"/>
      <c r="J580" s="44"/>
      <c r="K580" s="311"/>
      <c r="L580" s="232"/>
      <c r="M580" s="225"/>
      <c r="N580" s="380"/>
      <c r="O580" s="45"/>
      <c r="P580" s="311"/>
    </row>
    <row r="581" spans="2:16" s="30" customFormat="1" x14ac:dyDescent="0.25">
      <c r="B581" s="27"/>
      <c r="D581" s="81"/>
      <c r="E581" s="45"/>
      <c r="F581" s="524"/>
      <c r="G581" s="49"/>
      <c r="H581" s="45"/>
      <c r="I581" s="314"/>
      <c r="J581" s="44"/>
      <c r="K581" s="311"/>
      <c r="L581" s="232"/>
      <c r="M581" s="225"/>
      <c r="N581" s="380"/>
      <c r="O581" s="45"/>
      <c r="P581" s="311"/>
    </row>
    <row r="582" spans="2:16" s="30" customFormat="1" x14ac:dyDescent="0.25">
      <c r="B582" s="27"/>
      <c r="D582" s="81"/>
      <c r="E582" s="45"/>
      <c r="F582" s="524"/>
      <c r="G582" s="49"/>
      <c r="H582" s="45"/>
      <c r="I582" s="314"/>
      <c r="J582" s="44"/>
      <c r="K582" s="311"/>
      <c r="L582" s="232"/>
      <c r="M582" s="225"/>
      <c r="N582" s="380"/>
      <c r="O582" s="45"/>
      <c r="P582" s="311"/>
    </row>
    <row r="583" spans="2:16" s="30" customFormat="1" x14ac:dyDescent="0.25">
      <c r="B583" s="27"/>
      <c r="D583" s="81"/>
      <c r="E583" s="45"/>
      <c r="F583" s="524"/>
      <c r="G583" s="49"/>
      <c r="H583" s="45"/>
      <c r="I583" s="314"/>
      <c r="J583" s="44"/>
      <c r="K583" s="311"/>
      <c r="L583" s="232"/>
      <c r="M583" s="225"/>
      <c r="N583" s="380"/>
      <c r="O583" s="45"/>
      <c r="P583" s="311"/>
    </row>
    <row r="584" spans="2:16" s="30" customFormat="1" x14ac:dyDescent="0.25">
      <c r="B584" s="27"/>
      <c r="D584" s="81"/>
      <c r="E584" s="45"/>
      <c r="F584" s="524"/>
      <c r="G584" s="49"/>
      <c r="H584" s="45"/>
      <c r="I584" s="314"/>
      <c r="J584" s="44"/>
      <c r="K584" s="311"/>
      <c r="L584" s="232"/>
      <c r="M584" s="225"/>
      <c r="N584" s="380"/>
      <c r="O584" s="45"/>
      <c r="P584" s="311"/>
    </row>
    <row r="585" spans="2:16" s="30" customFormat="1" x14ac:dyDescent="0.25">
      <c r="B585" s="27"/>
      <c r="D585" s="81"/>
      <c r="E585" s="45"/>
      <c r="F585" s="524"/>
      <c r="G585" s="49"/>
      <c r="H585" s="45"/>
      <c r="I585" s="314"/>
      <c r="J585" s="44"/>
      <c r="K585" s="311"/>
      <c r="L585" s="232"/>
      <c r="M585" s="225"/>
      <c r="N585" s="380"/>
      <c r="O585" s="45"/>
      <c r="P585" s="311"/>
    </row>
    <row r="586" spans="2:16" s="30" customFormat="1" x14ac:dyDescent="0.25">
      <c r="B586" s="27"/>
      <c r="D586" s="81"/>
      <c r="E586" s="45"/>
      <c r="F586" s="524"/>
      <c r="G586" s="49"/>
      <c r="H586" s="45"/>
      <c r="I586" s="314"/>
      <c r="J586" s="44"/>
      <c r="K586" s="311"/>
      <c r="L586" s="232"/>
      <c r="M586" s="225"/>
      <c r="N586" s="380"/>
      <c r="O586" s="45"/>
      <c r="P586" s="311"/>
    </row>
    <row r="587" spans="2:16" s="30" customFormat="1" x14ac:dyDescent="0.25">
      <c r="B587" s="27"/>
      <c r="D587" s="81"/>
      <c r="E587" s="45"/>
      <c r="F587" s="524"/>
      <c r="G587" s="49"/>
      <c r="H587" s="45"/>
      <c r="I587" s="314"/>
      <c r="J587" s="44"/>
      <c r="K587" s="311"/>
      <c r="L587" s="232"/>
      <c r="M587" s="225"/>
      <c r="N587" s="380"/>
      <c r="O587" s="45"/>
      <c r="P587" s="311"/>
    </row>
    <row r="588" spans="2:16" s="30" customFormat="1" x14ac:dyDescent="0.25">
      <c r="B588" s="27"/>
      <c r="D588" s="81"/>
      <c r="E588" s="45"/>
      <c r="F588" s="524"/>
      <c r="G588" s="49"/>
      <c r="H588" s="45"/>
      <c r="I588" s="314"/>
      <c r="J588" s="44"/>
      <c r="K588" s="311"/>
      <c r="L588" s="232"/>
      <c r="M588" s="225"/>
      <c r="N588" s="380"/>
      <c r="O588" s="45"/>
      <c r="P588" s="311"/>
    </row>
    <row r="589" spans="2:16" s="30" customFormat="1" x14ac:dyDescent="0.25">
      <c r="B589" s="27"/>
      <c r="D589" s="81"/>
      <c r="E589" s="45"/>
      <c r="F589" s="524"/>
      <c r="G589" s="49"/>
      <c r="H589" s="45"/>
      <c r="I589" s="314"/>
      <c r="J589" s="44"/>
      <c r="K589" s="311"/>
      <c r="L589" s="232"/>
      <c r="M589" s="225"/>
      <c r="N589" s="380"/>
      <c r="O589" s="45"/>
      <c r="P589" s="311"/>
    </row>
    <row r="590" spans="2:16" s="30" customFormat="1" x14ac:dyDescent="0.25">
      <c r="B590" s="27"/>
      <c r="D590" s="81"/>
      <c r="E590" s="45"/>
      <c r="F590" s="524"/>
      <c r="G590" s="49"/>
      <c r="H590" s="45"/>
      <c r="I590" s="314"/>
      <c r="J590" s="44"/>
      <c r="K590" s="311"/>
      <c r="L590" s="232"/>
      <c r="M590" s="225"/>
      <c r="N590" s="380"/>
      <c r="O590" s="45"/>
      <c r="P590" s="311"/>
    </row>
    <row r="591" spans="2:16" s="30" customFormat="1" x14ac:dyDescent="0.25">
      <c r="B591" s="27"/>
      <c r="D591" s="81"/>
      <c r="E591" s="45"/>
      <c r="F591" s="524"/>
      <c r="G591" s="49"/>
      <c r="H591" s="45"/>
      <c r="I591" s="314"/>
      <c r="J591" s="44"/>
      <c r="K591" s="311"/>
      <c r="L591" s="232"/>
      <c r="M591" s="225"/>
      <c r="N591" s="380"/>
      <c r="O591" s="45"/>
      <c r="P591" s="311"/>
    </row>
    <row r="592" spans="2:16" s="30" customFormat="1" x14ac:dyDescent="0.25">
      <c r="B592" s="27"/>
      <c r="D592" s="81"/>
      <c r="E592" s="45"/>
      <c r="F592" s="524"/>
      <c r="G592" s="49"/>
      <c r="H592" s="45"/>
      <c r="I592" s="314"/>
      <c r="J592" s="44"/>
      <c r="K592" s="311"/>
      <c r="L592" s="232"/>
      <c r="M592" s="225"/>
      <c r="N592" s="380"/>
      <c r="O592" s="45"/>
      <c r="P592" s="311"/>
    </row>
    <row r="593" spans="2:16" s="30" customFormat="1" x14ac:dyDescent="0.25">
      <c r="B593" s="27"/>
      <c r="D593" s="81"/>
      <c r="E593" s="45"/>
      <c r="F593" s="524"/>
      <c r="G593" s="49"/>
      <c r="H593" s="45"/>
      <c r="I593" s="314"/>
      <c r="J593" s="44"/>
      <c r="K593" s="311"/>
      <c r="L593" s="232"/>
      <c r="M593" s="225"/>
      <c r="N593" s="380"/>
      <c r="O593" s="45"/>
      <c r="P593" s="311"/>
    </row>
    <row r="594" spans="2:16" s="30" customFormat="1" x14ac:dyDescent="0.25">
      <c r="B594" s="27"/>
      <c r="D594" s="81"/>
      <c r="E594" s="45"/>
      <c r="F594" s="524"/>
      <c r="G594" s="49"/>
      <c r="H594" s="45"/>
      <c r="I594" s="314"/>
      <c r="J594" s="44"/>
      <c r="K594" s="311"/>
      <c r="L594" s="232"/>
      <c r="M594" s="225"/>
      <c r="N594" s="380"/>
      <c r="O594" s="45"/>
      <c r="P594" s="311"/>
    </row>
    <row r="595" spans="2:16" s="30" customFormat="1" x14ac:dyDescent="0.25">
      <c r="B595" s="27"/>
      <c r="D595" s="81"/>
      <c r="E595" s="45"/>
      <c r="F595" s="524"/>
      <c r="G595" s="49"/>
      <c r="H595" s="45"/>
      <c r="I595" s="314"/>
      <c r="J595" s="44"/>
      <c r="K595" s="311"/>
      <c r="L595" s="232"/>
      <c r="M595" s="225"/>
      <c r="N595" s="380"/>
      <c r="O595" s="45"/>
      <c r="P595" s="311"/>
    </row>
    <row r="596" spans="2:16" s="30" customFormat="1" x14ac:dyDescent="0.25">
      <c r="B596" s="27"/>
      <c r="D596" s="81"/>
      <c r="E596" s="45"/>
      <c r="F596" s="524"/>
      <c r="G596" s="49"/>
      <c r="H596" s="45"/>
      <c r="I596" s="314"/>
      <c r="J596" s="44"/>
      <c r="K596" s="311"/>
      <c r="L596" s="232"/>
      <c r="M596" s="225"/>
      <c r="N596" s="380"/>
      <c r="O596" s="45"/>
      <c r="P596" s="311"/>
    </row>
    <row r="597" spans="2:16" s="30" customFormat="1" x14ac:dyDescent="0.25">
      <c r="B597" s="27"/>
      <c r="D597" s="81"/>
      <c r="E597" s="45"/>
      <c r="F597" s="524"/>
      <c r="G597" s="49"/>
      <c r="H597" s="45"/>
      <c r="I597" s="314"/>
      <c r="J597" s="44"/>
      <c r="K597" s="311"/>
      <c r="L597" s="232"/>
      <c r="M597" s="225"/>
      <c r="N597" s="380"/>
      <c r="O597" s="45"/>
      <c r="P597" s="311"/>
    </row>
    <row r="598" spans="2:16" s="30" customFormat="1" x14ac:dyDescent="0.25">
      <c r="B598" s="27"/>
      <c r="D598" s="81"/>
      <c r="E598" s="45"/>
      <c r="F598" s="524"/>
      <c r="G598" s="49"/>
      <c r="H598" s="45"/>
      <c r="I598" s="314"/>
      <c r="J598" s="44"/>
      <c r="K598" s="311"/>
      <c r="L598" s="232"/>
      <c r="M598" s="225"/>
      <c r="N598" s="380"/>
      <c r="O598" s="45"/>
      <c r="P598" s="311"/>
    </row>
    <row r="599" spans="2:16" s="30" customFormat="1" x14ac:dyDescent="0.25">
      <c r="B599" s="27"/>
      <c r="D599" s="81"/>
      <c r="E599" s="45"/>
      <c r="F599" s="524"/>
      <c r="G599" s="49"/>
      <c r="H599" s="45"/>
      <c r="I599" s="314"/>
      <c r="J599" s="44"/>
      <c r="K599" s="311"/>
      <c r="L599" s="232"/>
      <c r="M599" s="225"/>
      <c r="N599" s="380"/>
      <c r="O599" s="45"/>
      <c r="P599" s="311"/>
    </row>
    <row r="600" spans="2:16" s="30" customFormat="1" x14ac:dyDescent="0.25">
      <c r="B600" s="27"/>
      <c r="D600" s="81"/>
      <c r="E600" s="45"/>
      <c r="F600" s="524"/>
      <c r="G600" s="49"/>
      <c r="H600" s="45"/>
      <c r="I600" s="314"/>
      <c r="J600" s="44"/>
      <c r="K600" s="311"/>
      <c r="L600" s="232"/>
      <c r="M600" s="225"/>
      <c r="N600" s="380"/>
      <c r="O600" s="45"/>
      <c r="P600" s="311"/>
    </row>
    <row r="601" spans="2:16" s="30" customFormat="1" x14ac:dyDescent="0.25">
      <c r="B601" s="27"/>
      <c r="D601" s="81"/>
      <c r="E601" s="45"/>
      <c r="F601" s="524"/>
      <c r="G601" s="49"/>
      <c r="H601" s="45"/>
      <c r="I601" s="314"/>
      <c r="J601" s="44"/>
      <c r="K601" s="311"/>
      <c r="L601" s="232"/>
      <c r="M601" s="225"/>
      <c r="N601" s="380"/>
      <c r="O601" s="45"/>
      <c r="P601" s="311"/>
    </row>
    <row r="602" spans="2:16" s="30" customFormat="1" x14ac:dyDescent="0.25">
      <c r="B602" s="27"/>
      <c r="D602" s="81"/>
      <c r="E602" s="45"/>
      <c r="F602" s="524"/>
      <c r="G602" s="49"/>
      <c r="H602" s="45"/>
      <c r="I602" s="314"/>
      <c r="J602" s="44"/>
      <c r="K602" s="311"/>
      <c r="L602" s="232"/>
      <c r="M602" s="225"/>
      <c r="N602" s="380"/>
      <c r="O602" s="45"/>
      <c r="P602" s="311"/>
    </row>
    <row r="603" spans="2:16" s="30" customFormat="1" x14ac:dyDescent="0.25">
      <c r="B603" s="27"/>
      <c r="D603" s="81"/>
      <c r="E603" s="45"/>
      <c r="F603" s="524"/>
      <c r="G603" s="49"/>
      <c r="H603" s="45"/>
      <c r="I603" s="314"/>
      <c r="J603" s="44"/>
      <c r="K603" s="311"/>
      <c r="L603" s="232"/>
      <c r="M603" s="225"/>
      <c r="N603" s="380"/>
      <c r="O603" s="45"/>
      <c r="P603" s="311"/>
    </row>
    <row r="604" spans="2:16" s="30" customFormat="1" x14ac:dyDescent="0.25">
      <c r="B604" s="27"/>
      <c r="D604" s="81"/>
      <c r="E604" s="45"/>
      <c r="F604" s="524"/>
      <c r="G604" s="49"/>
      <c r="H604" s="45"/>
      <c r="I604" s="314"/>
      <c r="J604" s="44"/>
      <c r="K604" s="311"/>
      <c r="L604" s="232"/>
      <c r="M604" s="225"/>
      <c r="N604" s="380"/>
      <c r="O604" s="45"/>
      <c r="P604" s="311"/>
    </row>
    <row r="605" spans="2:16" s="30" customFormat="1" x14ac:dyDescent="0.25">
      <c r="B605" s="27"/>
      <c r="D605" s="81"/>
      <c r="E605" s="45"/>
      <c r="F605" s="524"/>
      <c r="G605" s="49"/>
      <c r="H605" s="45"/>
      <c r="I605" s="314"/>
      <c r="J605" s="44"/>
      <c r="K605" s="311"/>
      <c r="L605" s="232"/>
      <c r="M605" s="225"/>
      <c r="N605" s="380"/>
      <c r="O605" s="45"/>
      <c r="P605" s="311"/>
    </row>
    <row r="606" spans="2:16" s="30" customFormat="1" x14ac:dyDescent="0.25">
      <c r="B606" s="27"/>
      <c r="D606" s="81"/>
      <c r="E606" s="45"/>
      <c r="F606" s="524"/>
      <c r="G606" s="49"/>
      <c r="H606" s="45"/>
      <c r="I606" s="314"/>
      <c r="J606" s="44"/>
      <c r="K606" s="311"/>
      <c r="L606" s="232"/>
      <c r="M606" s="225"/>
      <c r="N606" s="380"/>
      <c r="O606" s="45"/>
      <c r="P606" s="311"/>
    </row>
    <row r="607" spans="2:16" s="30" customFormat="1" x14ac:dyDescent="0.25">
      <c r="B607" s="27"/>
      <c r="D607" s="81"/>
      <c r="E607" s="45"/>
      <c r="F607" s="524"/>
      <c r="G607" s="49"/>
      <c r="H607" s="45"/>
      <c r="I607" s="314"/>
      <c r="J607" s="44"/>
      <c r="K607" s="311"/>
      <c r="L607" s="232"/>
      <c r="M607" s="225"/>
      <c r="N607" s="380"/>
      <c r="O607" s="45"/>
      <c r="P607" s="311"/>
    </row>
    <row r="608" spans="2:16" s="30" customFormat="1" x14ac:dyDescent="0.25">
      <c r="B608" s="27"/>
      <c r="D608" s="81"/>
      <c r="E608" s="45"/>
      <c r="F608" s="524"/>
      <c r="G608" s="49"/>
      <c r="H608" s="45"/>
      <c r="I608" s="314"/>
      <c r="J608" s="44"/>
      <c r="K608" s="311"/>
      <c r="L608" s="232"/>
      <c r="M608" s="225"/>
      <c r="N608" s="380"/>
      <c r="O608" s="45"/>
      <c r="P608" s="311"/>
    </row>
    <row r="609" spans="2:16" s="30" customFormat="1" x14ac:dyDescent="0.25">
      <c r="B609" s="27"/>
      <c r="D609" s="81"/>
      <c r="E609" s="45"/>
      <c r="F609" s="524"/>
      <c r="G609" s="49"/>
      <c r="H609" s="45"/>
      <c r="I609" s="314"/>
      <c r="J609" s="44"/>
      <c r="K609" s="311"/>
      <c r="L609" s="232"/>
      <c r="M609" s="225"/>
      <c r="N609" s="380"/>
      <c r="O609" s="45"/>
      <c r="P609" s="311"/>
    </row>
    <row r="610" spans="2:16" s="30" customFormat="1" x14ac:dyDescent="0.25">
      <c r="B610" s="27"/>
      <c r="D610" s="81"/>
      <c r="E610" s="45"/>
      <c r="F610" s="524"/>
      <c r="G610" s="49"/>
      <c r="H610" s="45"/>
      <c r="I610" s="314"/>
      <c r="J610" s="44"/>
      <c r="K610" s="311"/>
      <c r="L610" s="232"/>
      <c r="M610" s="225"/>
      <c r="N610" s="380"/>
      <c r="O610" s="45"/>
      <c r="P610" s="311"/>
    </row>
    <row r="611" spans="2:16" s="30" customFormat="1" x14ac:dyDescent="0.25">
      <c r="B611" s="27"/>
      <c r="D611" s="81"/>
      <c r="E611" s="45"/>
      <c r="F611" s="524"/>
      <c r="G611" s="49"/>
      <c r="H611" s="45"/>
      <c r="I611" s="314"/>
      <c r="J611" s="44"/>
      <c r="K611" s="311"/>
      <c r="L611" s="232"/>
      <c r="M611" s="225"/>
      <c r="N611" s="380"/>
      <c r="O611" s="45"/>
      <c r="P611" s="311"/>
    </row>
    <row r="612" spans="2:16" s="30" customFormat="1" x14ac:dyDescent="0.25">
      <c r="B612" s="27"/>
      <c r="D612" s="81"/>
      <c r="E612" s="45"/>
      <c r="F612" s="524"/>
      <c r="G612" s="49"/>
      <c r="H612" s="45"/>
      <c r="I612" s="314"/>
      <c r="J612" s="44"/>
      <c r="K612" s="311"/>
      <c r="L612" s="232"/>
      <c r="M612" s="225"/>
      <c r="N612" s="380"/>
      <c r="O612" s="45"/>
      <c r="P612" s="311"/>
    </row>
    <row r="613" spans="2:16" s="30" customFormat="1" x14ac:dyDescent="0.25">
      <c r="B613" s="27"/>
      <c r="D613" s="81"/>
      <c r="E613" s="45"/>
      <c r="F613" s="524"/>
      <c r="G613" s="49"/>
      <c r="H613" s="45"/>
      <c r="I613" s="314"/>
      <c r="J613" s="44"/>
      <c r="K613" s="311"/>
      <c r="L613" s="232"/>
      <c r="M613" s="225"/>
      <c r="N613" s="380"/>
      <c r="O613" s="45"/>
      <c r="P613" s="311"/>
    </row>
    <row r="614" spans="2:16" s="30" customFormat="1" x14ac:dyDescent="0.25">
      <c r="B614" s="27"/>
      <c r="D614" s="81"/>
      <c r="E614" s="45"/>
      <c r="F614" s="524"/>
      <c r="G614" s="49"/>
      <c r="H614" s="45"/>
      <c r="I614" s="314"/>
      <c r="J614" s="44"/>
      <c r="K614" s="311"/>
      <c r="L614" s="232"/>
      <c r="M614" s="225"/>
      <c r="N614" s="380"/>
      <c r="O614" s="45"/>
      <c r="P614" s="311"/>
    </row>
    <row r="615" spans="2:16" s="30" customFormat="1" x14ac:dyDescent="0.25">
      <c r="B615" s="27"/>
      <c r="D615" s="81"/>
      <c r="E615" s="45"/>
      <c r="F615" s="524"/>
      <c r="G615" s="49"/>
      <c r="H615" s="45"/>
      <c r="I615" s="314"/>
      <c r="J615" s="44"/>
      <c r="K615" s="311"/>
      <c r="L615" s="232"/>
      <c r="M615" s="225"/>
      <c r="N615" s="380"/>
      <c r="O615" s="45"/>
      <c r="P615" s="311"/>
    </row>
    <row r="616" spans="2:16" s="30" customFormat="1" x14ac:dyDescent="0.25">
      <c r="B616" s="27"/>
      <c r="D616" s="81"/>
      <c r="E616" s="45"/>
      <c r="F616" s="524"/>
      <c r="G616" s="49"/>
      <c r="H616" s="45"/>
      <c r="I616" s="314"/>
      <c r="J616" s="44"/>
      <c r="K616" s="311"/>
      <c r="L616" s="232"/>
      <c r="M616" s="225"/>
      <c r="N616" s="380"/>
      <c r="O616" s="45"/>
      <c r="P616" s="311"/>
    </row>
    <row r="617" spans="2:16" s="30" customFormat="1" x14ac:dyDescent="0.25">
      <c r="B617" s="27"/>
      <c r="D617" s="81"/>
      <c r="E617" s="45"/>
      <c r="F617" s="524"/>
      <c r="G617" s="49"/>
      <c r="H617" s="45"/>
      <c r="I617" s="314"/>
      <c r="J617" s="44"/>
      <c r="K617" s="311"/>
      <c r="L617" s="232"/>
      <c r="M617" s="225"/>
      <c r="N617" s="380"/>
      <c r="O617" s="45"/>
      <c r="P617" s="311"/>
    </row>
    <row r="618" spans="2:16" s="30" customFormat="1" x14ac:dyDescent="0.25">
      <c r="B618" s="27"/>
      <c r="D618" s="81"/>
      <c r="E618" s="45"/>
      <c r="F618" s="524"/>
      <c r="G618" s="49"/>
      <c r="H618" s="45"/>
      <c r="I618" s="314"/>
      <c r="J618" s="44"/>
      <c r="K618" s="311"/>
      <c r="L618" s="232"/>
      <c r="M618" s="225"/>
      <c r="N618" s="380"/>
      <c r="O618" s="45"/>
      <c r="P618" s="311"/>
    </row>
    <row r="619" spans="2:16" s="30" customFormat="1" x14ac:dyDescent="0.25">
      <c r="B619" s="27"/>
      <c r="D619" s="81"/>
      <c r="E619" s="45"/>
      <c r="F619" s="524"/>
      <c r="G619" s="49"/>
      <c r="H619" s="45"/>
      <c r="I619" s="314"/>
      <c r="J619" s="44"/>
      <c r="K619" s="311"/>
      <c r="L619" s="232"/>
      <c r="M619" s="225"/>
      <c r="N619" s="380"/>
      <c r="O619" s="45"/>
      <c r="P619" s="311"/>
    </row>
    <row r="620" spans="2:16" s="30" customFormat="1" x14ac:dyDescent="0.25">
      <c r="B620" s="27"/>
      <c r="D620" s="81"/>
      <c r="E620" s="45"/>
      <c r="F620" s="524"/>
      <c r="G620" s="49"/>
      <c r="H620" s="45"/>
      <c r="I620" s="314"/>
      <c r="J620" s="44"/>
      <c r="K620" s="311"/>
      <c r="L620" s="232"/>
      <c r="M620" s="225"/>
      <c r="N620" s="380"/>
      <c r="O620" s="45"/>
      <c r="P620" s="311"/>
    </row>
    <row r="621" spans="2:16" s="30" customFormat="1" x14ac:dyDescent="0.25">
      <c r="B621" s="27"/>
      <c r="D621" s="81"/>
      <c r="E621" s="45"/>
      <c r="F621" s="524"/>
      <c r="G621" s="49"/>
      <c r="H621" s="45"/>
      <c r="I621" s="314"/>
      <c r="J621" s="44"/>
      <c r="K621" s="311"/>
      <c r="L621" s="232"/>
      <c r="M621" s="225"/>
      <c r="N621" s="380"/>
      <c r="O621" s="45"/>
      <c r="P621" s="311"/>
    </row>
    <row r="622" spans="2:16" s="30" customFormat="1" x14ac:dyDescent="0.25">
      <c r="B622" s="27"/>
      <c r="D622" s="81"/>
      <c r="E622" s="45"/>
      <c r="F622" s="524"/>
      <c r="G622" s="49"/>
      <c r="H622" s="45"/>
      <c r="I622" s="314"/>
      <c r="J622" s="44"/>
      <c r="K622" s="311"/>
      <c r="L622" s="232"/>
      <c r="M622" s="225"/>
      <c r="N622" s="380"/>
      <c r="O622" s="45"/>
      <c r="P622" s="311"/>
    </row>
    <row r="623" spans="2:16" s="30" customFormat="1" x14ac:dyDescent="0.25">
      <c r="B623" s="27"/>
      <c r="D623" s="81"/>
      <c r="E623" s="45"/>
      <c r="F623" s="524"/>
      <c r="G623" s="49"/>
      <c r="H623" s="45"/>
      <c r="I623" s="314"/>
      <c r="J623" s="44"/>
      <c r="K623" s="311"/>
      <c r="L623" s="232"/>
      <c r="M623" s="225"/>
      <c r="N623" s="380"/>
      <c r="O623" s="45"/>
      <c r="P623" s="311"/>
    </row>
    <row r="624" spans="2:16" s="30" customFormat="1" x14ac:dyDescent="0.25">
      <c r="B624" s="27"/>
      <c r="D624" s="81"/>
      <c r="E624" s="45"/>
      <c r="F624" s="524"/>
      <c r="G624" s="49"/>
      <c r="H624" s="45"/>
      <c r="I624" s="314"/>
      <c r="J624" s="44"/>
      <c r="K624" s="311"/>
      <c r="L624" s="232"/>
      <c r="M624" s="225"/>
      <c r="N624" s="380"/>
      <c r="O624" s="45"/>
      <c r="P624" s="311"/>
    </row>
    <row r="625" spans="2:16" s="30" customFormat="1" x14ac:dyDescent="0.25">
      <c r="B625" s="27"/>
      <c r="D625" s="81"/>
      <c r="E625" s="45"/>
      <c r="F625" s="524"/>
      <c r="G625" s="49"/>
      <c r="H625" s="45"/>
      <c r="I625" s="314"/>
      <c r="J625" s="44"/>
      <c r="K625" s="311"/>
      <c r="L625" s="232"/>
      <c r="M625" s="225"/>
      <c r="N625" s="380"/>
      <c r="O625" s="45"/>
      <c r="P625" s="311"/>
    </row>
    <row r="626" spans="2:16" s="30" customFormat="1" x14ac:dyDescent="0.25">
      <c r="B626" s="27"/>
      <c r="D626" s="81"/>
      <c r="E626" s="45"/>
      <c r="F626" s="524"/>
      <c r="G626" s="49"/>
      <c r="H626" s="45"/>
      <c r="I626" s="314"/>
      <c r="J626" s="44"/>
      <c r="K626" s="311"/>
      <c r="L626" s="232"/>
      <c r="M626" s="225"/>
      <c r="N626" s="380"/>
      <c r="O626" s="45"/>
      <c r="P626" s="311"/>
    </row>
    <row r="627" spans="2:16" s="30" customFormat="1" x14ac:dyDescent="0.25">
      <c r="B627" s="27"/>
      <c r="D627" s="81"/>
      <c r="E627" s="45"/>
      <c r="F627" s="524"/>
      <c r="G627" s="49"/>
      <c r="H627" s="45"/>
      <c r="I627" s="314"/>
      <c r="J627" s="44"/>
      <c r="K627" s="311"/>
      <c r="L627" s="232"/>
      <c r="M627" s="225"/>
      <c r="N627" s="380"/>
      <c r="O627" s="45"/>
      <c r="P627" s="311"/>
    </row>
    <row r="628" spans="2:16" s="30" customFormat="1" x14ac:dyDescent="0.25">
      <c r="B628" s="27"/>
      <c r="D628" s="81"/>
      <c r="E628" s="45"/>
      <c r="F628" s="524"/>
      <c r="G628" s="49"/>
      <c r="H628" s="45"/>
      <c r="I628" s="314"/>
      <c r="J628" s="44"/>
      <c r="K628" s="311"/>
      <c r="L628" s="232"/>
      <c r="M628" s="225"/>
      <c r="N628" s="380"/>
      <c r="O628" s="45"/>
      <c r="P628" s="311"/>
    </row>
    <row r="629" spans="2:16" s="30" customFormat="1" x14ac:dyDescent="0.25">
      <c r="B629" s="27"/>
      <c r="D629" s="81"/>
      <c r="E629" s="45"/>
      <c r="F629" s="524"/>
      <c r="G629" s="49"/>
      <c r="H629" s="45"/>
      <c r="I629" s="314"/>
      <c r="J629" s="44"/>
      <c r="K629" s="311"/>
      <c r="L629" s="232"/>
      <c r="M629" s="225"/>
      <c r="N629" s="380"/>
      <c r="O629" s="45"/>
      <c r="P629" s="311"/>
    </row>
    <row r="630" spans="2:16" s="30" customFormat="1" x14ac:dyDescent="0.25">
      <c r="B630" s="27"/>
      <c r="D630" s="81"/>
      <c r="E630" s="45"/>
      <c r="F630" s="524"/>
      <c r="G630" s="49"/>
      <c r="H630" s="45"/>
      <c r="I630" s="314"/>
      <c r="J630" s="44"/>
      <c r="K630" s="311"/>
      <c r="L630" s="232"/>
      <c r="M630" s="225"/>
      <c r="N630" s="380"/>
      <c r="O630" s="45"/>
      <c r="P630" s="311"/>
    </row>
    <row r="631" spans="2:16" s="30" customFormat="1" x14ac:dyDescent="0.25">
      <c r="B631" s="27"/>
      <c r="D631" s="81"/>
      <c r="E631" s="45"/>
      <c r="F631" s="524"/>
      <c r="G631" s="49"/>
      <c r="H631" s="45"/>
      <c r="I631" s="314"/>
      <c r="J631" s="44"/>
      <c r="K631" s="311"/>
      <c r="L631" s="232"/>
      <c r="M631" s="225"/>
      <c r="N631" s="380"/>
      <c r="O631" s="45"/>
      <c r="P631" s="311"/>
    </row>
    <row r="632" spans="2:16" s="30" customFormat="1" x14ac:dyDescent="0.25">
      <c r="B632" s="27"/>
      <c r="D632" s="81"/>
      <c r="E632" s="45"/>
      <c r="F632" s="524"/>
      <c r="G632" s="49"/>
      <c r="H632" s="45"/>
      <c r="I632" s="314"/>
      <c r="J632" s="44"/>
      <c r="K632" s="311"/>
      <c r="L632" s="232"/>
      <c r="M632" s="225"/>
      <c r="N632" s="380"/>
      <c r="O632" s="45"/>
      <c r="P632" s="311"/>
    </row>
    <row r="633" spans="2:16" s="30" customFormat="1" x14ac:dyDescent="0.25">
      <c r="B633" s="27"/>
      <c r="D633" s="81"/>
      <c r="E633" s="45"/>
      <c r="F633" s="524"/>
      <c r="G633" s="49"/>
      <c r="H633" s="45"/>
      <c r="I633" s="314"/>
      <c r="J633" s="44"/>
      <c r="K633" s="311"/>
      <c r="L633" s="232"/>
      <c r="M633" s="225"/>
      <c r="N633" s="380"/>
      <c r="O633" s="45"/>
      <c r="P633" s="311"/>
    </row>
    <row r="634" spans="2:16" s="30" customFormat="1" x14ac:dyDescent="0.25">
      <c r="B634" s="27"/>
      <c r="D634" s="81"/>
      <c r="E634" s="45"/>
      <c r="F634" s="524"/>
      <c r="G634" s="49"/>
      <c r="H634" s="45"/>
      <c r="I634" s="314"/>
      <c r="J634" s="44"/>
      <c r="K634" s="311"/>
      <c r="L634" s="232"/>
      <c r="M634" s="225"/>
      <c r="N634" s="380"/>
      <c r="O634" s="45"/>
      <c r="P634" s="311"/>
    </row>
    <row r="635" spans="2:16" s="30" customFormat="1" x14ac:dyDescent="0.25">
      <c r="B635" s="27"/>
      <c r="D635" s="81"/>
      <c r="E635" s="45"/>
      <c r="F635" s="524"/>
      <c r="G635" s="49"/>
      <c r="H635" s="45"/>
      <c r="I635" s="314"/>
      <c r="J635" s="44"/>
      <c r="K635" s="311"/>
      <c r="L635" s="232"/>
      <c r="M635" s="225"/>
      <c r="N635" s="380"/>
      <c r="O635" s="45"/>
      <c r="P635" s="311"/>
    </row>
    <row r="636" spans="2:16" s="30" customFormat="1" x14ac:dyDescent="0.25">
      <c r="B636" s="27"/>
      <c r="D636" s="81"/>
      <c r="E636" s="45"/>
      <c r="F636" s="524"/>
      <c r="G636" s="49"/>
      <c r="H636" s="45"/>
      <c r="I636" s="314"/>
      <c r="J636" s="44"/>
      <c r="K636" s="311"/>
      <c r="L636" s="232"/>
      <c r="M636" s="225"/>
      <c r="N636" s="380"/>
      <c r="O636" s="45"/>
      <c r="P636" s="311"/>
    </row>
    <row r="637" spans="2:16" s="30" customFormat="1" x14ac:dyDescent="0.25">
      <c r="B637" s="27"/>
      <c r="D637" s="81"/>
      <c r="E637" s="45"/>
      <c r="F637" s="524"/>
      <c r="G637" s="49"/>
      <c r="H637" s="45"/>
      <c r="I637" s="314"/>
      <c r="J637" s="44"/>
      <c r="K637" s="311"/>
      <c r="L637" s="232"/>
      <c r="M637" s="225"/>
      <c r="N637" s="380"/>
      <c r="O637" s="45"/>
      <c r="P637" s="311"/>
    </row>
    <row r="638" spans="2:16" s="30" customFormat="1" x14ac:dyDescent="0.25">
      <c r="B638" s="27"/>
      <c r="D638" s="81"/>
      <c r="E638" s="45"/>
      <c r="F638" s="524"/>
      <c r="G638" s="49"/>
      <c r="H638" s="45"/>
      <c r="I638" s="314"/>
      <c r="J638" s="44"/>
      <c r="K638" s="311"/>
      <c r="L638" s="232"/>
      <c r="M638" s="225"/>
      <c r="N638" s="380"/>
      <c r="O638" s="45"/>
      <c r="P638" s="311"/>
    </row>
    <row r="639" spans="2:16" s="30" customFormat="1" x14ac:dyDescent="0.25">
      <c r="B639" s="27"/>
      <c r="D639" s="81"/>
      <c r="E639" s="45"/>
      <c r="F639" s="524"/>
      <c r="G639" s="49"/>
      <c r="H639" s="45"/>
      <c r="I639" s="314"/>
      <c r="J639" s="44"/>
      <c r="K639" s="311"/>
      <c r="L639" s="232"/>
      <c r="M639" s="225"/>
      <c r="N639" s="380"/>
      <c r="O639" s="45"/>
      <c r="P639" s="311"/>
    </row>
    <row r="640" spans="2:16" s="30" customFormat="1" x14ac:dyDescent="0.25">
      <c r="B640" s="27"/>
      <c r="D640" s="81"/>
      <c r="E640" s="45"/>
      <c r="F640" s="524"/>
      <c r="G640" s="49"/>
      <c r="H640" s="45"/>
      <c r="I640" s="314"/>
      <c r="J640" s="44"/>
      <c r="K640" s="311"/>
      <c r="L640" s="232"/>
      <c r="M640" s="225"/>
      <c r="N640" s="380"/>
      <c r="O640" s="45"/>
      <c r="P640" s="311"/>
    </row>
    <row r="641" spans="2:16" s="30" customFormat="1" x14ac:dyDescent="0.25">
      <c r="B641" s="27"/>
      <c r="D641" s="81"/>
      <c r="E641" s="45"/>
      <c r="F641" s="524"/>
      <c r="G641" s="49"/>
      <c r="H641" s="45"/>
      <c r="I641" s="314"/>
      <c r="J641" s="44"/>
      <c r="K641" s="311"/>
      <c r="L641" s="232"/>
      <c r="M641" s="225"/>
      <c r="N641" s="380"/>
      <c r="O641" s="45"/>
      <c r="P641" s="311"/>
    </row>
    <row r="642" spans="2:16" s="30" customFormat="1" x14ac:dyDescent="0.25">
      <c r="B642" s="27"/>
      <c r="D642" s="81"/>
      <c r="E642" s="45"/>
      <c r="F642" s="524"/>
      <c r="G642" s="49"/>
      <c r="H642" s="45"/>
      <c r="I642" s="314"/>
      <c r="J642" s="44"/>
      <c r="K642" s="311"/>
      <c r="L642" s="232"/>
      <c r="M642" s="225"/>
      <c r="N642" s="380"/>
      <c r="O642" s="45"/>
      <c r="P642" s="311"/>
    </row>
    <row r="643" spans="2:16" s="30" customFormat="1" x14ac:dyDescent="0.25">
      <c r="B643" s="27"/>
      <c r="D643" s="81"/>
      <c r="E643" s="45"/>
      <c r="F643" s="524"/>
      <c r="G643" s="49"/>
      <c r="H643" s="45"/>
      <c r="I643" s="314"/>
      <c r="J643" s="44"/>
      <c r="K643" s="311"/>
      <c r="L643" s="232"/>
      <c r="M643" s="225"/>
      <c r="N643" s="380"/>
      <c r="O643" s="45"/>
      <c r="P643" s="311"/>
    </row>
    <row r="644" spans="2:16" s="30" customFormat="1" x14ac:dyDescent="0.25">
      <c r="B644" s="27"/>
      <c r="D644" s="81"/>
      <c r="E644" s="45"/>
      <c r="F644" s="524"/>
      <c r="G644" s="49"/>
      <c r="H644" s="45"/>
      <c r="I644" s="314"/>
      <c r="J644" s="44"/>
      <c r="K644" s="311"/>
      <c r="L644" s="232"/>
      <c r="M644" s="225"/>
      <c r="N644" s="380"/>
      <c r="O644" s="45"/>
      <c r="P644" s="311"/>
    </row>
    <row r="645" spans="2:16" s="30" customFormat="1" x14ac:dyDescent="0.25">
      <c r="B645" s="27"/>
      <c r="D645" s="81"/>
      <c r="E645" s="45"/>
      <c r="F645" s="524"/>
      <c r="G645" s="49"/>
      <c r="H645" s="45"/>
      <c r="I645" s="314"/>
      <c r="J645" s="44"/>
      <c r="K645" s="311"/>
      <c r="L645" s="232"/>
      <c r="M645" s="225"/>
      <c r="N645" s="380"/>
      <c r="O645" s="45"/>
      <c r="P645" s="311"/>
    </row>
    <row r="646" spans="2:16" s="30" customFormat="1" x14ac:dyDescent="0.25">
      <c r="B646" s="27"/>
      <c r="D646" s="81"/>
      <c r="E646" s="45"/>
      <c r="F646" s="524"/>
      <c r="G646" s="49"/>
      <c r="H646" s="45"/>
      <c r="I646" s="314"/>
      <c r="J646" s="44"/>
      <c r="K646" s="311"/>
      <c r="L646" s="232"/>
      <c r="M646" s="225"/>
      <c r="N646" s="380"/>
      <c r="O646" s="45"/>
      <c r="P646" s="311"/>
    </row>
    <row r="647" spans="2:16" s="30" customFormat="1" x14ac:dyDescent="0.25">
      <c r="B647" s="27"/>
      <c r="D647" s="81"/>
      <c r="E647" s="45"/>
      <c r="F647" s="524"/>
      <c r="G647" s="49"/>
      <c r="H647" s="45"/>
      <c r="I647" s="314"/>
      <c r="J647" s="44"/>
      <c r="K647" s="311"/>
      <c r="L647" s="232"/>
      <c r="M647" s="225"/>
      <c r="N647" s="380"/>
      <c r="O647" s="45"/>
      <c r="P647" s="311"/>
    </row>
    <row r="648" spans="2:16" s="30" customFormat="1" x14ac:dyDescent="0.25">
      <c r="B648" s="27"/>
      <c r="D648" s="81"/>
      <c r="E648" s="45"/>
      <c r="F648" s="524"/>
      <c r="G648" s="49"/>
      <c r="H648" s="45"/>
      <c r="I648" s="314"/>
      <c r="J648" s="44"/>
      <c r="K648" s="311"/>
      <c r="L648" s="232"/>
      <c r="M648" s="225"/>
      <c r="N648" s="380"/>
      <c r="O648" s="45"/>
      <c r="P648" s="311"/>
    </row>
    <row r="649" spans="2:16" s="30" customFormat="1" x14ac:dyDescent="0.25">
      <c r="B649" s="27"/>
      <c r="D649" s="81"/>
      <c r="E649" s="45"/>
      <c r="F649" s="524"/>
      <c r="G649" s="49"/>
      <c r="H649" s="45"/>
      <c r="I649" s="314"/>
      <c r="J649" s="44"/>
      <c r="K649" s="311"/>
      <c r="L649" s="232"/>
      <c r="M649" s="225"/>
      <c r="N649" s="380"/>
      <c r="O649" s="45"/>
      <c r="P649" s="311"/>
    </row>
    <row r="650" spans="2:16" s="30" customFormat="1" x14ac:dyDescent="0.25">
      <c r="B650" s="27"/>
      <c r="D650" s="81"/>
      <c r="E650" s="45"/>
      <c r="F650" s="524"/>
      <c r="G650" s="49"/>
      <c r="H650" s="45"/>
      <c r="I650" s="314"/>
      <c r="J650" s="44"/>
      <c r="K650" s="311"/>
      <c r="L650" s="232"/>
      <c r="M650" s="225"/>
      <c r="N650" s="380"/>
      <c r="O650" s="45"/>
      <c r="P650" s="311"/>
    </row>
    <row r="651" spans="2:16" s="30" customFormat="1" x14ac:dyDescent="0.25">
      <c r="B651" s="27"/>
      <c r="D651" s="81"/>
      <c r="E651" s="45"/>
      <c r="F651" s="524"/>
      <c r="G651" s="49"/>
      <c r="H651" s="45"/>
      <c r="I651" s="314"/>
      <c r="J651" s="44"/>
      <c r="K651" s="311"/>
      <c r="L651" s="232"/>
      <c r="M651" s="225"/>
      <c r="N651" s="380"/>
      <c r="O651" s="45"/>
      <c r="P651" s="311"/>
    </row>
    <row r="652" spans="2:16" s="30" customFormat="1" x14ac:dyDescent="0.25">
      <c r="B652" s="27"/>
      <c r="D652" s="81"/>
      <c r="E652" s="45"/>
      <c r="F652" s="524"/>
      <c r="G652" s="49"/>
      <c r="H652" s="45"/>
      <c r="I652" s="314"/>
      <c r="J652" s="44"/>
      <c r="K652" s="311"/>
      <c r="L652" s="232"/>
      <c r="M652" s="225"/>
      <c r="N652" s="380"/>
      <c r="O652" s="45"/>
      <c r="P652" s="311"/>
    </row>
    <row r="653" spans="2:16" s="30" customFormat="1" x14ac:dyDescent="0.25">
      <c r="B653" s="27"/>
      <c r="D653" s="81"/>
      <c r="E653" s="45"/>
      <c r="F653" s="524"/>
      <c r="G653" s="49"/>
      <c r="H653" s="45"/>
      <c r="I653" s="314"/>
      <c r="J653" s="44"/>
      <c r="K653" s="311"/>
      <c r="L653" s="232"/>
      <c r="M653" s="225"/>
      <c r="N653" s="380"/>
      <c r="O653" s="45"/>
      <c r="P653" s="311"/>
    </row>
    <row r="654" spans="2:16" s="30" customFormat="1" x14ac:dyDescent="0.25">
      <c r="B654" s="27"/>
      <c r="D654" s="81"/>
      <c r="E654" s="45"/>
      <c r="F654" s="524"/>
      <c r="G654" s="49"/>
      <c r="H654" s="45"/>
      <c r="I654" s="314"/>
      <c r="J654" s="44"/>
      <c r="K654" s="311"/>
      <c r="L654" s="232"/>
      <c r="M654" s="225"/>
      <c r="N654" s="380"/>
      <c r="O654" s="45"/>
      <c r="P654" s="311"/>
    </row>
    <row r="655" spans="2:16" s="30" customFormat="1" x14ac:dyDescent="0.25">
      <c r="B655" s="27"/>
      <c r="D655" s="81"/>
      <c r="E655" s="45"/>
      <c r="F655" s="524"/>
      <c r="G655" s="49"/>
      <c r="H655" s="45"/>
      <c r="I655" s="314"/>
      <c r="J655" s="44"/>
      <c r="K655" s="311"/>
      <c r="L655" s="232"/>
      <c r="M655" s="225"/>
      <c r="N655" s="380"/>
      <c r="O655" s="45"/>
      <c r="P655" s="311"/>
    </row>
    <row r="656" spans="2:16" s="30" customFormat="1" x14ac:dyDescent="0.25">
      <c r="B656" s="27"/>
      <c r="D656" s="81"/>
      <c r="E656" s="45"/>
      <c r="F656" s="524"/>
      <c r="G656" s="49"/>
      <c r="H656" s="45"/>
      <c r="I656" s="314"/>
      <c r="J656" s="44"/>
      <c r="K656" s="311"/>
      <c r="L656" s="232"/>
      <c r="M656" s="225"/>
      <c r="N656" s="380"/>
      <c r="O656" s="45"/>
      <c r="P656" s="311"/>
    </row>
    <row r="657" spans="2:16" s="30" customFormat="1" x14ac:dyDescent="0.25">
      <c r="B657" s="27"/>
      <c r="D657" s="81"/>
      <c r="E657" s="45"/>
      <c r="F657" s="524"/>
      <c r="G657" s="49"/>
      <c r="H657" s="45"/>
      <c r="I657" s="314"/>
      <c r="J657" s="44"/>
      <c r="K657" s="311"/>
      <c r="L657" s="232"/>
      <c r="M657" s="225"/>
      <c r="N657" s="380"/>
      <c r="O657" s="45"/>
      <c r="P657" s="311"/>
    </row>
    <row r="658" spans="2:16" s="30" customFormat="1" x14ac:dyDescent="0.25">
      <c r="B658" s="27"/>
      <c r="D658" s="81"/>
      <c r="E658" s="45"/>
      <c r="F658" s="524"/>
      <c r="G658" s="49"/>
      <c r="H658" s="45"/>
      <c r="I658" s="314"/>
      <c r="J658" s="44"/>
      <c r="K658" s="311"/>
      <c r="L658" s="232"/>
      <c r="M658" s="225"/>
      <c r="N658" s="380"/>
      <c r="O658" s="45"/>
      <c r="P658" s="311"/>
    </row>
    <row r="659" spans="2:16" s="30" customFormat="1" x14ac:dyDescent="0.25">
      <c r="B659" s="27"/>
      <c r="D659" s="81"/>
      <c r="E659" s="45"/>
      <c r="F659" s="524"/>
      <c r="G659" s="49"/>
      <c r="H659" s="45"/>
      <c r="I659" s="314"/>
      <c r="J659" s="44"/>
      <c r="K659" s="311"/>
      <c r="L659" s="232"/>
      <c r="M659" s="225"/>
      <c r="N659" s="380"/>
      <c r="O659" s="45"/>
      <c r="P659" s="311"/>
    </row>
    <row r="660" spans="2:16" s="30" customFormat="1" x14ac:dyDescent="0.25">
      <c r="B660" s="27"/>
      <c r="D660" s="81"/>
      <c r="E660" s="45"/>
      <c r="F660" s="524"/>
      <c r="G660" s="49"/>
      <c r="H660" s="45"/>
      <c r="I660" s="314"/>
      <c r="J660" s="44"/>
      <c r="K660" s="311"/>
      <c r="L660" s="232"/>
      <c r="M660" s="225"/>
      <c r="N660" s="380"/>
      <c r="O660" s="45"/>
      <c r="P660" s="311"/>
    </row>
    <row r="661" spans="2:16" s="30" customFormat="1" x14ac:dyDescent="0.25">
      <c r="B661" s="27"/>
      <c r="D661" s="81"/>
      <c r="E661" s="45"/>
      <c r="F661" s="524"/>
      <c r="G661" s="49"/>
      <c r="H661" s="45"/>
      <c r="I661" s="314"/>
      <c r="J661" s="44"/>
      <c r="K661" s="311"/>
      <c r="L661" s="232"/>
      <c r="M661" s="225"/>
      <c r="N661" s="380"/>
      <c r="O661" s="45"/>
      <c r="P661" s="311"/>
    </row>
    <row r="662" spans="2:16" s="30" customFormat="1" x14ac:dyDescent="0.25">
      <c r="B662" s="27"/>
      <c r="D662" s="81"/>
      <c r="E662" s="45"/>
      <c r="F662" s="524"/>
      <c r="G662" s="49"/>
      <c r="H662" s="45"/>
      <c r="I662" s="314"/>
      <c r="J662" s="44"/>
      <c r="K662" s="311"/>
      <c r="L662" s="232"/>
      <c r="M662" s="225"/>
      <c r="N662" s="380"/>
      <c r="O662" s="45"/>
      <c r="P662" s="311"/>
    </row>
    <row r="663" spans="2:16" s="30" customFormat="1" x14ac:dyDescent="0.25">
      <c r="B663" s="27"/>
      <c r="D663" s="81"/>
      <c r="E663" s="45"/>
      <c r="F663" s="524"/>
      <c r="G663" s="49"/>
      <c r="H663" s="45"/>
      <c r="I663" s="314"/>
      <c r="J663" s="44"/>
      <c r="K663" s="311"/>
      <c r="L663" s="232"/>
      <c r="M663" s="225"/>
      <c r="N663" s="380"/>
      <c r="O663" s="45"/>
      <c r="P663" s="311"/>
    </row>
    <row r="664" spans="2:16" s="30" customFormat="1" x14ac:dyDescent="0.25">
      <c r="B664" s="27"/>
      <c r="D664" s="81"/>
      <c r="E664" s="45"/>
      <c r="F664" s="524"/>
      <c r="G664" s="49"/>
      <c r="H664" s="45"/>
      <c r="I664" s="314"/>
      <c r="J664" s="44"/>
      <c r="K664" s="311"/>
      <c r="L664" s="232"/>
      <c r="M664" s="225"/>
      <c r="N664" s="380"/>
      <c r="O664" s="45"/>
      <c r="P664" s="311"/>
    </row>
    <row r="665" spans="2:16" s="30" customFormat="1" x14ac:dyDescent="0.25">
      <c r="B665" s="27"/>
      <c r="D665" s="81"/>
      <c r="E665" s="45"/>
      <c r="F665" s="524"/>
      <c r="G665" s="49"/>
      <c r="H665" s="45"/>
      <c r="I665" s="314"/>
      <c r="J665" s="44"/>
      <c r="K665" s="311"/>
      <c r="L665" s="232"/>
      <c r="M665" s="225"/>
      <c r="N665" s="380"/>
      <c r="O665" s="45"/>
      <c r="P665" s="311"/>
    </row>
    <row r="666" spans="2:16" s="30" customFormat="1" x14ac:dyDescent="0.25">
      <c r="B666" s="27"/>
      <c r="D666" s="81"/>
      <c r="E666" s="45"/>
      <c r="F666" s="524"/>
      <c r="G666" s="49"/>
      <c r="H666" s="45"/>
      <c r="I666" s="314"/>
      <c r="J666" s="44"/>
      <c r="K666" s="311"/>
      <c r="L666" s="232"/>
      <c r="M666" s="225"/>
      <c r="N666" s="380"/>
      <c r="O666" s="45"/>
      <c r="P666" s="311"/>
    </row>
    <row r="667" spans="2:16" s="30" customFormat="1" x14ac:dyDescent="0.25">
      <c r="B667" s="27"/>
      <c r="D667" s="81"/>
      <c r="E667" s="45"/>
      <c r="F667" s="524"/>
      <c r="G667" s="49"/>
      <c r="H667" s="45"/>
      <c r="I667" s="314"/>
      <c r="J667" s="44"/>
      <c r="K667" s="311"/>
      <c r="L667" s="232"/>
      <c r="M667" s="225"/>
      <c r="N667" s="380"/>
      <c r="O667" s="45"/>
      <c r="P667" s="311"/>
    </row>
    <row r="668" spans="2:16" s="30" customFormat="1" x14ac:dyDescent="0.25">
      <c r="B668" s="27"/>
      <c r="D668" s="81"/>
      <c r="E668" s="45"/>
      <c r="F668" s="524"/>
      <c r="G668" s="49"/>
      <c r="H668" s="45"/>
      <c r="I668" s="314"/>
      <c r="J668" s="44"/>
      <c r="K668" s="311"/>
      <c r="L668" s="232"/>
      <c r="M668" s="225"/>
      <c r="N668" s="380"/>
      <c r="O668" s="45"/>
      <c r="P668" s="311"/>
    </row>
    <row r="669" spans="2:16" s="30" customFormat="1" x14ac:dyDescent="0.25">
      <c r="B669" s="27"/>
      <c r="D669" s="81"/>
      <c r="E669" s="45"/>
      <c r="F669" s="524"/>
      <c r="G669" s="49"/>
      <c r="H669" s="45"/>
      <c r="I669" s="314"/>
      <c r="J669" s="44"/>
      <c r="K669" s="311"/>
      <c r="L669" s="232"/>
      <c r="M669" s="225"/>
      <c r="N669" s="380"/>
      <c r="O669" s="45"/>
      <c r="P669" s="311"/>
    </row>
    <row r="670" spans="2:16" s="30" customFormat="1" x14ac:dyDescent="0.25">
      <c r="B670" s="27"/>
      <c r="D670" s="81"/>
      <c r="E670" s="45"/>
      <c r="F670" s="524"/>
      <c r="G670" s="49"/>
      <c r="H670" s="45"/>
      <c r="I670" s="314"/>
      <c r="J670" s="44"/>
      <c r="K670" s="311"/>
      <c r="L670" s="232"/>
      <c r="M670" s="225"/>
      <c r="N670" s="380"/>
      <c r="O670" s="45"/>
      <c r="P670" s="311"/>
    </row>
    <row r="671" spans="2:16" s="30" customFormat="1" x14ac:dyDescent="0.25">
      <c r="B671" s="27"/>
      <c r="D671" s="81"/>
      <c r="E671" s="45"/>
      <c r="F671" s="524"/>
      <c r="G671" s="49"/>
      <c r="H671" s="45"/>
      <c r="I671" s="314"/>
      <c r="J671" s="44"/>
      <c r="K671" s="311"/>
      <c r="L671" s="232"/>
      <c r="M671" s="225"/>
      <c r="N671" s="380"/>
      <c r="O671" s="45"/>
      <c r="P671" s="311"/>
    </row>
    <row r="672" spans="2:16" s="30" customFormat="1" x14ac:dyDescent="0.25">
      <c r="B672" s="27"/>
      <c r="D672" s="81"/>
      <c r="E672" s="45"/>
      <c r="F672" s="524"/>
      <c r="G672" s="49"/>
      <c r="H672" s="45"/>
      <c r="I672" s="314"/>
      <c r="J672" s="44"/>
      <c r="K672" s="311"/>
      <c r="L672" s="232"/>
      <c r="M672" s="225"/>
      <c r="N672" s="380"/>
      <c r="O672" s="45"/>
      <c r="P672" s="311"/>
    </row>
    <row r="673" spans="2:16" s="30" customFormat="1" x14ac:dyDescent="0.25">
      <c r="B673" s="27"/>
      <c r="D673" s="81"/>
      <c r="E673" s="45"/>
      <c r="F673" s="524"/>
      <c r="G673" s="49"/>
      <c r="H673" s="45"/>
      <c r="I673" s="314"/>
      <c r="J673" s="44"/>
      <c r="K673" s="311"/>
      <c r="L673" s="232"/>
      <c r="M673" s="225"/>
      <c r="N673" s="380"/>
      <c r="O673" s="45"/>
      <c r="P673" s="311"/>
    </row>
    <row r="674" spans="2:16" s="30" customFormat="1" x14ac:dyDescent="0.25">
      <c r="B674" s="27"/>
      <c r="D674" s="81"/>
      <c r="E674" s="45"/>
      <c r="F674" s="524"/>
      <c r="G674" s="49"/>
      <c r="H674" s="45"/>
      <c r="I674" s="314"/>
      <c r="J674" s="44"/>
      <c r="K674" s="311"/>
      <c r="L674" s="232"/>
      <c r="M674" s="225"/>
      <c r="N674" s="380"/>
      <c r="O674" s="45"/>
      <c r="P674" s="311"/>
    </row>
    <row r="675" spans="2:16" s="30" customFormat="1" x14ac:dyDescent="0.25">
      <c r="B675" s="27"/>
      <c r="D675" s="81"/>
      <c r="E675" s="45"/>
      <c r="F675" s="524"/>
      <c r="G675" s="49"/>
      <c r="H675" s="45"/>
      <c r="I675" s="314"/>
      <c r="J675" s="44"/>
      <c r="K675" s="311"/>
      <c r="L675" s="232"/>
      <c r="M675" s="225"/>
      <c r="N675" s="380"/>
      <c r="O675" s="45"/>
      <c r="P675" s="311"/>
    </row>
    <row r="676" spans="2:16" s="30" customFormat="1" x14ac:dyDescent="0.25">
      <c r="B676" s="27"/>
      <c r="D676" s="81"/>
      <c r="E676" s="45"/>
      <c r="F676" s="524"/>
      <c r="G676" s="49"/>
      <c r="H676" s="45"/>
      <c r="I676" s="314"/>
      <c r="J676" s="44"/>
      <c r="K676" s="311"/>
      <c r="L676" s="232"/>
      <c r="M676" s="225"/>
      <c r="N676" s="380"/>
      <c r="O676" s="45"/>
      <c r="P676" s="311"/>
    </row>
    <row r="677" spans="2:16" s="30" customFormat="1" x14ac:dyDescent="0.25">
      <c r="B677" s="27"/>
      <c r="D677" s="81"/>
      <c r="E677" s="45"/>
      <c r="F677" s="524"/>
      <c r="G677" s="49"/>
      <c r="H677" s="45"/>
      <c r="I677" s="314"/>
      <c r="J677" s="44"/>
      <c r="K677" s="311"/>
      <c r="L677" s="232"/>
      <c r="M677" s="225"/>
      <c r="N677" s="380"/>
      <c r="O677" s="45"/>
      <c r="P677" s="311"/>
    </row>
    <row r="678" spans="2:16" s="30" customFormat="1" x14ac:dyDescent="0.25">
      <c r="B678" s="27"/>
      <c r="D678" s="81"/>
      <c r="E678" s="45"/>
      <c r="F678" s="524"/>
      <c r="G678" s="49"/>
      <c r="H678" s="45"/>
      <c r="I678" s="314"/>
      <c r="J678" s="44"/>
      <c r="K678" s="311"/>
      <c r="L678" s="232"/>
      <c r="M678" s="225"/>
      <c r="N678" s="380"/>
      <c r="O678" s="45"/>
      <c r="P678" s="311"/>
    </row>
    <row r="679" spans="2:16" s="30" customFormat="1" x14ac:dyDescent="0.25">
      <c r="B679" s="27"/>
      <c r="D679" s="81"/>
      <c r="E679" s="45"/>
      <c r="F679" s="524"/>
      <c r="G679" s="49"/>
      <c r="H679" s="45"/>
      <c r="I679" s="314"/>
      <c r="J679" s="44"/>
      <c r="K679" s="311"/>
      <c r="L679" s="232"/>
      <c r="M679" s="225"/>
      <c r="N679" s="380"/>
      <c r="O679" s="45"/>
      <c r="P679" s="311"/>
    </row>
    <row r="680" spans="2:16" s="30" customFormat="1" x14ac:dyDescent="0.25">
      <c r="B680" s="27"/>
      <c r="D680" s="81"/>
      <c r="E680" s="45"/>
      <c r="F680" s="524"/>
      <c r="G680" s="49"/>
      <c r="H680" s="45"/>
      <c r="I680" s="314"/>
      <c r="J680" s="44"/>
      <c r="K680" s="311"/>
      <c r="L680" s="232"/>
      <c r="M680" s="225"/>
      <c r="N680" s="380"/>
      <c r="O680" s="45"/>
      <c r="P680" s="311"/>
    </row>
    <row r="681" spans="2:16" s="30" customFormat="1" x14ac:dyDescent="0.25">
      <c r="B681" s="27"/>
      <c r="D681" s="81"/>
      <c r="E681" s="45"/>
      <c r="F681" s="524"/>
      <c r="G681" s="49"/>
      <c r="H681" s="45"/>
      <c r="I681" s="314"/>
      <c r="J681" s="44"/>
      <c r="K681" s="311"/>
      <c r="L681" s="232"/>
      <c r="M681" s="225"/>
      <c r="N681" s="380"/>
      <c r="O681" s="45"/>
      <c r="P681" s="311"/>
    </row>
    <row r="682" spans="2:16" s="30" customFormat="1" x14ac:dyDescent="0.25">
      <c r="B682" s="27"/>
      <c r="D682" s="81"/>
      <c r="E682" s="45"/>
      <c r="F682" s="524"/>
      <c r="G682" s="49"/>
      <c r="H682" s="45"/>
      <c r="I682" s="314"/>
      <c r="J682" s="44"/>
      <c r="K682" s="311"/>
      <c r="L682" s="232"/>
      <c r="M682" s="225"/>
      <c r="N682" s="380"/>
      <c r="O682" s="45"/>
      <c r="P682" s="311"/>
    </row>
    <row r="683" spans="2:16" s="30" customFormat="1" x14ac:dyDescent="0.25">
      <c r="B683" s="27"/>
      <c r="D683" s="81"/>
      <c r="E683" s="45"/>
      <c r="F683" s="524"/>
      <c r="G683" s="49"/>
      <c r="H683" s="45"/>
      <c r="I683" s="314"/>
      <c r="J683" s="44"/>
      <c r="K683" s="311"/>
      <c r="L683" s="232"/>
      <c r="M683" s="225"/>
      <c r="N683" s="380"/>
      <c r="O683" s="45"/>
      <c r="P683" s="311"/>
    </row>
    <row r="684" spans="2:16" s="30" customFormat="1" x14ac:dyDescent="0.25">
      <c r="B684" s="27"/>
      <c r="D684" s="81"/>
      <c r="E684" s="45"/>
      <c r="F684" s="524"/>
      <c r="G684" s="49"/>
      <c r="H684" s="45"/>
      <c r="I684" s="314"/>
      <c r="J684" s="44"/>
      <c r="K684" s="311"/>
      <c r="L684" s="232"/>
      <c r="M684" s="225"/>
      <c r="N684" s="380"/>
      <c r="O684" s="45"/>
      <c r="P684" s="311"/>
    </row>
    <row r="685" spans="2:16" s="30" customFormat="1" x14ac:dyDescent="0.25">
      <c r="B685" s="27"/>
      <c r="D685" s="81"/>
      <c r="E685" s="45"/>
      <c r="F685" s="524"/>
      <c r="G685" s="49"/>
      <c r="H685" s="45"/>
      <c r="I685" s="314"/>
      <c r="J685" s="44"/>
      <c r="K685" s="311"/>
      <c r="L685" s="232"/>
      <c r="M685" s="225"/>
      <c r="N685" s="380"/>
      <c r="O685" s="45"/>
      <c r="P685" s="311"/>
    </row>
    <row r="686" spans="2:16" s="30" customFormat="1" x14ac:dyDescent="0.25">
      <c r="B686" s="27"/>
      <c r="D686" s="81"/>
      <c r="E686" s="45"/>
      <c r="F686" s="524"/>
      <c r="G686" s="49"/>
      <c r="H686" s="45"/>
      <c r="I686" s="314"/>
      <c r="J686" s="44"/>
      <c r="K686" s="311"/>
      <c r="L686" s="232"/>
      <c r="M686" s="225"/>
      <c r="N686" s="380"/>
      <c r="O686" s="45"/>
      <c r="P686" s="311"/>
    </row>
    <row r="687" spans="2:16" s="30" customFormat="1" x14ac:dyDescent="0.25">
      <c r="B687" s="27"/>
      <c r="D687" s="81"/>
      <c r="E687" s="45"/>
      <c r="F687" s="524"/>
      <c r="G687" s="49"/>
      <c r="H687" s="45"/>
      <c r="I687" s="314"/>
      <c r="J687" s="44"/>
      <c r="K687" s="311"/>
      <c r="L687" s="232"/>
      <c r="M687" s="225"/>
      <c r="N687" s="380"/>
      <c r="O687" s="45"/>
      <c r="P687" s="311"/>
    </row>
    <row r="688" spans="2:16" s="30" customFormat="1" x14ac:dyDescent="0.25">
      <c r="B688" s="27"/>
      <c r="D688" s="81"/>
      <c r="E688" s="45"/>
      <c r="F688" s="524"/>
      <c r="G688" s="49"/>
      <c r="H688" s="45"/>
      <c r="I688" s="314"/>
      <c r="J688" s="44"/>
      <c r="K688" s="311"/>
      <c r="L688" s="232"/>
      <c r="M688" s="225"/>
      <c r="N688" s="380"/>
      <c r="O688" s="45"/>
      <c r="P688" s="311"/>
    </row>
    <row r="689" spans="2:16" s="30" customFormat="1" x14ac:dyDescent="0.25">
      <c r="B689" s="27"/>
      <c r="D689" s="81"/>
      <c r="E689" s="45"/>
      <c r="F689" s="524"/>
      <c r="G689" s="49"/>
      <c r="H689" s="45"/>
      <c r="I689" s="314"/>
      <c r="J689" s="44"/>
      <c r="K689" s="311"/>
      <c r="L689" s="232"/>
      <c r="M689" s="225"/>
      <c r="N689" s="380"/>
      <c r="O689" s="45"/>
      <c r="P689" s="311"/>
    </row>
    <row r="690" spans="2:16" s="30" customFormat="1" x14ac:dyDescent="0.25">
      <c r="B690" s="27"/>
      <c r="D690" s="81"/>
      <c r="E690" s="45"/>
      <c r="F690" s="524"/>
      <c r="G690" s="49"/>
      <c r="H690" s="45"/>
      <c r="I690" s="314"/>
      <c r="J690" s="44"/>
      <c r="K690" s="311"/>
      <c r="L690" s="232"/>
      <c r="M690" s="225"/>
      <c r="N690" s="380"/>
      <c r="O690" s="45"/>
      <c r="P690" s="311"/>
    </row>
    <row r="691" spans="2:16" s="30" customFormat="1" x14ac:dyDescent="0.25">
      <c r="B691" s="27"/>
      <c r="D691" s="81"/>
      <c r="E691" s="45"/>
      <c r="F691" s="524"/>
      <c r="G691" s="49"/>
      <c r="H691" s="45"/>
      <c r="I691" s="314"/>
      <c r="J691" s="44"/>
      <c r="K691" s="311"/>
      <c r="L691" s="232"/>
      <c r="M691" s="225"/>
      <c r="N691" s="380"/>
      <c r="O691" s="45"/>
      <c r="P691" s="311"/>
    </row>
    <row r="692" spans="2:16" s="30" customFormat="1" x14ac:dyDescent="0.25">
      <c r="B692" s="27"/>
      <c r="D692" s="81"/>
      <c r="E692" s="45"/>
      <c r="F692" s="524"/>
      <c r="G692" s="49"/>
      <c r="H692" s="45"/>
      <c r="I692" s="314"/>
      <c r="J692" s="44"/>
      <c r="K692" s="311"/>
      <c r="L692" s="232"/>
      <c r="M692" s="225"/>
      <c r="N692" s="380"/>
      <c r="O692" s="45"/>
      <c r="P692" s="311"/>
    </row>
    <row r="693" spans="2:16" s="30" customFormat="1" x14ac:dyDescent="0.25">
      <c r="B693" s="27"/>
      <c r="D693" s="81"/>
      <c r="E693" s="45"/>
      <c r="F693" s="524"/>
      <c r="G693" s="49"/>
      <c r="H693" s="45"/>
      <c r="I693" s="314"/>
      <c r="J693" s="44"/>
      <c r="K693" s="311"/>
      <c r="L693" s="232"/>
      <c r="M693" s="225"/>
      <c r="N693" s="380"/>
      <c r="O693" s="45"/>
      <c r="P693" s="311"/>
    </row>
    <row r="694" spans="2:16" s="30" customFormat="1" x14ac:dyDescent="0.25">
      <c r="B694" s="27"/>
      <c r="D694" s="81"/>
      <c r="E694" s="45"/>
      <c r="F694" s="524"/>
      <c r="G694" s="49"/>
      <c r="H694" s="45"/>
      <c r="I694" s="314"/>
      <c r="J694" s="44"/>
      <c r="K694" s="311"/>
      <c r="L694" s="232"/>
      <c r="M694" s="225"/>
      <c r="N694" s="380"/>
      <c r="O694" s="45"/>
      <c r="P694" s="311"/>
    </row>
    <row r="695" spans="2:16" s="30" customFormat="1" x14ac:dyDescent="0.25">
      <c r="B695" s="27"/>
      <c r="D695" s="81"/>
      <c r="E695" s="45"/>
      <c r="F695" s="524"/>
      <c r="G695" s="49"/>
      <c r="H695" s="45"/>
      <c r="I695" s="314"/>
      <c r="J695" s="44"/>
      <c r="K695" s="311"/>
      <c r="L695" s="232"/>
      <c r="M695" s="225"/>
      <c r="N695" s="380"/>
      <c r="O695" s="45"/>
      <c r="P695" s="311"/>
    </row>
    <row r="696" spans="2:16" s="30" customFormat="1" x14ac:dyDescent="0.25">
      <c r="B696" s="27"/>
      <c r="D696" s="81"/>
      <c r="E696" s="45"/>
      <c r="F696" s="524"/>
      <c r="G696" s="49"/>
      <c r="H696" s="45"/>
      <c r="I696" s="314"/>
      <c r="J696" s="44"/>
      <c r="K696" s="311"/>
      <c r="L696" s="232"/>
      <c r="M696" s="225"/>
      <c r="N696" s="380"/>
      <c r="O696" s="45"/>
      <c r="P696" s="311"/>
    </row>
    <row r="697" spans="2:16" s="30" customFormat="1" x14ac:dyDescent="0.25">
      <c r="B697" s="27"/>
      <c r="D697" s="81"/>
      <c r="E697" s="45"/>
      <c r="F697" s="524"/>
      <c r="G697" s="49"/>
      <c r="H697" s="45"/>
      <c r="I697" s="314"/>
      <c r="J697" s="44"/>
      <c r="K697" s="311"/>
      <c r="L697" s="232"/>
      <c r="M697" s="225"/>
      <c r="N697" s="380"/>
      <c r="O697" s="45"/>
      <c r="P697" s="311"/>
    </row>
    <row r="698" spans="2:16" s="30" customFormat="1" x14ac:dyDescent="0.25">
      <c r="B698" s="27"/>
      <c r="D698" s="81"/>
      <c r="E698" s="45"/>
      <c r="F698" s="524"/>
      <c r="G698" s="49"/>
      <c r="H698" s="45"/>
      <c r="I698" s="314"/>
      <c r="J698" s="44"/>
      <c r="K698" s="311"/>
      <c r="L698" s="232"/>
      <c r="M698" s="225"/>
      <c r="N698" s="380"/>
      <c r="O698" s="45"/>
      <c r="P698" s="311"/>
    </row>
    <row r="699" spans="2:16" s="30" customFormat="1" x14ac:dyDescent="0.25">
      <c r="B699" s="27"/>
      <c r="D699" s="81"/>
      <c r="E699" s="45"/>
      <c r="F699" s="524"/>
      <c r="G699" s="49"/>
      <c r="H699" s="45"/>
      <c r="I699" s="314"/>
      <c r="J699" s="44"/>
      <c r="K699" s="311"/>
      <c r="L699" s="232"/>
      <c r="M699" s="225"/>
      <c r="N699" s="380"/>
      <c r="O699" s="45"/>
      <c r="P699" s="311"/>
    </row>
    <row r="700" spans="2:16" s="30" customFormat="1" x14ac:dyDescent="0.25">
      <c r="B700" s="27"/>
      <c r="D700" s="81"/>
      <c r="E700" s="45"/>
      <c r="F700" s="524"/>
      <c r="G700" s="49"/>
      <c r="H700" s="45"/>
      <c r="I700" s="314"/>
      <c r="J700" s="44"/>
      <c r="K700" s="311"/>
      <c r="L700" s="232"/>
      <c r="M700" s="225"/>
      <c r="N700" s="380"/>
      <c r="O700" s="45"/>
      <c r="P700" s="311"/>
    </row>
    <row r="701" spans="2:16" s="30" customFormat="1" x14ac:dyDescent="0.25">
      <c r="B701" s="27"/>
      <c r="D701" s="81"/>
      <c r="E701" s="45"/>
      <c r="F701" s="524"/>
      <c r="G701" s="49"/>
      <c r="H701" s="45"/>
      <c r="I701" s="314"/>
      <c r="J701" s="44"/>
      <c r="K701" s="311"/>
      <c r="L701" s="232"/>
      <c r="M701" s="225"/>
      <c r="N701" s="380"/>
      <c r="O701" s="45"/>
      <c r="P701" s="311"/>
    </row>
    <row r="702" spans="2:16" s="30" customFormat="1" x14ac:dyDescent="0.25">
      <c r="B702" s="27"/>
      <c r="D702" s="81"/>
      <c r="E702" s="45"/>
      <c r="F702" s="524"/>
      <c r="G702" s="49"/>
      <c r="H702" s="45"/>
      <c r="I702" s="314"/>
      <c r="J702" s="44"/>
      <c r="K702" s="311"/>
      <c r="L702" s="232"/>
      <c r="M702" s="225"/>
      <c r="N702" s="380"/>
      <c r="O702" s="45"/>
      <c r="P702" s="311"/>
    </row>
    <row r="703" spans="2:16" s="30" customFormat="1" x14ac:dyDescent="0.25">
      <c r="B703" s="27"/>
      <c r="D703" s="81"/>
      <c r="E703" s="45"/>
      <c r="F703" s="524"/>
      <c r="G703" s="49"/>
      <c r="H703" s="45"/>
      <c r="I703" s="314"/>
      <c r="J703" s="44"/>
      <c r="K703" s="311"/>
      <c r="L703" s="232"/>
      <c r="M703" s="225"/>
      <c r="N703" s="380"/>
      <c r="O703" s="45"/>
      <c r="P703" s="311"/>
    </row>
    <row r="704" spans="2:16" s="30" customFormat="1" x14ac:dyDescent="0.25">
      <c r="B704" s="27"/>
      <c r="D704" s="81"/>
      <c r="E704" s="45"/>
      <c r="F704" s="524"/>
      <c r="G704" s="49"/>
      <c r="H704" s="45"/>
      <c r="I704" s="314"/>
      <c r="J704" s="44"/>
      <c r="K704" s="311"/>
      <c r="L704" s="232"/>
      <c r="M704" s="225"/>
      <c r="N704" s="380"/>
      <c r="O704" s="45"/>
      <c r="P704" s="311"/>
    </row>
    <row r="705" spans="2:16" s="30" customFormat="1" x14ac:dyDescent="0.25">
      <c r="B705" s="27"/>
      <c r="D705" s="81"/>
      <c r="E705" s="45"/>
      <c r="F705" s="524"/>
      <c r="G705" s="49"/>
      <c r="H705" s="45"/>
      <c r="I705" s="314"/>
      <c r="J705" s="44"/>
      <c r="K705" s="311"/>
      <c r="L705" s="232"/>
      <c r="M705" s="225"/>
      <c r="N705" s="380"/>
      <c r="O705" s="45"/>
      <c r="P705" s="311"/>
    </row>
    <row r="706" spans="2:16" s="30" customFormat="1" x14ac:dyDescent="0.25">
      <c r="B706" s="27"/>
      <c r="D706" s="81"/>
      <c r="E706" s="45"/>
      <c r="F706" s="524"/>
      <c r="G706" s="49"/>
      <c r="H706" s="45"/>
      <c r="I706" s="314"/>
      <c r="J706" s="44"/>
      <c r="K706" s="311"/>
      <c r="L706" s="232"/>
      <c r="M706" s="225"/>
      <c r="N706" s="380"/>
      <c r="O706" s="45"/>
      <c r="P706" s="311"/>
    </row>
    <row r="707" spans="2:16" s="30" customFormat="1" x14ac:dyDescent="0.25">
      <c r="B707" s="27"/>
      <c r="D707" s="81"/>
      <c r="E707" s="45"/>
      <c r="F707" s="524"/>
      <c r="G707" s="49"/>
      <c r="H707" s="45"/>
      <c r="I707" s="314"/>
      <c r="J707" s="44"/>
      <c r="K707" s="311"/>
      <c r="L707" s="232"/>
      <c r="M707" s="225"/>
      <c r="N707" s="380"/>
      <c r="O707" s="45"/>
      <c r="P707" s="311"/>
    </row>
    <row r="708" spans="2:16" s="30" customFormat="1" x14ac:dyDescent="0.25">
      <c r="B708" s="27"/>
      <c r="D708" s="81"/>
      <c r="E708" s="45"/>
      <c r="F708" s="524"/>
      <c r="G708" s="49"/>
      <c r="H708" s="45"/>
      <c r="I708" s="314"/>
      <c r="J708" s="44"/>
      <c r="K708" s="311"/>
      <c r="L708" s="232"/>
      <c r="M708" s="225"/>
      <c r="N708" s="380"/>
      <c r="O708" s="45"/>
      <c r="P708" s="311"/>
    </row>
    <row r="709" spans="2:16" s="30" customFormat="1" x14ac:dyDescent="0.25">
      <c r="B709" s="27"/>
      <c r="D709" s="81"/>
      <c r="E709" s="45"/>
      <c r="F709" s="524"/>
      <c r="G709" s="49"/>
      <c r="H709" s="45"/>
      <c r="I709" s="314"/>
      <c r="J709" s="44"/>
      <c r="K709" s="311"/>
      <c r="L709" s="232"/>
      <c r="M709" s="225"/>
      <c r="N709" s="380"/>
      <c r="O709" s="45"/>
      <c r="P709" s="311"/>
    </row>
    <row r="710" spans="2:16" s="30" customFormat="1" x14ac:dyDescent="0.25">
      <c r="B710" s="27"/>
      <c r="D710" s="81"/>
      <c r="E710" s="45"/>
      <c r="F710" s="524"/>
      <c r="G710" s="49"/>
      <c r="H710" s="45"/>
      <c r="I710" s="314"/>
      <c r="J710" s="44"/>
      <c r="K710" s="311"/>
      <c r="L710" s="232"/>
      <c r="M710" s="225"/>
      <c r="N710" s="380"/>
      <c r="O710" s="45"/>
      <c r="P710" s="311"/>
    </row>
    <row r="711" spans="2:16" s="30" customFormat="1" x14ac:dyDescent="0.25">
      <c r="B711" s="27"/>
      <c r="D711" s="81"/>
      <c r="E711" s="45"/>
      <c r="F711" s="524"/>
      <c r="G711" s="49"/>
      <c r="H711" s="45"/>
      <c r="I711" s="314"/>
      <c r="J711" s="44"/>
      <c r="K711" s="311"/>
      <c r="L711" s="232"/>
      <c r="M711" s="225"/>
      <c r="N711" s="380"/>
      <c r="O711" s="45"/>
      <c r="P711" s="311"/>
    </row>
    <row r="712" spans="2:16" s="30" customFormat="1" x14ac:dyDescent="0.25">
      <c r="B712" s="27"/>
      <c r="D712" s="81"/>
      <c r="E712" s="45"/>
      <c r="F712" s="524"/>
      <c r="G712" s="49"/>
      <c r="H712" s="45"/>
      <c r="I712" s="314"/>
      <c r="J712" s="44"/>
      <c r="K712" s="311"/>
      <c r="L712" s="232"/>
      <c r="M712" s="225"/>
      <c r="N712" s="380"/>
      <c r="O712" s="45"/>
      <c r="P712" s="311"/>
    </row>
    <row r="713" spans="2:16" s="30" customFormat="1" x14ac:dyDescent="0.25">
      <c r="B713" s="27"/>
      <c r="D713" s="81"/>
      <c r="E713" s="45"/>
      <c r="F713" s="524"/>
      <c r="G713" s="49"/>
      <c r="H713" s="45"/>
      <c r="I713" s="314"/>
      <c r="J713" s="44"/>
      <c r="K713" s="311"/>
      <c r="L713" s="232"/>
      <c r="M713" s="225"/>
      <c r="N713" s="380"/>
      <c r="O713" s="45"/>
      <c r="P713" s="311"/>
    </row>
    <row r="714" spans="2:16" s="30" customFormat="1" x14ac:dyDescent="0.25">
      <c r="B714" s="27"/>
      <c r="D714" s="81"/>
      <c r="E714" s="45"/>
      <c r="F714" s="524"/>
      <c r="G714" s="49"/>
      <c r="H714" s="45"/>
      <c r="I714" s="314"/>
      <c r="J714" s="44"/>
      <c r="K714" s="311"/>
      <c r="L714" s="232"/>
      <c r="M714" s="225"/>
      <c r="N714" s="380"/>
      <c r="O714" s="45"/>
      <c r="P714" s="311"/>
    </row>
    <row r="715" spans="2:16" s="30" customFormat="1" x14ac:dyDescent="0.25">
      <c r="B715" s="27"/>
      <c r="D715" s="81"/>
      <c r="E715" s="45"/>
      <c r="F715" s="524"/>
      <c r="G715" s="49"/>
      <c r="H715" s="45"/>
      <c r="I715" s="314"/>
      <c r="J715" s="44"/>
      <c r="K715" s="311"/>
      <c r="L715" s="232"/>
      <c r="M715" s="225"/>
      <c r="N715" s="380"/>
      <c r="O715" s="45"/>
      <c r="P715" s="311"/>
    </row>
    <row r="716" spans="2:16" s="30" customFormat="1" x14ac:dyDescent="0.25">
      <c r="B716" s="27"/>
      <c r="D716" s="81"/>
      <c r="E716" s="45"/>
      <c r="F716" s="524"/>
      <c r="G716" s="49"/>
      <c r="H716" s="45"/>
      <c r="I716" s="314"/>
      <c r="J716" s="44"/>
      <c r="K716" s="311"/>
      <c r="L716" s="232"/>
      <c r="M716" s="225"/>
      <c r="N716" s="380"/>
      <c r="O716" s="45"/>
      <c r="P716" s="311"/>
    </row>
    <row r="717" spans="2:16" s="30" customFormat="1" x14ac:dyDescent="0.25">
      <c r="B717" s="27"/>
      <c r="D717" s="81"/>
      <c r="E717" s="45"/>
      <c r="F717" s="524"/>
      <c r="G717" s="49"/>
      <c r="H717" s="45"/>
      <c r="I717" s="314"/>
      <c r="J717" s="44"/>
      <c r="K717" s="311"/>
      <c r="L717" s="232"/>
      <c r="M717" s="225"/>
      <c r="N717" s="380"/>
      <c r="O717" s="45"/>
      <c r="P717" s="311"/>
    </row>
    <row r="718" spans="2:16" s="30" customFormat="1" x14ac:dyDescent="0.25">
      <c r="B718" s="27"/>
      <c r="D718" s="81"/>
      <c r="E718" s="45"/>
      <c r="F718" s="524"/>
      <c r="G718" s="49"/>
      <c r="H718" s="45"/>
      <c r="I718" s="314"/>
      <c r="J718" s="44"/>
      <c r="K718" s="311"/>
      <c r="L718" s="232"/>
      <c r="M718" s="225"/>
      <c r="N718" s="380"/>
      <c r="O718" s="45"/>
      <c r="P718" s="311"/>
    </row>
    <row r="719" spans="2:16" s="30" customFormat="1" x14ac:dyDescent="0.25">
      <c r="B719" s="27"/>
      <c r="D719" s="81"/>
      <c r="E719" s="45"/>
      <c r="F719" s="524"/>
      <c r="G719" s="49"/>
      <c r="H719" s="45"/>
      <c r="I719" s="314"/>
      <c r="J719" s="44"/>
      <c r="K719" s="311"/>
      <c r="L719" s="232"/>
      <c r="M719" s="225"/>
      <c r="N719" s="380"/>
      <c r="O719" s="45"/>
      <c r="P719" s="311"/>
    </row>
    <row r="720" spans="2:16" s="30" customFormat="1" x14ac:dyDescent="0.25">
      <c r="B720" s="27"/>
      <c r="D720" s="81"/>
      <c r="E720" s="45"/>
      <c r="F720" s="524"/>
      <c r="G720" s="49"/>
      <c r="H720" s="45"/>
      <c r="I720" s="314"/>
      <c r="J720" s="44"/>
      <c r="K720" s="311"/>
      <c r="L720" s="232"/>
      <c r="M720" s="225"/>
      <c r="N720" s="380"/>
      <c r="O720" s="45"/>
      <c r="P720" s="311"/>
    </row>
    <row r="721" spans="2:16" s="30" customFormat="1" x14ac:dyDescent="0.25">
      <c r="B721" s="27"/>
      <c r="D721" s="81"/>
      <c r="E721" s="45"/>
      <c r="F721" s="524"/>
      <c r="G721" s="49"/>
      <c r="H721" s="45"/>
      <c r="I721" s="314"/>
      <c r="J721" s="44"/>
      <c r="K721" s="311"/>
      <c r="L721" s="232"/>
      <c r="M721" s="225"/>
      <c r="N721" s="380"/>
      <c r="O721" s="45"/>
      <c r="P721" s="311"/>
    </row>
    <row r="722" spans="2:16" s="30" customFormat="1" x14ac:dyDescent="0.25">
      <c r="B722" s="27"/>
      <c r="D722" s="81"/>
      <c r="E722" s="45"/>
      <c r="F722" s="524"/>
      <c r="G722" s="49"/>
      <c r="H722" s="45"/>
      <c r="I722" s="314"/>
      <c r="J722" s="44"/>
      <c r="K722" s="311"/>
      <c r="L722" s="232"/>
      <c r="M722" s="225"/>
      <c r="N722" s="380"/>
      <c r="O722" s="45"/>
      <c r="P722" s="311"/>
    </row>
    <row r="723" spans="2:16" s="30" customFormat="1" x14ac:dyDescent="0.25">
      <c r="B723" s="27"/>
      <c r="D723" s="81"/>
      <c r="E723" s="45"/>
      <c r="F723" s="524"/>
      <c r="G723" s="49"/>
      <c r="H723" s="45"/>
      <c r="I723" s="314"/>
      <c r="J723" s="44"/>
      <c r="K723" s="311"/>
      <c r="L723" s="232"/>
      <c r="M723" s="225"/>
      <c r="N723" s="380"/>
      <c r="O723" s="45"/>
      <c r="P723" s="311"/>
    </row>
    <row r="724" spans="2:16" x14ac:dyDescent="0.25">
      <c r="I724" s="314"/>
      <c r="J724" s="44"/>
      <c r="K724" s="312"/>
      <c r="N724" s="514"/>
    </row>
    <row r="725" spans="2:16" x14ac:dyDescent="0.25">
      <c r="I725" s="314"/>
      <c r="J725" s="44"/>
      <c r="K725" s="312"/>
      <c r="N725" s="514"/>
    </row>
    <row r="726" spans="2:16" x14ac:dyDescent="0.25">
      <c r="I726" s="314"/>
      <c r="J726" s="44"/>
      <c r="K726" s="312"/>
      <c r="N726" s="514"/>
    </row>
    <row r="727" spans="2:16" x14ac:dyDescent="0.25">
      <c r="I727" s="314"/>
      <c r="J727" s="44"/>
      <c r="K727" s="312"/>
      <c r="N727" s="514"/>
    </row>
    <row r="728" spans="2:16" x14ac:dyDescent="0.25">
      <c r="I728" s="314"/>
      <c r="J728" s="44"/>
      <c r="K728" s="312"/>
      <c r="N728" s="514"/>
    </row>
    <row r="729" spans="2:16" x14ac:dyDescent="0.25">
      <c r="I729" s="314"/>
      <c r="J729" s="44"/>
      <c r="K729" s="312"/>
      <c r="N729" s="514"/>
    </row>
    <row r="730" spans="2:16" x14ac:dyDescent="0.25">
      <c r="I730" s="314"/>
      <c r="J730" s="44"/>
      <c r="K730" s="312"/>
      <c r="N730" s="514"/>
    </row>
    <row r="731" spans="2:16" x14ac:dyDescent="0.25">
      <c r="I731" s="314"/>
      <c r="J731" s="44"/>
      <c r="K731" s="312"/>
      <c r="N731" s="514"/>
    </row>
    <row r="732" spans="2:16" x14ac:dyDescent="0.25">
      <c r="I732" s="314"/>
      <c r="J732" s="44"/>
      <c r="K732" s="312"/>
      <c r="N732" s="514"/>
    </row>
    <row r="733" spans="2:16" x14ac:dyDescent="0.25">
      <c r="I733" s="314"/>
      <c r="J733" s="44"/>
      <c r="K733" s="312"/>
      <c r="N733" s="514"/>
    </row>
    <row r="734" spans="2:16" x14ac:dyDescent="0.25">
      <c r="I734" s="314"/>
      <c r="J734" s="44"/>
      <c r="K734" s="312"/>
      <c r="N734" s="514"/>
    </row>
    <row r="735" spans="2:16" x14ac:dyDescent="0.25">
      <c r="I735" s="314"/>
      <c r="J735" s="44"/>
      <c r="K735" s="312"/>
      <c r="N735" s="514"/>
    </row>
    <row r="736" spans="2:16" x14ac:dyDescent="0.25">
      <c r="I736" s="314"/>
      <c r="J736" s="44"/>
      <c r="K736" s="312"/>
      <c r="N736" s="514"/>
    </row>
    <row r="737" spans="9:14" x14ac:dyDescent="0.25">
      <c r="I737" s="314"/>
      <c r="J737" s="44"/>
      <c r="K737" s="312"/>
      <c r="N737" s="514"/>
    </row>
    <row r="738" spans="9:14" x14ac:dyDescent="0.25">
      <c r="I738" s="314"/>
      <c r="J738" s="44"/>
      <c r="K738" s="312"/>
      <c r="N738" s="514"/>
    </row>
    <row r="739" spans="9:14" x14ac:dyDescent="0.25">
      <c r="I739" s="314"/>
      <c r="J739" s="44"/>
      <c r="K739" s="312"/>
      <c r="N739" s="514"/>
    </row>
    <row r="740" spans="9:14" x14ac:dyDescent="0.25">
      <c r="I740" s="314"/>
      <c r="J740" s="44"/>
      <c r="K740" s="312"/>
      <c r="N740" s="514"/>
    </row>
    <row r="741" spans="9:14" x14ac:dyDescent="0.25">
      <c r="I741" s="314"/>
      <c r="J741" s="44"/>
      <c r="K741" s="312"/>
      <c r="N741" s="514"/>
    </row>
    <row r="742" spans="9:14" x14ac:dyDescent="0.25">
      <c r="I742" s="314"/>
      <c r="J742" s="44"/>
      <c r="K742" s="312"/>
      <c r="N742" s="514"/>
    </row>
    <row r="743" spans="9:14" x14ac:dyDescent="0.25">
      <c r="I743" s="314"/>
      <c r="J743" s="44"/>
      <c r="K743" s="312"/>
      <c r="N743" s="514"/>
    </row>
    <row r="744" spans="9:14" x14ac:dyDescent="0.25">
      <c r="I744" s="314"/>
      <c r="J744" s="44"/>
      <c r="K744" s="312"/>
      <c r="N744" s="514"/>
    </row>
    <row r="745" spans="9:14" x14ac:dyDescent="0.25">
      <c r="I745" s="314"/>
      <c r="J745" s="44"/>
      <c r="K745" s="312"/>
      <c r="N745" s="514"/>
    </row>
    <row r="746" spans="9:14" x14ac:dyDescent="0.25">
      <c r="I746" s="314"/>
      <c r="J746" s="44"/>
      <c r="K746" s="312"/>
      <c r="N746" s="514"/>
    </row>
    <row r="747" spans="9:14" x14ac:dyDescent="0.25">
      <c r="I747" s="314"/>
      <c r="J747" s="44"/>
      <c r="K747" s="312"/>
      <c r="N747" s="514"/>
    </row>
    <row r="748" spans="9:14" x14ac:dyDescent="0.25">
      <c r="I748" s="314"/>
      <c r="J748" s="44"/>
      <c r="K748" s="312"/>
      <c r="N748" s="514"/>
    </row>
    <row r="749" spans="9:14" x14ac:dyDescent="0.25">
      <c r="I749" s="314"/>
      <c r="J749" s="44"/>
      <c r="K749" s="312"/>
      <c r="N749" s="514"/>
    </row>
    <row r="750" spans="9:14" x14ac:dyDescent="0.25">
      <c r="I750" s="314"/>
      <c r="J750" s="44"/>
      <c r="K750" s="312"/>
      <c r="N750" s="514"/>
    </row>
    <row r="751" spans="9:14" x14ac:dyDescent="0.25">
      <c r="I751" s="314"/>
      <c r="J751" s="44"/>
      <c r="K751" s="312"/>
      <c r="N751" s="514"/>
    </row>
    <row r="752" spans="9:14" x14ac:dyDescent="0.25">
      <c r="I752" s="314"/>
      <c r="J752" s="44"/>
      <c r="K752" s="312"/>
      <c r="N752" s="514"/>
    </row>
    <row r="753" spans="9:14" x14ac:dyDescent="0.25">
      <c r="I753" s="314"/>
      <c r="J753" s="44"/>
      <c r="K753" s="312"/>
      <c r="N753" s="514"/>
    </row>
    <row r="754" spans="9:14" x14ac:dyDescent="0.25">
      <c r="I754" s="314"/>
      <c r="J754" s="44"/>
      <c r="K754" s="312"/>
      <c r="N754" s="514"/>
    </row>
    <row r="755" spans="9:14" x14ac:dyDescent="0.25">
      <c r="I755" s="314"/>
      <c r="J755" s="44"/>
      <c r="K755" s="312"/>
      <c r="N755" s="514"/>
    </row>
    <row r="756" spans="9:14" x14ac:dyDescent="0.25">
      <c r="I756" s="314"/>
      <c r="J756" s="44"/>
      <c r="K756" s="312"/>
      <c r="N756" s="514"/>
    </row>
    <row r="757" spans="9:14" x14ac:dyDescent="0.25">
      <c r="I757" s="314"/>
      <c r="J757" s="44"/>
      <c r="K757" s="312"/>
      <c r="N757" s="514"/>
    </row>
    <row r="758" spans="9:14" x14ac:dyDescent="0.25">
      <c r="I758" s="314"/>
      <c r="J758" s="44"/>
      <c r="K758" s="312"/>
      <c r="N758" s="514"/>
    </row>
    <row r="759" spans="9:14" x14ac:dyDescent="0.25">
      <c r="I759" s="314"/>
      <c r="J759" s="44"/>
      <c r="K759" s="312"/>
      <c r="N759" s="514"/>
    </row>
    <row r="760" spans="9:14" x14ac:dyDescent="0.25">
      <c r="I760" s="314"/>
      <c r="J760" s="44"/>
      <c r="K760" s="312"/>
      <c r="N760" s="514"/>
    </row>
    <row r="761" spans="9:14" x14ac:dyDescent="0.25">
      <c r="I761" s="314"/>
      <c r="J761" s="44"/>
      <c r="K761" s="312"/>
      <c r="N761" s="514"/>
    </row>
    <row r="762" spans="9:14" x14ac:dyDescent="0.25">
      <c r="I762" s="314"/>
      <c r="J762" s="44"/>
      <c r="K762" s="312"/>
      <c r="N762" s="514"/>
    </row>
    <row r="763" spans="9:14" x14ac:dyDescent="0.25">
      <c r="I763" s="314"/>
      <c r="J763" s="44"/>
      <c r="K763" s="312"/>
      <c r="N763" s="514"/>
    </row>
    <row r="764" spans="9:14" x14ac:dyDescent="0.25">
      <c r="I764" s="314"/>
      <c r="J764" s="44"/>
      <c r="K764" s="312"/>
      <c r="N764" s="514"/>
    </row>
    <row r="765" spans="9:14" x14ac:dyDescent="0.25">
      <c r="I765" s="314"/>
      <c r="J765" s="44"/>
      <c r="K765" s="312"/>
      <c r="N765" s="514"/>
    </row>
    <row r="766" spans="9:14" x14ac:dyDescent="0.25">
      <c r="I766" s="314"/>
      <c r="J766" s="44"/>
      <c r="K766" s="312"/>
      <c r="N766" s="514"/>
    </row>
    <row r="767" spans="9:14" x14ac:dyDescent="0.25">
      <c r="I767" s="314"/>
      <c r="J767" s="44"/>
      <c r="K767" s="312"/>
      <c r="N767" s="514"/>
    </row>
    <row r="768" spans="9:14" x14ac:dyDescent="0.25">
      <c r="I768" s="314"/>
      <c r="J768" s="44"/>
      <c r="K768" s="312"/>
      <c r="N768" s="514"/>
    </row>
    <row r="769" spans="9:14" x14ac:dyDescent="0.25">
      <c r="I769" s="314"/>
      <c r="J769" s="44"/>
      <c r="K769" s="312"/>
      <c r="N769" s="514"/>
    </row>
    <row r="770" spans="9:14" x14ac:dyDescent="0.25">
      <c r="I770" s="314"/>
      <c r="J770" s="44"/>
      <c r="K770" s="312"/>
      <c r="N770" s="514"/>
    </row>
    <row r="771" spans="9:14" x14ac:dyDescent="0.25">
      <c r="I771" s="314"/>
      <c r="J771" s="44"/>
      <c r="K771" s="312"/>
      <c r="N771" s="514"/>
    </row>
    <row r="772" spans="9:14" x14ac:dyDescent="0.25">
      <c r="I772" s="314"/>
      <c r="J772" s="44"/>
      <c r="K772" s="312"/>
      <c r="N772" s="514"/>
    </row>
    <row r="773" spans="9:14" x14ac:dyDescent="0.25">
      <c r="I773" s="314"/>
      <c r="J773" s="44"/>
      <c r="K773" s="312"/>
      <c r="N773" s="514"/>
    </row>
    <row r="774" spans="9:14" x14ac:dyDescent="0.25">
      <c r="I774" s="314"/>
      <c r="J774" s="44"/>
      <c r="K774" s="312"/>
      <c r="N774" s="514"/>
    </row>
    <row r="775" spans="9:14" x14ac:dyDescent="0.25">
      <c r="I775" s="314"/>
      <c r="J775" s="44"/>
      <c r="K775" s="312"/>
      <c r="N775" s="514"/>
    </row>
    <row r="776" spans="9:14" x14ac:dyDescent="0.25">
      <c r="I776" s="314"/>
      <c r="J776" s="44"/>
      <c r="K776" s="312"/>
      <c r="N776" s="514"/>
    </row>
    <row r="777" spans="9:14" x14ac:dyDescent="0.25">
      <c r="I777" s="314"/>
      <c r="J777" s="44"/>
      <c r="K777" s="312"/>
      <c r="N777" s="514"/>
    </row>
    <row r="778" spans="9:14" x14ac:dyDescent="0.25">
      <c r="I778" s="314"/>
      <c r="J778" s="44"/>
      <c r="K778" s="312"/>
      <c r="N778" s="514"/>
    </row>
    <row r="779" spans="9:14" x14ac:dyDescent="0.25">
      <c r="I779" s="314"/>
      <c r="J779" s="44"/>
      <c r="K779" s="312"/>
      <c r="N779" s="514"/>
    </row>
    <row r="780" spans="9:14" x14ac:dyDescent="0.25">
      <c r="I780" s="314"/>
      <c r="J780" s="44"/>
      <c r="K780" s="312"/>
      <c r="N780" s="514"/>
    </row>
    <row r="781" spans="9:14" x14ac:dyDescent="0.25">
      <c r="I781" s="314"/>
      <c r="J781" s="44"/>
      <c r="K781" s="312"/>
      <c r="N781" s="514"/>
    </row>
    <row r="782" spans="9:14" x14ac:dyDescent="0.25">
      <c r="I782" s="314"/>
      <c r="J782" s="44"/>
      <c r="K782" s="312"/>
      <c r="N782" s="514"/>
    </row>
    <row r="783" spans="9:14" x14ac:dyDescent="0.25">
      <c r="I783" s="314"/>
      <c r="J783" s="44"/>
      <c r="K783" s="312"/>
      <c r="N783" s="514"/>
    </row>
    <row r="784" spans="9:14" x14ac:dyDescent="0.25">
      <c r="I784" s="314"/>
      <c r="J784" s="44"/>
      <c r="K784" s="312"/>
      <c r="N784" s="514"/>
    </row>
    <row r="785" spans="9:14" x14ac:dyDescent="0.25">
      <c r="I785" s="314"/>
      <c r="J785" s="44"/>
      <c r="K785" s="312"/>
      <c r="N785" s="514"/>
    </row>
    <row r="786" spans="9:14" x14ac:dyDescent="0.25">
      <c r="I786" s="314"/>
      <c r="J786" s="44"/>
      <c r="K786" s="312"/>
      <c r="N786" s="514"/>
    </row>
    <row r="787" spans="9:14" x14ac:dyDescent="0.25">
      <c r="I787" s="314"/>
      <c r="J787" s="44"/>
      <c r="K787" s="312"/>
      <c r="N787" s="514"/>
    </row>
    <row r="788" spans="9:14" x14ac:dyDescent="0.25">
      <c r="I788" s="314"/>
      <c r="J788" s="44"/>
      <c r="K788" s="312"/>
      <c r="N788" s="514"/>
    </row>
    <row r="789" spans="9:14" x14ac:dyDescent="0.25">
      <c r="I789" s="314"/>
      <c r="J789" s="44"/>
      <c r="K789" s="312"/>
      <c r="N789" s="514"/>
    </row>
    <row r="790" spans="9:14" x14ac:dyDescent="0.25">
      <c r="I790" s="314"/>
      <c r="J790" s="44"/>
      <c r="K790" s="312"/>
      <c r="N790" s="514"/>
    </row>
    <row r="791" spans="9:14" x14ac:dyDescent="0.25">
      <c r="I791" s="314"/>
      <c r="J791" s="44"/>
      <c r="K791" s="312"/>
      <c r="N791" s="514"/>
    </row>
    <row r="792" spans="9:14" x14ac:dyDescent="0.25">
      <c r="I792" s="314"/>
      <c r="J792" s="44"/>
      <c r="K792" s="312"/>
      <c r="N792" s="514"/>
    </row>
    <row r="793" spans="9:14" x14ac:dyDescent="0.25">
      <c r="I793" s="314"/>
      <c r="J793" s="44"/>
      <c r="K793" s="312"/>
      <c r="N793" s="514"/>
    </row>
    <row r="794" spans="9:14" x14ac:dyDescent="0.25">
      <c r="I794" s="314"/>
      <c r="J794" s="45"/>
      <c r="K794" s="312"/>
      <c r="N794" s="514"/>
    </row>
    <row r="795" spans="9:14" x14ac:dyDescent="0.25">
      <c r="I795" s="314"/>
      <c r="J795" s="45"/>
      <c r="K795" s="312"/>
      <c r="N795" s="514"/>
    </row>
    <row r="796" spans="9:14" x14ac:dyDescent="0.25">
      <c r="I796" s="314"/>
      <c r="J796" s="45"/>
      <c r="K796" s="312"/>
      <c r="N796" s="514"/>
    </row>
    <row r="797" spans="9:14" x14ac:dyDescent="0.25">
      <c r="I797" s="314"/>
      <c r="J797" s="45"/>
      <c r="K797" s="312"/>
      <c r="N797" s="514"/>
    </row>
    <row r="798" spans="9:14" x14ac:dyDescent="0.25">
      <c r="I798" s="314"/>
      <c r="J798" s="45"/>
      <c r="K798" s="312"/>
      <c r="N798" s="514"/>
    </row>
    <row r="799" spans="9:14" x14ac:dyDescent="0.25">
      <c r="I799" s="314"/>
      <c r="J799" s="45"/>
      <c r="K799" s="312"/>
      <c r="N799" s="514"/>
    </row>
    <row r="800" spans="9:14" x14ac:dyDescent="0.25">
      <c r="I800" s="314"/>
      <c r="J800" s="45"/>
      <c r="K800" s="312"/>
      <c r="N800" s="514"/>
    </row>
    <row r="801" spans="9:14" x14ac:dyDescent="0.25">
      <c r="I801" s="314"/>
      <c r="J801" s="45"/>
      <c r="K801" s="312"/>
      <c r="N801" s="514"/>
    </row>
    <row r="802" spans="9:14" x14ac:dyDescent="0.25">
      <c r="I802" s="314"/>
      <c r="J802" s="45"/>
      <c r="K802" s="312"/>
      <c r="N802" s="514"/>
    </row>
    <row r="803" spans="9:14" x14ac:dyDescent="0.25">
      <c r="I803" s="314"/>
      <c r="J803" s="45"/>
      <c r="K803" s="312"/>
      <c r="N803" s="514"/>
    </row>
    <row r="804" spans="9:14" x14ac:dyDescent="0.25">
      <c r="I804" s="314"/>
      <c r="J804" s="45"/>
      <c r="K804" s="312"/>
      <c r="N804" s="514"/>
    </row>
    <row r="805" spans="9:14" x14ac:dyDescent="0.25">
      <c r="I805" s="314"/>
      <c r="J805" s="45"/>
      <c r="K805" s="312"/>
      <c r="N805" s="514"/>
    </row>
    <row r="806" spans="9:14" x14ac:dyDescent="0.25">
      <c r="I806" s="314"/>
      <c r="J806" s="45"/>
      <c r="K806" s="312"/>
      <c r="N806" s="514"/>
    </row>
    <row r="807" spans="9:14" x14ac:dyDescent="0.25">
      <c r="I807" s="314"/>
      <c r="J807" s="45"/>
      <c r="K807" s="312"/>
      <c r="N807" s="514"/>
    </row>
    <row r="808" spans="9:14" x14ac:dyDescent="0.25">
      <c r="I808" s="314"/>
      <c r="J808" s="45"/>
      <c r="K808" s="312"/>
      <c r="N808" s="514"/>
    </row>
    <row r="809" spans="9:14" x14ac:dyDescent="0.25">
      <c r="I809" s="314"/>
      <c r="J809" s="45"/>
      <c r="K809" s="312"/>
      <c r="N809" s="514"/>
    </row>
    <row r="810" spans="9:14" x14ac:dyDescent="0.25">
      <c r="I810" s="314"/>
      <c r="J810" s="45"/>
      <c r="K810" s="312"/>
      <c r="N810" s="514"/>
    </row>
    <row r="811" spans="9:14" x14ac:dyDescent="0.25">
      <c r="I811" s="314"/>
      <c r="J811" s="45"/>
      <c r="K811" s="312"/>
      <c r="N811" s="514"/>
    </row>
    <row r="812" spans="9:14" x14ac:dyDescent="0.25">
      <c r="I812" s="314"/>
      <c r="J812" s="45"/>
      <c r="K812" s="312"/>
      <c r="N812" s="514"/>
    </row>
    <row r="813" spans="9:14" x14ac:dyDescent="0.25">
      <c r="I813" s="314"/>
      <c r="J813" s="45"/>
      <c r="K813" s="312"/>
      <c r="N813" s="514"/>
    </row>
    <row r="814" spans="9:14" x14ac:dyDescent="0.25">
      <c r="I814" s="314"/>
      <c r="J814" s="45"/>
      <c r="K814" s="312"/>
      <c r="N814" s="514"/>
    </row>
    <row r="815" spans="9:14" x14ac:dyDescent="0.25">
      <c r="I815" s="314"/>
      <c r="J815" s="45"/>
      <c r="K815" s="312"/>
      <c r="N815" s="514"/>
    </row>
    <row r="816" spans="9:14" x14ac:dyDescent="0.25">
      <c r="I816" s="314"/>
      <c r="J816" s="45"/>
      <c r="K816" s="312"/>
      <c r="N816" s="514"/>
    </row>
    <row r="817" spans="9:14" x14ac:dyDescent="0.25">
      <c r="I817" s="314"/>
      <c r="J817" s="45"/>
      <c r="K817" s="312"/>
      <c r="N817" s="514"/>
    </row>
    <row r="818" spans="9:14" x14ac:dyDescent="0.25">
      <c r="I818" s="314"/>
      <c r="J818" s="45"/>
      <c r="K818" s="312"/>
      <c r="N818" s="514"/>
    </row>
    <row r="819" spans="9:14" x14ac:dyDescent="0.25">
      <c r="I819" s="314"/>
      <c r="J819" s="45"/>
      <c r="K819" s="312"/>
      <c r="N819" s="514"/>
    </row>
    <row r="820" spans="9:14" x14ac:dyDescent="0.25">
      <c r="I820" s="314"/>
      <c r="J820" s="45"/>
      <c r="K820" s="312"/>
      <c r="N820" s="514"/>
    </row>
    <row r="821" spans="9:14" x14ac:dyDescent="0.25">
      <c r="I821" s="314"/>
      <c r="J821" s="45"/>
      <c r="K821" s="312"/>
      <c r="N821" s="514"/>
    </row>
    <row r="822" spans="9:14" x14ac:dyDescent="0.25">
      <c r="I822" s="314"/>
      <c r="J822" s="45"/>
      <c r="K822" s="312"/>
      <c r="N822" s="514"/>
    </row>
    <row r="823" spans="9:14" x14ac:dyDescent="0.25">
      <c r="I823" s="314"/>
      <c r="J823" s="45"/>
      <c r="K823" s="312"/>
      <c r="N823" s="514"/>
    </row>
    <row r="824" spans="9:14" x14ac:dyDescent="0.25">
      <c r="I824" s="314"/>
      <c r="J824" s="45"/>
      <c r="K824" s="312"/>
      <c r="N824" s="514"/>
    </row>
    <row r="825" spans="9:14" x14ac:dyDescent="0.25">
      <c r="I825" s="314"/>
      <c r="J825" s="45"/>
      <c r="K825" s="312"/>
      <c r="N825" s="514"/>
    </row>
    <row r="826" spans="9:14" x14ac:dyDescent="0.25">
      <c r="I826" s="314"/>
      <c r="J826" s="45"/>
      <c r="K826" s="312"/>
      <c r="N826" s="514"/>
    </row>
    <row r="827" spans="9:14" x14ac:dyDescent="0.25">
      <c r="I827" s="314"/>
      <c r="J827" s="45"/>
      <c r="K827" s="312"/>
      <c r="N827" s="514"/>
    </row>
    <row r="828" spans="9:14" x14ac:dyDescent="0.25">
      <c r="I828" s="314"/>
      <c r="J828" s="45"/>
      <c r="K828" s="312"/>
      <c r="N828" s="514"/>
    </row>
    <row r="829" spans="9:14" x14ac:dyDescent="0.25">
      <c r="I829" s="314"/>
      <c r="J829" s="45"/>
      <c r="K829" s="312"/>
      <c r="N829" s="514"/>
    </row>
    <row r="830" spans="9:14" x14ac:dyDescent="0.25">
      <c r="I830" s="314"/>
      <c r="J830" s="45"/>
      <c r="K830" s="312"/>
      <c r="N830" s="514"/>
    </row>
    <row r="831" spans="9:14" x14ac:dyDescent="0.25">
      <c r="I831" s="314"/>
      <c r="J831" s="45"/>
      <c r="K831" s="312"/>
      <c r="N831" s="514"/>
    </row>
    <row r="832" spans="9:14" x14ac:dyDescent="0.25">
      <c r="I832" s="314"/>
      <c r="J832" s="45"/>
      <c r="K832" s="312"/>
      <c r="N832" s="514"/>
    </row>
    <row r="833" spans="9:14" x14ac:dyDescent="0.25">
      <c r="I833" s="314"/>
      <c r="J833" s="45"/>
      <c r="K833" s="312"/>
      <c r="N833" s="514"/>
    </row>
    <row r="834" spans="9:14" x14ac:dyDescent="0.25">
      <c r="I834" s="314"/>
      <c r="J834" s="45"/>
      <c r="K834" s="312"/>
      <c r="N834" s="514"/>
    </row>
    <row r="835" spans="9:14" x14ac:dyDescent="0.25">
      <c r="I835" s="314"/>
      <c r="J835" s="45"/>
      <c r="K835" s="312"/>
      <c r="N835" s="514"/>
    </row>
    <row r="836" spans="9:14" x14ac:dyDescent="0.25">
      <c r="I836" s="314"/>
      <c r="J836" s="45"/>
      <c r="K836" s="312"/>
      <c r="N836" s="514"/>
    </row>
    <row r="837" spans="9:14" x14ac:dyDescent="0.25">
      <c r="I837" s="314"/>
      <c r="J837" s="45"/>
      <c r="K837" s="312"/>
      <c r="N837" s="514"/>
    </row>
    <row r="838" spans="9:14" x14ac:dyDescent="0.25">
      <c r="I838" s="314"/>
      <c r="J838" s="45"/>
      <c r="K838" s="312"/>
      <c r="N838" s="514"/>
    </row>
    <row r="839" spans="9:14" x14ac:dyDescent="0.25">
      <c r="I839" s="314"/>
      <c r="J839" s="45"/>
      <c r="K839" s="312"/>
      <c r="N839" s="514"/>
    </row>
    <row r="840" spans="9:14" x14ac:dyDescent="0.25">
      <c r="I840" s="314"/>
      <c r="J840" s="45"/>
      <c r="K840" s="312"/>
      <c r="N840" s="514"/>
    </row>
    <row r="841" spans="9:14" x14ac:dyDescent="0.25">
      <c r="I841" s="314"/>
      <c r="J841" s="45"/>
      <c r="K841" s="312"/>
      <c r="N841" s="514"/>
    </row>
    <row r="842" spans="9:14" x14ac:dyDescent="0.25">
      <c r="I842" s="314"/>
      <c r="J842" s="45"/>
      <c r="K842" s="312"/>
      <c r="N842" s="514"/>
    </row>
    <row r="843" spans="9:14" x14ac:dyDescent="0.25">
      <c r="I843" s="314"/>
      <c r="J843" s="45"/>
      <c r="K843" s="312"/>
      <c r="N843" s="514"/>
    </row>
    <row r="844" spans="9:14" x14ac:dyDescent="0.25">
      <c r="I844" s="314"/>
      <c r="J844" s="45"/>
      <c r="K844" s="312"/>
      <c r="N844" s="514"/>
    </row>
    <row r="845" spans="9:14" x14ac:dyDescent="0.25">
      <c r="I845" s="314"/>
      <c r="J845" s="45"/>
      <c r="K845" s="312"/>
      <c r="N845" s="514"/>
    </row>
    <row r="846" spans="9:14" x14ac:dyDescent="0.25">
      <c r="I846" s="314"/>
      <c r="J846" s="45"/>
      <c r="K846" s="312"/>
      <c r="N846" s="514"/>
    </row>
    <row r="847" spans="9:14" x14ac:dyDescent="0.25">
      <c r="I847" s="314"/>
      <c r="J847" s="45"/>
      <c r="K847" s="312"/>
      <c r="N847" s="514"/>
    </row>
    <row r="848" spans="9:14" x14ac:dyDescent="0.25">
      <c r="I848" s="314"/>
      <c r="J848" s="45"/>
      <c r="K848" s="312"/>
      <c r="N848" s="514"/>
    </row>
    <row r="849" spans="9:14" x14ac:dyDescent="0.25">
      <c r="I849" s="314"/>
      <c r="J849" s="45"/>
      <c r="K849" s="312"/>
      <c r="N849" s="514"/>
    </row>
    <row r="850" spans="9:14" x14ac:dyDescent="0.25">
      <c r="I850" s="314"/>
      <c r="J850" s="45"/>
      <c r="K850" s="312"/>
      <c r="N850" s="514"/>
    </row>
    <row r="851" spans="9:14" x14ac:dyDescent="0.25">
      <c r="I851" s="314"/>
      <c r="J851" s="45"/>
      <c r="K851" s="312"/>
      <c r="N851" s="514"/>
    </row>
    <row r="852" spans="9:14" x14ac:dyDescent="0.25">
      <c r="I852" s="314"/>
      <c r="J852" s="45"/>
      <c r="K852" s="312"/>
      <c r="N852" s="514"/>
    </row>
    <row r="853" spans="9:14" x14ac:dyDescent="0.25">
      <c r="I853" s="314"/>
      <c r="J853" s="45"/>
      <c r="K853" s="312"/>
      <c r="N853" s="514"/>
    </row>
    <row r="854" spans="9:14" x14ac:dyDescent="0.25">
      <c r="I854" s="314"/>
      <c r="J854" s="45"/>
      <c r="K854" s="312"/>
      <c r="N854" s="514"/>
    </row>
    <row r="855" spans="9:14" x14ac:dyDescent="0.25">
      <c r="I855" s="314"/>
      <c r="J855" s="45"/>
      <c r="K855" s="312"/>
      <c r="N855" s="514"/>
    </row>
    <row r="856" spans="9:14" x14ac:dyDescent="0.25">
      <c r="I856" s="314"/>
      <c r="J856" s="45"/>
      <c r="K856" s="312"/>
      <c r="N856" s="514"/>
    </row>
    <row r="857" spans="9:14" x14ac:dyDescent="0.25">
      <c r="I857" s="314"/>
      <c r="J857" s="45"/>
      <c r="K857" s="312"/>
      <c r="N857" s="514"/>
    </row>
    <row r="858" spans="9:14" x14ac:dyDescent="0.25">
      <c r="I858" s="314"/>
      <c r="J858" s="45"/>
      <c r="K858" s="312"/>
      <c r="N858" s="514"/>
    </row>
    <row r="859" spans="9:14" x14ac:dyDescent="0.25">
      <c r="I859" s="314"/>
      <c r="J859" s="45"/>
      <c r="K859" s="312"/>
      <c r="N859" s="514"/>
    </row>
    <row r="860" spans="9:14" x14ac:dyDescent="0.25">
      <c r="I860" s="314"/>
      <c r="J860" s="45"/>
      <c r="K860" s="312"/>
      <c r="N860" s="514"/>
    </row>
    <row r="861" spans="9:14" x14ac:dyDescent="0.25">
      <c r="I861" s="314"/>
      <c r="J861" s="45"/>
      <c r="K861" s="312"/>
      <c r="N861" s="514"/>
    </row>
    <row r="862" spans="9:14" x14ac:dyDescent="0.25">
      <c r="I862" s="314"/>
      <c r="J862" s="45"/>
      <c r="K862" s="312"/>
      <c r="N862" s="514"/>
    </row>
    <row r="863" spans="9:14" x14ac:dyDescent="0.25">
      <c r="I863" s="314"/>
      <c r="J863" s="45"/>
      <c r="K863" s="312"/>
      <c r="N863" s="514"/>
    </row>
    <row r="864" spans="9:14" x14ac:dyDescent="0.25">
      <c r="I864" s="314"/>
      <c r="J864" s="45"/>
      <c r="K864" s="312"/>
      <c r="N864" s="514"/>
    </row>
    <row r="865" spans="9:14" x14ac:dyDescent="0.25">
      <c r="I865" s="314"/>
      <c r="J865" s="45"/>
      <c r="K865" s="312"/>
      <c r="N865" s="514"/>
    </row>
    <row r="866" spans="9:14" x14ac:dyDescent="0.25">
      <c r="I866" s="314"/>
      <c r="J866" s="45"/>
      <c r="K866" s="312"/>
      <c r="N866" s="514"/>
    </row>
    <row r="867" spans="9:14" x14ac:dyDescent="0.25">
      <c r="I867" s="314"/>
      <c r="J867" s="45"/>
      <c r="K867" s="312"/>
      <c r="N867" s="514"/>
    </row>
    <row r="868" spans="9:14" x14ac:dyDescent="0.25">
      <c r="I868" s="314"/>
      <c r="J868" s="45"/>
      <c r="K868" s="312"/>
      <c r="N868" s="514"/>
    </row>
    <row r="869" spans="9:14" x14ac:dyDescent="0.25">
      <c r="I869" s="314"/>
      <c r="J869" s="45"/>
      <c r="K869" s="312"/>
      <c r="N869" s="514"/>
    </row>
    <row r="870" spans="9:14" x14ac:dyDescent="0.25">
      <c r="I870" s="314"/>
      <c r="J870" s="45"/>
      <c r="K870" s="312"/>
      <c r="N870" s="514"/>
    </row>
    <row r="871" spans="9:14" x14ac:dyDescent="0.25">
      <c r="I871" s="314"/>
      <c r="J871" s="45"/>
      <c r="K871" s="312"/>
      <c r="N871" s="514"/>
    </row>
    <row r="872" spans="9:14" x14ac:dyDescent="0.25">
      <c r="I872" s="314"/>
      <c r="J872" s="45"/>
      <c r="K872" s="312"/>
      <c r="N872" s="514"/>
    </row>
    <row r="873" spans="9:14" x14ac:dyDescent="0.25">
      <c r="I873" s="314"/>
      <c r="J873" s="45"/>
      <c r="K873" s="312"/>
      <c r="N873" s="514"/>
    </row>
    <row r="874" spans="9:14" x14ac:dyDescent="0.25">
      <c r="I874" s="314"/>
      <c r="J874" s="45"/>
      <c r="K874" s="312"/>
      <c r="N874" s="514"/>
    </row>
    <row r="875" spans="9:14" x14ac:dyDescent="0.25">
      <c r="I875" s="314"/>
      <c r="J875" s="45"/>
      <c r="K875" s="312"/>
      <c r="N875" s="514"/>
    </row>
    <row r="876" spans="9:14" x14ac:dyDescent="0.25">
      <c r="I876" s="314"/>
      <c r="J876" s="45"/>
      <c r="K876" s="312"/>
      <c r="N876" s="514"/>
    </row>
    <row r="877" spans="9:14" x14ac:dyDescent="0.25">
      <c r="I877" s="314"/>
      <c r="J877" s="45"/>
      <c r="K877" s="312"/>
      <c r="N877" s="514"/>
    </row>
    <row r="878" spans="9:14" x14ac:dyDescent="0.25">
      <c r="I878" s="314"/>
      <c r="J878" s="45"/>
      <c r="K878" s="312"/>
      <c r="N878" s="514"/>
    </row>
    <row r="879" spans="9:14" x14ac:dyDescent="0.25">
      <c r="I879" s="314"/>
      <c r="J879" s="45"/>
      <c r="K879" s="312"/>
      <c r="N879" s="514"/>
    </row>
    <row r="880" spans="9:14" x14ac:dyDescent="0.25">
      <c r="I880" s="314"/>
      <c r="J880" s="45"/>
      <c r="K880" s="312"/>
      <c r="N880" s="514"/>
    </row>
    <row r="881" spans="9:14" x14ac:dyDescent="0.25">
      <c r="I881" s="314"/>
      <c r="J881" s="45"/>
      <c r="K881" s="312"/>
      <c r="N881" s="514"/>
    </row>
    <row r="882" spans="9:14" x14ac:dyDescent="0.25">
      <c r="I882" s="314"/>
      <c r="J882" s="45"/>
      <c r="K882" s="312"/>
      <c r="N882" s="514"/>
    </row>
    <row r="883" spans="9:14" x14ac:dyDescent="0.25">
      <c r="I883" s="314"/>
      <c r="J883" s="45"/>
      <c r="K883" s="312"/>
      <c r="N883" s="514"/>
    </row>
    <row r="884" spans="9:14" x14ac:dyDescent="0.25">
      <c r="I884" s="314"/>
      <c r="J884" s="45"/>
      <c r="K884" s="312"/>
      <c r="N884" s="514"/>
    </row>
    <row r="885" spans="9:14" x14ac:dyDescent="0.25">
      <c r="I885" s="314"/>
      <c r="J885" s="45"/>
      <c r="K885" s="312"/>
      <c r="N885" s="514"/>
    </row>
    <row r="886" spans="9:14" x14ac:dyDescent="0.25">
      <c r="I886" s="314"/>
      <c r="J886" s="45"/>
      <c r="K886" s="312"/>
      <c r="N886" s="514"/>
    </row>
    <row r="887" spans="9:14" x14ac:dyDescent="0.25">
      <c r="I887" s="314"/>
      <c r="J887" s="45"/>
      <c r="K887" s="312"/>
      <c r="N887" s="514"/>
    </row>
    <row r="888" spans="9:14" x14ac:dyDescent="0.25">
      <c r="I888" s="314"/>
      <c r="J888" s="45"/>
      <c r="K888" s="312"/>
      <c r="N888" s="514"/>
    </row>
    <row r="889" spans="9:14" x14ac:dyDescent="0.25">
      <c r="I889" s="314"/>
      <c r="J889" s="45"/>
      <c r="K889" s="312"/>
      <c r="N889" s="514"/>
    </row>
    <row r="890" spans="9:14" x14ac:dyDescent="0.25">
      <c r="I890" s="314"/>
      <c r="J890" s="45"/>
      <c r="K890" s="312"/>
      <c r="N890" s="514"/>
    </row>
    <row r="891" spans="9:14" x14ac:dyDescent="0.25">
      <c r="I891" s="314"/>
      <c r="J891" s="45"/>
      <c r="K891" s="312"/>
      <c r="N891" s="514"/>
    </row>
    <row r="892" spans="9:14" x14ac:dyDescent="0.25">
      <c r="I892" s="314"/>
      <c r="J892" s="45"/>
      <c r="K892" s="312"/>
      <c r="N892" s="514"/>
    </row>
    <row r="893" spans="9:14" x14ac:dyDescent="0.25">
      <c r="I893" s="314"/>
      <c r="J893" s="45"/>
      <c r="K893" s="312"/>
      <c r="N893" s="514"/>
    </row>
    <row r="894" spans="9:14" x14ac:dyDescent="0.25">
      <c r="I894" s="314"/>
      <c r="J894" s="45"/>
      <c r="K894" s="312"/>
      <c r="N894" s="514"/>
    </row>
    <row r="895" spans="9:14" x14ac:dyDescent="0.25">
      <c r="I895" s="314"/>
      <c r="J895" s="45"/>
      <c r="K895" s="312"/>
      <c r="N895" s="514"/>
    </row>
    <row r="896" spans="9:14" x14ac:dyDescent="0.25">
      <c r="I896" s="314"/>
      <c r="J896" s="45"/>
      <c r="K896" s="312"/>
      <c r="N896" s="514"/>
    </row>
    <row r="897" spans="9:14" x14ac:dyDescent="0.25">
      <c r="I897" s="314"/>
      <c r="J897" s="45"/>
      <c r="K897" s="312"/>
      <c r="N897" s="514"/>
    </row>
    <row r="898" spans="9:14" x14ac:dyDescent="0.25">
      <c r="I898" s="314"/>
      <c r="J898" s="45"/>
      <c r="K898" s="312"/>
      <c r="N898" s="514"/>
    </row>
    <row r="899" spans="9:14" x14ac:dyDescent="0.25">
      <c r="I899" s="314"/>
      <c r="J899" s="45"/>
      <c r="K899" s="312"/>
      <c r="N899" s="514"/>
    </row>
    <row r="900" spans="9:14" x14ac:dyDescent="0.25">
      <c r="I900" s="314"/>
      <c r="J900" s="45"/>
      <c r="K900" s="312"/>
      <c r="N900" s="514"/>
    </row>
    <row r="901" spans="9:14" x14ac:dyDescent="0.25">
      <c r="I901" s="314"/>
      <c r="J901" s="45"/>
      <c r="K901" s="312"/>
      <c r="N901" s="514"/>
    </row>
    <row r="902" spans="9:14" x14ac:dyDescent="0.25">
      <c r="I902" s="314"/>
      <c r="J902" s="45"/>
      <c r="K902" s="312"/>
      <c r="N902" s="514"/>
    </row>
    <row r="903" spans="9:14" x14ac:dyDescent="0.25">
      <c r="I903" s="314"/>
      <c r="J903" s="45"/>
      <c r="K903" s="312"/>
      <c r="N903" s="514"/>
    </row>
    <row r="904" spans="9:14" x14ac:dyDescent="0.25">
      <c r="I904" s="314"/>
      <c r="J904" s="45"/>
      <c r="K904" s="312"/>
      <c r="N904" s="514"/>
    </row>
    <row r="905" spans="9:14" x14ac:dyDescent="0.25">
      <c r="I905" s="314"/>
      <c r="J905" s="45"/>
      <c r="K905" s="312"/>
      <c r="N905" s="514"/>
    </row>
    <row r="906" spans="9:14" x14ac:dyDescent="0.25">
      <c r="I906" s="314"/>
      <c r="J906" s="45"/>
      <c r="K906" s="312"/>
      <c r="N906" s="514"/>
    </row>
    <row r="907" spans="9:14" x14ac:dyDescent="0.25">
      <c r="I907" s="314"/>
      <c r="J907" s="45"/>
      <c r="K907" s="312"/>
      <c r="N907" s="514"/>
    </row>
    <row r="908" spans="9:14" x14ac:dyDescent="0.25">
      <c r="I908" s="314"/>
      <c r="J908" s="45"/>
      <c r="K908" s="312"/>
      <c r="N908" s="514"/>
    </row>
    <row r="909" spans="9:14" x14ac:dyDescent="0.25">
      <c r="I909" s="314"/>
      <c r="J909" s="45"/>
      <c r="K909" s="312"/>
      <c r="N909" s="514"/>
    </row>
    <row r="910" spans="9:14" x14ac:dyDescent="0.25">
      <c r="I910" s="314"/>
      <c r="J910" s="45"/>
      <c r="K910" s="312"/>
      <c r="N910" s="514"/>
    </row>
    <row r="911" spans="9:14" x14ac:dyDescent="0.25">
      <c r="I911" s="314"/>
      <c r="J911" s="45"/>
      <c r="K911" s="312"/>
      <c r="N911" s="514"/>
    </row>
    <row r="912" spans="9:14" x14ac:dyDescent="0.25">
      <c r="I912" s="314"/>
      <c r="J912" s="45"/>
      <c r="K912" s="312"/>
      <c r="N912" s="514"/>
    </row>
    <row r="913" spans="9:14" x14ac:dyDescent="0.25">
      <c r="I913" s="314"/>
      <c r="J913" s="45"/>
      <c r="K913" s="312"/>
      <c r="N913" s="514"/>
    </row>
    <row r="914" spans="9:14" x14ac:dyDescent="0.25">
      <c r="I914" s="314"/>
      <c r="J914" s="45"/>
      <c r="K914" s="312"/>
      <c r="N914" s="514"/>
    </row>
    <row r="915" spans="9:14" x14ac:dyDescent="0.25">
      <c r="I915" s="314"/>
      <c r="J915" s="45"/>
      <c r="K915" s="312"/>
      <c r="N915" s="514"/>
    </row>
    <row r="916" spans="9:14" x14ac:dyDescent="0.25">
      <c r="I916" s="314"/>
      <c r="J916" s="45"/>
      <c r="K916" s="312"/>
      <c r="N916" s="514"/>
    </row>
    <row r="917" spans="9:14" x14ac:dyDescent="0.25">
      <c r="I917" s="314"/>
      <c r="J917" s="45"/>
      <c r="K917" s="312"/>
      <c r="N917" s="514"/>
    </row>
    <row r="918" spans="9:14" x14ac:dyDescent="0.25">
      <c r="I918" s="314"/>
      <c r="J918" s="45"/>
      <c r="K918" s="312"/>
      <c r="N918" s="514"/>
    </row>
    <row r="919" spans="9:14" x14ac:dyDescent="0.25">
      <c r="I919" s="314"/>
      <c r="J919" s="45"/>
      <c r="K919" s="312"/>
      <c r="N919" s="514"/>
    </row>
    <row r="920" spans="9:14" x14ac:dyDescent="0.25">
      <c r="I920" s="314"/>
      <c r="J920" s="45"/>
      <c r="K920" s="312"/>
      <c r="N920" s="514"/>
    </row>
    <row r="921" spans="9:14" x14ac:dyDescent="0.25">
      <c r="I921" s="314"/>
      <c r="J921" s="45"/>
      <c r="K921" s="312"/>
      <c r="N921" s="514"/>
    </row>
    <row r="922" spans="9:14" x14ac:dyDescent="0.25">
      <c r="I922" s="314"/>
      <c r="J922" s="45"/>
      <c r="K922" s="312"/>
      <c r="N922" s="514"/>
    </row>
    <row r="923" spans="9:14" x14ac:dyDescent="0.25">
      <c r="I923" s="314"/>
      <c r="J923" s="45"/>
      <c r="K923" s="312"/>
      <c r="N923" s="514"/>
    </row>
    <row r="924" spans="9:14" x14ac:dyDescent="0.25">
      <c r="I924" s="314"/>
      <c r="J924" s="45"/>
      <c r="K924" s="312"/>
      <c r="N924" s="514"/>
    </row>
    <row r="925" spans="9:14" x14ac:dyDescent="0.25">
      <c r="I925" s="314"/>
      <c r="J925" s="45"/>
      <c r="K925" s="312"/>
      <c r="N925" s="514"/>
    </row>
    <row r="926" spans="9:14" x14ac:dyDescent="0.25">
      <c r="I926" s="314"/>
      <c r="J926" s="45"/>
      <c r="K926" s="312"/>
      <c r="N926" s="514"/>
    </row>
    <row r="927" spans="9:14" x14ac:dyDescent="0.25">
      <c r="I927" s="314"/>
      <c r="J927" s="45"/>
      <c r="K927" s="312"/>
      <c r="N927" s="514"/>
    </row>
    <row r="928" spans="9:14" x14ac:dyDescent="0.25">
      <c r="I928" s="314"/>
      <c r="J928" s="45"/>
      <c r="K928" s="312"/>
      <c r="N928" s="514"/>
    </row>
    <row r="929" spans="9:14" x14ac:dyDescent="0.25">
      <c r="I929" s="314"/>
      <c r="J929" s="45"/>
      <c r="K929" s="312"/>
      <c r="N929" s="514"/>
    </row>
    <row r="930" spans="9:14" x14ac:dyDescent="0.25">
      <c r="I930" s="314"/>
      <c r="J930" s="45"/>
      <c r="K930" s="312"/>
      <c r="N930" s="514"/>
    </row>
    <row r="931" spans="9:14" x14ac:dyDescent="0.25">
      <c r="I931" s="314"/>
      <c r="J931" s="45"/>
      <c r="K931" s="312"/>
      <c r="N931" s="514"/>
    </row>
    <row r="932" spans="9:14" x14ac:dyDescent="0.25">
      <c r="I932" s="314"/>
      <c r="J932" s="45"/>
      <c r="K932" s="312"/>
      <c r="N932" s="514"/>
    </row>
    <row r="933" spans="9:14" x14ac:dyDescent="0.25">
      <c r="I933" s="314"/>
      <c r="J933" s="45"/>
      <c r="K933" s="312"/>
      <c r="N933" s="514"/>
    </row>
    <row r="934" spans="9:14" x14ac:dyDescent="0.25">
      <c r="I934" s="314"/>
      <c r="J934" s="45"/>
      <c r="K934" s="312"/>
      <c r="N934" s="514"/>
    </row>
    <row r="935" spans="9:14" x14ac:dyDescent="0.25">
      <c r="I935" s="314"/>
      <c r="J935" s="45"/>
      <c r="K935" s="312"/>
      <c r="N935" s="514"/>
    </row>
    <row r="936" spans="9:14" x14ac:dyDescent="0.25">
      <c r="I936" s="314"/>
      <c r="J936" s="45"/>
      <c r="K936" s="312"/>
      <c r="N936" s="514"/>
    </row>
    <row r="937" spans="9:14" x14ac:dyDescent="0.25">
      <c r="I937" s="314"/>
      <c r="J937" s="45"/>
      <c r="K937" s="312"/>
      <c r="N937" s="514"/>
    </row>
    <row r="938" spans="9:14" x14ac:dyDescent="0.25">
      <c r="I938" s="314"/>
      <c r="J938" s="45"/>
      <c r="K938" s="312"/>
      <c r="N938" s="514"/>
    </row>
    <row r="939" spans="9:14" x14ac:dyDescent="0.25">
      <c r="I939" s="314"/>
      <c r="J939" s="45"/>
      <c r="K939" s="312"/>
      <c r="N939" s="514"/>
    </row>
    <row r="940" spans="9:14" x14ac:dyDescent="0.25">
      <c r="I940" s="314"/>
      <c r="J940" s="45"/>
      <c r="K940" s="312"/>
      <c r="N940" s="514"/>
    </row>
    <row r="941" spans="9:14" x14ac:dyDescent="0.25">
      <c r="I941" s="314"/>
      <c r="J941" s="45"/>
      <c r="K941" s="312"/>
      <c r="N941" s="514"/>
    </row>
    <row r="942" spans="9:14" x14ac:dyDescent="0.25">
      <c r="I942" s="314"/>
      <c r="J942" s="45"/>
      <c r="K942" s="312"/>
      <c r="N942" s="514"/>
    </row>
    <row r="943" spans="9:14" x14ac:dyDescent="0.25">
      <c r="I943" s="314"/>
      <c r="J943" s="45"/>
      <c r="K943" s="312"/>
      <c r="N943" s="514"/>
    </row>
    <row r="944" spans="9:14" x14ac:dyDescent="0.25">
      <c r="I944" s="314"/>
      <c r="J944" s="45"/>
      <c r="K944" s="312"/>
      <c r="N944" s="514"/>
    </row>
    <row r="945" spans="9:14" x14ac:dyDescent="0.25">
      <c r="I945" s="314"/>
      <c r="J945" s="45"/>
      <c r="K945" s="312"/>
      <c r="N945" s="514"/>
    </row>
    <row r="946" spans="9:14" x14ac:dyDescent="0.25">
      <c r="I946" s="314"/>
      <c r="J946" s="45"/>
      <c r="K946" s="312"/>
      <c r="N946" s="514"/>
    </row>
    <row r="947" spans="9:14" x14ac:dyDescent="0.25">
      <c r="I947" s="314"/>
      <c r="J947" s="45"/>
      <c r="K947" s="312"/>
      <c r="N947" s="514"/>
    </row>
    <row r="948" spans="9:14" x14ac:dyDescent="0.25">
      <c r="I948" s="314"/>
      <c r="J948" s="45"/>
      <c r="K948" s="312"/>
      <c r="N948" s="514"/>
    </row>
    <row r="949" spans="9:14" x14ac:dyDescent="0.25">
      <c r="I949" s="314"/>
      <c r="J949" s="45"/>
      <c r="K949" s="312"/>
      <c r="N949" s="514"/>
    </row>
    <row r="950" spans="9:14" x14ac:dyDescent="0.25">
      <c r="I950" s="314"/>
      <c r="J950" s="45"/>
      <c r="K950" s="312"/>
      <c r="N950" s="514"/>
    </row>
    <row r="951" spans="9:14" x14ac:dyDescent="0.25">
      <c r="I951" s="314"/>
      <c r="J951" s="45"/>
      <c r="K951" s="312"/>
      <c r="N951" s="514"/>
    </row>
    <row r="952" spans="9:14" x14ac:dyDescent="0.25">
      <c r="I952" s="314"/>
      <c r="J952" s="45"/>
      <c r="K952" s="312"/>
      <c r="N952" s="514"/>
    </row>
    <row r="953" spans="9:14" x14ac:dyDescent="0.25">
      <c r="I953" s="314"/>
      <c r="J953" s="45"/>
      <c r="K953" s="312"/>
      <c r="N953" s="514"/>
    </row>
    <row r="954" spans="9:14" x14ac:dyDescent="0.25">
      <c r="I954" s="314"/>
      <c r="J954" s="45"/>
      <c r="K954" s="312"/>
      <c r="N954" s="514"/>
    </row>
    <row r="955" spans="9:14" x14ac:dyDescent="0.25">
      <c r="I955" s="314"/>
      <c r="J955" s="45"/>
      <c r="K955" s="312"/>
      <c r="N955" s="514"/>
    </row>
    <row r="956" spans="9:14" x14ac:dyDescent="0.25">
      <c r="I956" s="314"/>
      <c r="J956" s="45"/>
      <c r="K956" s="312"/>
      <c r="N956" s="514"/>
    </row>
    <row r="957" spans="9:14" x14ac:dyDescent="0.25">
      <c r="I957" s="314"/>
      <c r="J957" s="45"/>
      <c r="K957" s="312"/>
      <c r="N957" s="514"/>
    </row>
    <row r="958" spans="9:14" x14ac:dyDescent="0.25">
      <c r="I958" s="314"/>
      <c r="J958" s="45"/>
      <c r="K958" s="312"/>
      <c r="N958" s="514"/>
    </row>
    <row r="959" spans="9:14" x14ac:dyDescent="0.25">
      <c r="I959" s="314"/>
      <c r="J959" s="45"/>
      <c r="K959" s="312"/>
      <c r="N959" s="514"/>
    </row>
    <row r="960" spans="9:14" x14ac:dyDescent="0.25">
      <c r="I960" s="314"/>
      <c r="J960" s="45"/>
      <c r="K960" s="312"/>
      <c r="N960" s="514"/>
    </row>
    <row r="961" spans="9:14" x14ac:dyDescent="0.25">
      <c r="I961" s="314"/>
      <c r="J961" s="45"/>
      <c r="K961" s="312"/>
      <c r="N961" s="514"/>
    </row>
    <row r="962" spans="9:14" x14ac:dyDescent="0.25">
      <c r="I962" s="314"/>
      <c r="J962" s="45"/>
      <c r="K962" s="312"/>
      <c r="N962" s="514"/>
    </row>
    <row r="963" spans="9:14" x14ac:dyDescent="0.25">
      <c r="I963" s="314"/>
      <c r="J963" s="45"/>
      <c r="K963" s="312"/>
      <c r="N963" s="514"/>
    </row>
    <row r="964" spans="9:14" x14ac:dyDescent="0.25">
      <c r="I964" s="314"/>
      <c r="J964" s="45"/>
      <c r="K964" s="312"/>
      <c r="N964" s="514"/>
    </row>
    <row r="965" spans="9:14" x14ac:dyDescent="0.25">
      <c r="I965" s="314"/>
      <c r="J965" s="45"/>
      <c r="K965" s="312"/>
      <c r="N965" s="514"/>
    </row>
    <row r="966" spans="9:14" x14ac:dyDescent="0.25">
      <c r="J966" s="45"/>
      <c r="K966" s="312"/>
      <c r="N966" s="514"/>
    </row>
    <row r="967" spans="9:14" x14ac:dyDescent="0.25">
      <c r="J967" s="45"/>
      <c r="K967" s="312"/>
      <c r="N967" s="514"/>
    </row>
    <row r="968" spans="9:14" x14ac:dyDescent="0.25">
      <c r="J968" s="45"/>
      <c r="K968" s="312"/>
      <c r="N968" s="514"/>
    </row>
    <row r="969" spans="9:14" x14ac:dyDescent="0.25">
      <c r="J969" s="45"/>
      <c r="K969" s="312"/>
      <c r="N969" s="514"/>
    </row>
    <row r="970" spans="9:14" x14ac:dyDescent="0.25">
      <c r="J970" s="45"/>
      <c r="K970" s="312"/>
      <c r="N970" s="514"/>
    </row>
    <row r="971" spans="9:14" x14ac:dyDescent="0.25">
      <c r="J971" s="45"/>
      <c r="K971" s="312"/>
      <c r="N971" s="514"/>
    </row>
    <row r="972" spans="9:14" x14ac:dyDescent="0.25">
      <c r="J972" s="45"/>
      <c r="K972" s="312"/>
      <c r="N972" s="514"/>
    </row>
    <row r="973" spans="9:14" x14ac:dyDescent="0.25">
      <c r="J973" s="45"/>
      <c r="K973" s="312"/>
      <c r="N973" s="514"/>
    </row>
    <row r="974" spans="9:14" x14ac:dyDescent="0.25">
      <c r="J974" s="45"/>
      <c r="K974" s="312"/>
      <c r="N974" s="514"/>
    </row>
    <row r="975" spans="9:14" x14ac:dyDescent="0.25">
      <c r="J975" s="45"/>
      <c r="K975" s="312"/>
      <c r="N975" s="514"/>
    </row>
    <row r="976" spans="9:14" x14ac:dyDescent="0.25">
      <c r="J976" s="45"/>
      <c r="K976" s="312"/>
      <c r="N976" s="514"/>
    </row>
    <row r="977" spans="10:14" x14ac:dyDescent="0.25">
      <c r="J977" s="45"/>
      <c r="K977" s="312"/>
      <c r="N977" s="514"/>
    </row>
    <row r="978" spans="10:14" x14ac:dyDescent="0.25">
      <c r="J978" s="45"/>
      <c r="K978" s="312"/>
      <c r="N978" s="514"/>
    </row>
    <row r="979" spans="10:14" x14ac:dyDescent="0.25">
      <c r="J979" s="45"/>
      <c r="K979" s="312"/>
      <c r="N979" s="514"/>
    </row>
    <row r="980" spans="10:14" x14ac:dyDescent="0.25">
      <c r="J980" s="45"/>
      <c r="K980" s="312"/>
      <c r="N980" s="514"/>
    </row>
    <row r="981" spans="10:14" x14ac:dyDescent="0.25">
      <c r="J981" s="45"/>
      <c r="K981" s="312"/>
      <c r="N981" s="514"/>
    </row>
    <row r="982" spans="10:14" x14ac:dyDescent="0.25">
      <c r="J982" s="45"/>
      <c r="K982" s="312"/>
      <c r="N982" s="514"/>
    </row>
    <row r="983" spans="10:14" x14ac:dyDescent="0.25">
      <c r="J983" s="45"/>
      <c r="K983" s="312"/>
      <c r="N983" s="514"/>
    </row>
    <row r="984" spans="10:14" x14ac:dyDescent="0.25">
      <c r="J984" s="45"/>
      <c r="K984" s="312"/>
      <c r="N984" s="514"/>
    </row>
    <row r="985" spans="10:14" x14ac:dyDescent="0.25">
      <c r="J985" s="45"/>
      <c r="K985" s="312"/>
      <c r="N985" s="514"/>
    </row>
    <row r="986" spans="10:14" x14ac:dyDescent="0.25">
      <c r="J986" s="45"/>
      <c r="K986" s="312"/>
      <c r="N986" s="514"/>
    </row>
    <row r="987" spans="10:14" x14ac:dyDescent="0.25">
      <c r="J987" s="45"/>
      <c r="K987" s="312"/>
      <c r="N987" s="514"/>
    </row>
    <row r="988" spans="10:14" x14ac:dyDescent="0.25">
      <c r="J988" s="45"/>
      <c r="K988" s="312"/>
      <c r="N988" s="514"/>
    </row>
    <row r="989" spans="10:14" x14ac:dyDescent="0.25">
      <c r="J989" s="45"/>
      <c r="K989" s="312"/>
      <c r="N989" s="514"/>
    </row>
    <row r="990" spans="10:14" x14ac:dyDescent="0.25">
      <c r="J990" s="45"/>
      <c r="K990" s="312"/>
      <c r="N990" s="514"/>
    </row>
    <row r="991" spans="10:14" x14ac:dyDescent="0.25">
      <c r="J991" s="45"/>
      <c r="K991" s="312"/>
      <c r="N991" s="514"/>
    </row>
    <row r="992" spans="10:14" x14ac:dyDescent="0.25">
      <c r="J992" s="45"/>
      <c r="K992" s="312"/>
      <c r="N992" s="514"/>
    </row>
    <row r="993" spans="10:14" x14ac:dyDescent="0.25">
      <c r="J993" s="45"/>
      <c r="K993" s="312"/>
      <c r="N993" s="514"/>
    </row>
    <row r="994" spans="10:14" x14ac:dyDescent="0.25">
      <c r="J994" s="45"/>
      <c r="K994" s="312"/>
      <c r="N994" s="514"/>
    </row>
    <row r="995" spans="10:14" x14ac:dyDescent="0.25">
      <c r="J995" s="45"/>
      <c r="K995" s="312"/>
      <c r="N995" s="514"/>
    </row>
    <row r="996" spans="10:14" x14ac:dyDescent="0.25">
      <c r="J996" s="45"/>
      <c r="K996" s="312"/>
      <c r="N996" s="514"/>
    </row>
    <row r="997" spans="10:14" x14ac:dyDescent="0.25">
      <c r="J997" s="45"/>
      <c r="K997" s="312"/>
      <c r="N997" s="514"/>
    </row>
    <row r="998" spans="10:14" x14ac:dyDescent="0.25">
      <c r="J998" s="45"/>
      <c r="K998" s="312"/>
      <c r="N998" s="514"/>
    </row>
    <row r="999" spans="10:14" x14ac:dyDescent="0.25">
      <c r="J999" s="45"/>
      <c r="K999" s="312"/>
      <c r="N999" s="514"/>
    </row>
    <row r="1000" spans="10:14" x14ac:dyDescent="0.25">
      <c r="J1000" s="45"/>
      <c r="K1000" s="312"/>
      <c r="N1000" s="514"/>
    </row>
    <row r="1001" spans="10:14" x14ac:dyDescent="0.25">
      <c r="J1001" s="45"/>
      <c r="K1001" s="312"/>
      <c r="N1001" s="514"/>
    </row>
    <row r="1002" spans="10:14" x14ac:dyDescent="0.25">
      <c r="J1002" s="45"/>
      <c r="K1002" s="312"/>
      <c r="N1002" s="514"/>
    </row>
    <row r="1003" spans="10:14" x14ac:dyDescent="0.25">
      <c r="J1003" s="45"/>
      <c r="K1003" s="312"/>
      <c r="N1003" s="514"/>
    </row>
    <row r="1004" spans="10:14" x14ac:dyDescent="0.25">
      <c r="J1004" s="45"/>
      <c r="K1004" s="312"/>
      <c r="N1004" s="514"/>
    </row>
    <row r="1005" spans="10:14" x14ac:dyDescent="0.25">
      <c r="J1005" s="45"/>
      <c r="K1005" s="312"/>
      <c r="N1005" s="514"/>
    </row>
    <row r="1006" spans="10:14" x14ac:dyDescent="0.25">
      <c r="J1006" s="45"/>
      <c r="K1006" s="312"/>
      <c r="N1006" s="514"/>
    </row>
    <row r="1007" spans="10:14" x14ac:dyDescent="0.25">
      <c r="J1007" s="45"/>
      <c r="K1007" s="312"/>
      <c r="N1007" s="514"/>
    </row>
    <row r="1008" spans="10:14" x14ac:dyDescent="0.25">
      <c r="J1008" s="45"/>
      <c r="K1008" s="312"/>
      <c r="N1008" s="514"/>
    </row>
    <row r="1009" spans="10:14" x14ac:dyDescent="0.25">
      <c r="J1009" s="45"/>
      <c r="K1009" s="312"/>
      <c r="N1009" s="514"/>
    </row>
    <row r="1010" spans="10:14" x14ac:dyDescent="0.25">
      <c r="J1010" s="45"/>
      <c r="K1010" s="312"/>
      <c r="N1010" s="514"/>
    </row>
    <row r="1011" spans="10:14" x14ac:dyDescent="0.25">
      <c r="K1011" s="312"/>
      <c r="N1011" s="514"/>
    </row>
    <row r="1012" spans="10:14" x14ac:dyDescent="0.25">
      <c r="K1012" s="312"/>
      <c r="N1012" s="514"/>
    </row>
    <row r="1013" spans="10:14" x14ac:dyDescent="0.25">
      <c r="K1013" s="312"/>
      <c r="N1013" s="514"/>
    </row>
    <row r="1014" spans="10:14" x14ac:dyDescent="0.25">
      <c r="K1014" s="312"/>
      <c r="N1014" s="514"/>
    </row>
    <row r="1015" spans="10:14" x14ac:dyDescent="0.25">
      <c r="K1015" s="312"/>
      <c r="N1015" s="514"/>
    </row>
    <row r="1016" spans="10:14" x14ac:dyDescent="0.25">
      <c r="K1016" s="312"/>
      <c r="N1016" s="514"/>
    </row>
    <row r="1017" spans="10:14" x14ac:dyDescent="0.25">
      <c r="K1017" s="312"/>
      <c r="N1017" s="514"/>
    </row>
    <row r="1018" spans="10:14" x14ac:dyDescent="0.25">
      <c r="K1018" s="312"/>
      <c r="N1018" s="514"/>
    </row>
    <row r="1019" spans="10:14" x14ac:dyDescent="0.25">
      <c r="K1019" s="312"/>
      <c r="N1019" s="514"/>
    </row>
    <row r="1020" spans="10:14" x14ac:dyDescent="0.25">
      <c r="K1020" s="312"/>
      <c r="N1020" s="514"/>
    </row>
    <row r="1021" spans="10:14" x14ac:dyDescent="0.25">
      <c r="K1021" s="312"/>
      <c r="N1021" s="514"/>
    </row>
    <row r="1022" spans="10:14" x14ac:dyDescent="0.25">
      <c r="K1022" s="312"/>
      <c r="N1022" s="514"/>
    </row>
    <row r="1023" spans="10:14" x14ac:dyDescent="0.25">
      <c r="K1023" s="312"/>
      <c r="N1023" s="514"/>
    </row>
    <row r="1024" spans="10:14" x14ac:dyDescent="0.25">
      <c r="K1024" s="312"/>
      <c r="N1024" s="514"/>
    </row>
    <row r="1025" spans="11:14" x14ac:dyDescent="0.25">
      <c r="K1025" s="312"/>
      <c r="N1025" s="514"/>
    </row>
    <row r="1026" spans="11:14" x14ac:dyDescent="0.25">
      <c r="K1026" s="312"/>
      <c r="N1026" s="514"/>
    </row>
    <row r="1027" spans="11:14" x14ac:dyDescent="0.25">
      <c r="K1027" s="312"/>
      <c r="N1027" s="514"/>
    </row>
    <row r="1028" spans="11:14" x14ac:dyDescent="0.25">
      <c r="K1028" s="312"/>
      <c r="N1028" s="514"/>
    </row>
    <row r="1029" spans="11:14" x14ac:dyDescent="0.25">
      <c r="K1029" s="312"/>
      <c r="N1029" s="514"/>
    </row>
    <row r="1030" spans="11:14" x14ac:dyDescent="0.25">
      <c r="K1030" s="312"/>
      <c r="N1030" s="514"/>
    </row>
    <row r="1031" spans="11:14" x14ac:dyDescent="0.25">
      <c r="K1031" s="312"/>
      <c r="N1031" s="514"/>
    </row>
    <row r="1032" spans="11:14" x14ac:dyDescent="0.25">
      <c r="K1032" s="312"/>
      <c r="N1032" s="514"/>
    </row>
    <row r="1033" spans="11:14" x14ac:dyDescent="0.25">
      <c r="K1033" s="312"/>
      <c r="N1033" s="514"/>
    </row>
    <row r="1034" spans="11:14" x14ac:dyDescent="0.25">
      <c r="K1034" s="312"/>
      <c r="N1034" s="514"/>
    </row>
    <row r="1035" spans="11:14" x14ac:dyDescent="0.25">
      <c r="K1035" s="312"/>
      <c r="N1035" s="514"/>
    </row>
    <row r="1036" spans="11:14" x14ac:dyDescent="0.25">
      <c r="K1036" s="312"/>
      <c r="N1036" s="514"/>
    </row>
    <row r="1037" spans="11:14" x14ac:dyDescent="0.25">
      <c r="K1037" s="312"/>
      <c r="N1037" s="514"/>
    </row>
    <row r="1038" spans="11:14" x14ac:dyDescent="0.25">
      <c r="K1038" s="312"/>
      <c r="N1038" s="514"/>
    </row>
    <row r="1039" spans="11:14" x14ac:dyDescent="0.25">
      <c r="K1039" s="312"/>
      <c r="N1039" s="514"/>
    </row>
    <row r="1040" spans="11:14" x14ac:dyDescent="0.25">
      <c r="K1040" s="312"/>
      <c r="N1040" s="514"/>
    </row>
    <row r="1041" spans="11:14" x14ac:dyDescent="0.25">
      <c r="K1041" s="312"/>
      <c r="N1041" s="514"/>
    </row>
    <row r="1042" spans="11:14" x14ac:dyDescent="0.25">
      <c r="K1042" s="312"/>
      <c r="N1042" s="514"/>
    </row>
    <row r="1043" spans="11:14" x14ac:dyDescent="0.25">
      <c r="K1043" s="312"/>
      <c r="N1043" s="514"/>
    </row>
    <row r="1044" spans="11:14" x14ac:dyDescent="0.25">
      <c r="K1044" s="312"/>
      <c r="N1044" s="514"/>
    </row>
    <row r="1045" spans="11:14" x14ac:dyDescent="0.25">
      <c r="K1045" s="312"/>
      <c r="N1045" s="514"/>
    </row>
    <row r="1046" spans="11:14" x14ac:dyDescent="0.25">
      <c r="K1046" s="312"/>
      <c r="N1046" s="514"/>
    </row>
    <row r="1047" spans="11:14" x14ac:dyDescent="0.25">
      <c r="K1047" s="312"/>
      <c r="N1047" s="514"/>
    </row>
    <row r="1048" spans="11:14" x14ac:dyDescent="0.25">
      <c r="K1048" s="312"/>
      <c r="N1048" s="514"/>
    </row>
    <row r="1049" spans="11:14" x14ac:dyDescent="0.25">
      <c r="K1049" s="312"/>
      <c r="N1049" s="514"/>
    </row>
    <row r="1050" spans="11:14" x14ac:dyDescent="0.25">
      <c r="K1050" s="312"/>
      <c r="N1050" s="514"/>
    </row>
    <row r="1051" spans="11:14" x14ac:dyDescent="0.25">
      <c r="K1051" s="312"/>
      <c r="N1051" s="514"/>
    </row>
    <row r="1052" spans="11:14" x14ac:dyDescent="0.25">
      <c r="K1052" s="312"/>
      <c r="N1052" s="514"/>
    </row>
    <row r="1053" spans="11:14" x14ac:dyDescent="0.25">
      <c r="K1053" s="312"/>
      <c r="N1053" s="514"/>
    </row>
    <row r="1054" spans="11:14" x14ac:dyDescent="0.25">
      <c r="K1054" s="312"/>
      <c r="N1054" s="514"/>
    </row>
    <row r="1055" spans="11:14" x14ac:dyDescent="0.25">
      <c r="K1055" s="312"/>
      <c r="N1055" s="514"/>
    </row>
    <row r="1056" spans="11:14" x14ac:dyDescent="0.25">
      <c r="K1056" s="312"/>
      <c r="N1056" s="514"/>
    </row>
    <row r="1057" spans="11:14" x14ac:dyDescent="0.25">
      <c r="K1057" s="312"/>
      <c r="N1057" s="514"/>
    </row>
    <row r="1058" spans="11:14" x14ac:dyDescent="0.25">
      <c r="K1058" s="312"/>
      <c r="N1058" s="514"/>
    </row>
    <row r="1059" spans="11:14" x14ac:dyDescent="0.25">
      <c r="K1059" s="312"/>
      <c r="N1059" s="514"/>
    </row>
    <row r="1060" spans="11:14" x14ac:dyDescent="0.25">
      <c r="K1060" s="312"/>
      <c r="N1060" s="514"/>
    </row>
    <row r="1061" spans="11:14" x14ac:dyDescent="0.25">
      <c r="K1061" s="312"/>
      <c r="N1061" s="514"/>
    </row>
    <row r="1062" spans="11:14" x14ac:dyDescent="0.25">
      <c r="K1062" s="312"/>
      <c r="N1062" s="514"/>
    </row>
    <row r="1063" spans="11:14" x14ac:dyDescent="0.25">
      <c r="K1063" s="312"/>
      <c r="N1063" s="514"/>
    </row>
    <row r="1064" spans="11:14" x14ac:dyDescent="0.25">
      <c r="K1064" s="312"/>
      <c r="N1064" s="514"/>
    </row>
    <row r="1065" spans="11:14" x14ac:dyDescent="0.25">
      <c r="K1065" s="312"/>
      <c r="N1065" s="514"/>
    </row>
    <row r="1066" spans="11:14" x14ac:dyDescent="0.25">
      <c r="K1066" s="312"/>
      <c r="N1066" s="514"/>
    </row>
    <row r="1067" spans="11:14" x14ac:dyDescent="0.25">
      <c r="K1067" s="312"/>
      <c r="N1067" s="514"/>
    </row>
    <row r="1068" spans="11:14" x14ac:dyDescent="0.25">
      <c r="K1068" s="312"/>
      <c r="N1068" s="514"/>
    </row>
    <row r="1069" spans="11:14" x14ac:dyDescent="0.25">
      <c r="K1069" s="312"/>
      <c r="N1069" s="514"/>
    </row>
    <row r="1070" spans="11:14" x14ac:dyDescent="0.25">
      <c r="K1070" s="312"/>
      <c r="N1070" s="514"/>
    </row>
    <row r="1071" spans="11:14" x14ac:dyDescent="0.25">
      <c r="K1071" s="312"/>
      <c r="N1071" s="514"/>
    </row>
    <row r="1072" spans="11:14" x14ac:dyDescent="0.25">
      <c r="K1072" s="312"/>
      <c r="N1072" s="514"/>
    </row>
    <row r="1073" spans="11:14" x14ac:dyDescent="0.25">
      <c r="K1073" s="312"/>
      <c r="N1073" s="514"/>
    </row>
    <row r="1074" spans="11:14" x14ac:dyDescent="0.25">
      <c r="K1074" s="312"/>
      <c r="N1074" s="514"/>
    </row>
    <row r="1075" spans="11:14" x14ac:dyDescent="0.25">
      <c r="K1075" s="312"/>
      <c r="N1075" s="514"/>
    </row>
    <row r="1076" spans="11:14" x14ac:dyDescent="0.25">
      <c r="K1076" s="312"/>
      <c r="N1076" s="514"/>
    </row>
    <row r="1077" spans="11:14" x14ac:dyDescent="0.25">
      <c r="K1077" s="312"/>
      <c r="N1077" s="514"/>
    </row>
    <row r="1078" spans="11:14" x14ac:dyDescent="0.25">
      <c r="K1078" s="312"/>
      <c r="N1078" s="514"/>
    </row>
    <row r="1079" spans="11:14" x14ac:dyDescent="0.25">
      <c r="K1079" s="312"/>
      <c r="N1079" s="514"/>
    </row>
    <row r="1080" spans="11:14" x14ac:dyDescent="0.25">
      <c r="K1080" s="312"/>
      <c r="N1080" s="514"/>
    </row>
    <row r="1081" spans="11:14" x14ac:dyDescent="0.25">
      <c r="K1081" s="312"/>
      <c r="N1081" s="514"/>
    </row>
    <row r="1082" spans="11:14" x14ac:dyDescent="0.25">
      <c r="K1082" s="312"/>
      <c r="N1082" s="514"/>
    </row>
    <row r="1083" spans="11:14" x14ac:dyDescent="0.25">
      <c r="K1083" s="312"/>
      <c r="N1083" s="514"/>
    </row>
    <row r="1084" spans="11:14" x14ac:dyDescent="0.25">
      <c r="K1084" s="312"/>
      <c r="N1084" s="514"/>
    </row>
    <row r="1085" spans="11:14" x14ac:dyDescent="0.25">
      <c r="K1085" s="312"/>
      <c r="N1085" s="514"/>
    </row>
    <row r="1086" spans="11:14" x14ac:dyDescent="0.25">
      <c r="K1086" s="312"/>
      <c r="N1086" s="514"/>
    </row>
    <row r="1087" spans="11:14" x14ac:dyDescent="0.25">
      <c r="K1087" s="312"/>
      <c r="N1087" s="514"/>
    </row>
    <row r="1088" spans="11:14" x14ac:dyDescent="0.25">
      <c r="K1088" s="312"/>
      <c r="N1088" s="514"/>
    </row>
    <row r="1089" spans="11:14" x14ac:dyDescent="0.25">
      <c r="K1089" s="312"/>
      <c r="N1089" s="514"/>
    </row>
    <row r="1090" spans="11:14" x14ac:dyDescent="0.25">
      <c r="K1090" s="312"/>
      <c r="N1090" s="514"/>
    </row>
    <row r="1091" spans="11:14" x14ac:dyDescent="0.25">
      <c r="K1091" s="312"/>
      <c r="N1091" s="514"/>
    </row>
    <row r="1092" spans="11:14" x14ac:dyDescent="0.25">
      <c r="K1092" s="312"/>
      <c r="N1092" s="514"/>
    </row>
    <row r="1093" spans="11:14" x14ac:dyDescent="0.25">
      <c r="K1093" s="312"/>
      <c r="N1093" s="514"/>
    </row>
    <row r="1094" spans="11:14" x14ac:dyDescent="0.25">
      <c r="K1094" s="312"/>
      <c r="N1094" s="514"/>
    </row>
    <row r="1095" spans="11:14" x14ac:dyDescent="0.25">
      <c r="K1095" s="312"/>
      <c r="N1095" s="514"/>
    </row>
    <row r="1096" spans="11:14" x14ac:dyDescent="0.25">
      <c r="K1096" s="312"/>
      <c r="N1096" s="514"/>
    </row>
    <row r="1097" spans="11:14" x14ac:dyDescent="0.25">
      <c r="K1097" s="312"/>
      <c r="N1097" s="514"/>
    </row>
    <row r="1098" spans="11:14" x14ac:dyDescent="0.25">
      <c r="K1098" s="312"/>
      <c r="N1098" s="514"/>
    </row>
    <row r="1099" spans="11:14" x14ac:dyDescent="0.25">
      <c r="K1099" s="312"/>
      <c r="N1099" s="514"/>
    </row>
    <row r="1100" spans="11:14" x14ac:dyDescent="0.25">
      <c r="K1100" s="312"/>
      <c r="N1100" s="514"/>
    </row>
    <row r="1101" spans="11:14" x14ac:dyDescent="0.25">
      <c r="K1101" s="312"/>
      <c r="N1101" s="514"/>
    </row>
    <row r="1102" spans="11:14" x14ac:dyDescent="0.25">
      <c r="K1102" s="312"/>
      <c r="N1102" s="514"/>
    </row>
    <row r="1103" spans="11:14" x14ac:dyDescent="0.25">
      <c r="K1103" s="312"/>
      <c r="N1103" s="514"/>
    </row>
    <row r="1104" spans="11:14" x14ac:dyDescent="0.25">
      <c r="K1104" s="312"/>
      <c r="N1104" s="514"/>
    </row>
    <row r="1105" spans="11:14" x14ac:dyDescent="0.25">
      <c r="K1105" s="312"/>
      <c r="N1105" s="514"/>
    </row>
    <row r="1106" spans="11:14" x14ac:dyDescent="0.25">
      <c r="K1106" s="312"/>
      <c r="N1106" s="514"/>
    </row>
    <row r="1107" spans="11:14" x14ac:dyDescent="0.25">
      <c r="K1107" s="312"/>
      <c r="N1107" s="514"/>
    </row>
    <row r="1108" spans="11:14" x14ac:dyDescent="0.25">
      <c r="K1108" s="312"/>
      <c r="N1108" s="514"/>
    </row>
    <row r="1109" spans="11:14" x14ac:dyDescent="0.25">
      <c r="K1109" s="312"/>
      <c r="N1109" s="514"/>
    </row>
    <row r="1110" spans="11:14" x14ac:dyDescent="0.25">
      <c r="K1110" s="312"/>
      <c r="N1110" s="514"/>
    </row>
    <row r="1111" spans="11:14" x14ac:dyDescent="0.25">
      <c r="K1111" s="312"/>
      <c r="N1111" s="514"/>
    </row>
    <row r="1112" spans="11:14" x14ac:dyDescent="0.25">
      <c r="K1112" s="312"/>
      <c r="N1112" s="514"/>
    </row>
    <row r="1113" spans="11:14" x14ac:dyDescent="0.25">
      <c r="K1113" s="312"/>
      <c r="N1113" s="514"/>
    </row>
    <row r="1114" spans="11:14" x14ac:dyDescent="0.25">
      <c r="K1114" s="312"/>
      <c r="N1114" s="514"/>
    </row>
    <row r="1115" spans="11:14" x14ac:dyDescent="0.25">
      <c r="K1115" s="312"/>
      <c r="N1115" s="514"/>
    </row>
    <row r="1116" spans="11:14" x14ac:dyDescent="0.25">
      <c r="K1116" s="312"/>
      <c r="N1116" s="514"/>
    </row>
    <row r="1117" spans="11:14" x14ac:dyDescent="0.25">
      <c r="K1117" s="312"/>
      <c r="N1117" s="514"/>
    </row>
    <row r="1118" spans="11:14" x14ac:dyDescent="0.25">
      <c r="K1118" s="312"/>
      <c r="N1118" s="514"/>
    </row>
    <row r="1119" spans="11:14" x14ac:dyDescent="0.25">
      <c r="K1119" s="312"/>
      <c r="N1119" s="514"/>
    </row>
    <row r="1120" spans="11:14" x14ac:dyDescent="0.25">
      <c r="K1120" s="312"/>
      <c r="N1120" s="514"/>
    </row>
    <row r="1121" spans="11:14" x14ac:dyDescent="0.25">
      <c r="K1121" s="312"/>
      <c r="N1121" s="514"/>
    </row>
    <row r="1122" spans="11:14" x14ac:dyDescent="0.25">
      <c r="K1122" s="312"/>
      <c r="N1122" s="514"/>
    </row>
    <row r="1123" spans="11:14" x14ac:dyDescent="0.25">
      <c r="K1123" s="312"/>
      <c r="N1123" s="514"/>
    </row>
    <row r="1124" spans="11:14" x14ac:dyDescent="0.25">
      <c r="K1124" s="312"/>
      <c r="N1124" s="514"/>
    </row>
    <row r="1125" spans="11:14" x14ac:dyDescent="0.25">
      <c r="K1125" s="312"/>
      <c r="N1125" s="514"/>
    </row>
    <row r="1126" spans="11:14" x14ac:dyDescent="0.25">
      <c r="K1126" s="312"/>
      <c r="N1126" s="514"/>
    </row>
    <row r="1127" spans="11:14" x14ac:dyDescent="0.25">
      <c r="K1127" s="312"/>
      <c r="N1127" s="514"/>
    </row>
    <row r="1128" spans="11:14" x14ac:dyDescent="0.25">
      <c r="K1128" s="312"/>
      <c r="N1128" s="514"/>
    </row>
    <row r="1129" spans="11:14" x14ac:dyDescent="0.25">
      <c r="K1129" s="312"/>
      <c r="N1129" s="514"/>
    </row>
    <row r="1130" spans="11:14" x14ac:dyDescent="0.25">
      <c r="K1130" s="312"/>
      <c r="N1130" s="514"/>
    </row>
    <row r="1131" spans="11:14" x14ac:dyDescent="0.25">
      <c r="K1131" s="312"/>
      <c r="N1131" s="514"/>
    </row>
    <row r="1132" spans="11:14" x14ac:dyDescent="0.25">
      <c r="K1132" s="312"/>
      <c r="N1132" s="514"/>
    </row>
    <row r="1133" spans="11:14" x14ac:dyDescent="0.25">
      <c r="K1133" s="312"/>
      <c r="N1133" s="514"/>
    </row>
    <row r="1134" spans="11:14" x14ac:dyDescent="0.25">
      <c r="K1134" s="312"/>
      <c r="N1134" s="514"/>
    </row>
    <row r="1135" spans="11:14" x14ac:dyDescent="0.25">
      <c r="K1135" s="312"/>
      <c r="N1135" s="514"/>
    </row>
    <row r="1136" spans="11:14" x14ac:dyDescent="0.25">
      <c r="K1136" s="312"/>
      <c r="N1136" s="514"/>
    </row>
    <row r="1137" spans="11:14" x14ac:dyDescent="0.25">
      <c r="K1137" s="312"/>
      <c r="N1137" s="514"/>
    </row>
    <row r="1138" spans="11:14" x14ac:dyDescent="0.25">
      <c r="K1138" s="312"/>
      <c r="N1138" s="514"/>
    </row>
    <row r="1139" spans="11:14" x14ac:dyDescent="0.25">
      <c r="K1139" s="312"/>
      <c r="N1139" s="514"/>
    </row>
    <row r="1140" spans="11:14" x14ac:dyDescent="0.25">
      <c r="K1140" s="312"/>
      <c r="N1140" s="514"/>
    </row>
    <row r="1141" spans="11:14" x14ac:dyDescent="0.25">
      <c r="K1141" s="312"/>
      <c r="N1141" s="514"/>
    </row>
    <row r="1142" spans="11:14" x14ac:dyDescent="0.25">
      <c r="K1142" s="312"/>
      <c r="N1142" s="514"/>
    </row>
    <row r="1143" spans="11:14" x14ac:dyDescent="0.25">
      <c r="K1143" s="312"/>
      <c r="N1143" s="514"/>
    </row>
    <row r="1144" spans="11:14" x14ac:dyDescent="0.25">
      <c r="K1144" s="312"/>
      <c r="N1144" s="514"/>
    </row>
    <row r="1145" spans="11:14" x14ac:dyDescent="0.25">
      <c r="K1145" s="312"/>
      <c r="N1145" s="514"/>
    </row>
    <row r="1146" spans="11:14" x14ac:dyDescent="0.25">
      <c r="K1146" s="312"/>
      <c r="N1146" s="514"/>
    </row>
    <row r="1147" spans="11:14" x14ac:dyDescent="0.25">
      <c r="K1147" s="312"/>
      <c r="N1147" s="514"/>
    </row>
    <row r="1148" spans="11:14" x14ac:dyDescent="0.25">
      <c r="K1148" s="312"/>
      <c r="N1148" s="514"/>
    </row>
    <row r="1149" spans="11:14" x14ac:dyDescent="0.25">
      <c r="K1149" s="312"/>
      <c r="N1149" s="514"/>
    </row>
    <row r="1150" spans="11:14" x14ac:dyDescent="0.25">
      <c r="K1150" s="312"/>
      <c r="N1150" s="514"/>
    </row>
    <row r="1151" spans="11:14" x14ac:dyDescent="0.25">
      <c r="K1151" s="312"/>
      <c r="N1151" s="514"/>
    </row>
    <row r="1152" spans="11:14" x14ac:dyDescent="0.25">
      <c r="K1152" s="312"/>
      <c r="N1152" s="514"/>
    </row>
    <row r="1153" spans="11:14" x14ac:dyDescent="0.25">
      <c r="K1153" s="312"/>
      <c r="N1153" s="514"/>
    </row>
    <row r="1154" spans="11:14" x14ac:dyDescent="0.25">
      <c r="K1154" s="312"/>
      <c r="N1154" s="514"/>
    </row>
    <row r="1155" spans="11:14" x14ac:dyDescent="0.25">
      <c r="K1155" s="312"/>
      <c r="N1155" s="514"/>
    </row>
    <row r="1156" spans="11:14" x14ac:dyDescent="0.25">
      <c r="K1156" s="312"/>
      <c r="N1156" s="514"/>
    </row>
    <row r="1157" spans="11:14" x14ac:dyDescent="0.25">
      <c r="K1157" s="312"/>
      <c r="N1157" s="514"/>
    </row>
    <row r="1158" spans="11:14" x14ac:dyDescent="0.25">
      <c r="K1158" s="312"/>
      <c r="N1158" s="514"/>
    </row>
    <row r="1159" spans="11:14" x14ac:dyDescent="0.25">
      <c r="K1159" s="312"/>
      <c r="N1159" s="514"/>
    </row>
    <row r="1160" spans="11:14" x14ac:dyDescent="0.25">
      <c r="K1160" s="312"/>
      <c r="N1160" s="514"/>
    </row>
    <row r="1161" spans="11:14" x14ac:dyDescent="0.25">
      <c r="K1161" s="312"/>
      <c r="N1161" s="514"/>
    </row>
    <row r="1162" spans="11:14" x14ac:dyDescent="0.25">
      <c r="K1162" s="312"/>
      <c r="N1162" s="514"/>
    </row>
    <row r="1163" spans="11:14" x14ac:dyDescent="0.25">
      <c r="K1163" s="312"/>
      <c r="N1163" s="514"/>
    </row>
    <row r="1164" spans="11:14" x14ac:dyDescent="0.25">
      <c r="K1164" s="312"/>
      <c r="N1164" s="514"/>
    </row>
    <row r="1165" spans="11:14" x14ac:dyDescent="0.25">
      <c r="K1165" s="312"/>
      <c r="N1165" s="514"/>
    </row>
    <row r="1166" spans="11:14" x14ac:dyDescent="0.25">
      <c r="K1166" s="312"/>
      <c r="N1166" s="514"/>
    </row>
    <row r="1167" spans="11:14" x14ac:dyDescent="0.25">
      <c r="K1167" s="312"/>
      <c r="N1167" s="514"/>
    </row>
    <row r="1168" spans="11:14" x14ac:dyDescent="0.25">
      <c r="K1168" s="312"/>
      <c r="N1168" s="514"/>
    </row>
    <row r="1169" spans="11:14" x14ac:dyDescent="0.25">
      <c r="K1169" s="312"/>
      <c r="N1169" s="514"/>
    </row>
    <row r="1170" spans="11:14" x14ac:dyDescent="0.25">
      <c r="K1170" s="312"/>
      <c r="N1170" s="514"/>
    </row>
    <row r="1171" spans="11:14" x14ac:dyDescent="0.25">
      <c r="K1171" s="312"/>
      <c r="N1171" s="514"/>
    </row>
    <row r="1172" spans="11:14" x14ac:dyDescent="0.25">
      <c r="K1172" s="312"/>
      <c r="N1172" s="514"/>
    </row>
    <row r="1173" spans="11:14" x14ac:dyDescent="0.25">
      <c r="K1173" s="312"/>
      <c r="N1173" s="514"/>
    </row>
    <row r="1174" spans="11:14" x14ac:dyDescent="0.25">
      <c r="K1174" s="312"/>
      <c r="N1174" s="514"/>
    </row>
    <row r="1175" spans="11:14" x14ac:dyDescent="0.25">
      <c r="K1175" s="312"/>
      <c r="N1175" s="514"/>
    </row>
    <row r="1176" spans="11:14" x14ac:dyDescent="0.25">
      <c r="K1176" s="312"/>
      <c r="N1176" s="514"/>
    </row>
    <row r="1177" spans="11:14" x14ac:dyDescent="0.25">
      <c r="K1177" s="312"/>
      <c r="N1177" s="514"/>
    </row>
    <row r="1178" spans="11:14" x14ac:dyDescent="0.25">
      <c r="K1178" s="312"/>
      <c r="N1178" s="514"/>
    </row>
    <row r="1179" spans="11:14" x14ac:dyDescent="0.25">
      <c r="K1179" s="312"/>
      <c r="N1179" s="514"/>
    </row>
    <row r="1180" spans="11:14" x14ac:dyDescent="0.25">
      <c r="K1180" s="312"/>
      <c r="N1180" s="514"/>
    </row>
    <row r="1181" spans="11:14" x14ac:dyDescent="0.25">
      <c r="K1181" s="312"/>
      <c r="N1181" s="514"/>
    </row>
    <row r="1182" spans="11:14" x14ac:dyDescent="0.25">
      <c r="K1182" s="312"/>
      <c r="N1182" s="514"/>
    </row>
    <row r="1183" spans="11:14" x14ac:dyDescent="0.25">
      <c r="K1183" s="312"/>
      <c r="N1183" s="514"/>
    </row>
    <row r="1184" spans="11:14" x14ac:dyDescent="0.25">
      <c r="K1184" s="312"/>
      <c r="N1184" s="514"/>
    </row>
    <row r="1185" spans="11:14" x14ac:dyDescent="0.25">
      <c r="K1185" s="312"/>
      <c r="N1185" s="514"/>
    </row>
    <row r="1186" spans="11:14" x14ac:dyDescent="0.25">
      <c r="K1186" s="312"/>
      <c r="N1186" s="514"/>
    </row>
    <row r="1187" spans="11:14" x14ac:dyDescent="0.25">
      <c r="K1187" s="312"/>
      <c r="N1187" s="514"/>
    </row>
    <row r="1188" spans="11:14" x14ac:dyDescent="0.25">
      <c r="K1188" s="312"/>
      <c r="N1188" s="514"/>
    </row>
    <row r="1189" spans="11:14" x14ac:dyDescent="0.25">
      <c r="K1189" s="312"/>
      <c r="N1189" s="514"/>
    </row>
    <row r="1190" spans="11:14" x14ac:dyDescent="0.25">
      <c r="K1190" s="312"/>
      <c r="N1190" s="514"/>
    </row>
    <row r="1191" spans="11:14" x14ac:dyDescent="0.25">
      <c r="K1191" s="312"/>
      <c r="N1191" s="514"/>
    </row>
    <row r="1192" spans="11:14" x14ac:dyDescent="0.25">
      <c r="K1192" s="312"/>
      <c r="N1192" s="514"/>
    </row>
    <row r="1193" spans="11:14" x14ac:dyDescent="0.25">
      <c r="K1193" s="312"/>
      <c r="N1193" s="514"/>
    </row>
    <row r="1194" spans="11:14" x14ac:dyDescent="0.25">
      <c r="K1194" s="312"/>
      <c r="N1194" s="514"/>
    </row>
    <row r="1195" spans="11:14" x14ac:dyDescent="0.25">
      <c r="K1195" s="312"/>
      <c r="N1195" s="514"/>
    </row>
    <row r="1196" spans="11:14" x14ac:dyDescent="0.25">
      <c r="K1196" s="312"/>
      <c r="N1196" s="514"/>
    </row>
    <row r="1197" spans="11:14" x14ac:dyDescent="0.25">
      <c r="K1197" s="312"/>
      <c r="N1197" s="514"/>
    </row>
    <row r="1198" spans="11:14" x14ac:dyDescent="0.25">
      <c r="K1198" s="312"/>
      <c r="N1198" s="514"/>
    </row>
    <row r="1199" spans="11:14" x14ac:dyDescent="0.25">
      <c r="K1199" s="312"/>
      <c r="N1199" s="514"/>
    </row>
    <row r="1200" spans="11:14" x14ac:dyDescent="0.25">
      <c r="K1200" s="312"/>
      <c r="N1200" s="514"/>
    </row>
    <row r="1201" spans="11:14" x14ac:dyDescent="0.25">
      <c r="K1201" s="312"/>
      <c r="N1201" s="514"/>
    </row>
    <row r="1202" spans="11:14" x14ac:dyDescent="0.25">
      <c r="K1202" s="312"/>
      <c r="N1202" s="514"/>
    </row>
    <row r="1203" spans="11:14" x14ac:dyDescent="0.25">
      <c r="K1203" s="312"/>
      <c r="N1203" s="514"/>
    </row>
    <row r="1204" spans="11:14" x14ac:dyDescent="0.25">
      <c r="K1204" s="312"/>
      <c r="N1204" s="514"/>
    </row>
    <row r="1205" spans="11:14" x14ac:dyDescent="0.25">
      <c r="K1205" s="312"/>
      <c r="N1205" s="514"/>
    </row>
    <row r="1206" spans="11:14" x14ac:dyDescent="0.25">
      <c r="K1206" s="312"/>
      <c r="N1206" s="514"/>
    </row>
    <row r="1207" spans="11:14" x14ac:dyDescent="0.25">
      <c r="K1207" s="312"/>
      <c r="N1207" s="514"/>
    </row>
    <row r="1208" spans="11:14" x14ac:dyDescent="0.25">
      <c r="K1208" s="312"/>
      <c r="N1208" s="514"/>
    </row>
    <row r="1209" spans="11:14" x14ac:dyDescent="0.25">
      <c r="K1209" s="312"/>
      <c r="N1209" s="514"/>
    </row>
    <row r="1210" spans="11:14" x14ac:dyDescent="0.25">
      <c r="K1210" s="312"/>
      <c r="N1210" s="514"/>
    </row>
    <row r="1211" spans="11:14" x14ac:dyDescent="0.25">
      <c r="K1211" s="312"/>
      <c r="N1211" s="514"/>
    </row>
    <row r="1212" spans="11:14" x14ac:dyDescent="0.25">
      <c r="K1212" s="312"/>
      <c r="N1212" s="514"/>
    </row>
    <row r="1213" spans="11:14" x14ac:dyDescent="0.25">
      <c r="K1213" s="312"/>
      <c r="N1213" s="514"/>
    </row>
    <row r="1214" spans="11:14" x14ac:dyDescent="0.25">
      <c r="K1214" s="312"/>
      <c r="N1214" s="514"/>
    </row>
    <row r="1215" spans="11:14" x14ac:dyDescent="0.25">
      <c r="K1215" s="312"/>
      <c r="N1215" s="514"/>
    </row>
    <row r="1216" spans="11:14" x14ac:dyDescent="0.25">
      <c r="K1216" s="312"/>
      <c r="N1216" s="514"/>
    </row>
    <row r="1217" spans="11:14" x14ac:dyDescent="0.25">
      <c r="K1217" s="312"/>
      <c r="N1217" s="514"/>
    </row>
    <row r="1218" spans="11:14" x14ac:dyDescent="0.25">
      <c r="K1218" s="312"/>
      <c r="N1218" s="514"/>
    </row>
    <row r="1219" spans="11:14" x14ac:dyDescent="0.25">
      <c r="K1219" s="312"/>
      <c r="N1219" s="514"/>
    </row>
    <row r="1220" spans="11:14" x14ac:dyDescent="0.25">
      <c r="K1220" s="312"/>
      <c r="N1220" s="514"/>
    </row>
    <row r="1221" spans="11:14" x14ac:dyDescent="0.25">
      <c r="K1221" s="312"/>
      <c r="N1221" s="514"/>
    </row>
    <row r="1222" spans="11:14" x14ac:dyDescent="0.25">
      <c r="K1222" s="312"/>
      <c r="N1222" s="514"/>
    </row>
    <row r="1223" spans="11:14" x14ac:dyDescent="0.25">
      <c r="K1223" s="312"/>
      <c r="N1223" s="514"/>
    </row>
    <row r="1224" spans="11:14" x14ac:dyDescent="0.25">
      <c r="K1224" s="312"/>
      <c r="N1224" s="514"/>
    </row>
    <row r="1225" spans="11:14" x14ac:dyDescent="0.25">
      <c r="K1225" s="312"/>
      <c r="N1225" s="514"/>
    </row>
    <row r="1226" spans="11:14" x14ac:dyDescent="0.25">
      <c r="K1226" s="312"/>
      <c r="N1226" s="514"/>
    </row>
    <row r="1227" spans="11:14" x14ac:dyDescent="0.25">
      <c r="K1227" s="312"/>
      <c r="N1227" s="514"/>
    </row>
    <row r="1228" spans="11:14" x14ac:dyDescent="0.25">
      <c r="K1228" s="312"/>
      <c r="N1228" s="514"/>
    </row>
    <row r="1229" spans="11:14" x14ac:dyDescent="0.25">
      <c r="K1229" s="312"/>
      <c r="N1229" s="514"/>
    </row>
    <row r="1230" spans="11:14" x14ac:dyDescent="0.25">
      <c r="K1230" s="312"/>
      <c r="N1230" s="514"/>
    </row>
    <row r="1231" spans="11:14" x14ac:dyDescent="0.25">
      <c r="K1231" s="312"/>
      <c r="N1231" s="514"/>
    </row>
    <row r="1232" spans="11:14" x14ac:dyDescent="0.25">
      <c r="K1232" s="312"/>
      <c r="N1232" s="514"/>
    </row>
    <row r="1233" spans="11:14" x14ac:dyDescent="0.25">
      <c r="K1233" s="312"/>
      <c r="N1233" s="514"/>
    </row>
    <row r="1234" spans="11:14" x14ac:dyDescent="0.25">
      <c r="K1234" s="312"/>
      <c r="N1234" s="514"/>
    </row>
    <row r="1235" spans="11:14" x14ac:dyDescent="0.25">
      <c r="K1235" s="312"/>
      <c r="N1235" s="514"/>
    </row>
    <row r="1236" spans="11:14" x14ac:dyDescent="0.25">
      <c r="K1236" s="312"/>
      <c r="N1236" s="514"/>
    </row>
    <row r="1237" spans="11:14" x14ac:dyDescent="0.25">
      <c r="K1237" s="312"/>
      <c r="N1237" s="514"/>
    </row>
    <row r="1238" spans="11:14" x14ac:dyDescent="0.25">
      <c r="K1238" s="312"/>
      <c r="N1238" s="514"/>
    </row>
    <row r="1239" spans="11:14" x14ac:dyDescent="0.25">
      <c r="K1239" s="312"/>
      <c r="N1239" s="514"/>
    </row>
    <row r="1240" spans="11:14" x14ac:dyDescent="0.25">
      <c r="K1240" s="312"/>
      <c r="N1240" s="514"/>
    </row>
    <row r="1241" spans="11:14" x14ac:dyDescent="0.25">
      <c r="K1241" s="312"/>
      <c r="N1241" s="514"/>
    </row>
    <row r="1242" spans="11:14" x14ac:dyDescent="0.25">
      <c r="K1242" s="312"/>
      <c r="N1242" s="514"/>
    </row>
    <row r="1243" spans="11:14" x14ac:dyDescent="0.25">
      <c r="K1243" s="312"/>
      <c r="N1243" s="514"/>
    </row>
    <row r="1244" spans="11:14" x14ac:dyDescent="0.25">
      <c r="K1244" s="312"/>
      <c r="N1244" s="514"/>
    </row>
    <row r="1245" spans="11:14" x14ac:dyDescent="0.25">
      <c r="K1245" s="312"/>
      <c r="N1245" s="514"/>
    </row>
    <row r="1246" spans="11:14" x14ac:dyDescent="0.25">
      <c r="K1246" s="312"/>
      <c r="N1246" s="514"/>
    </row>
    <row r="1247" spans="11:14" x14ac:dyDescent="0.25">
      <c r="K1247" s="312"/>
      <c r="N1247" s="514"/>
    </row>
    <row r="1248" spans="11:14" x14ac:dyDescent="0.25">
      <c r="K1248" s="312"/>
      <c r="N1248" s="514"/>
    </row>
    <row r="1249" spans="11:14" x14ac:dyDescent="0.25">
      <c r="K1249" s="312"/>
      <c r="N1249" s="514"/>
    </row>
    <row r="1250" spans="11:14" x14ac:dyDescent="0.25">
      <c r="K1250" s="312"/>
      <c r="N1250" s="514"/>
    </row>
    <row r="1251" spans="11:14" x14ac:dyDescent="0.25">
      <c r="K1251" s="312"/>
      <c r="N1251" s="514"/>
    </row>
    <row r="1252" spans="11:14" x14ac:dyDescent="0.25">
      <c r="K1252" s="312"/>
      <c r="N1252" s="514"/>
    </row>
    <row r="1253" spans="11:14" x14ac:dyDescent="0.25">
      <c r="K1253" s="312"/>
      <c r="N1253" s="514"/>
    </row>
    <row r="1254" spans="11:14" x14ac:dyDescent="0.25">
      <c r="K1254" s="312"/>
      <c r="N1254" s="514"/>
    </row>
    <row r="1255" spans="11:14" x14ac:dyDescent="0.25">
      <c r="K1255" s="312"/>
      <c r="N1255" s="514"/>
    </row>
    <row r="1256" spans="11:14" x14ac:dyDescent="0.25">
      <c r="K1256" s="312"/>
      <c r="N1256" s="514"/>
    </row>
    <row r="1257" spans="11:14" x14ac:dyDescent="0.25">
      <c r="K1257" s="312"/>
      <c r="N1257" s="514"/>
    </row>
    <row r="1258" spans="11:14" x14ac:dyDescent="0.25">
      <c r="K1258" s="312"/>
      <c r="N1258" s="514"/>
    </row>
    <row r="1259" spans="11:14" x14ac:dyDescent="0.25">
      <c r="K1259" s="312"/>
      <c r="N1259" s="514"/>
    </row>
    <row r="1260" spans="11:14" x14ac:dyDescent="0.25">
      <c r="K1260" s="312"/>
      <c r="N1260" s="514"/>
    </row>
    <row r="1261" spans="11:14" x14ac:dyDescent="0.25">
      <c r="K1261" s="312"/>
      <c r="N1261" s="514"/>
    </row>
    <row r="1262" spans="11:14" x14ac:dyDescent="0.25">
      <c r="K1262" s="312"/>
      <c r="N1262" s="514"/>
    </row>
    <row r="1263" spans="11:14" x14ac:dyDescent="0.25">
      <c r="K1263" s="312"/>
      <c r="N1263" s="514"/>
    </row>
    <row r="1264" spans="11:14" x14ac:dyDescent="0.25">
      <c r="K1264" s="312"/>
      <c r="N1264" s="514"/>
    </row>
    <row r="1265" spans="11:14" x14ac:dyDescent="0.25">
      <c r="K1265" s="312"/>
      <c r="N1265" s="514"/>
    </row>
    <row r="1266" spans="11:14" x14ac:dyDescent="0.25">
      <c r="K1266" s="312"/>
      <c r="N1266" s="514"/>
    </row>
    <row r="1267" spans="11:14" x14ac:dyDescent="0.25">
      <c r="K1267" s="312"/>
      <c r="N1267" s="514"/>
    </row>
    <row r="1268" spans="11:14" x14ac:dyDescent="0.25">
      <c r="K1268" s="312"/>
      <c r="N1268" s="514"/>
    </row>
    <row r="1269" spans="11:14" x14ac:dyDescent="0.25">
      <c r="K1269" s="312"/>
      <c r="N1269" s="514"/>
    </row>
    <row r="1270" spans="11:14" x14ac:dyDescent="0.25">
      <c r="K1270" s="312"/>
      <c r="N1270" s="514"/>
    </row>
    <row r="1271" spans="11:14" x14ac:dyDescent="0.25">
      <c r="K1271" s="312"/>
      <c r="N1271" s="514"/>
    </row>
    <row r="1272" spans="11:14" x14ac:dyDescent="0.25">
      <c r="K1272" s="312"/>
      <c r="N1272" s="514"/>
    </row>
    <row r="1273" spans="11:14" x14ac:dyDescent="0.25">
      <c r="K1273" s="312"/>
      <c r="N1273" s="514"/>
    </row>
    <row r="1274" spans="11:14" x14ac:dyDescent="0.25">
      <c r="K1274" s="312"/>
      <c r="N1274" s="514"/>
    </row>
    <row r="1275" spans="11:14" x14ac:dyDescent="0.25">
      <c r="K1275" s="312"/>
      <c r="N1275" s="514"/>
    </row>
    <row r="1276" spans="11:14" x14ac:dyDescent="0.25">
      <c r="K1276" s="312"/>
      <c r="N1276" s="514"/>
    </row>
    <row r="1277" spans="11:14" x14ac:dyDescent="0.25">
      <c r="K1277" s="312"/>
      <c r="N1277" s="514"/>
    </row>
    <row r="1278" spans="11:14" x14ac:dyDescent="0.25">
      <c r="K1278" s="312"/>
      <c r="N1278" s="514"/>
    </row>
    <row r="1279" spans="11:14" x14ac:dyDescent="0.25">
      <c r="K1279" s="312"/>
      <c r="N1279" s="514"/>
    </row>
    <row r="1280" spans="11:14" x14ac:dyDescent="0.25">
      <c r="K1280" s="312"/>
      <c r="N1280" s="514"/>
    </row>
    <row r="1281" spans="11:14" x14ac:dyDescent="0.25">
      <c r="K1281" s="312"/>
      <c r="N1281" s="514"/>
    </row>
    <row r="1282" spans="11:14" x14ac:dyDescent="0.25">
      <c r="K1282" s="312"/>
      <c r="N1282" s="514"/>
    </row>
    <row r="1283" spans="11:14" x14ac:dyDescent="0.25">
      <c r="K1283" s="312"/>
      <c r="N1283" s="514"/>
    </row>
    <row r="1284" spans="11:14" x14ac:dyDescent="0.25">
      <c r="K1284" s="312"/>
      <c r="N1284" s="514"/>
    </row>
    <row r="1285" spans="11:14" x14ac:dyDescent="0.25">
      <c r="K1285" s="312"/>
      <c r="N1285" s="514"/>
    </row>
    <row r="1286" spans="11:14" x14ac:dyDescent="0.25">
      <c r="K1286" s="312"/>
      <c r="N1286" s="514"/>
    </row>
    <row r="1287" spans="11:14" x14ac:dyDescent="0.25">
      <c r="K1287" s="312"/>
      <c r="N1287" s="514"/>
    </row>
    <row r="1288" spans="11:14" x14ac:dyDescent="0.25">
      <c r="K1288" s="312"/>
      <c r="N1288" s="514"/>
    </row>
    <row r="1289" spans="11:14" x14ac:dyDescent="0.25">
      <c r="K1289" s="312"/>
      <c r="N1289" s="514"/>
    </row>
    <row r="1290" spans="11:14" x14ac:dyDescent="0.25">
      <c r="K1290" s="312"/>
      <c r="N1290" s="514"/>
    </row>
    <row r="1291" spans="11:14" x14ac:dyDescent="0.25">
      <c r="K1291" s="312"/>
      <c r="N1291" s="514"/>
    </row>
    <row r="1292" spans="11:14" x14ac:dyDescent="0.25">
      <c r="K1292" s="312"/>
      <c r="N1292" s="514"/>
    </row>
    <row r="1293" spans="11:14" x14ac:dyDescent="0.25">
      <c r="K1293" s="312"/>
      <c r="N1293" s="514"/>
    </row>
    <row r="1294" spans="11:14" x14ac:dyDescent="0.25">
      <c r="K1294" s="312"/>
      <c r="N1294" s="514"/>
    </row>
    <row r="1295" spans="11:14" x14ac:dyDescent="0.25">
      <c r="K1295" s="312"/>
      <c r="N1295" s="514"/>
    </row>
    <row r="1296" spans="11:14" x14ac:dyDescent="0.25">
      <c r="K1296" s="312"/>
      <c r="N1296" s="514"/>
    </row>
    <row r="1297" spans="11:14" x14ac:dyDescent="0.25">
      <c r="K1297" s="312"/>
      <c r="N1297" s="514"/>
    </row>
    <row r="1298" spans="11:14" x14ac:dyDescent="0.25">
      <c r="K1298" s="312"/>
      <c r="N1298" s="514"/>
    </row>
    <row r="1299" spans="11:14" x14ac:dyDescent="0.25">
      <c r="K1299" s="312"/>
      <c r="N1299" s="514"/>
    </row>
    <row r="1300" spans="11:14" x14ac:dyDescent="0.25">
      <c r="K1300" s="312"/>
      <c r="N1300" s="514"/>
    </row>
    <row r="1301" spans="11:14" x14ac:dyDescent="0.25">
      <c r="K1301" s="312"/>
      <c r="N1301" s="514"/>
    </row>
    <row r="1302" spans="11:14" x14ac:dyDescent="0.25">
      <c r="K1302" s="312"/>
      <c r="N1302" s="514"/>
    </row>
    <row r="1303" spans="11:14" x14ac:dyDescent="0.25">
      <c r="K1303" s="312"/>
      <c r="N1303" s="514"/>
    </row>
    <row r="1304" spans="11:14" x14ac:dyDescent="0.25">
      <c r="K1304" s="312"/>
      <c r="N1304" s="514"/>
    </row>
    <row r="1305" spans="11:14" x14ac:dyDescent="0.25">
      <c r="K1305" s="312"/>
      <c r="N1305" s="514"/>
    </row>
    <row r="1306" spans="11:14" x14ac:dyDescent="0.25">
      <c r="K1306" s="312"/>
      <c r="N1306" s="514"/>
    </row>
    <row r="1307" spans="11:14" x14ac:dyDescent="0.25">
      <c r="K1307" s="312"/>
      <c r="N1307" s="514"/>
    </row>
    <row r="1308" spans="11:14" x14ac:dyDescent="0.25">
      <c r="K1308" s="312"/>
      <c r="N1308" s="514"/>
    </row>
    <row r="1309" spans="11:14" x14ac:dyDescent="0.25">
      <c r="K1309" s="312"/>
      <c r="N1309" s="514"/>
    </row>
    <row r="1310" spans="11:14" x14ac:dyDescent="0.25">
      <c r="K1310" s="312"/>
      <c r="N1310" s="514"/>
    </row>
    <row r="1311" spans="11:14" x14ac:dyDescent="0.25">
      <c r="K1311" s="312"/>
      <c r="N1311" s="514"/>
    </row>
    <row r="1312" spans="11:14" x14ac:dyDescent="0.25">
      <c r="K1312" s="312"/>
      <c r="N1312" s="514"/>
    </row>
    <row r="1313" spans="11:14" x14ac:dyDescent="0.25">
      <c r="K1313" s="312"/>
      <c r="N1313" s="514"/>
    </row>
    <row r="1314" spans="11:14" x14ac:dyDescent="0.25">
      <c r="K1314" s="312"/>
      <c r="N1314" s="514"/>
    </row>
    <row r="1315" spans="11:14" x14ac:dyDescent="0.25">
      <c r="K1315" s="312"/>
      <c r="N1315" s="514"/>
    </row>
    <row r="1316" spans="11:14" x14ac:dyDescent="0.25">
      <c r="K1316" s="312"/>
      <c r="N1316" s="514"/>
    </row>
    <row r="1317" spans="11:14" x14ac:dyDescent="0.25">
      <c r="K1317" s="312"/>
      <c r="N1317" s="514"/>
    </row>
    <row r="1318" spans="11:14" x14ac:dyDescent="0.25">
      <c r="K1318" s="312"/>
      <c r="N1318" s="514"/>
    </row>
    <row r="1319" spans="11:14" x14ac:dyDescent="0.25">
      <c r="K1319" s="312"/>
      <c r="N1319" s="514"/>
    </row>
    <row r="1320" spans="11:14" x14ac:dyDescent="0.25">
      <c r="K1320" s="312"/>
      <c r="N1320" s="514"/>
    </row>
    <row r="1321" spans="11:14" x14ac:dyDescent="0.25">
      <c r="K1321" s="312"/>
      <c r="N1321" s="514"/>
    </row>
    <row r="1322" spans="11:14" x14ac:dyDescent="0.25">
      <c r="K1322" s="312"/>
      <c r="N1322" s="514"/>
    </row>
    <row r="1323" spans="11:14" x14ac:dyDescent="0.25">
      <c r="K1323" s="312"/>
      <c r="N1323" s="514"/>
    </row>
    <row r="1324" spans="11:14" x14ac:dyDescent="0.25">
      <c r="K1324" s="312"/>
      <c r="N1324" s="514"/>
    </row>
    <row r="1325" spans="11:14" x14ac:dyDescent="0.25">
      <c r="K1325" s="312"/>
      <c r="N1325" s="514"/>
    </row>
    <row r="1326" spans="11:14" x14ac:dyDescent="0.25">
      <c r="K1326" s="312"/>
      <c r="N1326" s="514"/>
    </row>
    <row r="1327" spans="11:14" x14ac:dyDescent="0.25">
      <c r="K1327" s="312"/>
      <c r="N1327" s="514"/>
    </row>
    <row r="1328" spans="11:14" x14ac:dyDescent="0.25">
      <c r="K1328" s="312"/>
      <c r="N1328" s="514"/>
    </row>
    <row r="1329" spans="11:14" x14ac:dyDescent="0.25">
      <c r="K1329" s="312"/>
      <c r="N1329" s="514"/>
    </row>
    <row r="1330" spans="11:14" x14ac:dyDescent="0.25">
      <c r="K1330" s="312"/>
      <c r="N1330" s="514"/>
    </row>
    <row r="1331" spans="11:14" x14ac:dyDescent="0.25">
      <c r="K1331" s="312"/>
      <c r="N1331" s="514"/>
    </row>
    <row r="1332" spans="11:14" x14ac:dyDescent="0.25">
      <c r="K1332" s="312"/>
      <c r="N1332" s="514"/>
    </row>
    <row r="1333" spans="11:14" x14ac:dyDescent="0.25">
      <c r="K1333" s="312"/>
      <c r="N1333" s="514"/>
    </row>
    <row r="1334" spans="11:14" x14ac:dyDescent="0.25">
      <c r="K1334" s="312"/>
      <c r="N1334" s="514"/>
    </row>
    <row r="1335" spans="11:14" x14ac:dyDescent="0.25">
      <c r="K1335" s="312"/>
      <c r="N1335" s="514"/>
    </row>
    <row r="1336" spans="11:14" x14ac:dyDescent="0.25">
      <c r="K1336" s="312"/>
      <c r="N1336" s="514"/>
    </row>
    <row r="1337" spans="11:14" x14ac:dyDescent="0.25">
      <c r="K1337" s="312"/>
      <c r="N1337" s="514"/>
    </row>
    <row r="1338" spans="11:14" x14ac:dyDescent="0.25">
      <c r="K1338" s="312"/>
      <c r="N1338" s="514"/>
    </row>
    <row r="1339" spans="11:14" x14ac:dyDescent="0.25">
      <c r="K1339" s="312"/>
      <c r="N1339" s="514"/>
    </row>
    <row r="1340" spans="11:14" x14ac:dyDescent="0.25">
      <c r="K1340" s="312"/>
      <c r="N1340" s="514"/>
    </row>
    <row r="1341" spans="11:14" x14ac:dyDescent="0.25">
      <c r="K1341" s="312"/>
      <c r="N1341" s="514"/>
    </row>
    <row r="1342" spans="11:14" x14ac:dyDescent="0.25">
      <c r="K1342" s="312"/>
      <c r="N1342" s="514"/>
    </row>
    <row r="1343" spans="11:14" x14ac:dyDescent="0.25">
      <c r="K1343" s="312"/>
      <c r="N1343" s="514"/>
    </row>
    <row r="1344" spans="11:14" x14ac:dyDescent="0.25">
      <c r="K1344" s="312"/>
      <c r="N1344" s="514"/>
    </row>
    <row r="1345" spans="11:14" x14ac:dyDescent="0.25">
      <c r="K1345" s="312"/>
      <c r="N1345" s="514"/>
    </row>
    <row r="1346" spans="11:14" x14ac:dyDescent="0.25">
      <c r="K1346" s="312"/>
      <c r="N1346" s="514"/>
    </row>
    <row r="1347" spans="11:14" x14ac:dyDescent="0.25">
      <c r="K1347" s="312"/>
      <c r="N1347" s="514"/>
    </row>
    <row r="1348" spans="11:14" x14ac:dyDescent="0.25">
      <c r="K1348" s="312"/>
      <c r="N1348" s="514"/>
    </row>
    <row r="1349" spans="11:14" x14ac:dyDescent="0.25">
      <c r="K1349" s="312"/>
      <c r="N1349" s="514"/>
    </row>
    <row r="1350" spans="11:14" x14ac:dyDescent="0.25">
      <c r="K1350" s="312"/>
      <c r="N1350" s="514"/>
    </row>
    <row r="1351" spans="11:14" x14ac:dyDescent="0.25">
      <c r="K1351" s="312"/>
      <c r="N1351" s="514"/>
    </row>
    <row r="1352" spans="11:14" x14ac:dyDescent="0.25">
      <c r="K1352" s="312"/>
      <c r="N1352" s="514"/>
    </row>
    <row r="1353" spans="11:14" x14ac:dyDescent="0.25">
      <c r="K1353" s="312"/>
      <c r="N1353" s="514"/>
    </row>
    <row r="1354" spans="11:14" x14ac:dyDescent="0.25">
      <c r="K1354" s="312"/>
      <c r="N1354" s="514"/>
    </row>
    <row r="1355" spans="11:14" x14ac:dyDescent="0.25">
      <c r="K1355" s="312"/>
      <c r="N1355" s="514"/>
    </row>
    <row r="1356" spans="11:14" x14ac:dyDescent="0.25">
      <c r="K1356" s="312"/>
      <c r="N1356" s="514"/>
    </row>
    <row r="1357" spans="11:14" x14ac:dyDescent="0.25">
      <c r="K1357" s="312"/>
      <c r="N1357" s="514"/>
    </row>
    <row r="1358" spans="11:14" x14ac:dyDescent="0.25">
      <c r="K1358" s="312"/>
      <c r="N1358" s="514"/>
    </row>
    <row r="1359" spans="11:14" x14ac:dyDescent="0.25">
      <c r="K1359" s="312"/>
      <c r="N1359" s="514"/>
    </row>
    <row r="1360" spans="11:14" x14ac:dyDescent="0.25">
      <c r="K1360" s="312"/>
      <c r="N1360" s="514"/>
    </row>
    <row r="1361" spans="11:14" x14ac:dyDescent="0.25">
      <c r="K1361" s="312"/>
      <c r="N1361" s="514"/>
    </row>
    <row r="1362" spans="11:14" x14ac:dyDescent="0.25">
      <c r="K1362" s="312"/>
      <c r="N1362" s="514"/>
    </row>
    <row r="1363" spans="11:14" x14ac:dyDescent="0.25">
      <c r="K1363" s="312"/>
      <c r="N1363" s="514"/>
    </row>
    <row r="1364" spans="11:14" x14ac:dyDescent="0.25">
      <c r="K1364" s="312"/>
      <c r="N1364" s="514"/>
    </row>
    <row r="1365" spans="11:14" x14ac:dyDescent="0.25">
      <c r="K1365" s="312"/>
      <c r="N1365" s="514"/>
    </row>
    <row r="1366" spans="11:14" x14ac:dyDescent="0.25">
      <c r="K1366" s="312"/>
      <c r="N1366" s="514"/>
    </row>
    <row r="1367" spans="11:14" x14ac:dyDescent="0.25">
      <c r="K1367" s="312"/>
      <c r="N1367" s="514"/>
    </row>
    <row r="1368" spans="11:14" x14ac:dyDescent="0.25">
      <c r="K1368" s="312"/>
      <c r="N1368" s="514"/>
    </row>
    <row r="1369" spans="11:14" x14ac:dyDescent="0.25">
      <c r="K1369" s="312"/>
      <c r="N1369" s="514"/>
    </row>
    <row r="1370" spans="11:14" x14ac:dyDescent="0.25">
      <c r="K1370" s="312"/>
      <c r="N1370" s="514"/>
    </row>
    <row r="1371" spans="11:14" x14ac:dyDescent="0.25">
      <c r="K1371" s="312"/>
      <c r="N1371" s="514"/>
    </row>
    <row r="1372" spans="11:14" x14ac:dyDescent="0.25">
      <c r="K1372" s="312"/>
      <c r="N1372" s="514"/>
    </row>
    <row r="1373" spans="11:14" x14ac:dyDescent="0.25">
      <c r="K1373" s="312"/>
      <c r="N1373" s="514"/>
    </row>
    <row r="1374" spans="11:14" x14ac:dyDescent="0.25">
      <c r="K1374" s="312"/>
      <c r="N1374" s="514"/>
    </row>
    <row r="1375" spans="11:14" x14ac:dyDescent="0.25">
      <c r="K1375" s="312"/>
      <c r="N1375" s="514"/>
    </row>
    <row r="1376" spans="11:14" x14ac:dyDescent="0.25">
      <c r="K1376" s="312"/>
      <c r="N1376" s="514"/>
    </row>
    <row r="1377" spans="11:14" x14ac:dyDescent="0.25">
      <c r="K1377" s="312"/>
      <c r="N1377" s="514"/>
    </row>
    <row r="1378" spans="11:14" x14ac:dyDescent="0.25">
      <c r="K1378" s="312"/>
      <c r="N1378" s="514"/>
    </row>
    <row r="1379" spans="11:14" x14ac:dyDescent="0.25">
      <c r="K1379" s="312"/>
      <c r="N1379" s="514"/>
    </row>
    <row r="1380" spans="11:14" x14ac:dyDescent="0.25">
      <c r="K1380" s="312"/>
      <c r="N1380" s="514"/>
    </row>
    <row r="1381" spans="11:14" x14ac:dyDescent="0.25">
      <c r="K1381" s="312"/>
      <c r="N1381" s="514"/>
    </row>
    <row r="1382" spans="11:14" x14ac:dyDescent="0.25">
      <c r="K1382" s="312"/>
      <c r="N1382" s="514"/>
    </row>
    <row r="1383" spans="11:14" x14ac:dyDescent="0.25">
      <c r="K1383" s="312"/>
      <c r="N1383" s="514"/>
    </row>
    <row r="1384" spans="11:14" x14ac:dyDescent="0.25">
      <c r="K1384" s="312"/>
      <c r="N1384" s="514"/>
    </row>
    <row r="1385" spans="11:14" x14ac:dyDescent="0.25">
      <c r="K1385" s="312"/>
      <c r="N1385" s="514"/>
    </row>
    <row r="1386" spans="11:14" x14ac:dyDescent="0.25">
      <c r="K1386" s="312"/>
      <c r="N1386" s="514"/>
    </row>
    <row r="1387" spans="11:14" x14ac:dyDescent="0.25">
      <c r="K1387" s="312"/>
      <c r="N1387" s="514"/>
    </row>
    <row r="1388" spans="11:14" x14ac:dyDescent="0.25">
      <c r="K1388" s="312"/>
      <c r="N1388" s="514"/>
    </row>
    <row r="1389" spans="11:14" x14ac:dyDescent="0.25">
      <c r="K1389" s="312"/>
      <c r="N1389" s="514"/>
    </row>
    <row r="1390" spans="11:14" x14ac:dyDescent="0.25">
      <c r="K1390" s="312"/>
      <c r="N1390" s="514"/>
    </row>
    <row r="1391" spans="11:14" x14ac:dyDescent="0.25">
      <c r="K1391" s="312"/>
      <c r="N1391" s="514"/>
    </row>
    <row r="1392" spans="11:14" x14ac:dyDescent="0.25">
      <c r="K1392" s="312"/>
      <c r="N1392" s="514"/>
    </row>
    <row r="1393" spans="11:14" x14ac:dyDescent="0.25">
      <c r="K1393" s="312"/>
      <c r="N1393" s="514"/>
    </row>
    <row r="1394" spans="11:14" x14ac:dyDescent="0.25">
      <c r="K1394" s="312"/>
      <c r="N1394" s="514"/>
    </row>
    <row r="1395" spans="11:14" x14ac:dyDescent="0.25">
      <c r="K1395" s="312"/>
      <c r="N1395" s="514"/>
    </row>
    <row r="1396" spans="11:14" x14ac:dyDescent="0.25">
      <c r="K1396" s="312"/>
      <c r="N1396" s="514"/>
    </row>
    <row r="1397" spans="11:14" x14ac:dyDescent="0.25">
      <c r="K1397" s="312"/>
      <c r="N1397" s="514"/>
    </row>
    <row r="1398" spans="11:14" x14ac:dyDescent="0.25">
      <c r="K1398" s="312"/>
      <c r="N1398" s="514"/>
    </row>
    <row r="1399" spans="11:14" x14ac:dyDescent="0.25">
      <c r="K1399" s="312"/>
      <c r="N1399" s="514"/>
    </row>
    <row r="1400" spans="11:14" x14ac:dyDescent="0.25">
      <c r="K1400" s="312"/>
      <c r="N1400" s="514"/>
    </row>
    <row r="1401" spans="11:14" x14ac:dyDescent="0.25">
      <c r="K1401" s="312"/>
      <c r="N1401" s="514"/>
    </row>
    <row r="1402" spans="11:14" x14ac:dyDescent="0.25">
      <c r="K1402" s="312"/>
      <c r="N1402" s="514"/>
    </row>
    <row r="1403" spans="11:14" x14ac:dyDescent="0.25">
      <c r="K1403" s="312"/>
      <c r="N1403" s="514"/>
    </row>
    <row r="1404" spans="11:14" x14ac:dyDescent="0.25">
      <c r="K1404" s="312"/>
      <c r="N1404" s="514"/>
    </row>
    <row r="1405" spans="11:14" x14ac:dyDescent="0.25">
      <c r="K1405" s="312"/>
      <c r="N1405" s="514"/>
    </row>
    <row r="1406" spans="11:14" x14ac:dyDescent="0.25">
      <c r="K1406" s="312"/>
      <c r="N1406" s="514"/>
    </row>
    <row r="1407" spans="11:14" x14ac:dyDescent="0.25">
      <c r="K1407" s="312"/>
      <c r="N1407" s="514"/>
    </row>
    <row r="1408" spans="11:14" x14ac:dyDescent="0.25">
      <c r="K1408" s="312"/>
      <c r="N1408" s="514"/>
    </row>
    <row r="1409" spans="11:14" x14ac:dyDescent="0.25">
      <c r="K1409" s="312"/>
      <c r="N1409" s="514"/>
    </row>
    <row r="1410" spans="11:14" x14ac:dyDescent="0.25">
      <c r="K1410" s="312"/>
      <c r="N1410" s="514"/>
    </row>
    <row r="1411" spans="11:14" x14ac:dyDescent="0.25">
      <c r="K1411" s="312"/>
      <c r="N1411" s="514"/>
    </row>
    <row r="1412" spans="11:14" x14ac:dyDescent="0.25">
      <c r="K1412" s="312"/>
      <c r="N1412" s="514"/>
    </row>
    <row r="1413" spans="11:14" x14ac:dyDescent="0.25">
      <c r="K1413" s="312"/>
      <c r="N1413" s="514"/>
    </row>
    <row r="1414" spans="11:14" x14ac:dyDescent="0.25">
      <c r="K1414" s="312"/>
      <c r="N1414" s="514"/>
    </row>
    <row r="1415" spans="11:14" x14ac:dyDescent="0.25">
      <c r="K1415" s="312"/>
      <c r="N1415" s="514"/>
    </row>
    <row r="1416" spans="11:14" x14ac:dyDescent="0.25">
      <c r="K1416" s="312"/>
      <c r="N1416" s="514"/>
    </row>
    <row r="1417" spans="11:14" x14ac:dyDescent="0.25">
      <c r="K1417" s="312"/>
      <c r="N1417" s="514"/>
    </row>
    <row r="1418" spans="11:14" x14ac:dyDescent="0.25">
      <c r="K1418" s="312"/>
      <c r="N1418" s="514"/>
    </row>
    <row r="1419" spans="11:14" x14ac:dyDescent="0.25">
      <c r="K1419" s="312"/>
      <c r="N1419" s="514"/>
    </row>
    <row r="1420" spans="11:14" x14ac:dyDescent="0.25">
      <c r="K1420" s="312"/>
      <c r="N1420" s="514"/>
    </row>
    <row r="1421" spans="11:14" x14ac:dyDescent="0.25">
      <c r="K1421" s="312"/>
      <c r="N1421" s="514"/>
    </row>
    <row r="1422" spans="11:14" x14ac:dyDescent="0.25">
      <c r="K1422" s="312"/>
      <c r="N1422" s="514"/>
    </row>
    <row r="1423" spans="11:14" x14ac:dyDescent="0.25">
      <c r="K1423" s="312"/>
      <c r="N1423" s="514"/>
    </row>
    <row r="1424" spans="11:14" x14ac:dyDescent="0.25">
      <c r="K1424" s="312"/>
      <c r="N1424" s="514"/>
    </row>
    <row r="1425" spans="11:14" x14ac:dyDescent="0.25">
      <c r="K1425" s="312"/>
      <c r="N1425" s="514"/>
    </row>
    <row r="1426" spans="11:14" x14ac:dyDescent="0.25">
      <c r="K1426" s="312"/>
      <c r="N1426" s="514"/>
    </row>
    <row r="1427" spans="11:14" x14ac:dyDescent="0.25">
      <c r="K1427" s="312"/>
      <c r="N1427" s="514"/>
    </row>
    <row r="1428" spans="11:14" x14ac:dyDescent="0.25">
      <c r="K1428" s="312"/>
      <c r="N1428" s="514"/>
    </row>
    <row r="1429" spans="11:14" x14ac:dyDescent="0.25">
      <c r="K1429" s="312"/>
      <c r="N1429" s="514"/>
    </row>
    <row r="1430" spans="11:14" x14ac:dyDescent="0.25">
      <c r="K1430" s="312"/>
      <c r="N1430" s="514"/>
    </row>
    <row r="1431" spans="11:14" x14ac:dyDescent="0.25">
      <c r="K1431" s="312"/>
      <c r="N1431" s="514"/>
    </row>
    <row r="1432" spans="11:14" x14ac:dyDescent="0.25">
      <c r="K1432" s="312"/>
      <c r="N1432" s="514"/>
    </row>
    <row r="1433" spans="11:14" x14ac:dyDescent="0.25">
      <c r="K1433" s="312"/>
      <c r="N1433" s="514"/>
    </row>
    <row r="1434" spans="11:14" x14ac:dyDescent="0.25">
      <c r="K1434" s="312"/>
      <c r="N1434" s="514"/>
    </row>
    <row r="1435" spans="11:14" x14ac:dyDescent="0.25">
      <c r="K1435" s="312"/>
      <c r="N1435" s="514"/>
    </row>
    <row r="1436" spans="11:14" x14ac:dyDescent="0.25">
      <c r="K1436" s="312"/>
      <c r="N1436" s="514"/>
    </row>
    <row r="1437" spans="11:14" x14ac:dyDescent="0.25">
      <c r="K1437" s="312"/>
      <c r="N1437" s="514"/>
    </row>
    <row r="1438" spans="11:14" x14ac:dyDescent="0.25">
      <c r="K1438" s="312"/>
      <c r="N1438" s="514"/>
    </row>
    <row r="1439" spans="11:14" x14ac:dyDescent="0.25">
      <c r="K1439" s="312"/>
      <c r="N1439" s="514"/>
    </row>
    <row r="1440" spans="11:14" x14ac:dyDescent="0.25">
      <c r="K1440" s="312"/>
      <c r="N1440" s="514"/>
    </row>
    <row r="1441" spans="11:14" x14ac:dyDescent="0.25">
      <c r="K1441" s="312"/>
      <c r="N1441" s="514"/>
    </row>
    <row r="1442" spans="11:14" x14ac:dyDescent="0.25">
      <c r="K1442" s="312"/>
      <c r="N1442" s="514"/>
    </row>
    <row r="1443" spans="11:14" x14ac:dyDescent="0.25">
      <c r="K1443" s="312"/>
      <c r="N1443" s="514"/>
    </row>
    <row r="1444" spans="11:14" x14ac:dyDescent="0.25">
      <c r="K1444" s="312"/>
      <c r="N1444" s="514"/>
    </row>
    <row r="1445" spans="11:14" x14ac:dyDescent="0.25">
      <c r="K1445" s="312"/>
      <c r="N1445" s="514"/>
    </row>
    <row r="1446" spans="11:14" x14ac:dyDescent="0.25">
      <c r="K1446" s="312"/>
      <c r="N1446" s="514"/>
    </row>
    <row r="1447" spans="11:14" x14ac:dyDescent="0.25">
      <c r="K1447" s="312"/>
      <c r="N1447" s="514"/>
    </row>
    <row r="1448" spans="11:14" x14ac:dyDescent="0.25">
      <c r="K1448" s="312"/>
      <c r="N1448" s="514"/>
    </row>
    <row r="1449" spans="11:14" x14ac:dyDescent="0.25">
      <c r="K1449" s="312"/>
      <c r="N1449" s="514"/>
    </row>
    <row r="1450" spans="11:14" x14ac:dyDescent="0.25">
      <c r="K1450" s="312"/>
      <c r="N1450" s="514"/>
    </row>
    <row r="1451" spans="11:14" x14ac:dyDescent="0.25">
      <c r="K1451" s="312"/>
      <c r="N1451" s="514"/>
    </row>
    <row r="1452" spans="11:14" x14ac:dyDescent="0.25">
      <c r="K1452" s="312"/>
      <c r="N1452" s="514"/>
    </row>
    <row r="1453" spans="11:14" x14ac:dyDescent="0.25">
      <c r="K1453" s="312"/>
      <c r="N1453" s="514"/>
    </row>
    <row r="1454" spans="11:14" x14ac:dyDescent="0.25">
      <c r="K1454" s="312"/>
      <c r="N1454" s="514"/>
    </row>
    <row r="1455" spans="11:14" x14ac:dyDescent="0.25">
      <c r="K1455" s="312"/>
      <c r="N1455" s="514"/>
    </row>
    <row r="1456" spans="11:14" x14ac:dyDescent="0.25">
      <c r="K1456" s="312"/>
      <c r="N1456" s="514"/>
    </row>
    <row r="1457" spans="11:14" x14ac:dyDescent="0.25">
      <c r="K1457" s="312"/>
      <c r="N1457" s="514"/>
    </row>
    <row r="1458" spans="11:14" x14ac:dyDescent="0.25">
      <c r="K1458" s="312"/>
      <c r="N1458" s="514"/>
    </row>
    <row r="1459" spans="11:14" x14ac:dyDescent="0.25">
      <c r="K1459" s="312"/>
      <c r="N1459" s="514"/>
    </row>
    <row r="1460" spans="11:14" x14ac:dyDescent="0.25">
      <c r="K1460" s="312"/>
      <c r="N1460" s="514"/>
    </row>
    <row r="1461" spans="11:14" x14ac:dyDescent="0.25">
      <c r="K1461" s="312"/>
      <c r="N1461" s="514"/>
    </row>
    <row r="1462" spans="11:14" x14ac:dyDescent="0.25">
      <c r="K1462" s="312"/>
      <c r="N1462" s="514"/>
    </row>
    <row r="1463" spans="11:14" x14ac:dyDescent="0.25">
      <c r="K1463" s="312"/>
      <c r="N1463" s="514"/>
    </row>
    <row r="1464" spans="11:14" x14ac:dyDescent="0.25">
      <c r="K1464" s="312"/>
      <c r="N1464" s="514"/>
    </row>
    <row r="1465" spans="11:14" x14ac:dyDescent="0.25">
      <c r="K1465" s="312"/>
      <c r="N1465" s="514"/>
    </row>
    <row r="1466" spans="11:14" x14ac:dyDescent="0.25">
      <c r="K1466" s="312"/>
      <c r="N1466" s="514"/>
    </row>
    <row r="1467" spans="11:14" x14ac:dyDescent="0.25">
      <c r="K1467" s="312"/>
      <c r="N1467" s="514"/>
    </row>
    <row r="1468" spans="11:14" x14ac:dyDescent="0.25">
      <c r="K1468" s="312"/>
      <c r="N1468" s="514"/>
    </row>
    <row r="1469" spans="11:14" x14ac:dyDescent="0.25">
      <c r="K1469" s="312"/>
      <c r="N1469" s="514"/>
    </row>
    <row r="1470" spans="11:14" x14ac:dyDescent="0.25">
      <c r="K1470" s="312"/>
      <c r="N1470" s="514"/>
    </row>
    <row r="1471" spans="11:14" x14ac:dyDescent="0.25">
      <c r="K1471" s="312"/>
      <c r="N1471" s="514"/>
    </row>
    <row r="1472" spans="11:14" x14ac:dyDescent="0.25">
      <c r="K1472" s="312"/>
      <c r="N1472" s="514"/>
    </row>
    <row r="1473" spans="11:14" x14ac:dyDescent="0.25">
      <c r="K1473" s="312"/>
      <c r="N1473" s="514"/>
    </row>
    <row r="1474" spans="11:14" x14ac:dyDescent="0.25">
      <c r="K1474" s="312"/>
      <c r="N1474" s="514"/>
    </row>
    <row r="1475" spans="11:14" x14ac:dyDescent="0.25">
      <c r="K1475" s="312"/>
      <c r="N1475" s="514"/>
    </row>
    <row r="1476" spans="11:14" x14ac:dyDescent="0.25">
      <c r="K1476" s="312"/>
      <c r="N1476" s="514"/>
    </row>
    <row r="1477" spans="11:14" x14ac:dyDescent="0.25">
      <c r="K1477" s="312"/>
      <c r="N1477" s="514"/>
    </row>
    <row r="1478" spans="11:14" x14ac:dyDescent="0.25">
      <c r="K1478" s="312"/>
      <c r="N1478" s="514"/>
    </row>
    <row r="1479" spans="11:14" x14ac:dyDescent="0.25">
      <c r="K1479" s="312"/>
      <c r="N1479" s="514"/>
    </row>
    <row r="1480" spans="11:14" x14ac:dyDescent="0.25">
      <c r="K1480" s="312"/>
      <c r="N1480" s="514"/>
    </row>
    <row r="1481" spans="11:14" x14ac:dyDescent="0.25">
      <c r="K1481" s="312"/>
      <c r="N1481" s="514"/>
    </row>
    <row r="1482" spans="11:14" x14ac:dyDescent="0.25">
      <c r="K1482" s="312"/>
      <c r="N1482" s="514"/>
    </row>
    <row r="1483" spans="11:14" x14ac:dyDescent="0.25">
      <c r="K1483" s="312"/>
      <c r="N1483" s="514"/>
    </row>
    <row r="1484" spans="11:14" x14ac:dyDescent="0.25">
      <c r="K1484" s="312"/>
      <c r="N1484" s="514"/>
    </row>
    <row r="1485" spans="11:14" x14ac:dyDescent="0.25">
      <c r="K1485" s="312"/>
      <c r="N1485" s="514"/>
    </row>
    <row r="1486" spans="11:14" x14ac:dyDescent="0.25">
      <c r="K1486" s="312"/>
      <c r="N1486" s="514"/>
    </row>
    <row r="1487" spans="11:14" x14ac:dyDescent="0.25">
      <c r="K1487" s="312"/>
      <c r="N1487" s="514"/>
    </row>
    <row r="1488" spans="11:14" x14ac:dyDescent="0.25">
      <c r="K1488" s="312"/>
      <c r="N1488" s="514"/>
    </row>
    <row r="1489" spans="11:14" x14ac:dyDescent="0.25">
      <c r="K1489" s="312"/>
      <c r="N1489" s="514"/>
    </row>
    <row r="1490" spans="11:14" x14ac:dyDescent="0.25">
      <c r="K1490" s="312"/>
      <c r="N1490" s="514"/>
    </row>
    <row r="1491" spans="11:14" x14ac:dyDescent="0.25">
      <c r="K1491" s="312"/>
      <c r="N1491" s="514"/>
    </row>
    <row r="1492" spans="11:14" x14ac:dyDescent="0.25">
      <c r="K1492" s="312"/>
      <c r="N1492" s="514"/>
    </row>
    <row r="1493" spans="11:14" x14ac:dyDescent="0.25">
      <c r="K1493" s="312"/>
      <c r="N1493" s="514"/>
    </row>
    <row r="1494" spans="11:14" x14ac:dyDescent="0.25">
      <c r="K1494" s="312"/>
      <c r="N1494" s="514"/>
    </row>
    <row r="1495" spans="11:14" x14ac:dyDescent="0.25">
      <c r="K1495" s="312"/>
      <c r="N1495" s="514"/>
    </row>
    <row r="1496" spans="11:14" x14ac:dyDescent="0.25">
      <c r="K1496" s="312"/>
      <c r="N1496" s="514"/>
    </row>
    <row r="1497" spans="11:14" x14ac:dyDescent="0.25">
      <c r="K1497" s="312"/>
      <c r="N1497" s="514"/>
    </row>
    <row r="1498" spans="11:14" x14ac:dyDescent="0.25">
      <c r="K1498" s="312"/>
      <c r="N1498" s="514"/>
    </row>
    <row r="1499" spans="11:14" x14ac:dyDescent="0.25">
      <c r="K1499" s="312"/>
      <c r="N1499" s="514"/>
    </row>
    <row r="1500" spans="11:14" x14ac:dyDescent="0.25">
      <c r="K1500" s="312"/>
      <c r="N1500" s="514"/>
    </row>
    <row r="1501" spans="11:14" x14ac:dyDescent="0.25">
      <c r="K1501" s="312"/>
      <c r="N1501" s="514"/>
    </row>
    <row r="1502" spans="11:14" x14ac:dyDescent="0.25">
      <c r="K1502" s="312"/>
      <c r="N1502" s="514"/>
    </row>
    <row r="1503" spans="11:14" x14ac:dyDescent="0.25">
      <c r="K1503" s="312"/>
      <c r="N1503" s="514"/>
    </row>
    <row r="1504" spans="11:14" x14ac:dyDescent="0.25">
      <c r="K1504" s="312"/>
      <c r="N1504" s="514"/>
    </row>
    <row r="1505" spans="11:14" x14ac:dyDescent="0.25">
      <c r="K1505" s="312"/>
      <c r="N1505" s="514"/>
    </row>
    <row r="1506" spans="11:14" x14ac:dyDescent="0.25">
      <c r="K1506" s="312"/>
      <c r="N1506" s="514"/>
    </row>
    <row r="1507" spans="11:14" x14ac:dyDescent="0.25">
      <c r="K1507" s="312"/>
      <c r="N1507" s="514"/>
    </row>
    <row r="1508" spans="11:14" x14ac:dyDescent="0.25">
      <c r="K1508" s="312"/>
      <c r="N1508" s="514"/>
    </row>
    <row r="1509" spans="11:14" x14ac:dyDescent="0.25">
      <c r="K1509" s="312"/>
      <c r="N1509" s="514"/>
    </row>
    <row r="1510" spans="11:14" x14ac:dyDescent="0.25">
      <c r="K1510" s="312"/>
      <c r="N1510" s="514"/>
    </row>
    <row r="1511" spans="11:14" x14ac:dyDescent="0.25">
      <c r="K1511" s="312"/>
      <c r="N1511" s="514"/>
    </row>
    <row r="1512" spans="11:14" x14ac:dyDescent="0.25">
      <c r="K1512" s="312"/>
      <c r="N1512" s="514"/>
    </row>
    <row r="1513" spans="11:14" x14ac:dyDescent="0.25">
      <c r="K1513" s="312"/>
      <c r="N1513" s="514"/>
    </row>
    <row r="1514" spans="11:14" x14ac:dyDescent="0.25">
      <c r="K1514" s="312"/>
      <c r="N1514" s="514"/>
    </row>
    <row r="1515" spans="11:14" x14ac:dyDescent="0.25">
      <c r="K1515" s="312"/>
      <c r="N1515" s="514"/>
    </row>
    <row r="1516" spans="11:14" x14ac:dyDescent="0.25">
      <c r="K1516" s="312"/>
      <c r="N1516" s="514"/>
    </row>
    <row r="1517" spans="11:14" x14ac:dyDescent="0.25">
      <c r="K1517" s="312"/>
      <c r="N1517" s="514"/>
    </row>
    <row r="1518" spans="11:14" x14ac:dyDescent="0.25">
      <c r="K1518" s="312"/>
      <c r="N1518" s="514"/>
    </row>
    <row r="1519" spans="11:14" x14ac:dyDescent="0.25">
      <c r="K1519" s="312"/>
      <c r="N1519" s="514"/>
    </row>
    <row r="1520" spans="11:14" x14ac:dyDescent="0.25">
      <c r="K1520" s="312"/>
      <c r="N1520" s="514"/>
    </row>
    <row r="1521" spans="11:14" x14ac:dyDescent="0.25">
      <c r="K1521" s="312"/>
      <c r="N1521" s="514"/>
    </row>
    <row r="1522" spans="11:14" x14ac:dyDescent="0.25">
      <c r="K1522" s="312"/>
      <c r="N1522" s="514"/>
    </row>
    <row r="1523" spans="11:14" x14ac:dyDescent="0.25">
      <c r="K1523" s="312"/>
      <c r="N1523" s="514"/>
    </row>
    <row r="1524" spans="11:14" x14ac:dyDescent="0.25">
      <c r="K1524" s="312"/>
      <c r="N1524" s="514"/>
    </row>
    <row r="1525" spans="11:14" x14ac:dyDescent="0.25">
      <c r="K1525" s="312"/>
      <c r="N1525" s="514"/>
    </row>
    <row r="1526" spans="11:14" x14ac:dyDescent="0.25">
      <c r="K1526" s="312"/>
      <c r="N1526" s="514"/>
    </row>
    <row r="1527" spans="11:14" x14ac:dyDescent="0.25">
      <c r="K1527" s="312"/>
      <c r="N1527" s="514"/>
    </row>
    <row r="1528" spans="11:14" x14ac:dyDescent="0.25">
      <c r="K1528" s="312"/>
      <c r="N1528" s="514"/>
    </row>
    <row r="1529" spans="11:14" x14ac:dyDescent="0.25">
      <c r="K1529" s="312"/>
      <c r="N1529" s="514"/>
    </row>
    <row r="1530" spans="11:14" x14ac:dyDescent="0.25">
      <c r="K1530" s="312"/>
      <c r="N1530" s="514"/>
    </row>
    <row r="1531" spans="11:14" x14ac:dyDescent="0.25">
      <c r="K1531" s="312"/>
      <c r="N1531" s="514"/>
    </row>
    <row r="1532" spans="11:14" x14ac:dyDescent="0.25">
      <c r="K1532" s="312"/>
      <c r="N1532" s="514"/>
    </row>
    <row r="1533" spans="11:14" x14ac:dyDescent="0.25">
      <c r="K1533" s="312"/>
      <c r="N1533" s="514"/>
    </row>
    <row r="1534" spans="11:14" x14ac:dyDescent="0.25">
      <c r="K1534" s="312"/>
      <c r="N1534" s="514"/>
    </row>
    <row r="1535" spans="11:14" x14ac:dyDescent="0.25">
      <c r="K1535" s="312"/>
      <c r="N1535" s="514"/>
    </row>
    <row r="1536" spans="11:14" x14ac:dyDescent="0.25">
      <c r="K1536" s="312"/>
      <c r="N1536" s="514"/>
    </row>
    <row r="1537" spans="11:14" x14ac:dyDescent="0.25">
      <c r="K1537" s="312"/>
      <c r="N1537" s="514"/>
    </row>
    <row r="1538" spans="11:14" x14ac:dyDescent="0.25">
      <c r="K1538" s="312"/>
      <c r="N1538" s="514"/>
    </row>
    <row r="1539" spans="11:14" x14ac:dyDescent="0.25">
      <c r="K1539" s="312"/>
      <c r="N1539" s="514"/>
    </row>
    <row r="1540" spans="11:14" x14ac:dyDescent="0.25">
      <c r="K1540" s="312"/>
      <c r="N1540" s="514"/>
    </row>
    <row r="1541" spans="11:14" x14ac:dyDescent="0.25">
      <c r="K1541" s="312"/>
      <c r="N1541" s="514"/>
    </row>
    <row r="1542" spans="11:14" x14ac:dyDescent="0.25">
      <c r="K1542" s="312"/>
      <c r="N1542" s="514"/>
    </row>
    <row r="1543" spans="11:14" x14ac:dyDescent="0.25">
      <c r="K1543" s="312"/>
      <c r="N1543" s="514"/>
    </row>
    <row r="1544" spans="11:14" x14ac:dyDescent="0.25">
      <c r="K1544" s="312"/>
      <c r="N1544" s="514"/>
    </row>
    <row r="1545" spans="11:14" x14ac:dyDescent="0.25">
      <c r="K1545" s="312"/>
      <c r="N1545" s="514"/>
    </row>
    <row r="1546" spans="11:14" x14ac:dyDescent="0.25">
      <c r="K1546" s="312"/>
      <c r="N1546" s="514"/>
    </row>
    <row r="1547" spans="11:14" x14ac:dyDescent="0.25">
      <c r="K1547" s="312"/>
      <c r="N1547" s="514"/>
    </row>
    <row r="1548" spans="11:14" x14ac:dyDescent="0.25">
      <c r="K1548" s="312"/>
      <c r="N1548" s="514"/>
    </row>
    <row r="1549" spans="11:14" x14ac:dyDescent="0.25">
      <c r="K1549" s="312"/>
      <c r="N1549" s="514"/>
    </row>
    <row r="1550" spans="11:14" x14ac:dyDescent="0.25">
      <c r="K1550" s="312"/>
      <c r="N1550" s="514"/>
    </row>
    <row r="1551" spans="11:14" x14ac:dyDescent="0.25">
      <c r="K1551" s="312"/>
      <c r="N1551" s="514"/>
    </row>
    <row r="1552" spans="11:14" x14ac:dyDescent="0.25">
      <c r="K1552" s="312"/>
      <c r="N1552" s="514"/>
    </row>
    <row r="1553" spans="11:14" x14ac:dyDescent="0.25">
      <c r="K1553" s="312"/>
      <c r="N1553" s="514"/>
    </row>
    <row r="1554" spans="11:14" x14ac:dyDescent="0.25">
      <c r="K1554" s="312"/>
      <c r="N1554" s="514"/>
    </row>
    <row r="1555" spans="11:14" x14ac:dyDescent="0.25">
      <c r="K1555" s="312"/>
      <c r="N1555" s="514"/>
    </row>
    <row r="1556" spans="11:14" x14ac:dyDescent="0.25">
      <c r="K1556" s="312"/>
      <c r="N1556" s="514"/>
    </row>
    <row r="1557" spans="11:14" x14ac:dyDescent="0.25">
      <c r="K1557" s="312"/>
      <c r="N1557" s="514"/>
    </row>
    <row r="1558" spans="11:14" x14ac:dyDescent="0.25">
      <c r="K1558" s="312"/>
      <c r="N1558" s="514"/>
    </row>
    <row r="1559" spans="11:14" x14ac:dyDescent="0.25">
      <c r="K1559" s="312"/>
      <c r="N1559" s="514"/>
    </row>
    <row r="1560" spans="11:14" x14ac:dyDescent="0.25">
      <c r="K1560" s="312"/>
      <c r="N1560" s="514"/>
    </row>
    <row r="1561" spans="11:14" x14ac:dyDescent="0.25">
      <c r="K1561" s="312"/>
      <c r="N1561" s="514"/>
    </row>
    <row r="1562" spans="11:14" x14ac:dyDescent="0.25">
      <c r="K1562" s="312"/>
      <c r="N1562" s="514"/>
    </row>
    <row r="1563" spans="11:14" x14ac:dyDescent="0.25">
      <c r="K1563" s="312"/>
      <c r="N1563" s="514"/>
    </row>
    <row r="1564" spans="11:14" x14ac:dyDescent="0.25">
      <c r="K1564" s="312"/>
      <c r="N1564" s="514"/>
    </row>
    <row r="1565" spans="11:14" x14ac:dyDescent="0.25">
      <c r="K1565" s="312"/>
      <c r="N1565" s="514"/>
    </row>
    <row r="1566" spans="11:14" x14ac:dyDescent="0.25">
      <c r="K1566" s="312"/>
      <c r="N1566" s="514"/>
    </row>
    <row r="1567" spans="11:14" x14ac:dyDescent="0.25">
      <c r="K1567" s="312"/>
      <c r="N1567" s="514"/>
    </row>
    <row r="1568" spans="11:14" x14ac:dyDescent="0.25">
      <c r="K1568" s="312"/>
      <c r="N1568" s="514"/>
    </row>
    <row r="1569" spans="11:14" x14ac:dyDescent="0.25">
      <c r="K1569" s="312"/>
      <c r="N1569" s="514"/>
    </row>
    <row r="1570" spans="11:14" x14ac:dyDescent="0.25">
      <c r="K1570" s="312"/>
      <c r="N1570" s="514"/>
    </row>
    <row r="1571" spans="11:14" x14ac:dyDescent="0.25">
      <c r="K1571" s="312"/>
      <c r="N1571" s="514"/>
    </row>
    <row r="1572" spans="11:14" x14ac:dyDescent="0.25">
      <c r="K1572" s="312"/>
      <c r="N1572" s="514"/>
    </row>
    <row r="1573" spans="11:14" x14ac:dyDescent="0.25">
      <c r="K1573" s="312"/>
      <c r="N1573" s="514"/>
    </row>
    <row r="1574" spans="11:14" x14ac:dyDescent="0.25">
      <c r="K1574" s="312"/>
      <c r="N1574" s="514"/>
    </row>
    <row r="1575" spans="11:14" x14ac:dyDescent="0.25">
      <c r="K1575" s="312"/>
      <c r="N1575" s="514"/>
    </row>
    <row r="1576" spans="11:14" x14ac:dyDescent="0.25">
      <c r="K1576" s="312"/>
      <c r="N1576" s="514"/>
    </row>
    <row r="1577" spans="11:14" x14ac:dyDescent="0.25">
      <c r="K1577" s="312"/>
      <c r="N1577" s="514"/>
    </row>
    <row r="1578" spans="11:14" x14ac:dyDescent="0.25">
      <c r="K1578" s="312"/>
      <c r="N1578" s="514"/>
    </row>
    <row r="1579" spans="11:14" x14ac:dyDescent="0.25">
      <c r="K1579" s="312"/>
      <c r="N1579" s="514"/>
    </row>
    <row r="1580" spans="11:14" x14ac:dyDescent="0.25">
      <c r="K1580" s="312"/>
      <c r="N1580" s="514"/>
    </row>
    <row r="1581" spans="11:14" x14ac:dyDescent="0.25">
      <c r="K1581" s="312"/>
      <c r="N1581" s="514"/>
    </row>
    <row r="1582" spans="11:14" x14ac:dyDescent="0.25">
      <c r="K1582" s="312"/>
      <c r="N1582" s="514"/>
    </row>
    <row r="1583" spans="11:14" x14ac:dyDescent="0.25">
      <c r="K1583" s="312"/>
      <c r="N1583" s="514"/>
    </row>
    <row r="1584" spans="11:14" x14ac:dyDescent="0.25">
      <c r="K1584" s="312"/>
      <c r="N1584" s="514"/>
    </row>
    <row r="1585" spans="11:14" x14ac:dyDescent="0.25">
      <c r="K1585" s="312"/>
      <c r="N1585" s="514"/>
    </row>
    <row r="1586" spans="11:14" x14ac:dyDescent="0.25">
      <c r="K1586" s="312"/>
      <c r="N1586" s="514"/>
    </row>
    <row r="1587" spans="11:14" x14ac:dyDescent="0.25">
      <c r="K1587" s="312"/>
      <c r="N1587" s="514"/>
    </row>
    <row r="1588" spans="11:14" x14ac:dyDescent="0.25">
      <c r="K1588" s="312"/>
      <c r="N1588" s="514"/>
    </row>
    <row r="1589" spans="11:14" x14ac:dyDescent="0.25">
      <c r="K1589" s="312"/>
      <c r="N1589" s="514"/>
    </row>
    <row r="1590" spans="11:14" x14ac:dyDescent="0.25">
      <c r="K1590" s="312"/>
      <c r="N1590" s="514"/>
    </row>
    <row r="1591" spans="11:14" x14ac:dyDescent="0.25">
      <c r="K1591" s="312"/>
      <c r="N1591" s="514"/>
    </row>
    <row r="1592" spans="11:14" x14ac:dyDescent="0.25">
      <c r="K1592" s="312"/>
      <c r="N1592" s="514"/>
    </row>
    <row r="1593" spans="11:14" x14ac:dyDescent="0.25">
      <c r="K1593" s="312"/>
      <c r="N1593" s="514"/>
    </row>
    <row r="1594" spans="11:14" x14ac:dyDescent="0.25">
      <c r="K1594" s="312"/>
      <c r="N1594" s="514"/>
    </row>
    <row r="1595" spans="11:14" x14ac:dyDescent="0.25">
      <c r="K1595" s="312"/>
      <c r="N1595" s="514"/>
    </row>
    <row r="1596" spans="11:14" x14ac:dyDescent="0.25">
      <c r="K1596" s="312"/>
      <c r="N1596" s="514"/>
    </row>
    <row r="1597" spans="11:14" x14ac:dyDescent="0.25">
      <c r="K1597" s="312"/>
      <c r="N1597" s="514"/>
    </row>
    <row r="1598" spans="11:14" x14ac:dyDescent="0.25">
      <c r="K1598" s="312"/>
      <c r="N1598" s="514"/>
    </row>
    <row r="1599" spans="11:14" x14ac:dyDescent="0.25">
      <c r="K1599" s="312"/>
      <c r="N1599" s="514"/>
    </row>
    <row r="1600" spans="11:14" x14ac:dyDescent="0.25">
      <c r="K1600" s="312"/>
      <c r="N1600" s="514"/>
    </row>
    <row r="1601" spans="11:14" x14ac:dyDescent="0.25">
      <c r="K1601" s="312"/>
      <c r="N1601" s="514"/>
    </row>
    <row r="1602" spans="11:14" x14ac:dyDescent="0.25">
      <c r="K1602" s="312"/>
      <c r="N1602" s="514"/>
    </row>
    <row r="1603" spans="11:14" x14ac:dyDescent="0.25">
      <c r="K1603" s="312"/>
      <c r="N1603" s="514"/>
    </row>
    <row r="1604" spans="11:14" x14ac:dyDescent="0.25">
      <c r="K1604" s="312"/>
      <c r="N1604" s="514"/>
    </row>
    <row r="1605" spans="11:14" x14ac:dyDescent="0.25">
      <c r="K1605" s="312"/>
      <c r="N1605" s="514"/>
    </row>
    <row r="1606" spans="11:14" x14ac:dyDescent="0.25">
      <c r="K1606" s="312"/>
      <c r="N1606" s="514"/>
    </row>
    <row r="1607" spans="11:14" x14ac:dyDescent="0.25">
      <c r="K1607" s="312"/>
      <c r="N1607" s="514"/>
    </row>
    <row r="1608" spans="11:14" x14ac:dyDescent="0.25">
      <c r="K1608" s="312"/>
      <c r="N1608" s="514"/>
    </row>
    <row r="1609" spans="11:14" x14ac:dyDescent="0.25">
      <c r="K1609" s="312"/>
      <c r="N1609" s="514"/>
    </row>
    <row r="1610" spans="11:14" x14ac:dyDescent="0.25">
      <c r="K1610" s="312"/>
      <c r="N1610" s="514"/>
    </row>
    <row r="1611" spans="11:14" x14ac:dyDescent="0.25">
      <c r="K1611" s="312"/>
      <c r="N1611" s="514"/>
    </row>
    <row r="1612" spans="11:14" x14ac:dyDescent="0.25">
      <c r="K1612" s="312"/>
      <c r="N1612" s="514"/>
    </row>
    <row r="1613" spans="11:14" x14ac:dyDescent="0.25">
      <c r="K1613" s="312"/>
      <c r="N1613" s="514"/>
    </row>
    <row r="1614" spans="11:14" x14ac:dyDescent="0.25">
      <c r="K1614" s="312"/>
      <c r="N1614" s="514"/>
    </row>
    <row r="1615" spans="11:14" x14ac:dyDescent="0.25">
      <c r="K1615" s="312"/>
      <c r="N1615" s="514"/>
    </row>
    <row r="1616" spans="11:14" x14ac:dyDescent="0.25">
      <c r="K1616" s="312"/>
      <c r="N1616" s="514"/>
    </row>
    <row r="1617" spans="11:14" x14ac:dyDescent="0.25">
      <c r="K1617" s="312"/>
      <c r="N1617" s="514"/>
    </row>
    <row r="1618" spans="11:14" x14ac:dyDescent="0.25">
      <c r="K1618" s="312"/>
      <c r="N1618" s="514"/>
    </row>
    <row r="1619" spans="11:14" x14ac:dyDescent="0.25">
      <c r="K1619" s="312"/>
      <c r="N1619" s="514"/>
    </row>
    <row r="1620" spans="11:14" x14ac:dyDescent="0.25">
      <c r="K1620" s="312"/>
      <c r="N1620" s="514"/>
    </row>
    <row r="1621" spans="11:14" x14ac:dyDescent="0.25">
      <c r="K1621" s="312"/>
      <c r="N1621" s="514"/>
    </row>
    <row r="1622" spans="11:14" x14ac:dyDescent="0.25">
      <c r="K1622" s="312"/>
      <c r="N1622" s="514"/>
    </row>
    <row r="1623" spans="11:14" x14ac:dyDescent="0.25">
      <c r="K1623" s="312"/>
      <c r="N1623" s="514"/>
    </row>
    <row r="1624" spans="11:14" x14ac:dyDescent="0.25">
      <c r="K1624" s="312"/>
      <c r="N1624" s="514"/>
    </row>
    <row r="1625" spans="11:14" x14ac:dyDescent="0.25">
      <c r="K1625" s="312"/>
      <c r="N1625" s="514"/>
    </row>
    <row r="1626" spans="11:14" x14ac:dyDescent="0.25">
      <c r="K1626" s="312"/>
      <c r="N1626" s="514"/>
    </row>
    <row r="1627" spans="11:14" x14ac:dyDescent="0.25">
      <c r="K1627" s="312"/>
      <c r="N1627" s="514"/>
    </row>
    <row r="1628" spans="11:14" x14ac:dyDescent="0.25">
      <c r="K1628" s="312"/>
      <c r="N1628" s="514"/>
    </row>
    <row r="1629" spans="11:14" x14ac:dyDescent="0.25">
      <c r="K1629" s="312"/>
      <c r="N1629" s="514"/>
    </row>
    <row r="1630" spans="11:14" x14ac:dyDescent="0.25">
      <c r="K1630" s="312"/>
      <c r="N1630" s="514"/>
    </row>
    <row r="1631" spans="11:14" x14ac:dyDescent="0.25">
      <c r="K1631" s="312"/>
      <c r="N1631" s="514"/>
    </row>
    <row r="1632" spans="11:14" x14ac:dyDescent="0.25">
      <c r="K1632" s="312"/>
      <c r="N1632" s="514"/>
    </row>
    <row r="1633" spans="11:14" x14ac:dyDescent="0.25">
      <c r="K1633" s="312"/>
      <c r="N1633" s="514"/>
    </row>
    <row r="1634" spans="11:14" x14ac:dyDescent="0.25">
      <c r="K1634" s="312"/>
      <c r="N1634" s="514"/>
    </row>
    <row r="1635" spans="11:14" x14ac:dyDescent="0.25">
      <c r="K1635" s="312"/>
      <c r="N1635" s="514"/>
    </row>
    <row r="1636" spans="11:14" x14ac:dyDescent="0.25">
      <c r="K1636" s="312"/>
      <c r="N1636" s="514"/>
    </row>
    <row r="1637" spans="11:14" x14ac:dyDescent="0.25">
      <c r="K1637" s="312"/>
      <c r="N1637" s="514"/>
    </row>
    <row r="1638" spans="11:14" x14ac:dyDescent="0.25">
      <c r="K1638" s="312"/>
      <c r="N1638" s="514"/>
    </row>
    <row r="1639" spans="11:14" x14ac:dyDescent="0.25">
      <c r="K1639" s="312"/>
      <c r="N1639" s="514"/>
    </row>
    <row r="1640" spans="11:14" x14ac:dyDescent="0.25">
      <c r="K1640" s="312"/>
      <c r="N1640" s="514"/>
    </row>
    <row r="1641" spans="11:14" x14ac:dyDescent="0.25">
      <c r="K1641" s="312"/>
      <c r="N1641" s="514"/>
    </row>
    <row r="1642" spans="11:14" x14ac:dyDescent="0.25">
      <c r="K1642" s="312"/>
      <c r="N1642" s="514"/>
    </row>
    <row r="1643" spans="11:14" x14ac:dyDescent="0.25">
      <c r="K1643" s="312"/>
      <c r="N1643" s="514"/>
    </row>
    <row r="1644" spans="11:14" x14ac:dyDescent="0.25">
      <c r="K1644" s="312"/>
      <c r="N1644" s="514"/>
    </row>
    <row r="1645" spans="11:14" x14ac:dyDescent="0.25">
      <c r="K1645" s="312"/>
      <c r="N1645" s="514"/>
    </row>
    <row r="1646" spans="11:14" x14ac:dyDescent="0.25">
      <c r="K1646" s="312"/>
      <c r="N1646" s="514"/>
    </row>
    <row r="1647" spans="11:14" x14ac:dyDescent="0.25">
      <c r="K1647" s="312"/>
      <c r="N1647" s="514"/>
    </row>
    <row r="1648" spans="11:14" x14ac:dyDescent="0.25">
      <c r="K1648" s="312"/>
      <c r="N1648" s="514"/>
    </row>
    <row r="1649" spans="11:14" x14ac:dyDescent="0.25">
      <c r="K1649" s="312"/>
      <c r="N1649" s="514"/>
    </row>
    <row r="1650" spans="11:14" x14ac:dyDescent="0.25">
      <c r="K1650" s="312"/>
      <c r="N1650" s="514"/>
    </row>
    <row r="1651" spans="11:14" x14ac:dyDescent="0.25">
      <c r="K1651" s="312"/>
      <c r="N1651" s="514"/>
    </row>
    <row r="1652" spans="11:14" x14ac:dyDescent="0.25">
      <c r="K1652" s="312"/>
      <c r="N1652" s="514"/>
    </row>
    <row r="1653" spans="11:14" x14ac:dyDescent="0.25">
      <c r="K1653" s="312"/>
      <c r="N1653" s="514"/>
    </row>
    <row r="1654" spans="11:14" x14ac:dyDescent="0.25">
      <c r="K1654" s="312"/>
      <c r="N1654" s="514"/>
    </row>
    <row r="1655" spans="11:14" x14ac:dyDescent="0.25">
      <c r="K1655" s="312"/>
      <c r="N1655" s="514"/>
    </row>
    <row r="1656" spans="11:14" x14ac:dyDescent="0.25">
      <c r="K1656" s="312"/>
      <c r="N1656" s="514"/>
    </row>
    <row r="1657" spans="11:14" x14ac:dyDescent="0.25">
      <c r="K1657" s="312"/>
      <c r="N1657" s="514"/>
    </row>
    <row r="1658" spans="11:14" x14ac:dyDescent="0.25">
      <c r="K1658" s="312"/>
      <c r="N1658" s="514"/>
    </row>
    <row r="1659" spans="11:14" x14ac:dyDescent="0.25">
      <c r="K1659" s="312"/>
      <c r="N1659" s="514"/>
    </row>
    <row r="1660" spans="11:14" x14ac:dyDescent="0.25">
      <c r="K1660" s="312"/>
      <c r="N1660" s="514"/>
    </row>
    <row r="1661" spans="11:14" x14ac:dyDescent="0.25">
      <c r="K1661" s="312"/>
      <c r="N1661" s="514"/>
    </row>
    <row r="1662" spans="11:14" x14ac:dyDescent="0.25">
      <c r="K1662" s="312"/>
      <c r="N1662" s="514"/>
    </row>
    <row r="1663" spans="11:14" x14ac:dyDescent="0.25">
      <c r="K1663" s="312"/>
      <c r="N1663" s="514"/>
    </row>
    <row r="1664" spans="11:14" x14ac:dyDescent="0.25">
      <c r="K1664" s="312"/>
      <c r="N1664" s="514"/>
    </row>
    <row r="1665" spans="11:14" x14ac:dyDescent="0.25">
      <c r="K1665" s="312"/>
      <c r="N1665" s="514"/>
    </row>
    <row r="1666" spans="11:14" x14ac:dyDescent="0.25">
      <c r="K1666" s="312"/>
      <c r="N1666" s="514"/>
    </row>
    <row r="1667" spans="11:14" x14ac:dyDescent="0.25">
      <c r="K1667" s="312"/>
      <c r="N1667" s="514"/>
    </row>
    <row r="1668" spans="11:14" x14ac:dyDescent="0.25">
      <c r="K1668" s="312"/>
      <c r="N1668" s="514"/>
    </row>
    <row r="1669" spans="11:14" x14ac:dyDescent="0.25">
      <c r="K1669" s="312"/>
      <c r="N1669" s="514"/>
    </row>
    <row r="1670" spans="11:14" x14ac:dyDescent="0.25">
      <c r="K1670" s="312"/>
      <c r="N1670" s="514"/>
    </row>
    <row r="1671" spans="11:14" x14ac:dyDescent="0.25">
      <c r="K1671" s="312"/>
      <c r="N1671" s="514"/>
    </row>
    <row r="1672" spans="11:14" x14ac:dyDescent="0.25">
      <c r="K1672" s="312"/>
      <c r="N1672" s="514"/>
    </row>
    <row r="1673" spans="11:14" x14ac:dyDescent="0.25">
      <c r="K1673" s="312"/>
      <c r="N1673" s="514"/>
    </row>
    <row r="1674" spans="11:14" x14ac:dyDescent="0.25">
      <c r="K1674" s="312"/>
      <c r="N1674" s="514"/>
    </row>
    <row r="1675" spans="11:14" x14ac:dyDescent="0.25">
      <c r="K1675" s="312"/>
      <c r="N1675" s="514"/>
    </row>
    <row r="1676" spans="11:14" x14ac:dyDescent="0.25">
      <c r="K1676" s="312"/>
      <c r="N1676" s="514"/>
    </row>
    <row r="1677" spans="11:14" x14ac:dyDescent="0.25">
      <c r="K1677" s="312"/>
      <c r="N1677" s="514"/>
    </row>
    <row r="1678" spans="11:14" x14ac:dyDescent="0.25">
      <c r="K1678" s="312"/>
      <c r="N1678" s="514"/>
    </row>
    <row r="1679" spans="11:14" x14ac:dyDescent="0.25">
      <c r="K1679" s="312"/>
      <c r="N1679" s="514"/>
    </row>
    <row r="1680" spans="11:14" x14ac:dyDescent="0.25">
      <c r="K1680" s="312"/>
      <c r="N1680" s="514"/>
    </row>
    <row r="1681" spans="11:14" x14ac:dyDescent="0.25">
      <c r="K1681" s="312"/>
      <c r="N1681" s="514"/>
    </row>
    <row r="1682" spans="11:14" x14ac:dyDescent="0.25">
      <c r="K1682" s="312"/>
      <c r="N1682" s="514"/>
    </row>
    <row r="1683" spans="11:14" x14ac:dyDescent="0.25">
      <c r="K1683" s="312"/>
      <c r="N1683" s="514"/>
    </row>
    <row r="1684" spans="11:14" x14ac:dyDescent="0.25">
      <c r="K1684" s="312"/>
      <c r="N1684" s="514"/>
    </row>
    <row r="1685" spans="11:14" x14ac:dyDescent="0.25">
      <c r="K1685" s="312"/>
      <c r="N1685" s="514"/>
    </row>
    <row r="1686" spans="11:14" x14ac:dyDescent="0.25">
      <c r="K1686" s="312"/>
      <c r="N1686" s="514"/>
    </row>
    <row r="1687" spans="11:14" x14ac:dyDescent="0.25">
      <c r="K1687" s="312"/>
      <c r="N1687" s="514"/>
    </row>
    <row r="1688" spans="11:14" x14ac:dyDescent="0.25">
      <c r="K1688" s="312"/>
      <c r="N1688" s="514"/>
    </row>
    <row r="1689" spans="11:14" x14ac:dyDescent="0.25">
      <c r="K1689" s="312"/>
      <c r="N1689" s="514"/>
    </row>
    <row r="1690" spans="11:14" x14ac:dyDescent="0.25">
      <c r="K1690" s="312"/>
      <c r="N1690" s="514"/>
    </row>
    <row r="1691" spans="11:14" x14ac:dyDescent="0.25">
      <c r="K1691" s="312"/>
      <c r="N1691" s="514"/>
    </row>
    <row r="1692" spans="11:14" x14ac:dyDescent="0.25">
      <c r="K1692" s="312"/>
      <c r="N1692" s="514"/>
    </row>
    <row r="1693" spans="11:14" x14ac:dyDescent="0.25">
      <c r="K1693" s="312"/>
      <c r="N1693" s="514"/>
    </row>
    <row r="1694" spans="11:14" x14ac:dyDescent="0.25">
      <c r="K1694" s="312"/>
      <c r="N1694" s="514"/>
    </row>
    <row r="1695" spans="11:14" x14ac:dyDescent="0.25">
      <c r="K1695" s="312"/>
      <c r="N1695" s="514"/>
    </row>
    <row r="1696" spans="11:14" x14ac:dyDescent="0.25">
      <c r="K1696" s="312"/>
      <c r="N1696" s="514"/>
    </row>
    <row r="1697" spans="11:14" x14ac:dyDescent="0.25">
      <c r="K1697" s="312"/>
      <c r="N1697" s="514"/>
    </row>
    <row r="1698" spans="11:14" x14ac:dyDescent="0.25">
      <c r="K1698" s="312"/>
      <c r="N1698" s="514"/>
    </row>
    <row r="1699" spans="11:14" x14ac:dyDescent="0.25">
      <c r="K1699" s="312"/>
      <c r="N1699" s="514"/>
    </row>
    <row r="1700" spans="11:14" x14ac:dyDescent="0.25">
      <c r="K1700" s="312"/>
      <c r="N1700" s="514"/>
    </row>
    <row r="1701" spans="11:14" x14ac:dyDescent="0.25">
      <c r="K1701" s="312"/>
      <c r="N1701" s="514"/>
    </row>
    <row r="1702" spans="11:14" x14ac:dyDescent="0.25">
      <c r="K1702" s="312"/>
      <c r="N1702" s="514"/>
    </row>
    <row r="1703" spans="11:14" x14ac:dyDescent="0.25">
      <c r="K1703" s="312"/>
      <c r="N1703" s="514"/>
    </row>
    <row r="1704" spans="11:14" x14ac:dyDescent="0.25">
      <c r="K1704" s="312"/>
      <c r="N1704" s="514"/>
    </row>
    <row r="1705" spans="11:14" x14ac:dyDescent="0.25">
      <c r="K1705" s="312"/>
      <c r="N1705" s="514"/>
    </row>
    <row r="1706" spans="11:14" x14ac:dyDescent="0.25">
      <c r="K1706" s="312"/>
      <c r="N1706" s="514"/>
    </row>
    <row r="1707" spans="11:14" x14ac:dyDescent="0.25">
      <c r="K1707" s="312"/>
      <c r="N1707" s="514"/>
    </row>
    <row r="1708" spans="11:14" x14ac:dyDescent="0.25">
      <c r="K1708" s="312"/>
      <c r="N1708" s="514"/>
    </row>
    <row r="1709" spans="11:14" x14ac:dyDescent="0.25">
      <c r="K1709" s="312"/>
      <c r="N1709" s="514"/>
    </row>
    <row r="1710" spans="11:14" x14ac:dyDescent="0.25">
      <c r="K1710" s="312"/>
      <c r="N1710" s="514"/>
    </row>
    <row r="1711" spans="11:14" x14ac:dyDescent="0.25">
      <c r="K1711" s="312"/>
      <c r="N1711" s="514"/>
    </row>
    <row r="1712" spans="11:14" x14ac:dyDescent="0.25">
      <c r="K1712" s="312"/>
      <c r="N1712" s="514"/>
    </row>
    <row r="1713" spans="11:14" x14ac:dyDescent="0.25">
      <c r="K1713" s="312"/>
      <c r="N1713" s="514"/>
    </row>
    <row r="1714" spans="11:14" x14ac:dyDescent="0.25">
      <c r="K1714" s="312"/>
      <c r="N1714" s="514"/>
    </row>
    <row r="1715" spans="11:14" x14ac:dyDescent="0.25">
      <c r="K1715" s="312"/>
      <c r="N1715" s="514"/>
    </row>
    <row r="1716" spans="11:14" x14ac:dyDescent="0.25">
      <c r="K1716" s="312"/>
      <c r="N1716" s="514"/>
    </row>
    <row r="1717" spans="11:14" x14ac:dyDescent="0.25">
      <c r="K1717" s="312"/>
      <c r="N1717" s="514"/>
    </row>
    <row r="1718" spans="11:14" x14ac:dyDescent="0.25">
      <c r="K1718" s="312"/>
      <c r="N1718" s="514"/>
    </row>
    <row r="1719" spans="11:14" x14ac:dyDescent="0.25">
      <c r="K1719" s="312"/>
      <c r="N1719" s="514"/>
    </row>
    <row r="1720" spans="11:14" x14ac:dyDescent="0.25">
      <c r="K1720" s="312"/>
      <c r="N1720" s="514"/>
    </row>
    <row r="1721" spans="11:14" x14ac:dyDescent="0.25">
      <c r="K1721" s="312"/>
      <c r="N1721" s="514"/>
    </row>
    <row r="1722" spans="11:14" x14ac:dyDescent="0.25">
      <c r="K1722" s="312"/>
      <c r="N1722" s="514"/>
    </row>
    <row r="1723" spans="11:14" x14ac:dyDescent="0.25">
      <c r="K1723" s="312"/>
      <c r="N1723" s="514"/>
    </row>
    <row r="1724" spans="11:14" x14ac:dyDescent="0.25">
      <c r="K1724" s="312"/>
      <c r="N1724" s="514"/>
    </row>
    <row r="1725" spans="11:14" x14ac:dyDescent="0.25">
      <c r="K1725" s="312"/>
      <c r="N1725" s="514"/>
    </row>
    <row r="1726" spans="11:14" x14ac:dyDescent="0.25">
      <c r="K1726" s="312"/>
      <c r="N1726" s="514"/>
    </row>
    <row r="1727" spans="11:14" x14ac:dyDescent="0.25">
      <c r="K1727" s="312"/>
      <c r="N1727" s="514"/>
    </row>
    <row r="1728" spans="11:14" x14ac:dyDescent="0.25">
      <c r="K1728" s="312"/>
      <c r="N1728" s="514"/>
    </row>
    <row r="1729" spans="11:14" x14ac:dyDescent="0.25">
      <c r="K1729" s="312"/>
      <c r="N1729" s="514"/>
    </row>
    <row r="1730" spans="11:14" x14ac:dyDescent="0.25">
      <c r="K1730" s="312"/>
      <c r="N1730" s="514"/>
    </row>
    <row r="1731" spans="11:14" x14ac:dyDescent="0.25">
      <c r="K1731" s="312"/>
      <c r="N1731" s="514"/>
    </row>
    <row r="1732" spans="11:14" x14ac:dyDescent="0.25">
      <c r="K1732" s="312"/>
      <c r="N1732" s="514"/>
    </row>
    <row r="1733" spans="11:14" x14ac:dyDescent="0.25">
      <c r="K1733" s="312"/>
      <c r="N1733" s="514"/>
    </row>
    <row r="1734" spans="11:14" x14ac:dyDescent="0.25">
      <c r="K1734" s="312"/>
      <c r="N1734" s="514"/>
    </row>
    <row r="1735" spans="11:14" x14ac:dyDescent="0.25">
      <c r="K1735" s="312"/>
      <c r="N1735" s="514"/>
    </row>
    <row r="1736" spans="11:14" x14ac:dyDescent="0.25">
      <c r="K1736" s="312"/>
      <c r="N1736" s="514"/>
    </row>
    <row r="1737" spans="11:14" x14ac:dyDescent="0.25">
      <c r="K1737" s="312"/>
      <c r="N1737" s="514"/>
    </row>
    <row r="1738" spans="11:14" x14ac:dyDescent="0.25">
      <c r="K1738" s="312"/>
      <c r="N1738" s="514"/>
    </row>
    <row r="1739" spans="11:14" x14ac:dyDescent="0.25">
      <c r="K1739" s="312"/>
      <c r="N1739" s="514"/>
    </row>
    <row r="1740" spans="11:14" x14ac:dyDescent="0.25">
      <c r="K1740" s="312"/>
      <c r="N1740" s="514"/>
    </row>
    <row r="1741" spans="11:14" x14ac:dyDescent="0.25">
      <c r="K1741" s="312"/>
      <c r="N1741" s="514"/>
    </row>
    <row r="1742" spans="11:14" x14ac:dyDescent="0.25">
      <c r="K1742" s="312"/>
      <c r="N1742" s="514"/>
    </row>
    <row r="1743" spans="11:14" x14ac:dyDescent="0.25">
      <c r="K1743" s="312"/>
      <c r="N1743" s="514"/>
    </row>
    <row r="1744" spans="11:14" x14ac:dyDescent="0.25">
      <c r="K1744" s="312"/>
      <c r="N1744" s="514"/>
    </row>
    <row r="1745" spans="11:14" x14ac:dyDescent="0.25">
      <c r="K1745" s="312"/>
      <c r="N1745" s="514"/>
    </row>
    <row r="1746" spans="11:14" x14ac:dyDescent="0.25">
      <c r="K1746" s="312"/>
      <c r="N1746" s="514"/>
    </row>
    <row r="1747" spans="11:14" x14ac:dyDescent="0.25">
      <c r="K1747" s="312"/>
      <c r="N1747" s="514"/>
    </row>
    <row r="1748" spans="11:14" x14ac:dyDescent="0.25">
      <c r="K1748" s="312"/>
      <c r="N1748" s="514"/>
    </row>
    <row r="1749" spans="11:14" x14ac:dyDescent="0.25">
      <c r="K1749" s="312"/>
      <c r="N1749" s="514"/>
    </row>
    <row r="1750" spans="11:14" x14ac:dyDescent="0.25">
      <c r="K1750" s="312"/>
      <c r="N1750" s="514"/>
    </row>
    <row r="1751" spans="11:14" x14ac:dyDescent="0.25">
      <c r="K1751" s="312"/>
      <c r="N1751" s="514"/>
    </row>
    <row r="1752" spans="11:14" x14ac:dyDescent="0.25">
      <c r="K1752" s="312"/>
      <c r="N1752" s="514"/>
    </row>
    <row r="1753" spans="11:14" x14ac:dyDescent="0.25">
      <c r="K1753" s="312"/>
      <c r="N1753" s="514"/>
    </row>
    <row r="1754" spans="11:14" x14ac:dyDescent="0.25">
      <c r="K1754" s="312"/>
      <c r="N1754" s="514"/>
    </row>
    <row r="1755" spans="11:14" x14ac:dyDescent="0.25">
      <c r="K1755" s="312"/>
      <c r="N1755" s="514"/>
    </row>
    <row r="1756" spans="11:14" x14ac:dyDescent="0.25">
      <c r="K1756" s="312"/>
      <c r="N1756" s="514"/>
    </row>
    <row r="1757" spans="11:14" x14ac:dyDescent="0.25">
      <c r="K1757" s="312"/>
      <c r="N1757" s="514"/>
    </row>
    <row r="1758" spans="11:14" x14ac:dyDescent="0.25">
      <c r="K1758" s="312"/>
      <c r="N1758" s="514"/>
    </row>
    <row r="1759" spans="11:14" x14ac:dyDescent="0.25">
      <c r="K1759" s="312"/>
      <c r="N1759" s="514"/>
    </row>
    <row r="1760" spans="11:14" x14ac:dyDescent="0.25">
      <c r="K1760" s="312"/>
      <c r="N1760" s="514"/>
    </row>
    <row r="1761" spans="11:14" x14ac:dyDescent="0.25">
      <c r="K1761" s="312"/>
      <c r="N1761" s="514"/>
    </row>
    <row r="1762" spans="11:14" x14ac:dyDescent="0.25">
      <c r="K1762" s="312"/>
      <c r="N1762" s="514"/>
    </row>
    <row r="1763" spans="11:14" x14ac:dyDescent="0.25">
      <c r="K1763" s="312"/>
      <c r="N1763" s="514"/>
    </row>
    <row r="1764" spans="11:14" x14ac:dyDescent="0.25">
      <c r="K1764" s="312"/>
      <c r="N1764" s="514"/>
    </row>
    <row r="1765" spans="11:14" x14ac:dyDescent="0.25">
      <c r="K1765" s="312"/>
      <c r="N1765" s="514"/>
    </row>
    <row r="1766" spans="11:14" x14ac:dyDescent="0.25">
      <c r="K1766" s="312"/>
      <c r="N1766" s="514"/>
    </row>
    <row r="1767" spans="11:14" x14ac:dyDescent="0.25">
      <c r="K1767" s="312"/>
      <c r="N1767" s="514"/>
    </row>
    <row r="1768" spans="11:14" x14ac:dyDescent="0.25">
      <c r="K1768" s="312"/>
      <c r="N1768" s="514"/>
    </row>
    <row r="1769" spans="11:14" x14ac:dyDescent="0.25">
      <c r="K1769" s="312"/>
      <c r="N1769" s="514"/>
    </row>
    <row r="1770" spans="11:14" x14ac:dyDescent="0.25">
      <c r="K1770" s="312"/>
      <c r="N1770" s="514"/>
    </row>
    <row r="1771" spans="11:14" x14ac:dyDescent="0.25">
      <c r="K1771" s="312"/>
      <c r="N1771" s="514"/>
    </row>
    <row r="1772" spans="11:14" x14ac:dyDescent="0.25">
      <c r="K1772" s="312"/>
      <c r="N1772" s="514"/>
    </row>
    <row r="1773" spans="11:14" x14ac:dyDescent="0.25">
      <c r="K1773" s="312"/>
      <c r="N1773" s="514"/>
    </row>
    <row r="1774" spans="11:14" x14ac:dyDescent="0.25">
      <c r="K1774" s="312"/>
      <c r="N1774" s="514"/>
    </row>
    <row r="1775" spans="11:14" x14ac:dyDescent="0.25">
      <c r="K1775" s="312"/>
      <c r="N1775" s="514"/>
    </row>
    <row r="1776" spans="11:14" x14ac:dyDescent="0.25">
      <c r="K1776" s="312"/>
      <c r="N1776" s="514"/>
    </row>
    <row r="1777" spans="11:14" x14ac:dyDescent="0.25">
      <c r="K1777" s="312"/>
      <c r="N1777" s="514"/>
    </row>
    <row r="1778" spans="11:14" x14ac:dyDescent="0.25">
      <c r="K1778" s="312"/>
      <c r="N1778" s="514"/>
    </row>
    <row r="1779" spans="11:14" x14ac:dyDescent="0.25">
      <c r="K1779" s="312"/>
      <c r="N1779" s="514"/>
    </row>
    <row r="1780" spans="11:14" x14ac:dyDescent="0.25">
      <c r="K1780" s="312"/>
      <c r="N1780" s="514"/>
    </row>
    <row r="1781" spans="11:14" x14ac:dyDescent="0.25">
      <c r="K1781" s="312"/>
      <c r="N1781" s="514"/>
    </row>
    <row r="1782" spans="11:14" x14ac:dyDescent="0.25">
      <c r="K1782" s="312"/>
      <c r="N1782" s="514"/>
    </row>
    <row r="1783" spans="11:14" x14ac:dyDescent="0.25">
      <c r="K1783" s="312"/>
      <c r="N1783" s="514"/>
    </row>
    <row r="1784" spans="11:14" x14ac:dyDescent="0.25">
      <c r="K1784" s="312"/>
      <c r="N1784" s="514"/>
    </row>
    <row r="1785" spans="11:14" x14ac:dyDescent="0.25">
      <c r="K1785" s="312"/>
      <c r="N1785" s="514"/>
    </row>
    <row r="1786" spans="11:14" x14ac:dyDescent="0.25">
      <c r="K1786" s="312"/>
      <c r="N1786" s="514"/>
    </row>
    <row r="1787" spans="11:14" x14ac:dyDescent="0.25">
      <c r="K1787" s="312"/>
      <c r="N1787" s="514"/>
    </row>
    <row r="1788" spans="11:14" x14ac:dyDescent="0.25">
      <c r="K1788" s="312"/>
      <c r="N1788" s="514"/>
    </row>
    <row r="1789" spans="11:14" x14ac:dyDescent="0.25">
      <c r="K1789" s="312"/>
      <c r="N1789" s="514"/>
    </row>
    <row r="1790" spans="11:14" x14ac:dyDescent="0.25">
      <c r="K1790" s="312"/>
      <c r="N1790" s="514"/>
    </row>
    <row r="1791" spans="11:14" x14ac:dyDescent="0.25">
      <c r="K1791" s="312"/>
      <c r="N1791" s="514"/>
    </row>
    <row r="1792" spans="11:14" x14ac:dyDescent="0.25">
      <c r="K1792" s="312"/>
      <c r="N1792" s="514"/>
    </row>
    <row r="1793" spans="11:14" x14ac:dyDescent="0.25">
      <c r="K1793" s="312"/>
      <c r="N1793" s="514"/>
    </row>
    <row r="1794" spans="11:14" x14ac:dyDescent="0.25">
      <c r="K1794" s="312"/>
      <c r="N1794" s="514"/>
    </row>
    <row r="1795" spans="11:14" x14ac:dyDescent="0.25">
      <c r="K1795" s="312"/>
      <c r="N1795" s="514"/>
    </row>
    <row r="1796" spans="11:14" x14ac:dyDescent="0.25">
      <c r="K1796" s="312"/>
      <c r="N1796" s="514"/>
    </row>
    <row r="1797" spans="11:14" x14ac:dyDescent="0.25">
      <c r="K1797" s="312"/>
      <c r="N1797" s="514"/>
    </row>
    <row r="1798" spans="11:14" x14ac:dyDescent="0.25">
      <c r="K1798" s="312"/>
      <c r="N1798" s="514"/>
    </row>
    <row r="1799" spans="11:14" x14ac:dyDescent="0.25">
      <c r="K1799" s="312"/>
      <c r="N1799" s="514"/>
    </row>
    <row r="1800" spans="11:14" x14ac:dyDescent="0.25">
      <c r="K1800" s="312"/>
      <c r="N1800" s="514"/>
    </row>
    <row r="1801" spans="11:14" x14ac:dyDescent="0.25">
      <c r="K1801" s="312"/>
      <c r="N1801" s="514"/>
    </row>
    <row r="1802" spans="11:14" x14ac:dyDescent="0.25">
      <c r="K1802" s="312"/>
      <c r="N1802" s="514"/>
    </row>
    <row r="1803" spans="11:14" x14ac:dyDescent="0.25">
      <c r="K1803" s="312"/>
      <c r="N1803" s="514"/>
    </row>
    <row r="1804" spans="11:14" x14ac:dyDescent="0.25">
      <c r="K1804" s="312"/>
      <c r="N1804" s="514"/>
    </row>
    <row r="1805" spans="11:14" x14ac:dyDescent="0.25">
      <c r="K1805" s="312"/>
      <c r="N1805" s="514"/>
    </row>
    <row r="1806" spans="11:14" x14ac:dyDescent="0.25">
      <c r="K1806" s="312"/>
      <c r="N1806" s="514"/>
    </row>
    <row r="1807" spans="11:14" x14ac:dyDescent="0.25">
      <c r="K1807" s="312"/>
      <c r="N1807" s="514"/>
    </row>
    <row r="1808" spans="11:14" x14ac:dyDescent="0.25">
      <c r="K1808" s="312"/>
      <c r="N1808" s="514"/>
    </row>
    <row r="1809" spans="11:14" x14ac:dyDescent="0.25">
      <c r="K1809" s="312"/>
      <c r="N1809" s="514"/>
    </row>
    <row r="1810" spans="11:14" x14ac:dyDescent="0.25">
      <c r="K1810" s="312"/>
      <c r="N1810" s="514"/>
    </row>
    <row r="1811" spans="11:14" x14ac:dyDescent="0.25">
      <c r="K1811" s="312"/>
      <c r="N1811" s="514"/>
    </row>
    <row r="1812" spans="11:14" x14ac:dyDescent="0.25">
      <c r="K1812" s="312"/>
      <c r="N1812" s="514"/>
    </row>
    <row r="1813" spans="11:14" x14ac:dyDescent="0.25">
      <c r="K1813" s="312"/>
      <c r="N1813" s="514"/>
    </row>
    <row r="1814" spans="11:14" x14ac:dyDescent="0.25">
      <c r="K1814" s="312"/>
      <c r="N1814" s="514"/>
    </row>
    <row r="1815" spans="11:14" x14ac:dyDescent="0.25">
      <c r="K1815" s="312"/>
      <c r="N1815" s="514"/>
    </row>
    <row r="1816" spans="11:14" x14ac:dyDescent="0.25">
      <c r="K1816" s="312"/>
      <c r="N1816" s="514"/>
    </row>
    <row r="1817" spans="11:14" x14ac:dyDescent="0.25">
      <c r="K1817" s="312"/>
      <c r="N1817" s="514"/>
    </row>
    <row r="1818" spans="11:14" x14ac:dyDescent="0.25">
      <c r="K1818" s="312"/>
      <c r="N1818" s="514"/>
    </row>
    <row r="1819" spans="11:14" x14ac:dyDescent="0.25">
      <c r="K1819" s="312"/>
      <c r="N1819" s="514"/>
    </row>
    <row r="1820" spans="11:14" x14ac:dyDescent="0.25">
      <c r="K1820" s="312"/>
      <c r="N1820" s="514"/>
    </row>
    <row r="1821" spans="11:14" x14ac:dyDescent="0.25">
      <c r="K1821" s="312"/>
      <c r="N1821" s="514"/>
    </row>
    <row r="1822" spans="11:14" x14ac:dyDescent="0.25">
      <c r="K1822" s="312"/>
      <c r="N1822" s="514"/>
    </row>
    <row r="1823" spans="11:14" x14ac:dyDescent="0.25">
      <c r="K1823" s="312"/>
      <c r="N1823" s="514"/>
    </row>
    <row r="1824" spans="11:14" x14ac:dyDescent="0.25">
      <c r="K1824" s="312"/>
      <c r="N1824" s="514"/>
    </row>
    <row r="1825" spans="11:14" x14ac:dyDescent="0.25">
      <c r="K1825" s="312"/>
      <c r="N1825" s="514"/>
    </row>
    <row r="1826" spans="11:14" x14ac:dyDescent="0.25">
      <c r="K1826" s="312"/>
      <c r="N1826" s="514"/>
    </row>
    <row r="1827" spans="11:14" x14ac:dyDescent="0.25">
      <c r="K1827" s="312"/>
      <c r="N1827" s="514"/>
    </row>
    <row r="1828" spans="11:14" x14ac:dyDescent="0.25">
      <c r="K1828" s="312"/>
      <c r="N1828" s="514"/>
    </row>
    <row r="1829" spans="11:14" x14ac:dyDescent="0.25">
      <c r="K1829" s="312"/>
      <c r="N1829" s="514"/>
    </row>
    <row r="1830" spans="11:14" x14ac:dyDescent="0.25">
      <c r="K1830" s="312"/>
      <c r="N1830" s="514"/>
    </row>
    <row r="1831" spans="11:14" x14ac:dyDescent="0.25">
      <c r="K1831" s="312"/>
      <c r="N1831" s="514"/>
    </row>
    <row r="1832" spans="11:14" x14ac:dyDescent="0.25">
      <c r="K1832" s="312"/>
      <c r="N1832" s="514"/>
    </row>
    <row r="1833" spans="11:14" x14ac:dyDescent="0.25">
      <c r="K1833" s="312"/>
      <c r="N1833" s="514"/>
    </row>
    <row r="1834" spans="11:14" x14ac:dyDescent="0.25">
      <c r="K1834" s="312"/>
      <c r="N1834" s="514"/>
    </row>
    <row r="1835" spans="11:14" x14ac:dyDescent="0.25">
      <c r="K1835" s="312"/>
      <c r="N1835" s="514"/>
    </row>
    <row r="1836" spans="11:14" x14ac:dyDescent="0.25">
      <c r="K1836" s="312"/>
      <c r="N1836" s="514"/>
    </row>
    <row r="1837" spans="11:14" x14ac:dyDescent="0.25">
      <c r="K1837" s="312"/>
      <c r="N1837" s="514"/>
    </row>
    <row r="1838" spans="11:14" x14ac:dyDescent="0.25">
      <c r="K1838" s="312"/>
      <c r="N1838" s="514"/>
    </row>
    <row r="1839" spans="11:14" x14ac:dyDescent="0.25">
      <c r="K1839" s="312"/>
      <c r="N1839" s="514"/>
    </row>
    <row r="1840" spans="11:14" x14ac:dyDescent="0.25">
      <c r="K1840" s="312"/>
      <c r="N1840" s="514"/>
    </row>
    <row r="1841" spans="11:14" x14ac:dyDescent="0.25">
      <c r="K1841" s="312"/>
      <c r="N1841" s="514"/>
    </row>
    <row r="1842" spans="11:14" x14ac:dyDescent="0.25">
      <c r="K1842" s="312"/>
      <c r="N1842" s="514"/>
    </row>
    <row r="1843" spans="11:14" x14ac:dyDescent="0.25">
      <c r="K1843" s="312"/>
      <c r="N1843" s="514"/>
    </row>
    <row r="1844" spans="11:14" x14ac:dyDescent="0.25">
      <c r="K1844" s="312"/>
      <c r="N1844" s="514"/>
    </row>
    <row r="1845" spans="11:14" x14ac:dyDescent="0.25">
      <c r="K1845" s="312"/>
      <c r="N1845" s="514"/>
    </row>
    <row r="1846" spans="11:14" x14ac:dyDescent="0.25">
      <c r="K1846" s="312"/>
      <c r="N1846" s="514"/>
    </row>
    <row r="1847" spans="11:14" x14ac:dyDescent="0.25">
      <c r="K1847" s="312"/>
      <c r="N1847" s="514"/>
    </row>
    <row r="1848" spans="11:14" x14ac:dyDescent="0.25">
      <c r="K1848" s="312"/>
      <c r="N1848" s="514"/>
    </row>
    <row r="1849" spans="11:14" x14ac:dyDescent="0.25">
      <c r="K1849" s="312"/>
      <c r="N1849" s="514"/>
    </row>
    <row r="1850" spans="11:14" x14ac:dyDescent="0.25">
      <c r="K1850" s="312"/>
      <c r="N1850" s="514"/>
    </row>
    <row r="1851" spans="11:14" x14ac:dyDescent="0.25">
      <c r="K1851" s="312"/>
      <c r="N1851" s="514"/>
    </row>
    <row r="1852" spans="11:14" x14ac:dyDescent="0.25">
      <c r="K1852" s="312"/>
      <c r="N1852" s="514"/>
    </row>
    <row r="1853" spans="11:14" x14ac:dyDescent="0.25">
      <c r="K1853" s="312"/>
      <c r="N1853" s="514"/>
    </row>
    <row r="1854" spans="11:14" x14ac:dyDescent="0.25">
      <c r="K1854" s="312"/>
      <c r="N1854" s="514"/>
    </row>
    <row r="1855" spans="11:14" x14ac:dyDescent="0.25">
      <c r="K1855" s="312"/>
      <c r="N1855" s="514"/>
    </row>
    <row r="1856" spans="11:14" x14ac:dyDescent="0.25">
      <c r="K1856" s="312"/>
      <c r="N1856" s="514"/>
    </row>
    <row r="1857" spans="11:14" x14ac:dyDescent="0.25">
      <c r="K1857" s="312"/>
      <c r="N1857" s="514"/>
    </row>
    <row r="1858" spans="11:14" x14ac:dyDescent="0.25">
      <c r="K1858" s="312"/>
      <c r="N1858" s="514"/>
    </row>
    <row r="1859" spans="11:14" x14ac:dyDescent="0.25">
      <c r="K1859" s="312"/>
      <c r="N1859" s="514"/>
    </row>
    <row r="1860" spans="11:14" x14ac:dyDescent="0.25">
      <c r="K1860" s="312"/>
      <c r="N1860" s="514"/>
    </row>
    <row r="1861" spans="11:14" x14ac:dyDescent="0.25">
      <c r="K1861" s="312"/>
      <c r="N1861" s="514"/>
    </row>
    <row r="1862" spans="11:14" x14ac:dyDescent="0.25">
      <c r="K1862" s="312"/>
      <c r="N1862" s="514"/>
    </row>
    <row r="1863" spans="11:14" x14ac:dyDescent="0.25">
      <c r="K1863" s="312"/>
      <c r="N1863" s="514"/>
    </row>
    <row r="1864" spans="11:14" x14ac:dyDescent="0.25">
      <c r="K1864" s="312"/>
      <c r="N1864" s="514"/>
    </row>
    <row r="1865" spans="11:14" x14ac:dyDescent="0.25">
      <c r="K1865" s="312"/>
      <c r="N1865" s="514"/>
    </row>
    <row r="1866" spans="11:14" x14ac:dyDescent="0.25">
      <c r="K1866" s="312"/>
      <c r="N1866" s="514"/>
    </row>
    <row r="1867" spans="11:14" x14ac:dyDescent="0.25">
      <c r="K1867" s="312"/>
      <c r="N1867" s="514"/>
    </row>
    <row r="1868" spans="11:14" x14ac:dyDescent="0.25">
      <c r="K1868" s="312"/>
      <c r="N1868" s="514"/>
    </row>
    <row r="1869" spans="11:14" x14ac:dyDescent="0.25">
      <c r="K1869" s="312"/>
      <c r="N1869" s="514"/>
    </row>
    <row r="1870" spans="11:14" x14ac:dyDescent="0.25">
      <c r="K1870" s="312"/>
      <c r="N1870" s="514"/>
    </row>
    <row r="1871" spans="11:14" x14ac:dyDescent="0.25">
      <c r="K1871" s="312"/>
      <c r="N1871" s="514"/>
    </row>
    <row r="1872" spans="11:14" x14ac:dyDescent="0.25">
      <c r="K1872" s="312"/>
      <c r="N1872" s="514"/>
    </row>
    <row r="1873" spans="11:14" x14ac:dyDescent="0.25">
      <c r="K1873" s="312"/>
      <c r="N1873" s="514"/>
    </row>
    <row r="1874" spans="11:14" x14ac:dyDescent="0.25">
      <c r="K1874" s="312"/>
      <c r="N1874" s="514"/>
    </row>
    <row r="1875" spans="11:14" x14ac:dyDescent="0.25">
      <c r="K1875" s="312"/>
      <c r="N1875" s="514"/>
    </row>
    <row r="1876" spans="11:14" x14ac:dyDescent="0.25">
      <c r="K1876" s="312"/>
      <c r="N1876" s="514"/>
    </row>
    <row r="1877" spans="11:14" x14ac:dyDescent="0.25">
      <c r="K1877" s="312"/>
      <c r="N1877" s="514"/>
    </row>
    <row r="1878" spans="11:14" x14ac:dyDescent="0.25">
      <c r="K1878" s="312"/>
      <c r="N1878" s="514"/>
    </row>
    <row r="1879" spans="11:14" x14ac:dyDescent="0.25">
      <c r="K1879" s="312"/>
      <c r="N1879" s="514"/>
    </row>
    <row r="1880" spans="11:14" x14ac:dyDescent="0.25">
      <c r="K1880" s="312"/>
      <c r="N1880" s="514"/>
    </row>
    <row r="1881" spans="11:14" x14ac:dyDescent="0.25">
      <c r="K1881" s="312"/>
      <c r="N1881" s="514"/>
    </row>
    <row r="1882" spans="11:14" x14ac:dyDescent="0.25">
      <c r="K1882" s="312"/>
      <c r="N1882" s="514"/>
    </row>
    <row r="1883" spans="11:14" x14ac:dyDescent="0.25">
      <c r="K1883" s="312"/>
      <c r="N1883" s="514"/>
    </row>
    <row r="1884" spans="11:14" x14ac:dyDescent="0.25">
      <c r="K1884" s="312"/>
      <c r="N1884" s="514"/>
    </row>
    <row r="1885" spans="11:14" x14ac:dyDescent="0.25">
      <c r="K1885" s="312"/>
      <c r="N1885" s="514"/>
    </row>
    <row r="1886" spans="11:14" x14ac:dyDescent="0.25">
      <c r="K1886" s="312"/>
      <c r="N1886" s="514"/>
    </row>
    <row r="1887" spans="11:14" x14ac:dyDescent="0.25">
      <c r="K1887" s="312"/>
      <c r="N1887" s="514"/>
    </row>
    <row r="1888" spans="11:14" x14ac:dyDescent="0.25">
      <c r="K1888" s="312"/>
      <c r="N1888" s="514"/>
    </row>
    <row r="1889" spans="11:14" x14ac:dyDescent="0.25">
      <c r="K1889" s="312"/>
      <c r="N1889" s="514"/>
    </row>
    <row r="1890" spans="11:14" x14ac:dyDescent="0.25">
      <c r="K1890" s="312"/>
      <c r="N1890" s="514"/>
    </row>
    <row r="1891" spans="11:14" x14ac:dyDescent="0.25">
      <c r="K1891" s="312"/>
      <c r="N1891" s="514"/>
    </row>
    <row r="1892" spans="11:14" x14ac:dyDescent="0.25">
      <c r="K1892" s="312"/>
      <c r="N1892" s="514"/>
    </row>
    <row r="1893" spans="11:14" x14ac:dyDescent="0.25">
      <c r="K1893" s="312"/>
      <c r="N1893" s="514"/>
    </row>
    <row r="1894" spans="11:14" x14ac:dyDescent="0.25">
      <c r="K1894" s="312"/>
      <c r="N1894" s="514"/>
    </row>
    <row r="1895" spans="11:14" x14ac:dyDescent="0.25">
      <c r="K1895" s="312"/>
      <c r="N1895" s="514"/>
    </row>
    <row r="1896" spans="11:14" x14ac:dyDescent="0.25">
      <c r="K1896" s="312"/>
      <c r="N1896" s="514"/>
    </row>
    <row r="1897" spans="11:14" x14ac:dyDescent="0.25">
      <c r="K1897" s="312"/>
      <c r="N1897" s="514"/>
    </row>
    <row r="1898" spans="11:14" x14ac:dyDescent="0.25">
      <c r="K1898" s="312"/>
      <c r="N1898" s="514"/>
    </row>
    <row r="1899" spans="11:14" x14ac:dyDescent="0.25">
      <c r="K1899" s="312"/>
      <c r="N1899" s="514"/>
    </row>
    <row r="1900" spans="11:14" x14ac:dyDescent="0.25">
      <c r="K1900" s="312"/>
      <c r="N1900" s="514"/>
    </row>
    <row r="1901" spans="11:14" x14ac:dyDescent="0.25">
      <c r="K1901" s="312"/>
      <c r="N1901" s="514"/>
    </row>
    <row r="1902" spans="11:14" x14ac:dyDescent="0.25">
      <c r="K1902" s="312"/>
      <c r="N1902" s="514"/>
    </row>
    <row r="1903" spans="11:14" x14ac:dyDescent="0.25">
      <c r="K1903" s="312"/>
      <c r="N1903" s="514"/>
    </row>
    <row r="1904" spans="11:14" x14ac:dyDescent="0.25">
      <c r="K1904" s="312"/>
      <c r="N1904" s="514"/>
    </row>
    <row r="1905" spans="11:14" x14ac:dyDescent="0.25">
      <c r="K1905" s="312"/>
      <c r="N1905" s="514"/>
    </row>
    <row r="1906" spans="11:14" x14ac:dyDescent="0.25">
      <c r="K1906" s="312"/>
      <c r="N1906" s="514"/>
    </row>
    <row r="1907" spans="11:14" x14ac:dyDescent="0.25">
      <c r="K1907" s="312"/>
      <c r="N1907" s="514"/>
    </row>
    <row r="1908" spans="11:14" x14ac:dyDescent="0.25">
      <c r="K1908" s="312"/>
      <c r="N1908" s="514"/>
    </row>
    <row r="1909" spans="11:14" x14ac:dyDescent="0.25">
      <c r="K1909" s="312"/>
      <c r="N1909" s="514"/>
    </row>
    <row r="1910" spans="11:14" x14ac:dyDescent="0.25">
      <c r="K1910" s="312"/>
      <c r="N1910" s="514"/>
    </row>
    <row r="1911" spans="11:14" x14ac:dyDescent="0.25">
      <c r="K1911" s="312"/>
      <c r="N1911" s="514"/>
    </row>
    <row r="1912" spans="11:14" x14ac:dyDescent="0.25">
      <c r="K1912" s="312"/>
      <c r="N1912" s="514"/>
    </row>
    <row r="1913" spans="11:14" x14ac:dyDescent="0.25">
      <c r="K1913" s="312"/>
      <c r="N1913" s="514"/>
    </row>
    <row r="1914" spans="11:14" x14ac:dyDescent="0.25">
      <c r="K1914" s="312"/>
      <c r="N1914" s="514"/>
    </row>
    <row r="1915" spans="11:14" x14ac:dyDescent="0.25">
      <c r="K1915" s="312"/>
      <c r="N1915" s="514"/>
    </row>
    <row r="1916" spans="11:14" x14ac:dyDescent="0.25">
      <c r="K1916" s="312"/>
      <c r="N1916" s="514"/>
    </row>
    <row r="1917" spans="11:14" x14ac:dyDescent="0.25">
      <c r="K1917" s="312"/>
      <c r="N1917" s="514"/>
    </row>
    <row r="1918" spans="11:14" x14ac:dyDescent="0.25">
      <c r="K1918" s="312"/>
      <c r="N1918" s="514"/>
    </row>
    <row r="1919" spans="11:14" x14ac:dyDescent="0.25">
      <c r="K1919" s="312"/>
      <c r="N1919" s="514"/>
    </row>
    <row r="1920" spans="11:14" x14ac:dyDescent="0.25">
      <c r="K1920" s="312"/>
      <c r="N1920" s="514"/>
    </row>
    <row r="1921" spans="11:14" x14ac:dyDescent="0.25">
      <c r="K1921" s="312"/>
      <c r="N1921" s="514"/>
    </row>
    <row r="1922" spans="11:14" x14ac:dyDescent="0.25">
      <c r="K1922" s="312"/>
      <c r="N1922" s="514"/>
    </row>
    <row r="1923" spans="11:14" x14ac:dyDescent="0.25">
      <c r="K1923" s="312"/>
      <c r="N1923" s="514"/>
    </row>
    <row r="1924" spans="11:14" x14ac:dyDescent="0.25">
      <c r="K1924" s="312"/>
      <c r="N1924" s="514"/>
    </row>
    <row r="1925" spans="11:14" x14ac:dyDescent="0.25">
      <c r="K1925" s="312"/>
      <c r="N1925" s="514"/>
    </row>
    <row r="1926" spans="11:14" x14ac:dyDescent="0.25">
      <c r="K1926" s="312"/>
      <c r="N1926" s="514"/>
    </row>
    <row r="1927" spans="11:14" x14ac:dyDescent="0.25">
      <c r="K1927" s="312"/>
      <c r="N1927" s="514"/>
    </row>
    <row r="1928" spans="11:14" x14ac:dyDescent="0.25">
      <c r="K1928" s="312"/>
      <c r="N1928" s="514"/>
    </row>
    <row r="1929" spans="11:14" x14ac:dyDescent="0.25">
      <c r="K1929" s="312"/>
      <c r="N1929" s="514"/>
    </row>
    <row r="1930" spans="11:14" x14ac:dyDescent="0.25">
      <c r="K1930" s="312"/>
      <c r="N1930" s="514"/>
    </row>
    <row r="1931" spans="11:14" x14ac:dyDescent="0.25">
      <c r="K1931" s="312"/>
      <c r="N1931" s="514"/>
    </row>
    <row r="1932" spans="11:14" x14ac:dyDescent="0.25">
      <c r="K1932" s="312"/>
      <c r="N1932" s="514"/>
    </row>
    <row r="1933" spans="11:14" x14ac:dyDescent="0.25">
      <c r="K1933" s="312"/>
      <c r="N1933" s="514"/>
    </row>
    <row r="1934" spans="11:14" x14ac:dyDescent="0.25">
      <c r="K1934" s="312"/>
      <c r="N1934" s="514"/>
    </row>
    <row r="1935" spans="11:14" x14ac:dyDescent="0.25">
      <c r="K1935" s="312"/>
      <c r="N1935" s="514"/>
    </row>
    <row r="1936" spans="11:14" x14ac:dyDescent="0.25">
      <c r="K1936" s="312"/>
      <c r="N1936" s="514"/>
    </row>
    <row r="1937" spans="11:14" x14ac:dyDescent="0.25">
      <c r="K1937" s="312"/>
      <c r="N1937" s="514"/>
    </row>
    <row r="1938" spans="11:14" x14ac:dyDescent="0.25">
      <c r="K1938" s="312"/>
      <c r="N1938" s="514"/>
    </row>
    <row r="1939" spans="11:14" x14ac:dyDescent="0.25">
      <c r="K1939" s="312"/>
      <c r="N1939" s="514"/>
    </row>
    <row r="1940" spans="11:14" x14ac:dyDescent="0.25">
      <c r="K1940" s="312"/>
      <c r="N1940" s="514"/>
    </row>
    <row r="1941" spans="11:14" x14ac:dyDescent="0.25">
      <c r="K1941" s="312"/>
      <c r="N1941" s="514"/>
    </row>
    <row r="1942" spans="11:14" x14ac:dyDescent="0.25">
      <c r="K1942" s="312"/>
      <c r="N1942" s="514"/>
    </row>
    <row r="1943" spans="11:14" x14ac:dyDescent="0.25">
      <c r="K1943" s="312"/>
      <c r="N1943" s="514"/>
    </row>
    <row r="1944" spans="11:14" x14ac:dyDescent="0.25">
      <c r="K1944" s="312"/>
      <c r="N1944" s="514"/>
    </row>
    <row r="1945" spans="11:14" x14ac:dyDescent="0.25">
      <c r="K1945" s="312"/>
      <c r="N1945" s="514"/>
    </row>
    <row r="1946" spans="11:14" x14ac:dyDescent="0.25">
      <c r="K1946" s="312"/>
      <c r="N1946" s="514"/>
    </row>
    <row r="1947" spans="11:14" x14ac:dyDescent="0.25">
      <c r="K1947" s="312"/>
      <c r="N1947" s="514"/>
    </row>
    <row r="1948" spans="11:14" x14ac:dyDescent="0.25">
      <c r="K1948" s="312"/>
      <c r="N1948" s="514"/>
    </row>
    <row r="1949" spans="11:14" x14ac:dyDescent="0.25">
      <c r="K1949" s="312"/>
      <c r="N1949" s="514"/>
    </row>
    <row r="1950" spans="11:14" x14ac:dyDescent="0.25">
      <c r="K1950" s="312"/>
      <c r="N1950" s="514"/>
    </row>
    <row r="1951" spans="11:14" x14ac:dyDescent="0.25">
      <c r="K1951" s="312"/>
      <c r="N1951" s="514"/>
    </row>
    <row r="1952" spans="11:14" x14ac:dyDescent="0.25">
      <c r="K1952" s="312"/>
      <c r="N1952" s="514"/>
    </row>
    <row r="1953" spans="11:14" x14ac:dyDescent="0.25">
      <c r="K1953" s="312"/>
      <c r="N1953" s="514"/>
    </row>
    <row r="1954" spans="11:14" x14ac:dyDescent="0.25">
      <c r="K1954" s="312"/>
      <c r="N1954" s="514"/>
    </row>
    <row r="1955" spans="11:14" x14ac:dyDescent="0.25">
      <c r="K1955" s="312"/>
      <c r="N1955" s="514"/>
    </row>
    <row r="1956" spans="11:14" x14ac:dyDescent="0.25">
      <c r="K1956" s="312"/>
      <c r="N1956" s="514"/>
    </row>
    <row r="1957" spans="11:14" x14ac:dyDescent="0.25">
      <c r="K1957" s="312"/>
      <c r="N1957" s="514"/>
    </row>
    <row r="1958" spans="11:14" x14ac:dyDescent="0.25">
      <c r="K1958" s="312"/>
      <c r="N1958" s="514"/>
    </row>
    <row r="1959" spans="11:14" x14ac:dyDescent="0.25">
      <c r="K1959" s="312"/>
      <c r="N1959" s="514"/>
    </row>
    <row r="1960" spans="11:14" x14ac:dyDescent="0.25">
      <c r="K1960" s="312"/>
      <c r="N1960" s="514"/>
    </row>
    <row r="1961" spans="11:14" x14ac:dyDescent="0.25">
      <c r="K1961" s="312"/>
      <c r="N1961" s="514"/>
    </row>
    <row r="1962" spans="11:14" x14ac:dyDescent="0.25">
      <c r="K1962" s="312"/>
      <c r="N1962" s="514"/>
    </row>
    <row r="1963" spans="11:14" x14ac:dyDescent="0.25">
      <c r="K1963" s="312"/>
      <c r="N1963" s="514"/>
    </row>
    <row r="1964" spans="11:14" x14ac:dyDescent="0.25">
      <c r="K1964" s="312"/>
      <c r="N1964" s="514"/>
    </row>
    <row r="1965" spans="11:14" x14ac:dyDescent="0.25">
      <c r="K1965" s="312"/>
      <c r="N1965" s="514"/>
    </row>
    <row r="1966" spans="11:14" x14ac:dyDescent="0.25">
      <c r="K1966" s="312"/>
      <c r="N1966" s="514"/>
    </row>
    <row r="1967" spans="11:14" x14ac:dyDescent="0.25">
      <c r="K1967" s="312"/>
      <c r="N1967" s="514"/>
    </row>
    <row r="1968" spans="11:14" x14ac:dyDescent="0.25">
      <c r="K1968" s="312"/>
      <c r="N1968" s="514"/>
    </row>
    <row r="1969" spans="11:14" x14ac:dyDescent="0.25">
      <c r="K1969" s="312"/>
      <c r="N1969" s="514"/>
    </row>
    <row r="1970" spans="11:14" x14ac:dyDescent="0.25">
      <c r="K1970" s="312"/>
      <c r="N1970" s="514"/>
    </row>
    <row r="1971" spans="11:14" x14ac:dyDescent="0.25">
      <c r="K1971" s="312"/>
      <c r="N1971" s="514"/>
    </row>
    <row r="1972" spans="11:14" x14ac:dyDescent="0.25">
      <c r="K1972" s="312"/>
      <c r="N1972" s="514"/>
    </row>
    <row r="1973" spans="11:14" x14ac:dyDescent="0.25">
      <c r="K1973" s="312"/>
      <c r="N1973" s="514"/>
    </row>
    <row r="1974" spans="11:14" x14ac:dyDescent="0.25">
      <c r="K1974" s="312"/>
      <c r="N1974" s="514"/>
    </row>
    <row r="1975" spans="11:14" x14ac:dyDescent="0.25">
      <c r="K1975" s="312"/>
      <c r="N1975" s="514"/>
    </row>
    <row r="1976" spans="11:14" x14ac:dyDescent="0.25">
      <c r="K1976" s="312"/>
      <c r="N1976" s="514"/>
    </row>
    <row r="1977" spans="11:14" x14ac:dyDescent="0.25">
      <c r="K1977" s="312"/>
      <c r="N1977" s="514"/>
    </row>
    <row r="1978" spans="11:14" x14ac:dyDescent="0.25">
      <c r="K1978" s="312"/>
      <c r="N1978" s="514"/>
    </row>
    <row r="1979" spans="11:14" x14ac:dyDescent="0.25">
      <c r="K1979" s="312"/>
      <c r="N1979" s="514"/>
    </row>
    <row r="1980" spans="11:14" x14ac:dyDescent="0.25">
      <c r="K1980" s="312"/>
      <c r="N1980" s="514"/>
    </row>
    <row r="1981" spans="11:14" x14ac:dyDescent="0.25">
      <c r="K1981" s="312"/>
      <c r="N1981" s="514"/>
    </row>
    <row r="1982" spans="11:14" x14ac:dyDescent="0.25">
      <c r="K1982" s="312"/>
      <c r="N1982" s="514"/>
    </row>
    <row r="1983" spans="11:14" x14ac:dyDescent="0.25">
      <c r="K1983" s="312"/>
      <c r="N1983" s="514"/>
    </row>
    <row r="1984" spans="11:14" x14ac:dyDescent="0.25">
      <c r="K1984" s="312"/>
      <c r="N1984" s="514"/>
    </row>
    <row r="1985" spans="11:14" x14ac:dyDescent="0.25">
      <c r="K1985" s="312"/>
      <c r="N1985" s="514"/>
    </row>
    <row r="1986" spans="11:14" x14ac:dyDescent="0.25">
      <c r="K1986" s="312"/>
      <c r="N1986" s="514"/>
    </row>
    <row r="1987" spans="11:14" x14ac:dyDescent="0.25">
      <c r="K1987" s="312"/>
      <c r="N1987" s="514"/>
    </row>
    <row r="1988" spans="11:14" x14ac:dyDescent="0.25">
      <c r="K1988" s="312"/>
      <c r="N1988" s="514"/>
    </row>
    <row r="1989" spans="11:14" x14ac:dyDescent="0.25">
      <c r="K1989" s="312"/>
      <c r="N1989" s="514"/>
    </row>
    <row r="1990" spans="11:14" x14ac:dyDescent="0.25">
      <c r="K1990" s="312"/>
      <c r="N1990" s="514"/>
    </row>
    <row r="1991" spans="11:14" x14ac:dyDescent="0.25">
      <c r="K1991" s="312"/>
      <c r="N1991" s="514"/>
    </row>
    <row r="1992" spans="11:14" x14ac:dyDescent="0.25">
      <c r="K1992" s="312"/>
      <c r="N1992" s="514"/>
    </row>
    <row r="1993" spans="11:14" x14ac:dyDescent="0.25">
      <c r="K1993" s="312"/>
      <c r="N1993" s="514"/>
    </row>
    <row r="1994" spans="11:14" x14ac:dyDescent="0.25">
      <c r="K1994" s="312"/>
      <c r="N1994" s="514"/>
    </row>
    <row r="1995" spans="11:14" x14ac:dyDescent="0.25">
      <c r="K1995" s="312"/>
      <c r="N1995" s="514"/>
    </row>
    <row r="1996" spans="11:14" x14ac:dyDescent="0.25">
      <c r="K1996" s="312"/>
      <c r="N1996" s="514"/>
    </row>
    <row r="1997" spans="11:14" x14ac:dyDescent="0.25">
      <c r="K1997" s="312"/>
      <c r="N1997" s="514"/>
    </row>
    <row r="1998" spans="11:14" x14ac:dyDescent="0.25">
      <c r="K1998" s="312"/>
      <c r="N1998" s="514"/>
    </row>
    <row r="1999" spans="11:14" x14ac:dyDescent="0.25">
      <c r="K1999" s="312"/>
      <c r="N1999" s="514"/>
    </row>
    <row r="2000" spans="11:14" x14ac:dyDescent="0.25">
      <c r="K2000" s="312"/>
      <c r="N2000" s="514"/>
    </row>
    <row r="2001" spans="11:14" x14ac:dyDescent="0.25">
      <c r="K2001" s="312"/>
      <c r="N2001" s="514"/>
    </row>
    <row r="2002" spans="11:14" x14ac:dyDescent="0.25">
      <c r="K2002" s="312"/>
      <c r="N2002" s="514"/>
    </row>
    <row r="2003" spans="11:14" x14ac:dyDescent="0.25">
      <c r="K2003" s="312"/>
      <c r="N2003" s="514"/>
    </row>
    <row r="2004" spans="11:14" x14ac:dyDescent="0.25">
      <c r="K2004" s="312"/>
      <c r="N2004" s="514"/>
    </row>
    <row r="2005" spans="11:14" x14ac:dyDescent="0.25">
      <c r="K2005" s="312"/>
      <c r="N2005" s="514"/>
    </row>
    <row r="2006" spans="11:14" x14ac:dyDescent="0.25">
      <c r="K2006" s="312"/>
      <c r="N2006" s="514"/>
    </row>
    <row r="2007" spans="11:14" x14ac:dyDescent="0.25">
      <c r="K2007" s="312"/>
      <c r="N2007" s="514"/>
    </row>
    <row r="2008" spans="11:14" x14ac:dyDescent="0.25">
      <c r="K2008" s="312"/>
      <c r="N2008" s="514"/>
    </row>
    <row r="2009" spans="11:14" x14ac:dyDescent="0.25">
      <c r="K2009" s="312"/>
      <c r="N2009" s="514"/>
    </row>
    <row r="2010" spans="11:14" x14ac:dyDescent="0.25">
      <c r="K2010" s="312"/>
      <c r="N2010" s="514"/>
    </row>
    <row r="2011" spans="11:14" x14ac:dyDescent="0.25">
      <c r="K2011" s="312"/>
      <c r="N2011" s="514"/>
    </row>
    <row r="2012" spans="11:14" x14ac:dyDescent="0.25">
      <c r="K2012" s="312"/>
      <c r="N2012" s="514"/>
    </row>
    <row r="2013" spans="11:14" x14ac:dyDescent="0.25">
      <c r="K2013" s="312"/>
      <c r="N2013" s="514"/>
    </row>
    <row r="2014" spans="11:14" x14ac:dyDescent="0.25">
      <c r="K2014" s="312"/>
      <c r="N2014" s="514"/>
    </row>
    <row r="2015" spans="11:14" x14ac:dyDescent="0.25">
      <c r="K2015" s="312"/>
      <c r="N2015" s="514"/>
    </row>
    <row r="2016" spans="11:14" x14ac:dyDescent="0.25">
      <c r="K2016" s="312"/>
      <c r="N2016" s="514"/>
    </row>
    <row r="2017" spans="11:14" x14ac:dyDescent="0.25">
      <c r="K2017" s="312"/>
      <c r="N2017" s="514"/>
    </row>
    <row r="2018" spans="11:14" x14ac:dyDescent="0.25">
      <c r="K2018" s="312"/>
      <c r="N2018" s="514"/>
    </row>
    <row r="2019" spans="11:14" x14ac:dyDescent="0.25">
      <c r="K2019" s="312"/>
      <c r="N2019" s="514"/>
    </row>
    <row r="2020" spans="11:14" x14ac:dyDescent="0.25">
      <c r="K2020" s="312"/>
      <c r="N2020" s="514"/>
    </row>
    <row r="2021" spans="11:14" x14ac:dyDescent="0.25">
      <c r="K2021" s="312"/>
      <c r="N2021" s="514"/>
    </row>
    <row r="2022" spans="11:14" x14ac:dyDescent="0.25">
      <c r="K2022" s="312"/>
      <c r="N2022" s="514"/>
    </row>
    <row r="2023" spans="11:14" x14ac:dyDescent="0.25">
      <c r="K2023" s="312"/>
      <c r="N2023" s="514"/>
    </row>
    <row r="2024" spans="11:14" x14ac:dyDescent="0.25">
      <c r="K2024" s="312"/>
      <c r="N2024" s="514"/>
    </row>
    <row r="2025" spans="11:14" x14ac:dyDescent="0.25">
      <c r="K2025" s="312"/>
      <c r="N2025" s="514"/>
    </row>
    <row r="2026" spans="11:14" x14ac:dyDescent="0.25">
      <c r="K2026" s="312"/>
      <c r="N2026" s="514"/>
    </row>
    <row r="2027" spans="11:14" x14ac:dyDescent="0.25">
      <c r="K2027" s="312"/>
      <c r="N2027" s="514"/>
    </row>
    <row r="2028" spans="11:14" x14ac:dyDescent="0.25">
      <c r="K2028" s="312"/>
      <c r="N2028" s="514"/>
    </row>
    <row r="2029" spans="11:14" x14ac:dyDescent="0.25">
      <c r="K2029" s="312"/>
      <c r="N2029" s="514"/>
    </row>
    <row r="2030" spans="11:14" x14ac:dyDescent="0.25">
      <c r="K2030" s="312"/>
      <c r="N2030" s="514"/>
    </row>
    <row r="2031" spans="11:14" x14ac:dyDescent="0.25">
      <c r="K2031" s="312"/>
      <c r="N2031" s="514"/>
    </row>
    <row r="2032" spans="11:14" x14ac:dyDescent="0.25">
      <c r="K2032" s="312"/>
      <c r="N2032" s="514"/>
    </row>
    <row r="2033" spans="11:14" x14ac:dyDescent="0.25">
      <c r="K2033" s="312"/>
      <c r="N2033" s="514"/>
    </row>
    <row r="2034" spans="11:14" x14ac:dyDescent="0.25">
      <c r="K2034" s="312"/>
      <c r="N2034" s="514"/>
    </row>
    <row r="2035" spans="11:14" x14ac:dyDescent="0.25">
      <c r="K2035" s="312"/>
      <c r="N2035" s="514"/>
    </row>
    <row r="2036" spans="11:14" x14ac:dyDescent="0.25">
      <c r="K2036" s="312"/>
      <c r="N2036" s="514"/>
    </row>
    <row r="2037" spans="11:14" x14ac:dyDescent="0.25">
      <c r="K2037" s="312"/>
      <c r="N2037" s="514"/>
    </row>
    <row r="2038" spans="11:14" x14ac:dyDescent="0.25">
      <c r="K2038" s="312"/>
      <c r="N2038" s="514"/>
    </row>
    <row r="2039" spans="11:14" x14ac:dyDescent="0.25">
      <c r="K2039" s="312"/>
      <c r="N2039" s="514"/>
    </row>
    <row r="2040" spans="11:14" x14ac:dyDescent="0.25">
      <c r="K2040" s="312"/>
      <c r="N2040" s="514"/>
    </row>
    <row r="2041" spans="11:14" x14ac:dyDescent="0.25">
      <c r="K2041" s="312"/>
      <c r="N2041" s="514"/>
    </row>
    <row r="2042" spans="11:14" x14ac:dyDescent="0.25">
      <c r="K2042" s="312"/>
      <c r="N2042" s="514"/>
    </row>
    <row r="2043" spans="11:14" x14ac:dyDescent="0.25">
      <c r="K2043" s="312"/>
      <c r="N2043" s="514"/>
    </row>
    <row r="2044" spans="11:14" x14ac:dyDescent="0.25">
      <c r="K2044" s="312"/>
      <c r="N2044" s="514"/>
    </row>
    <row r="2045" spans="11:14" x14ac:dyDescent="0.25">
      <c r="K2045" s="312"/>
      <c r="N2045" s="514"/>
    </row>
    <row r="2046" spans="11:14" x14ac:dyDescent="0.25">
      <c r="K2046" s="312"/>
      <c r="N2046" s="514"/>
    </row>
    <row r="2047" spans="11:14" x14ac:dyDescent="0.25">
      <c r="K2047" s="312"/>
      <c r="N2047" s="514"/>
    </row>
    <row r="2048" spans="11:14" x14ac:dyDescent="0.25">
      <c r="K2048" s="312"/>
      <c r="N2048" s="514"/>
    </row>
    <row r="2049" spans="11:14" x14ac:dyDescent="0.25">
      <c r="K2049" s="312"/>
      <c r="N2049" s="514"/>
    </row>
    <row r="2050" spans="11:14" x14ac:dyDescent="0.25">
      <c r="K2050" s="312"/>
      <c r="N2050" s="514"/>
    </row>
    <row r="2051" spans="11:14" x14ac:dyDescent="0.25">
      <c r="K2051" s="312"/>
      <c r="N2051" s="514"/>
    </row>
    <row r="2052" spans="11:14" x14ac:dyDescent="0.25">
      <c r="K2052" s="312"/>
      <c r="N2052" s="514"/>
    </row>
    <row r="2053" spans="11:14" x14ac:dyDescent="0.25">
      <c r="K2053" s="312"/>
      <c r="N2053" s="514"/>
    </row>
    <row r="2054" spans="11:14" x14ac:dyDescent="0.25">
      <c r="K2054" s="312"/>
      <c r="N2054" s="514"/>
    </row>
    <row r="2055" spans="11:14" x14ac:dyDescent="0.25">
      <c r="K2055" s="312"/>
      <c r="N2055" s="514"/>
    </row>
    <row r="2056" spans="11:14" x14ac:dyDescent="0.25">
      <c r="K2056" s="312"/>
      <c r="N2056" s="514"/>
    </row>
    <row r="2057" spans="11:14" x14ac:dyDescent="0.25">
      <c r="K2057" s="312"/>
      <c r="N2057" s="514"/>
    </row>
    <row r="2058" spans="11:14" x14ac:dyDescent="0.25">
      <c r="K2058" s="312"/>
      <c r="N2058" s="514"/>
    </row>
    <row r="2059" spans="11:14" x14ac:dyDescent="0.25">
      <c r="K2059" s="312"/>
      <c r="N2059" s="514"/>
    </row>
    <row r="2060" spans="11:14" x14ac:dyDescent="0.25">
      <c r="K2060" s="312"/>
      <c r="N2060" s="514"/>
    </row>
    <row r="2061" spans="11:14" x14ac:dyDescent="0.25">
      <c r="K2061" s="312"/>
      <c r="N2061" s="514"/>
    </row>
    <row r="2062" spans="11:14" x14ac:dyDescent="0.25">
      <c r="K2062" s="312"/>
      <c r="N2062" s="514"/>
    </row>
    <row r="2063" spans="11:14" x14ac:dyDescent="0.25">
      <c r="K2063" s="312"/>
      <c r="N2063" s="514"/>
    </row>
    <row r="2064" spans="11:14" x14ac:dyDescent="0.25">
      <c r="K2064" s="312"/>
      <c r="N2064" s="514"/>
    </row>
    <row r="2065" spans="11:14" x14ac:dyDescent="0.25">
      <c r="K2065" s="312"/>
      <c r="N2065" s="514"/>
    </row>
    <row r="2066" spans="11:14" x14ac:dyDescent="0.25">
      <c r="K2066" s="312"/>
      <c r="N2066" s="514"/>
    </row>
    <row r="2067" spans="11:14" x14ac:dyDescent="0.25">
      <c r="K2067" s="312"/>
      <c r="N2067" s="514"/>
    </row>
    <row r="2068" spans="11:14" x14ac:dyDescent="0.25">
      <c r="K2068" s="312"/>
      <c r="N2068" s="514"/>
    </row>
    <row r="2069" spans="11:14" x14ac:dyDescent="0.25">
      <c r="K2069" s="312"/>
      <c r="N2069" s="514"/>
    </row>
    <row r="2070" spans="11:14" x14ac:dyDescent="0.25">
      <c r="K2070" s="312"/>
      <c r="N2070" s="514"/>
    </row>
    <row r="2071" spans="11:14" x14ac:dyDescent="0.25">
      <c r="K2071" s="312"/>
      <c r="N2071" s="514"/>
    </row>
    <row r="2072" spans="11:14" x14ac:dyDescent="0.25">
      <c r="K2072" s="312"/>
      <c r="N2072" s="514"/>
    </row>
    <row r="2073" spans="11:14" x14ac:dyDescent="0.25">
      <c r="K2073" s="312"/>
      <c r="N2073" s="514"/>
    </row>
    <row r="2074" spans="11:14" x14ac:dyDescent="0.25">
      <c r="K2074" s="312"/>
      <c r="N2074" s="514"/>
    </row>
    <row r="2075" spans="11:14" x14ac:dyDescent="0.25">
      <c r="K2075" s="312"/>
      <c r="N2075" s="514"/>
    </row>
    <row r="2076" spans="11:14" x14ac:dyDescent="0.25">
      <c r="K2076" s="312"/>
      <c r="N2076" s="514"/>
    </row>
    <row r="2077" spans="11:14" x14ac:dyDescent="0.25">
      <c r="K2077" s="312"/>
      <c r="N2077" s="514"/>
    </row>
    <row r="2078" spans="11:14" x14ac:dyDescent="0.25">
      <c r="K2078" s="312"/>
      <c r="N2078" s="514"/>
    </row>
    <row r="2079" spans="11:14" x14ac:dyDescent="0.25">
      <c r="K2079" s="312"/>
      <c r="N2079" s="514"/>
    </row>
    <row r="2080" spans="11:14" x14ac:dyDescent="0.25">
      <c r="K2080" s="312"/>
      <c r="N2080" s="514"/>
    </row>
    <row r="2081" spans="11:14" x14ac:dyDescent="0.25">
      <c r="K2081" s="312"/>
      <c r="N2081" s="514"/>
    </row>
    <row r="2082" spans="11:14" x14ac:dyDescent="0.25">
      <c r="K2082" s="312"/>
      <c r="N2082" s="514"/>
    </row>
    <row r="2083" spans="11:14" x14ac:dyDescent="0.25">
      <c r="K2083" s="312"/>
      <c r="N2083" s="514"/>
    </row>
    <row r="2084" spans="11:14" x14ac:dyDescent="0.25">
      <c r="K2084" s="312"/>
      <c r="N2084" s="514"/>
    </row>
    <row r="2085" spans="11:14" x14ac:dyDescent="0.25">
      <c r="K2085" s="312"/>
      <c r="N2085" s="514"/>
    </row>
    <row r="2086" spans="11:14" x14ac:dyDescent="0.25">
      <c r="K2086" s="312"/>
      <c r="N2086" s="514"/>
    </row>
    <row r="2087" spans="11:14" x14ac:dyDescent="0.25">
      <c r="K2087" s="312"/>
      <c r="N2087" s="514"/>
    </row>
    <row r="2088" spans="11:14" x14ac:dyDescent="0.25">
      <c r="K2088" s="312"/>
      <c r="N2088" s="514"/>
    </row>
    <row r="2089" spans="11:14" x14ac:dyDescent="0.25">
      <c r="K2089" s="312"/>
      <c r="N2089" s="514"/>
    </row>
    <row r="2090" spans="11:14" x14ac:dyDescent="0.25">
      <c r="K2090" s="312"/>
      <c r="N2090" s="514"/>
    </row>
    <row r="2091" spans="11:14" x14ac:dyDescent="0.25">
      <c r="K2091" s="312"/>
      <c r="N2091" s="514"/>
    </row>
    <row r="2092" spans="11:14" x14ac:dyDescent="0.25">
      <c r="K2092" s="312"/>
      <c r="N2092" s="514"/>
    </row>
    <row r="2093" spans="11:14" x14ac:dyDescent="0.25">
      <c r="K2093" s="312"/>
      <c r="N2093" s="514"/>
    </row>
    <row r="2094" spans="11:14" x14ac:dyDescent="0.25">
      <c r="K2094" s="312"/>
      <c r="N2094" s="514"/>
    </row>
    <row r="2095" spans="11:14" x14ac:dyDescent="0.25">
      <c r="K2095" s="312"/>
      <c r="N2095" s="514"/>
    </row>
    <row r="2096" spans="11:14" x14ac:dyDescent="0.25">
      <c r="K2096" s="312"/>
      <c r="N2096" s="514"/>
    </row>
    <row r="2097" spans="11:14" x14ac:dyDescent="0.25">
      <c r="K2097" s="312"/>
      <c r="N2097" s="514"/>
    </row>
    <row r="2098" spans="11:14" x14ac:dyDescent="0.25">
      <c r="K2098" s="312"/>
      <c r="N2098" s="514"/>
    </row>
    <row r="2099" spans="11:14" x14ac:dyDescent="0.25">
      <c r="K2099" s="312"/>
      <c r="N2099" s="514"/>
    </row>
    <row r="2100" spans="11:14" x14ac:dyDescent="0.25">
      <c r="K2100" s="312"/>
      <c r="N2100" s="514"/>
    </row>
    <row r="2101" spans="11:14" x14ac:dyDescent="0.25">
      <c r="K2101" s="312"/>
      <c r="N2101" s="514"/>
    </row>
    <row r="2102" spans="11:14" x14ac:dyDescent="0.25">
      <c r="K2102" s="312"/>
      <c r="N2102" s="514"/>
    </row>
    <row r="2103" spans="11:14" x14ac:dyDescent="0.25">
      <c r="K2103" s="312"/>
      <c r="N2103" s="514"/>
    </row>
    <row r="2104" spans="11:14" x14ac:dyDescent="0.25">
      <c r="K2104" s="312"/>
      <c r="N2104" s="514"/>
    </row>
    <row r="2105" spans="11:14" x14ac:dyDescent="0.25">
      <c r="K2105" s="312"/>
      <c r="N2105" s="514"/>
    </row>
    <row r="2106" spans="11:14" x14ac:dyDescent="0.25">
      <c r="K2106" s="312"/>
      <c r="N2106" s="514"/>
    </row>
    <row r="2107" spans="11:14" x14ac:dyDescent="0.25">
      <c r="K2107" s="312"/>
      <c r="N2107" s="514"/>
    </row>
    <row r="2108" spans="11:14" x14ac:dyDescent="0.25">
      <c r="K2108" s="312"/>
      <c r="N2108" s="514"/>
    </row>
    <row r="2109" spans="11:14" x14ac:dyDescent="0.25">
      <c r="K2109" s="312"/>
      <c r="N2109" s="514"/>
    </row>
    <row r="2110" spans="11:14" x14ac:dyDescent="0.25">
      <c r="K2110" s="312"/>
      <c r="N2110" s="514"/>
    </row>
    <row r="2111" spans="11:14" x14ac:dyDescent="0.25">
      <c r="K2111" s="312"/>
      <c r="N2111" s="514"/>
    </row>
    <row r="2112" spans="11:14" x14ac:dyDescent="0.25">
      <c r="K2112" s="312"/>
      <c r="N2112" s="514"/>
    </row>
    <row r="2113" spans="11:14" x14ac:dyDescent="0.25">
      <c r="K2113" s="312"/>
      <c r="N2113" s="514"/>
    </row>
    <row r="2114" spans="11:14" x14ac:dyDescent="0.25">
      <c r="K2114" s="312"/>
      <c r="N2114" s="514"/>
    </row>
    <row r="2115" spans="11:14" x14ac:dyDescent="0.25">
      <c r="K2115" s="312"/>
      <c r="N2115" s="514"/>
    </row>
    <row r="2116" spans="11:14" x14ac:dyDescent="0.25">
      <c r="K2116" s="312"/>
      <c r="N2116" s="514"/>
    </row>
    <row r="2117" spans="11:14" x14ac:dyDescent="0.25">
      <c r="K2117" s="312"/>
      <c r="N2117" s="514"/>
    </row>
    <row r="2118" spans="11:14" x14ac:dyDescent="0.25">
      <c r="K2118" s="312"/>
      <c r="N2118" s="514"/>
    </row>
    <row r="2119" spans="11:14" x14ac:dyDescent="0.25">
      <c r="K2119" s="312"/>
      <c r="N2119" s="514"/>
    </row>
    <row r="2120" spans="11:14" x14ac:dyDescent="0.25">
      <c r="K2120" s="312"/>
      <c r="N2120" s="514"/>
    </row>
    <row r="2121" spans="11:14" x14ac:dyDescent="0.25">
      <c r="K2121" s="312"/>
      <c r="N2121" s="514"/>
    </row>
    <row r="2122" spans="11:14" x14ac:dyDescent="0.25">
      <c r="K2122" s="312"/>
      <c r="N2122" s="514"/>
    </row>
    <row r="2123" spans="11:14" x14ac:dyDescent="0.25">
      <c r="K2123" s="312"/>
      <c r="N2123" s="514"/>
    </row>
    <row r="2124" spans="11:14" x14ac:dyDescent="0.25">
      <c r="K2124" s="312"/>
      <c r="N2124" s="514"/>
    </row>
    <row r="2125" spans="11:14" x14ac:dyDescent="0.25">
      <c r="K2125" s="312"/>
      <c r="N2125" s="514"/>
    </row>
    <row r="2126" spans="11:14" x14ac:dyDescent="0.25">
      <c r="K2126" s="312"/>
      <c r="N2126" s="514"/>
    </row>
    <row r="2127" spans="11:14" x14ac:dyDescent="0.25">
      <c r="K2127" s="312"/>
      <c r="N2127" s="514"/>
    </row>
    <row r="2128" spans="11:14" x14ac:dyDescent="0.25">
      <c r="K2128" s="312"/>
      <c r="N2128" s="514"/>
    </row>
    <row r="2129" spans="11:14" x14ac:dyDescent="0.25">
      <c r="K2129" s="312"/>
      <c r="N2129" s="514"/>
    </row>
    <row r="2130" spans="11:14" x14ac:dyDescent="0.25">
      <c r="K2130" s="312"/>
      <c r="N2130" s="514"/>
    </row>
    <row r="2131" spans="11:14" x14ac:dyDescent="0.25">
      <c r="K2131" s="312"/>
      <c r="N2131" s="514"/>
    </row>
    <row r="2132" spans="11:14" x14ac:dyDescent="0.25">
      <c r="K2132" s="312"/>
      <c r="N2132" s="514"/>
    </row>
    <row r="2133" spans="11:14" x14ac:dyDescent="0.25">
      <c r="K2133" s="312"/>
      <c r="N2133" s="514"/>
    </row>
    <row r="2134" spans="11:14" x14ac:dyDescent="0.25">
      <c r="K2134" s="312"/>
      <c r="N2134" s="514"/>
    </row>
    <row r="2135" spans="11:14" x14ac:dyDescent="0.25">
      <c r="K2135" s="312"/>
      <c r="N2135" s="514"/>
    </row>
    <row r="2136" spans="11:14" x14ac:dyDescent="0.25">
      <c r="K2136" s="312"/>
      <c r="N2136" s="514"/>
    </row>
    <row r="2137" spans="11:14" x14ac:dyDescent="0.25">
      <c r="K2137" s="312"/>
      <c r="N2137" s="514"/>
    </row>
    <row r="2138" spans="11:14" x14ac:dyDescent="0.25">
      <c r="K2138" s="312"/>
      <c r="N2138" s="514"/>
    </row>
    <row r="2139" spans="11:14" x14ac:dyDescent="0.25">
      <c r="K2139" s="312"/>
      <c r="N2139" s="514"/>
    </row>
    <row r="2140" spans="11:14" x14ac:dyDescent="0.25">
      <c r="K2140" s="312"/>
      <c r="N2140" s="514"/>
    </row>
    <row r="2141" spans="11:14" x14ac:dyDescent="0.25">
      <c r="K2141" s="312"/>
      <c r="N2141" s="514"/>
    </row>
    <row r="2142" spans="11:14" x14ac:dyDescent="0.25">
      <c r="K2142" s="312"/>
      <c r="N2142" s="514"/>
    </row>
    <row r="2143" spans="11:14" x14ac:dyDescent="0.25">
      <c r="K2143" s="312"/>
      <c r="N2143" s="514"/>
    </row>
    <row r="2144" spans="11:14" x14ac:dyDescent="0.25">
      <c r="K2144" s="312"/>
      <c r="N2144" s="514"/>
    </row>
    <row r="2145" spans="11:14" x14ac:dyDescent="0.25">
      <c r="K2145" s="312"/>
      <c r="N2145" s="514"/>
    </row>
    <row r="2146" spans="11:14" x14ac:dyDescent="0.25">
      <c r="K2146" s="312"/>
      <c r="N2146" s="514"/>
    </row>
    <row r="2147" spans="11:14" x14ac:dyDescent="0.25">
      <c r="K2147" s="312"/>
      <c r="N2147" s="514"/>
    </row>
    <row r="2148" spans="11:14" x14ac:dyDescent="0.25">
      <c r="K2148" s="312"/>
      <c r="N2148" s="514"/>
    </row>
    <row r="2149" spans="11:14" x14ac:dyDescent="0.25">
      <c r="K2149" s="312"/>
      <c r="N2149" s="514"/>
    </row>
    <row r="2150" spans="11:14" x14ac:dyDescent="0.25">
      <c r="K2150" s="312"/>
      <c r="N2150" s="514"/>
    </row>
    <row r="2151" spans="11:14" x14ac:dyDescent="0.25">
      <c r="K2151" s="312"/>
      <c r="N2151" s="514"/>
    </row>
    <row r="2152" spans="11:14" x14ac:dyDescent="0.25">
      <c r="K2152" s="312"/>
      <c r="N2152" s="514"/>
    </row>
    <row r="2153" spans="11:14" x14ac:dyDescent="0.25">
      <c r="K2153" s="312"/>
      <c r="N2153" s="514"/>
    </row>
    <row r="2154" spans="11:14" x14ac:dyDescent="0.25">
      <c r="K2154" s="312"/>
      <c r="N2154" s="514"/>
    </row>
    <row r="2155" spans="11:14" x14ac:dyDescent="0.25">
      <c r="K2155" s="312"/>
      <c r="N2155" s="514"/>
    </row>
    <row r="2156" spans="11:14" x14ac:dyDescent="0.25">
      <c r="K2156" s="312"/>
      <c r="N2156" s="514"/>
    </row>
    <row r="2157" spans="11:14" x14ac:dyDescent="0.25">
      <c r="K2157" s="312"/>
      <c r="N2157" s="514"/>
    </row>
    <row r="2158" spans="11:14" x14ac:dyDescent="0.25">
      <c r="K2158" s="312"/>
      <c r="N2158" s="514"/>
    </row>
    <row r="2159" spans="11:14" x14ac:dyDescent="0.25">
      <c r="K2159" s="312"/>
      <c r="N2159" s="514"/>
    </row>
    <row r="2160" spans="11:14" x14ac:dyDescent="0.25">
      <c r="K2160" s="312"/>
      <c r="N2160" s="514"/>
    </row>
    <row r="2161" spans="11:14" x14ac:dyDescent="0.25">
      <c r="K2161" s="312"/>
      <c r="N2161" s="514"/>
    </row>
    <row r="2162" spans="11:14" x14ac:dyDescent="0.25">
      <c r="K2162" s="312"/>
      <c r="N2162" s="514"/>
    </row>
    <row r="2163" spans="11:14" x14ac:dyDescent="0.25">
      <c r="K2163" s="312"/>
      <c r="N2163" s="514"/>
    </row>
    <row r="2164" spans="11:14" x14ac:dyDescent="0.25">
      <c r="K2164" s="312"/>
      <c r="N2164" s="514"/>
    </row>
    <row r="2165" spans="11:14" x14ac:dyDescent="0.25">
      <c r="K2165" s="312"/>
      <c r="N2165" s="514"/>
    </row>
    <row r="2166" spans="11:14" x14ac:dyDescent="0.25">
      <c r="K2166" s="312"/>
      <c r="N2166" s="514"/>
    </row>
    <row r="2167" spans="11:14" x14ac:dyDescent="0.25">
      <c r="K2167" s="312"/>
      <c r="N2167" s="514"/>
    </row>
    <row r="2168" spans="11:14" x14ac:dyDescent="0.25">
      <c r="K2168" s="312"/>
      <c r="N2168" s="514"/>
    </row>
    <row r="2169" spans="11:14" x14ac:dyDescent="0.25">
      <c r="K2169" s="312"/>
      <c r="N2169" s="514"/>
    </row>
    <row r="2170" spans="11:14" x14ac:dyDescent="0.25">
      <c r="K2170" s="312"/>
      <c r="N2170" s="514"/>
    </row>
    <row r="2171" spans="11:14" x14ac:dyDescent="0.25">
      <c r="K2171" s="312"/>
      <c r="N2171" s="514"/>
    </row>
    <row r="2172" spans="11:14" x14ac:dyDescent="0.25">
      <c r="K2172" s="312"/>
      <c r="N2172" s="514"/>
    </row>
    <row r="2173" spans="11:14" x14ac:dyDescent="0.25">
      <c r="K2173" s="312"/>
      <c r="N2173" s="514"/>
    </row>
    <row r="2174" spans="11:14" x14ac:dyDescent="0.25">
      <c r="K2174" s="312"/>
      <c r="N2174" s="514"/>
    </row>
    <row r="2175" spans="11:14" x14ac:dyDescent="0.25">
      <c r="K2175" s="312"/>
      <c r="N2175" s="514"/>
    </row>
    <row r="2176" spans="11:14" x14ac:dyDescent="0.25">
      <c r="K2176" s="312"/>
      <c r="N2176" s="514"/>
    </row>
    <row r="2177" spans="11:14" x14ac:dyDescent="0.25">
      <c r="K2177" s="312"/>
      <c r="N2177" s="514"/>
    </row>
    <row r="2178" spans="11:14" x14ac:dyDescent="0.25">
      <c r="K2178" s="312"/>
      <c r="N2178" s="514"/>
    </row>
    <row r="2179" spans="11:14" x14ac:dyDescent="0.25">
      <c r="K2179" s="312"/>
      <c r="N2179" s="514"/>
    </row>
    <row r="2180" spans="11:14" x14ac:dyDescent="0.25">
      <c r="K2180" s="312"/>
      <c r="N2180" s="514"/>
    </row>
    <row r="2181" spans="11:14" x14ac:dyDescent="0.25">
      <c r="K2181" s="312"/>
      <c r="N2181" s="514"/>
    </row>
    <row r="2182" spans="11:14" x14ac:dyDescent="0.25">
      <c r="K2182" s="312"/>
      <c r="N2182" s="514"/>
    </row>
    <row r="2183" spans="11:14" x14ac:dyDescent="0.25">
      <c r="K2183" s="312"/>
      <c r="N2183" s="514"/>
    </row>
    <row r="2184" spans="11:14" x14ac:dyDescent="0.25">
      <c r="K2184" s="312"/>
      <c r="N2184" s="514"/>
    </row>
    <row r="2185" spans="11:14" x14ac:dyDescent="0.25">
      <c r="K2185" s="312"/>
      <c r="N2185" s="514"/>
    </row>
    <row r="2186" spans="11:14" x14ac:dyDescent="0.25">
      <c r="K2186" s="312"/>
      <c r="N2186" s="514"/>
    </row>
    <row r="2187" spans="11:14" x14ac:dyDescent="0.25">
      <c r="K2187" s="312"/>
      <c r="N2187" s="514"/>
    </row>
    <row r="2188" spans="11:14" x14ac:dyDescent="0.25">
      <c r="K2188" s="312"/>
      <c r="N2188" s="514"/>
    </row>
    <row r="2189" spans="11:14" x14ac:dyDescent="0.25">
      <c r="K2189" s="312"/>
      <c r="N2189" s="514"/>
    </row>
    <row r="2190" spans="11:14" x14ac:dyDescent="0.25">
      <c r="K2190" s="312"/>
      <c r="N2190" s="514"/>
    </row>
    <row r="2191" spans="11:14" x14ac:dyDescent="0.25">
      <c r="K2191" s="312"/>
      <c r="N2191" s="514"/>
    </row>
    <row r="2192" spans="11:14" x14ac:dyDescent="0.25">
      <c r="K2192" s="312"/>
      <c r="N2192" s="514"/>
    </row>
    <row r="2193" spans="11:14" x14ac:dyDescent="0.25">
      <c r="K2193" s="312"/>
      <c r="N2193" s="514"/>
    </row>
    <row r="2194" spans="11:14" x14ac:dyDescent="0.25">
      <c r="K2194" s="312"/>
      <c r="N2194" s="514"/>
    </row>
    <row r="2195" spans="11:14" x14ac:dyDescent="0.25">
      <c r="K2195" s="312"/>
      <c r="N2195" s="514"/>
    </row>
    <row r="2196" spans="11:14" x14ac:dyDescent="0.25">
      <c r="K2196" s="312"/>
      <c r="N2196" s="514"/>
    </row>
    <row r="2197" spans="11:14" x14ac:dyDescent="0.25">
      <c r="K2197" s="312"/>
      <c r="N2197" s="514"/>
    </row>
    <row r="2198" spans="11:14" x14ac:dyDescent="0.25">
      <c r="K2198" s="312"/>
      <c r="N2198" s="514"/>
    </row>
    <row r="2199" spans="11:14" x14ac:dyDescent="0.25">
      <c r="K2199" s="312"/>
      <c r="N2199" s="514"/>
    </row>
    <row r="2200" spans="11:14" x14ac:dyDescent="0.25">
      <c r="K2200" s="312"/>
      <c r="N2200" s="514"/>
    </row>
    <row r="2201" spans="11:14" x14ac:dyDescent="0.25">
      <c r="K2201" s="312"/>
      <c r="N2201" s="514"/>
    </row>
    <row r="2202" spans="11:14" x14ac:dyDescent="0.25">
      <c r="K2202" s="312"/>
      <c r="N2202" s="514"/>
    </row>
    <row r="2203" spans="11:14" x14ac:dyDescent="0.25">
      <c r="K2203" s="312"/>
      <c r="N2203" s="514"/>
    </row>
    <row r="2204" spans="11:14" x14ac:dyDescent="0.25">
      <c r="K2204" s="312"/>
      <c r="N2204" s="514"/>
    </row>
    <row r="2205" spans="11:14" x14ac:dyDescent="0.25">
      <c r="K2205" s="312"/>
      <c r="N2205" s="514"/>
    </row>
    <row r="2206" spans="11:14" x14ac:dyDescent="0.25">
      <c r="K2206" s="312"/>
      <c r="N2206" s="514"/>
    </row>
    <row r="2207" spans="11:14" x14ac:dyDescent="0.25">
      <c r="K2207" s="312"/>
      <c r="N2207" s="514"/>
    </row>
    <row r="2208" spans="11:14" x14ac:dyDescent="0.25">
      <c r="K2208" s="312"/>
      <c r="N2208" s="514"/>
    </row>
    <row r="2209" spans="11:14" x14ac:dyDescent="0.25">
      <c r="K2209" s="312"/>
      <c r="N2209" s="514"/>
    </row>
    <row r="2210" spans="11:14" x14ac:dyDescent="0.25">
      <c r="K2210" s="312"/>
      <c r="N2210" s="514"/>
    </row>
    <row r="2211" spans="11:14" x14ac:dyDescent="0.25">
      <c r="K2211" s="312"/>
      <c r="N2211" s="514"/>
    </row>
    <row r="2212" spans="11:14" x14ac:dyDescent="0.25">
      <c r="K2212" s="312"/>
      <c r="N2212" s="514"/>
    </row>
    <row r="2213" spans="11:14" x14ac:dyDescent="0.25">
      <c r="K2213" s="312"/>
      <c r="N2213" s="514"/>
    </row>
    <row r="2214" spans="11:14" x14ac:dyDescent="0.25">
      <c r="K2214" s="312"/>
      <c r="N2214" s="514"/>
    </row>
    <row r="2215" spans="11:14" x14ac:dyDescent="0.25">
      <c r="K2215" s="312"/>
      <c r="N2215" s="514"/>
    </row>
    <row r="2216" spans="11:14" x14ac:dyDescent="0.25">
      <c r="K2216" s="312"/>
      <c r="N2216" s="514"/>
    </row>
    <row r="2217" spans="11:14" x14ac:dyDescent="0.25">
      <c r="K2217" s="312"/>
      <c r="N2217" s="514"/>
    </row>
    <row r="2218" spans="11:14" x14ac:dyDescent="0.25">
      <c r="K2218" s="312"/>
      <c r="N2218" s="514"/>
    </row>
    <row r="2219" spans="11:14" x14ac:dyDescent="0.25">
      <c r="K2219" s="312"/>
      <c r="N2219" s="514"/>
    </row>
    <row r="2220" spans="11:14" x14ac:dyDescent="0.25">
      <c r="K2220" s="312"/>
      <c r="N2220" s="514"/>
    </row>
    <row r="2221" spans="11:14" x14ac:dyDescent="0.25">
      <c r="K2221" s="312"/>
      <c r="N2221" s="514"/>
    </row>
    <row r="2222" spans="11:14" x14ac:dyDescent="0.25">
      <c r="K2222" s="312"/>
      <c r="N2222" s="514"/>
    </row>
    <row r="2223" spans="11:14" x14ac:dyDescent="0.25">
      <c r="K2223" s="312"/>
      <c r="N2223" s="514"/>
    </row>
    <row r="2224" spans="11:14" x14ac:dyDescent="0.25">
      <c r="K2224" s="312"/>
      <c r="N2224" s="514"/>
    </row>
    <row r="2225" spans="11:14" x14ac:dyDescent="0.25">
      <c r="K2225" s="312"/>
      <c r="N2225" s="514"/>
    </row>
    <row r="2226" spans="11:14" x14ac:dyDescent="0.25">
      <c r="K2226" s="312"/>
      <c r="N2226" s="514"/>
    </row>
    <row r="2227" spans="11:14" x14ac:dyDescent="0.25">
      <c r="K2227" s="312"/>
      <c r="N2227" s="514"/>
    </row>
    <row r="2228" spans="11:14" x14ac:dyDescent="0.25">
      <c r="K2228" s="312"/>
      <c r="N2228" s="514"/>
    </row>
    <row r="2229" spans="11:14" x14ac:dyDescent="0.25">
      <c r="K2229" s="312"/>
      <c r="N2229" s="514"/>
    </row>
    <row r="2230" spans="11:14" x14ac:dyDescent="0.25">
      <c r="K2230" s="312"/>
      <c r="N2230" s="514"/>
    </row>
    <row r="2231" spans="11:14" x14ac:dyDescent="0.25">
      <c r="K2231" s="312"/>
      <c r="N2231" s="514"/>
    </row>
    <row r="2232" spans="11:14" x14ac:dyDescent="0.25">
      <c r="K2232" s="312"/>
      <c r="N2232" s="514"/>
    </row>
    <row r="2233" spans="11:14" x14ac:dyDescent="0.25">
      <c r="K2233" s="312"/>
      <c r="N2233" s="514"/>
    </row>
    <row r="2234" spans="11:14" x14ac:dyDescent="0.25">
      <c r="K2234" s="312"/>
      <c r="N2234" s="514"/>
    </row>
    <row r="2235" spans="11:14" x14ac:dyDescent="0.25">
      <c r="K2235" s="312"/>
      <c r="N2235" s="514"/>
    </row>
    <row r="2236" spans="11:14" x14ac:dyDescent="0.25">
      <c r="K2236" s="312"/>
      <c r="N2236" s="514"/>
    </row>
    <row r="2237" spans="11:14" x14ac:dyDescent="0.25">
      <c r="K2237" s="312"/>
      <c r="N2237" s="514"/>
    </row>
    <row r="2238" spans="11:14" x14ac:dyDescent="0.25">
      <c r="K2238" s="312"/>
      <c r="N2238" s="514"/>
    </row>
    <row r="2239" spans="11:14" x14ac:dyDescent="0.25">
      <c r="K2239" s="312"/>
      <c r="N2239" s="514"/>
    </row>
    <row r="2240" spans="11:14" x14ac:dyDescent="0.25">
      <c r="K2240" s="312"/>
      <c r="N2240" s="514"/>
    </row>
    <row r="2241" spans="11:14" x14ac:dyDescent="0.25">
      <c r="K2241" s="312"/>
      <c r="N2241" s="514"/>
    </row>
    <row r="2242" spans="11:14" x14ac:dyDescent="0.25">
      <c r="K2242" s="312"/>
      <c r="N2242" s="514"/>
    </row>
    <row r="2243" spans="11:14" x14ac:dyDescent="0.25">
      <c r="K2243" s="312"/>
      <c r="N2243" s="514"/>
    </row>
    <row r="2244" spans="11:14" x14ac:dyDescent="0.25">
      <c r="K2244" s="312"/>
      <c r="N2244" s="514"/>
    </row>
    <row r="2245" spans="11:14" x14ac:dyDescent="0.25">
      <c r="K2245" s="312"/>
      <c r="N2245" s="514"/>
    </row>
    <row r="2246" spans="11:14" x14ac:dyDescent="0.25">
      <c r="K2246" s="312"/>
      <c r="N2246" s="514"/>
    </row>
    <row r="2247" spans="11:14" x14ac:dyDescent="0.25">
      <c r="K2247" s="312"/>
      <c r="N2247" s="514"/>
    </row>
    <row r="2248" spans="11:14" x14ac:dyDescent="0.25">
      <c r="K2248" s="312"/>
      <c r="N2248" s="514"/>
    </row>
    <row r="2249" spans="11:14" x14ac:dyDescent="0.25">
      <c r="K2249" s="312"/>
      <c r="N2249" s="514"/>
    </row>
    <row r="2250" spans="11:14" x14ac:dyDescent="0.25">
      <c r="K2250" s="312"/>
      <c r="N2250" s="514"/>
    </row>
    <row r="2251" spans="11:14" x14ac:dyDescent="0.25">
      <c r="K2251" s="312"/>
      <c r="N2251" s="514"/>
    </row>
    <row r="2252" spans="11:14" x14ac:dyDescent="0.25">
      <c r="K2252" s="312"/>
      <c r="N2252" s="514"/>
    </row>
    <row r="2253" spans="11:14" x14ac:dyDescent="0.25">
      <c r="K2253" s="312"/>
      <c r="N2253" s="514"/>
    </row>
    <row r="2254" spans="11:14" x14ac:dyDescent="0.25">
      <c r="K2254" s="312"/>
      <c r="N2254" s="514"/>
    </row>
    <row r="2255" spans="11:14" x14ac:dyDescent="0.25">
      <c r="K2255" s="312"/>
      <c r="N2255" s="514"/>
    </row>
    <row r="2256" spans="11:14" x14ac:dyDescent="0.25">
      <c r="K2256" s="312"/>
      <c r="N2256" s="514"/>
    </row>
    <row r="2257" spans="11:14" x14ac:dyDescent="0.25">
      <c r="K2257" s="312"/>
      <c r="N2257" s="514"/>
    </row>
    <row r="2258" spans="11:14" x14ac:dyDescent="0.25">
      <c r="K2258" s="312"/>
      <c r="N2258" s="514"/>
    </row>
    <row r="2259" spans="11:14" x14ac:dyDescent="0.25">
      <c r="K2259" s="312"/>
      <c r="N2259" s="514"/>
    </row>
    <row r="2260" spans="11:14" x14ac:dyDescent="0.25">
      <c r="K2260" s="312"/>
      <c r="N2260" s="514"/>
    </row>
    <row r="2261" spans="11:14" x14ac:dyDescent="0.25">
      <c r="K2261" s="312"/>
      <c r="N2261" s="514"/>
    </row>
    <row r="2262" spans="11:14" x14ac:dyDescent="0.25">
      <c r="K2262" s="312"/>
      <c r="N2262" s="514"/>
    </row>
    <row r="2263" spans="11:14" x14ac:dyDescent="0.25">
      <c r="K2263" s="312"/>
      <c r="N2263" s="514"/>
    </row>
    <row r="2264" spans="11:14" x14ac:dyDescent="0.25">
      <c r="K2264" s="312"/>
      <c r="N2264" s="514"/>
    </row>
    <row r="2265" spans="11:14" x14ac:dyDescent="0.25">
      <c r="K2265" s="312"/>
      <c r="N2265" s="514"/>
    </row>
    <row r="2266" spans="11:14" x14ac:dyDescent="0.25">
      <c r="K2266" s="312"/>
      <c r="N2266" s="514"/>
    </row>
    <row r="2267" spans="11:14" x14ac:dyDescent="0.25">
      <c r="K2267" s="312"/>
      <c r="N2267" s="514"/>
    </row>
    <row r="2268" spans="11:14" x14ac:dyDescent="0.25">
      <c r="K2268" s="312"/>
      <c r="N2268" s="514"/>
    </row>
    <row r="2269" spans="11:14" x14ac:dyDescent="0.25">
      <c r="K2269" s="312"/>
      <c r="N2269" s="514"/>
    </row>
    <row r="2270" spans="11:14" x14ac:dyDescent="0.25">
      <c r="K2270" s="312"/>
      <c r="N2270" s="514"/>
    </row>
    <row r="2271" spans="11:14" x14ac:dyDescent="0.25">
      <c r="K2271" s="312"/>
      <c r="N2271" s="514"/>
    </row>
    <row r="2272" spans="11:14" x14ac:dyDescent="0.25">
      <c r="K2272" s="312"/>
      <c r="N2272" s="514"/>
    </row>
    <row r="2273" spans="11:14" x14ac:dyDescent="0.25">
      <c r="K2273" s="312"/>
      <c r="N2273" s="514"/>
    </row>
    <row r="2274" spans="11:14" x14ac:dyDescent="0.25">
      <c r="K2274" s="312"/>
      <c r="N2274" s="514"/>
    </row>
    <row r="2275" spans="11:14" x14ac:dyDescent="0.25">
      <c r="K2275" s="312"/>
      <c r="N2275" s="514"/>
    </row>
    <row r="2276" spans="11:14" x14ac:dyDescent="0.25">
      <c r="K2276" s="312"/>
      <c r="N2276" s="514"/>
    </row>
    <row r="2277" spans="11:14" x14ac:dyDescent="0.25">
      <c r="K2277" s="312"/>
      <c r="N2277" s="514"/>
    </row>
    <row r="2278" spans="11:14" x14ac:dyDescent="0.25">
      <c r="K2278" s="312"/>
      <c r="N2278" s="514"/>
    </row>
    <row r="2279" spans="11:14" x14ac:dyDescent="0.25">
      <c r="K2279" s="312"/>
      <c r="N2279" s="514"/>
    </row>
    <row r="2280" spans="11:14" x14ac:dyDescent="0.25">
      <c r="K2280" s="312"/>
      <c r="N2280" s="514"/>
    </row>
    <row r="2281" spans="11:14" x14ac:dyDescent="0.25">
      <c r="K2281" s="312"/>
      <c r="N2281" s="514"/>
    </row>
    <row r="2282" spans="11:14" x14ac:dyDescent="0.25">
      <c r="K2282" s="312"/>
      <c r="N2282" s="514"/>
    </row>
    <row r="2283" spans="11:14" x14ac:dyDescent="0.25">
      <c r="K2283" s="312"/>
      <c r="N2283" s="514"/>
    </row>
    <row r="2284" spans="11:14" x14ac:dyDescent="0.25">
      <c r="K2284" s="312"/>
      <c r="N2284" s="514"/>
    </row>
    <row r="2285" spans="11:14" x14ac:dyDescent="0.25">
      <c r="K2285" s="312"/>
      <c r="N2285" s="514"/>
    </row>
    <row r="2286" spans="11:14" x14ac:dyDescent="0.25">
      <c r="K2286" s="312"/>
      <c r="N2286" s="514"/>
    </row>
    <row r="2287" spans="11:14" x14ac:dyDescent="0.25">
      <c r="K2287" s="312"/>
      <c r="N2287" s="514"/>
    </row>
    <row r="2288" spans="11:14" x14ac:dyDescent="0.25">
      <c r="K2288" s="312"/>
      <c r="N2288" s="514"/>
    </row>
    <row r="2289" spans="11:14" x14ac:dyDescent="0.25">
      <c r="K2289" s="312"/>
      <c r="N2289" s="514"/>
    </row>
    <row r="2290" spans="11:14" x14ac:dyDescent="0.25">
      <c r="K2290" s="312"/>
      <c r="N2290" s="514"/>
    </row>
    <row r="2291" spans="11:14" x14ac:dyDescent="0.25">
      <c r="K2291" s="312"/>
      <c r="N2291" s="514"/>
    </row>
    <row r="2292" spans="11:14" x14ac:dyDescent="0.25">
      <c r="K2292" s="312"/>
      <c r="N2292" s="514"/>
    </row>
    <row r="2293" spans="11:14" x14ac:dyDescent="0.25">
      <c r="K2293" s="312"/>
      <c r="N2293" s="514"/>
    </row>
    <row r="2294" spans="11:14" x14ac:dyDescent="0.25">
      <c r="K2294" s="312"/>
      <c r="N2294" s="514"/>
    </row>
    <row r="2295" spans="11:14" x14ac:dyDescent="0.25">
      <c r="K2295" s="312"/>
      <c r="N2295" s="514"/>
    </row>
    <row r="2296" spans="11:14" x14ac:dyDescent="0.25">
      <c r="K2296" s="312"/>
      <c r="N2296" s="514"/>
    </row>
    <row r="2297" spans="11:14" x14ac:dyDescent="0.25">
      <c r="K2297" s="312"/>
      <c r="N2297" s="514"/>
    </row>
    <row r="2298" spans="11:14" x14ac:dyDescent="0.25">
      <c r="K2298" s="312"/>
      <c r="N2298" s="514"/>
    </row>
    <row r="2299" spans="11:14" x14ac:dyDescent="0.25">
      <c r="K2299" s="312"/>
      <c r="N2299" s="514"/>
    </row>
    <row r="2300" spans="11:14" x14ac:dyDescent="0.25">
      <c r="K2300" s="312"/>
      <c r="N2300" s="514"/>
    </row>
    <row r="2301" spans="11:14" x14ac:dyDescent="0.25">
      <c r="K2301" s="312"/>
      <c r="N2301" s="514"/>
    </row>
    <row r="2302" spans="11:14" x14ac:dyDescent="0.25">
      <c r="K2302" s="312"/>
      <c r="N2302" s="514"/>
    </row>
    <row r="2303" spans="11:14" x14ac:dyDescent="0.25">
      <c r="K2303" s="312"/>
      <c r="N2303" s="514"/>
    </row>
    <row r="2304" spans="11:14" x14ac:dyDescent="0.25">
      <c r="K2304" s="312"/>
      <c r="N2304" s="514"/>
    </row>
    <row r="2305" spans="11:14" x14ac:dyDescent="0.25">
      <c r="K2305" s="312"/>
      <c r="N2305" s="514"/>
    </row>
    <row r="2306" spans="11:14" x14ac:dyDescent="0.25">
      <c r="K2306" s="312"/>
      <c r="N2306" s="514"/>
    </row>
    <row r="2307" spans="11:14" x14ac:dyDescent="0.25">
      <c r="K2307" s="312"/>
      <c r="N2307" s="514"/>
    </row>
    <row r="2308" spans="11:14" x14ac:dyDescent="0.25">
      <c r="K2308" s="312"/>
      <c r="N2308" s="514"/>
    </row>
    <row r="2309" spans="11:14" x14ac:dyDescent="0.25">
      <c r="K2309" s="312"/>
      <c r="N2309" s="514"/>
    </row>
    <row r="2310" spans="11:14" x14ac:dyDescent="0.25">
      <c r="K2310" s="312"/>
      <c r="N2310" s="514"/>
    </row>
    <row r="2311" spans="11:14" x14ac:dyDescent="0.25">
      <c r="K2311" s="312"/>
      <c r="N2311" s="514"/>
    </row>
    <row r="2312" spans="11:14" x14ac:dyDescent="0.25">
      <c r="K2312" s="312"/>
      <c r="N2312" s="514"/>
    </row>
    <row r="2313" spans="11:14" x14ac:dyDescent="0.25">
      <c r="K2313" s="312"/>
      <c r="N2313" s="514"/>
    </row>
    <row r="2314" spans="11:14" x14ac:dyDescent="0.25">
      <c r="K2314" s="312"/>
      <c r="N2314" s="514"/>
    </row>
    <row r="2315" spans="11:14" x14ac:dyDescent="0.25">
      <c r="K2315" s="312"/>
      <c r="N2315" s="514"/>
    </row>
    <row r="2316" spans="11:14" x14ac:dyDescent="0.25">
      <c r="K2316" s="312"/>
      <c r="N2316" s="514"/>
    </row>
    <row r="2317" spans="11:14" x14ac:dyDescent="0.25">
      <c r="K2317" s="312"/>
      <c r="N2317" s="514"/>
    </row>
    <row r="2318" spans="11:14" x14ac:dyDescent="0.25">
      <c r="K2318" s="312"/>
      <c r="N2318" s="514"/>
    </row>
    <row r="2319" spans="11:14" x14ac:dyDescent="0.25">
      <c r="K2319" s="312"/>
      <c r="N2319" s="514"/>
    </row>
    <row r="2320" spans="11:14" x14ac:dyDescent="0.25">
      <c r="K2320" s="312"/>
      <c r="N2320" s="514"/>
    </row>
    <row r="2321" spans="11:14" x14ac:dyDescent="0.25">
      <c r="K2321" s="312"/>
      <c r="N2321" s="514"/>
    </row>
    <row r="2322" spans="11:14" x14ac:dyDescent="0.25">
      <c r="K2322" s="312"/>
      <c r="N2322" s="514"/>
    </row>
    <row r="2323" spans="11:14" x14ac:dyDescent="0.25">
      <c r="K2323" s="312"/>
      <c r="N2323" s="514"/>
    </row>
    <row r="2324" spans="11:14" x14ac:dyDescent="0.25">
      <c r="K2324" s="312"/>
      <c r="N2324" s="514"/>
    </row>
    <row r="2325" spans="11:14" x14ac:dyDescent="0.25">
      <c r="K2325" s="312"/>
      <c r="N2325" s="514"/>
    </row>
    <row r="2326" spans="11:14" x14ac:dyDescent="0.25">
      <c r="K2326" s="312"/>
      <c r="N2326" s="514"/>
    </row>
    <row r="2327" spans="11:14" x14ac:dyDescent="0.25">
      <c r="K2327" s="312"/>
      <c r="N2327" s="514"/>
    </row>
    <row r="2328" spans="11:14" x14ac:dyDescent="0.25">
      <c r="K2328" s="312"/>
      <c r="N2328" s="514"/>
    </row>
    <row r="2329" spans="11:14" x14ac:dyDescent="0.25">
      <c r="K2329" s="312"/>
      <c r="N2329" s="514"/>
    </row>
    <row r="2330" spans="11:14" x14ac:dyDescent="0.25">
      <c r="K2330" s="312"/>
      <c r="N2330" s="514"/>
    </row>
    <row r="2331" spans="11:14" x14ac:dyDescent="0.25">
      <c r="K2331" s="312"/>
      <c r="N2331" s="514"/>
    </row>
    <row r="2332" spans="11:14" x14ac:dyDescent="0.25">
      <c r="K2332" s="312"/>
      <c r="N2332" s="514"/>
    </row>
    <row r="2333" spans="11:14" x14ac:dyDescent="0.25">
      <c r="K2333" s="312"/>
      <c r="N2333" s="514"/>
    </row>
    <row r="2334" spans="11:14" x14ac:dyDescent="0.25">
      <c r="K2334" s="312"/>
      <c r="N2334" s="514"/>
    </row>
    <row r="2335" spans="11:14" x14ac:dyDescent="0.25">
      <c r="K2335" s="312"/>
      <c r="N2335" s="514"/>
    </row>
    <row r="2336" spans="11:14" x14ac:dyDescent="0.25">
      <c r="K2336" s="312"/>
      <c r="N2336" s="514"/>
    </row>
    <row r="2337" spans="11:14" x14ac:dyDescent="0.25">
      <c r="K2337" s="312"/>
      <c r="N2337" s="514"/>
    </row>
    <row r="2338" spans="11:14" x14ac:dyDescent="0.25">
      <c r="K2338" s="312"/>
      <c r="N2338" s="514"/>
    </row>
    <row r="2339" spans="11:14" x14ac:dyDescent="0.25">
      <c r="K2339" s="312"/>
      <c r="N2339" s="514"/>
    </row>
    <row r="2340" spans="11:14" x14ac:dyDescent="0.25">
      <c r="K2340" s="312"/>
      <c r="N2340" s="514"/>
    </row>
    <row r="2341" spans="11:14" x14ac:dyDescent="0.25">
      <c r="K2341" s="312"/>
      <c r="N2341" s="514"/>
    </row>
    <row r="2342" spans="11:14" x14ac:dyDescent="0.25">
      <c r="K2342" s="312"/>
      <c r="N2342" s="514"/>
    </row>
    <row r="2343" spans="11:14" x14ac:dyDescent="0.25">
      <c r="K2343" s="312"/>
      <c r="N2343" s="514"/>
    </row>
    <row r="2344" spans="11:14" x14ac:dyDescent="0.25">
      <c r="K2344" s="312"/>
      <c r="N2344" s="514"/>
    </row>
    <row r="2345" spans="11:14" x14ac:dyDescent="0.25">
      <c r="K2345" s="312"/>
      <c r="N2345" s="514"/>
    </row>
    <row r="2346" spans="11:14" x14ac:dyDescent="0.25">
      <c r="K2346" s="312"/>
      <c r="N2346" s="514"/>
    </row>
    <row r="2347" spans="11:14" x14ac:dyDescent="0.25">
      <c r="K2347" s="312"/>
      <c r="N2347" s="514"/>
    </row>
    <row r="2348" spans="11:14" x14ac:dyDescent="0.25">
      <c r="K2348" s="312"/>
      <c r="N2348" s="514"/>
    </row>
    <row r="2349" spans="11:14" x14ac:dyDescent="0.25">
      <c r="K2349" s="312"/>
      <c r="N2349" s="514"/>
    </row>
    <row r="2350" spans="11:14" x14ac:dyDescent="0.25">
      <c r="K2350" s="312"/>
      <c r="N2350" s="514"/>
    </row>
    <row r="2351" spans="11:14" x14ac:dyDescent="0.25">
      <c r="K2351" s="312"/>
      <c r="N2351" s="514"/>
    </row>
    <row r="2352" spans="11:14" x14ac:dyDescent="0.25">
      <c r="K2352" s="312"/>
      <c r="N2352" s="514"/>
    </row>
    <row r="2353" spans="11:14" x14ac:dyDescent="0.25">
      <c r="K2353" s="312"/>
      <c r="N2353" s="514"/>
    </row>
    <row r="2354" spans="11:14" x14ac:dyDescent="0.25">
      <c r="K2354" s="312"/>
      <c r="N2354" s="514"/>
    </row>
    <row r="2355" spans="11:14" x14ac:dyDescent="0.25">
      <c r="K2355" s="312"/>
      <c r="N2355" s="514"/>
    </row>
    <row r="2356" spans="11:14" x14ac:dyDescent="0.25">
      <c r="K2356" s="312"/>
      <c r="N2356" s="514"/>
    </row>
    <row r="2357" spans="11:14" x14ac:dyDescent="0.25">
      <c r="K2357" s="312"/>
      <c r="N2357" s="514"/>
    </row>
    <row r="2358" spans="11:14" x14ac:dyDescent="0.25">
      <c r="K2358" s="312"/>
      <c r="N2358" s="514"/>
    </row>
    <row r="2359" spans="11:14" x14ac:dyDescent="0.25">
      <c r="K2359" s="312"/>
      <c r="N2359" s="514"/>
    </row>
    <row r="2360" spans="11:14" x14ac:dyDescent="0.25">
      <c r="K2360" s="312"/>
      <c r="N2360" s="514"/>
    </row>
    <row r="2361" spans="11:14" x14ac:dyDescent="0.25">
      <c r="K2361" s="312"/>
      <c r="N2361" s="514"/>
    </row>
    <row r="2362" spans="11:14" x14ac:dyDescent="0.25">
      <c r="K2362" s="312"/>
      <c r="N2362" s="514"/>
    </row>
    <row r="2363" spans="11:14" x14ac:dyDescent="0.25">
      <c r="K2363" s="312"/>
      <c r="N2363" s="514"/>
    </row>
    <row r="2364" spans="11:14" x14ac:dyDescent="0.25">
      <c r="K2364" s="312"/>
      <c r="N2364" s="514"/>
    </row>
    <row r="2365" spans="11:14" x14ac:dyDescent="0.25">
      <c r="K2365" s="312"/>
      <c r="N2365" s="514"/>
    </row>
    <row r="2366" spans="11:14" x14ac:dyDescent="0.25">
      <c r="K2366" s="312"/>
      <c r="N2366" s="514"/>
    </row>
    <row r="2367" spans="11:14" x14ac:dyDescent="0.25">
      <c r="K2367" s="312"/>
      <c r="N2367" s="514"/>
    </row>
    <row r="2368" spans="11:14" x14ac:dyDescent="0.25">
      <c r="K2368" s="312"/>
      <c r="N2368" s="514"/>
    </row>
    <row r="2369" spans="11:14" x14ac:dyDescent="0.25">
      <c r="K2369" s="312"/>
      <c r="N2369" s="514"/>
    </row>
    <row r="2370" spans="11:14" x14ac:dyDescent="0.25">
      <c r="K2370" s="312"/>
      <c r="N2370" s="514"/>
    </row>
    <row r="2371" spans="11:14" x14ac:dyDescent="0.25">
      <c r="K2371" s="312"/>
      <c r="N2371" s="514"/>
    </row>
    <row r="2372" spans="11:14" x14ac:dyDescent="0.25">
      <c r="K2372" s="312"/>
      <c r="N2372" s="514"/>
    </row>
    <row r="2373" spans="11:14" x14ac:dyDescent="0.25">
      <c r="K2373" s="312"/>
      <c r="N2373" s="514"/>
    </row>
    <row r="2374" spans="11:14" x14ac:dyDescent="0.25">
      <c r="K2374" s="312"/>
      <c r="N2374" s="514"/>
    </row>
    <row r="2375" spans="11:14" x14ac:dyDescent="0.25">
      <c r="K2375" s="312"/>
      <c r="N2375" s="514"/>
    </row>
    <row r="2376" spans="11:14" x14ac:dyDescent="0.25">
      <c r="K2376" s="312"/>
      <c r="N2376" s="514"/>
    </row>
    <row r="2377" spans="11:14" x14ac:dyDescent="0.25">
      <c r="K2377" s="312"/>
      <c r="N2377" s="514"/>
    </row>
    <row r="2378" spans="11:14" x14ac:dyDescent="0.25">
      <c r="K2378" s="312"/>
      <c r="N2378" s="514"/>
    </row>
    <row r="2379" spans="11:14" x14ac:dyDescent="0.25">
      <c r="K2379" s="312"/>
      <c r="N2379" s="514"/>
    </row>
    <row r="2380" spans="11:14" x14ac:dyDescent="0.25">
      <c r="K2380" s="312"/>
      <c r="N2380" s="514"/>
    </row>
    <row r="2381" spans="11:14" x14ac:dyDescent="0.25">
      <c r="K2381" s="312"/>
      <c r="N2381" s="514"/>
    </row>
    <row r="2382" spans="11:14" x14ac:dyDescent="0.25">
      <c r="K2382" s="312"/>
      <c r="N2382" s="514"/>
    </row>
    <row r="2383" spans="11:14" x14ac:dyDescent="0.25">
      <c r="K2383" s="312"/>
      <c r="N2383" s="514"/>
    </row>
    <row r="2384" spans="11:14" x14ac:dyDescent="0.25">
      <c r="K2384" s="312"/>
      <c r="N2384" s="514"/>
    </row>
    <row r="2385" spans="11:14" x14ac:dyDescent="0.25">
      <c r="K2385" s="312"/>
      <c r="N2385" s="514"/>
    </row>
    <row r="2386" spans="11:14" x14ac:dyDescent="0.25">
      <c r="K2386" s="312"/>
      <c r="N2386" s="514"/>
    </row>
    <row r="2387" spans="11:14" x14ac:dyDescent="0.25">
      <c r="K2387" s="312"/>
      <c r="N2387" s="514"/>
    </row>
    <row r="2388" spans="11:14" x14ac:dyDescent="0.25">
      <c r="K2388" s="312"/>
      <c r="N2388" s="514"/>
    </row>
    <row r="2389" spans="11:14" x14ac:dyDescent="0.25">
      <c r="K2389" s="312"/>
      <c r="N2389" s="514"/>
    </row>
    <row r="2390" spans="11:14" x14ac:dyDescent="0.25">
      <c r="K2390" s="312"/>
      <c r="N2390" s="514"/>
    </row>
    <row r="2391" spans="11:14" x14ac:dyDescent="0.25">
      <c r="K2391" s="312"/>
      <c r="N2391" s="514"/>
    </row>
    <row r="2392" spans="11:14" x14ac:dyDescent="0.25">
      <c r="K2392" s="312"/>
      <c r="N2392" s="514"/>
    </row>
    <row r="2393" spans="11:14" x14ac:dyDescent="0.25">
      <c r="K2393" s="312"/>
      <c r="N2393" s="514"/>
    </row>
    <row r="2394" spans="11:14" x14ac:dyDescent="0.25">
      <c r="K2394" s="312"/>
      <c r="N2394" s="514"/>
    </row>
    <row r="2395" spans="11:14" x14ac:dyDescent="0.25">
      <c r="K2395" s="312"/>
      <c r="N2395" s="514"/>
    </row>
    <row r="2396" spans="11:14" x14ac:dyDescent="0.25">
      <c r="K2396" s="312"/>
      <c r="N2396" s="514"/>
    </row>
    <row r="2397" spans="11:14" x14ac:dyDescent="0.25">
      <c r="K2397" s="312"/>
      <c r="N2397" s="514"/>
    </row>
    <row r="2398" spans="11:14" x14ac:dyDescent="0.25">
      <c r="K2398" s="312"/>
      <c r="N2398" s="514"/>
    </row>
    <row r="2399" spans="11:14" x14ac:dyDescent="0.25">
      <c r="K2399" s="312"/>
      <c r="N2399" s="514"/>
    </row>
    <row r="2400" spans="11:14" x14ac:dyDescent="0.25">
      <c r="K2400" s="312"/>
      <c r="N2400" s="514"/>
    </row>
    <row r="2401" spans="11:14" x14ac:dyDescent="0.25">
      <c r="K2401" s="312"/>
      <c r="N2401" s="514"/>
    </row>
    <row r="2402" spans="11:14" x14ac:dyDescent="0.25">
      <c r="K2402" s="312"/>
      <c r="N2402" s="514"/>
    </row>
    <row r="2403" spans="11:14" x14ac:dyDescent="0.25">
      <c r="K2403" s="312"/>
      <c r="N2403" s="514"/>
    </row>
    <row r="2404" spans="11:14" x14ac:dyDescent="0.25">
      <c r="K2404" s="312"/>
      <c r="N2404" s="514"/>
    </row>
    <row r="2405" spans="11:14" x14ac:dyDescent="0.25">
      <c r="K2405" s="312"/>
      <c r="N2405" s="514"/>
    </row>
    <row r="2406" spans="11:14" x14ac:dyDescent="0.25">
      <c r="K2406" s="312"/>
      <c r="N2406" s="514"/>
    </row>
    <row r="2407" spans="11:14" x14ac:dyDescent="0.25">
      <c r="K2407" s="312"/>
      <c r="N2407" s="514"/>
    </row>
    <row r="2408" spans="11:14" x14ac:dyDescent="0.25">
      <c r="K2408" s="312"/>
      <c r="N2408" s="514"/>
    </row>
    <row r="2409" spans="11:14" x14ac:dyDescent="0.25">
      <c r="K2409" s="312"/>
      <c r="N2409" s="514"/>
    </row>
    <row r="2410" spans="11:14" x14ac:dyDescent="0.25">
      <c r="K2410" s="312"/>
      <c r="N2410" s="514"/>
    </row>
    <row r="2411" spans="11:14" x14ac:dyDescent="0.25">
      <c r="K2411" s="312"/>
      <c r="N2411" s="514"/>
    </row>
    <row r="2412" spans="11:14" x14ac:dyDescent="0.25">
      <c r="K2412" s="312"/>
      <c r="N2412" s="514"/>
    </row>
    <row r="2413" spans="11:14" x14ac:dyDescent="0.25">
      <c r="K2413" s="312"/>
      <c r="N2413" s="514"/>
    </row>
    <row r="2414" spans="11:14" x14ac:dyDescent="0.25">
      <c r="K2414" s="312"/>
      <c r="N2414" s="514"/>
    </row>
    <row r="2415" spans="11:14" x14ac:dyDescent="0.25">
      <c r="K2415" s="312"/>
      <c r="N2415" s="514"/>
    </row>
    <row r="2416" spans="11:14" x14ac:dyDescent="0.25">
      <c r="K2416" s="312"/>
      <c r="N2416" s="514"/>
    </row>
    <row r="2417" spans="11:14" x14ac:dyDescent="0.25">
      <c r="K2417" s="312"/>
      <c r="N2417" s="514"/>
    </row>
    <row r="2418" spans="11:14" x14ac:dyDescent="0.25">
      <c r="K2418" s="312"/>
      <c r="N2418" s="514"/>
    </row>
    <row r="2419" spans="11:14" x14ac:dyDescent="0.25">
      <c r="K2419" s="312"/>
      <c r="N2419" s="514"/>
    </row>
    <row r="2420" spans="11:14" x14ac:dyDescent="0.25">
      <c r="K2420" s="312"/>
      <c r="N2420" s="514"/>
    </row>
    <row r="2421" spans="11:14" x14ac:dyDescent="0.25">
      <c r="K2421" s="312"/>
      <c r="N2421" s="514"/>
    </row>
    <row r="2422" spans="11:14" x14ac:dyDescent="0.25">
      <c r="K2422" s="312"/>
      <c r="N2422" s="514"/>
    </row>
    <row r="2423" spans="11:14" x14ac:dyDescent="0.25">
      <c r="K2423" s="312"/>
      <c r="N2423" s="514"/>
    </row>
    <row r="2424" spans="11:14" x14ac:dyDescent="0.25">
      <c r="K2424" s="312"/>
      <c r="N2424" s="514"/>
    </row>
    <row r="2425" spans="11:14" x14ac:dyDescent="0.25">
      <c r="K2425" s="312"/>
      <c r="N2425" s="514"/>
    </row>
    <row r="2426" spans="11:14" x14ac:dyDescent="0.25">
      <c r="K2426" s="312"/>
      <c r="N2426" s="514"/>
    </row>
    <row r="2427" spans="11:14" x14ac:dyDescent="0.25">
      <c r="K2427" s="312"/>
      <c r="N2427" s="514"/>
    </row>
    <row r="2428" spans="11:14" x14ac:dyDescent="0.25">
      <c r="K2428" s="312"/>
      <c r="N2428" s="514"/>
    </row>
    <row r="2429" spans="11:14" x14ac:dyDescent="0.25">
      <c r="K2429" s="312"/>
      <c r="N2429" s="514"/>
    </row>
    <row r="2430" spans="11:14" x14ac:dyDescent="0.25">
      <c r="K2430" s="312"/>
      <c r="N2430" s="514"/>
    </row>
    <row r="2431" spans="11:14" x14ac:dyDescent="0.25">
      <c r="K2431" s="312"/>
      <c r="N2431" s="514"/>
    </row>
    <row r="2432" spans="11:14" x14ac:dyDescent="0.25">
      <c r="K2432" s="312"/>
      <c r="N2432" s="514"/>
    </row>
    <row r="2433" spans="11:14" x14ac:dyDescent="0.25">
      <c r="K2433" s="312"/>
      <c r="N2433" s="514"/>
    </row>
    <row r="2434" spans="11:14" x14ac:dyDescent="0.25">
      <c r="K2434" s="312"/>
      <c r="N2434" s="514"/>
    </row>
    <row r="2435" spans="11:14" x14ac:dyDescent="0.25">
      <c r="K2435" s="312"/>
      <c r="N2435" s="514"/>
    </row>
    <row r="2436" spans="11:14" x14ac:dyDescent="0.25">
      <c r="K2436" s="312"/>
      <c r="N2436" s="514"/>
    </row>
    <row r="2437" spans="11:14" x14ac:dyDescent="0.25">
      <c r="K2437" s="312"/>
      <c r="N2437" s="514"/>
    </row>
    <row r="2438" spans="11:14" x14ac:dyDescent="0.25">
      <c r="K2438" s="312"/>
      <c r="N2438" s="514"/>
    </row>
    <row r="2439" spans="11:14" x14ac:dyDescent="0.25">
      <c r="K2439" s="312"/>
      <c r="N2439" s="514"/>
    </row>
    <row r="2440" spans="11:14" x14ac:dyDescent="0.25">
      <c r="K2440" s="312"/>
      <c r="N2440" s="514"/>
    </row>
    <row r="2441" spans="11:14" x14ac:dyDescent="0.25">
      <c r="K2441" s="312"/>
      <c r="N2441" s="514"/>
    </row>
    <row r="2442" spans="11:14" x14ac:dyDescent="0.25">
      <c r="K2442" s="312"/>
      <c r="N2442" s="514"/>
    </row>
    <row r="2443" spans="11:14" x14ac:dyDescent="0.25">
      <c r="K2443" s="312"/>
      <c r="N2443" s="514"/>
    </row>
    <row r="2444" spans="11:14" x14ac:dyDescent="0.25">
      <c r="K2444" s="312"/>
      <c r="N2444" s="514"/>
    </row>
    <row r="2445" spans="11:14" x14ac:dyDescent="0.25">
      <c r="K2445" s="312"/>
      <c r="N2445" s="514"/>
    </row>
    <row r="2446" spans="11:14" x14ac:dyDescent="0.25">
      <c r="K2446" s="312"/>
      <c r="N2446" s="514"/>
    </row>
    <row r="2447" spans="11:14" x14ac:dyDescent="0.25">
      <c r="K2447" s="312"/>
      <c r="N2447" s="514"/>
    </row>
    <row r="2448" spans="11:14" x14ac:dyDescent="0.25">
      <c r="K2448" s="312"/>
      <c r="N2448" s="514"/>
    </row>
    <row r="2449" spans="11:14" x14ac:dyDescent="0.25">
      <c r="K2449" s="312"/>
      <c r="N2449" s="514"/>
    </row>
    <row r="2450" spans="11:14" x14ac:dyDescent="0.25">
      <c r="K2450" s="312"/>
      <c r="N2450" s="514"/>
    </row>
    <row r="2451" spans="11:14" x14ac:dyDescent="0.25">
      <c r="K2451" s="312"/>
      <c r="N2451" s="514"/>
    </row>
    <row r="2452" spans="11:14" x14ac:dyDescent="0.25">
      <c r="K2452" s="312"/>
      <c r="N2452" s="514"/>
    </row>
    <row r="2453" spans="11:14" x14ac:dyDescent="0.25">
      <c r="K2453" s="312"/>
      <c r="N2453" s="514"/>
    </row>
    <row r="2454" spans="11:14" x14ac:dyDescent="0.25">
      <c r="K2454" s="312"/>
      <c r="N2454" s="514"/>
    </row>
    <row r="2455" spans="11:14" x14ac:dyDescent="0.25">
      <c r="K2455" s="312"/>
      <c r="N2455" s="514"/>
    </row>
    <row r="2456" spans="11:14" x14ac:dyDescent="0.25">
      <c r="K2456" s="312"/>
      <c r="N2456" s="514"/>
    </row>
    <row r="2457" spans="11:14" x14ac:dyDescent="0.25">
      <c r="K2457" s="312"/>
      <c r="N2457" s="514"/>
    </row>
    <row r="2458" spans="11:14" x14ac:dyDescent="0.25">
      <c r="K2458" s="312"/>
      <c r="N2458" s="514"/>
    </row>
    <row r="2459" spans="11:14" x14ac:dyDescent="0.25">
      <c r="K2459" s="312"/>
      <c r="N2459" s="514"/>
    </row>
    <row r="2460" spans="11:14" x14ac:dyDescent="0.25">
      <c r="K2460" s="312"/>
      <c r="N2460" s="514"/>
    </row>
    <row r="2461" spans="11:14" x14ac:dyDescent="0.25">
      <c r="K2461" s="312"/>
      <c r="N2461" s="514"/>
    </row>
    <row r="2462" spans="11:14" x14ac:dyDescent="0.25">
      <c r="K2462" s="312"/>
      <c r="N2462" s="514"/>
    </row>
    <row r="2463" spans="11:14" x14ac:dyDescent="0.25">
      <c r="K2463" s="312"/>
      <c r="N2463" s="514"/>
    </row>
    <row r="2464" spans="11:14" x14ac:dyDescent="0.25">
      <c r="K2464" s="312"/>
      <c r="N2464" s="514"/>
    </row>
    <row r="2465" spans="11:14" x14ac:dyDescent="0.25">
      <c r="K2465" s="312"/>
      <c r="N2465" s="514"/>
    </row>
    <row r="2466" spans="11:14" x14ac:dyDescent="0.25">
      <c r="K2466" s="312"/>
      <c r="N2466" s="514"/>
    </row>
    <row r="2467" spans="11:14" x14ac:dyDescent="0.25">
      <c r="K2467" s="312"/>
      <c r="N2467" s="514"/>
    </row>
    <row r="2468" spans="11:14" x14ac:dyDescent="0.25">
      <c r="K2468" s="312"/>
      <c r="N2468" s="514"/>
    </row>
    <row r="2469" spans="11:14" x14ac:dyDescent="0.25">
      <c r="K2469" s="312"/>
      <c r="N2469" s="514"/>
    </row>
    <row r="2470" spans="11:14" x14ac:dyDescent="0.25">
      <c r="K2470" s="312"/>
      <c r="N2470" s="514"/>
    </row>
    <row r="2471" spans="11:14" x14ac:dyDescent="0.25">
      <c r="K2471" s="312"/>
      <c r="N2471" s="514"/>
    </row>
    <row r="2472" spans="11:14" x14ac:dyDescent="0.25">
      <c r="K2472" s="312"/>
      <c r="N2472" s="514"/>
    </row>
    <row r="2473" spans="11:14" x14ac:dyDescent="0.25">
      <c r="K2473" s="312"/>
      <c r="N2473" s="514"/>
    </row>
    <row r="2474" spans="11:14" x14ac:dyDescent="0.25">
      <c r="K2474" s="312"/>
      <c r="N2474" s="514"/>
    </row>
    <row r="2475" spans="11:14" x14ac:dyDescent="0.25">
      <c r="K2475" s="312"/>
      <c r="N2475" s="514"/>
    </row>
    <row r="2476" spans="11:14" x14ac:dyDescent="0.25">
      <c r="K2476" s="312"/>
      <c r="N2476" s="514"/>
    </row>
    <row r="2477" spans="11:14" x14ac:dyDescent="0.25">
      <c r="K2477" s="312"/>
      <c r="N2477" s="514"/>
    </row>
    <row r="2478" spans="11:14" x14ac:dyDescent="0.25">
      <c r="K2478" s="312"/>
      <c r="N2478" s="514"/>
    </row>
    <row r="2479" spans="11:14" x14ac:dyDescent="0.25">
      <c r="K2479" s="312"/>
      <c r="N2479" s="514"/>
    </row>
    <row r="2480" spans="11:14" x14ac:dyDescent="0.25">
      <c r="K2480" s="312"/>
      <c r="N2480" s="514"/>
    </row>
    <row r="2481" spans="11:14" x14ac:dyDescent="0.25">
      <c r="K2481" s="312"/>
      <c r="N2481" s="514"/>
    </row>
    <row r="2482" spans="11:14" x14ac:dyDescent="0.25">
      <c r="K2482" s="312"/>
      <c r="N2482" s="514"/>
    </row>
    <row r="2483" spans="11:14" x14ac:dyDescent="0.25">
      <c r="K2483" s="312"/>
      <c r="N2483" s="514"/>
    </row>
    <row r="2484" spans="11:14" x14ac:dyDescent="0.25">
      <c r="K2484" s="312"/>
      <c r="N2484" s="514"/>
    </row>
    <row r="2485" spans="11:14" x14ac:dyDescent="0.25">
      <c r="K2485" s="312"/>
      <c r="N2485" s="514"/>
    </row>
    <row r="2486" spans="11:14" x14ac:dyDescent="0.25">
      <c r="K2486" s="312"/>
      <c r="N2486" s="514"/>
    </row>
    <row r="2487" spans="11:14" x14ac:dyDescent="0.25">
      <c r="K2487" s="312"/>
      <c r="N2487" s="514"/>
    </row>
    <row r="2488" spans="11:14" x14ac:dyDescent="0.25">
      <c r="K2488" s="312"/>
      <c r="N2488" s="514"/>
    </row>
    <row r="2489" spans="11:14" x14ac:dyDescent="0.25">
      <c r="K2489" s="312"/>
      <c r="N2489" s="514"/>
    </row>
    <row r="2490" spans="11:14" x14ac:dyDescent="0.25">
      <c r="K2490" s="312"/>
      <c r="N2490" s="514"/>
    </row>
    <row r="2491" spans="11:14" x14ac:dyDescent="0.25">
      <c r="K2491" s="312"/>
      <c r="N2491" s="514"/>
    </row>
    <row r="2492" spans="11:14" x14ac:dyDescent="0.25">
      <c r="K2492" s="312"/>
      <c r="N2492" s="514"/>
    </row>
    <row r="2493" spans="11:14" x14ac:dyDescent="0.25">
      <c r="K2493" s="312"/>
      <c r="N2493" s="514"/>
    </row>
    <row r="2494" spans="11:14" x14ac:dyDescent="0.25">
      <c r="K2494" s="312"/>
      <c r="N2494" s="514"/>
    </row>
    <row r="2495" spans="11:14" x14ac:dyDescent="0.25">
      <c r="K2495" s="312"/>
      <c r="N2495" s="514"/>
    </row>
    <row r="2496" spans="11:14" x14ac:dyDescent="0.25">
      <c r="K2496" s="312"/>
      <c r="N2496" s="514"/>
    </row>
    <row r="2497" spans="11:14" x14ac:dyDescent="0.25">
      <c r="K2497" s="312"/>
      <c r="N2497" s="514"/>
    </row>
    <row r="2498" spans="11:14" x14ac:dyDescent="0.25">
      <c r="K2498" s="312"/>
      <c r="N2498" s="514"/>
    </row>
    <row r="2499" spans="11:14" x14ac:dyDescent="0.25">
      <c r="K2499" s="312"/>
      <c r="N2499" s="514"/>
    </row>
    <row r="2500" spans="11:14" x14ac:dyDescent="0.25">
      <c r="K2500" s="312"/>
      <c r="N2500" s="514"/>
    </row>
    <row r="2501" spans="11:14" x14ac:dyDescent="0.25">
      <c r="K2501" s="312"/>
      <c r="N2501" s="514"/>
    </row>
    <row r="2502" spans="11:14" x14ac:dyDescent="0.25">
      <c r="K2502" s="312"/>
      <c r="N2502" s="514"/>
    </row>
    <row r="2503" spans="11:14" x14ac:dyDescent="0.25">
      <c r="K2503" s="312"/>
      <c r="N2503" s="514"/>
    </row>
    <row r="2504" spans="11:14" x14ac:dyDescent="0.25">
      <c r="K2504" s="312"/>
      <c r="N2504" s="514"/>
    </row>
    <row r="2505" spans="11:14" x14ac:dyDescent="0.25">
      <c r="K2505" s="312"/>
      <c r="N2505" s="514"/>
    </row>
    <row r="2506" spans="11:14" x14ac:dyDescent="0.25">
      <c r="K2506" s="312"/>
      <c r="N2506" s="514"/>
    </row>
    <row r="2507" spans="11:14" x14ac:dyDescent="0.25">
      <c r="K2507" s="312"/>
      <c r="N2507" s="514"/>
    </row>
    <row r="2508" spans="11:14" x14ac:dyDescent="0.25">
      <c r="K2508" s="312"/>
      <c r="N2508" s="514"/>
    </row>
    <row r="2509" spans="11:14" x14ac:dyDescent="0.25">
      <c r="K2509" s="312"/>
      <c r="N2509" s="514"/>
    </row>
    <row r="2510" spans="11:14" x14ac:dyDescent="0.25">
      <c r="K2510" s="312"/>
      <c r="N2510" s="514"/>
    </row>
    <row r="2511" spans="11:14" x14ac:dyDescent="0.25">
      <c r="K2511" s="312"/>
      <c r="N2511" s="514"/>
    </row>
    <row r="2512" spans="11:14" x14ac:dyDescent="0.25">
      <c r="K2512" s="312"/>
      <c r="N2512" s="514"/>
    </row>
    <row r="2513" spans="11:14" x14ac:dyDescent="0.25">
      <c r="K2513" s="312"/>
      <c r="N2513" s="514"/>
    </row>
    <row r="2514" spans="11:14" x14ac:dyDescent="0.25">
      <c r="K2514" s="312"/>
      <c r="N2514" s="514"/>
    </row>
    <row r="2515" spans="11:14" x14ac:dyDescent="0.25">
      <c r="K2515" s="312"/>
      <c r="N2515" s="514"/>
    </row>
    <row r="2516" spans="11:14" x14ac:dyDescent="0.25">
      <c r="K2516" s="312"/>
      <c r="N2516" s="514"/>
    </row>
    <row r="2517" spans="11:14" x14ac:dyDescent="0.25">
      <c r="K2517" s="312"/>
      <c r="N2517" s="514"/>
    </row>
    <row r="2518" spans="11:14" x14ac:dyDescent="0.25">
      <c r="K2518" s="312"/>
      <c r="N2518" s="514"/>
    </row>
    <row r="2519" spans="11:14" x14ac:dyDescent="0.25">
      <c r="K2519" s="312"/>
      <c r="N2519" s="514"/>
    </row>
    <row r="2520" spans="11:14" x14ac:dyDescent="0.25">
      <c r="K2520" s="312"/>
      <c r="N2520" s="514"/>
    </row>
    <row r="2521" spans="11:14" x14ac:dyDescent="0.25">
      <c r="K2521" s="312"/>
      <c r="N2521" s="514"/>
    </row>
    <row r="2522" spans="11:14" x14ac:dyDescent="0.25">
      <c r="K2522" s="312"/>
      <c r="N2522" s="514"/>
    </row>
    <row r="2523" spans="11:14" x14ac:dyDescent="0.25">
      <c r="K2523" s="312"/>
      <c r="N2523" s="514"/>
    </row>
    <row r="2524" spans="11:14" x14ac:dyDescent="0.25">
      <c r="K2524" s="312"/>
      <c r="N2524" s="514"/>
    </row>
    <row r="2525" spans="11:14" x14ac:dyDescent="0.25">
      <c r="K2525" s="312"/>
      <c r="N2525" s="514"/>
    </row>
    <row r="2526" spans="11:14" x14ac:dyDescent="0.25">
      <c r="K2526" s="312"/>
      <c r="N2526" s="514"/>
    </row>
    <row r="2527" spans="11:14" x14ac:dyDescent="0.25">
      <c r="K2527" s="312"/>
      <c r="N2527" s="514"/>
    </row>
    <row r="2528" spans="11:14" x14ac:dyDescent="0.25">
      <c r="K2528" s="312"/>
      <c r="N2528" s="514"/>
    </row>
    <row r="2529" spans="11:14" x14ac:dyDescent="0.25">
      <c r="K2529" s="312"/>
      <c r="N2529" s="514"/>
    </row>
    <row r="2530" spans="11:14" x14ac:dyDescent="0.25">
      <c r="K2530" s="312"/>
      <c r="N2530" s="514"/>
    </row>
    <row r="2531" spans="11:14" x14ac:dyDescent="0.25">
      <c r="K2531" s="312"/>
      <c r="N2531" s="514"/>
    </row>
    <row r="2532" spans="11:14" x14ac:dyDescent="0.25">
      <c r="K2532" s="312"/>
      <c r="N2532" s="514"/>
    </row>
    <row r="2533" spans="11:14" x14ac:dyDescent="0.25">
      <c r="K2533" s="312"/>
      <c r="N2533" s="514"/>
    </row>
    <row r="2534" spans="11:14" x14ac:dyDescent="0.25">
      <c r="K2534" s="312"/>
      <c r="N2534" s="514"/>
    </row>
    <row r="2535" spans="11:14" x14ac:dyDescent="0.25">
      <c r="K2535" s="312"/>
      <c r="N2535" s="514"/>
    </row>
    <row r="2536" spans="11:14" x14ac:dyDescent="0.25">
      <c r="K2536" s="312"/>
      <c r="N2536" s="514"/>
    </row>
    <row r="2537" spans="11:14" x14ac:dyDescent="0.25">
      <c r="K2537" s="312"/>
      <c r="N2537" s="514"/>
    </row>
    <row r="2538" spans="11:14" x14ac:dyDescent="0.25">
      <c r="K2538" s="312"/>
      <c r="N2538" s="514"/>
    </row>
    <row r="2539" spans="11:14" x14ac:dyDescent="0.25">
      <c r="K2539" s="312"/>
      <c r="N2539" s="514"/>
    </row>
    <row r="2540" spans="11:14" x14ac:dyDescent="0.25">
      <c r="K2540" s="312"/>
      <c r="N2540" s="514"/>
    </row>
    <row r="2541" spans="11:14" x14ac:dyDescent="0.25">
      <c r="K2541" s="312"/>
      <c r="N2541" s="514"/>
    </row>
    <row r="2542" spans="11:14" x14ac:dyDescent="0.25">
      <c r="K2542" s="312"/>
      <c r="N2542" s="514"/>
    </row>
    <row r="2543" spans="11:14" x14ac:dyDescent="0.25">
      <c r="K2543" s="312"/>
      <c r="N2543" s="514"/>
    </row>
    <row r="2544" spans="11:14" x14ac:dyDescent="0.25">
      <c r="K2544" s="312"/>
      <c r="N2544" s="514"/>
    </row>
    <row r="2545" spans="11:14" x14ac:dyDescent="0.25">
      <c r="K2545" s="312"/>
      <c r="N2545" s="514"/>
    </row>
    <row r="2546" spans="11:14" x14ac:dyDescent="0.25">
      <c r="K2546" s="312"/>
      <c r="N2546" s="514"/>
    </row>
    <row r="2547" spans="11:14" x14ac:dyDescent="0.25">
      <c r="K2547" s="312"/>
      <c r="N2547" s="514"/>
    </row>
    <row r="2548" spans="11:14" x14ac:dyDescent="0.25">
      <c r="K2548" s="312"/>
      <c r="N2548" s="514"/>
    </row>
    <row r="2549" spans="11:14" x14ac:dyDescent="0.25">
      <c r="K2549" s="312"/>
      <c r="N2549" s="514"/>
    </row>
    <row r="2550" spans="11:14" x14ac:dyDescent="0.25">
      <c r="K2550" s="312"/>
      <c r="N2550" s="514"/>
    </row>
    <row r="2551" spans="11:14" x14ac:dyDescent="0.25">
      <c r="K2551" s="312"/>
      <c r="N2551" s="514"/>
    </row>
    <row r="2552" spans="11:14" x14ac:dyDescent="0.25">
      <c r="K2552" s="312"/>
      <c r="N2552" s="514"/>
    </row>
    <row r="2553" spans="11:14" x14ac:dyDescent="0.25">
      <c r="K2553" s="312"/>
      <c r="N2553" s="514"/>
    </row>
    <row r="2554" spans="11:14" x14ac:dyDescent="0.25">
      <c r="K2554" s="312"/>
      <c r="N2554" s="514"/>
    </row>
    <row r="2555" spans="11:14" x14ac:dyDescent="0.25">
      <c r="K2555" s="312"/>
      <c r="N2555" s="514"/>
    </row>
    <row r="2556" spans="11:14" x14ac:dyDescent="0.25">
      <c r="K2556" s="312"/>
      <c r="N2556" s="514"/>
    </row>
    <row r="2557" spans="11:14" x14ac:dyDescent="0.25">
      <c r="K2557" s="312"/>
      <c r="N2557" s="514"/>
    </row>
    <row r="2558" spans="11:14" x14ac:dyDescent="0.25">
      <c r="K2558" s="312"/>
      <c r="N2558" s="514"/>
    </row>
    <row r="2559" spans="11:14" x14ac:dyDescent="0.25">
      <c r="K2559" s="312"/>
      <c r="N2559" s="514"/>
    </row>
    <row r="2560" spans="11:14" x14ac:dyDescent="0.25">
      <c r="K2560" s="312"/>
      <c r="N2560" s="514"/>
    </row>
    <row r="2561" spans="11:14" x14ac:dyDescent="0.25">
      <c r="K2561" s="312"/>
      <c r="N2561" s="514"/>
    </row>
    <row r="2562" spans="11:14" x14ac:dyDescent="0.25">
      <c r="K2562" s="312"/>
      <c r="N2562" s="514"/>
    </row>
    <row r="2563" spans="11:14" x14ac:dyDescent="0.25">
      <c r="K2563" s="312"/>
      <c r="N2563" s="514"/>
    </row>
    <row r="2564" spans="11:14" x14ac:dyDescent="0.25">
      <c r="K2564" s="312"/>
      <c r="N2564" s="514"/>
    </row>
    <row r="2565" spans="11:14" x14ac:dyDescent="0.25">
      <c r="K2565" s="312"/>
      <c r="N2565" s="514"/>
    </row>
    <row r="2566" spans="11:14" x14ac:dyDescent="0.25">
      <c r="K2566" s="312"/>
      <c r="N2566" s="514"/>
    </row>
    <row r="2567" spans="11:14" x14ac:dyDescent="0.25">
      <c r="K2567" s="312"/>
      <c r="N2567" s="514"/>
    </row>
    <row r="2568" spans="11:14" x14ac:dyDescent="0.25">
      <c r="K2568" s="312"/>
      <c r="N2568" s="514"/>
    </row>
    <row r="2569" spans="11:14" x14ac:dyDescent="0.25">
      <c r="K2569" s="312"/>
      <c r="N2569" s="514"/>
    </row>
    <row r="2570" spans="11:14" x14ac:dyDescent="0.25">
      <c r="K2570" s="312"/>
      <c r="N2570" s="514"/>
    </row>
    <row r="2571" spans="11:14" x14ac:dyDescent="0.25">
      <c r="K2571" s="312"/>
      <c r="N2571" s="514"/>
    </row>
    <row r="2572" spans="11:14" x14ac:dyDescent="0.25">
      <c r="K2572" s="312"/>
      <c r="N2572" s="514"/>
    </row>
    <row r="2573" spans="11:14" x14ac:dyDescent="0.25">
      <c r="K2573" s="312"/>
      <c r="N2573" s="514"/>
    </row>
    <row r="2574" spans="11:14" x14ac:dyDescent="0.25">
      <c r="K2574" s="312"/>
      <c r="N2574" s="514"/>
    </row>
    <row r="2575" spans="11:14" x14ac:dyDescent="0.25">
      <c r="K2575" s="312"/>
      <c r="N2575" s="514"/>
    </row>
    <row r="2576" spans="11:14" x14ac:dyDescent="0.25">
      <c r="K2576" s="312"/>
      <c r="N2576" s="514"/>
    </row>
    <row r="2577" spans="11:14" x14ac:dyDescent="0.25">
      <c r="K2577" s="312"/>
      <c r="N2577" s="514"/>
    </row>
    <row r="2578" spans="11:14" x14ac:dyDescent="0.25">
      <c r="K2578" s="312"/>
      <c r="N2578" s="514"/>
    </row>
    <row r="2579" spans="11:14" x14ac:dyDescent="0.25">
      <c r="K2579" s="312"/>
      <c r="N2579" s="514"/>
    </row>
    <row r="2580" spans="11:14" x14ac:dyDescent="0.25">
      <c r="K2580" s="312"/>
      <c r="N2580" s="514"/>
    </row>
    <row r="2581" spans="11:14" x14ac:dyDescent="0.25">
      <c r="K2581" s="312"/>
      <c r="N2581" s="514"/>
    </row>
    <row r="2582" spans="11:14" x14ac:dyDescent="0.25">
      <c r="K2582" s="312"/>
      <c r="N2582" s="514"/>
    </row>
    <row r="2583" spans="11:14" x14ac:dyDescent="0.25">
      <c r="K2583" s="312"/>
      <c r="N2583" s="514"/>
    </row>
    <row r="2584" spans="11:14" x14ac:dyDescent="0.25">
      <c r="K2584" s="312"/>
      <c r="N2584" s="514"/>
    </row>
    <row r="2585" spans="11:14" x14ac:dyDescent="0.25">
      <c r="K2585" s="312"/>
      <c r="N2585" s="514"/>
    </row>
    <row r="2586" spans="11:14" x14ac:dyDescent="0.25">
      <c r="K2586" s="312"/>
      <c r="N2586" s="514"/>
    </row>
    <row r="2587" spans="11:14" x14ac:dyDescent="0.25">
      <c r="K2587" s="312"/>
      <c r="N2587" s="514"/>
    </row>
    <row r="2588" spans="11:14" x14ac:dyDescent="0.25">
      <c r="K2588" s="312"/>
      <c r="N2588" s="514"/>
    </row>
    <row r="2589" spans="11:14" x14ac:dyDescent="0.25">
      <c r="K2589" s="312"/>
      <c r="N2589" s="514"/>
    </row>
    <row r="2590" spans="11:14" x14ac:dyDescent="0.25">
      <c r="K2590" s="312"/>
      <c r="N2590" s="514"/>
    </row>
    <row r="2591" spans="11:14" x14ac:dyDescent="0.25">
      <c r="K2591" s="312"/>
      <c r="N2591" s="514"/>
    </row>
    <row r="2592" spans="11:14" x14ac:dyDescent="0.25">
      <c r="K2592" s="312"/>
      <c r="N2592" s="514"/>
    </row>
    <row r="2593" spans="11:14" x14ac:dyDescent="0.25">
      <c r="K2593" s="312"/>
      <c r="N2593" s="514"/>
    </row>
    <row r="2594" spans="11:14" x14ac:dyDescent="0.25">
      <c r="K2594" s="312"/>
      <c r="N2594" s="514"/>
    </row>
    <row r="2595" spans="11:14" x14ac:dyDescent="0.25">
      <c r="K2595" s="312"/>
      <c r="N2595" s="514"/>
    </row>
    <row r="2596" spans="11:14" x14ac:dyDescent="0.25">
      <c r="K2596" s="312"/>
      <c r="N2596" s="514"/>
    </row>
    <row r="2597" spans="11:14" x14ac:dyDescent="0.25">
      <c r="K2597" s="312"/>
      <c r="N2597" s="514"/>
    </row>
    <row r="2598" spans="11:14" x14ac:dyDescent="0.25">
      <c r="K2598" s="312"/>
      <c r="N2598" s="514"/>
    </row>
    <row r="2599" spans="11:14" x14ac:dyDescent="0.25">
      <c r="K2599" s="312"/>
      <c r="N2599" s="514"/>
    </row>
    <row r="2600" spans="11:14" x14ac:dyDescent="0.25">
      <c r="K2600" s="312"/>
      <c r="N2600" s="514"/>
    </row>
    <row r="2601" spans="11:14" x14ac:dyDescent="0.25">
      <c r="K2601" s="312"/>
      <c r="N2601" s="514"/>
    </row>
    <row r="2602" spans="11:14" x14ac:dyDescent="0.25">
      <c r="K2602" s="312"/>
      <c r="N2602" s="514"/>
    </row>
    <row r="2603" spans="11:14" x14ac:dyDescent="0.25">
      <c r="K2603" s="312"/>
      <c r="N2603" s="514"/>
    </row>
    <row r="2604" spans="11:14" x14ac:dyDescent="0.25">
      <c r="K2604" s="312"/>
      <c r="N2604" s="514"/>
    </row>
    <row r="2605" spans="11:14" x14ac:dyDescent="0.25">
      <c r="K2605" s="312"/>
      <c r="N2605" s="514"/>
    </row>
    <row r="2606" spans="11:14" x14ac:dyDescent="0.25">
      <c r="K2606" s="312"/>
      <c r="N2606" s="514"/>
    </row>
    <row r="2607" spans="11:14" x14ac:dyDescent="0.25">
      <c r="K2607" s="312"/>
      <c r="N2607" s="514"/>
    </row>
    <row r="2608" spans="11:14" x14ac:dyDescent="0.25">
      <c r="K2608" s="312"/>
      <c r="N2608" s="514"/>
    </row>
    <row r="2609" spans="11:14" x14ac:dyDescent="0.25">
      <c r="K2609" s="312"/>
      <c r="N2609" s="514"/>
    </row>
    <row r="2610" spans="11:14" x14ac:dyDescent="0.25">
      <c r="K2610" s="312"/>
      <c r="N2610" s="514"/>
    </row>
    <row r="2611" spans="11:14" x14ac:dyDescent="0.25">
      <c r="K2611" s="312"/>
      <c r="N2611" s="514"/>
    </row>
    <row r="2612" spans="11:14" x14ac:dyDescent="0.25">
      <c r="K2612" s="312"/>
      <c r="N2612" s="514"/>
    </row>
    <row r="2613" spans="11:14" x14ac:dyDescent="0.25">
      <c r="K2613" s="312"/>
      <c r="N2613" s="514"/>
    </row>
    <row r="2614" spans="11:14" x14ac:dyDescent="0.25">
      <c r="K2614" s="312"/>
      <c r="N2614" s="514"/>
    </row>
    <row r="2615" spans="11:14" x14ac:dyDescent="0.25">
      <c r="K2615" s="312"/>
      <c r="N2615" s="514"/>
    </row>
    <row r="2616" spans="11:14" x14ac:dyDescent="0.25">
      <c r="K2616" s="312"/>
      <c r="N2616" s="514"/>
    </row>
    <row r="2617" spans="11:14" x14ac:dyDescent="0.25">
      <c r="K2617" s="312"/>
      <c r="N2617" s="514"/>
    </row>
    <row r="2618" spans="11:14" x14ac:dyDescent="0.25">
      <c r="K2618" s="312"/>
      <c r="N2618" s="514"/>
    </row>
    <row r="2619" spans="11:14" x14ac:dyDescent="0.25">
      <c r="K2619" s="312"/>
      <c r="N2619" s="514"/>
    </row>
    <row r="2620" spans="11:14" x14ac:dyDescent="0.25">
      <c r="K2620" s="312"/>
      <c r="N2620" s="514"/>
    </row>
    <row r="2621" spans="11:14" x14ac:dyDescent="0.25">
      <c r="K2621" s="312"/>
      <c r="N2621" s="514"/>
    </row>
    <row r="2622" spans="11:14" x14ac:dyDescent="0.25">
      <c r="K2622" s="312"/>
      <c r="N2622" s="514"/>
    </row>
    <row r="2623" spans="11:14" x14ac:dyDescent="0.25">
      <c r="K2623" s="312"/>
      <c r="N2623" s="514"/>
    </row>
    <row r="2624" spans="11:14" x14ac:dyDescent="0.25">
      <c r="K2624" s="312"/>
      <c r="N2624" s="514"/>
    </row>
    <row r="2625" spans="11:14" x14ac:dyDescent="0.25">
      <c r="K2625" s="312"/>
      <c r="N2625" s="514"/>
    </row>
    <row r="2626" spans="11:14" x14ac:dyDescent="0.25">
      <c r="K2626" s="312"/>
      <c r="N2626" s="514"/>
    </row>
    <row r="2627" spans="11:14" x14ac:dyDescent="0.25">
      <c r="K2627" s="312"/>
      <c r="N2627" s="514"/>
    </row>
    <row r="2628" spans="11:14" x14ac:dyDescent="0.25">
      <c r="K2628" s="312"/>
      <c r="N2628" s="514"/>
    </row>
    <row r="2629" spans="11:14" x14ac:dyDescent="0.25">
      <c r="K2629" s="312"/>
      <c r="N2629" s="514"/>
    </row>
    <row r="2630" spans="11:14" x14ac:dyDescent="0.25">
      <c r="K2630" s="312"/>
      <c r="N2630" s="514"/>
    </row>
    <row r="2631" spans="11:14" x14ac:dyDescent="0.25">
      <c r="K2631" s="312"/>
      <c r="N2631" s="514"/>
    </row>
    <row r="2632" spans="11:14" x14ac:dyDescent="0.25">
      <c r="K2632" s="312"/>
      <c r="N2632" s="514"/>
    </row>
    <row r="2633" spans="11:14" x14ac:dyDescent="0.25">
      <c r="K2633" s="312"/>
      <c r="N2633" s="514"/>
    </row>
    <row r="2634" spans="11:14" x14ac:dyDescent="0.25">
      <c r="K2634" s="312"/>
      <c r="N2634" s="514"/>
    </row>
    <row r="2635" spans="11:14" x14ac:dyDescent="0.25">
      <c r="K2635" s="312"/>
      <c r="N2635" s="514"/>
    </row>
    <row r="2636" spans="11:14" x14ac:dyDescent="0.25">
      <c r="K2636" s="312"/>
      <c r="N2636" s="514"/>
    </row>
    <row r="2637" spans="11:14" x14ac:dyDescent="0.25">
      <c r="K2637" s="312"/>
      <c r="N2637" s="514"/>
    </row>
    <row r="2638" spans="11:14" x14ac:dyDescent="0.25">
      <c r="K2638" s="312"/>
      <c r="N2638" s="514"/>
    </row>
    <row r="2639" spans="11:14" x14ac:dyDescent="0.25">
      <c r="K2639" s="312"/>
      <c r="N2639" s="514"/>
    </row>
    <row r="2640" spans="11:14" x14ac:dyDescent="0.25">
      <c r="K2640" s="312"/>
      <c r="N2640" s="514"/>
    </row>
    <row r="2641" spans="11:14" x14ac:dyDescent="0.25">
      <c r="K2641" s="312"/>
      <c r="N2641" s="514"/>
    </row>
    <row r="2642" spans="11:14" x14ac:dyDescent="0.25">
      <c r="K2642" s="312"/>
      <c r="N2642" s="514"/>
    </row>
    <row r="2643" spans="11:14" x14ac:dyDescent="0.25">
      <c r="K2643" s="312"/>
      <c r="N2643" s="514"/>
    </row>
    <row r="2644" spans="11:14" x14ac:dyDescent="0.25">
      <c r="K2644" s="312"/>
      <c r="N2644" s="514"/>
    </row>
    <row r="2645" spans="11:14" x14ac:dyDescent="0.25">
      <c r="K2645" s="312"/>
      <c r="N2645" s="514"/>
    </row>
    <row r="2646" spans="11:14" x14ac:dyDescent="0.25">
      <c r="K2646" s="312"/>
      <c r="N2646" s="514"/>
    </row>
    <row r="2647" spans="11:14" x14ac:dyDescent="0.25">
      <c r="K2647" s="312"/>
      <c r="N2647" s="514"/>
    </row>
    <row r="2648" spans="11:14" x14ac:dyDescent="0.25">
      <c r="K2648" s="312"/>
      <c r="N2648" s="514"/>
    </row>
    <row r="2649" spans="11:14" x14ac:dyDescent="0.25">
      <c r="K2649" s="312"/>
      <c r="N2649" s="514"/>
    </row>
    <row r="2650" spans="11:14" x14ac:dyDescent="0.25">
      <c r="K2650" s="312"/>
      <c r="N2650" s="514"/>
    </row>
    <row r="2651" spans="11:14" x14ac:dyDescent="0.25">
      <c r="K2651" s="312"/>
      <c r="N2651" s="514"/>
    </row>
    <row r="2652" spans="11:14" x14ac:dyDescent="0.25">
      <c r="K2652" s="312"/>
      <c r="N2652" s="514"/>
    </row>
    <row r="2653" spans="11:14" x14ac:dyDescent="0.25">
      <c r="K2653" s="312"/>
      <c r="N2653" s="514"/>
    </row>
    <row r="2654" spans="11:14" x14ac:dyDescent="0.25">
      <c r="K2654" s="312"/>
      <c r="N2654" s="514"/>
    </row>
    <row r="2655" spans="11:14" x14ac:dyDescent="0.25">
      <c r="K2655" s="312"/>
      <c r="N2655" s="514"/>
    </row>
    <row r="2656" spans="11:14" x14ac:dyDescent="0.25">
      <c r="K2656" s="312"/>
      <c r="N2656" s="514"/>
    </row>
    <row r="2657" spans="11:14" x14ac:dyDescent="0.25">
      <c r="K2657" s="312"/>
      <c r="N2657" s="514"/>
    </row>
    <row r="2658" spans="11:14" x14ac:dyDescent="0.25">
      <c r="K2658" s="312"/>
      <c r="N2658" s="514"/>
    </row>
    <row r="2659" spans="11:14" x14ac:dyDescent="0.25">
      <c r="K2659" s="312"/>
      <c r="N2659" s="514"/>
    </row>
    <row r="2660" spans="11:14" x14ac:dyDescent="0.25">
      <c r="K2660" s="312"/>
      <c r="N2660" s="514"/>
    </row>
    <row r="2661" spans="11:14" x14ac:dyDescent="0.25">
      <c r="K2661" s="312"/>
      <c r="N2661" s="514"/>
    </row>
    <row r="2662" spans="11:14" x14ac:dyDescent="0.25">
      <c r="K2662" s="312"/>
      <c r="N2662" s="514"/>
    </row>
    <row r="2663" spans="11:14" x14ac:dyDescent="0.25">
      <c r="K2663" s="312"/>
      <c r="N2663" s="514"/>
    </row>
    <row r="2664" spans="11:14" x14ac:dyDescent="0.25">
      <c r="K2664" s="312"/>
      <c r="N2664" s="514"/>
    </row>
    <row r="2665" spans="11:14" x14ac:dyDescent="0.25">
      <c r="K2665" s="312"/>
      <c r="N2665" s="514"/>
    </row>
    <row r="2666" spans="11:14" x14ac:dyDescent="0.25">
      <c r="K2666" s="312"/>
      <c r="N2666" s="514"/>
    </row>
    <row r="2667" spans="11:14" x14ac:dyDescent="0.25">
      <c r="K2667" s="312"/>
      <c r="N2667" s="514"/>
    </row>
    <row r="2668" spans="11:14" x14ac:dyDescent="0.25">
      <c r="K2668" s="312"/>
      <c r="N2668" s="514"/>
    </row>
    <row r="2669" spans="11:14" x14ac:dyDescent="0.25">
      <c r="K2669" s="312"/>
      <c r="N2669" s="514"/>
    </row>
    <row r="2670" spans="11:14" x14ac:dyDescent="0.25">
      <c r="K2670" s="312"/>
      <c r="N2670" s="514"/>
    </row>
    <row r="2671" spans="11:14" x14ac:dyDescent="0.25">
      <c r="K2671" s="312"/>
      <c r="N2671" s="514"/>
    </row>
    <row r="2672" spans="11:14" x14ac:dyDescent="0.25">
      <c r="K2672" s="312"/>
      <c r="N2672" s="514"/>
    </row>
    <row r="2673" spans="11:14" x14ac:dyDescent="0.25">
      <c r="K2673" s="312"/>
      <c r="N2673" s="514"/>
    </row>
    <row r="2674" spans="11:14" x14ac:dyDescent="0.25">
      <c r="K2674" s="312"/>
      <c r="N2674" s="514"/>
    </row>
    <row r="2675" spans="11:14" x14ac:dyDescent="0.25">
      <c r="K2675" s="312"/>
      <c r="N2675" s="514"/>
    </row>
    <row r="2676" spans="11:14" x14ac:dyDescent="0.25">
      <c r="K2676" s="312"/>
      <c r="N2676" s="514"/>
    </row>
    <row r="2677" spans="11:14" x14ac:dyDescent="0.25">
      <c r="K2677" s="312"/>
      <c r="N2677" s="514"/>
    </row>
    <row r="2678" spans="11:14" x14ac:dyDescent="0.25">
      <c r="K2678" s="312"/>
      <c r="N2678" s="514"/>
    </row>
    <row r="2679" spans="11:14" x14ac:dyDescent="0.25">
      <c r="K2679" s="312"/>
      <c r="N2679" s="514"/>
    </row>
    <row r="2680" spans="11:14" x14ac:dyDescent="0.25">
      <c r="K2680" s="312"/>
      <c r="N2680" s="514"/>
    </row>
    <row r="2681" spans="11:14" x14ac:dyDescent="0.25">
      <c r="K2681" s="312"/>
      <c r="N2681" s="514"/>
    </row>
    <row r="2682" spans="11:14" x14ac:dyDescent="0.25">
      <c r="K2682" s="312"/>
      <c r="N2682" s="514"/>
    </row>
    <row r="2683" spans="11:14" x14ac:dyDescent="0.25">
      <c r="K2683" s="312"/>
      <c r="N2683" s="514"/>
    </row>
    <row r="2684" spans="11:14" x14ac:dyDescent="0.25">
      <c r="K2684" s="312"/>
      <c r="N2684" s="514"/>
    </row>
    <row r="2685" spans="11:14" x14ac:dyDescent="0.25">
      <c r="K2685" s="312"/>
      <c r="N2685" s="514"/>
    </row>
    <row r="2686" spans="11:14" x14ac:dyDescent="0.25">
      <c r="K2686" s="312"/>
      <c r="N2686" s="514"/>
    </row>
    <row r="2687" spans="11:14" x14ac:dyDescent="0.25">
      <c r="K2687" s="312"/>
      <c r="N2687" s="514"/>
    </row>
    <row r="2688" spans="11:14" x14ac:dyDescent="0.25">
      <c r="K2688" s="312"/>
      <c r="N2688" s="514"/>
    </row>
    <row r="2689" spans="11:14" x14ac:dyDescent="0.25">
      <c r="K2689" s="312"/>
      <c r="N2689" s="514"/>
    </row>
    <row r="2690" spans="11:14" x14ac:dyDescent="0.25">
      <c r="K2690" s="312"/>
      <c r="N2690" s="514"/>
    </row>
    <row r="2691" spans="11:14" x14ac:dyDescent="0.25">
      <c r="K2691" s="312"/>
      <c r="N2691" s="514"/>
    </row>
    <row r="2692" spans="11:14" x14ac:dyDescent="0.25">
      <c r="K2692" s="312"/>
      <c r="N2692" s="514"/>
    </row>
    <row r="2693" spans="11:14" x14ac:dyDescent="0.25">
      <c r="K2693" s="312"/>
      <c r="N2693" s="514"/>
    </row>
    <row r="2694" spans="11:14" x14ac:dyDescent="0.25">
      <c r="K2694" s="312"/>
      <c r="N2694" s="514"/>
    </row>
    <row r="2695" spans="11:14" x14ac:dyDescent="0.25">
      <c r="K2695" s="312"/>
      <c r="N2695" s="514"/>
    </row>
    <row r="2696" spans="11:14" x14ac:dyDescent="0.25">
      <c r="K2696" s="312"/>
      <c r="N2696" s="514"/>
    </row>
    <row r="2697" spans="11:14" x14ac:dyDescent="0.25">
      <c r="K2697" s="312"/>
      <c r="N2697" s="514"/>
    </row>
    <row r="2698" spans="11:14" x14ac:dyDescent="0.25">
      <c r="K2698" s="312"/>
      <c r="N2698" s="514"/>
    </row>
    <row r="2699" spans="11:14" x14ac:dyDescent="0.25">
      <c r="K2699" s="312"/>
      <c r="N2699" s="514"/>
    </row>
    <row r="2700" spans="11:14" x14ac:dyDescent="0.25">
      <c r="K2700" s="312"/>
      <c r="N2700" s="514"/>
    </row>
    <row r="2701" spans="11:14" x14ac:dyDescent="0.25">
      <c r="K2701" s="312"/>
      <c r="N2701" s="514"/>
    </row>
    <row r="2702" spans="11:14" x14ac:dyDescent="0.25">
      <c r="K2702" s="312"/>
      <c r="N2702" s="514"/>
    </row>
    <row r="2703" spans="11:14" x14ac:dyDescent="0.25">
      <c r="K2703" s="312"/>
      <c r="N2703" s="514"/>
    </row>
    <row r="2704" spans="11:14" x14ac:dyDescent="0.25">
      <c r="K2704" s="312"/>
      <c r="N2704" s="514"/>
    </row>
    <row r="2705" spans="11:14" x14ac:dyDescent="0.25">
      <c r="K2705" s="312"/>
      <c r="N2705" s="514"/>
    </row>
    <row r="2706" spans="11:14" x14ac:dyDescent="0.25">
      <c r="K2706" s="312"/>
      <c r="N2706" s="514"/>
    </row>
    <row r="2707" spans="11:14" x14ac:dyDescent="0.25">
      <c r="K2707" s="312"/>
      <c r="N2707" s="514"/>
    </row>
    <row r="2708" spans="11:14" x14ac:dyDescent="0.25">
      <c r="K2708" s="312"/>
      <c r="N2708" s="514"/>
    </row>
    <row r="2709" spans="11:14" x14ac:dyDescent="0.25">
      <c r="K2709" s="312"/>
      <c r="N2709" s="514"/>
    </row>
    <row r="2710" spans="11:14" x14ac:dyDescent="0.25">
      <c r="K2710" s="312"/>
      <c r="N2710" s="514"/>
    </row>
    <row r="2711" spans="11:14" x14ac:dyDescent="0.25">
      <c r="K2711" s="312"/>
      <c r="N2711" s="514"/>
    </row>
    <row r="2712" spans="11:14" x14ac:dyDescent="0.25">
      <c r="K2712" s="312"/>
      <c r="N2712" s="514"/>
    </row>
    <row r="2713" spans="11:14" x14ac:dyDescent="0.25">
      <c r="K2713" s="312"/>
      <c r="N2713" s="514"/>
    </row>
    <row r="2714" spans="11:14" x14ac:dyDescent="0.25">
      <c r="K2714" s="312"/>
      <c r="N2714" s="514"/>
    </row>
    <row r="2715" spans="11:14" x14ac:dyDescent="0.25">
      <c r="K2715" s="312"/>
      <c r="N2715" s="514"/>
    </row>
    <row r="2716" spans="11:14" x14ac:dyDescent="0.25">
      <c r="K2716" s="312"/>
      <c r="N2716" s="514"/>
    </row>
    <row r="2717" spans="11:14" x14ac:dyDescent="0.25">
      <c r="K2717" s="312"/>
      <c r="N2717" s="514"/>
    </row>
    <row r="2718" spans="11:14" x14ac:dyDescent="0.25">
      <c r="K2718" s="312"/>
      <c r="N2718" s="514"/>
    </row>
    <row r="2719" spans="11:14" x14ac:dyDescent="0.25">
      <c r="K2719" s="312"/>
      <c r="N2719" s="514"/>
    </row>
    <row r="2720" spans="11:14" x14ac:dyDescent="0.25">
      <c r="K2720" s="312"/>
      <c r="N2720" s="514"/>
    </row>
    <row r="2721" spans="11:14" x14ac:dyDescent="0.25">
      <c r="K2721" s="312"/>
      <c r="N2721" s="514"/>
    </row>
    <row r="2722" spans="11:14" x14ac:dyDescent="0.25">
      <c r="K2722" s="312"/>
      <c r="N2722" s="514"/>
    </row>
    <row r="2723" spans="11:14" x14ac:dyDescent="0.25">
      <c r="K2723" s="312"/>
      <c r="N2723" s="514"/>
    </row>
    <row r="2724" spans="11:14" x14ac:dyDescent="0.25">
      <c r="K2724" s="312"/>
      <c r="N2724" s="514"/>
    </row>
    <row r="2725" spans="11:14" x14ac:dyDescent="0.25">
      <c r="K2725" s="312"/>
      <c r="N2725" s="514"/>
    </row>
    <row r="2726" spans="11:14" x14ac:dyDescent="0.25">
      <c r="K2726" s="312"/>
      <c r="N2726" s="514"/>
    </row>
    <row r="2727" spans="11:14" x14ac:dyDescent="0.25">
      <c r="K2727" s="312"/>
      <c r="N2727" s="514"/>
    </row>
    <row r="2728" spans="11:14" x14ac:dyDescent="0.25">
      <c r="K2728" s="312"/>
      <c r="N2728" s="514"/>
    </row>
    <row r="2729" spans="11:14" x14ac:dyDescent="0.25">
      <c r="K2729" s="312"/>
      <c r="N2729" s="514"/>
    </row>
    <row r="2730" spans="11:14" x14ac:dyDescent="0.25">
      <c r="K2730" s="312"/>
      <c r="N2730" s="514"/>
    </row>
    <row r="2731" spans="11:14" x14ac:dyDescent="0.25">
      <c r="K2731" s="312"/>
      <c r="N2731" s="514"/>
    </row>
    <row r="2732" spans="11:14" x14ac:dyDescent="0.25">
      <c r="K2732" s="312"/>
      <c r="N2732" s="514"/>
    </row>
    <row r="2733" spans="11:14" x14ac:dyDescent="0.25">
      <c r="K2733" s="312"/>
      <c r="N2733" s="514"/>
    </row>
    <row r="2734" spans="11:14" x14ac:dyDescent="0.25">
      <c r="K2734" s="312"/>
      <c r="N2734" s="514"/>
    </row>
    <row r="2735" spans="11:14" x14ac:dyDescent="0.25">
      <c r="K2735" s="312"/>
      <c r="N2735" s="514"/>
    </row>
    <row r="2736" spans="11:14" x14ac:dyDescent="0.25">
      <c r="K2736" s="312"/>
      <c r="N2736" s="514"/>
    </row>
    <row r="2737" spans="11:14" x14ac:dyDescent="0.25">
      <c r="K2737" s="312"/>
      <c r="N2737" s="514"/>
    </row>
    <row r="2738" spans="11:14" x14ac:dyDescent="0.25">
      <c r="K2738" s="312"/>
      <c r="N2738" s="514"/>
    </row>
    <row r="2739" spans="11:14" x14ac:dyDescent="0.25">
      <c r="K2739" s="312"/>
      <c r="N2739" s="514"/>
    </row>
    <row r="2740" spans="11:14" x14ac:dyDescent="0.25">
      <c r="K2740" s="312"/>
      <c r="N2740" s="514"/>
    </row>
    <row r="2741" spans="11:14" x14ac:dyDescent="0.25">
      <c r="K2741" s="312"/>
      <c r="N2741" s="514"/>
    </row>
    <row r="2742" spans="11:14" x14ac:dyDescent="0.25">
      <c r="K2742" s="312"/>
      <c r="N2742" s="514"/>
    </row>
    <row r="2743" spans="11:14" x14ac:dyDescent="0.25">
      <c r="K2743" s="312"/>
      <c r="N2743" s="514"/>
    </row>
    <row r="2744" spans="11:14" x14ac:dyDescent="0.25">
      <c r="K2744" s="312"/>
      <c r="N2744" s="514"/>
    </row>
    <row r="2745" spans="11:14" x14ac:dyDescent="0.25">
      <c r="K2745" s="312"/>
      <c r="N2745" s="514"/>
    </row>
    <row r="2746" spans="11:14" x14ac:dyDescent="0.25">
      <c r="K2746" s="312"/>
      <c r="N2746" s="514"/>
    </row>
    <row r="2747" spans="11:14" x14ac:dyDescent="0.25">
      <c r="K2747" s="312"/>
      <c r="N2747" s="514"/>
    </row>
    <row r="2748" spans="11:14" x14ac:dyDescent="0.25">
      <c r="K2748" s="312"/>
      <c r="N2748" s="514"/>
    </row>
    <row r="2749" spans="11:14" x14ac:dyDescent="0.25">
      <c r="K2749" s="312"/>
      <c r="N2749" s="514"/>
    </row>
    <row r="2750" spans="11:14" x14ac:dyDescent="0.25">
      <c r="K2750" s="312"/>
      <c r="N2750" s="514"/>
    </row>
    <row r="2751" spans="11:14" x14ac:dyDescent="0.25">
      <c r="K2751" s="312"/>
      <c r="N2751" s="514"/>
    </row>
    <row r="2752" spans="11:14" x14ac:dyDescent="0.25">
      <c r="K2752" s="312"/>
      <c r="N2752" s="514"/>
    </row>
    <row r="2753" spans="11:14" x14ac:dyDescent="0.25">
      <c r="K2753" s="312"/>
      <c r="N2753" s="514"/>
    </row>
    <row r="2754" spans="11:14" x14ac:dyDescent="0.25">
      <c r="K2754" s="312"/>
      <c r="N2754" s="514"/>
    </row>
    <row r="2755" spans="11:14" x14ac:dyDescent="0.25">
      <c r="K2755" s="312"/>
      <c r="N2755" s="514"/>
    </row>
    <row r="2756" spans="11:14" x14ac:dyDescent="0.25">
      <c r="K2756" s="312"/>
      <c r="N2756" s="514"/>
    </row>
    <row r="2757" spans="11:14" x14ac:dyDescent="0.25">
      <c r="K2757" s="312"/>
      <c r="N2757" s="514"/>
    </row>
    <row r="2758" spans="11:14" x14ac:dyDescent="0.25">
      <c r="K2758" s="312"/>
      <c r="N2758" s="514"/>
    </row>
    <row r="2759" spans="11:14" x14ac:dyDescent="0.25">
      <c r="K2759" s="312"/>
      <c r="N2759" s="514"/>
    </row>
    <row r="2760" spans="11:14" x14ac:dyDescent="0.25">
      <c r="K2760" s="312"/>
      <c r="N2760" s="514"/>
    </row>
    <row r="2761" spans="11:14" x14ac:dyDescent="0.25">
      <c r="K2761" s="312"/>
      <c r="N2761" s="514"/>
    </row>
    <row r="2762" spans="11:14" x14ac:dyDescent="0.25">
      <c r="K2762" s="312"/>
      <c r="N2762" s="514"/>
    </row>
    <row r="2763" spans="11:14" x14ac:dyDescent="0.25">
      <c r="K2763" s="312"/>
      <c r="N2763" s="514"/>
    </row>
    <row r="2764" spans="11:14" x14ac:dyDescent="0.25">
      <c r="K2764" s="312"/>
      <c r="N2764" s="514"/>
    </row>
    <row r="2765" spans="11:14" x14ac:dyDescent="0.25">
      <c r="K2765" s="312"/>
      <c r="N2765" s="514"/>
    </row>
    <row r="2766" spans="11:14" x14ac:dyDescent="0.25">
      <c r="K2766" s="312"/>
      <c r="N2766" s="514"/>
    </row>
    <row r="2767" spans="11:14" x14ac:dyDescent="0.25">
      <c r="K2767" s="312"/>
      <c r="N2767" s="514"/>
    </row>
    <row r="2768" spans="11:14" x14ac:dyDescent="0.25">
      <c r="K2768" s="312"/>
      <c r="N2768" s="514"/>
    </row>
    <row r="2769" spans="11:14" x14ac:dyDescent="0.25">
      <c r="K2769" s="312"/>
      <c r="N2769" s="514"/>
    </row>
    <row r="2770" spans="11:14" x14ac:dyDescent="0.25">
      <c r="K2770" s="312"/>
      <c r="N2770" s="514"/>
    </row>
    <row r="2771" spans="11:14" x14ac:dyDescent="0.25">
      <c r="K2771" s="312"/>
      <c r="N2771" s="514"/>
    </row>
    <row r="2772" spans="11:14" x14ac:dyDescent="0.25">
      <c r="K2772" s="312"/>
      <c r="N2772" s="514"/>
    </row>
    <row r="2773" spans="11:14" x14ac:dyDescent="0.25">
      <c r="K2773" s="312"/>
      <c r="N2773" s="514"/>
    </row>
    <row r="2774" spans="11:14" x14ac:dyDescent="0.25">
      <c r="K2774" s="312"/>
      <c r="N2774" s="514"/>
    </row>
    <row r="2775" spans="11:14" x14ac:dyDescent="0.25">
      <c r="K2775" s="312"/>
      <c r="N2775" s="514"/>
    </row>
    <row r="2776" spans="11:14" x14ac:dyDescent="0.25">
      <c r="K2776" s="312"/>
      <c r="N2776" s="514"/>
    </row>
    <row r="2777" spans="11:14" x14ac:dyDescent="0.25">
      <c r="K2777" s="312"/>
      <c r="N2777" s="514"/>
    </row>
    <row r="2778" spans="11:14" x14ac:dyDescent="0.25">
      <c r="K2778" s="312"/>
      <c r="N2778" s="514"/>
    </row>
    <row r="2779" spans="11:14" x14ac:dyDescent="0.25">
      <c r="K2779" s="312"/>
      <c r="N2779" s="514"/>
    </row>
    <row r="2780" spans="11:14" x14ac:dyDescent="0.25">
      <c r="K2780" s="312"/>
      <c r="N2780" s="514"/>
    </row>
    <row r="2781" spans="11:14" x14ac:dyDescent="0.25">
      <c r="K2781" s="312"/>
      <c r="N2781" s="514"/>
    </row>
    <row r="2782" spans="11:14" x14ac:dyDescent="0.25">
      <c r="K2782" s="312"/>
      <c r="N2782" s="514"/>
    </row>
    <row r="2783" spans="11:14" x14ac:dyDescent="0.25">
      <c r="K2783" s="312"/>
      <c r="N2783" s="514"/>
    </row>
    <row r="2784" spans="11:14" x14ac:dyDescent="0.25">
      <c r="K2784" s="312"/>
      <c r="N2784" s="514"/>
    </row>
    <row r="2785" spans="11:14" x14ac:dyDescent="0.25">
      <c r="K2785" s="312"/>
      <c r="N2785" s="514"/>
    </row>
    <row r="2786" spans="11:14" x14ac:dyDescent="0.25">
      <c r="K2786" s="312"/>
      <c r="N2786" s="514"/>
    </row>
    <row r="2787" spans="11:14" x14ac:dyDescent="0.25">
      <c r="K2787" s="312"/>
      <c r="N2787" s="514"/>
    </row>
    <row r="2788" spans="11:14" x14ac:dyDescent="0.25">
      <c r="K2788" s="312"/>
      <c r="N2788" s="514"/>
    </row>
    <row r="2789" spans="11:14" x14ac:dyDescent="0.25">
      <c r="K2789" s="312"/>
      <c r="N2789" s="514"/>
    </row>
    <row r="2790" spans="11:14" x14ac:dyDescent="0.25">
      <c r="K2790" s="312"/>
      <c r="N2790" s="514"/>
    </row>
    <row r="2791" spans="11:14" x14ac:dyDescent="0.25">
      <c r="K2791" s="312"/>
      <c r="N2791" s="514"/>
    </row>
    <row r="2792" spans="11:14" x14ac:dyDescent="0.25">
      <c r="K2792" s="312"/>
      <c r="N2792" s="514"/>
    </row>
    <row r="2793" spans="11:14" x14ac:dyDescent="0.25">
      <c r="K2793" s="312"/>
      <c r="N2793" s="514"/>
    </row>
    <row r="2794" spans="11:14" x14ac:dyDescent="0.25">
      <c r="K2794" s="312"/>
      <c r="N2794" s="514"/>
    </row>
    <row r="2795" spans="11:14" x14ac:dyDescent="0.25">
      <c r="K2795" s="312"/>
      <c r="N2795" s="514"/>
    </row>
    <row r="2796" spans="11:14" x14ac:dyDescent="0.25">
      <c r="K2796" s="312"/>
      <c r="N2796" s="514"/>
    </row>
    <row r="2797" spans="11:14" x14ac:dyDescent="0.25">
      <c r="K2797" s="312"/>
      <c r="N2797" s="514"/>
    </row>
    <row r="2798" spans="11:14" x14ac:dyDescent="0.25">
      <c r="K2798" s="312"/>
      <c r="N2798" s="514"/>
    </row>
    <row r="2799" spans="11:14" x14ac:dyDescent="0.25">
      <c r="K2799" s="312"/>
      <c r="N2799" s="514"/>
    </row>
    <row r="2800" spans="11:14" x14ac:dyDescent="0.25">
      <c r="K2800" s="312"/>
      <c r="N2800" s="514"/>
    </row>
    <row r="2801" spans="11:14" x14ac:dyDescent="0.25">
      <c r="K2801" s="312"/>
      <c r="N2801" s="514"/>
    </row>
    <row r="2802" spans="11:14" x14ac:dyDescent="0.25">
      <c r="K2802" s="312"/>
      <c r="N2802" s="514"/>
    </row>
    <row r="2803" spans="11:14" x14ac:dyDescent="0.25">
      <c r="K2803" s="312"/>
      <c r="N2803" s="514"/>
    </row>
    <row r="2804" spans="11:14" x14ac:dyDescent="0.25">
      <c r="K2804" s="312"/>
      <c r="N2804" s="514"/>
    </row>
    <row r="2805" spans="11:14" x14ac:dyDescent="0.25">
      <c r="K2805" s="312"/>
      <c r="N2805" s="514"/>
    </row>
    <row r="2806" spans="11:14" x14ac:dyDescent="0.25">
      <c r="K2806" s="312"/>
      <c r="N2806" s="514"/>
    </row>
    <row r="2807" spans="11:14" x14ac:dyDescent="0.25">
      <c r="K2807" s="312"/>
      <c r="N2807" s="514"/>
    </row>
    <row r="2808" spans="11:14" x14ac:dyDescent="0.25">
      <c r="K2808" s="312"/>
      <c r="N2808" s="514"/>
    </row>
    <row r="2809" spans="11:14" x14ac:dyDescent="0.25">
      <c r="K2809" s="312"/>
      <c r="N2809" s="514"/>
    </row>
    <row r="2810" spans="11:14" x14ac:dyDescent="0.25">
      <c r="K2810" s="312"/>
      <c r="N2810" s="514"/>
    </row>
    <row r="2811" spans="11:14" x14ac:dyDescent="0.25">
      <c r="K2811" s="312"/>
      <c r="N2811" s="514"/>
    </row>
    <row r="2812" spans="11:14" x14ac:dyDescent="0.25">
      <c r="K2812" s="312"/>
      <c r="N2812" s="514"/>
    </row>
    <row r="2813" spans="11:14" x14ac:dyDescent="0.25">
      <c r="K2813" s="312"/>
      <c r="N2813" s="514"/>
    </row>
    <row r="2814" spans="11:14" x14ac:dyDescent="0.25">
      <c r="K2814" s="312"/>
      <c r="N2814" s="514"/>
    </row>
    <row r="2815" spans="11:14" x14ac:dyDescent="0.25">
      <c r="K2815" s="312"/>
      <c r="N2815" s="514"/>
    </row>
    <row r="2816" spans="11:14" x14ac:dyDescent="0.25">
      <c r="K2816" s="312"/>
      <c r="N2816" s="514"/>
    </row>
    <row r="2817" spans="11:14" x14ac:dyDescent="0.25">
      <c r="K2817" s="312"/>
      <c r="N2817" s="514"/>
    </row>
    <row r="2818" spans="11:14" x14ac:dyDescent="0.25">
      <c r="K2818" s="312"/>
      <c r="N2818" s="514"/>
    </row>
    <row r="2819" spans="11:14" x14ac:dyDescent="0.25">
      <c r="K2819" s="312"/>
      <c r="N2819" s="514"/>
    </row>
    <row r="2820" spans="11:14" x14ac:dyDescent="0.25">
      <c r="K2820" s="312"/>
      <c r="N2820" s="514"/>
    </row>
    <row r="2821" spans="11:14" x14ac:dyDescent="0.25">
      <c r="K2821" s="312"/>
      <c r="N2821" s="514"/>
    </row>
    <row r="2822" spans="11:14" x14ac:dyDescent="0.25">
      <c r="K2822" s="312"/>
      <c r="N2822" s="514"/>
    </row>
    <row r="2823" spans="11:14" x14ac:dyDescent="0.25">
      <c r="K2823" s="312"/>
      <c r="N2823" s="514"/>
    </row>
    <row r="2824" spans="11:14" x14ac:dyDescent="0.25">
      <c r="K2824" s="312"/>
      <c r="N2824" s="514"/>
    </row>
    <row r="2825" spans="11:14" x14ac:dyDescent="0.25">
      <c r="K2825" s="312"/>
      <c r="N2825" s="514"/>
    </row>
    <row r="2826" spans="11:14" x14ac:dyDescent="0.25">
      <c r="K2826" s="312"/>
      <c r="N2826" s="514"/>
    </row>
    <row r="2827" spans="11:14" x14ac:dyDescent="0.25">
      <c r="K2827" s="312"/>
      <c r="N2827" s="514"/>
    </row>
    <row r="2828" spans="11:14" x14ac:dyDescent="0.25">
      <c r="K2828" s="312"/>
      <c r="N2828" s="514"/>
    </row>
    <row r="2829" spans="11:14" x14ac:dyDescent="0.25">
      <c r="K2829" s="312"/>
      <c r="N2829" s="514"/>
    </row>
    <row r="2830" spans="11:14" x14ac:dyDescent="0.25">
      <c r="K2830" s="312"/>
      <c r="N2830" s="514"/>
    </row>
    <row r="2831" spans="11:14" x14ac:dyDescent="0.25">
      <c r="K2831" s="312"/>
      <c r="N2831" s="514"/>
    </row>
    <row r="2832" spans="11:14" x14ac:dyDescent="0.25">
      <c r="K2832" s="312"/>
      <c r="N2832" s="514"/>
    </row>
    <row r="2833" spans="11:14" x14ac:dyDescent="0.25">
      <c r="K2833" s="312"/>
      <c r="N2833" s="514"/>
    </row>
    <row r="2834" spans="11:14" x14ac:dyDescent="0.25">
      <c r="K2834" s="312"/>
      <c r="N2834" s="514"/>
    </row>
    <row r="2835" spans="11:14" x14ac:dyDescent="0.25">
      <c r="K2835" s="312"/>
      <c r="N2835" s="514"/>
    </row>
    <row r="2836" spans="11:14" x14ac:dyDescent="0.25">
      <c r="K2836" s="312"/>
      <c r="N2836" s="514"/>
    </row>
    <row r="2837" spans="11:14" x14ac:dyDescent="0.25">
      <c r="K2837" s="312"/>
      <c r="N2837" s="514"/>
    </row>
    <row r="2838" spans="11:14" x14ac:dyDescent="0.25">
      <c r="K2838" s="312"/>
      <c r="N2838" s="514"/>
    </row>
    <row r="2839" spans="11:14" x14ac:dyDescent="0.25">
      <c r="K2839" s="312"/>
      <c r="N2839" s="514"/>
    </row>
    <row r="2840" spans="11:14" x14ac:dyDescent="0.25">
      <c r="K2840" s="312"/>
      <c r="N2840" s="514"/>
    </row>
    <row r="2841" spans="11:14" x14ac:dyDescent="0.25">
      <c r="K2841" s="312"/>
      <c r="N2841" s="514"/>
    </row>
    <row r="2842" spans="11:14" x14ac:dyDescent="0.25">
      <c r="K2842" s="312"/>
      <c r="N2842" s="514"/>
    </row>
    <row r="2843" spans="11:14" x14ac:dyDescent="0.25">
      <c r="K2843" s="312"/>
      <c r="N2843" s="514"/>
    </row>
    <row r="2844" spans="11:14" x14ac:dyDescent="0.25">
      <c r="K2844" s="312"/>
      <c r="N2844" s="514"/>
    </row>
    <row r="2845" spans="11:14" x14ac:dyDescent="0.25">
      <c r="K2845" s="312"/>
      <c r="N2845" s="514"/>
    </row>
    <row r="2846" spans="11:14" x14ac:dyDescent="0.25">
      <c r="K2846" s="312"/>
      <c r="N2846" s="514"/>
    </row>
    <row r="2847" spans="11:14" x14ac:dyDescent="0.25">
      <c r="K2847" s="312"/>
      <c r="N2847" s="514"/>
    </row>
    <row r="2848" spans="11:14" x14ac:dyDescent="0.25">
      <c r="K2848" s="312"/>
      <c r="N2848" s="514"/>
    </row>
    <row r="2849" spans="11:14" x14ac:dyDescent="0.25">
      <c r="K2849" s="312"/>
      <c r="N2849" s="514"/>
    </row>
    <row r="2850" spans="11:14" x14ac:dyDescent="0.25">
      <c r="K2850" s="312"/>
      <c r="N2850" s="514"/>
    </row>
    <row r="2851" spans="11:14" x14ac:dyDescent="0.25">
      <c r="K2851" s="312"/>
      <c r="N2851" s="514"/>
    </row>
    <row r="2852" spans="11:14" x14ac:dyDescent="0.25">
      <c r="K2852" s="312"/>
      <c r="N2852" s="514"/>
    </row>
    <row r="2853" spans="11:14" x14ac:dyDescent="0.25">
      <c r="K2853" s="312"/>
      <c r="N2853" s="514"/>
    </row>
    <row r="2854" spans="11:14" x14ac:dyDescent="0.25">
      <c r="K2854" s="312"/>
      <c r="N2854" s="514"/>
    </row>
    <row r="2855" spans="11:14" x14ac:dyDescent="0.25">
      <c r="K2855" s="312"/>
      <c r="N2855" s="514"/>
    </row>
    <row r="2856" spans="11:14" x14ac:dyDescent="0.25">
      <c r="K2856" s="312"/>
      <c r="N2856" s="514"/>
    </row>
    <row r="2857" spans="11:14" x14ac:dyDescent="0.25">
      <c r="K2857" s="312"/>
      <c r="N2857" s="514"/>
    </row>
    <row r="2858" spans="11:14" x14ac:dyDescent="0.25">
      <c r="K2858" s="312"/>
      <c r="N2858" s="514"/>
    </row>
    <row r="2859" spans="11:14" x14ac:dyDescent="0.25">
      <c r="K2859" s="312"/>
      <c r="N2859" s="514"/>
    </row>
    <row r="2860" spans="11:14" x14ac:dyDescent="0.25">
      <c r="K2860" s="312"/>
      <c r="N2860" s="514"/>
    </row>
    <row r="2861" spans="11:14" x14ac:dyDescent="0.25">
      <c r="K2861" s="312"/>
      <c r="N2861" s="514"/>
    </row>
    <row r="2862" spans="11:14" x14ac:dyDescent="0.25">
      <c r="K2862" s="312"/>
      <c r="N2862" s="514"/>
    </row>
    <row r="2863" spans="11:14" x14ac:dyDescent="0.25">
      <c r="K2863" s="312"/>
      <c r="N2863" s="514"/>
    </row>
    <row r="2864" spans="11:14" x14ac:dyDescent="0.25">
      <c r="K2864" s="312"/>
      <c r="N2864" s="514"/>
    </row>
    <row r="2865" spans="11:14" x14ac:dyDescent="0.25">
      <c r="K2865" s="312"/>
      <c r="N2865" s="514"/>
    </row>
    <row r="2866" spans="11:14" x14ac:dyDescent="0.25">
      <c r="K2866" s="312"/>
      <c r="N2866" s="514"/>
    </row>
    <row r="2867" spans="11:14" x14ac:dyDescent="0.25">
      <c r="K2867" s="312"/>
      <c r="N2867" s="514"/>
    </row>
    <row r="2868" spans="11:14" x14ac:dyDescent="0.25">
      <c r="K2868" s="312"/>
      <c r="N2868" s="514"/>
    </row>
    <row r="2869" spans="11:14" x14ac:dyDescent="0.25">
      <c r="K2869" s="312"/>
      <c r="N2869" s="514"/>
    </row>
    <row r="2870" spans="11:14" x14ac:dyDescent="0.25">
      <c r="K2870" s="312"/>
      <c r="N2870" s="514"/>
    </row>
    <row r="2871" spans="11:14" x14ac:dyDescent="0.25">
      <c r="K2871" s="312"/>
      <c r="N2871" s="514"/>
    </row>
    <row r="2872" spans="11:14" x14ac:dyDescent="0.25">
      <c r="K2872" s="312"/>
      <c r="N2872" s="514"/>
    </row>
    <row r="2873" spans="11:14" x14ac:dyDescent="0.25">
      <c r="K2873" s="312"/>
      <c r="N2873" s="514"/>
    </row>
    <row r="2874" spans="11:14" x14ac:dyDescent="0.25">
      <c r="K2874" s="312"/>
      <c r="N2874" s="514"/>
    </row>
    <row r="2875" spans="11:14" x14ac:dyDescent="0.25">
      <c r="K2875" s="312"/>
      <c r="N2875" s="514"/>
    </row>
    <row r="2876" spans="11:14" x14ac:dyDescent="0.25">
      <c r="K2876" s="312"/>
      <c r="N2876" s="514"/>
    </row>
    <row r="2877" spans="11:14" x14ac:dyDescent="0.25">
      <c r="K2877" s="312"/>
      <c r="N2877" s="514"/>
    </row>
    <row r="2878" spans="11:14" x14ac:dyDescent="0.25">
      <c r="K2878" s="312"/>
      <c r="N2878" s="514"/>
    </row>
    <row r="2879" spans="11:14" x14ac:dyDescent="0.25">
      <c r="K2879" s="312"/>
      <c r="N2879" s="514"/>
    </row>
    <row r="2880" spans="11:14" x14ac:dyDescent="0.25">
      <c r="K2880" s="312"/>
      <c r="N2880" s="514"/>
    </row>
    <row r="2881" spans="11:14" x14ac:dyDescent="0.25">
      <c r="K2881" s="312"/>
      <c r="N2881" s="514"/>
    </row>
    <row r="2882" spans="11:14" x14ac:dyDescent="0.25">
      <c r="K2882" s="312"/>
      <c r="N2882" s="514"/>
    </row>
    <row r="2883" spans="11:14" x14ac:dyDescent="0.25">
      <c r="K2883" s="312"/>
      <c r="N2883" s="514"/>
    </row>
    <row r="2884" spans="11:14" x14ac:dyDescent="0.25">
      <c r="K2884" s="312"/>
      <c r="N2884" s="514"/>
    </row>
    <row r="2885" spans="11:14" x14ac:dyDescent="0.25">
      <c r="K2885" s="312"/>
      <c r="N2885" s="514"/>
    </row>
    <row r="2886" spans="11:14" x14ac:dyDescent="0.25">
      <c r="K2886" s="312"/>
      <c r="N2886" s="514"/>
    </row>
    <row r="2887" spans="11:14" x14ac:dyDescent="0.25">
      <c r="K2887" s="312"/>
      <c r="N2887" s="514"/>
    </row>
    <row r="2888" spans="11:14" x14ac:dyDescent="0.25">
      <c r="K2888" s="312"/>
      <c r="N2888" s="514"/>
    </row>
    <row r="2889" spans="11:14" x14ac:dyDescent="0.25">
      <c r="K2889" s="312"/>
      <c r="N2889" s="514"/>
    </row>
    <row r="2890" spans="11:14" x14ac:dyDescent="0.25">
      <c r="K2890" s="312"/>
      <c r="N2890" s="514"/>
    </row>
    <row r="2891" spans="11:14" x14ac:dyDescent="0.25">
      <c r="K2891" s="312"/>
      <c r="N2891" s="514"/>
    </row>
    <row r="2892" spans="11:14" x14ac:dyDescent="0.25">
      <c r="K2892" s="312"/>
      <c r="N2892" s="514"/>
    </row>
    <row r="2893" spans="11:14" x14ac:dyDescent="0.25">
      <c r="K2893" s="312"/>
      <c r="N2893" s="514"/>
    </row>
    <row r="2894" spans="11:14" x14ac:dyDescent="0.25">
      <c r="K2894" s="312"/>
      <c r="N2894" s="514"/>
    </row>
    <row r="2895" spans="11:14" x14ac:dyDescent="0.25">
      <c r="K2895" s="312"/>
      <c r="N2895" s="514"/>
    </row>
    <row r="2896" spans="11:14" x14ac:dyDescent="0.25">
      <c r="K2896" s="312"/>
      <c r="N2896" s="514"/>
    </row>
    <row r="2897" spans="11:14" x14ac:dyDescent="0.25">
      <c r="K2897" s="312"/>
      <c r="N2897" s="514"/>
    </row>
    <row r="2898" spans="11:14" x14ac:dyDescent="0.25">
      <c r="K2898" s="312"/>
      <c r="N2898" s="514"/>
    </row>
    <row r="2899" spans="11:14" x14ac:dyDescent="0.25">
      <c r="K2899" s="312"/>
      <c r="N2899" s="514"/>
    </row>
    <row r="2900" spans="11:14" x14ac:dyDescent="0.25">
      <c r="K2900" s="312"/>
      <c r="N2900" s="514"/>
    </row>
    <row r="2901" spans="11:14" x14ac:dyDescent="0.25">
      <c r="K2901" s="312"/>
      <c r="N2901" s="514"/>
    </row>
    <row r="2902" spans="11:14" x14ac:dyDescent="0.25">
      <c r="K2902" s="312"/>
      <c r="N2902" s="514"/>
    </row>
    <row r="2903" spans="11:14" x14ac:dyDescent="0.25">
      <c r="K2903" s="312"/>
      <c r="N2903" s="514"/>
    </row>
    <row r="2904" spans="11:14" x14ac:dyDescent="0.25">
      <c r="K2904" s="312"/>
      <c r="N2904" s="514"/>
    </row>
    <row r="2905" spans="11:14" x14ac:dyDescent="0.25">
      <c r="K2905" s="312"/>
      <c r="N2905" s="514"/>
    </row>
    <row r="2906" spans="11:14" x14ac:dyDescent="0.25">
      <c r="K2906" s="312"/>
      <c r="N2906" s="514"/>
    </row>
    <row r="2907" spans="11:14" x14ac:dyDescent="0.25">
      <c r="K2907" s="312"/>
      <c r="N2907" s="514"/>
    </row>
    <row r="2908" spans="11:14" x14ac:dyDescent="0.25">
      <c r="K2908" s="312"/>
      <c r="N2908" s="514"/>
    </row>
    <row r="2909" spans="11:14" x14ac:dyDescent="0.25">
      <c r="K2909" s="312"/>
      <c r="N2909" s="514"/>
    </row>
    <row r="2910" spans="11:14" x14ac:dyDescent="0.25">
      <c r="K2910" s="312"/>
      <c r="N2910" s="514"/>
    </row>
    <row r="2911" spans="11:14" x14ac:dyDescent="0.25">
      <c r="K2911" s="312"/>
      <c r="N2911" s="514"/>
    </row>
    <row r="2912" spans="11:14" x14ac:dyDescent="0.25">
      <c r="K2912" s="312"/>
      <c r="N2912" s="514"/>
    </row>
    <row r="2913" spans="11:14" x14ac:dyDescent="0.25">
      <c r="K2913" s="312"/>
      <c r="N2913" s="514"/>
    </row>
    <row r="2914" spans="11:14" x14ac:dyDescent="0.25">
      <c r="K2914" s="312"/>
      <c r="N2914" s="514"/>
    </row>
    <row r="2915" spans="11:14" x14ac:dyDescent="0.25">
      <c r="K2915" s="312"/>
      <c r="N2915" s="514"/>
    </row>
    <row r="2916" spans="11:14" x14ac:dyDescent="0.25">
      <c r="K2916" s="312"/>
      <c r="N2916" s="514"/>
    </row>
    <row r="2917" spans="11:14" x14ac:dyDescent="0.25">
      <c r="K2917" s="312"/>
      <c r="N2917" s="514"/>
    </row>
    <row r="2918" spans="11:14" x14ac:dyDescent="0.25">
      <c r="K2918" s="312"/>
      <c r="N2918" s="514"/>
    </row>
    <row r="2919" spans="11:14" x14ac:dyDescent="0.25">
      <c r="K2919" s="312"/>
      <c r="N2919" s="514"/>
    </row>
    <row r="2920" spans="11:14" x14ac:dyDescent="0.25">
      <c r="K2920" s="312"/>
      <c r="N2920" s="514"/>
    </row>
    <row r="2921" spans="11:14" x14ac:dyDescent="0.25">
      <c r="K2921" s="312"/>
      <c r="N2921" s="514"/>
    </row>
    <row r="2922" spans="11:14" x14ac:dyDescent="0.25">
      <c r="K2922" s="312"/>
      <c r="N2922" s="514"/>
    </row>
    <row r="2923" spans="11:14" x14ac:dyDescent="0.25">
      <c r="K2923" s="312"/>
      <c r="N2923" s="514"/>
    </row>
    <row r="2924" spans="11:14" x14ac:dyDescent="0.25">
      <c r="K2924" s="312"/>
      <c r="N2924" s="514"/>
    </row>
    <row r="2925" spans="11:14" x14ac:dyDescent="0.25">
      <c r="K2925" s="312"/>
      <c r="N2925" s="514"/>
    </row>
    <row r="2926" spans="11:14" x14ac:dyDescent="0.25">
      <c r="K2926" s="312"/>
      <c r="N2926" s="514"/>
    </row>
    <row r="2927" spans="11:14" x14ac:dyDescent="0.25">
      <c r="K2927" s="312"/>
      <c r="N2927" s="514"/>
    </row>
    <row r="2928" spans="11:14" x14ac:dyDescent="0.25">
      <c r="K2928" s="312"/>
      <c r="N2928" s="514"/>
    </row>
    <row r="2929" spans="11:14" x14ac:dyDescent="0.25">
      <c r="K2929" s="312"/>
      <c r="N2929" s="514"/>
    </row>
    <row r="2930" spans="11:14" x14ac:dyDescent="0.25">
      <c r="K2930" s="312"/>
      <c r="N2930" s="514"/>
    </row>
    <row r="2931" spans="11:14" x14ac:dyDescent="0.25">
      <c r="K2931" s="312"/>
      <c r="N2931" s="514"/>
    </row>
    <row r="2932" spans="11:14" x14ac:dyDescent="0.25">
      <c r="K2932" s="312"/>
      <c r="N2932" s="514"/>
    </row>
    <row r="2933" spans="11:14" x14ac:dyDescent="0.25">
      <c r="K2933" s="312"/>
      <c r="N2933" s="514"/>
    </row>
    <row r="2934" spans="11:14" x14ac:dyDescent="0.25">
      <c r="K2934" s="312"/>
      <c r="N2934" s="514"/>
    </row>
    <row r="2935" spans="11:14" x14ac:dyDescent="0.25">
      <c r="K2935" s="312"/>
      <c r="N2935" s="514"/>
    </row>
    <row r="2936" spans="11:14" x14ac:dyDescent="0.25">
      <c r="K2936" s="312"/>
      <c r="N2936" s="514"/>
    </row>
    <row r="2937" spans="11:14" x14ac:dyDescent="0.25">
      <c r="K2937" s="312"/>
      <c r="N2937" s="514"/>
    </row>
    <row r="2938" spans="11:14" x14ac:dyDescent="0.25">
      <c r="K2938" s="312"/>
      <c r="N2938" s="514"/>
    </row>
    <row r="2939" spans="11:14" x14ac:dyDescent="0.25">
      <c r="K2939" s="312"/>
      <c r="N2939" s="514"/>
    </row>
    <row r="2940" spans="11:14" x14ac:dyDescent="0.25">
      <c r="K2940" s="312"/>
      <c r="N2940" s="514"/>
    </row>
    <row r="2941" spans="11:14" x14ac:dyDescent="0.25">
      <c r="K2941" s="312"/>
      <c r="N2941" s="514"/>
    </row>
    <row r="2942" spans="11:14" x14ac:dyDescent="0.25">
      <c r="K2942" s="312"/>
      <c r="N2942" s="514"/>
    </row>
    <row r="2943" spans="11:14" x14ac:dyDescent="0.25">
      <c r="K2943" s="312"/>
      <c r="N2943" s="514"/>
    </row>
    <row r="2944" spans="11:14" x14ac:dyDescent="0.25">
      <c r="K2944" s="312"/>
      <c r="N2944" s="514"/>
    </row>
    <row r="2945" spans="11:14" x14ac:dyDescent="0.25">
      <c r="K2945" s="312"/>
      <c r="N2945" s="514"/>
    </row>
    <row r="2946" spans="11:14" x14ac:dyDescent="0.25">
      <c r="K2946" s="312"/>
      <c r="N2946" s="514"/>
    </row>
    <row r="2947" spans="11:14" x14ac:dyDescent="0.25">
      <c r="K2947" s="312"/>
      <c r="N2947" s="514"/>
    </row>
    <row r="2948" spans="11:14" x14ac:dyDescent="0.25">
      <c r="K2948" s="312"/>
      <c r="N2948" s="514"/>
    </row>
    <row r="2949" spans="11:14" x14ac:dyDescent="0.25">
      <c r="K2949" s="312"/>
      <c r="N2949" s="514"/>
    </row>
    <row r="2950" spans="11:14" x14ac:dyDescent="0.25">
      <c r="K2950" s="312"/>
      <c r="N2950" s="514"/>
    </row>
    <row r="2951" spans="11:14" x14ac:dyDescent="0.25">
      <c r="K2951" s="312"/>
      <c r="N2951" s="514"/>
    </row>
    <row r="2952" spans="11:14" x14ac:dyDescent="0.25">
      <c r="K2952" s="312"/>
      <c r="N2952" s="514"/>
    </row>
    <row r="2953" spans="11:14" x14ac:dyDescent="0.25">
      <c r="K2953" s="312"/>
      <c r="N2953" s="514"/>
    </row>
    <row r="2954" spans="11:14" x14ac:dyDescent="0.25">
      <c r="K2954" s="312"/>
      <c r="N2954" s="514"/>
    </row>
    <row r="2955" spans="11:14" x14ac:dyDescent="0.25">
      <c r="K2955" s="312"/>
      <c r="N2955" s="514"/>
    </row>
    <row r="2956" spans="11:14" x14ac:dyDescent="0.25">
      <c r="K2956" s="312"/>
      <c r="N2956" s="514"/>
    </row>
    <row r="2957" spans="11:14" x14ac:dyDescent="0.25">
      <c r="K2957" s="312"/>
      <c r="N2957" s="514"/>
    </row>
    <row r="2958" spans="11:14" x14ac:dyDescent="0.25">
      <c r="K2958" s="312"/>
      <c r="N2958" s="514"/>
    </row>
    <row r="2959" spans="11:14" x14ac:dyDescent="0.25">
      <c r="K2959" s="312"/>
      <c r="N2959" s="514"/>
    </row>
    <row r="2960" spans="11:14" x14ac:dyDescent="0.25">
      <c r="K2960" s="312"/>
      <c r="N2960" s="514"/>
    </row>
    <row r="2961" spans="11:14" x14ac:dyDescent="0.25">
      <c r="K2961" s="312"/>
      <c r="N2961" s="514"/>
    </row>
    <row r="2962" spans="11:14" x14ac:dyDescent="0.25">
      <c r="K2962" s="312"/>
      <c r="N2962" s="514"/>
    </row>
    <row r="2963" spans="11:14" x14ac:dyDescent="0.25">
      <c r="K2963" s="312"/>
      <c r="N2963" s="514"/>
    </row>
    <row r="2964" spans="11:14" x14ac:dyDescent="0.25">
      <c r="K2964" s="312"/>
      <c r="N2964" s="514"/>
    </row>
    <row r="2965" spans="11:14" x14ac:dyDescent="0.25">
      <c r="K2965" s="312"/>
      <c r="N2965" s="514"/>
    </row>
    <row r="2966" spans="11:14" x14ac:dyDescent="0.25">
      <c r="K2966" s="312"/>
      <c r="N2966" s="514"/>
    </row>
    <row r="2967" spans="11:14" x14ac:dyDescent="0.25">
      <c r="K2967" s="312"/>
      <c r="N2967" s="514"/>
    </row>
    <row r="2968" spans="11:14" x14ac:dyDescent="0.25">
      <c r="K2968" s="312"/>
      <c r="N2968" s="514"/>
    </row>
    <row r="2969" spans="11:14" x14ac:dyDescent="0.25">
      <c r="K2969" s="312"/>
      <c r="N2969" s="514"/>
    </row>
    <row r="2970" spans="11:14" x14ac:dyDescent="0.25">
      <c r="K2970" s="312"/>
      <c r="N2970" s="514"/>
    </row>
    <row r="2971" spans="11:14" x14ac:dyDescent="0.25">
      <c r="K2971" s="312"/>
      <c r="N2971" s="514"/>
    </row>
    <row r="2972" spans="11:14" x14ac:dyDescent="0.25">
      <c r="K2972" s="312"/>
      <c r="N2972" s="514"/>
    </row>
    <row r="2973" spans="11:14" x14ac:dyDescent="0.25">
      <c r="K2973" s="312"/>
      <c r="N2973" s="514"/>
    </row>
    <row r="2974" spans="11:14" x14ac:dyDescent="0.25">
      <c r="K2974" s="312"/>
      <c r="N2974" s="514"/>
    </row>
    <row r="2975" spans="11:14" x14ac:dyDescent="0.25">
      <c r="K2975" s="312"/>
      <c r="N2975" s="514"/>
    </row>
    <row r="2976" spans="11:14" x14ac:dyDescent="0.25">
      <c r="K2976" s="312"/>
      <c r="N2976" s="514"/>
    </row>
    <row r="2977" spans="11:14" x14ac:dyDescent="0.25">
      <c r="K2977" s="312"/>
      <c r="N2977" s="514"/>
    </row>
    <row r="2978" spans="11:14" x14ac:dyDescent="0.25">
      <c r="K2978" s="312"/>
      <c r="N2978" s="514"/>
    </row>
    <row r="2979" spans="11:14" x14ac:dyDescent="0.25">
      <c r="K2979" s="312"/>
      <c r="N2979" s="514"/>
    </row>
    <row r="2980" spans="11:14" x14ac:dyDescent="0.25">
      <c r="K2980" s="312"/>
      <c r="N2980" s="514"/>
    </row>
    <row r="2981" spans="11:14" x14ac:dyDescent="0.25">
      <c r="K2981" s="312"/>
      <c r="N2981" s="514"/>
    </row>
    <row r="2982" spans="11:14" x14ac:dyDescent="0.25">
      <c r="K2982" s="312"/>
      <c r="N2982" s="514"/>
    </row>
    <row r="2983" spans="11:14" x14ac:dyDescent="0.25">
      <c r="K2983" s="312"/>
      <c r="N2983" s="514"/>
    </row>
    <row r="2984" spans="11:14" x14ac:dyDescent="0.25">
      <c r="K2984" s="312"/>
      <c r="N2984" s="514"/>
    </row>
    <row r="2985" spans="11:14" x14ac:dyDescent="0.25">
      <c r="K2985" s="312"/>
      <c r="N2985" s="514"/>
    </row>
    <row r="2986" spans="11:14" x14ac:dyDescent="0.25">
      <c r="K2986" s="312"/>
      <c r="N2986" s="514"/>
    </row>
    <row r="2987" spans="11:14" x14ac:dyDescent="0.25">
      <c r="K2987" s="312"/>
      <c r="N2987" s="514"/>
    </row>
    <row r="2988" spans="11:14" x14ac:dyDescent="0.25">
      <c r="K2988" s="312"/>
      <c r="N2988" s="514"/>
    </row>
    <row r="2989" spans="11:14" x14ac:dyDescent="0.25">
      <c r="K2989" s="312"/>
      <c r="N2989" s="514"/>
    </row>
    <row r="2990" spans="11:14" x14ac:dyDescent="0.25">
      <c r="K2990" s="312"/>
      <c r="N2990" s="514"/>
    </row>
    <row r="2991" spans="11:14" x14ac:dyDescent="0.25">
      <c r="K2991" s="312"/>
      <c r="N2991" s="514"/>
    </row>
    <row r="2992" spans="11:14" x14ac:dyDescent="0.25">
      <c r="K2992" s="312"/>
      <c r="N2992" s="514"/>
    </row>
    <row r="2993" spans="11:14" x14ac:dyDescent="0.25">
      <c r="K2993" s="312"/>
      <c r="N2993" s="514"/>
    </row>
    <row r="2994" spans="11:14" x14ac:dyDescent="0.25">
      <c r="K2994" s="312"/>
      <c r="N2994" s="514"/>
    </row>
    <row r="2995" spans="11:14" x14ac:dyDescent="0.25">
      <c r="K2995" s="312"/>
      <c r="N2995" s="514"/>
    </row>
    <row r="2996" spans="11:14" x14ac:dyDescent="0.25">
      <c r="K2996" s="312"/>
      <c r="N2996" s="514"/>
    </row>
    <row r="2997" spans="11:14" x14ac:dyDescent="0.25">
      <c r="K2997" s="312"/>
      <c r="N2997" s="514"/>
    </row>
    <row r="2998" spans="11:14" x14ac:dyDescent="0.25">
      <c r="K2998" s="312"/>
      <c r="N2998" s="514"/>
    </row>
    <row r="2999" spans="11:14" x14ac:dyDescent="0.25">
      <c r="K2999" s="312"/>
      <c r="N2999" s="514"/>
    </row>
    <row r="3000" spans="11:14" x14ac:dyDescent="0.25">
      <c r="K3000" s="312"/>
      <c r="N3000" s="514"/>
    </row>
    <row r="3001" spans="11:14" x14ac:dyDescent="0.25">
      <c r="K3001" s="312"/>
      <c r="N3001" s="514"/>
    </row>
    <row r="3002" spans="11:14" x14ac:dyDescent="0.25">
      <c r="K3002" s="312"/>
      <c r="N3002" s="514"/>
    </row>
    <row r="3003" spans="11:14" x14ac:dyDescent="0.25">
      <c r="K3003" s="312"/>
      <c r="N3003" s="514"/>
    </row>
    <row r="3004" spans="11:14" x14ac:dyDescent="0.25">
      <c r="K3004" s="312"/>
      <c r="N3004" s="514"/>
    </row>
    <row r="3005" spans="11:14" x14ac:dyDescent="0.25">
      <c r="K3005" s="312"/>
      <c r="N3005" s="514"/>
    </row>
    <row r="3006" spans="11:14" x14ac:dyDescent="0.25">
      <c r="K3006" s="312"/>
      <c r="N3006" s="514"/>
    </row>
    <row r="3007" spans="11:14" x14ac:dyDescent="0.25">
      <c r="K3007" s="312"/>
      <c r="N3007" s="514"/>
    </row>
    <row r="3008" spans="11:14" x14ac:dyDescent="0.25">
      <c r="K3008" s="312"/>
      <c r="N3008" s="514"/>
    </row>
    <row r="3009" spans="11:14" x14ac:dyDescent="0.25">
      <c r="K3009" s="312"/>
      <c r="N3009" s="514"/>
    </row>
    <row r="3010" spans="11:14" x14ac:dyDescent="0.25">
      <c r="K3010" s="312"/>
      <c r="N3010" s="514"/>
    </row>
    <row r="3011" spans="11:14" x14ac:dyDescent="0.25">
      <c r="K3011" s="312"/>
      <c r="N3011" s="514"/>
    </row>
    <row r="3012" spans="11:14" x14ac:dyDescent="0.25">
      <c r="K3012" s="312"/>
      <c r="N3012" s="514"/>
    </row>
    <row r="3013" spans="11:14" x14ac:dyDescent="0.25">
      <c r="K3013" s="312"/>
      <c r="N3013" s="514"/>
    </row>
    <row r="3014" spans="11:14" x14ac:dyDescent="0.25">
      <c r="K3014" s="312"/>
      <c r="N3014" s="514"/>
    </row>
    <row r="3015" spans="11:14" x14ac:dyDescent="0.25">
      <c r="K3015" s="312"/>
      <c r="N3015" s="514"/>
    </row>
    <row r="3016" spans="11:14" x14ac:dyDescent="0.25">
      <c r="K3016" s="312"/>
      <c r="N3016" s="514"/>
    </row>
    <row r="3017" spans="11:14" x14ac:dyDescent="0.25">
      <c r="K3017" s="312"/>
      <c r="N3017" s="514"/>
    </row>
    <row r="3018" spans="11:14" x14ac:dyDescent="0.25">
      <c r="K3018" s="312"/>
      <c r="N3018" s="514"/>
    </row>
    <row r="3019" spans="11:14" x14ac:dyDescent="0.25">
      <c r="K3019" s="312"/>
      <c r="N3019" s="514"/>
    </row>
    <row r="3020" spans="11:14" x14ac:dyDescent="0.25">
      <c r="K3020" s="312"/>
      <c r="N3020" s="514"/>
    </row>
    <row r="3021" spans="11:14" x14ac:dyDescent="0.25">
      <c r="K3021" s="312"/>
      <c r="N3021" s="514"/>
    </row>
    <row r="3022" spans="11:14" x14ac:dyDescent="0.25">
      <c r="K3022" s="312"/>
      <c r="N3022" s="514"/>
    </row>
    <row r="3023" spans="11:14" x14ac:dyDescent="0.25">
      <c r="K3023" s="312"/>
      <c r="N3023" s="514"/>
    </row>
    <row r="3024" spans="11:14" x14ac:dyDescent="0.25">
      <c r="K3024" s="312"/>
      <c r="N3024" s="514"/>
    </row>
    <row r="3025" spans="11:14" x14ac:dyDescent="0.25">
      <c r="K3025" s="312"/>
      <c r="N3025" s="514"/>
    </row>
    <row r="3026" spans="11:14" x14ac:dyDescent="0.25">
      <c r="K3026" s="312"/>
      <c r="N3026" s="514"/>
    </row>
    <row r="3027" spans="11:14" x14ac:dyDescent="0.25">
      <c r="K3027" s="312"/>
      <c r="N3027" s="514"/>
    </row>
    <row r="3028" spans="11:14" x14ac:dyDescent="0.25">
      <c r="K3028" s="312"/>
      <c r="N3028" s="514"/>
    </row>
    <row r="3029" spans="11:14" x14ac:dyDescent="0.25">
      <c r="K3029" s="312"/>
      <c r="N3029" s="514"/>
    </row>
    <row r="3030" spans="11:14" x14ac:dyDescent="0.25">
      <c r="K3030" s="312"/>
      <c r="N3030" s="514"/>
    </row>
    <row r="3031" spans="11:14" x14ac:dyDescent="0.25">
      <c r="K3031" s="312"/>
      <c r="N3031" s="514"/>
    </row>
    <row r="3032" spans="11:14" x14ac:dyDescent="0.25">
      <c r="K3032" s="312"/>
      <c r="N3032" s="514"/>
    </row>
    <row r="3033" spans="11:14" x14ac:dyDescent="0.25">
      <c r="K3033" s="312"/>
      <c r="N3033" s="514"/>
    </row>
    <row r="3034" spans="11:14" x14ac:dyDescent="0.25">
      <c r="K3034" s="312"/>
      <c r="N3034" s="514"/>
    </row>
    <row r="3035" spans="11:14" x14ac:dyDescent="0.25">
      <c r="K3035" s="312"/>
      <c r="N3035" s="514"/>
    </row>
    <row r="3036" spans="11:14" x14ac:dyDescent="0.25">
      <c r="K3036" s="312"/>
      <c r="N3036" s="514"/>
    </row>
    <row r="3037" spans="11:14" x14ac:dyDescent="0.25">
      <c r="K3037" s="312"/>
      <c r="N3037" s="514"/>
    </row>
    <row r="3038" spans="11:14" x14ac:dyDescent="0.25">
      <c r="K3038" s="312"/>
      <c r="N3038" s="514"/>
    </row>
    <row r="3039" spans="11:14" x14ac:dyDescent="0.25">
      <c r="K3039" s="312"/>
      <c r="N3039" s="514"/>
    </row>
    <row r="3040" spans="11:14" x14ac:dyDescent="0.25">
      <c r="K3040" s="312"/>
      <c r="N3040" s="514"/>
    </row>
    <row r="3041" spans="11:14" x14ac:dyDescent="0.25">
      <c r="K3041" s="312"/>
      <c r="N3041" s="514"/>
    </row>
    <row r="3042" spans="11:14" x14ac:dyDescent="0.25">
      <c r="K3042" s="312"/>
      <c r="N3042" s="514"/>
    </row>
    <row r="3043" spans="11:14" x14ac:dyDescent="0.25">
      <c r="K3043" s="312"/>
      <c r="N3043" s="514"/>
    </row>
    <row r="3044" spans="11:14" x14ac:dyDescent="0.25">
      <c r="K3044" s="312"/>
      <c r="N3044" s="514"/>
    </row>
    <row r="3045" spans="11:14" x14ac:dyDescent="0.25">
      <c r="K3045" s="312"/>
      <c r="N3045" s="514"/>
    </row>
    <row r="3046" spans="11:14" x14ac:dyDescent="0.25">
      <c r="K3046" s="312"/>
      <c r="N3046" s="514"/>
    </row>
    <row r="3047" spans="11:14" x14ac:dyDescent="0.25">
      <c r="K3047" s="312"/>
      <c r="N3047" s="514"/>
    </row>
    <row r="3048" spans="11:14" x14ac:dyDescent="0.25">
      <c r="K3048" s="312"/>
      <c r="N3048" s="514"/>
    </row>
    <row r="3049" spans="11:14" x14ac:dyDescent="0.25">
      <c r="K3049" s="312"/>
      <c r="N3049" s="514"/>
    </row>
    <row r="3050" spans="11:14" x14ac:dyDescent="0.25">
      <c r="K3050" s="312"/>
      <c r="N3050" s="514"/>
    </row>
    <row r="3051" spans="11:14" x14ac:dyDescent="0.25">
      <c r="K3051" s="312"/>
      <c r="N3051" s="514"/>
    </row>
    <row r="3052" spans="11:14" x14ac:dyDescent="0.25">
      <c r="K3052" s="312"/>
      <c r="N3052" s="514"/>
    </row>
    <row r="3053" spans="11:14" x14ac:dyDescent="0.25">
      <c r="K3053" s="312"/>
      <c r="N3053" s="514"/>
    </row>
    <row r="3054" spans="11:14" x14ac:dyDescent="0.25">
      <c r="K3054" s="312"/>
      <c r="N3054" s="514"/>
    </row>
    <row r="3055" spans="11:14" x14ac:dyDescent="0.25">
      <c r="K3055" s="312"/>
      <c r="N3055" s="514"/>
    </row>
    <row r="3056" spans="11:14" x14ac:dyDescent="0.25">
      <c r="K3056" s="312"/>
      <c r="N3056" s="514"/>
    </row>
    <row r="3057" spans="11:14" x14ac:dyDescent="0.25">
      <c r="K3057" s="312"/>
      <c r="N3057" s="514"/>
    </row>
    <row r="3058" spans="11:14" x14ac:dyDescent="0.25">
      <c r="K3058" s="312"/>
      <c r="N3058" s="514"/>
    </row>
    <row r="3059" spans="11:14" x14ac:dyDescent="0.25">
      <c r="K3059" s="312"/>
      <c r="N3059" s="514"/>
    </row>
    <row r="3060" spans="11:14" x14ac:dyDescent="0.25">
      <c r="K3060" s="312"/>
      <c r="N3060" s="514"/>
    </row>
    <row r="3061" spans="11:14" x14ac:dyDescent="0.25">
      <c r="K3061" s="312"/>
      <c r="N3061" s="514"/>
    </row>
    <row r="3062" spans="11:14" x14ac:dyDescent="0.25">
      <c r="K3062" s="312"/>
      <c r="N3062" s="514"/>
    </row>
    <row r="3063" spans="11:14" x14ac:dyDescent="0.25">
      <c r="K3063" s="312"/>
      <c r="N3063" s="514"/>
    </row>
    <row r="3064" spans="11:14" x14ac:dyDescent="0.25">
      <c r="K3064" s="312"/>
      <c r="N3064" s="514"/>
    </row>
    <row r="3065" spans="11:14" x14ac:dyDescent="0.25">
      <c r="K3065" s="312"/>
      <c r="N3065" s="514"/>
    </row>
    <row r="3066" spans="11:14" x14ac:dyDescent="0.25">
      <c r="K3066" s="312"/>
      <c r="N3066" s="514"/>
    </row>
    <row r="3067" spans="11:14" x14ac:dyDescent="0.25">
      <c r="K3067" s="312"/>
      <c r="N3067" s="514"/>
    </row>
    <row r="3068" spans="11:14" x14ac:dyDescent="0.25">
      <c r="K3068" s="312"/>
      <c r="N3068" s="514"/>
    </row>
    <row r="3069" spans="11:14" x14ac:dyDescent="0.25">
      <c r="K3069" s="312"/>
      <c r="N3069" s="514"/>
    </row>
    <row r="3070" spans="11:14" x14ac:dyDescent="0.25">
      <c r="K3070" s="312"/>
      <c r="N3070" s="514"/>
    </row>
    <row r="3071" spans="11:14" x14ac:dyDescent="0.25">
      <c r="K3071" s="312"/>
      <c r="N3071" s="514"/>
    </row>
    <row r="3072" spans="11:14" x14ac:dyDescent="0.25">
      <c r="K3072" s="312"/>
      <c r="N3072" s="514"/>
    </row>
    <row r="3073" spans="11:14" x14ac:dyDescent="0.25">
      <c r="K3073" s="312"/>
      <c r="N3073" s="514"/>
    </row>
    <row r="3074" spans="11:14" x14ac:dyDescent="0.25">
      <c r="K3074" s="312"/>
      <c r="N3074" s="514"/>
    </row>
    <row r="3075" spans="11:14" x14ac:dyDescent="0.25">
      <c r="K3075" s="312"/>
      <c r="N3075" s="514"/>
    </row>
    <row r="3076" spans="11:14" x14ac:dyDescent="0.25">
      <c r="K3076" s="312"/>
      <c r="N3076" s="514"/>
    </row>
    <row r="3077" spans="11:14" x14ac:dyDescent="0.25">
      <c r="K3077" s="312"/>
      <c r="N3077" s="514"/>
    </row>
    <row r="3078" spans="11:14" x14ac:dyDescent="0.25">
      <c r="K3078" s="312"/>
      <c r="N3078" s="514"/>
    </row>
    <row r="3079" spans="11:14" x14ac:dyDescent="0.25">
      <c r="K3079" s="312"/>
      <c r="N3079" s="514"/>
    </row>
    <row r="3080" spans="11:14" x14ac:dyDescent="0.25">
      <c r="K3080" s="312"/>
      <c r="N3080" s="514"/>
    </row>
    <row r="3081" spans="11:14" x14ac:dyDescent="0.25">
      <c r="K3081" s="312"/>
      <c r="N3081" s="514"/>
    </row>
    <row r="3082" spans="11:14" x14ac:dyDescent="0.25">
      <c r="K3082" s="312"/>
      <c r="N3082" s="514"/>
    </row>
    <row r="3083" spans="11:14" x14ac:dyDescent="0.25">
      <c r="K3083" s="312"/>
      <c r="N3083" s="514"/>
    </row>
    <row r="3084" spans="11:14" x14ac:dyDescent="0.25">
      <c r="K3084" s="312"/>
      <c r="N3084" s="514"/>
    </row>
    <row r="3085" spans="11:14" x14ac:dyDescent="0.25">
      <c r="K3085" s="312"/>
      <c r="N3085" s="514"/>
    </row>
    <row r="3086" spans="11:14" x14ac:dyDescent="0.25">
      <c r="K3086" s="312"/>
      <c r="N3086" s="514"/>
    </row>
    <row r="3087" spans="11:14" x14ac:dyDescent="0.25">
      <c r="K3087" s="312"/>
      <c r="N3087" s="514"/>
    </row>
    <row r="3088" spans="11:14" x14ac:dyDescent="0.25">
      <c r="K3088" s="312"/>
      <c r="N3088" s="514"/>
    </row>
    <row r="3089" spans="11:14" x14ac:dyDescent="0.25">
      <c r="K3089" s="312"/>
      <c r="N3089" s="514"/>
    </row>
    <row r="3090" spans="11:14" x14ac:dyDescent="0.25">
      <c r="K3090" s="312"/>
      <c r="N3090" s="514"/>
    </row>
    <row r="3091" spans="11:14" x14ac:dyDescent="0.25">
      <c r="K3091" s="312"/>
      <c r="N3091" s="514"/>
    </row>
    <row r="3092" spans="11:14" x14ac:dyDescent="0.25">
      <c r="K3092" s="312"/>
      <c r="N3092" s="514"/>
    </row>
    <row r="3093" spans="11:14" x14ac:dyDescent="0.25">
      <c r="K3093" s="312"/>
      <c r="N3093" s="514"/>
    </row>
    <row r="3094" spans="11:14" x14ac:dyDescent="0.25">
      <c r="K3094" s="312"/>
      <c r="N3094" s="514"/>
    </row>
    <row r="3095" spans="11:14" x14ac:dyDescent="0.25">
      <c r="K3095" s="312"/>
      <c r="N3095" s="514"/>
    </row>
    <row r="3096" spans="11:14" x14ac:dyDescent="0.25">
      <c r="K3096" s="312"/>
      <c r="N3096" s="514"/>
    </row>
    <row r="3097" spans="11:14" x14ac:dyDescent="0.25">
      <c r="K3097" s="312"/>
      <c r="N3097" s="514"/>
    </row>
    <row r="3098" spans="11:14" x14ac:dyDescent="0.25">
      <c r="K3098" s="312"/>
      <c r="N3098" s="514"/>
    </row>
    <row r="3099" spans="11:14" x14ac:dyDescent="0.25">
      <c r="K3099" s="312"/>
      <c r="N3099" s="514"/>
    </row>
    <row r="3100" spans="11:14" x14ac:dyDescent="0.25">
      <c r="K3100" s="312"/>
      <c r="N3100" s="514"/>
    </row>
    <row r="3101" spans="11:14" x14ac:dyDescent="0.25">
      <c r="K3101" s="312"/>
      <c r="N3101" s="514"/>
    </row>
    <row r="3102" spans="11:14" x14ac:dyDescent="0.25">
      <c r="K3102" s="312"/>
      <c r="N3102" s="514"/>
    </row>
    <row r="3103" spans="11:14" x14ac:dyDescent="0.25">
      <c r="K3103" s="312"/>
      <c r="N3103" s="514"/>
    </row>
    <row r="3104" spans="11:14" x14ac:dyDescent="0.25">
      <c r="K3104" s="312"/>
      <c r="N3104" s="514"/>
    </row>
    <row r="3105" spans="11:14" x14ac:dyDescent="0.25">
      <c r="K3105" s="312"/>
      <c r="N3105" s="514"/>
    </row>
    <row r="3106" spans="11:14" x14ac:dyDescent="0.25">
      <c r="K3106" s="312"/>
      <c r="N3106" s="514"/>
    </row>
    <row r="3107" spans="11:14" x14ac:dyDescent="0.25">
      <c r="K3107" s="312"/>
      <c r="N3107" s="514"/>
    </row>
    <row r="3108" spans="11:14" x14ac:dyDescent="0.25">
      <c r="K3108" s="312"/>
      <c r="N3108" s="514"/>
    </row>
    <row r="3109" spans="11:14" x14ac:dyDescent="0.25">
      <c r="K3109" s="312"/>
      <c r="N3109" s="514"/>
    </row>
    <row r="3110" spans="11:14" x14ac:dyDescent="0.25">
      <c r="K3110" s="312"/>
      <c r="N3110" s="514"/>
    </row>
    <row r="3111" spans="11:14" x14ac:dyDescent="0.25">
      <c r="K3111" s="312"/>
      <c r="N3111" s="514"/>
    </row>
    <row r="3112" spans="11:14" x14ac:dyDescent="0.25">
      <c r="K3112" s="312"/>
      <c r="N3112" s="514"/>
    </row>
    <row r="3113" spans="11:14" x14ac:dyDescent="0.25">
      <c r="K3113" s="312"/>
      <c r="N3113" s="514"/>
    </row>
    <row r="3114" spans="11:14" x14ac:dyDescent="0.25">
      <c r="K3114" s="312"/>
      <c r="N3114" s="514"/>
    </row>
    <row r="3115" spans="11:14" x14ac:dyDescent="0.25">
      <c r="K3115" s="312"/>
      <c r="N3115" s="514"/>
    </row>
    <row r="3116" spans="11:14" x14ac:dyDescent="0.25">
      <c r="K3116" s="312"/>
      <c r="N3116" s="514"/>
    </row>
    <row r="3117" spans="11:14" x14ac:dyDescent="0.25">
      <c r="K3117" s="312"/>
      <c r="N3117" s="514"/>
    </row>
    <row r="3118" spans="11:14" x14ac:dyDescent="0.25">
      <c r="K3118" s="312"/>
      <c r="N3118" s="514"/>
    </row>
    <row r="3119" spans="11:14" x14ac:dyDescent="0.25">
      <c r="K3119" s="312"/>
      <c r="N3119" s="514"/>
    </row>
    <row r="3120" spans="11:14" x14ac:dyDescent="0.25">
      <c r="K3120" s="312"/>
      <c r="N3120" s="514"/>
    </row>
    <row r="3121" spans="11:14" x14ac:dyDescent="0.25">
      <c r="K3121" s="312"/>
      <c r="N3121" s="514"/>
    </row>
    <row r="3122" spans="11:14" x14ac:dyDescent="0.25">
      <c r="K3122" s="312"/>
      <c r="N3122" s="514"/>
    </row>
    <row r="3123" spans="11:14" x14ac:dyDescent="0.25">
      <c r="K3123" s="312"/>
      <c r="N3123" s="514"/>
    </row>
    <row r="3124" spans="11:14" x14ac:dyDescent="0.25">
      <c r="K3124" s="312"/>
      <c r="N3124" s="514"/>
    </row>
    <row r="3125" spans="11:14" x14ac:dyDescent="0.25">
      <c r="K3125" s="312"/>
      <c r="N3125" s="514"/>
    </row>
    <row r="3126" spans="11:14" x14ac:dyDescent="0.25">
      <c r="K3126" s="312"/>
      <c r="N3126" s="514"/>
    </row>
    <row r="3127" spans="11:14" x14ac:dyDescent="0.25">
      <c r="K3127" s="312"/>
      <c r="N3127" s="514"/>
    </row>
    <row r="3128" spans="11:14" x14ac:dyDescent="0.25">
      <c r="K3128" s="312"/>
      <c r="N3128" s="514"/>
    </row>
    <row r="3129" spans="11:14" x14ac:dyDescent="0.25">
      <c r="K3129" s="312"/>
      <c r="N3129" s="514"/>
    </row>
    <row r="3130" spans="11:14" x14ac:dyDescent="0.25">
      <c r="K3130" s="312"/>
      <c r="N3130" s="514"/>
    </row>
    <row r="3131" spans="11:14" x14ac:dyDescent="0.25">
      <c r="K3131" s="312"/>
      <c r="N3131" s="514"/>
    </row>
    <row r="3132" spans="11:14" x14ac:dyDescent="0.25">
      <c r="K3132" s="312"/>
      <c r="N3132" s="514"/>
    </row>
    <row r="3133" spans="11:14" x14ac:dyDescent="0.25">
      <c r="K3133" s="312"/>
      <c r="N3133" s="514"/>
    </row>
    <row r="3134" spans="11:14" x14ac:dyDescent="0.25">
      <c r="K3134" s="312"/>
      <c r="N3134" s="514"/>
    </row>
    <row r="3135" spans="11:14" x14ac:dyDescent="0.25">
      <c r="K3135" s="312"/>
      <c r="N3135" s="514"/>
    </row>
    <row r="3136" spans="11:14" x14ac:dyDescent="0.25">
      <c r="K3136" s="312"/>
      <c r="N3136" s="514"/>
    </row>
    <row r="3137" spans="11:14" x14ac:dyDescent="0.25">
      <c r="K3137" s="312"/>
      <c r="N3137" s="514"/>
    </row>
    <row r="3138" spans="11:14" x14ac:dyDescent="0.25">
      <c r="K3138" s="312"/>
      <c r="N3138" s="514"/>
    </row>
    <row r="3139" spans="11:14" x14ac:dyDescent="0.25">
      <c r="K3139" s="312"/>
      <c r="N3139" s="514"/>
    </row>
    <row r="3140" spans="11:14" x14ac:dyDescent="0.25">
      <c r="K3140" s="312"/>
      <c r="N3140" s="514"/>
    </row>
    <row r="3141" spans="11:14" x14ac:dyDescent="0.25">
      <c r="K3141" s="312"/>
      <c r="N3141" s="514"/>
    </row>
    <row r="3142" spans="11:14" x14ac:dyDescent="0.25">
      <c r="K3142" s="312"/>
      <c r="N3142" s="514"/>
    </row>
    <row r="3143" spans="11:14" x14ac:dyDescent="0.25">
      <c r="K3143" s="312"/>
      <c r="N3143" s="514"/>
    </row>
    <row r="3144" spans="11:14" x14ac:dyDescent="0.25">
      <c r="K3144" s="312"/>
      <c r="N3144" s="514"/>
    </row>
    <row r="3145" spans="11:14" x14ac:dyDescent="0.25">
      <c r="K3145" s="312"/>
      <c r="N3145" s="514"/>
    </row>
    <row r="3146" spans="11:14" x14ac:dyDescent="0.25">
      <c r="K3146" s="312"/>
      <c r="N3146" s="514"/>
    </row>
    <row r="3147" spans="11:14" x14ac:dyDescent="0.25">
      <c r="K3147" s="312"/>
      <c r="N3147" s="514"/>
    </row>
    <row r="3148" spans="11:14" x14ac:dyDescent="0.25">
      <c r="K3148" s="312"/>
      <c r="N3148" s="514"/>
    </row>
    <row r="3149" spans="11:14" x14ac:dyDescent="0.25">
      <c r="K3149" s="312"/>
      <c r="N3149" s="514"/>
    </row>
    <row r="3150" spans="11:14" x14ac:dyDescent="0.25">
      <c r="K3150" s="312"/>
      <c r="N3150" s="514"/>
    </row>
    <row r="3151" spans="11:14" x14ac:dyDescent="0.25">
      <c r="K3151" s="312"/>
      <c r="N3151" s="514"/>
    </row>
    <row r="3152" spans="11:14" x14ac:dyDescent="0.25">
      <c r="K3152" s="312"/>
      <c r="N3152" s="514"/>
    </row>
    <row r="3153" spans="11:14" x14ac:dyDescent="0.25">
      <c r="K3153" s="312"/>
      <c r="N3153" s="514"/>
    </row>
    <row r="3154" spans="11:14" x14ac:dyDescent="0.25">
      <c r="K3154" s="312"/>
      <c r="N3154" s="514"/>
    </row>
    <row r="3155" spans="11:14" x14ac:dyDescent="0.25">
      <c r="K3155" s="312"/>
      <c r="N3155" s="514"/>
    </row>
    <row r="3156" spans="11:14" x14ac:dyDescent="0.25">
      <c r="K3156" s="312"/>
      <c r="N3156" s="514"/>
    </row>
    <row r="3157" spans="11:14" x14ac:dyDescent="0.25">
      <c r="K3157" s="312"/>
      <c r="N3157" s="514"/>
    </row>
    <row r="3158" spans="11:14" x14ac:dyDescent="0.25">
      <c r="K3158" s="312"/>
      <c r="N3158" s="514"/>
    </row>
    <row r="3159" spans="11:14" x14ac:dyDescent="0.25">
      <c r="K3159" s="312"/>
      <c r="N3159" s="514"/>
    </row>
    <row r="3160" spans="11:14" x14ac:dyDescent="0.25">
      <c r="K3160" s="312"/>
      <c r="N3160" s="514"/>
    </row>
    <row r="3161" spans="11:14" x14ac:dyDescent="0.25">
      <c r="K3161" s="312"/>
      <c r="N3161" s="514"/>
    </row>
    <row r="3162" spans="11:14" x14ac:dyDescent="0.25">
      <c r="K3162" s="312"/>
      <c r="N3162" s="514"/>
    </row>
    <row r="3163" spans="11:14" x14ac:dyDescent="0.25">
      <c r="K3163" s="312"/>
      <c r="N3163" s="514"/>
    </row>
    <row r="3164" spans="11:14" x14ac:dyDescent="0.25">
      <c r="K3164" s="312"/>
      <c r="N3164" s="514"/>
    </row>
    <row r="3165" spans="11:14" x14ac:dyDescent="0.25">
      <c r="K3165" s="312"/>
      <c r="N3165" s="514"/>
    </row>
    <row r="3166" spans="11:14" x14ac:dyDescent="0.25">
      <c r="K3166" s="312"/>
      <c r="N3166" s="514"/>
    </row>
    <row r="3167" spans="11:14" x14ac:dyDescent="0.25">
      <c r="K3167" s="312"/>
      <c r="N3167" s="514"/>
    </row>
    <row r="3168" spans="11:14" x14ac:dyDescent="0.25">
      <c r="K3168" s="312"/>
      <c r="N3168" s="514"/>
    </row>
    <row r="3169" spans="11:14" x14ac:dyDescent="0.25">
      <c r="K3169" s="312"/>
      <c r="N3169" s="514"/>
    </row>
    <row r="3170" spans="11:14" x14ac:dyDescent="0.25">
      <c r="K3170" s="312"/>
      <c r="N3170" s="514"/>
    </row>
    <row r="3171" spans="11:14" x14ac:dyDescent="0.25">
      <c r="K3171" s="312"/>
      <c r="N3171" s="514"/>
    </row>
    <row r="3172" spans="11:14" x14ac:dyDescent="0.25">
      <c r="K3172" s="312"/>
      <c r="N3172" s="514"/>
    </row>
    <row r="3173" spans="11:14" x14ac:dyDescent="0.25">
      <c r="K3173" s="312"/>
      <c r="N3173" s="514"/>
    </row>
    <row r="3174" spans="11:14" x14ac:dyDescent="0.25">
      <c r="K3174" s="312"/>
      <c r="N3174" s="514"/>
    </row>
    <row r="3175" spans="11:14" x14ac:dyDescent="0.25">
      <c r="K3175" s="312"/>
      <c r="N3175" s="514"/>
    </row>
    <row r="3176" spans="11:14" x14ac:dyDescent="0.25">
      <c r="K3176" s="312"/>
      <c r="N3176" s="514"/>
    </row>
    <row r="3177" spans="11:14" x14ac:dyDescent="0.25">
      <c r="K3177" s="312"/>
      <c r="N3177" s="514"/>
    </row>
    <row r="3178" spans="11:14" x14ac:dyDescent="0.25">
      <c r="K3178" s="312"/>
      <c r="N3178" s="514"/>
    </row>
    <row r="3179" spans="11:14" x14ac:dyDescent="0.25">
      <c r="K3179" s="312"/>
      <c r="N3179" s="514"/>
    </row>
    <row r="3180" spans="11:14" x14ac:dyDescent="0.25">
      <c r="K3180" s="312"/>
      <c r="N3180" s="514"/>
    </row>
    <row r="3181" spans="11:14" x14ac:dyDescent="0.25">
      <c r="K3181" s="312"/>
      <c r="N3181" s="514"/>
    </row>
    <row r="3182" spans="11:14" x14ac:dyDescent="0.25">
      <c r="K3182" s="312"/>
      <c r="N3182" s="514"/>
    </row>
    <row r="3183" spans="11:14" x14ac:dyDescent="0.25">
      <c r="K3183" s="312"/>
      <c r="N3183" s="514"/>
    </row>
    <row r="3184" spans="11:14" x14ac:dyDescent="0.25">
      <c r="K3184" s="312"/>
      <c r="N3184" s="514"/>
    </row>
    <row r="3185" spans="11:14" x14ac:dyDescent="0.25">
      <c r="K3185" s="312"/>
      <c r="N3185" s="514"/>
    </row>
    <row r="3186" spans="11:14" x14ac:dyDescent="0.25">
      <c r="K3186" s="312"/>
      <c r="N3186" s="514"/>
    </row>
    <row r="3187" spans="11:14" x14ac:dyDescent="0.25">
      <c r="K3187" s="312"/>
      <c r="N3187" s="514"/>
    </row>
    <row r="3188" spans="11:14" x14ac:dyDescent="0.25">
      <c r="K3188" s="312"/>
      <c r="N3188" s="514"/>
    </row>
    <row r="3189" spans="11:14" x14ac:dyDescent="0.25">
      <c r="K3189" s="312"/>
      <c r="N3189" s="514"/>
    </row>
    <row r="3190" spans="11:14" x14ac:dyDescent="0.25">
      <c r="K3190" s="312"/>
      <c r="N3190" s="514"/>
    </row>
    <row r="3191" spans="11:14" x14ac:dyDescent="0.25">
      <c r="K3191" s="312"/>
      <c r="N3191" s="514"/>
    </row>
    <row r="3192" spans="11:14" x14ac:dyDescent="0.25">
      <c r="K3192" s="312"/>
      <c r="N3192" s="514"/>
    </row>
    <row r="3193" spans="11:14" x14ac:dyDescent="0.25">
      <c r="K3193" s="312"/>
      <c r="N3193" s="514"/>
    </row>
    <row r="3194" spans="11:14" x14ac:dyDescent="0.25">
      <c r="K3194" s="312"/>
      <c r="N3194" s="514"/>
    </row>
    <row r="3195" spans="11:14" x14ac:dyDescent="0.25">
      <c r="K3195" s="312"/>
      <c r="N3195" s="514"/>
    </row>
    <row r="3196" spans="11:14" x14ac:dyDescent="0.25">
      <c r="K3196" s="312"/>
      <c r="N3196" s="514"/>
    </row>
    <row r="3197" spans="11:14" x14ac:dyDescent="0.25">
      <c r="K3197" s="312"/>
      <c r="N3197" s="514"/>
    </row>
    <row r="3198" spans="11:14" x14ac:dyDescent="0.25">
      <c r="K3198" s="312"/>
      <c r="N3198" s="514"/>
    </row>
    <row r="3199" spans="11:14" x14ac:dyDescent="0.25">
      <c r="K3199" s="312"/>
      <c r="N3199" s="514"/>
    </row>
    <row r="3200" spans="11:14" x14ac:dyDescent="0.25">
      <c r="K3200" s="312"/>
      <c r="N3200" s="514"/>
    </row>
    <row r="3201" spans="11:14" x14ac:dyDescent="0.25">
      <c r="K3201" s="312"/>
      <c r="N3201" s="514"/>
    </row>
    <row r="3202" spans="11:14" x14ac:dyDescent="0.25">
      <c r="K3202" s="312"/>
      <c r="N3202" s="514"/>
    </row>
    <row r="3203" spans="11:14" x14ac:dyDescent="0.25">
      <c r="K3203" s="312"/>
      <c r="N3203" s="514"/>
    </row>
    <row r="3204" spans="11:14" x14ac:dyDescent="0.25">
      <c r="K3204" s="312"/>
      <c r="N3204" s="514"/>
    </row>
    <row r="3205" spans="11:14" x14ac:dyDescent="0.25">
      <c r="K3205" s="312"/>
      <c r="N3205" s="514"/>
    </row>
    <row r="3206" spans="11:14" x14ac:dyDescent="0.25">
      <c r="K3206" s="312"/>
      <c r="N3206" s="514"/>
    </row>
    <row r="3207" spans="11:14" x14ac:dyDescent="0.25">
      <c r="K3207" s="312"/>
      <c r="N3207" s="514"/>
    </row>
    <row r="3208" spans="11:14" x14ac:dyDescent="0.25">
      <c r="K3208" s="312"/>
      <c r="N3208" s="514"/>
    </row>
    <row r="3209" spans="11:14" x14ac:dyDescent="0.25">
      <c r="K3209" s="312"/>
      <c r="N3209" s="514"/>
    </row>
    <row r="3210" spans="11:14" x14ac:dyDescent="0.25">
      <c r="K3210" s="312"/>
      <c r="N3210" s="514"/>
    </row>
    <row r="3211" spans="11:14" x14ac:dyDescent="0.25">
      <c r="K3211" s="312"/>
      <c r="N3211" s="514"/>
    </row>
    <row r="3212" spans="11:14" x14ac:dyDescent="0.25">
      <c r="K3212" s="312"/>
      <c r="N3212" s="514"/>
    </row>
    <row r="3213" spans="11:14" x14ac:dyDescent="0.25">
      <c r="K3213" s="312"/>
      <c r="N3213" s="514"/>
    </row>
    <row r="3214" spans="11:14" x14ac:dyDescent="0.25">
      <c r="K3214" s="312"/>
      <c r="N3214" s="514"/>
    </row>
    <row r="3215" spans="11:14" x14ac:dyDescent="0.25">
      <c r="K3215" s="312"/>
      <c r="N3215" s="514"/>
    </row>
    <row r="3216" spans="11:14" x14ac:dyDescent="0.25">
      <c r="K3216" s="312"/>
      <c r="N3216" s="514"/>
    </row>
    <row r="3217" spans="11:14" x14ac:dyDescent="0.25">
      <c r="K3217" s="312"/>
      <c r="N3217" s="514"/>
    </row>
    <row r="3218" spans="11:14" x14ac:dyDescent="0.25">
      <c r="K3218" s="312"/>
      <c r="N3218" s="514"/>
    </row>
    <row r="3219" spans="11:14" x14ac:dyDescent="0.25">
      <c r="K3219" s="312"/>
      <c r="N3219" s="514"/>
    </row>
    <row r="3220" spans="11:14" x14ac:dyDescent="0.25">
      <c r="K3220" s="312"/>
      <c r="N3220" s="514"/>
    </row>
    <row r="3221" spans="11:14" x14ac:dyDescent="0.25">
      <c r="K3221" s="312"/>
      <c r="N3221" s="514"/>
    </row>
    <row r="3222" spans="11:14" x14ac:dyDescent="0.25">
      <c r="K3222" s="312"/>
      <c r="N3222" s="514"/>
    </row>
    <row r="3223" spans="11:14" x14ac:dyDescent="0.25">
      <c r="K3223" s="312"/>
      <c r="N3223" s="514"/>
    </row>
    <row r="3224" spans="11:14" x14ac:dyDescent="0.25">
      <c r="K3224" s="312"/>
      <c r="N3224" s="514"/>
    </row>
    <row r="3225" spans="11:14" x14ac:dyDescent="0.25">
      <c r="K3225" s="312"/>
      <c r="N3225" s="514"/>
    </row>
    <row r="3226" spans="11:14" x14ac:dyDescent="0.25">
      <c r="K3226" s="312"/>
      <c r="N3226" s="514"/>
    </row>
    <row r="3227" spans="11:14" x14ac:dyDescent="0.25">
      <c r="K3227" s="312"/>
      <c r="N3227" s="514"/>
    </row>
    <row r="3228" spans="11:14" x14ac:dyDescent="0.25">
      <c r="K3228" s="312"/>
      <c r="N3228" s="514"/>
    </row>
    <row r="3229" spans="11:14" x14ac:dyDescent="0.25">
      <c r="K3229" s="312"/>
      <c r="N3229" s="514"/>
    </row>
    <row r="3230" spans="11:14" x14ac:dyDescent="0.25">
      <c r="K3230" s="312"/>
      <c r="N3230" s="514"/>
    </row>
    <row r="3231" spans="11:14" x14ac:dyDescent="0.25">
      <c r="K3231" s="312"/>
      <c r="N3231" s="514"/>
    </row>
    <row r="3232" spans="11:14" x14ac:dyDescent="0.25">
      <c r="K3232" s="312"/>
      <c r="N3232" s="514"/>
    </row>
    <row r="3233" spans="11:14" x14ac:dyDescent="0.25">
      <c r="K3233" s="312"/>
      <c r="N3233" s="514"/>
    </row>
    <row r="3234" spans="11:14" x14ac:dyDescent="0.25">
      <c r="K3234" s="312"/>
      <c r="N3234" s="514"/>
    </row>
    <row r="3235" spans="11:14" x14ac:dyDescent="0.25">
      <c r="K3235" s="312"/>
      <c r="N3235" s="514"/>
    </row>
    <row r="3236" spans="11:14" x14ac:dyDescent="0.25">
      <c r="K3236" s="312"/>
      <c r="N3236" s="514"/>
    </row>
    <row r="3237" spans="11:14" x14ac:dyDescent="0.25">
      <c r="K3237" s="312"/>
      <c r="N3237" s="514"/>
    </row>
    <row r="3238" spans="11:14" x14ac:dyDescent="0.25">
      <c r="K3238" s="312"/>
      <c r="N3238" s="514"/>
    </row>
    <row r="3239" spans="11:14" x14ac:dyDescent="0.25">
      <c r="K3239" s="312"/>
      <c r="N3239" s="514"/>
    </row>
    <row r="3240" spans="11:14" x14ac:dyDescent="0.25">
      <c r="K3240" s="312"/>
      <c r="N3240" s="514"/>
    </row>
    <row r="3241" spans="11:14" x14ac:dyDescent="0.25">
      <c r="K3241" s="312"/>
      <c r="N3241" s="514"/>
    </row>
    <row r="3242" spans="11:14" x14ac:dyDescent="0.25">
      <c r="K3242" s="312"/>
      <c r="N3242" s="514"/>
    </row>
    <row r="3243" spans="11:14" x14ac:dyDescent="0.25">
      <c r="K3243" s="312"/>
      <c r="N3243" s="514"/>
    </row>
    <row r="3244" spans="11:14" x14ac:dyDescent="0.25">
      <c r="K3244" s="312"/>
      <c r="N3244" s="514"/>
    </row>
    <row r="3245" spans="11:14" x14ac:dyDescent="0.25">
      <c r="K3245" s="312"/>
      <c r="N3245" s="514"/>
    </row>
    <row r="3246" spans="11:14" x14ac:dyDescent="0.25">
      <c r="K3246" s="312"/>
      <c r="N3246" s="514"/>
    </row>
    <row r="3247" spans="11:14" x14ac:dyDescent="0.25">
      <c r="K3247" s="312"/>
      <c r="N3247" s="514"/>
    </row>
    <row r="3248" spans="11:14" x14ac:dyDescent="0.25">
      <c r="K3248" s="312"/>
      <c r="N3248" s="514"/>
    </row>
    <row r="3249" spans="11:14" x14ac:dyDescent="0.25">
      <c r="K3249" s="312"/>
      <c r="N3249" s="514"/>
    </row>
    <row r="3250" spans="11:14" x14ac:dyDescent="0.25">
      <c r="K3250" s="312"/>
      <c r="N3250" s="514"/>
    </row>
    <row r="3251" spans="11:14" x14ac:dyDescent="0.25">
      <c r="K3251" s="312"/>
      <c r="N3251" s="514"/>
    </row>
    <row r="3252" spans="11:14" x14ac:dyDescent="0.25">
      <c r="K3252" s="312"/>
      <c r="N3252" s="514"/>
    </row>
    <row r="3253" spans="11:14" x14ac:dyDescent="0.25">
      <c r="K3253" s="312"/>
      <c r="N3253" s="514"/>
    </row>
    <row r="3254" spans="11:14" x14ac:dyDescent="0.25">
      <c r="K3254" s="312"/>
      <c r="N3254" s="514"/>
    </row>
    <row r="3255" spans="11:14" x14ac:dyDescent="0.25">
      <c r="K3255" s="312"/>
      <c r="N3255" s="514"/>
    </row>
    <row r="3256" spans="11:14" x14ac:dyDescent="0.25">
      <c r="K3256" s="312"/>
      <c r="N3256" s="514"/>
    </row>
    <row r="3257" spans="11:14" x14ac:dyDescent="0.25">
      <c r="K3257" s="312"/>
      <c r="N3257" s="514"/>
    </row>
    <row r="3258" spans="11:14" x14ac:dyDescent="0.25">
      <c r="K3258" s="312"/>
      <c r="N3258" s="514"/>
    </row>
    <row r="3259" spans="11:14" x14ac:dyDescent="0.25">
      <c r="K3259" s="312"/>
      <c r="N3259" s="514"/>
    </row>
    <row r="3260" spans="11:14" x14ac:dyDescent="0.25">
      <c r="K3260" s="312"/>
      <c r="N3260" s="514"/>
    </row>
    <row r="3261" spans="11:14" x14ac:dyDescent="0.25">
      <c r="K3261" s="312"/>
      <c r="N3261" s="514"/>
    </row>
    <row r="3262" spans="11:14" x14ac:dyDescent="0.25">
      <c r="K3262" s="312"/>
      <c r="N3262" s="514"/>
    </row>
    <row r="3263" spans="11:14" x14ac:dyDescent="0.25">
      <c r="K3263" s="312"/>
      <c r="N3263" s="514"/>
    </row>
    <row r="3264" spans="11:14" x14ac:dyDescent="0.25">
      <c r="K3264" s="312"/>
      <c r="N3264" s="514"/>
    </row>
    <row r="3265" spans="11:14" x14ac:dyDescent="0.25">
      <c r="K3265" s="312"/>
      <c r="N3265" s="514"/>
    </row>
    <row r="3266" spans="11:14" x14ac:dyDescent="0.25">
      <c r="K3266" s="312"/>
      <c r="N3266" s="514"/>
    </row>
    <row r="3267" spans="11:14" x14ac:dyDescent="0.25">
      <c r="K3267" s="312"/>
      <c r="N3267" s="514"/>
    </row>
    <row r="3268" spans="11:14" x14ac:dyDescent="0.25">
      <c r="K3268" s="312"/>
      <c r="N3268" s="514"/>
    </row>
    <row r="3269" spans="11:14" x14ac:dyDescent="0.25">
      <c r="K3269" s="312"/>
      <c r="N3269" s="514"/>
    </row>
    <row r="3270" spans="11:14" x14ac:dyDescent="0.25">
      <c r="K3270" s="312"/>
      <c r="N3270" s="514"/>
    </row>
    <row r="3271" spans="11:14" x14ac:dyDescent="0.25">
      <c r="K3271" s="312"/>
      <c r="N3271" s="514"/>
    </row>
    <row r="3272" spans="11:14" x14ac:dyDescent="0.25">
      <c r="K3272" s="312"/>
      <c r="N3272" s="514"/>
    </row>
    <row r="3273" spans="11:14" x14ac:dyDescent="0.25">
      <c r="K3273" s="312"/>
      <c r="N3273" s="514"/>
    </row>
    <row r="3274" spans="11:14" x14ac:dyDescent="0.25">
      <c r="K3274" s="312"/>
      <c r="N3274" s="514"/>
    </row>
    <row r="3275" spans="11:14" x14ac:dyDescent="0.25">
      <c r="K3275" s="312"/>
      <c r="N3275" s="514"/>
    </row>
    <row r="3276" spans="11:14" x14ac:dyDescent="0.25">
      <c r="K3276" s="312"/>
      <c r="N3276" s="514"/>
    </row>
    <row r="3277" spans="11:14" x14ac:dyDescent="0.25">
      <c r="K3277" s="312"/>
      <c r="N3277" s="514"/>
    </row>
    <row r="3278" spans="11:14" x14ac:dyDescent="0.25">
      <c r="K3278" s="312"/>
      <c r="N3278" s="514"/>
    </row>
    <row r="3279" spans="11:14" x14ac:dyDescent="0.25">
      <c r="K3279" s="312"/>
      <c r="N3279" s="514"/>
    </row>
    <row r="3280" spans="11:14" x14ac:dyDescent="0.25">
      <c r="K3280" s="312"/>
      <c r="N3280" s="514"/>
    </row>
    <row r="3281" spans="11:14" x14ac:dyDescent="0.25">
      <c r="K3281" s="312"/>
      <c r="N3281" s="514"/>
    </row>
    <row r="3282" spans="11:14" x14ac:dyDescent="0.25">
      <c r="K3282" s="312"/>
      <c r="N3282" s="514"/>
    </row>
    <row r="3283" spans="11:14" x14ac:dyDescent="0.25">
      <c r="K3283" s="312"/>
      <c r="N3283" s="514"/>
    </row>
    <row r="3284" spans="11:14" x14ac:dyDescent="0.25">
      <c r="K3284" s="312"/>
      <c r="N3284" s="514"/>
    </row>
    <row r="3285" spans="11:14" x14ac:dyDescent="0.25">
      <c r="K3285" s="312"/>
      <c r="N3285" s="514"/>
    </row>
    <row r="3286" spans="11:14" x14ac:dyDescent="0.25">
      <c r="K3286" s="312"/>
      <c r="N3286" s="514"/>
    </row>
    <row r="3287" spans="11:14" x14ac:dyDescent="0.25">
      <c r="K3287" s="312"/>
      <c r="N3287" s="514"/>
    </row>
    <row r="3288" spans="11:14" x14ac:dyDescent="0.25">
      <c r="K3288" s="312"/>
      <c r="N3288" s="514"/>
    </row>
    <row r="3289" spans="11:14" x14ac:dyDescent="0.25">
      <c r="K3289" s="312"/>
      <c r="N3289" s="514"/>
    </row>
    <row r="3290" spans="11:14" x14ac:dyDescent="0.25">
      <c r="K3290" s="312"/>
      <c r="N3290" s="514"/>
    </row>
    <row r="3291" spans="11:14" x14ac:dyDescent="0.25">
      <c r="K3291" s="312"/>
      <c r="N3291" s="514"/>
    </row>
    <row r="3292" spans="11:14" x14ac:dyDescent="0.25">
      <c r="K3292" s="312"/>
      <c r="N3292" s="514"/>
    </row>
    <row r="3293" spans="11:14" x14ac:dyDescent="0.25">
      <c r="K3293" s="312"/>
      <c r="N3293" s="514"/>
    </row>
    <row r="3294" spans="11:14" x14ac:dyDescent="0.25">
      <c r="K3294" s="312"/>
      <c r="N3294" s="514"/>
    </row>
    <row r="3295" spans="11:14" x14ac:dyDescent="0.25">
      <c r="K3295" s="312"/>
      <c r="N3295" s="514"/>
    </row>
    <row r="3296" spans="11:14" x14ac:dyDescent="0.25">
      <c r="K3296" s="312"/>
      <c r="N3296" s="514"/>
    </row>
    <row r="3297" spans="11:14" x14ac:dyDescent="0.25">
      <c r="K3297" s="312"/>
      <c r="N3297" s="514"/>
    </row>
    <row r="3298" spans="11:14" x14ac:dyDescent="0.25">
      <c r="K3298" s="312"/>
      <c r="N3298" s="514"/>
    </row>
    <row r="3299" spans="11:14" x14ac:dyDescent="0.25">
      <c r="K3299" s="312"/>
      <c r="N3299" s="514"/>
    </row>
    <row r="3300" spans="11:14" x14ac:dyDescent="0.25">
      <c r="K3300" s="312"/>
      <c r="N3300" s="514"/>
    </row>
    <row r="3301" spans="11:14" x14ac:dyDescent="0.25">
      <c r="K3301" s="312"/>
      <c r="N3301" s="514"/>
    </row>
    <row r="3302" spans="11:14" x14ac:dyDescent="0.25">
      <c r="K3302" s="312"/>
      <c r="N3302" s="514"/>
    </row>
    <row r="3303" spans="11:14" x14ac:dyDescent="0.25">
      <c r="K3303" s="312"/>
      <c r="N3303" s="514"/>
    </row>
    <row r="3304" spans="11:14" x14ac:dyDescent="0.25">
      <c r="K3304" s="312"/>
      <c r="N3304" s="514"/>
    </row>
    <row r="3305" spans="11:14" x14ac:dyDescent="0.25">
      <c r="K3305" s="312"/>
      <c r="N3305" s="514"/>
    </row>
    <row r="3306" spans="11:14" x14ac:dyDescent="0.25">
      <c r="K3306" s="312"/>
      <c r="N3306" s="514"/>
    </row>
    <row r="3307" spans="11:14" x14ac:dyDescent="0.25">
      <c r="K3307" s="312"/>
      <c r="N3307" s="514"/>
    </row>
    <row r="3308" spans="11:14" x14ac:dyDescent="0.25">
      <c r="K3308" s="312"/>
      <c r="N3308" s="514"/>
    </row>
    <row r="3309" spans="11:14" x14ac:dyDescent="0.25">
      <c r="K3309" s="312"/>
      <c r="N3309" s="514"/>
    </row>
    <row r="3310" spans="11:14" x14ac:dyDescent="0.25">
      <c r="K3310" s="312"/>
      <c r="N3310" s="514"/>
    </row>
    <row r="3311" spans="11:14" x14ac:dyDescent="0.25">
      <c r="K3311" s="312"/>
      <c r="N3311" s="514"/>
    </row>
    <row r="3312" spans="11:14" x14ac:dyDescent="0.25">
      <c r="K3312" s="312"/>
      <c r="N3312" s="514"/>
    </row>
    <row r="3313" spans="11:14" x14ac:dyDescent="0.25">
      <c r="K3313" s="312"/>
      <c r="N3313" s="514"/>
    </row>
    <row r="3314" spans="11:14" x14ac:dyDescent="0.25">
      <c r="K3314" s="312"/>
      <c r="N3314" s="514"/>
    </row>
    <row r="3315" spans="11:14" x14ac:dyDescent="0.25">
      <c r="K3315" s="312"/>
      <c r="N3315" s="514"/>
    </row>
    <row r="3316" spans="11:14" x14ac:dyDescent="0.25">
      <c r="K3316" s="312"/>
      <c r="N3316" s="514"/>
    </row>
    <row r="3317" spans="11:14" x14ac:dyDescent="0.25">
      <c r="K3317" s="312"/>
      <c r="N3317" s="514"/>
    </row>
    <row r="3318" spans="11:14" x14ac:dyDescent="0.25">
      <c r="K3318" s="312"/>
      <c r="N3318" s="514"/>
    </row>
    <row r="3319" spans="11:14" x14ac:dyDescent="0.25">
      <c r="K3319" s="312"/>
      <c r="N3319" s="514"/>
    </row>
    <row r="3320" spans="11:14" x14ac:dyDescent="0.25">
      <c r="K3320" s="312"/>
      <c r="N3320" s="514"/>
    </row>
    <row r="3321" spans="11:14" x14ac:dyDescent="0.25">
      <c r="K3321" s="312"/>
      <c r="N3321" s="514"/>
    </row>
    <row r="3322" spans="11:14" x14ac:dyDescent="0.25">
      <c r="K3322" s="312"/>
      <c r="N3322" s="514"/>
    </row>
    <row r="3323" spans="11:14" x14ac:dyDescent="0.25">
      <c r="K3323" s="312"/>
      <c r="N3323" s="514"/>
    </row>
    <row r="3324" spans="11:14" x14ac:dyDescent="0.25">
      <c r="K3324" s="312"/>
      <c r="N3324" s="514"/>
    </row>
    <row r="3325" spans="11:14" x14ac:dyDescent="0.25">
      <c r="K3325" s="312"/>
      <c r="N3325" s="514"/>
    </row>
    <row r="3326" spans="11:14" x14ac:dyDescent="0.25">
      <c r="K3326" s="312"/>
      <c r="N3326" s="514"/>
    </row>
    <row r="3327" spans="11:14" x14ac:dyDescent="0.25">
      <c r="K3327" s="312"/>
      <c r="N3327" s="514"/>
    </row>
    <row r="3328" spans="11:14" x14ac:dyDescent="0.25">
      <c r="K3328" s="312"/>
      <c r="N3328" s="514"/>
    </row>
    <row r="3329" spans="11:14" x14ac:dyDescent="0.25">
      <c r="K3329" s="312"/>
      <c r="N3329" s="514"/>
    </row>
    <row r="3330" spans="11:14" x14ac:dyDescent="0.25">
      <c r="K3330" s="312"/>
      <c r="N3330" s="514"/>
    </row>
    <row r="3331" spans="11:14" x14ac:dyDescent="0.25">
      <c r="K3331" s="312"/>
      <c r="N3331" s="514"/>
    </row>
    <row r="3332" spans="11:14" x14ac:dyDescent="0.25">
      <c r="K3332" s="312"/>
      <c r="N3332" s="514"/>
    </row>
    <row r="3333" spans="11:14" x14ac:dyDescent="0.25">
      <c r="K3333" s="312"/>
      <c r="N3333" s="514"/>
    </row>
    <row r="3334" spans="11:14" x14ac:dyDescent="0.25">
      <c r="K3334" s="312"/>
      <c r="N3334" s="514"/>
    </row>
    <row r="3335" spans="11:14" x14ac:dyDescent="0.25">
      <c r="K3335" s="312"/>
      <c r="N3335" s="514"/>
    </row>
    <row r="3336" spans="11:14" x14ac:dyDescent="0.25">
      <c r="K3336" s="312"/>
      <c r="N3336" s="514"/>
    </row>
    <row r="3337" spans="11:14" x14ac:dyDescent="0.25">
      <c r="K3337" s="312"/>
      <c r="N3337" s="514"/>
    </row>
    <row r="3338" spans="11:14" x14ac:dyDescent="0.25">
      <c r="K3338" s="312"/>
      <c r="N3338" s="514"/>
    </row>
    <row r="3339" spans="11:14" x14ac:dyDescent="0.25">
      <c r="K3339" s="312"/>
      <c r="N3339" s="514"/>
    </row>
    <row r="3340" spans="11:14" x14ac:dyDescent="0.25">
      <c r="K3340" s="312"/>
      <c r="N3340" s="514"/>
    </row>
    <row r="3341" spans="11:14" x14ac:dyDescent="0.25">
      <c r="K3341" s="312"/>
      <c r="N3341" s="514"/>
    </row>
    <row r="3342" spans="11:14" x14ac:dyDescent="0.25">
      <c r="K3342" s="312"/>
      <c r="N3342" s="514"/>
    </row>
    <row r="3343" spans="11:14" x14ac:dyDescent="0.25">
      <c r="K3343" s="312"/>
      <c r="N3343" s="514"/>
    </row>
    <row r="3344" spans="11:14" x14ac:dyDescent="0.25">
      <c r="K3344" s="312"/>
      <c r="N3344" s="514"/>
    </row>
    <row r="3345" spans="11:14" x14ac:dyDescent="0.25">
      <c r="K3345" s="312"/>
      <c r="N3345" s="514"/>
    </row>
    <row r="3346" spans="11:14" x14ac:dyDescent="0.25">
      <c r="K3346" s="312"/>
      <c r="N3346" s="514"/>
    </row>
    <row r="3347" spans="11:14" x14ac:dyDescent="0.25">
      <c r="K3347" s="312"/>
      <c r="N3347" s="514"/>
    </row>
    <row r="3348" spans="11:14" x14ac:dyDescent="0.25">
      <c r="K3348" s="312"/>
      <c r="N3348" s="514"/>
    </row>
    <row r="3349" spans="11:14" x14ac:dyDescent="0.25">
      <c r="K3349" s="312"/>
      <c r="N3349" s="514"/>
    </row>
    <row r="3350" spans="11:14" x14ac:dyDescent="0.25">
      <c r="K3350" s="312"/>
      <c r="N3350" s="514"/>
    </row>
    <row r="3351" spans="11:14" x14ac:dyDescent="0.25">
      <c r="K3351" s="312"/>
      <c r="N3351" s="514"/>
    </row>
    <row r="3352" spans="11:14" x14ac:dyDescent="0.25">
      <c r="K3352" s="312"/>
      <c r="N3352" s="514"/>
    </row>
    <row r="3353" spans="11:14" x14ac:dyDescent="0.25">
      <c r="K3353" s="312"/>
      <c r="N3353" s="514"/>
    </row>
    <row r="3354" spans="11:14" x14ac:dyDescent="0.25">
      <c r="K3354" s="312"/>
      <c r="N3354" s="514"/>
    </row>
    <row r="3355" spans="11:14" x14ac:dyDescent="0.25">
      <c r="K3355" s="312"/>
      <c r="N3355" s="514"/>
    </row>
    <row r="3356" spans="11:14" x14ac:dyDescent="0.25">
      <c r="K3356" s="312"/>
      <c r="N3356" s="514"/>
    </row>
    <row r="3357" spans="11:14" x14ac:dyDescent="0.25">
      <c r="K3357" s="312"/>
      <c r="N3357" s="514"/>
    </row>
    <row r="3358" spans="11:14" x14ac:dyDescent="0.25">
      <c r="K3358" s="312"/>
      <c r="N3358" s="514"/>
    </row>
    <row r="3359" spans="11:14" x14ac:dyDescent="0.25">
      <c r="K3359" s="312"/>
      <c r="N3359" s="514"/>
    </row>
    <row r="3360" spans="11:14" x14ac:dyDescent="0.25">
      <c r="K3360" s="312"/>
      <c r="N3360" s="514"/>
    </row>
    <row r="3361" spans="11:14" x14ac:dyDescent="0.25">
      <c r="K3361" s="312"/>
      <c r="N3361" s="514"/>
    </row>
    <row r="3362" spans="11:14" x14ac:dyDescent="0.25">
      <c r="K3362" s="312"/>
      <c r="N3362" s="514"/>
    </row>
    <row r="3363" spans="11:14" x14ac:dyDescent="0.25">
      <c r="K3363" s="312"/>
      <c r="N3363" s="514"/>
    </row>
    <row r="3364" spans="11:14" x14ac:dyDescent="0.25">
      <c r="K3364" s="312"/>
      <c r="N3364" s="514"/>
    </row>
    <row r="3365" spans="11:14" x14ac:dyDescent="0.25">
      <c r="K3365" s="312"/>
      <c r="N3365" s="514"/>
    </row>
    <row r="3366" spans="11:14" x14ac:dyDescent="0.25">
      <c r="K3366" s="312"/>
      <c r="N3366" s="514"/>
    </row>
    <row r="3367" spans="11:14" x14ac:dyDescent="0.25">
      <c r="K3367" s="312"/>
      <c r="N3367" s="514"/>
    </row>
    <row r="3368" spans="11:14" x14ac:dyDescent="0.25">
      <c r="K3368" s="312"/>
      <c r="N3368" s="514"/>
    </row>
    <row r="3369" spans="11:14" x14ac:dyDescent="0.25">
      <c r="K3369" s="312"/>
      <c r="N3369" s="514"/>
    </row>
    <row r="3370" spans="11:14" x14ac:dyDescent="0.25">
      <c r="K3370" s="312"/>
      <c r="N3370" s="514"/>
    </row>
    <row r="3371" spans="11:14" x14ac:dyDescent="0.25">
      <c r="K3371" s="312"/>
      <c r="N3371" s="514"/>
    </row>
    <row r="3372" spans="11:14" x14ac:dyDescent="0.25">
      <c r="K3372" s="312"/>
      <c r="N3372" s="514"/>
    </row>
    <row r="3373" spans="11:14" x14ac:dyDescent="0.25">
      <c r="K3373" s="312"/>
      <c r="N3373" s="514"/>
    </row>
    <row r="3374" spans="11:14" x14ac:dyDescent="0.25">
      <c r="K3374" s="312"/>
      <c r="N3374" s="514"/>
    </row>
    <row r="3375" spans="11:14" x14ac:dyDescent="0.25">
      <c r="K3375" s="312"/>
      <c r="N3375" s="514"/>
    </row>
    <row r="3376" spans="11:14" x14ac:dyDescent="0.25">
      <c r="K3376" s="312"/>
      <c r="N3376" s="514"/>
    </row>
    <row r="3377" spans="11:14" x14ac:dyDescent="0.25">
      <c r="K3377" s="312"/>
      <c r="N3377" s="514"/>
    </row>
    <row r="3378" spans="11:14" x14ac:dyDescent="0.25">
      <c r="K3378" s="312"/>
      <c r="N3378" s="514"/>
    </row>
    <row r="3379" spans="11:14" x14ac:dyDescent="0.25">
      <c r="K3379" s="312"/>
      <c r="N3379" s="514"/>
    </row>
    <row r="3380" spans="11:14" x14ac:dyDescent="0.25">
      <c r="K3380" s="312"/>
      <c r="N3380" s="514"/>
    </row>
    <row r="3381" spans="11:14" x14ac:dyDescent="0.25">
      <c r="K3381" s="312"/>
      <c r="N3381" s="514"/>
    </row>
    <row r="3382" spans="11:14" x14ac:dyDescent="0.25">
      <c r="K3382" s="312"/>
      <c r="N3382" s="514"/>
    </row>
    <row r="3383" spans="11:14" x14ac:dyDescent="0.25">
      <c r="K3383" s="312"/>
      <c r="N3383" s="514"/>
    </row>
    <row r="3384" spans="11:14" x14ac:dyDescent="0.25">
      <c r="K3384" s="312"/>
      <c r="N3384" s="514"/>
    </row>
    <row r="3385" spans="11:14" x14ac:dyDescent="0.25">
      <c r="K3385" s="312"/>
      <c r="N3385" s="514"/>
    </row>
    <row r="3386" spans="11:14" x14ac:dyDescent="0.25">
      <c r="K3386" s="312"/>
      <c r="N3386" s="514"/>
    </row>
    <row r="3387" spans="11:14" x14ac:dyDescent="0.25">
      <c r="K3387" s="312"/>
      <c r="N3387" s="514"/>
    </row>
    <row r="3388" spans="11:14" x14ac:dyDescent="0.25">
      <c r="K3388" s="312"/>
      <c r="N3388" s="514"/>
    </row>
    <row r="3389" spans="11:14" x14ac:dyDescent="0.25">
      <c r="K3389" s="312"/>
      <c r="N3389" s="514"/>
    </row>
    <row r="3390" spans="11:14" x14ac:dyDescent="0.25">
      <c r="K3390" s="312"/>
      <c r="N3390" s="514"/>
    </row>
    <row r="3391" spans="11:14" x14ac:dyDescent="0.25">
      <c r="K3391" s="312"/>
      <c r="N3391" s="514"/>
    </row>
    <row r="3392" spans="11:14" x14ac:dyDescent="0.25">
      <c r="K3392" s="312"/>
      <c r="N3392" s="514"/>
    </row>
    <row r="3393" spans="11:14" x14ac:dyDescent="0.25">
      <c r="K3393" s="312"/>
      <c r="N3393" s="514"/>
    </row>
    <row r="3394" spans="11:14" x14ac:dyDescent="0.25">
      <c r="K3394" s="312"/>
      <c r="N3394" s="514"/>
    </row>
    <row r="3395" spans="11:14" x14ac:dyDescent="0.25">
      <c r="K3395" s="312"/>
      <c r="N3395" s="514"/>
    </row>
    <row r="3396" spans="11:14" x14ac:dyDescent="0.25">
      <c r="K3396" s="312"/>
      <c r="N3396" s="514"/>
    </row>
    <row r="3397" spans="11:14" x14ac:dyDescent="0.25">
      <c r="K3397" s="312"/>
      <c r="N3397" s="514"/>
    </row>
    <row r="3398" spans="11:14" x14ac:dyDescent="0.25">
      <c r="K3398" s="312"/>
      <c r="N3398" s="514"/>
    </row>
    <row r="3399" spans="11:14" x14ac:dyDescent="0.25">
      <c r="K3399" s="312"/>
      <c r="N3399" s="514"/>
    </row>
    <row r="3400" spans="11:14" x14ac:dyDescent="0.25">
      <c r="K3400" s="312"/>
      <c r="N3400" s="514"/>
    </row>
    <row r="3401" spans="11:14" x14ac:dyDescent="0.25">
      <c r="K3401" s="312"/>
      <c r="N3401" s="514"/>
    </row>
    <row r="3402" spans="11:14" x14ac:dyDescent="0.25">
      <c r="K3402" s="312"/>
      <c r="N3402" s="514"/>
    </row>
    <row r="3403" spans="11:14" x14ac:dyDescent="0.25">
      <c r="K3403" s="312"/>
      <c r="N3403" s="514"/>
    </row>
    <row r="3404" spans="11:14" x14ac:dyDescent="0.25">
      <c r="K3404" s="312"/>
      <c r="N3404" s="514"/>
    </row>
    <row r="3405" spans="11:14" x14ac:dyDescent="0.25">
      <c r="K3405" s="312"/>
      <c r="N3405" s="514"/>
    </row>
    <row r="3406" spans="11:14" x14ac:dyDescent="0.25">
      <c r="K3406" s="312"/>
      <c r="N3406" s="514"/>
    </row>
    <row r="3407" spans="11:14" x14ac:dyDescent="0.25">
      <c r="K3407" s="312"/>
      <c r="N3407" s="514"/>
    </row>
    <row r="3408" spans="11:14" x14ac:dyDescent="0.25">
      <c r="K3408" s="312"/>
      <c r="N3408" s="514"/>
    </row>
    <row r="3409" spans="11:14" x14ac:dyDescent="0.25">
      <c r="K3409" s="312"/>
      <c r="N3409" s="514"/>
    </row>
    <row r="3410" spans="11:14" x14ac:dyDescent="0.25">
      <c r="K3410" s="312"/>
      <c r="N3410" s="514"/>
    </row>
    <row r="3411" spans="11:14" x14ac:dyDescent="0.25">
      <c r="K3411" s="312"/>
      <c r="N3411" s="514"/>
    </row>
    <row r="3412" spans="11:14" x14ac:dyDescent="0.25">
      <c r="K3412" s="312"/>
      <c r="N3412" s="514"/>
    </row>
    <row r="3413" spans="11:14" x14ac:dyDescent="0.25">
      <c r="K3413" s="312"/>
      <c r="N3413" s="514"/>
    </row>
    <row r="3414" spans="11:14" x14ac:dyDescent="0.25">
      <c r="K3414" s="312"/>
      <c r="N3414" s="514"/>
    </row>
    <row r="3415" spans="11:14" x14ac:dyDescent="0.25">
      <c r="K3415" s="312"/>
      <c r="N3415" s="514"/>
    </row>
    <row r="3416" spans="11:14" x14ac:dyDescent="0.25">
      <c r="K3416" s="312"/>
      <c r="N3416" s="514"/>
    </row>
    <row r="3417" spans="11:14" x14ac:dyDescent="0.25">
      <c r="K3417" s="312"/>
      <c r="N3417" s="514"/>
    </row>
    <row r="3418" spans="11:14" x14ac:dyDescent="0.25">
      <c r="K3418" s="312"/>
      <c r="N3418" s="514"/>
    </row>
    <row r="3419" spans="11:14" x14ac:dyDescent="0.25">
      <c r="K3419" s="312"/>
      <c r="N3419" s="514"/>
    </row>
    <row r="3420" spans="11:14" x14ac:dyDescent="0.25">
      <c r="K3420" s="312"/>
      <c r="N3420" s="514"/>
    </row>
    <row r="3421" spans="11:14" x14ac:dyDescent="0.25">
      <c r="K3421" s="312"/>
      <c r="N3421" s="514"/>
    </row>
    <row r="3422" spans="11:14" x14ac:dyDescent="0.25">
      <c r="K3422" s="312"/>
      <c r="N3422" s="514"/>
    </row>
    <row r="3423" spans="11:14" x14ac:dyDescent="0.25">
      <c r="K3423" s="312"/>
      <c r="N3423" s="514"/>
    </row>
    <row r="3424" spans="11:14" x14ac:dyDescent="0.25">
      <c r="K3424" s="312"/>
      <c r="N3424" s="514"/>
    </row>
    <row r="3425" spans="11:14" x14ac:dyDescent="0.25">
      <c r="K3425" s="312"/>
      <c r="N3425" s="514"/>
    </row>
    <row r="3426" spans="11:14" x14ac:dyDescent="0.25">
      <c r="K3426" s="312"/>
      <c r="N3426" s="514"/>
    </row>
    <row r="3427" spans="11:14" x14ac:dyDescent="0.25">
      <c r="K3427" s="312"/>
      <c r="N3427" s="514"/>
    </row>
    <row r="3428" spans="11:14" x14ac:dyDescent="0.25">
      <c r="K3428" s="312"/>
      <c r="N3428" s="514"/>
    </row>
    <row r="3429" spans="11:14" x14ac:dyDescent="0.25">
      <c r="K3429" s="312"/>
      <c r="N3429" s="514"/>
    </row>
    <row r="3430" spans="11:14" x14ac:dyDescent="0.25">
      <c r="K3430" s="312"/>
      <c r="N3430" s="514"/>
    </row>
    <row r="3431" spans="11:14" x14ac:dyDescent="0.25">
      <c r="K3431" s="312"/>
      <c r="N3431" s="514"/>
    </row>
    <row r="3432" spans="11:14" x14ac:dyDescent="0.25">
      <c r="K3432" s="312"/>
      <c r="N3432" s="514"/>
    </row>
    <row r="3433" spans="11:14" x14ac:dyDescent="0.25">
      <c r="K3433" s="312"/>
      <c r="N3433" s="514"/>
    </row>
    <row r="3434" spans="11:14" x14ac:dyDescent="0.25">
      <c r="K3434" s="312"/>
      <c r="N3434" s="514"/>
    </row>
    <row r="3435" spans="11:14" x14ac:dyDescent="0.25">
      <c r="K3435" s="312"/>
      <c r="N3435" s="514"/>
    </row>
    <row r="3436" spans="11:14" x14ac:dyDescent="0.25">
      <c r="K3436" s="312"/>
      <c r="N3436" s="514"/>
    </row>
    <row r="3437" spans="11:14" x14ac:dyDescent="0.25">
      <c r="K3437" s="312"/>
      <c r="N3437" s="514"/>
    </row>
    <row r="3438" spans="11:14" x14ac:dyDescent="0.25">
      <c r="K3438" s="312"/>
      <c r="N3438" s="514"/>
    </row>
    <row r="3439" spans="11:14" x14ac:dyDescent="0.25">
      <c r="K3439" s="312"/>
      <c r="N3439" s="514"/>
    </row>
    <row r="3440" spans="11:14" x14ac:dyDescent="0.25">
      <c r="K3440" s="312"/>
      <c r="N3440" s="514"/>
    </row>
    <row r="3441" spans="11:14" x14ac:dyDescent="0.25">
      <c r="K3441" s="312"/>
      <c r="N3441" s="514"/>
    </row>
    <row r="3442" spans="11:14" x14ac:dyDescent="0.25">
      <c r="K3442" s="312"/>
      <c r="N3442" s="514"/>
    </row>
    <row r="3443" spans="11:14" x14ac:dyDescent="0.25">
      <c r="K3443" s="312"/>
      <c r="N3443" s="514"/>
    </row>
    <row r="3444" spans="11:14" x14ac:dyDescent="0.25">
      <c r="K3444" s="312"/>
      <c r="N3444" s="514"/>
    </row>
    <row r="3445" spans="11:14" x14ac:dyDescent="0.25">
      <c r="K3445" s="312"/>
      <c r="N3445" s="514"/>
    </row>
    <row r="3446" spans="11:14" x14ac:dyDescent="0.25">
      <c r="K3446" s="312"/>
      <c r="N3446" s="514"/>
    </row>
    <row r="3447" spans="11:14" x14ac:dyDescent="0.25">
      <c r="K3447" s="312"/>
      <c r="N3447" s="514"/>
    </row>
    <row r="3448" spans="11:14" x14ac:dyDescent="0.25">
      <c r="K3448" s="312"/>
      <c r="N3448" s="514"/>
    </row>
    <row r="3449" spans="11:14" x14ac:dyDescent="0.25">
      <c r="K3449" s="312"/>
      <c r="N3449" s="514"/>
    </row>
    <row r="3450" spans="11:14" x14ac:dyDescent="0.25">
      <c r="K3450" s="312"/>
      <c r="N3450" s="514"/>
    </row>
    <row r="3451" spans="11:14" x14ac:dyDescent="0.25">
      <c r="K3451" s="312"/>
      <c r="N3451" s="514"/>
    </row>
    <row r="3452" spans="11:14" x14ac:dyDescent="0.25">
      <c r="K3452" s="312"/>
      <c r="N3452" s="514"/>
    </row>
    <row r="3453" spans="11:14" x14ac:dyDescent="0.25">
      <c r="K3453" s="312"/>
      <c r="N3453" s="514"/>
    </row>
    <row r="3454" spans="11:14" x14ac:dyDescent="0.25">
      <c r="K3454" s="312"/>
      <c r="N3454" s="514"/>
    </row>
    <row r="3455" spans="11:14" x14ac:dyDescent="0.25">
      <c r="K3455" s="312"/>
      <c r="N3455" s="514"/>
    </row>
    <row r="3456" spans="11:14" x14ac:dyDescent="0.25">
      <c r="K3456" s="312"/>
      <c r="N3456" s="514"/>
    </row>
    <row r="3457" spans="11:14" x14ac:dyDescent="0.25">
      <c r="K3457" s="312"/>
      <c r="N3457" s="514"/>
    </row>
    <row r="3458" spans="11:14" x14ac:dyDescent="0.25">
      <c r="K3458" s="312"/>
      <c r="N3458" s="514"/>
    </row>
    <row r="3459" spans="11:14" x14ac:dyDescent="0.25">
      <c r="K3459" s="312"/>
      <c r="N3459" s="514"/>
    </row>
    <row r="3460" spans="11:14" x14ac:dyDescent="0.25">
      <c r="K3460" s="312"/>
      <c r="N3460" s="514"/>
    </row>
    <row r="3461" spans="11:14" x14ac:dyDescent="0.25">
      <c r="K3461" s="312"/>
      <c r="N3461" s="514"/>
    </row>
    <row r="3462" spans="11:14" x14ac:dyDescent="0.25">
      <c r="K3462" s="312"/>
      <c r="N3462" s="514"/>
    </row>
    <row r="3463" spans="11:14" x14ac:dyDescent="0.25">
      <c r="K3463" s="312"/>
      <c r="N3463" s="514"/>
    </row>
    <row r="3464" spans="11:14" x14ac:dyDescent="0.25">
      <c r="K3464" s="312"/>
      <c r="N3464" s="514"/>
    </row>
    <row r="3465" spans="11:14" x14ac:dyDescent="0.25">
      <c r="K3465" s="312"/>
      <c r="N3465" s="514"/>
    </row>
    <row r="3466" spans="11:14" x14ac:dyDescent="0.25">
      <c r="K3466" s="312"/>
      <c r="N3466" s="514"/>
    </row>
    <row r="3467" spans="11:14" x14ac:dyDescent="0.25">
      <c r="K3467" s="312"/>
      <c r="N3467" s="514"/>
    </row>
    <row r="3468" spans="11:14" x14ac:dyDescent="0.25">
      <c r="K3468" s="312"/>
      <c r="N3468" s="514"/>
    </row>
    <row r="3469" spans="11:14" x14ac:dyDescent="0.25">
      <c r="K3469" s="312"/>
      <c r="N3469" s="514"/>
    </row>
    <row r="3470" spans="11:14" x14ac:dyDescent="0.25">
      <c r="K3470" s="312"/>
      <c r="N3470" s="514"/>
    </row>
    <row r="3471" spans="11:14" x14ac:dyDescent="0.25">
      <c r="K3471" s="312"/>
      <c r="N3471" s="514"/>
    </row>
    <row r="3472" spans="11:14" x14ac:dyDescent="0.25">
      <c r="K3472" s="312"/>
      <c r="N3472" s="514"/>
    </row>
    <row r="3473" spans="11:14" x14ac:dyDescent="0.25">
      <c r="K3473" s="312"/>
      <c r="N3473" s="514"/>
    </row>
    <row r="3474" spans="11:14" x14ac:dyDescent="0.25">
      <c r="K3474" s="312"/>
      <c r="N3474" s="514"/>
    </row>
    <row r="3475" spans="11:14" x14ac:dyDescent="0.25">
      <c r="K3475" s="312"/>
      <c r="N3475" s="514"/>
    </row>
    <row r="3476" spans="11:14" x14ac:dyDescent="0.25">
      <c r="K3476" s="312"/>
      <c r="N3476" s="514"/>
    </row>
    <row r="3477" spans="11:14" x14ac:dyDescent="0.25">
      <c r="K3477" s="312"/>
      <c r="N3477" s="514"/>
    </row>
    <row r="3478" spans="11:14" x14ac:dyDescent="0.25">
      <c r="K3478" s="312"/>
      <c r="N3478" s="514"/>
    </row>
    <row r="3479" spans="11:14" x14ac:dyDescent="0.25">
      <c r="K3479" s="312"/>
      <c r="N3479" s="514"/>
    </row>
    <row r="3480" spans="11:14" x14ac:dyDescent="0.25">
      <c r="K3480" s="312"/>
      <c r="N3480" s="514"/>
    </row>
    <row r="3481" spans="11:14" x14ac:dyDescent="0.25">
      <c r="K3481" s="312"/>
      <c r="N3481" s="514"/>
    </row>
    <row r="3482" spans="11:14" x14ac:dyDescent="0.25">
      <c r="K3482" s="312"/>
      <c r="N3482" s="514"/>
    </row>
    <row r="3483" spans="11:14" x14ac:dyDescent="0.25">
      <c r="K3483" s="312"/>
      <c r="N3483" s="514"/>
    </row>
    <row r="3484" spans="11:14" x14ac:dyDescent="0.25">
      <c r="K3484" s="312"/>
      <c r="N3484" s="514"/>
    </row>
    <row r="3485" spans="11:14" x14ac:dyDescent="0.25">
      <c r="K3485" s="312"/>
      <c r="N3485" s="514"/>
    </row>
    <row r="3486" spans="11:14" x14ac:dyDescent="0.25">
      <c r="K3486" s="312"/>
      <c r="N3486" s="514"/>
    </row>
    <row r="3487" spans="11:14" x14ac:dyDescent="0.25">
      <c r="K3487" s="312"/>
      <c r="N3487" s="514"/>
    </row>
    <row r="3488" spans="11:14" x14ac:dyDescent="0.25">
      <c r="K3488" s="312"/>
      <c r="N3488" s="514"/>
    </row>
    <row r="3489" spans="11:14" x14ac:dyDescent="0.25">
      <c r="K3489" s="312"/>
      <c r="N3489" s="514"/>
    </row>
    <row r="3490" spans="11:14" x14ac:dyDescent="0.25">
      <c r="K3490" s="312"/>
      <c r="N3490" s="514"/>
    </row>
    <row r="3491" spans="11:14" x14ac:dyDescent="0.25">
      <c r="K3491" s="312"/>
      <c r="N3491" s="514"/>
    </row>
    <row r="3492" spans="11:14" x14ac:dyDescent="0.25">
      <c r="K3492" s="312"/>
      <c r="N3492" s="514"/>
    </row>
    <row r="3493" spans="11:14" x14ac:dyDescent="0.25">
      <c r="K3493" s="312"/>
      <c r="N3493" s="514"/>
    </row>
    <row r="3494" spans="11:14" x14ac:dyDescent="0.25">
      <c r="K3494" s="312"/>
      <c r="N3494" s="514"/>
    </row>
    <row r="3495" spans="11:14" x14ac:dyDescent="0.25">
      <c r="K3495" s="312"/>
      <c r="N3495" s="514"/>
    </row>
    <row r="3496" spans="11:14" x14ac:dyDescent="0.25">
      <c r="K3496" s="312"/>
      <c r="N3496" s="514"/>
    </row>
    <row r="3497" spans="11:14" x14ac:dyDescent="0.25">
      <c r="K3497" s="312"/>
      <c r="N3497" s="514"/>
    </row>
    <row r="3498" spans="11:14" x14ac:dyDescent="0.25">
      <c r="K3498" s="312"/>
      <c r="N3498" s="514"/>
    </row>
    <row r="3499" spans="11:14" x14ac:dyDescent="0.25">
      <c r="K3499" s="312"/>
      <c r="N3499" s="514"/>
    </row>
    <row r="3500" spans="11:14" x14ac:dyDescent="0.25">
      <c r="K3500" s="312"/>
      <c r="N3500" s="514"/>
    </row>
    <row r="3501" spans="11:14" x14ac:dyDescent="0.25">
      <c r="K3501" s="312"/>
      <c r="N3501" s="514"/>
    </row>
    <row r="3502" spans="11:14" x14ac:dyDescent="0.25">
      <c r="K3502" s="312"/>
      <c r="N3502" s="514"/>
    </row>
    <row r="3503" spans="11:14" x14ac:dyDescent="0.25">
      <c r="K3503" s="312"/>
      <c r="N3503" s="514"/>
    </row>
    <row r="3504" spans="11:14" x14ac:dyDescent="0.25">
      <c r="K3504" s="312"/>
      <c r="N3504" s="514"/>
    </row>
    <row r="3505" spans="11:14" x14ac:dyDescent="0.25">
      <c r="K3505" s="312"/>
      <c r="N3505" s="514"/>
    </row>
    <row r="3506" spans="11:14" x14ac:dyDescent="0.25">
      <c r="K3506" s="312"/>
      <c r="N3506" s="514"/>
    </row>
    <row r="3507" spans="11:14" x14ac:dyDescent="0.25">
      <c r="K3507" s="312"/>
      <c r="N3507" s="514"/>
    </row>
    <row r="3508" spans="11:14" x14ac:dyDescent="0.25">
      <c r="K3508" s="312"/>
      <c r="N3508" s="514"/>
    </row>
    <row r="3509" spans="11:14" x14ac:dyDescent="0.25">
      <c r="K3509" s="312"/>
      <c r="N3509" s="514"/>
    </row>
    <row r="3510" spans="11:14" x14ac:dyDescent="0.25">
      <c r="K3510" s="312"/>
      <c r="N3510" s="514"/>
    </row>
    <row r="3511" spans="11:14" x14ac:dyDescent="0.25">
      <c r="K3511" s="312"/>
      <c r="N3511" s="514"/>
    </row>
    <row r="3512" spans="11:14" x14ac:dyDescent="0.25">
      <c r="K3512" s="312"/>
      <c r="N3512" s="514"/>
    </row>
    <row r="3513" spans="11:14" x14ac:dyDescent="0.25">
      <c r="K3513" s="312"/>
      <c r="N3513" s="514"/>
    </row>
    <row r="3514" spans="11:14" x14ac:dyDescent="0.25">
      <c r="K3514" s="312"/>
      <c r="N3514" s="514"/>
    </row>
    <row r="3515" spans="11:14" x14ac:dyDescent="0.25">
      <c r="K3515" s="312"/>
      <c r="N3515" s="514"/>
    </row>
    <row r="3516" spans="11:14" x14ac:dyDescent="0.25">
      <c r="K3516" s="312"/>
      <c r="N3516" s="514"/>
    </row>
    <row r="3517" spans="11:14" x14ac:dyDescent="0.25">
      <c r="K3517" s="312"/>
      <c r="N3517" s="514"/>
    </row>
    <row r="3518" spans="11:14" x14ac:dyDescent="0.25">
      <c r="K3518" s="312"/>
      <c r="N3518" s="514"/>
    </row>
    <row r="3519" spans="11:14" x14ac:dyDescent="0.25">
      <c r="K3519" s="312"/>
      <c r="N3519" s="514"/>
    </row>
    <row r="3520" spans="11:14" x14ac:dyDescent="0.25">
      <c r="K3520" s="312"/>
      <c r="N3520" s="514"/>
    </row>
    <row r="3521" spans="11:14" x14ac:dyDescent="0.25">
      <c r="K3521" s="312"/>
      <c r="N3521" s="514"/>
    </row>
    <row r="3522" spans="11:14" x14ac:dyDescent="0.25">
      <c r="K3522" s="312"/>
      <c r="N3522" s="514"/>
    </row>
    <row r="3523" spans="11:14" x14ac:dyDescent="0.25">
      <c r="K3523" s="312"/>
      <c r="N3523" s="514"/>
    </row>
    <row r="3524" spans="11:14" x14ac:dyDescent="0.25">
      <c r="K3524" s="312"/>
      <c r="N3524" s="514"/>
    </row>
    <row r="3525" spans="11:14" x14ac:dyDescent="0.25">
      <c r="K3525" s="312"/>
      <c r="N3525" s="514"/>
    </row>
    <row r="3526" spans="11:14" x14ac:dyDescent="0.25">
      <c r="K3526" s="312"/>
      <c r="N3526" s="514"/>
    </row>
    <row r="3527" spans="11:14" x14ac:dyDescent="0.25">
      <c r="K3527" s="312"/>
      <c r="N3527" s="514"/>
    </row>
    <row r="3528" spans="11:14" x14ac:dyDescent="0.25">
      <c r="K3528" s="312"/>
      <c r="N3528" s="514"/>
    </row>
    <row r="3529" spans="11:14" x14ac:dyDescent="0.25">
      <c r="K3529" s="312"/>
      <c r="N3529" s="514"/>
    </row>
    <row r="3530" spans="11:14" x14ac:dyDescent="0.25">
      <c r="K3530" s="312"/>
      <c r="N3530" s="514"/>
    </row>
    <row r="3531" spans="11:14" x14ac:dyDescent="0.25">
      <c r="K3531" s="312"/>
      <c r="N3531" s="514"/>
    </row>
    <row r="3532" spans="11:14" x14ac:dyDescent="0.25">
      <c r="K3532" s="312"/>
      <c r="N3532" s="514"/>
    </row>
    <row r="3533" spans="11:14" x14ac:dyDescent="0.25">
      <c r="K3533" s="312"/>
      <c r="N3533" s="514"/>
    </row>
    <row r="3534" spans="11:14" x14ac:dyDescent="0.25">
      <c r="K3534" s="312"/>
      <c r="N3534" s="514"/>
    </row>
    <row r="3535" spans="11:14" x14ac:dyDescent="0.25">
      <c r="K3535" s="312"/>
      <c r="N3535" s="514"/>
    </row>
    <row r="3536" spans="11:14" x14ac:dyDescent="0.25">
      <c r="K3536" s="312"/>
      <c r="N3536" s="514"/>
    </row>
    <row r="3537" spans="11:14" x14ac:dyDescent="0.25">
      <c r="K3537" s="312"/>
      <c r="N3537" s="514"/>
    </row>
    <row r="3538" spans="11:14" x14ac:dyDescent="0.25">
      <c r="K3538" s="312"/>
      <c r="N3538" s="514"/>
    </row>
    <row r="3539" spans="11:14" x14ac:dyDescent="0.25">
      <c r="K3539" s="312"/>
      <c r="N3539" s="514"/>
    </row>
    <row r="3540" spans="11:14" x14ac:dyDescent="0.25">
      <c r="K3540" s="312"/>
      <c r="N3540" s="514"/>
    </row>
    <row r="3541" spans="11:14" x14ac:dyDescent="0.25">
      <c r="K3541" s="312"/>
      <c r="N3541" s="514"/>
    </row>
    <row r="3542" spans="11:14" x14ac:dyDescent="0.25">
      <c r="K3542" s="312"/>
      <c r="N3542" s="514"/>
    </row>
    <row r="3543" spans="11:14" x14ac:dyDescent="0.25">
      <c r="K3543" s="312"/>
      <c r="N3543" s="514"/>
    </row>
    <row r="3544" spans="11:14" x14ac:dyDescent="0.25">
      <c r="K3544" s="312"/>
      <c r="N3544" s="514"/>
    </row>
    <row r="3545" spans="11:14" x14ac:dyDescent="0.25">
      <c r="K3545" s="312"/>
      <c r="N3545" s="514"/>
    </row>
    <row r="3546" spans="11:14" x14ac:dyDescent="0.25">
      <c r="K3546" s="312"/>
      <c r="N3546" s="514"/>
    </row>
    <row r="3547" spans="11:14" x14ac:dyDescent="0.25">
      <c r="K3547" s="312"/>
      <c r="N3547" s="514"/>
    </row>
    <row r="3548" spans="11:14" x14ac:dyDescent="0.25">
      <c r="K3548" s="312"/>
      <c r="N3548" s="514"/>
    </row>
    <row r="3549" spans="11:14" x14ac:dyDescent="0.25">
      <c r="K3549" s="312"/>
      <c r="N3549" s="514"/>
    </row>
    <row r="3550" spans="11:14" x14ac:dyDescent="0.25">
      <c r="K3550" s="312"/>
      <c r="N3550" s="514"/>
    </row>
    <row r="3551" spans="11:14" x14ac:dyDescent="0.25">
      <c r="K3551" s="312"/>
      <c r="N3551" s="514"/>
    </row>
    <row r="3552" spans="11:14" x14ac:dyDescent="0.25">
      <c r="K3552" s="312"/>
      <c r="N3552" s="514"/>
    </row>
    <row r="3553" spans="11:14" x14ac:dyDescent="0.25">
      <c r="K3553" s="312"/>
      <c r="N3553" s="514"/>
    </row>
    <row r="3554" spans="11:14" x14ac:dyDescent="0.25">
      <c r="K3554" s="312"/>
      <c r="N3554" s="514"/>
    </row>
    <row r="3555" spans="11:14" x14ac:dyDescent="0.25">
      <c r="K3555" s="312"/>
      <c r="N3555" s="514"/>
    </row>
    <row r="3556" spans="11:14" x14ac:dyDescent="0.25">
      <c r="K3556" s="312"/>
      <c r="N3556" s="514"/>
    </row>
    <row r="3557" spans="11:14" x14ac:dyDescent="0.25">
      <c r="K3557" s="312"/>
      <c r="N3557" s="514"/>
    </row>
    <row r="3558" spans="11:14" x14ac:dyDescent="0.25">
      <c r="K3558" s="312"/>
      <c r="N3558" s="514"/>
    </row>
    <row r="3559" spans="11:14" x14ac:dyDescent="0.25">
      <c r="K3559" s="312"/>
      <c r="N3559" s="514"/>
    </row>
    <row r="3560" spans="11:14" x14ac:dyDescent="0.25">
      <c r="K3560" s="312"/>
      <c r="N3560" s="514"/>
    </row>
    <row r="3561" spans="11:14" x14ac:dyDescent="0.25">
      <c r="K3561" s="312"/>
      <c r="N3561" s="514"/>
    </row>
    <row r="3562" spans="11:14" x14ac:dyDescent="0.25">
      <c r="K3562" s="312"/>
      <c r="N3562" s="514"/>
    </row>
    <row r="3563" spans="11:14" x14ac:dyDescent="0.25">
      <c r="K3563" s="312"/>
      <c r="N3563" s="514"/>
    </row>
    <row r="3564" spans="11:14" x14ac:dyDescent="0.25">
      <c r="K3564" s="312"/>
      <c r="N3564" s="514"/>
    </row>
    <row r="3565" spans="11:14" x14ac:dyDescent="0.25">
      <c r="K3565" s="312"/>
      <c r="N3565" s="514"/>
    </row>
    <row r="3566" spans="11:14" x14ac:dyDescent="0.25">
      <c r="K3566" s="312"/>
      <c r="N3566" s="514"/>
    </row>
    <row r="3567" spans="11:14" x14ac:dyDescent="0.25">
      <c r="K3567" s="312"/>
      <c r="N3567" s="514"/>
    </row>
    <row r="3568" spans="11:14" x14ac:dyDescent="0.25">
      <c r="K3568" s="312"/>
      <c r="N3568" s="514"/>
    </row>
    <row r="3569" spans="11:14" x14ac:dyDescent="0.25">
      <c r="K3569" s="312"/>
      <c r="N3569" s="514"/>
    </row>
    <row r="3570" spans="11:14" x14ac:dyDescent="0.25">
      <c r="K3570" s="312"/>
      <c r="N3570" s="514"/>
    </row>
    <row r="3571" spans="11:14" x14ac:dyDescent="0.25">
      <c r="K3571" s="312"/>
      <c r="N3571" s="514"/>
    </row>
    <row r="3572" spans="11:14" x14ac:dyDescent="0.25">
      <c r="K3572" s="312"/>
      <c r="N3572" s="514"/>
    </row>
    <row r="3573" spans="11:14" x14ac:dyDescent="0.25">
      <c r="K3573" s="312"/>
      <c r="N3573" s="514"/>
    </row>
    <row r="3574" spans="11:14" x14ac:dyDescent="0.25">
      <c r="K3574" s="312"/>
      <c r="N3574" s="514"/>
    </row>
    <row r="3575" spans="11:14" x14ac:dyDescent="0.25">
      <c r="K3575" s="312"/>
      <c r="N3575" s="514"/>
    </row>
    <row r="3576" spans="11:14" x14ac:dyDescent="0.25">
      <c r="K3576" s="312"/>
      <c r="N3576" s="514"/>
    </row>
    <row r="3577" spans="11:14" x14ac:dyDescent="0.25">
      <c r="K3577" s="312"/>
      <c r="N3577" s="514"/>
    </row>
    <row r="3578" spans="11:14" x14ac:dyDescent="0.25">
      <c r="K3578" s="312"/>
      <c r="N3578" s="514"/>
    </row>
    <row r="3579" spans="11:14" x14ac:dyDescent="0.25">
      <c r="K3579" s="312"/>
      <c r="N3579" s="514"/>
    </row>
    <row r="3580" spans="11:14" x14ac:dyDescent="0.25">
      <c r="K3580" s="312"/>
      <c r="N3580" s="514"/>
    </row>
    <row r="3581" spans="11:14" x14ac:dyDescent="0.25">
      <c r="K3581" s="312"/>
      <c r="N3581" s="514"/>
    </row>
    <row r="3582" spans="11:14" x14ac:dyDescent="0.25">
      <c r="K3582" s="312"/>
      <c r="N3582" s="514"/>
    </row>
    <row r="3583" spans="11:14" x14ac:dyDescent="0.25">
      <c r="K3583" s="312"/>
      <c r="N3583" s="514"/>
    </row>
    <row r="3584" spans="11:14" x14ac:dyDescent="0.25">
      <c r="K3584" s="312"/>
      <c r="N3584" s="514"/>
    </row>
    <row r="3585" spans="11:14" x14ac:dyDescent="0.25">
      <c r="K3585" s="312"/>
      <c r="N3585" s="514"/>
    </row>
    <row r="3586" spans="11:14" x14ac:dyDescent="0.25">
      <c r="K3586" s="312"/>
      <c r="N3586" s="514"/>
    </row>
    <row r="3587" spans="11:14" x14ac:dyDescent="0.25">
      <c r="K3587" s="312"/>
      <c r="N3587" s="514"/>
    </row>
    <row r="3588" spans="11:14" x14ac:dyDescent="0.25">
      <c r="K3588" s="312"/>
      <c r="N3588" s="514"/>
    </row>
    <row r="3589" spans="11:14" x14ac:dyDescent="0.25">
      <c r="K3589" s="312"/>
      <c r="N3589" s="514"/>
    </row>
    <row r="3590" spans="11:14" x14ac:dyDescent="0.25">
      <c r="K3590" s="312"/>
      <c r="N3590" s="514"/>
    </row>
    <row r="3591" spans="11:14" x14ac:dyDescent="0.25">
      <c r="K3591" s="312"/>
      <c r="N3591" s="514"/>
    </row>
    <row r="3592" spans="11:14" x14ac:dyDescent="0.25">
      <c r="K3592" s="312"/>
      <c r="N3592" s="514"/>
    </row>
    <row r="3593" spans="11:14" x14ac:dyDescent="0.25">
      <c r="K3593" s="312"/>
      <c r="N3593" s="514"/>
    </row>
    <row r="3594" spans="11:14" x14ac:dyDescent="0.25">
      <c r="K3594" s="312"/>
      <c r="N3594" s="514"/>
    </row>
    <row r="3595" spans="11:14" x14ac:dyDescent="0.25">
      <c r="K3595" s="312"/>
      <c r="N3595" s="514"/>
    </row>
    <row r="3596" spans="11:14" x14ac:dyDescent="0.25">
      <c r="K3596" s="312"/>
      <c r="N3596" s="514"/>
    </row>
    <row r="3597" spans="11:14" x14ac:dyDescent="0.25">
      <c r="K3597" s="312"/>
      <c r="N3597" s="514"/>
    </row>
    <row r="3598" spans="11:14" x14ac:dyDescent="0.25">
      <c r="K3598" s="312"/>
      <c r="N3598" s="514"/>
    </row>
    <row r="3599" spans="11:14" x14ac:dyDescent="0.25">
      <c r="K3599" s="312"/>
      <c r="N3599" s="514"/>
    </row>
    <row r="3600" spans="11:14" x14ac:dyDescent="0.25">
      <c r="K3600" s="312"/>
      <c r="N3600" s="514"/>
    </row>
    <row r="3601" spans="11:14" x14ac:dyDescent="0.25">
      <c r="K3601" s="312"/>
      <c r="N3601" s="514"/>
    </row>
    <row r="3602" spans="11:14" x14ac:dyDescent="0.25">
      <c r="K3602" s="312"/>
      <c r="N3602" s="514"/>
    </row>
    <row r="3603" spans="11:14" x14ac:dyDescent="0.25">
      <c r="K3603" s="312"/>
      <c r="N3603" s="514"/>
    </row>
    <row r="3604" spans="11:14" x14ac:dyDescent="0.25">
      <c r="K3604" s="312"/>
      <c r="N3604" s="514"/>
    </row>
    <row r="3605" spans="11:14" x14ac:dyDescent="0.25">
      <c r="K3605" s="312"/>
      <c r="N3605" s="514"/>
    </row>
    <row r="3606" spans="11:14" x14ac:dyDescent="0.25">
      <c r="K3606" s="312"/>
      <c r="N3606" s="514"/>
    </row>
    <row r="3607" spans="11:14" x14ac:dyDescent="0.25">
      <c r="K3607" s="312"/>
      <c r="N3607" s="514"/>
    </row>
    <row r="3608" spans="11:14" x14ac:dyDescent="0.25">
      <c r="K3608" s="312"/>
      <c r="N3608" s="514"/>
    </row>
    <row r="3609" spans="11:14" x14ac:dyDescent="0.25">
      <c r="K3609" s="312"/>
      <c r="N3609" s="514"/>
    </row>
    <row r="3610" spans="11:14" x14ac:dyDescent="0.25">
      <c r="K3610" s="312"/>
      <c r="N3610" s="514"/>
    </row>
    <row r="3611" spans="11:14" x14ac:dyDescent="0.25">
      <c r="K3611" s="312"/>
      <c r="N3611" s="514"/>
    </row>
    <row r="3612" spans="11:14" x14ac:dyDescent="0.25">
      <c r="K3612" s="312"/>
      <c r="N3612" s="514"/>
    </row>
    <row r="3613" spans="11:14" x14ac:dyDescent="0.25">
      <c r="K3613" s="312"/>
      <c r="N3613" s="514"/>
    </row>
    <row r="3614" spans="11:14" x14ac:dyDescent="0.25">
      <c r="K3614" s="312"/>
      <c r="N3614" s="514"/>
    </row>
    <row r="3615" spans="11:14" x14ac:dyDescent="0.25">
      <c r="K3615" s="312"/>
      <c r="N3615" s="514"/>
    </row>
    <row r="3616" spans="11:14" x14ac:dyDescent="0.25">
      <c r="K3616" s="312"/>
      <c r="N3616" s="514"/>
    </row>
    <row r="3617" spans="11:14" x14ac:dyDescent="0.25">
      <c r="K3617" s="312"/>
      <c r="N3617" s="514"/>
    </row>
    <row r="3618" spans="11:14" x14ac:dyDescent="0.25">
      <c r="K3618" s="312"/>
      <c r="N3618" s="514"/>
    </row>
    <row r="3619" spans="11:14" x14ac:dyDescent="0.25">
      <c r="K3619" s="312"/>
      <c r="N3619" s="514"/>
    </row>
    <row r="3620" spans="11:14" x14ac:dyDescent="0.25">
      <c r="K3620" s="312"/>
      <c r="N3620" s="514"/>
    </row>
    <row r="3621" spans="11:14" x14ac:dyDescent="0.25">
      <c r="K3621" s="312"/>
      <c r="N3621" s="514"/>
    </row>
    <row r="3622" spans="11:14" x14ac:dyDescent="0.25">
      <c r="K3622" s="312"/>
      <c r="N3622" s="514"/>
    </row>
    <row r="3623" spans="11:14" x14ac:dyDescent="0.25">
      <c r="K3623" s="312"/>
      <c r="N3623" s="514"/>
    </row>
    <row r="3624" spans="11:14" x14ac:dyDescent="0.25">
      <c r="K3624" s="312"/>
      <c r="N3624" s="514"/>
    </row>
    <row r="3625" spans="11:14" x14ac:dyDescent="0.25">
      <c r="K3625" s="312"/>
      <c r="N3625" s="514"/>
    </row>
    <row r="3626" spans="11:14" x14ac:dyDescent="0.25">
      <c r="K3626" s="312"/>
      <c r="N3626" s="514"/>
    </row>
    <row r="3627" spans="11:14" x14ac:dyDescent="0.25">
      <c r="K3627" s="312"/>
      <c r="N3627" s="514"/>
    </row>
    <row r="3628" spans="11:14" x14ac:dyDescent="0.25">
      <c r="K3628" s="312"/>
      <c r="N3628" s="514"/>
    </row>
    <row r="3629" spans="11:14" x14ac:dyDescent="0.25">
      <c r="K3629" s="312"/>
      <c r="N3629" s="514"/>
    </row>
    <row r="3630" spans="11:14" x14ac:dyDescent="0.25">
      <c r="K3630" s="312"/>
      <c r="N3630" s="514"/>
    </row>
    <row r="3631" spans="11:14" x14ac:dyDescent="0.25">
      <c r="K3631" s="312"/>
      <c r="N3631" s="514"/>
    </row>
    <row r="3632" spans="11:14" x14ac:dyDescent="0.25">
      <c r="K3632" s="312"/>
      <c r="N3632" s="514"/>
    </row>
    <row r="3633" spans="11:14" x14ac:dyDescent="0.25">
      <c r="K3633" s="312"/>
      <c r="N3633" s="514"/>
    </row>
    <row r="3634" spans="11:14" x14ac:dyDescent="0.25">
      <c r="K3634" s="312"/>
      <c r="N3634" s="514"/>
    </row>
    <row r="3635" spans="11:14" x14ac:dyDescent="0.25">
      <c r="K3635" s="312"/>
      <c r="N3635" s="514"/>
    </row>
    <row r="3636" spans="11:14" x14ac:dyDescent="0.25">
      <c r="K3636" s="312"/>
      <c r="N3636" s="514"/>
    </row>
    <row r="3637" spans="11:14" x14ac:dyDescent="0.25">
      <c r="K3637" s="312"/>
      <c r="N3637" s="514"/>
    </row>
    <row r="3638" spans="11:14" x14ac:dyDescent="0.25">
      <c r="K3638" s="312"/>
      <c r="N3638" s="514"/>
    </row>
    <row r="3639" spans="11:14" x14ac:dyDescent="0.25">
      <c r="K3639" s="312"/>
      <c r="N3639" s="514"/>
    </row>
    <row r="3640" spans="11:14" x14ac:dyDescent="0.25">
      <c r="K3640" s="312"/>
      <c r="N3640" s="514"/>
    </row>
    <row r="3641" spans="11:14" x14ac:dyDescent="0.25">
      <c r="K3641" s="312"/>
      <c r="N3641" s="514"/>
    </row>
    <row r="3642" spans="11:14" x14ac:dyDescent="0.25">
      <c r="K3642" s="312"/>
      <c r="N3642" s="514"/>
    </row>
    <row r="3643" spans="11:14" x14ac:dyDescent="0.25">
      <c r="K3643" s="312"/>
      <c r="N3643" s="514"/>
    </row>
    <row r="3644" spans="11:14" x14ac:dyDescent="0.25">
      <c r="K3644" s="312"/>
      <c r="N3644" s="514"/>
    </row>
    <row r="3645" spans="11:14" x14ac:dyDescent="0.25">
      <c r="K3645" s="312"/>
      <c r="N3645" s="514"/>
    </row>
    <row r="3646" spans="11:14" x14ac:dyDescent="0.25">
      <c r="K3646" s="312"/>
      <c r="N3646" s="514"/>
    </row>
    <row r="3647" spans="11:14" x14ac:dyDescent="0.25">
      <c r="K3647" s="312"/>
      <c r="N3647" s="514"/>
    </row>
    <row r="3648" spans="11:14" x14ac:dyDescent="0.25">
      <c r="K3648" s="312"/>
      <c r="N3648" s="514"/>
    </row>
    <row r="3649" spans="11:14" x14ac:dyDescent="0.25">
      <c r="K3649" s="312"/>
      <c r="N3649" s="514"/>
    </row>
    <row r="3650" spans="11:14" x14ac:dyDescent="0.25">
      <c r="K3650" s="312"/>
      <c r="N3650" s="514"/>
    </row>
    <row r="3651" spans="11:14" x14ac:dyDescent="0.25">
      <c r="K3651" s="312"/>
      <c r="N3651" s="514"/>
    </row>
    <row r="3652" spans="11:14" x14ac:dyDescent="0.25">
      <c r="K3652" s="312"/>
      <c r="N3652" s="514"/>
    </row>
    <row r="3653" spans="11:14" x14ac:dyDescent="0.25">
      <c r="K3653" s="312"/>
      <c r="N3653" s="514"/>
    </row>
    <row r="3654" spans="11:14" x14ac:dyDescent="0.25">
      <c r="K3654" s="312"/>
      <c r="N3654" s="514"/>
    </row>
    <row r="3655" spans="11:14" x14ac:dyDescent="0.25">
      <c r="K3655" s="312"/>
      <c r="N3655" s="514"/>
    </row>
    <row r="3656" spans="11:14" x14ac:dyDescent="0.25">
      <c r="K3656" s="312"/>
      <c r="N3656" s="514"/>
    </row>
    <row r="3657" spans="11:14" x14ac:dyDescent="0.25">
      <c r="K3657" s="312"/>
      <c r="N3657" s="514"/>
    </row>
    <row r="3658" spans="11:14" x14ac:dyDescent="0.25">
      <c r="K3658" s="312"/>
      <c r="N3658" s="514"/>
    </row>
    <row r="3659" spans="11:14" x14ac:dyDescent="0.25">
      <c r="K3659" s="312"/>
      <c r="N3659" s="514"/>
    </row>
    <row r="3660" spans="11:14" x14ac:dyDescent="0.25">
      <c r="K3660" s="312"/>
      <c r="N3660" s="514"/>
    </row>
    <row r="3661" spans="11:14" x14ac:dyDescent="0.25">
      <c r="K3661" s="312"/>
      <c r="N3661" s="514"/>
    </row>
    <row r="3662" spans="11:14" x14ac:dyDescent="0.25">
      <c r="K3662" s="312"/>
      <c r="N3662" s="514"/>
    </row>
    <row r="3663" spans="11:14" x14ac:dyDescent="0.25">
      <c r="K3663" s="312"/>
      <c r="N3663" s="514"/>
    </row>
    <row r="3664" spans="11:14" x14ac:dyDescent="0.25">
      <c r="K3664" s="312"/>
      <c r="N3664" s="514"/>
    </row>
    <row r="3665" spans="11:14" x14ac:dyDescent="0.25">
      <c r="K3665" s="312"/>
      <c r="N3665" s="514"/>
    </row>
    <row r="3666" spans="11:14" x14ac:dyDescent="0.25">
      <c r="K3666" s="312"/>
      <c r="N3666" s="514"/>
    </row>
    <row r="3667" spans="11:14" x14ac:dyDescent="0.25">
      <c r="K3667" s="312"/>
      <c r="N3667" s="514"/>
    </row>
    <row r="3668" spans="11:14" x14ac:dyDescent="0.25">
      <c r="K3668" s="312"/>
      <c r="N3668" s="514"/>
    </row>
    <row r="3669" spans="11:14" x14ac:dyDescent="0.25">
      <c r="K3669" s="312"/>
      <c r="N3669" s="514"/>
    </row>
    <row r="3670" spans="11:14" x14ac:dyDescent="0.25">
      <c r="K3670" s="312"/>
      <c r="N3670" s="514"/>
    </row>
    <row r="3671" spans="11:14" x14ac:dyDescent="0.25">
      <c r="K3671" s="312"/>
      <c r="N3671" s="514"/>
    </row>
    <row r="3672" spans="11:14" x14ac:dyDescent="0.25">
      <c r="K3672" s="312"/>
      <c r="N3672" s="514"/>
    </row>
    <row r="3673" spans="11:14" x14ac:dyDescent="0.25">
      <c r="K3673" s="312"/>
      <c r="N3673" s="514"/>
    </row>
    <row r="3674" spans="11:14" x14ac:dyDescent="0.25">
      <c r="K3674" s="312"/>
      <c r="N3674" s="514"/>
    </row>
    <row r="3675" spans="11:14" x14ac:dyDescent="0.25">
      <c r="K3675" s="312"/>
      <c r="N3675" s="514"/>
    </row>
    <row r="3676" spans="11:14" x14ac:dyDescent="0.25">
      <c r="K3676" s="312"/>
      <c r="N3676" s="514"/>
    </row>
    <row r="3677" spans="11:14" x14ac:dyDescent="0.25">
      <c r="K3677" s="312"/>
      <c r="N3677" s="514"/>
    </row>
    <row r="3678" spans="11:14" x14ac:dyDescent="0.25">
      <c r="K3678" s="312"/>
      <c r="N3678" s="514"/>
    </row>
    <row r="3679" spans="11:14" x14ac:dyDescent="0.25">
      <c r="K3679" s="312"/>
      <c r="N3679" s="514"/>
    </row>
    <row r="3680" spans="11:14" x14ac:dyDescent="0.25">
      <c r="K3680" s="312"/>
      <c r="N3680" s="514"/>
    </row>
    <row r="3681" spans="11:14" x14ac:dyDescent="0.25">
      <c r="K3681" s="312"/>
      <c r="N3681" s="514"/>
    </row>
    <row r="3682" spans="11:14" x14ac:dyDescent="0.25">
      <c r="K3682" s="312"/>
      <c r="N3682" s="514"/>
    </row>
    <row r="3683" spans="11:14" x14ac:dyDescent="0.25">
      <c r="K3683" s="312"/>
      <c r="N3683" s="514"/>
    </row>
    <row r="3684" spans="11:14" x14ac:dyDescent="0.25">
      <c r="K3684" s="312"/>
      <c r="N3684" s="514"/>
    </row>
    <row r="3685" spans="11:14" x14ac:dyDescent="0.25">
      <c r="K3685" s="312"/>
      <c r="N3685" s="514"/>
    </row>
    <row r="3686" spans="11:14" x14ac:dyDescent="0.25">
      <c r="K3686" s="312"/>
      <c r="N3686" s="514"/>
    </row>
    <row r="3687" spans="11:14" x14ac:dyDescent="0.25">
      <c r="K3687" s="312"/>
      <c r="N3687" s="514"/>
    </row>
    <row r="3688" spans="11:14" x14ac:dyDescent="0.25">
      <c r="K3688" s="312"/>
      <c r="N3688" s="514"/>
    </row>
    <row r="3689" spans="11:14" x14ac:dyDescent="0.25">
      <c r="K3689" s="312"/>
      <c r="N3689" s="514"/>
    </row>
    <row r="3690" spans="11:14" x14ac:dyDescent="0.25">
      <c r="K3690" s="312"/>
      <c r="N3690" s="514"/>
    </row>
    <row r="3691" spans="11:14" x14ac:dyDescent="0.25">
      <c r="K3691" s="312"/>
      <c r="N3691" s="514"/>
    </row>
    <row r="3692" spans="11:14" x14ac:dyDescent="0.25">
      <c r="K3692" s="312"/>
      <c r="N3692" s="514"/>
    </row>
    <row r="3693" spans="11:14" x14ac:dyDescent="0.25">
      <c r="K3693" s="312"/>
      <c r="N3693" s="514"/>
    </row>
    <row r="3694" spans="11:14" x14ac:dyDescent="0.25">
      <c r="K3694" s="312"/>
      <c r="N3694" s="514"/>
    </row>
    <row r="3695" spans="11:14" x14ac:dyDescent="0.25">
      <c r="K3695" s="312"/>
      <c r="N3695" s="514"/>
    </row>
    <row r="3696" spans="11:14" x14ac:dyDescent="0.25">
      <c r="K3696" s="312"/>
      <c r="N3696" s="514"/>
    </row>
    <row r="3697" spans="11:14" x14ac:dyDescent="0.25">
      <c r="K3697" s="312"/>
      <c r="N3697" s="514"/>
    </row>
    <row r="3698" spans="11:14" x14ac:dyDescent="0.25">
      <c r="K3698" s="312"/>
      <c r="N3698" s="514"/>
    </row>
    <row r="3699" spans="11:14" x14ac:dyDescent="0.25">
      <c r="K3699" s="312"/>
      <c r="N3699" s="514"/>
    </row>
    <row r="3700" spans="11:14" x14ac:dyDescent="0.25">
      <c r="K3700" s="312"/>
      <c r="N3700" s="514"/>
    </row>
    <row r="3701" spans="11:14" x14ac:dyDescent="0.25">
      <c r="K3701" s="312"/>
      <c r="N3701" s="514"/>
    </row>
    <row r="3702" spans="11:14" x14ac:dyDescent="0.25">
      <c r="K3702" s="312"/>
      <c r="N3702" s="514"/>
    </row>
    <row r="3703" spans="11:14" x14ac:dyDescent="0.25">
      <c r="K3703" s="312"/>
      <c r="N3703" s="514"/>
    </row>
    <row r="3704" spans="11:14" x14ac:dyDescent="0.25">
      <c r="K3704" s="312"/>
      <c r="N3704" s="514"/>
    </row>
    <row r="3705" spans="11:14" x14ac:dyDescent="0.25">
      <c r="K3705" s="312"/>
      <c r="N3705" s="514"/>
    </row>
    <row r="3706" spans="11:14" x14ac:dyDescent="0.25">
      <c r="K3706" s="312"/>
      <c r="N3706" s="514"/>
    </row>
    <row r="3707" spans="11:14" x14ac:dyDescent="0.25">
      <c r="K3707" s="312"/>
      <c r="N3707" s="514"/>
    </row>
    <row r="3708" spans="11:14" x14ac:dyDescent="0.25">
      <c r="K3708" s="312"/>
      <c r="N3708" s="514"/>
    </row>
    <row r="3709" spans="11:14" x14ac:dyDescent="0.25">
      <c r="K3709" s="312"/>
      <c r="N3709" s="514"/>
    </row>
    <row r="3710" spans="11:14" x14ac:dyDescent="0.25">
      <c r="K3710" s="312"/>
      <c r="N3710" s="514"/>
    </row>
    <row r="3711" spans="11:14" x14ac:dyDescent="0.25">
      <c r="K3711" s="312"/>
      <c r="N3711" s="514"/>
    </row>
    <row r="3712" spans="11:14" x14ac:dyDescent="0.25">
      <c r="K3712" s="312"/>
      <c r="N3712" s="514"/>
    </row>
    <row r="3713" spans="11:14" x14ac:dyDescent="0.25">
      <c r="K3713" s="312"/>
      <c r="N3713" s="514"/>
    </row>
    <row r="3714" spans="11:14" x14ac:dyDescent="0.25">
      <c r="K3714" s="312"/>
      <c r="N3714" s="514"/>
    </row>
    <row r="3715" spans="11:14" x14ac:dyDescent="0.25">
      <c r="K3715" s="312"/>
      <c r="N3715" s="514"/>
    </row>
    <row r="3716" spans="11:14" x14ac:dyDescent="0.25">
      <c r="K3716" s="312"/>
      <c r="N3716" s="514"/>
    </row>
    <row r="3717" spans="11:14" x14ac:dyDescent="0.25">
      <c r="K3717" s="312"/>
      <c r="N3717" s="514"/>
    </row>
    <row r="3718" spans="11:14" x14ac:dyDescent="0.25">
      <c r="K3718" s="312"/>
      <c r="N3718" s="514"/>
    </row>
    <row r="3719" spans="11:14" x14ac:dyDescent="0.25">
      <c r="K3719" s="312"/>
      <c r="N3719" s="514"/>
    </row>
    <row r="3720" spans="11:14" x14ac:dyDescent="0.25">
      <c r="K3720" s="312"/>
      <c r="N3720" s="514"/>
    </row>
    <row r="3721" spans="11:14" x14ac:dyDescent="0.25">
      <c r="K3721" s="312"/>
      <c r="N3721" s="514"/>
    </row>
    <row r="3722" spans="11:14" x14ac:dyDescent="0.25">
      <c r="K3722" s="312"/>
      <c r="N3722" s="514"/>
    </row>
    <row r="3723" spans="11:14" x14ac:dyDescent="0.25">
      <c r="K3723" s="312"/>
      <c r="N3723" s="514"/>
    </row>
    <row r="3724" spans="11:14" x14ac:dyDescent="0.25">
      <c r="K3724" s="312"/>
      <c r="N3724" s="514"/>
    </row>
    <row r="3725" spans="11:14" x14ac:dyDescent="0.25">
      <c r="K3725" s="312"/>
      <c r="N3725" s="514"/>
    </row>
    <row r="3726" spans="11:14" x14ac:dyDescent="0.25">
      <c r="K3726" s="312"/>
      <c r="N3726" s="514"/>
    </row>
    <row r="3727" spans="11:14" x14ac:dyDescent="0.25">
      <c r="K3727" s="312"/>
      <c r="N3727" s="514"/>
    </row>
    <row r="3728" spans="11:14" x14ac:dyDescent="0.25">
      <c r="K3728" s="312"/>
      <c r="N3728" s="514"/>
    </row>
    <row r="3729" spans="11:14" x14ac:dyDescent="0.25">
      <c r="K3729" s="312"/>
      <c r="N3729" s="514"/>
    </row>
    <row r="3730" spans="11:14" x14ac:dyDescent="0.25">
      <c r="K3730" s="312"/>
      <c r="N3730" s="514"/>
    </row>
    <row r="3731" spans="11:14" x14ac:dyDescent="0.25">
      <c r="K3731" s="312"/>
      <c r="N3731" s="514"/>
    </row>
    <row r="3732" spans="11:14" x14ac:dyDescent="0.25">
      <c r="K3732" s="312"/>
      <c r="N3732" s="514"/>
    </row>
    <row r="3733" spans="11:14" x14ac:dyDescent="0.25">
      <c r="K3733" s="312"/>
      <c r="N3733" s="514"/>
    </row>
    <row r="3734" spans="11:14" x14ac:dyDescent="0.25">
      <c r="K3734" s="312"/>
      <c r="N3734" s="514"/>
    </row>
    <row r="3735" spans="11:14" x14ac:dyDescent="0.25">
      <c r="K3735" s="312"/>
      <c r="N3735" s="514"/>
    </row>
    <row r="3736" spans="11:14" x14ac:dyDescent="0.25">
      <c r="K3736" s="312"/>
      <c r="N3736" s="514"/>
    </row>
    <row r="3737" spans="11:14" x14ac:dyDescent="0.25">
      <c r="K3737" s="312"/>
      <c r="N3737" s="514"/>
    </row>
    <row r="3738" spans="11:14" x14ac:dyDescent="0.25">
      <c r="K3738" s="312"/>
      <c r="N3738" s="514"/>
    </row>
    <row r="3739" spans="11:14" x14ac:dyDescent="0.25">
      <c r="K3739" s="312"/>
      <c r="N3739" s="514"/>
    </row>
    <row r="3740" spans="11:14" x14ac:dyDescent="0.25">
      <c r="K3740" s="312"/>
      <c r="N3740" s="514"/>
    </row>
    <row r="3741" spans="11:14" x14ac:dyDescent="0.25">
      <c r="K3741" s="312"/>
      <c r="N3741" s="514"/>
    </row>
    <row r="3742" spans="11:14" x14ac:dyDescent="0.25">
      <c r="K3742" s="312"/>
      <c r="N3742" s="514"/>
    </row>
    <row r="3743" spans="11:14" x14ac:dyDescent="0.25">
      <c r="K3743" s="312"/>
      <c r="N3743" s="514"/>
    </row>
    <row r="3744" spans="11:14" x14ac:dyDescent="0.25">
      <c r="K3744" s="312"/>
      <c r="N3744" s="514"/>
    </row>
    <row r="3745" spans="11:14" x14ac:dyDescent="0.25">
      <c r="K3745" s="312"/>
      <c r="N3745" s="514"/>
    </row>
    <row r="3746" spans="11:14" x14ac:dyDescent="0.25">
      <c r="K3746" s="312"/>
      <c r="N3746" s="514"/>
    </row>
    <row r="3747" spans="11:14" x14ac:dyDescent="0.25">
      <c r="K3747" s="312"/>
      <c r="N3747" s="514"/>
    </row>
    <row r="3748" spans="11:14" x14ac:dyDescent="0.25">
      <c r="K3748" s="312"/>
      <c r="N3748" s="514"/>
    </row>
    <row r="3749" spans="11:14" x14ac:dyDescent="0.25">
      <c r="K3749" s="312"/>
      <c r="N3749" s="514"/>
    </row>
    <row r="3750" spans="11:14" x14ac:dyDescent="0.25">
      <c r="K3750" s="312"/>
      <c r="N3750" s="514"/>
    </row>
    <row r="3751" spans="11:14" x14ac:dyDescent="0.25">
      <c r="K3751" s="312"/>
      <c r="N3751" s="514"/>
    </row>
    <row r="3752" spans="11:14" x14ac:dyDescent="0.25">
      <c r="K3752" s="312"/>
      <c r="N3752" s="514"/>
    </row>
    <row r="3753" spans="11:14" x14ac:dyDescent="0.25">
      <c r="K3753" s="312"/>
      <c r="N3753" s="514"/>
    </row>
    <row r="3754" spans="11:14" x14ac:dyDescent="0.25">
      <c r="K3754" s="312"/>
      <c r="N3754" s="514"/>
    </row>
    <row r="3755" spans="11:14" x14ac:dyDescent="0.25">
      <c r="K3755" s="312"/>
      <c r="N3755" s="514"/>
    </row>
    <row r="3756" spans="11:14" x14ac:dyDescent="0.25">
      <c r="K3756" s="312"/>
      <c r="N3756" s="514"/>
    </row>
    <row r="3757" spans="11:14" x14ac:dyDescent="0.25">
      <c r="K3757" s="312"/>
      <c r="N3757" s="514"/>
    </row>
    <row r="3758" spans="11:14" x14ac:dyDescent="0.25">
      <c r="K3758" s="312"/>
      <c r="N3758" s="514"/>
    </row>
    <row r="3759" spans="11:14" x14ac:dyDescent="0.25">
      <c r="K3759" s="312"/>
      <c r="N3759" s="514"/>
    </row>
    <row r="3760" spans="11:14" x14ac:dyDescent="0.25">
      <c r="K3760" s="312"/>
      <c r="N3760" s="514"/>
    </row>
    <row r="3761" spans="11:14" x14ac:dyDescent="0.25">
      <c r="K3761" s="312"/>
      <c r="N3761" s="514"/>
    </row>
    <row r="3762" spans="11:14" x14ac:dyDescent="0.25">
      <c r="K3762" s="312"/>
      <c r="N3762" s="514"/>
    </row>
    <row r="3763" spans="11:14" x14ac:dyDescent="0.25">
      <c r="K3763" s="312"/>
      <c r="N3763" s="514"/>
    </row>
    <row r="3764" spans="11:14" x14ac:dyDescent="0.25">
      <c r="K3764" s="312"/>
      <c r="N3764" s="514"/>
    </row>
    <row r="3765" spans="11:14" x14ac:dyDescent="0.25">
      <c r="K3765" s="312"/>
      <c r="N3765" s="514"/>
    </row>
    <row r="3766" spans="11:14" x14ac:dyDescent="0.25">
      <c r="K3766" s="312"/>
      <c r="N3766" s="514"/>
    </row>
    <row r="3767" spans="11:14" x14ac:dyDescent="0.25">
      <c r="K3767" s="312"/>
      <c r="N3767" s="514"/>
    </row>
    <row r="3768" spans="11:14" x14ac:dyDescent="0.25">
      <c r="K3768" s="312"/>
      <c r="N3768" s="514"/>
    </row>
    <row r="3769" spans="11:14" x14ac:dyDescent="0.25">
      <c r="K3769" s="312"/>
      <c r="N3769" s="514"/>
    </row>
    <row r="3770" spans="11:14" x14ac:dyDescent="0.25">
      <c r="K3770" s="312"/>
      <c r="N3770" s="514"/>
    </row>
    <row r="3771" spans="11:14" x14ac:dyDescent="0.25">
      <c r="K3771" s="312"/>
      <c r="N3771" s="514"/>
    </row>
    <row r="3772" spans="11:14" x14ac:dyDescent="0.25">
      <c r="K3772" s="312"/>
      <c r="N3772" s="514"/>
    </row>
    <row r="3773" spans="11:14" x14ac:dyDescent="0.25">
      <c r="K3773" s="312"/>
      <c r="N3773" s="514"/>
    </row>
    <row r="3774" spans="11:14" x14ac:dyDescent="0.25">
      <c r="K3774" s="312"/>
      <c r="N3774" s="514"/>
    </row>
    <row r="3775" spans="11:14" x14ac:dyDescent="0.25">
      <c r="K3775" s="312"/>
      <c r="N3775" s="514"/>
    </row>
    <row r="3776" spans="11:14" x14ac:dyDescent="0.25">
      <c r="K3776" s="312"/>
      <c r="N3776" s="514"/>
    </row>
    <row r="3777" spans="11:14" x14ac:dyDescent="0.25">
      <c r="K3777" s="312"/>
      <c r="N3777" s="514"/>
    </row>
    <row r="3778" spans="11:14" x14ac:dyDescent="0.25">
      <c r="K3778" s="312"/>
      <c r="N3778" s="514"/>
    </row>
    <row r="3779" spans="11:14" x14ac:dyDescent="0.25">
      <c r="K3779" s="312"/>
      <c r="N3779" s="514"/>
    </row>
    <row r="3780" spans="11:14" x14ac:dyDescent="0.25">
      <c r="K3780" s="312"/>
      <c r="N3780" s="514"/>
    </row>
    <row r="3781" spans="11:14" x14ac:dyDescent="0.25">
      <c r="K3781" s="312"/>
      <c r="N3781" s="514"/>
    </row>
    <row r="3782" spans="11:14" x14ac:dyDescent="0.25">
      <c r="K3782" s="312"/>
      <c r="N3782" s="514"/>
    </row>
    <row r="3783" spans="11:14" x14ac:dyDescent="0.25">
      <c r="K3783" s="312"/>
      <c r="N3783" s="514"/>
    </row>
    <row r="3784" spans="11:14" x14ac:dyDescent="0.25">
      <c r="K3784" s="312"/>
      <c r="N3784" s="514"/>
    </row>
    <row r="3785" spans="11:14" x14ac:dyDescent="0.25">
      <c r="K3785" s="312"/>
      <c r="N3785" s="514"/>
    </row>
    <row r="3786" spans="11:14" x14ac:dyDescent="0.25">
      <c r="K3786" s="312"/>
      <c r="N3786" s="514"/>
    </row>
    <row r="3787" spans="11:14" x14ac:dyDescent="0.25">
      <c r="K3787" s="312"/>
      <c r="N3787" s="514"/>
    </row>
    <row r="3788" spans="11:14" x14ac:dyDescent="0.25">
      <c r="K3788" s="312"/>
      <c r="N3788" s="514"/>
    </row>
    <row r="3789" spans="11:14" x14ac:dyDescent="0.25">
      <c r="K3789" s="312"/>
      <c r="N3789" s="514"/>
    </row>
    <row r="3790" spans="11:14" x14ac:dyDescent="0.25">
      <c r="K3790" s="312"/>
      <c r="N3790" s="514"/>
    </row>
    <row r="3791" spans="11:14" x14ac:dyDescent="0.25">
      <c r="K3791" s="312"/>
      <c r="N3791" s="514"/>
    </row>
    <row r="3792" spans="11:14" x14ac:dyDescent="0.25">
      <c r="K3792" s="312"/>
      <c r="N3792" s="514"/>
    </row>
    <row r="3793" spans="11:14" x14ac:dyDescent="0.25">
      <c r="K3793" s="312"/>
      <c r="N3793" s="514"/>
    </row>
    <row r="3794" spans="11:14" x14ac:dyDescent="0.25">
      <c r="K3794" s="312"/>
      <c r="N3794" s="514"/>
    </row>
    <row r="3795" spans="11:14" x14ac:dyDescent="0.25">
      <c r="K3795" s="312"/>
      <c r="N3795" s="514"/>
    </row>
    <row r="3796" spans="11:14" x14ac:dyDescent="0.25">
      <c r="K3796" s="312"/>
      <c r="N3796" s="514"/>
    </row>
    <row r="3797" spans="11:14" x14ac:dyDescent="0.25">
      <c r="K3797" s="312"/>
      <c r="N3797" s="514"/>
    </row>
    <row r="3798" spans="11:14" x14ac:dyDescent="0.25">
      <c r="K3798" s="312"/>
      <c r="N3798" s="514"/>
    </row>
    <row r="3799" spans="11:14" x14ac:dyDescent="0.25">
      <c r="K3799" s="312"/>
      <c r="N3799" s="514"/>
    </row>
    <row r="3800" spans="11:14" x14ac:dyDescent="0.25">
      <c r="K3800" s="312"/>
      <c r="N3800" s="514"/>
    </row>
    <row r="3801" spans="11:14" x14ac:dyDescent="0.25">
      <c r="K3801" s="312"/>
      <c r="N3801" s="514"/>
    </row>
    <row r="3802" spans="11:14" x14ac:dyDescent="0.25">
      <c r="K3802" s="312"/>
      <c r="N3802" s="514"/>
    </row>
    <row r="3803" spans="11:14" x14ac:dyDescent="0.25">
      <c r="K3803" s="312"/>
      <c r="N3803" s="514"/>
    </row>
    <row r="3804" spans="11:14" x14ac:dyDescent="0.25">
      <c r="K3804" s="312"/>
      <c r="N3804" s="514"/>
    </row>
    <row r="3805" spans="11:14" x14ac:dyDescent="0.25">
      <c r="K3805" s="312"/>
      <c r="N3805" s="514"/>
    </row>
    <row r="3806" spans="11:14" x14ac:dyDescent="0.25">
      <c r="K3806" s="312"/>
      <c r="N3806" s="514"/>
    </row>
    <row r="3807" spans="11:14" x14ac:dyDescent="0.25">
      <c r="K3807" s="312"/>
      <c r="N3807" s="514"/>
    </row>
    <row r="3808" spans="11:14" x14ac:dyDescent="0.25">
      <c r="K3808" s="312"/>
      <c r="N3808" s="514"/>
    </row>
    <row r="3809" spans="11:14" x14ac:dyDescent="0.25">
      <c r="K3809" s="312"/>
      <c r="N3809" s="514"/>
    </row>
    <row r="3810" spans="11:14" x14ac:dyDescent="0.25">
      <c r="K3810" s="312"/>
      <c r="N3810" s="514"/>
    </row>
    <row r="3811" spans="11:14" x14ac:dyDescent="0.25">
      <c r="K3811" s="312"/>
      <c r="N3811" s="514"/>
    </row>
    <row r="3812" spans="11:14" x14ac:dyDescent="0.25">
      <c r="K3812" s="312"/>
      <c r="N3812" s="514"/>
    </row>
    <row r="3813" spans="11:14" x14ac:dyDescent="0.25">
      <c r="K3813" s="312"/>
      <c r="N3813" s="514"/>
    </row>
    <row r="3814" spans="11:14" x14ac:dyDescent="0.25">
      <c r="K3814" s="312"/>
      <c r="N3814" s="514"/>
    </row>
    <row r="3815" spans="11:14" x14ac:dyDescent="0.25">
      <c r="K3815" s="312"/>
      <c r="N3815" s="514"/>
    </row>
    <row r="3816" spans="11:14" x14ac:dyDescent="0.25">
      <c r="K3816" s="312"/>
      <c r="N3816" s="514"/>
    </row>
    <row r="3817" spans="11:14" x14ac:dyDescent="0.25">
      <c r="K3817" s="312"/>
      <c r="N3817" s="514"/>
    </row>
    <row r="3818" spans="11:14" x14ac:dyDescent="0.25">
      <c r="K3818" s="312"/>
      <c r="N3818" s="514"/>
    </row>
    <row r="3819" spans="11:14" x14ac:dyDescent="0.25">
      <c r="K3819" s="312"/>
      <c r="N3819" s="514"/>
    </row>
    <row r="3820" spans="11:14" x14ac:dyDescent="0.25">
      <c r="K3820" s="312"/>
      <c r="N3820" s="514"/>
    </row>
    <row r="3821" spans="11:14" x14ac:dyDescent="0.25">
      <c r="K3821" s="312"/>
      <c r="N3821" s="514"/>
    </row>
    <row r="3822" spans="11:14" x14ac:dyDescent="0.25">
      <c r="K3822" s="312"/>
      <c r="N3822" s="514"/>
    </row>
    <row r="3823" spans="11:14" x14ac:dyDescent="0.25">
      <c r="K3823" s="312"/>
      <c r="N3823" s="514"/>
    </row>
    <row r="3824" spans="11:14" x14ac:dyDescent="0.25">
      <c r="K3824" s="312"/>
      <c r="N3824" s="514"/>
    </row>
    <row r="3825" spans="11:14" x14ac:dyDescent="0.25">
      <c r="K3825" s="312"/>
      <c r="N3825" s="514"/>
    </row>
    <row r="3826" spans="11:14" x14ac:dyDescent="0.25">
      <c r="K3826" s="312"/>
      <c r="N3826" s="514"/>
    </row>
    <row r="3827" spans="11:14" x14ac:dyDescent="0.25">
      <c r="K3827" s="312"/>
      <c r="N3827" s="514"/>
    </row>
    <row r="3828" spans="11:14" x14ac:dyDescent="0.25">
      <c r="K3828" s="312"/>
      <c r="N3828" s="514"/>
    </row>
    <row r="3829" spans="11:14" x14ac:dyDescent="0.25">
      <c r="K3829" s="312"/>
      <c r="N3829" s="514"/>
    </row>
    <row r="3830" spans="11:14" x14ac:dyDescent="0.25">
      <c r="K3830" s="312"/>
      <c r="N3830" s="514"/>
    </row>
    <row r="3831" spans="11:14" x14ac:dyDescent="0.25">
      <c r="K3831" s="312"/>
      <c r="N3831" s="514"/>
    </row>
    <row r="3832" spans="11:14" x14ac:dyDescent="0.25">
      <c r="K3832" s="312"/>
      <c r="N3832" s="514"/>
    </row>
    <row r="3833" spans="11:14" x14ac:dyDescent="0.25">
      <c r="K3833" s="312"/>
      <c r="N3833" s="514"/>
    </row>
    <row r="3834" spans="11:14" x14ac:dyDescent="0.25">
      <c r="K3834" s="312"/>
      <c r="N3834" s="514"/>
    </row>
    <row r="3835" spans="11:14" x14ac:dyDescent="0.25">
      <c r="K3835" s="312"/>
      <c r="N3835" s="514"/>
    </row>
    <row r="3836" spans="11:14" x14ac:dyDescent="0.25">
      <c r="K3836" s="312"/>
      <c r="N3836" s="514"/>
    </row>
    <row r="3837" spans="11:14" x14ac:dyDescent="0.25">
      <c r="K3837" s="312"/>
      <c r="N3837" s="514"/>
    </row>
    <row r="3838" spans="11:14" x14ac:dyDescent="0.25">
      <c r="K3838" s="312"/>
      <c r="N3838" s="514"/>
    </row>
    <row r="3839" spans="11:14" x14ac:dyDescent="0.25">
      <c r="K3839" s="312"/>
      <c r="N3839" s="514"/>
    </row>
    <row r="3840" spans="11:14" x14ac:dyDescent="0.25">
      <c r="K3840" s="312"/>
      <c r="N3840" s="514"/>
    </row>
    <row r="3841" spans="11:14" x14ac:dyDescent="0.25">
      <c r="K3841" s="312"/>
      <c r="N3841" s="514"/>
    </row>
    <row r="3842" spans="11:14" x14ac:dyDescent="0.25">
      <c r="K3842" s="312"/>
      <c r="N3842" s="514"/>
    </row>
    <row r="3843" spans="11:14" x14ac:dyDescent="0.25">
      <c r="K3843" s="312"/>
      <c r="N3843" s="514"/>
    </row>
    <row r="3844" spans="11:14" x14ac:dyDescent="0.25">
      <c r="K3844" s="312"/>
      <c r="N3844" s="514"/>
    </row>
    <row r="3845" spans="11:14" x14ac:dyDescent="0.25">
      <c r="K3845" s="312"/>
      <c r="N3845" s="514"/>
    </row>
    <row r="3846" spans="11:14" x14ac:dyDescent="0.25">
      <c r="K3846" s="312"/>
      <c r="N3846" s="514"/>
    </row>
    <row r="3847" spans="11:14" x14ac:dyDescent="0.25">
      <c r="K3847" s="312"/>
      <c r="N3847" s="514"/>
    </row>
    <row r="3848" spans="11:14" x14ac:dyDescent="0.25">
      <c r="K3848" s="312"/>
      <c r="N3848" s="514"/>
    </row>
    <row r="3849" spans="11:14" x14ac:dyDescent="0.25">
      <c r="K3849" s="312"/>
      <c r="N3849" s="514"/>
    </row>
    <row r="3850" spans="11:14" x14ac:dyDescent="0.25">
      <c r="K3850" s="312"/>
      <c r="N3850" s="514"/>
    </row>
    <row r="3851" spans="11:14" x14ac:dyDescent="0.25">
      <c r="K3851" s="312"/>
      <c r="N3851" s="514"/>
    </row>
    <row r="3852" spans="11:14" x14ac:dyDescent="0.25">
      <c r="K3852" s="312"/>
      <c r="N3852" s="514"/>
    </row>
    <row r="3853" spans="11:14" x14ac:dyDescent="0.25">
      <c r="K3853" s="312"/>
      <c r="N3853" s="514"/>
    </row>
    <row r="3854" spans="11:14" x14ac:dyDescent="0.25">
      <c r="K3854" s="312"/>
      <c r="N3854" s="514"/>
    </row>
    <row r="3855" spans="11:14" x14ac:dyDescent="0.25">
      <c r="K3855" s="312"/>
      <c r="N3855" s="514"/>
    </row>
    <row r="3856" spans="11:14" x14ac:dyDescent="0.25">
      <c r="K3856" s="312"/>
      <c r="N3856" s="514"/>
    </row>
    <row r="3857" spans="11:14" x14ac:dyDescent="0.25">
      <c r="K3857" s="312"/>
      <c r="N3857" s="514"/>
    </row>
    <row r="3858" spans="11:14" x14ac:dyDescent="0.25">
      <c r="K3858" s="312"/>
      <c r="N3858" s="514"/>
    </row>
    <row r="3859" spans="11:14" x14ac:dyDescent="0.25">
      <c r="K3859" s="312"/>
      <c r="N3859" s="514"/>
    </row>
    <row r="3860" spans="11:14" x14ac:dyDescent="0.25">
      <c r="K3860" s="312"/>
      <c r="N3860" s="514"/>
    </row>
    <row r="3861" spans="11:14" x14ac:dyDescent="0.25">
      <c r="K3861" s="312"/>
      <c r="N3861" s="514"/>
    </row>
    <row r="3862" spans="11:14" x14ac:dyDescent="0.25">
      <c r="K3862" s="312"/>
      <c r="N3862" s="514"/>
    </row>
    <row r="3863" spans="11:14" x14ac:dyDescent="0.25">
      <c r="K3863" s="312"/>
      <c r="N3863" s="514"/>
    </row>
    <row r="3864" spans="11:14" x14ac:dyDescent="0.25">
      <c r="K3864" s="312"/>
      <c r="N3864" s="514"/>
    </row>
    <row r="3865" spans="11:14" x14ac:dyDescent="0.25">
      <c r="K3865" s="312"/>
      <c r="N3865" s="514"/>
    </row>
    <row r="3866" spans="11:14" x14ac:dyDescent="0.25">
      <c r="K3866" s="312"/>
      <c r="N3866" s="514"/>
    </row>
    <row r="3867" spans="11:14" x14ac:dyDescent="0.25">
      <c r="K3867" s="312"/>
      <c r="N3867" s="514"/>
    </row>
    <row r="3868" spans="11:14" x14ac:dyDescent="0.25">
      <c r="K3868" s="312"/>
      <c r="N3868" s="514"/>
    </row>
    <row r="3869" spans="11:14" x14ac:dyDescent="0.25">
      <c r="K3869" s="312"/>
      <c r="N3869" s="514"/>
    </row>
    <row r="3870" spans="11:14" x14ac:dyDescent="0.25">
      <c r="K3870" s="312"/>
      <c r="N3870" s="514"/>
    </row>
    <row r="3871" spans="11:14" x14ac:dyDescent="0.25">
      <c r="K3871" s="312"/>
      <c r="N3871" s="514"/>
    </row>
    <row r="3872" spans="11:14" x14ac:dyDescent="0.25">
      <c r="K3872" s="312"/>
      <c r="N3872" s="514"/>
    </row>
    <row r="3873" spans="11:14" x14ac:dyDescent="0.25">
      <c r="K3873" s="312"/>
      <c r="N3873" s="514"/>
    </row>
    <row r="3874" spans="11:14" x14ac:dyDescent="0.25">
      <c r="K3874" s="312"/>
      <c r="N3874" s="514"/>
    </row>
    <row r="3875" spans="11:14" x14ac:dyDescent="0.25">
      <c r="K3875" s="312"/>
      <c r="N3875" s="514"/>
    </row>
    <row r="3876" spans="11:14" x14ac:dyDescent="0.25">
      <c r="K3876" s="312"/>
      <c r="N3876" s="514"/>
    </row>
    <row r="3877" spans="11:14" x14ac:dyDescent="0.25">
      <c r="K3877" s="312"/>
      <c r="N3877" s="514"/>
    </row>
    <row r="3878" spans="11:14" x14ac:dyDescent="0.25">
      <c r="K3878" s="312"/>
      <c r="N3878" s="514"/>
    </row>
    <row r="3879" spans="11:14" x14ac:dyDescent="0.25">
      <c r="K3879" s="312"/>
      <c r="N3879" s="514"/>
    </row>
    <row r="3880" spans="11:14" x14ac:dyDescent="0.25">
      <c r="K3880" s="312"/>
      <c r="N3880" s="514"/>
    </row>
    <row r="3881" spans="11:14" x14ac:dyDescent="0.25">
      <c r="K3881" s="312"/>
      <c r="N3881" s="514"/>
    </row>
    <row r="3882" spans="11:14" x14ac:dyDescent="0.25">
      <c r="K3882" s="312"/>
      <c r="N3882" s="514"/>
    </row>
    <row r="3883" spans="11:14" x14ac:dyDescent="0.25">
      <c r="K3883" s="312"/>
      <c r="N3883" s="514"/>
    </row>
    <row r="3884" spans="11:14" x14ac:dyDescent="0.25">
      <c r="K3884" s="312"/>
      <c r="N3884" s="514"/>
    </row>
    <row r="3885" spans="11:14" x14ac:dyDescent="0.25">
      <c r="K3885" s="312"/>
      <c r="N3885" s="514"/>
    </row>
    <row r="3886" spans="11:14" x14ac:dyDescent="0.25">
      <c r="K3886" s="312"/>
      <c r="N3886" s="514"/>
    </row>
    <row r="3887" spans="11:14" x14ac:dyDescent="0.25">
      <c r="K3887" s="312"/>
      <c r="N3887" s="514"/>
    </row>
    <row r="3888" spans="11:14" x14ac:dyDescent="0.25">
      <c r="K3888" s="312"/>
      <c r="N3888" s="514"/>
    </row>
    <row r="3889" spans="11:14" x14ac:dyDescent="0.25">
      <c r="K3889" s="312"/>
      <c r="N3889" s="514"/>
    </row>
    <row r="3890" spans="11:14" x14ac:dyDescent="0.25">
      <c r="K3890" s="312"/>
      <c r="N3890" s="514"/>
    </row>
    <row r="3891" spans="11:14" x14ac:dyDescent="0.25">
      <c r="K3891" s="312"/>
      <c r="N3891" s="514"/>
    </row>
    <row r="3892" spans="11:14" x14ac:dyDescent="0.25">
      <c r="K3892" s="312"/>
      <c r="N3892" s="514"/>
    </row>
    <row r="3893" spans="11:14" x14ac:dyDescent="0.25">
      <c r="K3893" s="312"/>
      <c r="N3893" s="514"/>
    </row>
    <row r="3894" spans="11:14" x14ac:dyDescent="0.25">
      <c r="K3894" s="312"/>
      <c r="N3894" s="514"/>
    </row>
    <row r="3895" spans="11:14" x14ac:dyDescent="0.25">
      <c r="K3895" s="312"/>
      <c r="N3895" s="514"/>
    </row>
    <row r="3896" spans="11:14" x14ac:dyDescent="0.25">
      <c r="K3896" s="312"/>
      <c r="N3896" s="514"/>
    </row>
    <row r="3897" spans="11:14" x14ac:dyDescent="0.25">
      <c r="K3897" s="312"/>
      <c r="N3897" s="514"/>
    </row>
    <row r="3898" spans="11:14" x14ac:dyDescent="0.25">
      <c r="K3898" s="312"/>
      <c r="N3898" s="514"/>
    </row>
    <row r="3899" spans="11:14" x14ac:dyDescent="0.25">
      <c r="K3899" s="312"/>
      <c r="N3899" s="514"/>
    </row>
    <row r="3900" spans="11:14" x14ac:dyDescent="0.25">
      <c r="K3900" s="312"/>
      <c r="N3900" s="514"/>
    </row>
    <row r="3901" spans="11:14" x14ac:dyDescent="0.25">
      <c r="K3901" s="312"/>
      <c r="N3901" s="514"/>
    </row>
    <row r="3902" spans="11:14" x14ac:dyDescent="0.25">
      <c r="K3902" s="312"/>
      <c r="N3902" s="514"/>
    </row>
    <row r="3903" spans="11:14" x14ac:dyDescent="0.25">
      <c r="K3903" s="312"/>
      <c r="N3903" s="514"/>
    </row>
    <row r="3904" spans="11:14" x14ac:dyDescent="0.25">
      <c r="K3904" s="312"/>
      <c r="N3904" s="514"/>
    </row>
    <row r="3905" spans="11:14" x14ac:dyDescent="0.25">
      <c r="K3905" s="312"/>
      <c r="N3905" s="514"/>
    </row>
    <row r="3906" spans="11:14" x14ac:dyDescent="0.25">
      <c r="K3906" s="312"/>
      <c r="N3906" s="514"/>
    </row>
    <row r="3907" spans="11:14" x14ac:dyDescent="0.25">
      <c r="K3907" s="312"/>
      <c r="N3907" s="514"/>
    </row>
    <row r="3908" spans="11:14" x14ac:dyDescent="0.25">
      <c r="K3908" s="312"/>
      <c r="N3908" s="514"/>
    </row>
    <row r="3909" spans="11:14" x14ac:dyDescent="0.25">
      <c r="K3909" s="312"/>
      <c r="N3909" s="514"/>
    </row>
    <row r="3910" spans="11:14" x14ac:dyDescent="0.25">
      <c r="K3910" s="312"/>
      <c r="N3910" s="514"/>
    </row>
    <row r="3911" spans="11:14" x14ac:dyDescent="0.25">
      <c r="K3911" s="312"/>
      <c r="N3911" s="514"/>
    </row>
    <row r="3912" spans="11:14" x14ac:dyDescent="0.25">
      <c r="K3912" s="312"/>
      <c r="N3912" s="514"/>
    </row>
    <row r="3913" spans="11:14" x14ac:dyDescent="0.25">
      <c r="K3913" s="312"/>
      <c r="N3913" s="514"/>
    </row>
    <row r="3914" spans="11:14" x14ac:dyDescent="0.25">
      <c r="K3914" s="312"/>
      <c r="N3914" s="514"/>
    </row>
    <row r="3915" spans="11:14" x14ac:dyDescent="0.25">
      <c r="K3915" s="312"/>
      <c r="N3915" s="514"/>
    </row>
    <row r="3916" spans="11:14" x14ac:dyDescent="0.25">
      <c r="K3916" s="312"/>
      <c r="N3916" s="514"/>
    </row>
    <row r="3917" spans="11:14" x14ac:dyDescent="0.25">
      <c r="K3917" s="312"/>
      <c r="N3917" s="514"/>
    </row>
    <row r="3918" spans="11:14" x14ac:dyDescent="0.25">
      <c r="K3918" s="312"/>
      <c r="N3918" s="514"/>
    </row>
    <row r="3919" spans="11:14" x14ac:dyDescent="0.25">
      <c r="K3919" s="312"/>
      <c r="N3919" s="514"/>
    </row>
    <row r="3920" spans="11:14" x14ac:dyDescent="0.25">
      <c r="K3920" s="312"/>
      <c r="N3920" s="514"/>
    </row>
    <row r="3921" spans="11:14" x14ac:dyDescent="0.25">
      <c r="K3921" s="312"/>
      <c r="N3921" s="514"/>
    </row>
    <row r="3922" spans="11:14" x14ac:dyDescent="0.25">
      <c r="K3922" s="312"/>
      <c r="N3922" s="514"/>
    </row>
    <row r="3923" spans="11:14" x14ac:dyDescent="0.25">
      <c r="K3923" s="312"/>
      <c r="N3923" s="514"/>
    </row>
    <row r="3924" spans="11:14" x14ac:dyDescent="0.25">
      <c r="K3924" s="312"/>
      <c r="N3924" s="514"/>
    </row>
    <row r="3925" spans="11:14" x14ac:dyDescent="0.25">
      <c r="K3925" s="312"/>
      <c r="N3925" s="514"/>
    </row>
    <row r="3926" spans="11:14" x14ac:dyDescent="0.25">
      <c r="K3926" s="312"/>
      <c r="N3926" s="514"/>
    </row>
    <row r="3927" spans="11:14" x14ac:dyDescent="0.25">
      <c r="K3927" s="312"/>
      <c r="N3927" s="514"/>
    </row>
    <row r="3928" spans="11:14" x14ac:dyDescent="0.25">
      <c r="K3928" s="312"/>
      <c r="N3928" s="514"/>
    </row>
    <row r="3929" spans="11:14" x14ac:dyDescent="0.25">
      <c r="K3929" s="312"/>
      <c r="N3929" s="514"/>
    </row>
    <row r="3930" spans="11:14" x14ac:dyDescent="0.25">
      <c r="K3930" s="312"/>
      <c r="N3930" s="514"/>
    </row>
    <row r="3931" spans="11:14" x14ac:dyDescent="0.25">
      <c r="K3931" s="312"/>
      <c r="N3931" s="514"/>
    </row>
    <row r="3932" spans="11:14" x14ac:dyDescent="0.25">
      <c r="K3932" s="312"/>
      <c r="N3932" s="514"/>
    </row>
    <row r="3933" spans="11:14" x14ac:dyDescent="0.25">
      <c r="K3933" s="312"/>
      <c r="N3933" s="514"/>
    </row>
    <row r="3934" spans="11:14" x14ac:dyDescent="0.25">
      <c r="K3934" s="312"/>
      <c r="N3934" s="514"/>
    </row>
    <row r="3935" spans="11:14" x14ac:dyDescent="0.25">
      <c r="K3935" s="312"/>
      <c r="N3935" s="514"/>
    </row>
    <row r="3936" spans="11:14" x14ac:dyDescent="0.25">
      <c r="K3936" s="312"/>
      <c r="N3936" s="514"/>
    </row>
    <row r="3937" spans="11:14" x14ac:dyDescent="0.25">
      <c r="K3937" s="312"/>
      <c r="N3937" s="514"/>
    </row>
    <row r="3938" spans="11:14" x14ac:dyDescent="0.25">
      <c r="K3938" s="312"/>
      <c r="N3938" s="514"/>
    </row>
    <row r="3939" spans="11:14" x14ac:dyDescent="0.25">
      <c r="K3939" s="312"/>
      <c r="N3939" s="514"/>
    </row>
    <row r="3940" spans="11:14" x14ac:dyDescent="0.25">
      <c r="K3940" s="312"/>
      <c r="N3940" s="514"/>
    </row>
    <row r="3941" spans="11:14" x14ac:dyDescent="0.25">
      <c r="K3941" s="312"/>
      <c r="N3941" s="514"/>
    </row>
    <row r="3942" spans="11:14" x14ac:dyDescent="0.25">
      <c r="K3942" s="312"/>
      <c r="N3942" s="514"/>
    </row>
    <row r="3943" spans="11:14" x14ac:dyDescent="0.25">
      <c r="K3943" s="312"/>
      <c r="N3943" s="514"/>
    </row>
    <row r="3944" spans="11:14" x14ac:dyDescent="0.25">
      <c r="K3944" s="312"/>
      <c r="N3944" s="514"/>
    </row>
    <row r="3945" spans="11:14" x14ac:dyDescent="0.25">
      <c r="K3945" s="312"/>
      <c r="N3945" s="514"/>
    </row>
    <row r="3946" spans="11:14" x14ac:dyDescent="0.25">
      <c r="K3946" s="312"/>
      <c r="N3946" s="514"/>
    </row>
    <row r="3947" spans="11:14" x14ac:dyDescent="0.25">
      <c r="K3947" s="312"/>
      <c r="N3947" s="514"/>
    </row>
    <row r="3948" spans="11:14" x14ac:dyDescent="0.25">
      <c r="K3948" s="312"/>
      <c r="N3948" s="514"/>
    </row>
    <row r="3949" spans="11:14" x14ac:dyDescent="0.25">
      <c r="K3949" s="312"/>
      <c r="N3949" s="514"/>
    </row>
    <row r="3950" spans="11:14" x14ac:dyDescent="0.25">
      <c r="K3950" s="312"/>
      <c r="N3950" s="514"/>
    </row>
    <row r="3951" spans="11:14" x14ac:dyDescent="0.25">
      <c r="K3951" s="312"/>
      <c r="N3951" s="514"/>
    </row>
    <row r="3952" spans="11:14" x14ac:dyDescent="0.25">
      <c r="K3952" s="312"/>
      <c r="N3952" s="514"/>
    </row>
    <row r="3953" spans="11:14" x14ac:dyDescent="0.25">
      <c r="K3953" s="312"/>
      <c r="N3953" s="514"/>
    </row>
    <row r="3954" spans="11:14" x14ac:dyDescent="0.25">
      <c r="K3954" s="312"/>
      <c r="N3954" s="514"/>
    </row>
    <row r="3955" spans="11:14" x14ac:dyDescent="0.25">
      <c r="K3955" s="312"/>
      <c r="N3955" s="514"/>
    </row>
    <row r="3956" spans="11:14" x14ac:dyDescent="0.25">
      <c r="K3956" s="312"/>
      <c r="N3956" s="514"/>
    </row>
    <row r="3957" spans="11:14" x14ac:dyDescent="0.25">
      <c r="K3957" s="312"/>
      <c r="N3957" s="514"/>
    </row>
    <row r="3958" spans="11:14" x14ac:dyDescent="0.25">
      <c r="K3958" s="312"/>
      <c r="N3958" s="514"/>
    </row>
    <row r="3959" spans="11:14" x14ac:dyDescent="0.25">
      <c r="K3959" s="312"/>
      <c r="N3959" s="514"/>
    </row>
    <row r="3960" spans="11:14" x14ac:dyDescent="0.25">
      <c r="K3960" s="312"/>
      <c r="N3960" s="514"/>
    </row>
    <row r="3961" spans="11:14" x14ac:dyDescent="0.25">
      <c r="K3961" s="312"/>
      <c r="N3961" s="514"/>
    </row>
    <row r="3962" spans="11:14" x14ac:dyDescent="0.25">
      <c r="K3962" s="312"/>
      <c r="N3962" s="514"/>
    </row>
    <row r="3963" spans="11:14" x14ac:dyDescent="0.25">
      <c r="K3963" s="312"/>
      <c r="N3963" s="514"/>
    </row>
    <row r="3964" spans="11:14" x14ac:dyDescent="0.25">
      <c r="K3964" s="312"/>
      <c r="N3964" s="514"/>
    </row>
    <row r="3965" spans="11:14" x14ac:dyDescent="0.25">
      <c r="K3965" s="312"/>
      <c r="N3965" s="514"/>
    </row>
    <row r="3966" spans="11:14" x14ac:dyDescent="0.25">
      <c r="K3966" s="312"/>
      <c r="N3966" s="514"/>
    </row>
    <row r="3967" spans="11:14" x14ac:dyDescent="0.25">
      <c r="K3967" s="312"/>
      <c r="N3967" s="514"/>
    </row>
    <row r="3968" spans="11:14" x14ac:dyDescent="0.25">
      <c r="K3968" s="312"/>
      <c r="N3968" s="514"/>
    </row>
    <row r="3969" spans="11:14" x14ac:dyDescent="0.25">
      <c r="K3969" s="312"/>
      <c r="N3969" s="514"/>
    </row>
    <row r="3970" spans="11:14" x14ac:dyDescent="0.25">
      <c r="K3970" s="312"/>
      <c r="N3970" s="514"/>
    </row>
    <row r="3971" spans="11:14" x14ac:dyDescent="0.25">
      <c r="K3971" s="312"/>
      <c r="N3971" s="514"/>
    </row>
    <row r="3972" spans="11:14" x14ac:dyDescent="0.25">
      <c r="K3972" s="312"/>
      <c r="N3972" s="514"/>
    </row>
    <row r="3973" spans="11:14" x14ac:dyDescent="0.25">
      <c r="K3973" s="312"/>
      <c r="N3973" s="514"/>
    </row>
    <row r="3974" spans="11:14" x14ac:dyDescent="0.25">
      <c r="K3974" s="312"/>
      <c r="N3974" s="514"/>
    </row>
    <row r="3975" spans="11:14" x14ac:dyDescent="0.25">
      <c r="K3975" s="312"/>
      <c r="N3975" s="514"/>
    </row>
    <row r="3976" spans="11:14" x14ac:dyDescent="0.25">
      <c r="K3976" s="312"/>
      <c r="N3976" s="514"/>
    </row>
    <row r="3977" spans="11:14" x14ac:dyDescent="0.25">
      <c r="K3977" s="312"/>
      <c r="N3977" s="514"/>
    </row>
    <row r="3978" spans="11:14" x14ac:dyDescent="0.25">
      <c r="K3978" s="312"/>
      <c r="N3978" s="514"/>
    </row>
    <row r="3979" spans="11:14" x14ac:dyDescent="0.25">
      <c r="K3979" s="312"/>
      <c r="N3979" s="514"/>
    </row>
    <row r="3980" spans="11:14" x14ac:dyDescent="0.25">
      <c r="K3980" s="312"/>
      <c r="N3980" s="514"/>
    </row>
    <row r="3981" spans="11:14" x14ac:dyDescent="0.25">
      <c r="K3981" s="312"/>
      <c r="N3981" s="514"/>
    </row>
    <row r="3982" spans="11:14" x14ac:dyDescent="0.25">
      <c r="K3982" s="312"/>
      <c r="N3982" s="514"/>
    </row>
    <row r="3983" spans="11:14" x14ac:dyDescent="0.25">
      <c r="K3983" s="312"/>
      <c r="N3983" s="514"/>
    </row>
    <row r="3984" spans="11:14" x14ac:dyDescent="0.25">
      <c r="K3984" s="312"/>
      <c r="N3984" s="514"/>
    </row>
    <row r="3985" spans="11:14" x14ac:dyDescent="0.25">
      <c r="K3985" s="312"/>
      <c r="N3985" s="514"/>
    </row>
    <row r="3986" spans="11:14" x14ac:dyDescent="0.25">
      <c r="K3986" s="312"/>
      <c r="N3986" s="514"/>
    </row>
    <row r="3987" spans="11:14" x14ac:dyDescent="0.25">
      <c r="K3987" s="312"/>
      <c r="N3987" s="514"/>
    </row>
    <row r="3988" spans="11:14" x14ac:dyDescent="0.25">
      <c r="K3988" s="312"/>
      <c r="N3988" s="514"/>
    </row>
    <row r="3989" spans="11:14" x14ac:dyDescent="0.25">
      <c r="K3989" s="312"/>
      <c r="N3989" s="514"/>
    </row>
    <row r="3990" spans="11:14" x14ac:dyDescent="0.25">
      <c r="K3990" s="312"/>
      <c r="N3990" s="514"/>
    </row>
    <row r="3991" spans="11:14" x14ac:dyDescent="0.25">
      <c r="K3991" s="312"/>
      <c r="N3991" s="514"/>
    </row>
    <row r="3992" spans="11:14" x14ac:dyDescent="0.25">
      <c r="K3992" s="312"/>
      <c r="N3992" s="514"/>
    </row>
    <row r="3993" spans="11:14" x14ac:dyDescent="0.25">
      <c r="K3993" s="312"/>
      <c r="N3993" s="514"/>
    </row>
    <row r="3994" spans="11:14" x14ac:dyDescent="0.25">
      <c r="K3994" s="312"/>
      <c r="N3994" s="514"/>
    </row>
    <row r="3995" spans="11:14" x14ac:dyDescent="0.25">
      <c r="K3995" s="312"/>
      <c r="N3995" s="514"/>
    </row>
    <row r="3996" spans="11:14" x14ac:dyDescent="0.25">
      <c r="K3996" s="312"/>
      <c r="N3996" s="514"/>
    </row>
    <row r="3997" spans="11:14" x14ac:dyDescent="0.25">
      <c r="K3997" s="312"/>
      <c r="N3997" s="514"/>
    </row>
    <row r="3998" spans="11:14" x14ac:dyDescent="0.25">
      <c r="K3998" s="312"/>
      <c r="N3998" s="514"/>
    </row>
    <row r="3999" spans="11:14" x14ac:dyDescent="0.25">
      <c r="K3999" s="312"/>
      <c r="N3999" s="514"/>
    </row>
    <row r="4000" spans="11:14" x14ac:dyDescent="0.25">
      <c r="K4000" s="312"/>
      <c r="N4000" s="514"/>
    </row>
    <row r="4001" spans="11:14" x14ac:dyDescent="0.25">
      <c r="K4001" s="312"/>
      <c r="N4001" s="514"/>
    </row>
    <row r="4002" spans="11:14" x14ac:dyDescent="0.25">
      <c r="K4002" s="312"/>
      <c r="N4002" s="514"/>
    </row>
    <row r="4003" spans="11:14" x14ac:dyDescent="0.25">
      <c r="K4003" s="312"/>
      <c r="N4003" s="514"/>
    </row>
    <row r="4004" spans="11:14" x14ac:dyDescent="0.25">
      <c r="K4004" s="312"/>
      <c r="N4004" s="514"/>
    </row>
    <row r="4005" spans="11:14" x14ac:dyDescent="0.25">
      <c r="K4005" s="312"/>
      <c r="N4005" s="514"/>
    </row>
    <row r="4006" spans="11:14" x14ac:dyDescent="0.25">
      <c r="K4006" s="312"/>
      <c r="N4006" s="514"/>
    </row>
    <row r="4007" spans="11:14" x14ac:dyDescent="0.25">
      <c r="K4007" s="312"/>
      <c r="N4007" s="514"/>
    </row>
    <row r="4008" spans="11:14" x14ac:dyDescent="0.25">
      <c r="K4008" s="312"/>
      <c r="N4008" s="514"/>
    </row>
    <row r="4009" spans="11:14" x14ac:dyDescent="0.25">
      <c r="K4009" s="312"/>
      <c r="N4009" s="514"/>
    </row>
    <row r="4010" spans="11:14" x14ac:dyDescent="0.25">
      <c r="K4010" s="312"/>
      <c r="N4010" s="514"/>
    </row>
    <row r="4011" spans="11:14" x14ac:dyDescent="0.25">
      <c r="K4011" s="312"/>
      <c r="N4011" s="514"/>
    </row>
    <row r="4012" spans="11:14" x14ac:dyDescent="0.25">
      <c r="K4012" s="312"/>
      <c r="N4012" s="514"/>
    </row>
    <row r="4013" spans="11:14" x14ac:dyDescent="0.25">
      <c r="K4013" s="312"/>
      <c r="N4013" s="514"/>
    </row>
    <row r="4014" spans="11:14" x14ac:dyDescent="0.25">
      <c r="K4014" s="312"/>
      <c r="N4014" s="514"/>
    </row>
    <row r="4015" spans="11:14" x14ac:dyDescent="0.25">
      <c r="K4015" s="312"/>
      <c r="N4015" s="514"/>
    </row>
    <row r="4016" spans="11:14" x14ac:dyDescent="0.25">
      <c r="K4016" s="312"/>
      <c r="N4016" s="514"/>
    </row>
    <row r="4017" spans="11:14" x14ac:dyDescent="0.25">
      <c r="K4017" s="312"/>
      <c r="N4017" s="514"/>
    </row>
    <row r="4018" spans="11:14" x14ac:dyDescent="0.25">
      <c r="K4018" s="312"/>
      <c r="N4018" s="514"/>
    </row>
    <row r="4019" spans="11:14" x14ac:dyDescent="0.25">
      <c r="K4019" s="312"/>
      <c r="N4019" s="514"/>
    </row>
    <row r="4020" spans="11:14" x14ac:dyDescent="0.25">
      <c r="K4020" s="312"/>
      <c r="N4020" s="514"/>
    </row>
    <row r="4021" spans="11:14" x14ac:dyDescent="0.25">
      <c r="K4021" s="312"/>
      <c r="N4021" s="514"/>
    </row>
    <row r="4022" spans="11:14" x14ac:dyDescent="0.25">
      <c r="K4022" s="312"/>
      <c r="N4022" s="514"/>
    </row>
    <row r="4023" spans="11:14" x14ac:dyDescent="0.25">
      <c r="K4023" s="312"/>
      <c r="N4023" s="514"/>
    </row>
    <row r="4024" spans="11:14" x14ac:dyDescent="0.25">
      <c r="K4024" s="312"/>
      <c r="N4024" s="514"/>
    </row>
    <row r="4025" spans="11:14" x14ac:dyDescent="0.25">
      <c r="K4025" s="312"/>
      <c r="N4025" s="514"/>
    </row>
    <row r="4026" spans="11:14" x14ac:dyDescent="0.25">
      <c r="K4026" s="312"/>
      <c r="N4026" s="514"/>
    </row>
    <row r="4027" spans="11:14" x14ac:dyDescent="0.25">
      <c r="K4027" s="312"/>
      <c r="N4027" s="514"/>
    </row>
    <row r="4028" spans="11:14" x14ac:dyDescent="0.25">
      <c r="K4028" s="312"/>
      <c r="N4028" s="514"/>
    </row>
    <row r="4029" spans="11:14" x14ac:dyDescent="0.25">
      <c r="K4029" s="312"/>
      <c r="N4029" s="514"/>
    </row>
    <row r="4030" spans="11:14" x14ac:dyDescent="0.25">
      <c r="K4030" s="312"/>
      <c r="N4030" s="514"/>
    </row>
    <row r="4031" spans="11:14" x14ac:dyDescent="0.25">
      <c r="K4031" s="312"/>
      <c r="N4031" s="514"/>
    </row>
    <row r="4032" spans="11:14" x14ac:dyDescent="0.25">
      <c r="K4032" s="312"/>
      <c r="N4032" s="514"/>
    </row>
    <row r="4033" spans="11:14" x14ac:dyDescent="0.25">
      <c r="K4033" s="312"/>
      <c r="N4033" s="514"/>
    </row>
    <row r="4034" spans="11:14" x14ac:dyDescent="0.25">
      <c r="K4034" s="312"/>
      <c r="N4034" s="514"/>
    </row>
    <row r="4035" spans="11:14" x14ac:dyDescent="0.25">
      <c r="K4035" s="312"/>
      <c r="N4035" s="514"/>
    </row>
    <row r="4036" spans="11:14" x14ac:dyDescent="0.25">
      <c r="K4036" s="312"/>
      <c r="N4036" s="514"/>
    </row>
    <row r="4037" spans="11:14" x14ac:dyDescent="0.25">
      <c r="K4037" s="312"/>
      <c r="N4037" s="514"/>
    </row>
    <row r="4038" spans="11:14" x14ac:dyDescent="0.25">
      <c r="K4038" s="312"/>
      <c r="N4038" s="514"/>
    </row>
    <row r="4039" spans="11:14" x14ac:dyDescent="0.25">
      <c r="K4039" s="312"/>
      <c r="N4039" s="514"/>
    </row>
    <row r="4040" spans="11:14" x14ac:dyDescent="0.25">
      <c r="K4040" s="312"/>
      <c r="N4040" s="514"/>
    </row>
    <row r="4041" spans="11:14" x14ac:dyDescent="0.25">
      <c r="K4041" s="312"/>
      <c r="N4041" s="514"/>
    </row>
    <row r="4042" spans="11:14" x14ac:dyDescent="0.25">
      <c r="K4042" s="312"/>
      <c r="N4042" s="514"/>
    </row>
    <row r="4043" spans="11:14" x14ac:dyDescent="0.25">
      <c r="K4043" s="312"/>
      <c r="N4043" s="514"/>
    </row>
    <row r="4044" spans="11:14" x14ac:dyDescent="0.25">
      <c r="K4044" s="312"/>
      <c r="N4044" s="514"/>
    </row>
    <row r="4045" spans="11:14" x14ac:dyDescent="0.25">
      <c r="K4045" s="312"/>
      <c r="N4045" s="514"/>
    </row>
    <row r="4046" spans="11:14" x14ac:dyDescent="0.25">
      <c r="K4046" s="312"/>
      <c r="N4046" s="514"/>
    </row>
    <row r="4047" spans="11:14" x14ac:dyDescent="0.25">
      <c r="K4047" s="312"/>
      <c r="N4047" s="514"/>
    </row>
    <row r="4048" spans="11:14" x14ac:dyDescent="0.25">
      <c r="K4048" s="312"/>
      <c r="N4048" s="514"/>
    </row>
    <row r="4049" spans="11:14" x14ac:dyDescent="0.25">
      <c r="K4049" s="312"/>
      <c r="N4049" s="514"/>
    </row>
    <row r="4050" spans="11:14" x14ac:dyDescent="0.25">
      <c r="K4050" s="312"/>
      <c r="N4050" s="514"/>
    </row>
    <row r="4051" spans="11:14" x14ac:dyDescent="0.25">
      <c r="K4051" s="312"/>
      <c r="N4051" s="514"/>
    </row>
    <row r="4052" spans="11:14" x14ac:dyDescent="0.25">
      <c r="K4052" s="312"/>
      <c r="N4052" s="514"/>
    </row>
    <row r="4053" spans="11:14" x14ac:dyDescent="0.25">
      <c r="K4053" s="312"/>
      <c r="N4053" s="514"/>
    </row>
    <row r="4054" spans="11:14" x14ac:dyDescent="0.25">
      <c r="K4054" s="312"/>
      <c r="N4054" s="514"/>
    </row>
    <row r="4055" spans="11:14" x14ac:dyDescent="0.25">
      <c r="K4055" s="312"/>
      <c r="N4055" s="514"/>
    </row>
    <row r="4056" spans="11:14" x14ac:dyDescent="0.25">
      <c r="K4056" s="312"/>
      <c r="N4056" s="514"/>
    </row>
    <row r="4057" spans="11:14" x14ac:dyDescent="0.25">
      <c r="K4057" s="312"/>
      <c r="N4057" s="514"/>
    </row>
    <row r="4058" spans="11:14" x14ac:dyDescent="0.25">
      <c r="K4058" s="312"/>
      <c r="N4058" s="514"/>
    </row>
    <row r="4059" spans="11:14" x14ac:dyDescent="0.25">
      <c r="K4059" s="312"/>
      <c r="N4059" s="514"/>
    </row>
    <row r="4060" spans="11:14" x14ac:dyDescent="0.25">
      <c r="K4060" s="312"/>
      <c r="N4060" s="514"/>
    </row>
    <row r="4061" spans="11:14" x14ac:dyDescent="0.25">
      <c r="K4061" s="312"/>
      <c r="N4061" s="514"/>
    </row>
    <row r="4062" spans="11:14" x14ac:dyDescent="0.25">
      <c r="K4062" s="312"/>
      <c r="N4062" s="514"/>
    </row>
    <row r="4063" spans="11:14" x14ac:dyDescent="0.25">
      <c r="K4063" s="312"/>
      <c r="N4063" s="514"/>
    </row>
    <row r="4064" spans="11:14" x14ac:dyDescent="0.25">
      <c r="K4064" s="312"/>
      <c r="N4064" s="514"/>
    </row>
    <row r="4065" spans="11:14" x14ac:dyDescent="0.25">
      <c r="K4065" s="312"/>
      <c r="N4065" s="514"/>
    </row>
    <row r="4066" spans="11:14" x14ac:dyDescent="0.25">
      <c r="K4066" s="312"/>
      <c r="N4066" s="514"/>
    </row>
    <row r="4067" spans="11:14" x14ac:dyDescent="0.25">
      <c r="K4067" s="312"/>
      <c r="N4067" s="514"/>
    </row>
    <row r="4068" spans="11:14" x14ac:dyDescent="0.25">
      <c r="K4068" s="312"/>
      <c r="N4068" s="514"/>
    </row>
    <row r="4069" spans="11:14" x14ac:dyDescent="0.25">
      <c r="K4069" s="312"/>
      <c r="N4069" s="514"/>
    </row>
    <row r="4070" spans="11:14" x14ac:dyDescent="0.25">
      <c r="K4070" s="312"/>
      <c r="N4070" s="514"/>
    </row>
    <row r="4071" spans="11:14" x14ac:dyDescent="0.25">
      <c r="K4071" s="312"/>
      <c r="N4071" s="514"/>
    </row>
    <row r="4072" spans="11:14" x14ac:dyDescent="0.25">
      <c r="K4072" s="312"/>
      <c r="N4072" s="514"/>
    </row>
    <row r="4073" spans="11:14" x14ac:dyDescent="0.25">
      <c r="K4073" s="312"/>
      <c r="N4073" s="514"/>
    </row>
    <row r="4074" spans="11:14" x14ac:dyDescent="0.25">
      <c r="K4074" s="312"/>
      <c r="N4074" s="514"/>
    </row>
    <row r="4075" spans="11:14" x14ac:dyDescent="0.25">
      <c r="K4075" s="312"/>
      <c r="N4075" s="514"/>
    </row>
    <row r="4076" spans="11:14" x14ac:dyDescent="0.25">
      <c r="K4076" s="312"/>
      <c r="N4076" s="514"/>
    </row>
    <row r="4077" spans="11:14" x14ac:dyDescent="0.25">
      <c r="K4077" s="312"/>
      <c r="N4077" s="514"/>
    </row>
    <row r="4078" spans="11:14" x14ac:dyDescent="0.25">
      <c r="K4078" s="312"/>
      <c r="N4078" s="514"/>
    </row>
    <row r="4079" spans="11:14" x14ac:dyDescent="0.25">
      <c r="K4079" s="312"/>
      <c r="N4079" s="514"/>
    </row>
    <row r="4080" spans="11:14" x14ac:dyDescent="0.25">
      <c r="K4080" s="312"/>
      <c r="N4080" s="514"/>
    </row>
    <row r="4081" spans="11:14" x14ac:dyDescent="0.25">
      <c r="K4081" s="312"/>
      <c r="N4081" s="514"/>
    </row>
    <row r="4082" spans="11:14" x14ac:dyDescent="0.25">
      <c r="K4082" s="312"/>
      <c r="N4082" s="514"/>
    </row>
    <row r="4083" spans="11:14" x14ac:dyDescent="0.25">
      <c r="K4083" s="312"/>
      <c r="N4083" s="514"/>
    </row>
    <row r="4084" spans="11:14" x14ac:dyDescent="0.25">
      <c r="K4084" s="312"/>
      <c r="N4084" s="514"/>
    </row>
    <row r="4085" spans="11:14" x14ac:dyDescent="0.25">
      <c r="K4085" s="312"/>
      <c r="N4085" s="514"/>
    </row>
    <row r="4086" spans="11:14" x14ac:dyDescent="0.25">
      <c r="K4086" s="312"/>
      <c r="N4086" s="514"/>
    </row>
    <row r="4087" spans="11:14" x14ac:dyDescent="0.25">
      <c r="K4087" s="312"/>
      <c r="N4087" s="514"/>
    </row>
    <row r="4088" spans="11:14" x14ac:dyDescent="0.25">
      <c r="K4088" s="312"/>
      <c r="N4088" s="514"/>
    </row>
    <row r="4089" spans="11:14" x14ac:dyDescent="0.25">
      <c r="K4089" s="312"/>
      <c r="N4089" s="514"/>
    </row>
    <row r="4090" spans="11:14" x14ac:dyDescent="0.25">
      <c r="K4090" s="312"/>
      <c r="N4090" s="514"/>
    </row>
    <row r="4091" spans="11:14" x14ac:dyDescent="0.25">
      <c r="K4091" s="312"/>
      <c r="N4091" s="514"/>
    </row>
    <row r="4092" spans="11:14" x14ac:dyDescent="0.25">
      <c r="K4092" s="312"/>
      <c r="N4092" s="514"/>
    </row>
    <row r="4093" spans="11:14" x14ac:dyDescent="0.25">
      <c r="K4093" s="312"/>
      <c r="N4093" s="514"/>
    </row>
    <row r="4094" spans="11:14" x14ac:dyDescent="0.25">
      <c r="K4094" s="312"/>
      <c r="N4094" s="514"/>
    </row>
    <row r="4095" spans="11:14" x14ac:dyDescent="0.25">
      <c r="K4095" s="312"/>
      <c r="N4095" s="514"/>
    </row>
    <row r="4096" spans="11:14" x14ac:dyDescent="0.25">
      <c r="K4096" s="312"/>
      <c r="N4096" s="514"/>
    </row>
    <row r="4097" spans="11:14" x14ac:dyDescent="0.25">
      <c r="K4097" s="312"/>
      <c r="N4097" s="514"/>
    </row>
    <row r="4098" spans="11:14" x14ac:dyDescent="0.25">
      <c r="K4098" s="312"/>
      <c r="N4098" s="514"/>
    </row>
    <row r="4099" spans="11:14" x14ac:dyDescent="0.25">
      <c r="K4099" s="312"/>
      <c r="N4099" s="514"/>
    </row>
    <row r="4100" spans="11:14" x14ac:dyDescent="0.25">
      <c r="K4100" s="312"/>
      <c r="N4100" s="514"/>
    </row>
    <row r="4101" spans="11:14" x14ac:dyDescent="0.25">
      <c r="K4101" s="312"/>
      <c r="N4101" s="514"/>
    </row>
    <row r="4102" spans="11:14" x14ac:dyDescent="0.25">
      <c r="K4102" s="312"/>
      <c r="N4102" s="514"/>
    </row>
    <row r="4103" spans="11:14" x14ac:dyDescent="0.25">
      <c r="K4103" s="312"/>
      <c r="N4103" s="514"/>
    </row>
    <row r="4104" spans="11:14" x14ac:dyDescent="0.25">
      <c r="K4104" s="312"/>
      <c r="N4104" s="514"/>
    </row>
    <row r="4105" spans="11:14" x14ac:dyDescent="0.25">
      <c r="K4105" s="312"/>
      <c r="N4105" s="514"/>
    </row>
    <row r="4106" spans="11:14" x14ac:dyDescent="0.25">
      <c r="K4106" s="312"/>
      <c r="N4106" s="514"/>
    </row>
    <row r="4107" spans="11:14" x14ac:dyDescent="0.25">
      <c r="K4107" s="312"/>
      <c r="N4107" s="514"/>
    </row>
    <row r="4108" spans="11:14" x14ac:dyDescent="0.25">
      <c r="K4108" s="312"/>
      <c r="N4108" s="514"/>
    </row>
    <row r="4109" spans="11:14" x14ac:dyDescent="0.25">
      <c r="K4109" s="312"/>
      <c r="N4109" s="514"/>
    </row>
    <row r="4110" spans="11:14" x14ac:dyDescent="0.25">
      <c r="K4110" s="312"/>
      <c r="N4110" s="514"/>
    </row>
    <row r="4111" spans="11:14" x14ac:dyDescent="0.25">
      <c r="K4111" s="312"/>
      <c r="N4111" s="514"/>
    </row>
    <row r="4112" spans="11:14" x14ac:dyDescent="0.25">
      <c r="K4112" s="312"/>
      <c r="N4112" s="514"/>
    </row>
    <row r="4113" spans="11:14" x14ac:dyDescent="0.25">
      <c r="K4113" s="312"/>
      <c r="N4113" s="514"/>
    </row>
    <row r="4114" spans="11:14" x14ac:dyDescent="0.25">
      <c r="K4114" s="312"/>
      <c r="N4114" s="514"/>
    </row>
    <row r="4115" spans="11:14" x14ac:dyDescent="0.25">
      <c r="K4115" s="312"/>
      <c r="N4115" s="514"/>
    </row>
    <row r="4116" spans="11:14" x14ac:dyDescent="0.25">
      <c r="K4116" s="312"/>
      <c r="N4116" s="514"/>
    </row>
    <row r="4117" spans="11:14" x14ac:dyDescent="0.25">
      <c r="K4117" s="312"/>
      <c r="N4117" s="514"/>
    </row>
    <row r="4118" spans="11:14" x14ac:dyDescent="0.25">
      <c r="K4118" s="312"/>
      <c r="N4118" s="514"/>
    </row>
    <row r="4119" spans="11:14" x14ac:dyDescent="0.25">
      <c r="K4119" s="312"/>
      <c r="N4119" s="514"/>
    </row>
    <row r="4120" spans="11:14" x14ac:dyDescent="0.25">
      <c r="K4120" s="312"/>
      <c r="N4120" s="514"/>
    </row>
    <row r="4121" spans="11:14" x14ac:dyDescent="0.25">
      <c r="K4121" s="312"/>
      <c r="N4121" s="514"/>
    </row>
    <row r="4122" spans="11:14" x14ac:dyDescent="0.25">
      <c r="K4122" s="312"/>
      <c r="N4122" s="514"/>
    </row>
    <row r="4123" spans="11:14" x14ac:dyDescent="0.25">
      <c r="K4123" s="312"/>
      <c r="N4123" s="514"/>
    </row>
    <row r="4124" spans="11:14" x14ac:dyDescent="0.25">
      <c r="K4124" s="312"/>
      <c r="N4124" s="514"/>
    </row>
    <row r="4125" spans="11:14" x14ac:dyDescent="0.25">
      <c r="K4125" s="312"/>
      <c r="N4125" s="514"/>
    </row>
    <row r="4126" spans="11:14" x14ac:dyDescent="0.25">
      <c r="K4126" s="312"/>
      <c r="N4126" s="514"/>
    </row>
    <row r="4127" spans="11:14" x14ac:dyDescent="0.25">
      <c r="K4127" s="312"/>
      <c r="N4127" s="514"/>
    </row>
    <row r="4128" spans="11:14" x14ac:dyDescent="0.25">
      <c r="K4128" s="312"/>
      <c r="N4128" s="514"/>
    </row>
    <row r="4129" spans="11:14" x14ac:dyDescent="0.25">
      <c r="K4129" s="312"/>
      <c r="N4129" s="514"/>
    </row>
    <row r="4130" spans="11:14" x14ac:dyDescent="0.25">
      <c r="K4130" s="312"/>
      <c r="N4130" s="514"/>
    </row>
    <row r="4131" spans="11:14" x14ac:dyDescent="0.25">
      <c r="K4131" s="312"/>
      <c r="N4131" s="514"/>
    </row>
    <row r="4132" spans="11:14" x14ac:dyDescent="0.25">
      <c r="K4132" s="312"/>
      <c r="N4132" s="514"/>
    </row>
    <row r="4133" spans="11:14" x14ac:dyDescent="0.25">
      <c r="K4133" s="312"/>
      <c r="N4133" s="514"/>
    </row>
    <row r="4134" spans="11:14" x14ac:dyDescent="0.25">
      <c r="K4134" s="312"/>
      <c r="N4134" s="514"/>
    </row>
    <row r="4135" spans="11:14" x14ac:dyDescent="0.25">
      <c r="K4135" s="312"/>
      <c r="N4135" s="514"/>
    </row>
    <row r="4136" spans="11:14" x14ac:dyDescent="0.25">
      <c r="K4136" s="312"/>
      <c r="N4136" s="514"/>
    </row>
    <row r="4137" spans="11:14" x14ac:dyDescent="0.25">
      <c r="K4137" s="312"/>
      <c r="N4137" s="514"/>
    </row>
    <row r="4138" spans="11:14" x14ac:dyDescent="0.25">
      <c r="K4138" s="312"/>
      <c r="N4138" s="514"/>
    </row>
    <row r="4139" spans="11:14" x14ac:dyDescent="0.25">
      <c r="K4139" s="312"/>
      <c r="N4139" s="514"/>
    </row>
    <row r="4140" spans="11:14" x14ac:dyDescent="0.25">
      <c r="K4140" s="312"/>
      <c r="N4140" s="514"/>
    </row>
    <row r="4141" spans="11:14" x14ac:dyDescent="0.25">
      <c r="K4141" s="312"/>
      <c r="N4141" s="514"/>
    </row>
    <row r="4142" spans="11:14" x14ac:dyDescent="0.25">
      <c r="K4142" s="312"/>
      <c r="N4142" s="514"/>
    </row>
    <row r="4143" spans="11:14" x14ac:dyDescent="0.25">
      <c r="K4143" s="312"/>
      <c r="N4143" s="514"/>
    </row>
    <row r="4144" spans="11:14" x14ac:dyDescent="0.25">
      <c r="K4144" s="312"/>
      <c r="N4144" s="514"/>
    </row>
    <row r="4145" spans="11:14" x14ac:dyDescent="0.25">
      <c r="K4145" s="312"/>
      <c r="N4145" s="514"/>
    </row>
    <row r="4146" spans="11:14" x14ac:dyDescent="0.25">
      <c r="K4146" s="312"/>
      <c r="N4146" s="514"/>
    </row>
    <row r="4147" spans="11:14" x14ac:dyDescent="0.25">
      <c r="K4147" s="312"/>
      <c r="N4147" s="514"/>
    </row>
    <row r="4148" spans="11:14" x14ac:dyDescent="0.25">
      <c r="K4148" s="312"/>
      <c r="N4148" s="514"/>
    </row>
    <row r="4149" spans="11:14" x14ac:dyDescent="0.25">
      <c r="K4149" s="312"/>
      <c r="N4149" s="514"/>
    </row>
    <row r="4150" spans="11:14" x14ac:dyDescent="0.25">
      <c r="K4150" s="312"/>
      <c r="N4150" s="514"/>
    </row>
    <row r="4151" spans="11:14" x14ac:dyDescent="0.25">
      <c r="K4151" s="312"/>
      <c r="N4151" s="514"/>
    </row>
    <row r="4152" spans="11:14" x14ac:dyDescent="0.25">
      <c r="K4152" s="312"/>
      <c r="N4152" s="514"/>
    </row>
    <row r="4153" spans="11:14" x14ac:dyDescent="0.25">
      <c r="K4153" s="312"/>
      <c r="N4153" s="514"/>
    </row>
    <row r="4154" spans="11:14" x14ac:dyDescent="0.25">
      <c r="K4154" s="312"/>
      <c r="N4154" s="514"/>
    </row>
    <row r="4155" spans="11:14" x14ac:dyDescent="0.25">
      <c r="K4155" s="312"/>
      <c r="N4155" s="514"/>
    </row>
    <row r="4156" spans="11:14" x14ac:dyDescent="0.25">
      <c r="K4156" s="312"/>
      <c r="N4156" s="514"/>
    </row>
    <row r="4157" spans="11:14" x14ac:dyDescent="0.25">
      <c r="K4157" s="312"/>
      <c r="N4157" s="514"/>
    </row>
    <row r="4158" spans="11:14" x14ac:dyDescent="0.25">
      <c r="K4158" s="312"/>
      <c r="N4158" s="514"/>
    </row>
    <row r="4159" spans="11:14" x14ac:dyDescent="0.25">
      <c r="K4159" s="312"/>
      <c r="N4159" s="514"/>
    </row>
    <row r="4160" spans="11:14" x14ac:dyDescent="0.25">
      <c r="K4160" s="312"/>
      <c r="N4160" s="514"/>
    </row>
    <row r="4161" spans="11:14" x14ac:dyDescent="0.25">
      <c r="K4161" s="312"/>
      <c r="N4161" s="514"/>
    </row>
    <row r="4162" spans="11:14" x14ac:dyDescent="0.25">
      <c r="K4162" s="312"/>
      <c r="N4162" s="514"/>
    </row>
    <row r="4163" spans="11:14" x14ac:dyDescent="0.25">
      <c r="K4163" s="312"/>
      <c r="N4163" s="514"/>
    </row>
    <row r="4164" spans="11:14" x14ac:dyDescent="0.25">
      <c r="K4164" s="312"/>
      <c r="N4164" s="514"/>
    </row>
    <row r="4165" spans="11:14" x14ac:dyDescent="0.25">
      <c r="K4165" s="312"/>
      <c r="N4165" s="514"/>
    </row>
    <row r="4166" spans="11:14" x14ac:dyDescent="0.25">
      <c r="K4166" s="312"/>
      <c r="N4166" s="514"/>
    </row>
    <row r="4167" spans="11:14" x14ac:dyDescent="0.25">
      <c r="K4167" s="312"/>
      <c r="N4167" s="514"/>
    </row>
    <row r="4168" spans="11:14" x14ac:dyDescent="0.25">
      <c r="K4168" s="312"/>
      <c r="N4168" s="514"/>
    </row>
    <row r="4169" spans="11:14" x14ac:dyDescent="0.25">
      <c r="K4169" s="312"/>
      <c r="N4169" s="514"/>
    </row>
    <row r="4170" spans="11:14" x14ac:dyDescent="0.25">
      <c r="K4170" s="312"/>
      <c r="N4170" s="514"/>
    </row>
    <row r="4171" spans="11:14" x14ac:dyDescent="0.25">
      <c r="K4171" s="312"/>
      <c r="N4171" s="514"/>
    </row>
    <row r="4172" spans="11:14" x14ac:dyDescent="0.25">
      <c r="K4172" s="312"/>
      <c r="N4172" s="514"/>
    </row>
    <row r="4173" spans="11:14" x14ac:dyDescent="0.25">
      <c r="K4173" s="312"/>
      <c r="N4173" s="514"/>
    </row>
    <row r="4174" spans="11:14" x14ac:dyDescent="0.25">
      <c r="K4174" s="312"/>
      <c r="N4174" s="514"/>
    </row>
    <row r="4175" spans="11:14" x14ac:dyDescent="0.25">
      <c r="K4175" s="312"/>
      <c r="N4175" s="514"/>
    </row>
    <row r="4176" spans="11:14" x14ac:dyDescent="0.25">
      <c r="K4176" s="312"/>
      <c r="N4176" s="514"/>
    </row>
    <row r="4177" spans="11:14" x14ac:dyDescent="0.25">
      <c r="K4177" s="312"/>
      <c r="N4177" s="514"/>
    </row>
    <row r="4178" spans="11:14" x14ac:dyDescent="0.25">
      <c r="K4178" s="312"/>
      <c r="N4178" s="514"/>
    </row>
    <row r="4179" spans="11:14" x14ac:dyDescent="0.25">
      <c r="K4179" s="312"/>
      <c r="N4179" s="514"/>
    </row>
    <row r="4180" spans="11:14" x14ac:dyDescent="0.25">
      <c r="K4180" s="312"/>
      <c r="N4180" s="514"/>
    </row>
    <row r="4181" spans="11:14" x14ac:dyDescent="0.25">
      <c r="K4181" s="312"/>
      <c r="N4181" s="514"/>
    </row>
    <row r="4182" spans="11:14" x14ac:dyDescent="0.25">
      <c r="K4182" s="312"/>
      <c r="N4182" s="514"/>
    </row>
    <row r="4183" spans="11:14" x14ac:dyDescent="0.25">
      <c r="K4183" s="312"/>
      <c r="N4183" s="514"/>
    </row>
    <row r="4184" spans="11:14" x14ac:dyDescent="0.25">
      <c r="K4184" s="312"/>
      <c r="N4184" s="514"/>
    </row>
    <row r="4185" spans="11:14" x14ac:dyDescent="0.25">
      <c r="K4185" s="312"/>
      <c r="N4185" s="514"/>
    </row>
    <row r="4186" spans="11:14" x14ac:dyDescent="0.25">
      <c r="K4186" s="312"/>
      <c r="N4186" s="514"/>
    </row>
    <row r="4187" spans="11:14" x14ac:dyDescent="0.25">
      <c r="K4187" s="312"/>
      <c r="N4187" s="514"/>
    </row>
    <row r="4188" spans="11:14" x14ac:dyDescent="0.25">
      <c r="K4188" s="312"/>
      <c r="N4188" s="514"/>
    </row>
    <row r="4189" spans="11:14" x14ac:dyDescent="0.25">
      <c r="K4189" s="312"/>
      <c r="N4189" s="514"/>
    </row>
    <row r="4190" spans="11:14" x14ac:dyDescent="0.25">
      <c r="K4190" s="312"/>
      <c r="N4190" s="514"/>
    </row>
    <row r="4191" spans="11:14" x14ac:dyDescent="0.25">
      <c r="K4191" s="312"/>
      <c r="N4191" s="514"/>
    </row>
    <row r="4192" spans="11:14" x14ac:dyDescent="0.25">
      <c r="K4192" s="312"/>
      <c r="N4192" s="514"/>
    </row>
    <row r="4193" spans="11:14" x14ac:dyDescent="0.25">
      <c r="K4193" s="312"/>
      <c r="N4193" s="514"/>
    </row>
    <row r="4194" spans="11:14" x14ac:dyDescent="0.25">
      <c r="K4194" s="312"/>
      <c r="N4194" s="514"/>
    </row>
    <row r="4195" spans="11:14" x14ac:dyDescent="0.25">
      <c r="K4195" s="312"/>
      <c r="N4195" s="514"/>
    </row>
    <row r="4196" spans="11:14" x14ac:dyDescent="0.25">
      <c r="K4196" s="312"/>
      <c r="N4196" s="514"/>
    </row>
    <row r="4197" spans="11:14" x14ac:dyDescent="0.25">
      <c r="K4197" s="312"/>
      <c r="N4197" s="514"/>
    </row>
    <row r="4198" spans="11:14" x14ac:dyDescent="0.25">
      <c r="K4198" s="312"/>
      <c r="N4198" s="514"/>
    </row>
    <row r="4199" spans="11:14" x14ac:dyDescent="0.25">
      <c r="K4199" s="312"/>
      <c r="N4199" s="514"/>
    </row>
    <row r="4200" spans="11:14" x14ac:dyDescent="0.25">
      <c r="K4200" s="312"/>
      <c r="N4200" s="514"/>
    </row>
    <row r="4201" spans="11:14" x14ac:dyDescent="0.25">
      <c r="K4201" s="312"/>
      <c r="N4201" s="514"/>
    </row>
    <row r="4202" spans="11:14" x14ac:dyDescent="0.25">
      <c r="K4202" s="312"/>
      <c r="N4202" s="514"/>
    </row>
    <row r="4203" spans="11:14" x14ac:dyDescent="0.25">
      <c r="K4203" s="312"/>
      <c r="N4203" s="514"/>
    </row>
    <row r="4204" spans="11:14" x14ac:dyDescent="0.25">
      <c r="K4204" s="312"/>
      <c r="N4204" s="514"/>
    </row>
    <row r="4205" spans="11:14" x14ac:dyDescent="0.25">
      <c r="K4205" s="312"/>
      <c r="N4205" s="514"/>
    </row>
    <row r="4206" spans="11:14" x14ac:dyDescent="0.25">
      <c r="K4206" s="312"/>
      <c r="N4206" s="514"/>
    </row>
    <row r="4207" spans="11:14" x14ac:dyDescent="0.25">
      <c r="K4207" s="312"/>
      <c r="N4207" s="514"/>
    </row>
    <row r="4208" spans="11:14" x14ac:dyDescent="0.25">
      <c r="K4208" s="312"/>
      <c r="N4208" s="514"/>
    </row>
    <row r="4209" spans="11:14" x14ac:dyDescent="0.25">
      <c r="K4209" s="312"/>
      <c r="N4209" s="514"/>
    </row>
    <row r="4210" spans="11:14" x14ac:dyDescent="0.25">
      <c r="K4210" s="312"/>
      <c r="N4210" s="514"/>
    </row>
    <row r="4211" spans="11:14" x14ac:dyDescent="0.25">
      <c r="K4211" s="312"/>
      <c r="N4211" s="514"/>
    </row>
    <row r="4212" spans="11:14" x14ac:dyDescent="0.25">
      <c r="K4212" s="312"/>
      <c r="N4212" s="514"/>
    </row>
    <row r="4213" spans="11:14" x14ac:dyDescent="0.25">
      <c r="K4213" s="312"/>
      <c r="N4213" s="514"/>
    </row>
    <row r="4214" spans="11:14" x14ac:dyDescent="0.25">
      <c r="K4214" s="312"/>
      <c r="N4214" s="514"/>
    </row>
    <row r="4215" spans="11:14" x14ac:dyDescent="0.25">
      <c r="K4215" s="312"/>
      <c r="N4215" s="514"/>
    </row>
    <row r="4216" spans="11:14" x14ac:dyDescent="0.25">
      <c r="K4216" s="312"/>
      <c r="N4216" s="514"/>
    </row>
    <row r="4217" spans="11:14" x14ac:dyDescent="0.25">
      <c r="K4217" s="312"/>
      <c r="N4217" s="514"/>
    </row>
    <row r="4218" spans="11:14" x14ac:dyDescent="0.25">
      <c r="K4218" s="312"/>
      <c r="N4218" s="514"/>
    </row>
    <row r="4219" spans="11:14" x14ac:dyDescent="0.25">
      <c r="K4219" s="312"/>
      <c r="N4219" s="514"/>
    </row>
    <row r="4220" spans="11:14" x14ac:dyDescent="0.25">
      <c r="K4220" s="312"/>
      <c r="N4220" s="514"/>
    </row>
    <row r="4221" spans="11:14" x14ac:dyDescent="0.25">
      <c r="K4221" s="312"/>
      <c r="N4221" s="514"/>
    </row>
    <row r="4222" spans="11:14" x14ac:dyDescent="0.25">
      <c r="K4222" s="312"/>
      <c r="N4222" s="514"/>
    </row>
    <row r="4223" spans="11:14" x14ac:dyDescent="0.25">
      <c r="K4223" s="312"/>
      <c r="N4223" s="514"/>
    </row>
    <row r="4224" spans="11:14" x14ac:dyDescent="0.25">
      <c r="K4224" s="312"/>
      <c r="N4224" s="514"/>
    </row>
    <row r="4225" spans="11:14" x14ac:dyDescent="0.25">
      <c r="K4225" s="312"/>
      <c r="N4225" s="514"/>
    </row>
    <row r="4226" spans="11:14" x14ac:dyDescent="0.25">
      <c r="K4226" s="312"/>
      <c r="N4226" s="514"/>
    </row>
    <row r="4227" spans="11:14" x14ac:dyDescent="0.25">
      <c r="K4227" s="312"/>
      <c r="N4227" s="514"/>
    </row>
    <row r="4228" spans="11:14" x14ac:dyDescent="0.25">
      <c r="K4228" s="312"/>
      <c r="N4228" s="514"/>
    </row>
    <row r="4229" spans="11:14" x14ac:dyDescent="0.25">
      <c r="K4229" s="312"/>
      <c r="N4229" s="514"/>
    </row>
    <row r="4230" spans="11:14" x14ac:dyDescent="0.25">
      <c r="K4230" s="312"/>
      <c r="N4230" s="514"/>
    </row>
    <row r="4231" spans="11:14" x14ac:dyDescent="0.25">
      <c r="K4231" s="312"/>
      <c r="N4231" s="514"/>
    </row>
    <row r="4232" spans="11:14" x14ac:dyDescent="0.25">
      <c r="K4232" s="312"/>
      <c r="N4232" s="514"/>
    </row>
    <row r="4233" spans="11:14" x14ac:dyDescent="0.25">
      <c r="K4233" s="312"/>
      <c r="N4233" s="514"/>
    </row>
    <row r="4234" spans="11:14" x14ac:dyDescent="0.25">
      <c r="K4234" s="312"/>
      <c r="N4234" s="514"/>
    </row>
    <row r="4235" spans="11:14" x14ac:dyDescent="0.25">
      <c r="K4235" s="312"/>
      <c r="N4235" s="514"/>
    </row>
    <row r="4236" spans="11:14" x14ac:dyDescent="0.25">
      <c r="K4236" s="312"/>
      <c r="N4236" s="514"/>
    </row>
    <row r="4237" spans="11:14" x14ac:dyDescent="0.25">
      <c r="K4237" s="312"/>
      <c r="N4237" s="514"/>
    </row>
    <row r="4238" spans="11:14" x14ac:dyDescent="0.25">
      <c r="K4238" s="312"/>
      <c r="N4238" s="514"/>
    </row>
    <row r="4239" spans="11:14" x14ac:dyDescent="0.25">
      <c r="K4239" s="312"/>
      <c r="N4239" s="514"/>
    </row>
    <row r="4240" spans="11:14" x14ac:dyDescent="0.25">
      <c r="K4240" s="312"/>
      <c r="N4240" s="514"/>
    </row>
    <row r="4241" spans="11:14" x14ac:dyDescent="0.25">
      <c r="K4241" s="312"/>
      <c r="N4241" s="514"/>
    </row>
    <row r="4242" spans="11:14" x14ac:dyDescent="0.25">
      <c r="K4242" s="312"/>
      <c r="N4242" s="514"/>
    </row>
    <row r="4243" spans="11:14" x14ac:dyDescent="0.25">
      <c r="K4243" s="312"/>
      <c r="N4243" s="514"/>
    </row>
    <row r="4244" spans="11:14" x14ac:dyDescent="0.25">
      <c r="K4244" s="312"/>
      <c r="N4244" s="514"/>
    </row>
    <row r="4245" spans="11:14" x14ac:dyDescent="0.25">
      <c r="K4245" s="312"/>
      <c r="N4245" s="514"/>
    </row>
    <row r="4246" spans="11:14" x14ac:dyDescent="0.25">
      <c r="K4246" s="312"/>
      <c r="N4246" s="514"/>
    </row>
    <row r="4247" spans="11:14" x14ac:dyDescent="0.25">
      <c r="K4247" s="312"/>
      <c r="N4247" s="514"/>
    </row>
    <row r="4248" spans="11:14" x14ac:dyDescent="0.25">
      <c r="K4248" s="312"/>
      <c r="N4248" s="514"/>
    </row>
    <row r="4249" spans="11:14" x14ac:dyDescent="0.25">
      <c r="K4249" s="312"/>
      <c r="N4249" s="514"/>
    </row>
    <row r="4250" spans="11:14" x14ac:dyDescent="0.25">
      <c r="K4250" s="312"/>
      <c r="N4250" s="514"/>
    </row>
    <row r="4251" spans="11:14" x14ac:dyDescent="0.25">
      <c r="K4251" s="312"/>
      <c r="N4251" s="514"/>
    </row>
    <row r="4252" spans="11:14" x14ac:dyDescent="0.25">
      <c r="K4252" s="312"/>
      <c r="N4252" s="514"/>
    </row>
    <row r="4253" spans="11:14" x14ac:dyDescent="0.25">
      <c r="K4253" s="312"/>
      <c r="N4253" s="514"/>
    </row>
    <row r="4254" spans="11:14" x14ac:dyDescent="0.25">
      <c r="K4254" s="312"/>
      <c r="N4254" s="514"/>
    </row>
    <row r="4255" spans="11:14" x14ac:dyDescent="0.25">
      <c r="K4255" s="312"/>
      <c r="N4255" s="514"/>
    </row>
    <row r="4256" spans="11:14" x14ac:dyDescent="0.25">
      <c r="K4256" s="312"/>
      <c r="N4256" s="514"/>
    </row>
    <row r="4257" spans="11:14" x14ac:dyDescent="0.25">
      <c r="K4257" s="312"/>
      <c r="N4257" s="514"/>
    </row>
    <row r="4258" spans="11:14" x14ac:dyDescent="0.25">
      <c r="K4258" s="312"/>
      <c r="N4258" s="514"/>
    </row>
    <row r="4259" spans="11:14" x14ac:dyDescent="0.25">
      <c r="K4259" s="312"/>
      <c r="N4259" s="514"/>
    </row>
    <row r="4260" spans="11:14" x14ac:dyDescent="0.25">
      <c r="K4260" s="312"/>
      <c r="N4260" s="514"/>
    </row>
    <row r="4261" spans="11:14" x14ac:dyDescent="0.25">
      <c r="K4261" s="312"/>
      <c r="N4261" s="514"/>
    </row>
    <row r="4262" spans="11:14" x14ac:dyDescent="0.25">
      <c r="K4262" s="312"/>
      <c r="N4262" s="514"/>
    </row>
    <row r="4263" spans="11:14" x14ac:dyDescent="0.25">
      <c r="K4263" s="312"/>
      <c r="N4263" s="514"/>
    </row>
    <row r="4264" spans="11:14" x14ac:dyDescent="0.25">
      <c r="K4264" s="312"/>
      <c r="N4264" s="514"/>
    </row>
    <row r="4265" spans="11:14" x14ac:dyDescent="0.25">
      <c r="K4265" s="312"/>
      <c r="N4265" s="514"/>
    </row>
    <row r="4266" spans="11:14" x14ac:dyDescent="0.25">
      <c r="K4266" s="312"/>
      <c r="N4266" s="514"/>
    </row>
    <row r="4267" spans="11:14" x14ac:dyDescent="0.25">
      <c r="K4267" s="312"/>
      <c r="N4267" s="514"/>
    </row>
    <row r="4268" spans="11:14" x14ac:dyDescent="0.25">
      <c r="K4268" s="312"/>
      <c r="N4268" s="514"/>
    </row>
    <row r="4269" spans="11:14" x14ac:dyDescent="0.25">
      <c r="K4269" s="312"/>
      <c r="N4269" s="514"/>
    </row>
    <row r="4270" spans="11:14" x14ac:dyDescent="0.25">
      <c r="K4270" s="312"/>
      <c r="N4270" s="514"/>
    </row>
    <row r="4271" spans="11:14" x14ac:dyDescent="0.25">
      <c r="K4271" s="312"/>
      <c r="N4271" s="514"/>
    </row>
    <row r="4272" spans="11:14" x14ac:dyDescent="0.25">
      <c r="K4272" s="312"/>
      <c r="N4272" s="514"/>
    </row>
    <row r="4273" spans="11:14" x14ac:dyDescent="0.25">
      <c r="K4273" s="312"/>
      <c r="N4273" s="514"/>
    </row>
    <row r="4274" spans="11:14" x14ac:dyDescent="0.25">
      <c r="K4274" s="312"/>
      <c r="N4274" s="514"/>
    </row>
    <row r="4275" spans="11:14" x14ac:dyDescent="0.25">
      <c r="K4275" s="312"/>
      <c r="N4275" s="514"/>
    </row>
    <row r="4276" spans="11:14" x14ac:dyDescent="0.25">
      <c r="K4276" s="312"/>
      <c r="N4276" s="514"/>
    </row>
    <row r="4277" spans="11:14" x14ac:dyDescent="0.25">
      <c r="K4277" s="312"/>
      <c r="N4277" s="514"/>
    </row>
    <row r="4278" spans="11:14" x14ac:dyDescent="0.25">
      <c r="K4278" s="312"/>
      <c r="N4278" s="514"/>
    </row>
    <row r="4279" spans="11:14" x14ac:dyDescent="0.25">
      <c r="K4279" s="312"/>
      <c r="N4279" s="514"/>
    </row>
    <row r="4280" spans="11:14" x14ac:dyDescent="0.25">
      <c r="K4280" s="312"/>
      <c r="N4280" s="514"/>
    </row>
    <row r="4281" spans="11:14" x14ac:dyDescent="0.25">
      <c r="K4281" s="312"/>
      <c r="N4281" s="514"/>
    </row>
    <row r="4282" spans="11:14" x14ac:dyDescent="0.25">
      <c r="K4282" s="312"/>
      <c r="N4282" s="514"/>
    </row>
    <row r="4283" spans="11:14" x14ac:dyDescent="0.25">
      <c r="K4283" s="312"/>
      <c r="N4283" s="514"/>
    </row>
    <row r="4284" spans="11:14" x14ac:dyDescent="0.25">
      <c r="K4284" s="312"/>
      <c r="N4284" s="514"/>
    </row>
    <row r="4285" spans="11:14" x14ac:dyDescent="0.25">
      <c r="K4285" s="312"/>
      <c r="N4285" s="514"/>
    </row>
    <row r="4286" spans="11:14" x14ac:dyDescent="0.25">
      <c r="K4286" s="312"/>
      <c r="N4286" s="514"/>
    </row>
    <row r="4287" spans="11:14" x14ac:dyDescent="0.25">
      <c r="K4287" s="312"/>
      <c r="N4287" s="514"/>
    </row>
    <row r="4288" spans="11:14" x14ac:dyDescent="0.25">
      <c r="K4288" s="312"/>
      <c r="N4288" s="514"/>
    </row>
    <row r="4289" spans="11:14" x14ac:dyDescent="0.25">
      <c r="K4289" s="312"/>
      <c r="N4289" s="514"/>
    </row>
    <row r="4290" spans="11:14" x14ac:dyDescent="0.25">
      <c r="K4290" s="312"/>
      <c r="N4290" s="514"/>
    </row>
    <row r="4291" spans="11:14" x14ac:dyDescent="0.25">
      <c r="K4291" s="312"/>
      <c r="N4291" s="514"/>
    </row>
    <row r="4292" spans="11:14" x14ac:dyDescent="0.25">
      <c r="K4292" s="312"/>
      <c r="N4292" s="514"/>
    </row>
    <row r="4293" spans="11:14" x14ac:dyDescent="0.25">
      <c r="K4293" s="312"/>
      <c r="N4293" s="514"/>
    </row>
    <row r="4294" spans="11:14" x14ac:dyDescent="0.25">
      <c r="K4294" s="312"/>
      <c r="N4294" s="514"/>
    </row>
    <row r="4295" spans="11:14" x14ac:dyDescent="0.25">
      <c r="K4295" s="312"/>
      <c r="N4295" s="514"/>
    </row>
    <row r="4296" spans="11:14" x14ac:dyDescent="0.25">
      <c r="K4296" s="312"/>
      <c r="N4296" s="514"/>
    </row>
    <row r="4297" spans="11:14" x14ac:dyDescent="0.25">
      <c r="K4297" s="312"/>
      <c r="N4297" s="514"/>
    </row>
    <row r="4298" spans="11:14" x14ac:dyDescent="0.25">
      <c r="K4298" s="312"/>
      <c r="N4298" s="514"/>
    </row>
    <row r="4299" spans="11:14" x14ac:dyDescent="0.25">
      <c r="K4299" s="312"/>
      <c r="N4299" s="514"/>
    </row>
    <row r="4300" spans="11:14" x14ac:dyDescent="0.25">
      <c r="K4300" s="312"/>
      <c r="N4300" s="514"/>
    </row>
    <row r="4301" spans="11:14" x14ac:dyDescent="0.25">
      <c r="K4301" s="312"/>
      <c r="N4301" s="514"/>
    </row>
    <row r="4302" spans="11:14" x14ac:dyDescent="0.25">
      <c r="K4302" s="312"/>
      <c r="N4302" s="514"/>
    </row>
    <row r="4303" spans="11:14" x14ac:dyDescent="0.25">
      <c r="K4303" s="312"/>
      <c r="N4303" s="514"/>
    </row>
    <row r="4304" spans="11:14" x14ac:dyDescent="0.25">
      <c r="K4304" s="312"/>
      <c r="N4304" s="514"/>
    </row>
    <row r="4305" spans="11:14" x14ac:dyDescent="0.25">
      <c r="K4305" s="312"/>
      <c r="N4305" s="514"/>
    </row>
    <row r="4306" spans="11:14" x14ac:dyDescent="0.25">
      <c r="K4306" s="312"/>
      <c r="N4306" s="514"/>
    </row>
    <row r="4307" spans="11:14" x14ac:dyDescent="0.25">
      <c r="K4307" s="312"/>
      <c r="N4307" s="514"/>
    </row>
    <row r="4308" spans="11:14" x14ac:dyDescent="0.25">
      <c r="K4308" s="312"/>
      <c r="N4308" s="514"/>
    </row>
    <row r="4309" spans="11:14" x14ac:dyDescent="0.25">
      <c r="K4309" s="312"/>
      <c r="N4309" s="514"/>
    </row>
    <row r="4310" spans="11:14" x14ac:dyDescent="0.25">
      <c r="K4310" s="312"/>
      <c r="N4310" s="514"/>
    </row>
    <row r="4311" spans="11:14" x14ac:dyDescent="0.25">
      <c r="K4311" s="312"/>
      <c r="N4311" s="514"/>
    </row>
    <row r="4312" spans="11:14" x14ac:dyDescent="0.25">
      <c r="K4312" s="312"/>
      <c r="N4312" s="514"/>
    </row>
    <row r="4313" spans="11:14" x14ac:dyDescent="0.25">
      <c r="K4313" s="312"/>
      <c r="N4313" s="514"/>
    </row>
    <row r="4314" spans="11:14" x14ac:dyDescent="0.25">
      <c r="K4314" s="312"/>
      <c r="N4314" s="514"/>
    </row>
    <row r="4315" spans="11:14" x14ac:dyDescent="0.25">
      <c r="K4315" s="312"/>
      <c r="N4315" s="514"/>
    </row>
    <row r="4316" spans="11:14" x14ac:dyDescent="0.25">
      <c r="K4316" s="312"/>
      <c r="N4316" s="514"/>
    </row>
    <row r="4317" spans="11:14" x14ac:dyDescent="0.25">
      <c r="K4317" s="312"/>
      <c r="N4317" s="514"/>
    </row>
    <row r="4318" spans="11:14" x14ac:dyDescent="0.25">
      <c r="K4318" s="312"/>
      <c r="N4318" s="514"/>
    </row>
    <row r="4319" spans="11:14" x14ac:dyDescent="0.25">
      <c r="K4319" s="312"/>
      <c r="N4319" s="514"/>
    </row>
    <row r="4320" spans="11:14" x14ac:dyDescent="0.25">
      <c r="K4320" s="312"/>
      <c r="N4320" s="514"/>
    </row>
    <row r="4321" spans="11:14" x14ac:dyDescent="0.25">
      <c r="K4321" s="312"/>
      <c r="N4321" s="514"/>
    </row>
    <row r="4322" spans="11:14" x14ac:dyDescent="0.25">
      <c r="K4322" s="312"/>
      <c r="N4322" s="514"/>
    </row>
    <row r="4323" spans="11:14" x14ac:dyDescent="0.25">
      <c r="K4323" s="312"/>
      <c r="N4323" s="514"/>
    </row>
    <row r="4324" spans="11:14" x14ac:dyDescent="0.25">
      <c r="K4324" s="312"/>
      <c r="N4324" s="514"/>
    </row>
    <row r="4325" spans="11:14" x14ac:dyDescent="0.25">
      <c r="K4325" s="312"/>
      <c r="N4325" s="514"/>
    </row>
    <row r="4326" spans="11:14" x14ac:dyDescent="0.25">
      <c r="K4326" s="312"/>
      <c r="N4326" s="514"/>
    </row>
    <row r="4327" spans="11:14" x14ac:dyDescent="0.25">
      <c r="K4327" s="312"/>
      <c r="N4327" s="514"/>
    </row>
    <row r="4328" spans="11:14" x14ac:dyDescent="0.25">
      <c r="K4328" s="312"/>
      <c r="N4328" s="514"/>
    </row>
    <row r="4329" spans="11:14" x14ac:dyDescent="0.25">
      <c r="K4329" s="312"/>
      <c r="N4329" s="514"/>
    </row>
    <row r="4330" spans="11:14" x14ac:dyDescent="0.25">
      <c r="K4330" s="312"/>
      <c r="N4330" s="514"/>
    </row>
    <row r="4331" spans="11:14" x14ac:dyDescent="0.25">
      <c r="K4331" s="312"/>
      <c r="N4331" s="514"/>
    </row>
    <row r="4332" spans="11:14" x14ac:dyDescent="0.25">
      <c r="K4332" s="312"/>
      <c r="N4332" s="514"/>
    </row>
    <row r="4333" spans="11:14" x14ac:dyDescent="0.25">
      <c r="K4333" s="312"/>
      <c r="N4333" s="514"/>
    </row>
    <row r="4334" spans="11:14" x14ac:dyDescent="0.25">
      <c r="K4334" s="312"/>
      <c r="N4334" s="514"/>
    </row>
    <row r="4335" spans="11:14" x14ac:dyDescent="0.25">
      <c r="K4335" s="312"/>
      <c r="N4335" s="514"/>
    </row>
    <row r="4336" spans="11:14" x14ac:dyDescent="0.25">
      <c r="K4336" s="312"/>
      <c r="N4336" s="514"/>
    </row>
    <row r="4337" spans="11:14" x14ac:dyDescent="0.25">
      <c r="K4337" s="312"/>
      <c r="N4337" s="514"/>
    </row>
    <row r="4338" spans="11:14" x14ac:dyDescent="0.25">
      <c r="K4338" s="312"/>
      <c r="N4338" s="514"/>
    </row>
    <row r="4339" spans="11:14" x14ac:dyDescent="0.25">
      <c r="K4339" s="312"/>
      <c r="N4339" s="514"/>
    </row>
    <row r="4340" spans="11:14" x14ac:dyDescent="0.25">
      <c r="K4340" s="312"/>
      <c r="N4340" s="514"/>
    </row>
    <row r="4341" spans="11:14" x14ac:dyDescent="0.25">
      <c r="K4341" s="312"/>
      <c r="N4341" s="514"/>
    </row>
    <row r="4342" spans="11:14" x14ac:dyDescent="0.25">
      <c r="K4342" s="312"/>
      <c r="N4342" s="514"/>
    </row>
    <row r="4343" spans="11:14" x14ac:dyDescent="0.25">
      <c r="K4343" s="312"/>
      <c r="N4343" s="514"/>
    </row>
    <row r="4344" spans="11:14" x14ac:dyDescent="0.25">
      <c r="K4344" s="312"/>
      <c r="N4344" s="514"/>
    </row>
    <row r="4345" spans="11:14" x14ac:dyDescent="0.25">
      <c r="K4345" s="312"/>
      <c r="N4345" s="514"/>
    </row>
    <row r="4346" spans="11:14" x14ac:dyDescent="0.25">
      <c r="K4346" s="312"/>
      <c r="N4346" s="514"/>
    </row>
    <row r="4347" spans="11:14" x14ac:dyDescent="0.25">
      <c r="K4347" s="312"/>
      <c r="N4347" s="514"/>
    </row>
    <row r="4348" spans="11:14" x14ac:dyDescent="0.25">
      <c r="K4348" s="312"/>
      <c r="N4348" s="514"/>
    </row>
    <row r="4349" spans="11:14" x14ac:dyDescent="0.25">
      <c r="K4349" s="312"/>
      <c r="N4349" s="514"/>
    </row>
    <row r="4350" spans="11:14" x14ac:dyDescent="0.25">
      <c r="K4350" s="312"/>
      <c r="N4350" s="514"/>
    </row>
    <row r="4351" spans="11:14" x14ac:dyDescent="0.25">
      <c r="K4351" s="312"/>
      <c r="N4351" s="514"/>
    </row>
    <row r="4352" spans="11:14" x14ac:dyDescent="0.25">
      <c r="K4352" s="312"/>
      <c r="N4352" s="514"/>
    </row>
    <row r="4353" spans="11:14" x14ac:dyDescent="0.25">
      <c r="K4353" s="312"/>
      <c r="N4353" s="514"/>
    </row>
    <row r="4354" spans="11:14" x14ac:dyDescent="0.25">
      <c r="K4354" s="312"/>
      <c r="N4354" s="514"/>
    </row>
    <row r="4355" spans="11:14" x14ac:dyDescent="0.25">
      <c r="K4355" s="312"/>
      <c r="N4355" s="514"/>
    </row>
    <row r="4356" spans="11:14" x14ac:dyDescent="0.25">
      <c r="K4356" s="312"/>
      <c r="N4356" s="514"/>
    </row>
    <row r="4357" spans="11:14" x14ac:dyDescent="0.25">
      <c r="K4357" s="312"/>
      <c r="N4357" s="514"/>
    </row>
    <row r="4358" spans="11:14" x14ac:dyDescent="0.25">
      <c r="K4358" s="312"/>
      <c r="N4358" s="514"/>
    </row>
    <row r="4359" spans="11:14" x14ac:dyDescent="0.25">
      <c r="K4359" s="312"/>
      <c r="N4359" s="514"/>
    </row>
    <row r="4360" spans="11:14" x14ac:dyDescent="0.25">
      <c r="K4360" s="312"/>
      <c r="N4360" s="514"/>
    </row>
    <row r="4361" spans="11:14" x14ac:dyDescent="0.25">
      <c r="K4361" s="312"/>
      <c r="N4361" s="514"/>
    </row>
    <row r="4362" spans="11:14" x14ac:dyDescent="0.25">
      <c r="K4362" s="312"/>
      <c r="N4362" s="514"/>
    </row>
    <row r="4363" spans="11:14" x14ac:dyDescent="0.25">
      <c r="K4363" s="312"/>
      <c r="N4363" s="514"/>
    </row>
    <row r="4364" spans="11:14" x14ac:dyDescent="0.25">
      <c r="K4364" s="312"/>
      <c r="N4364" s="514"/>
    </row>
    <row r="4365" spans="11:14" x14ac:dyDescent="0.25">
      <c r="K4365" s="312"/>
      <c r="N4365" s="514"/>
    </row>
    <row r="4366" spans="11:14" x14ac:dyDescent="0.25">
      <c r="K4366" s="312"/>
      <c r="N4366" s="514"/>
    </row>
    <row r="4367" spans="11:14" x14ac:dyDescent="0.25">
      <c r="K4367" s="312"/>
      <c r="N4367" s="514"/>
    </row>
    <row r="4368" spans="11:14" x14ac:dyDescent="0.25">
      <c r="K4368" s="312"/>
      <c r="N4368" s="514"/>
    </row>
    <row r="4369" spans="11:14" x14ac:dyDescent="0.25">
      <c r="K4369" s="312"/>
      <c r="N4369" s="514"/>
    </row>
    <row r="4370" spans="11:14" x14ac:dyDescent="0.25">
      <c r="K4370" s="312"/>
      <c r="N4370" s="514"/>
    </row>
    <row r="4371" spans="11:14" x14ac:dyDescent="0.25">
      <c r="K4371" s="312"/>
      <c r="N4371" s="514"/>
    </row>
    <row r="4372" spans="11:14" x14ac:dyDescent="0.25">
      <c r="K4372" s="312"/>
      <c r="N4372" s="514"/>
    </row>
    <row r="4373" spans="11:14" x14ac:dyDescent="0.25">
      <c r="K4373" s="312"/>
      <c r="N4373" s="514"/>
    </row>
    <row r="4374" spans="11:14" x14ac:dyDescent="0.25">
      <c r="K4374" s="312"/>
      <c r="N4374" s="514"/>
    </row>
    <row r="4375" spans="11:14" x14ac:dyDescent="0.25">
      <c r="K4375" s="312"/>
      <c r="N4375" s="514"/>
    </row>
    <row r="4376" spans="11:14" x14ac:dyDescent="0.25">
      <c r="K4376" s="312"/>
      <c r="N4376" s="514"/>
    </row>
    <row r="4377" spans="11:14" x14ac:dyDescent="0.25">
      <c r="K4377" s="312"/>
      <c r="N4377" s="514"/>
    </row>
    <row r="4378" spans="11:14" x14ac:dyDescent="0.25">
      <c r="K4378" s="312"/>
      <c r="N4378" s="514"/>
    </row>
    <row r="4379" spans="11:14" x14ac:dyDescent="0.25">
      <c r="K4379" s="312"/>
      <c r="N4379" s="514"/>
    </row>
    <row r="4380" spans="11:14" x14ac:dyDescent="0.25">
      <c r="K4380" s="312"/>
      <c r="N4380" s="514"/>
    </row>
    <row r="4381" spans="11:14" x14ac:dyDescent="0.25">
      <c r="K4381" s="312"/>
      <c r="N4381" s="514"/>
    </row>
    <row r="4382" spans="11:14" x14ac:dyDescent="0.25">
      <c r="K4382" s="312"/>
      <c r="N4382" s="514"/>
    </row>
    <row r="4383" spans="11:14" x14ac:dyDescent="0.25">
      <c r="K4383" s="312"/>
      <c r="N4383" s="514"/>
    </row>
    <row r="4384" spans="11:14" x14ac:dyDescent="0.25">
      <c r="K4384" s="312"/>
      <c r="N4384" s="514"/>
    </row>
    <row r="4385" spans="11:14" x14ac:dyDescent="0.25">
      <c r="K4385" s="312"/>
      <c r="N4385" s="514"/>
    </row>
    <row r="4386" spans="11:14" x14ac:dyDescent="0.25">
      <c r="K4386" s="312"/>
      <c r="N4386" s="514"/>
    </row>
    <row r="4387" spans="11:14" x14ac:dyDescent="0.25">
      <c r="K4387" s="312"/>
      <c r="N4387" s="514"/>
    </row>
    <row r="4388" spans="11:14" x14ac:dyDescent="0.25">
      <c r="K4388" s="312"/>
      <c r="N4388" s="514"/>
    </row>
    <row r="4389" spans="11:14" x14ac:dyDescent="0.25">
      <c r="K4389" s="312"/>
      <c r="N4389" s="514"/>
    </row>
    <row r="4390" spans="11:14" x14ac:dyDescent="0.25">
      <c r="K4390" s="312"/>
      <c r="N4390" s="514"/>
    </row>
    <row r="4391" spans="11:14" x14ac:dyDescent="0.25">
      <c r="K4391" s="312"/>
      <c r="N4391" s="514"/>
    </row>
    <row r="4392" spans="11:14" x14ac:dyDescent="0.25">
      <c r="K4392" s="312"/>
      <c r="N4392" s="514"/>
    </row>
    <row r="4393" spans="11:14" x14ac:dyDescent="0.25">
      <c r="K4393" s="312"/>
      <c r="N4393" s="514"/>
    </row>
    <row r="4394" spans="11:14" x14ac:dyDescent="0.25">
      <c r="K4394" s="312"/>
      <c r="N4394" s="514"/>
    </row>
    <row r="4395" spans="11:14" x14ac:dyDescent="0.25">
      <c r="K4395" s="312"/>
      <c r="N4395" s="514"/>
    </row>
    <row r="4396" spans="11:14" x14ac:dyDescent="0.25">
      <c r="K4396" s="312"/>
      <c r="N4396" s="514"/>
    </row>
    <row r="4397" spans="11:14" x14ac:dyDescent="0.25">
      <c r="K4397" s="312"/>
      <c r="N4397" s="514"/>
    </row>
    <row r="4398" spans="11:14" x14ac:dyDescent="0.25">
      <c r="K4398" s="312"/>
      <c r="N4398" s="514"/>
    </row>
    <row r="4399" spans="11:14" x14ac:dyDescent="0.25">
      <c r="K4399" s="312"/>
      <c r="N4399" s="514"/>
    </row>
    <row r="4400" spans="11:14" x14ac:dyDescent="0.25">
      <c r="K4400" s="312"/>
      <c r="N4400" s="514"/>
    </row>
    <row r="4401" spans="11:14" x14ac:dyDescent="0.25">
      <c r="K4401" s="312"/>
      <c r="N4401" s="514"/>
    </row>
    <row r="4402" spans="11:14" x14ac:dyDescent="0.25">
      <c r="K4402" s="312"/>
      <c r="N4402" s="514"/>
    </row>
    <row r="4403" spans="11:14" x14ac:dyDescent="0.25">
      <c r="K4403" s="312"/>
      <c r="N4403" s="514"/>
    </row>
    <row r="4404" spans="11:14" x14ac:dyDescent="0.25">
      <c r="K4404" s="312"/>
      <c r="N4404" s="514"/>
    </row>
    <row r="4405" spans="11:14" x14ac:dyDescent="0.25">
      <c r="K4405" s="312"/>
      <c r="N4405" s="514"/>
    </row>
    <row r="4406" spans="11:14" x14ac:dyDescent="0.25">
      <c r="K4406" s="312"/>
      <c r="N4406" s="514"/>
    </row>
    <row r="4407" spans="11:14" x14ac:dyDescent="0.25">
      <c r="K4407" s="312"/>
      <c r="N4407" s="514"/>
    </row>
    <row r="4408" spans="11:14" x14ac:dyDescent="0.25">
      <c r="K4408" s="312"/>
      <c r="N4408" s="514"/>
    </row>
    <row r="4409" spans="11:14" x14ac:dyDescent="0.25">
      <c r="K4409" s="312"/>
      <c r="N4409" s="514"/>
    </row>
    <row r="4410" spans="11:14" x14ac:dyDescent="0.25">
      <c r="K4410" s="312"/>
      <c r="N4410" s="514"/>
    </row>
    <row r="4411" spans="11:14" x14ac:dyDescent="0.25">
      <c r="K4411" s="312"/>
      <c r="N4411" s="514"/>
    </row>
    <row r="4412" spans="11:14" x14ac:dyDescent="0.25">
      <c r="K4412" s="312"/>
      <c r="N4412" s="514"/>
    </row>
    <row r="4413" spans="11:14" x14ac:dyDescent="0.25">
      <c r="K4413" s="312"/>
      <c r="N4413" s="514"/>
    </row>
    <row r="4414" spans="11:14" x14ac:dyDescent="0.25">
      <c r="K4414" s="312"/>
      <c r="N4414" s="514"/>
    </row>
    <row r="4415" spans="11:14" x14ac:dyDescent="0.25">
      <c r="K4415" s="312"/>
      <c r="N4415" s="514"/>
    </row>
    <row r="4416" spans="11:14" x14ac:dyDescent="0.25">
      <c r="K4416" s="312"/>
      <c r="N4416" s="514"/>
    </row>
    <row r="4417" spans="11:14" x14ac:dyDescent="0.25">
      <c r="K4417" s="312"/>
      <c r="N4417" s="514"/>
    </row>
    <row r="4418" spans="11:14" x14ac:dyDescent="0.25">
      <c r="K4418" s="312"/>
      <c r="N4418" s="514"/>
    </row>
    <row r="4419" spans="11:14" x14ac:dyDescent="0.25">
      <c r="K4419" s="312"/>
      <c r="N4419" s="514"/>
    </row>
    <row r="4420" spans="11:14" x14ac:dyDescent="0.25">
      <c r="K4420" s="312"/>
      <c r="N4420" s="514"/>
    </row>
    <row r="4421" spans="11:14" x14ac:dyDescent="0.25">
      <c r="K4421" s="312"/>
      <c r="N4421" s="514"/>
    </row>
    <row r="4422" spans="11:14" x14ac:dyDescent="0.25">
      <c r="K4422" s="312"/>
      <c r="N4422" s="514"/>
    </row>
    <row r="4423" spans="11:14" x14ac:dyDescent="0.25">
      <c r="K4423" s="312"/>
      <c r="N4423" s="514"/>
    </row>
    <row r="4424" spans="11:14" x14ac:dyDescent="0.25">
      <c r="K4424" s="312"/>
      <c r="N4424" s="514"/>
    </row>
    <row r="4425" spans="11:14" x14ac:dyDescent="0.25">
      <c r="K4425" s="312"/>
      <c r="N4425" s="514"/>
    </row>
    <row r="4426" spans="11:14" x14ac:dyDescent="0.25">
      <c r="K4426" s="312"/>
      <c r="N4426" s="514"/>
    </row>
    <row r="4427" spans="11:14" x14ac:dyDescent="0.25">
      <c r="K4427" s="312"/>
      <c r="N4427" s="514"/>
    </row>
    <row r="4428" spans="11:14" x14ac:dyDescent="0.25">
      <c r="K4428" s="312"/>
      <c r="N4428" s="514"/>
    </row>
    <row r="4429" spans="11:14" x14ac:dyDescent="0.25">
      <c r="K4429" s="312"/>
      <c r="N4429" s="514"/>
    </row>
    <row r="4430" spans="11:14" x14ac:dyDescent="0.25">
      <c r="K4430" s="312"/>
      <c r="N4430" s="514"/>
    </row>
    <row r="4431" spans="11:14" x14ac:dyDescent="0.25">
      <c r="K4431" s="312"/>
      <c r="N4431" s="514"/>
    </row>
    <row r="4432" spans="11:14" x14ac:dyDescent="0.25">
      <c r="K4432" s="312"/>
      <c r="N4432" s="514"/>
    </row>
    <row r="4433" spans="11:14" x14ac:dyDescent="0.25">
      <c r="K4433" s="312"/>
      <c r="N4433" s="514"/>
    </row>
    <row r="4434" spans="11:14" x14ac:dyDescent="0.25">
      <c r="K4434" s="312"/>
      <c r="N4434" s="514"/>
    </row>
    <row r="4435" spans="11:14" x14ac:dyDescent="0.25">
      <c r="K4435" s="312"/>
      <c r="N4435" s="514"/>
    </row>
    <row r="4436" spans="11:14" x14ac:dyDescent="0.25">
      <c r="K4436" s="312"/>
      <c r="N4436" s="514"/>
    </row>
    <row r="4437" spans="11:14" x14ac:dyDescent="0.25">
      <c r="K4437" s="312"/>
      <c r="N4437" s="514"/>
    </row>
    <row r="4438" spans="11:14" x14ac:dyDescent="0.25">
      <c r="K4438" s="312"/>
      <c r="N4438" s="514"/>
    </row>
    <row r="4439" spans="11:14" x14ac:dyDescent="0.25">
      <c r="K4439" s="312"/>
      <c r="N4439" s="514"/>
    </row>
    <row r="4440" spans="11:14" x14ac:dyDescent="0.25">
      <c r="K4440" s="312"/>
      <c r="N4440" s="514"/>
    </row>
    <row r="4441" spans="11:14" x14ac:dyDescent="0.25">
      <c r="K4441" s="312"/>
      <c r="N4441" s="514"/>
    </row>
    <row r="4442" spans="11:14" x14ac:dyDescent="0.25">
      <c r="K4442" s="312"/>
      <c r="N4442" s="514"/>
    </row>
    <row r="4443" spans="11:14" x14ac:dyDescent="0.25">
      <c r="K4443" s="312"/>
      <c r="N4443" s="514"/>
    </row>
    <row r="4444" spans="11:14" x14ac:dyDescent="0.25">
      <c r="K4444" s="312"/>
      <c r="N4444" s="514"/>
    </row>
    <row r="4445" spans="11:14" x14ac:dyDescent="0.25">
      <c r="K4445" s="312"/>
      <c r="N4445" s="514"/>
    </row>
    <row r="4446" spans="11:14" x14ac:dyDescent="0.25">
      <c r="K4446" s="312"/>
      <c r="N4446" s="514"/>
    </row>
    <row r="4447" spans="11:14" x14ac:dyDescent="0.25">
      <c r="K4447" s="312"/>
      <c r="N4447" s="514"/>
    </row>
    <row r="4448" spans="11:14" x14ac:dyDescent="0.25">
      <c r="K4448" s="312"/>
      <c r="N4448" s="514"/>
    </row>
    <row r="4449" spans="11:14" x14ac:dyDescent="0.25">
      <c r="K4449" s="312"/>
      <c r="N4449" s="514"/>
    </row>
    <row r="4450" spans="11:14" x14ac:dyDescent="0.25">
      <c r="K4450" s="312"/>
      <c r="N4450" s="514"/>
    </row>
    <row r="4451" spans="11:14" x14ac:dyDescent="0.25">
      <c r="K4451" s="312"/>
      <c r="N4451" s="514"/>
    </row>
    <row r="4452" spans="11:14" x14ac:dyDescent="0.25">
      <c r="K4452" s="312"/>
      <c r="N4452" s="514"/>
    </row>
    <row r="4453" spans="11:14" x14ac:dyDescent="0.25">
      <c r="K4453" s="312"/>
      <c r="N4453" s="514"/>
    </row>
    <row r="4454" spans="11:14" x14ac:dyDescent="0.25">
      <c r="K4454" s="312"/>
      <c r="N4454" s="514"/>
    </row>
    <row r="4455" spans="11:14" x14ac:dyDescent="0.25">
      <c r="K4455" s="312"/>
      <c r="N4455" s="514"/>
    </row>
    <row r="4456" spans="11:14" x14ac:dyDescent="0.25">
      <c r="K4456" s="312"/>
      <c r="N4456" s="514"/>
    </row>
    <row r="4457" spans="11:14" x14ac:dyDescent="0.25">
      <c r="K4457" s="312"/>
      <c r="N4457" s="514"/>
    </row>
    <row r="4458" spans="11:14" x14ac:dyDescent="0.25">
      <c r="K4458" s="312"/>
      <c r="N4458" s="514"/>
    </row>
    <row r="4459" spans="11:14" x14ac:dyDescent="0.25">
      <c r="K4459" s="312"/>
      <c r="N4459" s="514"/>
    </row>
    <row r="4460" spans="11:14" x14ac:dyDescent="0.25">
      <c r="K4460" s="312"/>
      <c r="N4460" s="514"/>
    </row>
    <row r="4461" spans="11:14" x14ac:dyDescent="0.25">
      <c r="K4461" s="312"/>
      <c r="N4461" s="514"/>
    </row>
    <row r="4462" spans="11:14" x14ac:dyDescent="0.25">
      <c r="K4462" s="312"/>
      <c r="N4462" s="514"/>
    </row>
    <row r="4463" spans="11:14" x14ac:dyDescent="0.25">
      <c r="K4463" s="312"/>
      <c r="N4463" s="514"/>
    </row>
    <row r="4464" spans="11:14" x14ac:dyDescent="0.25">
      <c r="K4464" s="312"/>
      <c r="N4464" s="514"/>
    </row>
    <row r="4465" spans="11:14" x14ac:dyDescent="0.25">
      <c r="K4465" s="312"/>
      <c r="N4465" s="514"/>
    </row>
    <row r="4466" spans="11:14" x14ac:dyDescent="0.25">
      <c r="K4466" s="312"/>
      <c r="N4466" s="514"/>
    </row>
    <row r="4467" spans="11:14" x14ac:dyDescent="0.25">
      <c r="K4467" s="312"/>
      <c r="N4467" s="514"/>
    </row>
    <row r="4468" spans="11:14" x14ac:dyDescent="0.25">
      <c r="K4468" s="312"/>
      <c r="N4468" s="514"/>
    </row>
    <row r="4469" spans="11:14" x14ac:dyDescent="0.25">
      <c r="K4469" s="312"/>
      <c r="N4469" s="514"/>
    </row>
    <row r="4470" spans="11:14" x14ac:dyDescent="0.25">
      <c r="K4470" s="312"/>
      <c r="N4470" s="514"/>
    </row>
    <row r="4471" spans="11:14" x14ac:dyDescent="0.25">
      <c r="K4471" s="312"/>
      <c r="N4471" s="514"/>
    </row>
    <row r="4472" spans="11:14" x14ac:dyDescent="0.25">
      <c r="K4472" s="312"/>
      <c r="N4472" s="514"/>
    </row>
    <row r="4473" spans="11:14" x14ac:dyDescent="0.25">
      <c r="K4473" s="312"/>
      <c r="N4473" s="514"/>
    </row>
    <row r="4474" spans="11:14" x14ac:dyDescent="0.25">
      <c r="K4474" s="312"/>
      <c r="N4474" s="514"/>
    </row>
    <row r="4475" spans="11:14" x14ac:dyDescent="0.25">
      <c r="K4475" s="312"/>
      <c r="N4475" s="514"/>
    </row>
    <row r="4476" spans="11:14" x14ac:dyDescent="0.25">
      <c r="K4476" s="312"/>
      <c r="N4476" s="514"/>
    </row>
    <row r="4477" spans="11:14" x14ac:dyDescent="0.25">
      <c r="K4477" s="312"/>
      <c r="N4477" s="514"/>
    </row>
    <row r="4478" spans="11:14" x14ac:dyDescent="0.25">
      <c r="K4478" s="312"/>
      <c r="N4478" s="514"/>
    </row>
    <row r="4479" spans="11:14" x14ac:dyDescent="0.25">
      <c r="K4479" s="312"/>
      <c r="N4479" s="514"/>
    </row>
    <row r="4480" spans="11:14" x14ac:dyDescent="0.25">
      <c r="K4480" s="312"/>
      <c r="N4480" s="514"/>
    </row>
    <row r="4481" spans="11:14" x14ac:dyDescent="0.25">
      <c r="K4481" s="312"/>
      <c r="N4481" s="514"/>
    </row>
    <row r="4482" spans="11:14" x14ac:dyDescent="0.25">
      <c r="K4482" s="312"/>
      <c r="N4482" s="514"/>
    </row>
    <row r="4483" spans="11:14" x14ac:dyDescent="0.25">
      <c r="K4483" s="312"/>
      <c r="N4483" s="514"/>
    </row>
    <row r="4484" spans="11:14" x14ac:dyDescent="0.25">
      <c r="K4484" s="312"/>
      <c r="N4484" s="514"/>
    </row>
    <row r="4485" spans="11:14" x14ac:dyDescent="0.25">
      <c r="K4485" s="312"/>
      <c r="N4485" s="514"/>
    </row>
    <row r="4486" spans="11:14" x14ac:dyDescent="0.25">
      <c r="K4486" s="312"/>
      <c r="N4486" s="514"/>
    </row>
    <row r="4487" spans="11:14" x14ac:dyDescent="0.25">
      <c r="K4487" s="312"/>
      <c r="N4487" s="514"/>
    </row>
    <row r="4488" spans="11:14" x14ac:dyDescent="0.25">
      <c r="K4488" s="312"/>
      <c r="N4488" s="514"/>
    </row>
    <row r="4489" spans="11:14" x14ac:dyDescent="0.25">
      <c r="K4489" s="312"/>
      <c r="N4489" s="514"/>
    </row>
    <row r="4490" spans="11:14" x14ac:dyDescent="0.25">
      <c r="K4490" s="312"/>
      <c r="N4490" s="514"/>
    </row>
    <row r="4491" spans="11:14" x14ac:dyDescent="0.25">
      <c r="K4491" s="312"/>
      <c r="N4491" s="514"/>
    </row>
    <row r="4492" spans="11:14" x14ac:dyDescent="0.25">
      <c r="K4492" s="312"/>
      <c r="N4492" s="514"/>
    </row>
    <row r="4493" spans="11:14" x14ac:dyDescent="0.25">
      <c r="K4493" s="312"/>
      <c r="N4493" s="514"/>
    </row>
    <row r="4494" spans="11:14" x14ac:dyDescent="0.25">
      <c r="K4494" s="312"/>
      <c r="N4494" s="514"/>
    </row>
    <row r="4495" spans="11:14" x14ac:dyDescent="0.25">
      <c r="K4495" s="312"/>
      <c r="N4495" s="514"/>
    </row>
    <row r="4496" spans="11:14" x14ac:dyDescent="0.25">
      <c r="K4496" s="312"/>
      <c r="N4496" s="514"/>
    </row>
    <row r="4497" spans="11:14" x14ac:dyDescent="0.25">
      <c r="K4497" s="312"/>
      <c r="N4497" s="514"/>
    </row>
    <row r="4498" spans="11:14" x14ac:dyDescent="0.25">
      <c r="K4498" s="312"/>
      <c r="N4498" s="514"/>
    </row>
    <row r="4499" spans="11:14" x14ac:dyDescent="0.25">
      <c r="K4499" s="312"/>
      <c r="N4499" s="514"/>
    </row>
    <row r="4500" spans="11:14" x14ac:dyDescent="0.25">
      <c r="K4500" s="312"/>
      <c r="N4500" s="514"/>
    </row>
    <row r="4501" spans="11:14" x14ac:dyDescent="0.25">
      <c r="K4501" s="312"/>
      <c r="N4501" s="514"/>
    </row>
    <row r="4502" spans="11:14" x14ac:dyDescent="0.25">
      <c r="K4502" s="312"/>
      <c r="N4502" s="514"/>
    </row>
    <row r="4503" spans="11:14" x14ac:dyDescent="0.25">
      <c r="K4503" s="312"/>
      <c r="N4503" s="514"/>
    </row>
    <row r="4504" spans="11:14" x14ac:dyDescent="0.25">
      <c r="K4504" s="312"/>
      <c r="N4504" s="514"/>
    </row>
    <row r="4505" spans="11:14" x14ac:dyDescent="0.25">
      <c r="K4505" s="312"/>
      <c r="N4505" s="514"/>
    </row>
    <row r="4506" spans="11:14" x14ac:dyDescent="0.25">
      <c r="K4506" s="312"/>
      <c r="N4506" s="514"/>
    </row>
    <row r="4507" spans="11:14" x14ac:dyDescent="0.25">
      <c r="K4507" s="312"/>
      <c r="N4507" s="514"/>
    </row>
    <row r="4508" spans="11:14" x14ac:dyDescent="0.25">
      <c r="K4508" s="312"/>
      <c r="N4508" s="514"/>
    </row>
    <row r="4509" spans="11:14" x14ac:dyDescent="0.25">
      <c r="K4509" s="312"/>
      <c r="N4509" s="514"/>
    </row>
    <row r="4510" spans="11:14" x14ac:dyDescent="0.25">
      <c r="K4510" s="312"/>
      <c r="N4510" s="514"/>
    </row>
    <row r="4511" spans="11:14" x14ac:dyDescent="0.25">
      <c r="K4511" s="312"/>
      <c r="N4511" s="514"/>
    </row>
    <row r="4512" spans="11:14" x14ac:dyDescent="0.25">
      <c r="K4512" s="312"/>
      <c r="N4512" s="514"/>
    </row>
    <row r="4513" spans="11:14" x14ac:dyDescent="0.25">
      <c r="K4513" s="312"/>
      <c r="N4513" s="514"/>
    </row>
    <row r="4514" spans="11:14" x14ac:dyDescent="0.25">
      <c r="K4514" s="312"/>
      <c r="N4514" s="514"/>
    </row>
    <row r="4515" spans="11:14" x14ac:dyDescent="0.25">
      <c r="K4515" s="312"/>
      <c r="N4515" s="514"/>
    </row>
    <row r="4516" spans="11:14" x14ac:dyDescent="0.25">
      <c r="K4516" s="312"/>
      <c r="N4516" s="514"/>
    </row>
    <row r="4517" spans="11:14" x14ac:dyDescent="0.25">
      <c r="K4517" s="312"/>
      <c r="N4517" s="514"/>
    </row>
    <row r="4518" spans="11:14" x14ac:dyDescent="0.25">
      <c r="K4518" s="312"/>
      <c r="N4518" s="514"/>
    </row>
    <row r="4519" spans="11:14" x14ac:dyDescent="0.25">
      <c r="K4519" s="312"/>
      <c r="N4519" s="514"/>
    </row>
    <row r="4520" spans="11:14" x14ac:dyDescent="0.25">
      <c r="K4520" s="312"/>
      <c r="N4520" s="514"/>
    </row>
    <row r="4521" spans="11:14" x14ac:dyDescent="0.25">
      <c r="K4521" s="312"/>
      <c r="N4521" s="514"/>
    </row>
    <row r="4522" spans="11:14" x14ac:dyDescent="0.25">
      <c r="K4522" s="312"/>
      <c r="N4522" s="514"/>
    </row>
    <row r="4523" spans="11:14" x14ac:dyDescent="0.25">
      <c r="K4523" s="312"/>
      <c r="N4523" s="514"/>
    </row>
    <row r="4524" spans="11:14" x14ac:dyDescent="0.25">
      <c r="K4524" s="312"/>
      <c r="N4524" s="514"/>
    </row>
    <row r="4525" spans="11:14" x14ac:dyDescent="0.25">
      <c r="K4525" s="312"/>
      <c r="N4525" s="514"/>
    </row>
    <row r="4526" spans="11:14" x14ac:dyDescent="0.25">
      <c r="K4526" s="312"/>
      <c r="N4526" s="514"/>
    </row>
    <row r="4527" spans="11:14" x14ac:dyDescent="0.25">
      <c r="K4527" s="312"/>
      <c r="N4527" s="514"/>
    </row>
    <row r="4528" spans="11:14" x14ac:dyDescent="0.25">
      <c r="K4528" s="312"/>
      <c r="N4528" s="514"/>
    </row>
    <row r="4529" spans="11:14" x14ac:dyDescent="0.25">
      <c r="K4529" s="312"/>
      <c r="N4529" s="514"/>
    </row>
    <row r="4530" spans="11:14" x14ac:dyDescent="0.25">
      <c r="K4530" s="312"/>
      <c r="N4530" s="514"/>
    </row>
    <row r="4531" spans="11:14" x14ac:dyDescent="0.25">
      <c r="K4531" s="312"/>
      <c r="N4531" s="514"/>
    </row>
    <row r="4532" spans="11:14" x14ac:dyDescent="0.25">
      <c r="K4532" s="312"/>
      <c r="N4532" s="514"/>
    </row>
    <row r="4533" spans="11:14" x14ac:dyDescent="0.25">
      <c r="K4533" s="312"/>
      <c r="N4533" s="514"/>
    </row>
    <row r="4534" spans="11:14" x14ac:dyDescent="0.25">
      <c r="K4534" s="312"/>
      <c r="N4534" s="514"/>
    </row>
    <row r="4535" spans="11:14" x14ac:dyDescent="0.25">
      <c r="K4535" s="312"/>
      <c r="N4535" s="514"/>
    </row>
    <row r="4536" spans="11:14" x14ac:dyDescent="0.25">
      <c r="K4536" s="312"/>
      <c r="N4536" s="514"/>
    </row>
    <row r="4537" spans="11:14" x14ac:dyDescent="0.25">
      <c r="K4537" s="312"/>
      <c r="N4537" s="514"/>
    </row>
    <row r="4538" spans="11:14" x14ac:dyDescent="0.25">
      <c r="K4538" s="312"/>
      <c r="N4538" s="514"/>
    </row>
    <row r="4539" spans="11:14" x14ac:dyDescent="0.25">
      <c r="K4539" s="312"/>
      <c r="N4539" s="514"/>
    </row>
    <row r="4540" spans="11:14" x14ac:dyDescent="0.25">
      <c r="K4540" s="312"/>
      <c r="N4540" s="514"/>
    </row>
    <row r="4541" spans="11:14" x14ac:dyDescent="0.25">
      <c r="K4541" s="312"/>
      <c r="N4541" s="514"/>
    </row>
    <row r="4542" spans="11:14" x14ac:dyDescent="0.25">
      <c r="K4542" s="312"/>
      <c r="N4542" s="514"/>
    </row>
    <row r="4543" spans="11:14" x14ac:dyDescent="0.25">
      <c r="K4543" s="312"/>
      <c r="N4543" s="514"/>
    </row>
    <row r="4544" spans="11:14" x14ac:dyDescent="0.25">
      <c r="K4544" s="312"/>
      <c r="N4544" s="514"/>
    </row>
    <row r="4545" spans="11:14" x14ac:dyDescent="0.25">
      <c r="K4545" s="312"/>
      <c r="N4545" s="514"/>
    </row>
    <row r="4546" spans="11:14" x14ac:dyDescent="0.25">
      <c r="K4546" s="312"/>
      <c r="N4546" s="514"/>
    </row>
    <row r="4547" spans="11:14" x14ac:dyDescent="0.25">
      <c r="K4547" s="312"/>
      <c r="N4547" s="514"/>
    </row>
    <row r="4548" spans="11:14" x14ac:dyDescent="0.25">
      <c r="K4548" s="312"/>
      <c r="N4548" s="514"/>
    </row>
    <row r="4549" spans="11:14" x14ac:dyDescent="0.25">
      <c r="K4549" s="312"/>
      <c r="N4549" s="514"/>
    </row>
    <row r="4550" spans="11:14" x14ac:dyDescent="0.25">
      <c r="K4550" s="312"/>
      <c r="N4550" s="514"/>
    </row>
    <row r="4551" spans="11:14" x14ac:dyDescent="0.25">
      <c r="K4551" s="312"/>
      <c r="N4551" s="514"/>
    </row>
    <row r="4552" spans="11:14" x14ac:dyDescent="0.25">
      <c r="K4552" s="312"/>
      <c r="N4552" s="514"/>
    </row>
    <row r="4553" spans="11:14" x14ac:dyDescent="0.25">
      <c r="K4553" s="312"/>
      <c r="N4553" s="514"/>
    </row>
    <row r="4554" spans="11:14" x14ac:dyDescent="0.25">
      <c r="K4554" s="312"/>
      <c r="N4554" s="514"/>
    </row>
    <row r="4555" spans="11:14" x14ac:dyDescent="0.25">
      <c r="K4555" s="312"/>
      <c r="N4555" s="514"/>
    </row>
    <row r="4556" spans="11:14" x14ac:dyDescent="0.25">
      <c r="K4556" s="312"/>
      <c r="N4556" s="514"/>
    </row>
    <row r="4557" spans="11:14" x14ac:dyDescent="0.25">
      <c r="K4557" s="312"/>
      <c r="N4557" s="514"/>
    </row>
    <row r="4558" spans="11:14" x14ac:dyDescent="0.25">
      <c r="K4558" s="312"/>
      <c r="N4558" s="514"/>
    </row>
    <row r="4559" spans="11:14" x14ac:dyDescent="0.25">
      <c r="K4559" s="312"/>
      <c r="N4559" s="514"/>
    </row>
    <row r="4560" spans="11:14" x14ac:dyDescent="0.25">
      <c r="K4560" s="312"/>
      <c r="N4560" s="514"/>
    </row>
    <row r="4561" spans="11:14" x14ac:dyDescent="0.25">
      <c r="K4561" s="312"/>
      <c r="N4561" s="514"/>
    </row>
    <row r="4562" spans="11:14" x14ac:dyDescent="0.25">
      <c r="K4562" s="312"/>
      <c r="N4562" s="514"/>
    </row>
    <row r="4563" spans="11:14" x14ac:dyDescent="0.25">
      <c r="K4563" s="312"/>
      <c r="N4563" s="514"/>
    </row>
    <row r="4564" spans="11:14" x14ac:dyDescent="0.25">
      <c r="K4564" s="312"/>
      <c r="N4564" s="514"/>
    </row>
    <row r="4565" spans="11:14" x14ac:dyDescent="0.25">
      <c r="K4565" s="312"/>
      <c r="N4565" s="514"/>
    </row>
    <row r="4566" spans="11:14" x14ac:dyDescent="0.25">
      <c r="K4566" s="312"/>
      <c r="N4566" s="514"/>
    </row>
    <row r="4567" spans="11:14" x14ac:dyDescent="0.25">
      <c r="K4567" s="312"/>
      <c r="N4567" s="514"/>
    </row>
    <row r="4568" spans="11:14" x14ac:dyDescent="0.25">
      <c r="K4568" s="312"/>
      <c r="N4568" s="514"/>
    </row>
    <row r="4569" spans="11:14" x14ac:dyDescent="0.25">
      <c r="K4569" s="312"/>
      <c r="N4569" s="514"/>
    </row>
    <row r="4570" spans="11:14" x14ac:dyDescent="0.25">
      <c r="K4570" s="312"/>
      <c r="N4570" s="514"/>
    </row>
    <row r="4571" spans="11:14" x14ac:dyDescent="0.25">
      <c r="K4571" s="312"/>
      <c r="N4571" s="514"/>
    </row>
    <row r="4572" spans="11:14" x14ac:dyDescent="0.25">
      <c r="K4572" s="312"/>
      <c r="N4572" s="514"/>
    </row>
    <row r="4573" spans="11:14" x14ac:dyDescent="0.25">
      <c r="K4573" s="312"/>
      <c r="N4573" s="514"/>
    </row>
    <row r="4574" spans="11:14" x14ac:dyDescent="0.25">
      <c r="K4574" s="312"/>
      <c r="N4574" s="514"/>
    </row>
    <row r="4575" spans="11:14" x14ac:dyDescent="0.25">
      <c r="K4575" s="312"/>
      <c r="N4575" s="514"/>
    </row>
    <row r="4576" spans="11:14" x14ac:dyDescent="0.25">
      <c r="K4576" s="312"/>
      <c r="N4576" s="514"/>
    </row>
    <row r="4577" spans="11:14" x14ac:dyDescent="0.25">
      <c r="K4577" s="312"/>
      <c r="N4577" s="514"/>
    </row>
    <row r="4578" spans="11:14" x14ac:dyDescent="0.25">
      <c r="K4578" s="312"/>
      <c r="N4578" s="514"/>
    </row>
    <row r="4579" spans="11:14" x14ac:dyDescent="0.25">
      <c r="K4579" s="312"/>
      <c r="N4579" s="514"/>
    </row>
    <row r="4580" spans="11:14" x14ac:dyDescent="0.25">
      <c r="K4580" s="312"/>
      <c r="N4580" s="514"/>
    </row>
    <row r="4581" spans="11:14" x14ac:dyDescent="0.25">
      <c r="K4581" s="312"/>
      <c r="N4581" s="514"/>
    </row>
    <row r="4582" spans="11:14" x14ac:dyDescent="0.25">
      <c r="K4582" s="312"/>
      <c r="N4582" s="514"/>
    </row>
    <row r="4583" spans="11:14" x14ac:dyDescent="0.25">
      <c r="K4583" s="312"/>
      <c r="N4583" s="514"/>
    </row>
    <row r="4584" spans="11:14" x14ac:dyDescent="0.25">
      <c r="K4584" s="312"/>
      <c r="N4584" s="514"/>
    </row>
    <row r="4585" spans="11:14" x14ac:dyDescent="0.25">
      <c r="K4585" s="312"/>
      <c r="N4585" s="514"/>
    </row>
    <row r="4586" spans="11:14" x14ac:dyDescent="0.25">
      <c r="K4586" s="312"/>
      <c r="N4586" s="514"/>
    </row>
    <row r="4587" spans="11:14" x14ac:dyDescent="0.25">
      <c r="K4587" s="312"/>
      <c r="N4587" s="514"/>
    </row>
    <row r="4588" spans="11:14" x14ac:dyDescent="0.25">
      <c r="K4588" s="312"/>
      <c r="N4588" s="514"/>
    </row>
    <row r="4589" spans="11:14" x14ac:dyDescent="0.25">
      <c r="K4589" s="312"/>
      <c r="N4589" s="514"/>
    </row>
    <row r="4590" spans="11:14" x14ac:dyDescent="0.25">
      <c r="K4590" s="312"/>
      <c r="N4590" s="514"/>
    </row>
    <row r="4591" spans="11:14" x14ac:dyDescent="0.25">
      <c r="K4591" s="312"/>
      <c r="N4591" s="514"/>
    </row>
    <row r="4592" spans="11:14" x14ac:dyDescent="0.25">
      <c r="K4592" s="312"/>
      <c r="N4592" s="514"/>
    </row>
    <row r="4593" spans="11:14" x14ac:dyDescent="0.25">
      <c r="K4593" s="312"/>
      <c r="N4593" s="514"/>
    </row>
    <row r="4594" spans="11:14" x14ac:dyDescent="0.25">
      <c r="K4594" s="312"/>
      <c r="N4594" s="514"/>
    </row>
    <row r="4595" spans="11:14" x14ac:dyDescent="0.25">
      <c r="K4595" s="312"/>
      <c r="N4595" s="514"/>
    </row>
    <row r="4596" spans="11:14" x14ac:dyDescent="0.25">
      <c r="K4596" s="312"/>
      <c r="N4596" s="514"/>
    </row>
    <row r="4597" spans="11:14" x14ac:dyDescent="0.25">
      <c r="K4597" s="312"/>
      <c r="N4597" s="514"/>
    </row>
    <row r="4598" spans="11:14" x14ac:dyDescent="0.25">
      <c r="K4598" s="312"/>
      <c r="N4598" s="514"/>
    </row>
    <row r="4599" spans="11:14" x14ac:dyDescent="0.25">
      <c r="K4599" s="312"/>
      <c r="N4599" s="514"/>
    </row>
    <row r="4600" spans="11:14" x14ac:dyDescent="0.25">
      <c r="K4600" s="312"/>
      <c r="N4600" s="514"/>
    </row>
    <row r="4601" spans="11:14" x14ac:dyDescent="0.25">
      <c r="K4601" s="312"/>
      <c r="N4601" s="514"/>
    </row>
    <row r="4602" spans="11:14" x14ac:dyDescent="0.25">
      <c r="K4602" s="312"/>
      <c r="N4602" s="514"/>
    </row>
    <row r="4603" spans="11:14" x14ac:dyDescent="0.25">
      <c r="K4603" s="312"/>
      <c r="N4603" s="514"/>
    </row>
    <row r="4604" spans="11:14" x14ac:dyDescent="0.25">
      <c r="K4604" s="312"/>
      <c r="N4604" s="514"/>
    </row>
    <row r="4605" spans="11:14" x14ac:dyDescent="0.25">
      <c r="K4605" s="312"/>
      <c r="N4605" s="514"/>
    </row>
    <row r="4606" spans="11:14" x14ac:dyDescent="0.25">
      <c r="K4606" s="312"/>
      <c r="N4606" s="514"/>
    </row>
    <row r="4607" spans="11:14" x14ac:dyDescent="0.25">
      <c r="K4607" s="312"/>
      <c r="N4607" s="514"/>
    </row>
    <row r="4608" spans="11:14" x14ac:dyDescent="0.25">
      <c r="K4608" s="312"/>
      <c r="N4608" s="514"/>
    </row>
    <row r="4609" spans="11:14" x14ac:dyDescent="0.25">
      <c r="K4609" s="312"/>
      <c r="N4609" s="514"/>
    </row>
    <row r="4610" spans="11:14" x14ac:dyDescent="0.25">
      <c r="K4610" s="312"/>
      <c r="N4610" s="514"/>
    </row>
    <row r="4611" spans="11:14" x14ac:dyDescent="0.25">
      <c r="K4611" s="312"/>
      <c r="N4611" s="514"/>
    </row>
    <row r="4612" spans="11:14" x14ac:dyDescent="0.25">
      <c r="K4612" s="312"/>
      <c r="N4612" s="514"/>
    </row>
    <row r="4613" spans="11:14" x14ac:dyDescent="0.25">
      <c r="K4613" s="312"/>
      <c r="N4613" s="514"/>
    </row>
    <row r="4614" spans="11:14" x14ac:dyDescent="0.25">
      <c r="K4614" s="312"/>
      <c r="N4614" s="514"/>
    </row>
    <row r="4615" spans="11:14" x14ac:dyDescent="0.25">
      <c r="K4615" s="312"/>
      <c r="N4615" s="514"/>
    </row>
    <row r="4616" spans="11:14" x14ac:dyDescent="0.25">
      <c r="K4616" s="312"/>
      <c r="N4616" s="514"/>
    </row>
    <row r="4617" spans="11:14" x14ac:dyDescent="0.25">
      <c r="K4617" s="312"/>
      <c r="N4617" s="514"/>
    </row>
    <row r="4618" spans="11:14" x14ac:dyDescent="0.25">
      <c r="K4618" s="312"/>
      <c r="N4618" s="514"/>
    </row>
    <row r="4619" spans="11:14" x14ac:dyDescent="0.25">
      <c r="K4619" s="312"/>
      <c r="N4619" s="514"/>
    </row>
    <row r="4620" spans="11:14" x14ac:dyDescent="0.25">
      <c r="K4620" s="312"/>
      <c r="N4620" s="514"/>
    </row>
    <row r="4621" spans="11:14" x14ac:dyDescent="0.25">
      <c r="K4621" s="312"/>
      <c r="N4621" s="514"/>
    </row>
    <row r="4622" spans="11:14" x14ac:dyDescent="0.25">
      <c r="K4622" s="312"/>
      <c r="N4622" s="514"/>
    </row>
    <row r="4623" spans="11:14" x14ac:dyDescent="0.25">
      <c r="K4623" s="312"/>
      <c r="N4623" s="514"/>
    </row>
    <row r="4624" spans="11:14" x14ac:dyDescent="0.25">
      <c r="K4624" s="312"/>
      <c r="N4624" s="514"/>
    </row>
    <row r="4625" spans="11:14" x14ac:dyDescent="0.25">
      <c r="K4625" s="312"/>
      <c r="N4625" s="514"/>
    </row>
    <row r="4626" spans="11:14" x14ac:dyDescent="0.25">
      <c r="K4626" s="312"/>
      <c r="N4626" s="514"/>
    </row>
    <row r="4627" spans="11:14" x14ac:dyDescent="0.25">
      <c r="K4627" s="312"/>
      <c r="N4627" s="514"/>
    </row>
    <row r="4628" spans="11:14" x14ac:dyDescent="0.25">
      <c r="K4628" s="312"/>
      <c r="N4628" s="514"/>
    </row>
    <row r="4629" spans="11:14" x14ac:dyDescent="0.25">
      <c r="K4629" s="312"/>
      <c r="N4629" s="514"/>
    </row>
    <row r="4630" spans="11:14" x14ac:dyDescent="0.25">
      <c r="K4630" s="312"/>
      <c r="N4630" s="514"/>
    </row>
    <row r="4631" spans="11:14" x14ac:dyDescent="0.25">
      <c r="K4631" s="312"/>
      <c r="N4631" s="514"/>
    </row>
    <row r="4632" spans="11:14" x14ac:dyDescent="0.25">
      <c r="K4632" s="312"/>
      <c r="N4632" s="514"/>
    </row>
    <row r="4633" spans="11:14" x14ac:dyDescent="0.25">
      <c r="K4633" s="312"/>
      <c r="N4633" s="514"/>
    </row>
    <row r="4634" spans="11:14" x14ac:dyDescent="0.25">
      <c r="K4634" s="312"/>
      <c r="N4634" s="514"/>
    </row>
    <row r="4635" spans="11:14" x14ac:dyDescent="0.25">
      <c r="K4635" s="312"/>
      <c r="N4635" s="514"/>
    </row>
    <row r="4636" spans="11:14" x14ac:dyDescent="0.25">
      <c r="K4636" s="312"/>
      <c r="N4636" s="514"/>
    </row>
    <row r="4637" spans="11:14" x14ac:dyDescent="0.25">
      <c r="K4637" s="312"/>
      <c r="N4637" s="514"/>
    </row>
    <row r="4638" spans="11:14" x14ac:dyDescent="0.25">
      <c r="K4638" s="312"/>
      <c r="N4638" s="514"/>
    </row>
    <row r="4639" spans="11:14" x14ac:dyDescent="0.25">
      <c r="K4639" s="312"/>
      <c r="N4639" s="514"/>
    </row>
    <row r="4640" spans="11:14" x14ac:dyDescent="0.25">
      <c r="K4640" s="312"/>
      <c r="N4640" s="514"/>
    </row>
    <row r="4641" spans="11:14" x14ac:dyDescent="0.25">
      <c r="K4641" s="312"/>
      <c r="N4641" s="514"/>
    </row>
    <row r="4642" spans="11:14" x14ac:dyDescent="0.25">
      <c r="K4642" s="312"/>
      <c r="N4642" s="514"/>
    </row>
    <row r="4643" spans="11:14" x14ac:dyDescent="0.25">
      <c r="K4643" s="312"/>
      <c r="N4643" s="514"/>
    </row>
    <row r="4644" spans="11:14" x14ac:dyDescent="0.25">
      <c r="K4644" s="312"/>
      <c r="N4644" s="514"/>
    </row>
    <row r="4645" spans="11:14" x14ac:dyDescent="0.25">
      <c r="K4645" s="312"/>
      <c r="N4645" s="514"/>
    </row>
    <row r="4646" spans="11:14" x14ac:dyDescent="0.25">
      <c r="K4646" s="312"/>
      <c r="N4646" s="514"/>
    </row>
    <row r="4647" spans="11:14" x14ac:dyDescent="0.25">
      <c r="K4647" s="312"/>
      <c r="N4647" s="514"/>
    </row>
    <row r="4648" spans="11:14" x14ac:dyDescent="0.25">
      <c r="K4648" s="312"/>
      <c r="N4648" s="514"/>
    </row>
    <row r="4649" spans="11:14" x14ac:dyDescent="0.25">
      <c r="K4649" s="312"/>
      <c r="N4649" s="514"/>
    </row>
    <row r="4650" spans="11:14" x14ac:dyDescent="0.25">
      <c r="K4650" s="312"/>
      <c r="N4650" s="514"/>
    </row>
    <row r="4651" spans="11:14" x14ac:dyDescent="0.25">
      <c r="K4651" s="312"/>
      <c r="N4651" s="514"/>
    </row>
    <row r="4652" spans="11:14" x14ac:dyDescent="0.25">
      <c r="K4652" s="312"/>
      <c r="N4652" s="514"/>
    </row>
    <row r="4653" spans="11:14" x14ac:dyDescent="0.25">
      <c r="K4653" s="312"/>
      <c r="N4653" s="514"/>
    </row>
    <row r="4654" spans="11:14" x14ac:dyDescent="0.25">
      <c r="K4654" s="312"/>
      <c r="N4654" s="514"/>
    </row>
    <row r="4655" spans="11:14" x14ac:dyDescent="0.25">
      <c r="K4655" s="312"/>
      <c r="N4655" s="514"/>
    </row>
    <row r="4656" spans="11:14" x14ac:dyDescent="0.25">
      <c r="K4656" s="312"/>
      <c r="N4656" s="514"/>
    </row>
    <row r="4657" spans="11:14" x14ac:dyDescent="0.25">
      <c r="K4657" s="312"/>
      <c r="N4657" s="514"/>
    </row>
    <row r="4658" spans="11:14" x14ac:dyDescent="0.25">
      <c r="K4658" s="312"/>
      <c r="N4658" s="514"/>
    </row>
    <row r="4659" spans="11:14" x14ac:dyDescent="0.25">
      <c r="K4659" s="312"/>
      <c r="N4659" s="514"/>
    </row>
    <row r="4660" spans="11:14" x14ac:dyDescent="0.25">
      <c r="K4660" s="312"/>
      <c r="N4660" s="514"/>
    </row>
    <row r="4661" spans="11:14" x14ac:dyDescent="0.25">
      <c r="K4661" s="312"/>
      <c r="N4661" s="514"/>
    </row>
    <row r="4662" spans="11:14" x14ac:dyDescent="0.25">
      <c r="K4662" s="312"/>
      <c r="N4662" s="514"/>
    </row>
    <row r="4663" spans="11:14" x14ac:dyDescent="0.25">
      <c r="K4663" s="312"/>
      <c r="N4663" s="514"/>
    </row>
    <row r="4664" spans="11:14" x14ac:dyDescent="0.25">
      <c r="K4664" s="312"/>
      <c r="N4664" s="514"/>
    </row>
    <row r="4665" spans="11:14" x14ac:dyDescent="0.25">
      <c r="K4665" s="312"/>
      <c r="N4665" s="514"/>
    </row>
    <row r="4666" spans="11:14" x14ac:dyDescent="0.25">
      <c r="K4666" s="312"/>
      <c r="N4666" s="514"/>
    </row>
    <row r="4667" spans="11:14" x14ac:dyDescent="0.25">
      <c r="K4667" s="312"/>
      <c r="N4667" s="514"/>
    </row>
    <row r="4668" spans="11:14" x14ac:dyDescent="0.25">
      <c r="K4668" s="312"/>
      <c r="N4668" s="514"/>
    </row>
    <row r="4669" spans="11:14" x14ac:dyDescent="0.25">
      <c r="K4669" s="312"/>
      <c r="N4669" s="514"/>
    </row>
    <row r="4670" spans="11:14" x14ac:dyDescent="0.25">
      <c r="K4670" s="312"/>
      <c r="N4670" s="514"/>
    </row>
    <row r="4671" spans="11:14" x14ac:dyDescent="0.25">
      <c r="K4671" s="312"/>
      <c r="N4671" s="514"/>
    </row>
    <row r="4672" spans="11:14" x14ac:dyDescent="0.25">
      <c r="K4672" s="312"/>
      <c r="N4672" s="514"/>
    </row>
    <row r="4673" spans="11:14" x14ac:dyDescent="0.25">
      <c r="K4673" s="312"/>
      <c r="N4673" s="514"/>
    </row>
    <row r="4674" spans="11:14" x14ac:dyDescent="0.25">
      <c r="K4674" s="312"/>
      <c r="N4674" s="514"/>
    </row>
    <row r="4675" spans="11:14" x14ac:dyDescent="0.25">
      <c r="K4675" s="312"/>
      <c r="N4675" s="514"/>
    </row>
    <row r="4676" spans="11:14" x14ac:dyDescent="0.25">
      <c r="K4676" s="312"/>
      <c r="N4676" s="514"/>
    </row>
    <row r="4677" spans="11:14" x14ac:dyDescent="0.25">
      <c r="K4677" s="312"/>
      <c r="N4677" s="514"/>
    </row>
    <row r="4678" spans="11:14" x14ac:dyDescent="0.25">
      <c r="K4678" s="312"/>
      <c r="N4678" s="514"/>
    </row>
    <row r="4679" spans="11:14" x14ac:dyDescent="0.25">
      <c r="K4679" s="312"/>
      <c r="N4679" s="514"/>
    </row>
    <row r="4680" spans="11:14" x14ac:dyDescent="0.25">
      <c r="K4680" s="312"/>
      <c r="N4680" s="514"/>
    </row>
    <row r="4681" spans="11:14" x14ac:dyDescent="0.25">
      <c r="K4681" s="312"/>
      <c r="N4681" s="514"/>
    </row>
    <row r="4682" spans="11:14" x14ac:dyDescent="0.25">
      <c r="K4682" s="312"/>
      <c r="N4682" s="514"/>
    </row>
    <row r="4683" spans="11:14" x14ac:dyDescent="0.25">
      <c r="K4683" s="312"/>
      <c r="N4683" s="514"/>
    </row>
    <row r="4684" spans="11:14" x14ac:dyDescent="0.25">
      <c r="K4684" s="312"/>
      <c r="N4684" s="514"/>
    </row>
    <row r="4685" spans="11:14" x14ac:dyDescent="0.25">
      <c r="K4685" s="312"/>
      <c r="N4685" s="514"/>
    </row>
    <row r="4686" spans="11:14" x14ac:dyDescent="0.25">
      <c r="K4686" s="312"/>
      <c r="N4686" s="514"/>
    </row>
    <row r="4687" spans="11:14" x14ac:dyDescent="0.25">
      <c r="K4687" s="312"/>
      <c r="N4687" s="514"/>
    </row>
    <row r="4688" spans="11:14" x14ac:dyDescent="0.25">
      <c r="K4688" s="312"/>
      <c r="N4688" s="514"/>
    </row>
    <row r="4689" spans="11:14" x14ac:dyDescent="0.25">
      <c r="K4689" s="312"/>
      <c r="N4689" s="514"/>
    </row>
    <row r="4690" spans="11:14" x14ac:dyDescent="0.25">
      <c r="K4690" s="312"/>
      <c r="N4690" s="514"/>
    </row>
    <row r="4691" spans="11:14" x14ac:dyDescent="0.25">
      <c r="K4691" s="312"/>
      <c r="N4691" s="514"/>
    </row>
    <row r="4692" spans="11:14" x14ac:dyDescent="0.25">
      <c r="K4692" s="312"/>
      <c r="N4692" s="514"/>
    </row>
    <row r="4693" spans="11:14" x14ac:dyDescent="0.25">
      <c r="K4693" s="312"/>
      <c r="N4693" s="514"/>
    </row>
    <row r="4694" spans="11:14" x14ac:dyDescent="0.25">
      <c r="K4694" s="312"/>
      <c r="N4694" s="514"/>
    </row>
    <row r="4695" spans="11:14" x14ac:dyDescent="0.25">
      <c r="K4695" s="312"/>
      <c r="N4695" s="514"/>
    </row>
    <row r="4696" spans="11:14" x14ac:dyDescent="0.25">
      <c r="K4696" s="312"/>
      <c r="N4696" s="514"/>
    </row>
    <row r="4697" spans="11:14" x14ac:dyDescent="0.25">
      <c r="K4697" s="312"/>
      <c r="N4697" s="514"/>
    </row>
    <row r="4698" spans="11:14" x14ac:dyDescent="0.25">
      <c r="K4698" s="312"/>
      <c r="N4698" s="514"/>
    </row>
    <row r="4699" spans="11:14" x14ac:dyDescent="0.25">
      <c r="K4699" s="312"/>
      <c r="N4699" s="514"/>
    </row>
    <row r="4700" spans="11:14" x14ac:dyDescent="0.25">
      <c r="K4700" s="312"/>
      <c r="N4700" s="514"/>
    </row>
    <row r="4701" spans="11:14" x14ac:dyDescent="0.25">
      <c r="K4701" s="312"/>
      <c r="N4701" s="514"/>
    </row>
    <row r="4702" spans="11:14" x14ac:dyDescent="0.25">
      <c r="K4702" s="312"/>
      <c r="N4702" s="514"/>
    </row>
    <row r="4703" spans="11:14" x14ac:dyDescent="0.25">
      <c r="K4703" s="312"/>
      <c r="N4703" s="514"/>
    </row>
    <row r="4704" spans="11:14" x14ac:dyDescent="0.25">
      <c r="K4704" s="312"/>
      <c r="N4704" s="514"/>
    </row>
    <row r="4705" spans="11:14" x14ac:dyDescent="0.25">
      <c r="K4705" s="312"/>
      <c r="N4705" s="514"/>
    </row>
    <row r="4706" spans="11:14" x14ac:dyDescent="0.25">
      <c r="K4706" s="312"/>
      <c r="N4706" s="514"/>
    </row>
    <row r="4707" spans="11:14" x14ac:dyDescent="0.25">
      <c r="K4707" s="312"/>
      <c r="N4707" s="514"/>
    </row>
    <row r="4708" spans="11:14" x14ac:dyDescent="0.25">
      <c r="K4708" s="312"/>
      <c r="N4708" s="514"/>
    </row>
    <row r="4709" spans="11:14" x14ac:dyDescent="0.25">
      <c r="K4709" s="312"/>
      <c r="N4709" s="514"/>
    </row>
    <row r="4710" spans="11:14" x14ac:dyDescent="0.25">
      <c r="K4710" s="312"/>
      <c r="N4710" s="514"/>
    </row>
    <row r="4711" spans="11:14" x14ac:dyDescent="0.25">
      <c r="K4711" s="312"/>
      <c r="N4711" s="514"/>
    </row>
    <row r="4712" spans="11:14" x14ac:dyDescent="0.25">
      <c r="K4712" s="312"/>
      <c r="N4712" s="514"/>
    </row>
    <row r="4713" spans="11:14" x14ac:dyDescent="0.25">
      <c r="K4713" s="312"/>
      <c r="N4713" s="514"/>
    </row>
    <row r="4714" spans="11:14" x14ac:dyDescent="0.25">
      <c r="K4714" s="312"/>
      <c r="N4714" s="514"/>
    </row>
    <row r="4715" spans="11:14" x14ac:dyDescent="0.25">
      <c r="K4715" s="312"/>
      <c r="N4715" s="514"/>
    </row>
    <row r="4716" spans="11:14" x14ac:dyDescent="0.25">
      <c r="K4716" s="312"/>
      <c r="N4716" s="514"/>
    </row>
    <row r="4717" spans="11:14" x14ac:dyDescent="0.25">
      <c r="K4717" s="312"/>
      <c r="N4717" s="514"/>
    </row>
    <row r="4718" spans="11:14" x14ac:dyDescent="0.25">
      <c r="K4718" s="312"/>
      <c r="N4718" s="514"/>
    </row>
    <row r="4719" spans="11:14" x14ac:dyDescent="0.25">
      <c r="K4719" s="312"/>
      <c r="N4719" s="514"/>
    </row>
    <row r="4720" spans="11:14" x14ac:dyDescent="0.25">
      <c r="K4720" s="312"/>
      <c r="N4720" s="514"/>
    </row>
    <row r="4721" spans="11:14" x14ac:dyDescent="0.25">
      <c r="K4721" s="312"/>
      <c r="N4721" s="514"/>
    </row>
    <row r="4722" spans="11:14" x14ac:dyDescent="0.25">
      <c r="K4722" s="312"/>
      <c r="N4722" s="514"/>
    </row>
    <row r="4723" spans="11:14" x14ac:dyDescent="0.25">
      <c r="K4723" s="312"/>
      <c r="N4723" s="514"/>
    </row>
    <row r="4724" spans="11:14" x14ac:dyDescent="0.25">
      <c r="K4724" s="312"/>
      <c r="N4724" s="514"/>
    </row>
    <row r="4725" spans="11:14" x14ac:dyDescent="0.25">
      <c r="K4725" s="312"/>
      <c r="N4725" s="514"/>
    </row>
    <row r="4726" spans="11:14" x14ac:dyDescent="0.25">
      <c r="K4726" s="312"/>
      <c r="N4726" s="514"/>
    </row>
    <row r="4727" spans="11:14" x14ac:dyDescent="0.25">
      <c r="K4727" s="312"/>
      <c r="N4727" s="514"/>
    </row>
    <row r="4728" spans="11:14" x14ac:dyDescent="0.25">
      <c r="K4728" s="312"/>
      <c r="N4728" s="514"/>
    </row>
    <row r="4729" spans="11:14" x14ac:dyDescent="0.25">
      <c r="K4729" s="312"/>
      <c r="N4729" s="514"/>
    </row>
    <row r="4730" spans="11:14" x14ac:dyDescent="0.25">
      <c r="K4730" s="312"/>
      <c r="N4730" s="514"/>
    </row>
    <row r="4731" spans="11:14" x14ac:dyDescent="0.25">
      <c r="K4731" s="312"/>
      <c r="N4731" s="514"/>
    </row>
    <row r="4732" spans="11:14" x14ac:dyDescent="0.25">
      <c r="K4732" s="312"/>
      <c r="N4732" s="514"/>
    </row>
    <row r="4733" spans="11:14" x14ac:dyDescent="0.25">
      <c r="K4733" s="312"/>
      <c r="N4733" s="514"/>
    </row>
    <row r="4734" spans="11:14" x14ac:dyDescent="0.25">
      <c r="K4734" s="312"/>
      <c r="N4734" s="514"/>
    </row>
    <row r="4735" spans="11:14" x14ac:dyDescent="0.25">
      <c r="K4735" s="312"/>
      <c r="N4735" s="514"/>
    </row>
    <row r="4736" spans="11:14" x14ac:dyDescent="0.25">
      <c r="K4736" s="312"/>
      <c r="N4736" s="514"/>
    </row>
    <row r="4737" spans="11:14" x14ac:dyDescent="0.25">
      <c r="K4737" s="312"/>
      <c r="N4737" s="514"/>
    </row>
    <row r="4738" spans="11:14" x14ac:dyDescent="0.25">
      <c r="K4738" s="312"/>
      <c r="N4738" s="514"/>
    </row>
    <row r="4739" spans="11:14" x14ac:dyDescent="0.25">
      <c r="K4739" s="312"/>
      <c r="N4739" s="514"/>
    </row>
    <row r="4740" spans="11:14" x14ac:dyDescent="0.25">
      <c r="K4740" s="312"/>
      <c r="N4740" s="514"/>
    </row>
    <row r="4741" spans="11:14" x14ac:dyDescent="0.25">
      <c r="K4741" s="312"/>
      <c r="N4741" s="514"/>
    </row>
    <row r="4742" spans="11:14" x14ac:dyDescent="0.25">
      <c r="K4742" s="312"/>
      <c r="N4742" s="514"/>
    </row>
    <row r="4743" spans="11:14" x14ac:dyDescent="0.25">
      <c r="K4743" s="312"/>
      <c r="N4743" s="514"/>
    </row>
    <row r="4744" spans="11:14" x14ac:dyDescent="0.25">
      <c r="K4744" s="312"/>
      <c r="N4744" s="514"/>
    </row>
    <row r="4745" spans="11:14" x14ac:dyDescent="0.25">
      <c r="K4745" s="312"/>
      <c r="N4745" s="514"/>
    </row>
    <row r="4746" spans="11:14" x14ac:dyDescent="0.25">
      <c r="K4746" s="312"/>
      <c r="N4746" s="514"/>
    </row>
    <row r="4747" spans="11:14" x14ac:dyDescent="0.25">
      <c r="K4747" s="312"/>
      <c r="N4747" s="514"/>
    </row>
    <row r="4748" spans="11:14" x14ac:dyDescent="0.25">
      <c r="K4748" s="312"/>
      <c r="N4748" s="514"/>
    </row>
    <row r="4749" spans="11:14" x14ac:dyDescent="0.25">
      <c r="K4749" s="312"/>
      <c r="N4749" s="514"/>
    </row>
    <row r="4750" spans="11:14" x14ac:dyDescent="0.25">
      <c r="K4750" s="312"/>
      <c r="N4750" s="514"/>
    </row>
    <row r="4751" spans="11:14" x14ac:dyDescent="0.25">
      <c r="K4751" s="312"/>
      <c r="N4751" s="514"/>
    </row>
    <row r="4752" spans="11:14" x14ac:dyDescent="0.25">
      <c r="K4752" s="312"/>
      <c r="N4752" s="514"/>
    </row>
    <row r="4753" spans="11:14" x14ac:dyDescent="0.25">
      <c r="K4753" s="312"/>
      <c r="N4753" s="514"/>
    </row>
    <row r="4754" spans="11:14" x14ac:dyDescent="0.25">
      <c r="K4754" s="312"/>
      <c r="N4754" s="514"/>
    </row>
    <row r="4755" spans="11:14" x14ac:dyDescent="0.25">
      <c r="K4755" s="312"/>
      <c r="N4755" s="514"/>
    </row>
    <row r="4756" spans="11:14" x14ac:dyDescent="0.25">
      <c r="K4756" s="312"/>
      <c r="N4756" s="514"/>
    </row>
    <row r="4757" spans="11:14" x14ac:dyDescent="0.25">
      <c r="K4757" s="312"/>
      <c r="N4757" s="514"/>
    </row>
    <row r="4758" spans="11:14" x14ac:dyDescent="0.25">
      <c r="K4758" s="312"/>
      <c r="N4758" s="514"/>
    </row>
    <row r="4759" spans="11:14" x14ac:dyDescent="0.25">
      <c r="K4759" s="312"/>
      <c r="N4759" s="514"/>
    </row>
    <row r="4760" spans="11:14" x14ac:dyDescent="0.25">
      <c r="K4760" s="312"/>
      <c r="N4760" s="514"/>
    </row>
    <row r="4761" spans="11:14" x14ac:dyDescent="0.25">
      <c r="K4761" s="312"/>
      <c r="N4761" s="514"/>
    </row>
    <row r="4762" spans="11:14" x14ac:dyDescent="0.25">
      <c r="K4762" s="312"/>
      <c r="N4762" s="514"/>
    </row>
    <row r="4763" spans="11:14" x14ac:dyDescent="0.25">
      <c r="K4763" s="312"/>
      <c r="N4763" s="514"/>
    </row>
    <row r="4764" spans="11:14" x14ac:dyDescent="0.25">
      <c r="K4764" s="312"/>
      <c r="N4764" s="514"/>
    </row>
    <row r="4765" spans="11:14" x14ac:dyDescent="0.25">
      <c r="K4765" s="312"/>
      <c r="N4765" s="514"/>
    </row>
    <row r="4766" spans="11:14" x14ac:dyDescent="0.25">
      <c r="K4766" s="312"/>
      <c r="N4766" s="514"/>
    </row>
    <row r="4767" spans="11:14" x14ac:dyDescent="0.25">
      <c r="K4767" s="312"/>
      <c r="N4767" s="514"/>
    </row>
    <row r="4768" spans="11:14" x14ac:dyDescent="0.25">
      <c r="K4768" s="312"/>
      <c r="N4768" s="514"/>
    </row>
    <row r="4769" spans="11:14" x14ac:dyDescent="0.25">
      <c r="K4769" s="312"/>
      <c r="N4769" s="514"/>
    </row>
    <row r="4770" spans="11:14" x14ac:dyDescent="0.25">
      <c r="K4770" s="312"/>
      <c r="N4770" s="514"/>
    </row>
    <row r="4771" spans="11:14" x14ac:dyDescent="0.25">
      <c r="K4771" s="312"/>
      <c r="N4771" s="514"/>
    </row>
    <row r="4772" spans="11:14" x14ac:dyDescent="0.25">
      <c r="K4772" s="312"/>
      <c r="N4772" s="514"/>
    </row>
    <row r="4773" spans="11:14" x14ac:dyDescent="0.25">
      <c r="K4773" s="312"/>
      <c r="N4773" s="514"/>
    </row>
    <row r="4774" spans="11:14" x14ac:dyDescent="0.25">
      <c r="K4774" s="312"/>
      <c r="N4774" s="514"/>
    </row>
    <row r="4775" spans="11:14" x14ac:dyDescent="0.25">
      <c r="K4775" s="312"/>
      <c r="N4775" s="514"/>
    </row>
    <row r="4776" spans="11:14" x14ac:dyDescent="0.25">
      <c r="K4776" s="312"/>
      <c r="N4776" s="514"/>
    </row>
    <row r="4777" spans="11:14" x14ac:dyDescent="0.25">
      <c r="K4777" s="312"/>
      <c r="N4777" s="514"/>
    </row>
    <row r="4778" spans="11:14" x14ac:dyDescent="0.25">
      <c r="K4778" s="312"/>
      <c r="N4778" s="514"/>
    </row>
    <row r="4779" spans="11:14" x14ac:dyDescent="0.25">
      <c r="K4779" s="312"/>
      <c r="N4779" s="514"/>
    </row>
    <row r="4780" spans="11:14" x14ac:dyDescent="0.25">
      <c r="K4780" s="312"/>
      <c r="N4780" s="514"/>
    </row>
    <row r="4781" spans="11:14" x14ac:dyDescent="0.25">
      <c r="K4781" s="312"/>
      <c r="N4781" s="514"/>
    </row>
    <row r="4782" spans="11:14" x14ac:dyDescent="0.25">
      <c r="K4782" s="312"/>
      <c r="N4782" s="514"/>
    </row>
    <row r="4783" spans="11:14" x14ac:dyDescent="0.25">
      <c r="K4783" s="312"/>
      <c r="N4783" s="514"/>
    </row>
    <row r="4784" spans="11:14" x14ac:dyDescent="0.25">
      <c r="K4784" s="312"/>
      <c r="N4784" s="514"/>
    </row>
    <row r="4785" spans="11:14" x14ac:dyDescent="0.25">
      <c r="K4785" s="312"/>
      <c r="N4785" s="514"/>
    </row>
    <row r="4786" spans="11:14" x14ac:dyDescent="0.25">
      <c r="K4786" s="312"/>
      <c r="N4786" s="514"/>
    </row>
    <row r="4787" spans="11:14" x14ac:dyDescent="0.25">
      <c r="K4787" s="312"/>
      <c r="N4787" s="514"/>
    </row>
    <row r="4788" spans="11:14" x14ac:dyDescent="0.25">
      <c r="K4788" s="312"/>
      <c r="N4788" s="514"/>
    </row>
    <row r="4789" spans="11:14" x14ac:dyDescent="0.25">
      <c r="K4789" s="312"/>
      <c r="N4789" s="514"/>
    </row>
    <row r="4790" spans="11:14" x14ac:dyDescent="0.25">
      <c r="K4790" s="312"/>
      <c r="N4790" s="514"/>
    </row>
    <row r="4791" spans="11:14" x14ac:dyDescent="0.25">
      <c r="K4791" s="312"/>
      <c r="N4791" s="514"/>
    </row>
    <row r="4792" spans="11:14" x14ac:dyDescent="0.25">
      <c r="K4792" s="312"/>
      <c r="N4792" s="514"/>
    </row>
    <row r="4793" spans="11:14" x14ac:dyDescent="0.25">
      <c r="K4793" s="312"/>
      <c r="N4793" s="514"/>
    </row>
    <row r="4794" spans="11:14" x14ac:dyDescent="0.25">
      <c r="K4794" s="312"/>
      <c r="N4794" s="514"/>
    </row>
    <row r="4795" spans="11:14" x14ac:dyDescent="0.25">
      <c r="K4795" s="312"/>
      <c r="N4795" s="514"/>
    </row>
    <row r="4796" spans="11:14" x14ac:dyDescent="0.25">
      <c r="K4796" s="312"/>
      <c r="N4796" s="514"/>
    </row>
    <row r="4797" spans="11:14" x14ac:dyDescent="0.25">
      <c r="K4797" s="312"/>
      <c r="N4797" s="514"/>
    </row>
    <row r="4798" spans="11:14" x14ac:dyDescent="0.25">
      <c r="K4798" s="312"/>
      <c r="N4798" s="514"/>
    </row>
    <row r="4799" spans="11:14" x14ac:dyDescent="0.25">
      <c r="K4799" s="312"/>
      <c r="N4799" s="514"/>
    </row>
    <row r="4800" spans="11:14" x14ac:dyDescent="0.25">
      <c r="K4800" s="312"/>
      <c r="N4800" s="514"/>
    </row>
    <row r="4801" spans="11:14" x14ac:dyDescent="0.25">
      <c r="K4801" s="312"/>
      <c r="N4801" s="514"/>
    </row>
    <row r="4802" spans="11:14" x14ac:dyDescent="0.25">
      <c r="K4802" s="312"/>
      <c r="N4802" s="514"/>
    </row>
    <row r="4803" spans="11:14" x14ac:dyDescent="0.25">
      <c r="K4803" s="312"/>
      <c r="N4803" s="514"/>
    </row>
    <row r="4804" spans="11:14" x14ac:dyDescent="0.25">
      <c r="K4804" s="312"/>
      <c r="N4804" s="514"/>
    </row>
    <row r="4805" spans="11:14" x14ac:dyDescent="0.25">
      <c r="K4805" s="312"/>
      <c r="N4805" s="514"/>
    </row>
    <row r="4806" spans="11:14" x14ac:dyDescent="0.25">
      <c r="K4806" s="312"/>
      <c r="N4806" s="514"/>
    </row>
    <row r="4807" spans="11:14" x14ac:dyDescent="0.25">
      <c r="K4807" s="312"/>
      <c r="N4807" s="514"/>
    </row>
    <row r="4808" spans="11:14" x14ac:dyDescent="0.25">
      <c r="K4808" s="312"/>
      <c r="N4808" s="514"/>
    </row>
    <row r="4809" spans="11:14" x14ac:dyDescent="0.25">
      <c r="K4809" s="312"/>
      <c r="N4809" s="514"/>
    </row>
    <row r="4810" spans="11:14" x14ac:dyDescent="0.25">
      <c r="K4810" s="312"/>
      <c r="N4810" s="514"/>
    </row>
    <row r="4811" spans="11:14" x14ac:dyDescent="0.25">
      <c r="K4811" s="312"/>
      <c r="N4811" s="514"/>
    </row>
    <row r="4812" spans="11:14" x14ac:dyDescent="0.25">
      <c r="K4812" s="312"/>
      <c r="N4812" s="514"/>
    </row>
    <row r="4813" spans="11:14" x14ac:dyDescent="0.25">
      <c r="K4813" s="312"/>
      <c r="N4813" s="514"/>
    </row>
    <row r="4814" spans="11:14" x14ac:dyDescent="0.25">
      <c r="K4814" s="312"/>
      <c r="N4814" s="514"/>
    </row>
    <row r="4815" spans="11:14" x14ac:dyDescent="0.25">
      <c r="K4815" s="312"/>
      <c r="N4815" s="514"/>
    </row>
    <row r="4816" spans="11:14" x14ac:dyDescent="0.25">
      <c r="K4816" s="312"/>
      <c r="N4816" s="514"/>
    </row>
    <row r="4817" spans="11:14" x14ac:dyDescent="0.25">
      <c r="K4817" s="312"/>
      <c r="N4817" s="514"/>
    </row>
    <row r="4818" spans="11:14" x14ac:dyDescent="0.25">
      <c r="K4818" s="312"/>
      <c r="N4818" s="514"/>
    </row>
    <row r="4819" spans="11:14" x14ac:dyDescent="0.25">
      <c r="K4819" s="312"/>
      <c r="N4819" s="514"/>
    </row>
    <row r="4820" spans="11:14" x14ac:dyDescent="0.25">
      <c r="K4820" s="312"/>
      <c r="N4820" s="514"/>
    </row>
    <row r="4821" spans="11:14" x14ac:dyDescent="0.25">
      <c r="K4821" s="312"/>
      <c r="N4821" s="514"/>
    </row>
    <row r="4822" spans="11:14" x14ac:dyDescent="0.25">
      <c r="K4822" s="312"/>
      <c r="N4822" s="514"/>
    </row>
    <row r="4823" spans="11:14" x14ac:dyDescent="0.25">
      <c r="K4823" s="312"/>
      <c r="N4823" s="514"/>
    </row>
    <row r="4824" spans="11:14" x14ac:dyDescent="0.25">
      <c r="K4824" s="312"/>
      <c r="N4824" s="514"/>
    </row>
    <row r="4825" spans="11:14" x14ac:dyDescent="0.25">
      <c r="K4825" s="312"/>
      <c r="N4825" s="514"/>
    </row>
    <row r="4826" spans="11:14" x14ac:dyDescent="0.25">
      <c r="K4826" s="312"/>
      <c r="N4826" s="514"/>
    </row>
    <row r="4827" spans="11:14" x14ac:dyDescent="0.25">
      <c r="K4827" s="312"/>
      <c r="N4827" s="514"/>
    </row>
    <row r="4828" spans="11:14" x14ac:dyDescent="0.25">
      <c r="K4828" s="312"/>
      <c r="N4828" s="514"/>
    </row>
    <row r="4829" spans="11:14" x14ac:dyDescent="0.25">
      <c r="K4829" s="312"/>
      <c r="N4829" s="514"/>
    </row>
    <row r="4830" spans="11:14" x14ac:dyDescent="0.25">
      <c r="K4830" s="312"/>
      <c r="N4830" s="514"/>
    </row>
    <row r="4831" spans="11:14" x14ac:dyDescent="0.25">
      <c r="K4831" s="312"/>
      <c r="N4831" s="514"/>
    </row>
    <row r="4832" spans="11:14" x14ac:dyDescent="0.25">
      <c r="K4832" s="312"/>
      <c r="N4832" s="514"/>
    </row>
    <row r="4833" spans="11:14" x14ac:dyDescent="0.25">
      <c r="K4833" s="312"/>
      <c r="N4833" s="514"/>
    </row>
    <row r="4834" spans="11:14" x14ac:dyDescent="0.25">
      <c r="K4834" s="312"/>
      <c r="N4834" s="514"/>
    </row>
    <row r="4835" spans="11:14" x14ac:dyDescent="0.25">
      <c r="K4835" s="312"/>
      <c r="N4835" s="514"/>
    </row>
    <row r="4836" spans="11:14" x14ac:dyDescent="0.25">
      <c r="K4836" s="312"/>
      <c r="N4836" s="514"/>
    </row>
    <row r="4837" spans="11:14" x14ac:dyDescent="0.25">
      <c r="K4837" s="312"/>
      <c r="N4837" s="514"/>
    </row>
    <row r="4838" spans="11:14" x14ac:dyDescent="0.25">
      <c r="K4838" s="312"/>
      <c r="N4838" s="514"/>
    </row>
    <row r="4839" spans="11:14" x14ac:dyDescent="0.25">
      <c r="K4839" s="312"/>
      <c r="N4839" s="514"/>
    </row>
    <row r="4840" spans="11:14" x14ac:dyDescent="0.25">
      <c r="K4840" s="312"/>
      <c r="N4840" s="514"/>
    </row>
    <row r="4841" spans="11:14" x14ac:dyDescent="0.25">
      <c r="K4841" s="312"/>
      <c r="N4841" s="514"/>
    </row>
    <row r="4842" spans="11:14" x14ac:dyDescent="0.25">
      <c r="K4842" s="312"/>
      <c r="N4842" s="514"/>
    </row>
    <row r="4843" spans="11:14" x14ac:dyDescent="0.25">
      <c r="K4843" s="312"/>
      <c r="N4843" s="514"/>
    </row>
    <row r="4844" spans="11:14" x14ac:dyDescent="0.25">
      <c r="K4844" s="312"/>
      <c r="N4844" s="514"/>
    </row>
    <row r="4845" spans="11:14" x14ac:dyDescent="0.25">
      <c r="K4845" s="312"/>
      <c r="N4845" s="514"/>
    </row>
    <row r="4846" spans="11:14" x14ac:dyDescent="0.25">
      <c r="K4846" s="312"/>
      <c r="N4846" s="514"/>
    </row>
    <row r="4847" spans="11:14" x14ac:dyDescent="0.25">
      <c r="K4847" s="312"/>
      <c r="N4847" s="514"/>
    </row>
    <row r="4848" spans="11:14" x14ac:dyDescent="0.25">
      <c r="K4848" s="312"/>
      <c r="N4848" s="514"/>
    </row>
    <row r="4849" spans="11:14" x14ac:dyDescent="0.25">
      <c r="K4849" s="312"/>
      <c r="N4849" s="514"/>
    </row>
    <row r="4850" spans="11:14" x14ac:dyDescent="0.25">
      <c r="K4850" s="312"/>
      <c r="N4850" s="514"/>
    </row>
    <row r="4851" spans="11:14" x14ac:dyDescent="0.25">
      <c r="K4851" s="312"/>
      <c r="N4851" s="514"/>
    </row>
    <row r="4852" spans="11:14" x14ac:dyDescent="0.25">
      <c r="K4852" s="312"/>
      <c r="N4852" s="514"/>
    </row>
    <row r="4853" spans="11:14" x14ac:dyDescent="0.25">
      <c r="K4853" s="312"/>
      <c r="N4853" s="514"/>
    </row>
    <row r="4854" spans="11:14" x14ac:dyDescent="0.25">
      <c r="K4854" s="312"/>
      <c r="N4854" s="514"/>
    </row>
    <row r="4855" spans="11:14" x14ac:dyDescent="0.25">
      <c r="K4855" s="312"/>
      <c r="N4855" s="514"/>
    </row>
    <row r="4856" spans="11:14" x14ac:dyDescent="0.25">
      <c r="K4856" s="312"/>
      <c r="N4856" s="514"/>
    </row>
    <row r="4857" spans="11:14" x14ac:dyDescent="0.25">
      <c r="K4857" s="312"/>
      <c r="N4857" s="514"/>
    </row>
    <row r="4858" spans="11:14" x14ac:dyDescent="0.25">
      <c r="K4858" s="312"/>
      <c r="N4858" s="514"/>
    </row>
    <row r="4859" spans="11:14" x14ac:dyDescent="0.25">
      <c r="K4859" s="312"/>
      <c r="N4859" s="514"/>
    </row>
    <row r="4860" spans="11:14" x14ac:dyDescent="0.25">
      <c r="K4860" s="312"/>
      <c r="N4860" s="514"/>
    </row>
    <row r="4861" spans="11:14" x14ac:dyDescent="0.25">
      <c r="K4861" s="312"/>
      <c r="N4861" s="514"/>
    </row>
    <row r="4862" spans="11:14" x14ac:dyDescent="0.25">
      <c r="K4862" s="312"/>
      <c r="N4862" s="514"/>
    </row>
    <row r="4863" spans="11:14" x14ac:dyDescent="0.25">
      <c r="K4863" s="312"/>
      <c r="N4863" s="514"/>
    </row>
    <row r="4864" spans="11:14" x14ac:dyDescent="0.25">
      <c r="K4864" s="312"/>
      <c r="N4864" s="514"/>
    </row>
    <row r="4865" spans="11:14" x14ac:dyDescent="0.25">
      <c r="K4865" s="312"/>
      <c r="N4865" s="514"/>
    </row>
    <row r="4866" spans="11:14" x14ac:dyDescent="0.25">
      <c r="K4866" s="312"/>
      <c r="N4866" s="514"/>
    </row>
    <row r="4867" spans="11:14" x14ac:dyDescent="0.25">
      <c r="K4867" s="312"/>
      <c r="N4867" s="514"/>
    </row>
    <row r="4868" spans="11:14" x14ac:dyDescent="0.25">
      <c r="K4868" s="312"/>
      <c r="N4868" s="514"/>
    </row>
    <row r="4869" spans="11:14" x14ac:dyDescent="0.25">
      <c r="K4869" s="312"/>
      <c r="N4869" s="514"/>
    </row>
    <row r="4870" spans="11:14" x14ac:dyDescent="0.25">
      <c r="K4870" s="312"/>
      <c r="N4870" s="514"/>
    </row>
    <row r="4871" spans="11:14" x14ac:dyDescent="0.25">
      <c r="K4871" s="312"/>
      <c r="N4871" s="514"/>
    </row>
    <row r="4872" spans="11:14" x14ac:dyDescent="0.25">
      <c r="K4872" s="312"/>
      <c r="N4872" s="514"/>
    </row>
    <row r="4873" spans="11:14" x14ac:dyDescent="0.25">
      <c r="K4873" s="312"/>
      <c r="N4873" s="514"/>
    </row>
    <row r="4874" spans="11:14" x14ac:dyDescent="0.25">
      <c r="K4874" s="312"/>
      <c r="N4874" s="514"/>
    </row>
    <row r="4875" spans="11:14" x14ac:dyDescent="0.25">
      <c r="K4875" s="312"/>
      <c r="N4875" s="514"/>
    </row>
    <row r="4876" spans="11:14" x14ac:dyDescent="0.25">
      <c r="K4876" s="312"/>
      <c r="N4876" s="514"/>
    </row>
    <row r="4877" spans="11:14" x14ac:dyDescent="0.25">
      <c r="K4877" s="312"/>
      <c r="N4877" s="514"/>
    </row>
    <row r="4878" spans="11:14" x14ac:dyDescent="0.25">
      <c r="K4878" s="312"/>
      <c r="N4878" s="514"/>
    </row>
    <row r="4879" spans="11:14" x14ac:dyDescent="0.25">
      <c r="K4879" s="312"/>
      <c r="N4879" s="514"/>
    </row>
    <row r="4880" spans="11:14" x14ac:dyDescent="0.25">
      <c r="K4880" s="312"/>
      <c r="N4880" s="514"/>
    </row>
    <row r="4881" spans="11:14" x14ac:dyDescent="0.25">
      <c r="K4881" s="312"/>
      <c r="N4881" s="514"/>
    </row>
    <row r="4882" spans="11:14" x14ac:dyDescent="0.25">
      <c r="K4882" s="312"/>
      <c r="N4882" s="514"/>
    </row>
    <row r="4883" spans="11:14" x14ac:dyDescent="0.25">
      <c r="K4883" s="312"/>
      <c r="N4883" s="514"/>
    </row>
    <row r="4884" spans="11:14" x14ac:dyDescent="0.25">
      <c r="K4884" s="312"/>
      <c r="N4884" s="514"/>
    </row>
    <row r="4885" spans="11:14" x14ac:dyDescent="0.25">
      <c r="K4885" s="312"/>
      <c r="N4885" s="514"/>
    </row>
    <row r="4886" spans="11:14" x14ac:dyDescent="0.25">
      <c r="K4886" s="312"/>
      <c r="N4886" s="514"/>
    </row>
    <row r="4887" spans="11:14" x14ac:dyDescent="0.25">
      <c r="K4887" s="312"/>
      <c r="N4887" s="514"/>
    </row>
    <row r="4888" spans="11:14" x14ac:dyDescent="0.25">
      <c r="K4888" s="312"/>
      <c r="N4888" s="514"/>
    </row>
    <row r="4889" spans="11:14" x14ac:dyDescent="0.25">
      <c r="K4889" s="312"/>
      <c r="N4889" s="514"/>
    </row>
    <row r="4890" spans="11:14" x14ac:dyDescent="0.25">
      <c r="K4890" s="312"/>
      <c r="N4890" s="514"/>
    </row>
    <row r="4891" spans="11:14" x14ac:dyDescent="0.25">
      <c r="K4891" s="312"/>
      <c r="N4891" s="514"/>
    </row>
    <row r="4892" spans="11:14" x14ac:dyDescent="0.25">
      <c r="K4892" s="312"/>
      <c r="N4892" s="514"/>
    </row>
    <row r="4893" spans="11:14" x14ac:dyDescent="0.25">
      <c r="K4893" s="312"/>
      <c r="N4893" s="514"/>
    </row>
    <row r="4894" spans="11:14" x14ac:dyDescent="0.25">
      <c r="K4894" s="312"/>
      <c r="N4894" s="514"/>
    </row>
    <row r="4895" spans="11:14" x14ac:dyDescent="0.25">
      <c r="K4895" s="312"/>
      <c r="N4895" s="514"/>
    </row>
    <row r="4896" spans="11:14" x14ac:dyDescent="0.25">
      <c r="K4896" s="312"/>
      <c r="N4896" s="514"/>
    </row>
    <row r="4897" spans="11:14" x14ac:dyDescent="0.25">
      <c r="K4897" s="312"/>
      <c r="N4897" s="514"/>
    </row>
    <row r="4898" spans="11:14" x14ac:dyDescent="0.25">
      <c r="K4898" s="312"/>
      <c r="N4898" s="514"/>
    </row>
    <row r="4899" spans="11:14" x14ac:dyDescent="0.25">
      <c r="K4899" s="312"/>
      <c r="N4899" s="514"/>
    </row>
    <row r="4900" spans="11:14" x14ac:dyDescent="0.25">
      <c r="K4900" s="312"/>
      <c r="N4900" s="514"/>
    </row>
    <row r="4901" spans="11:14" x14ac:dyDescent="0.25">
      <c r="K4901" s="312"/>
      <c r="N4901" s="514"/>
    </row>
    <row r="4902" spans="11:14" x14ac:dyDescent="0.25">
      <c r="K4902" s="312"/>
      <c r="N4902" s="514"/>
    </row>
    <row r="4903" spans="11:14" x14ac:dyDescent="0.25">
      <c r="K4903" s="312"/>
      <c r="N4903" s="514"/>
    </row>
    <row r="4904" spans="11:14" x14ac:dyDescent="0.25">
      <c r="K4904" s="312"/>
      <c r="N4904" s="514"/>
    </row>
    <row r="4905" spans="11:14" x14ac:dyDescent="0.25">
      <c r="K4905" s="312"/>
      <c r="N4905" s="514"/>
    </row>
    <row r="4906" spans="11:14" x14ac:dyDescent="0.25">
      <c r="K4906" s="312"/>
      <c r="N4906" s="514"/>
    </row>
    <row r="4907" spans="11:14" x14ac:dyDescent="0.25">
      <c r="K4907" s="312"/>
      <c r="N4907" s="514"/>
    </row>
    <row r="4908" spans="11:14" x14ac:dyDescent="0.25">
      <c r="K4908" s="312"/>
      <c r="N4908" s="514"/>
    </row>
    <row r="4909" spans="11:14" x14ac:dyDescent="0.25">
      <c r="K4909" s="312"/>
      <c r="N4909" s="514"/>
    </row>
    <row r="4910" spans="11:14" x14ac:dyDescent="0.25">
      <c r="K4910" s="312"/>
      <c r="N4910" s="514"/>
    </row>
    <row r="4911" spans="11:14" x14ac:dyDescent="0.25">
      <c r="K4911" s="312"/>
      <c r="N4911" s="514"/>
    </row>
    <row r="4912" spans="11:14" x14ac:dyDescent="0.25">
      <c r="K4912" s="312"/>
      <c r="N4912" s="514"/>
    </row>
    <row r="4913" spans="11:14" x14ac:dyDescent="0.25">
      <c r="K4913" s="312"/>
      <c r="N4913" s="514"/>
    </row>
    <row r="4914" spans="11:14" x14ac:dyDescent="0.25">
      <c r="K4914" s="312"/>
      <c r="N4914" s="514"/>
    </row>
    <row r="4915" spans="11:14" x14ac:dyDescent="0.25">
      <c r="K4915" s="312"/>
      <c r="N4915" s="514"/>
    </row>
    <row r="4916" spans="11:14" x14ac:dyDescent="0.25">
      <c r="K4916" s="312"/>
      <c r="N4916" s="514"/>
    </row>
    <row r="4917" spans="11:14" x14ac:dyDescent="0.25">
      <c r="K4917" s="312"/>
      <c r="N4917" s="514"/>
    </row>
    <row r="4918" spans="11:14" x14ac:dyDescent="0.25">
      <c r="K4918" s="312"/>
      <c r="N4918" s="514"/>
    </row>
    <row r="4919" spans="11:14" x14ac:dyDescent="0.25">
      <c r="K4919" s="312"/>
      <c r="N4919" s="514"/>
    </row>
    <row r="4920" spans="11:14" x14ac:dyDescent="0.25">
      <c r="K4920" s="312"/>
      <c r="N4920" s="514"/>
    </row>
    <row r="4921" spans="11:14" x14ac:dyDescent="0.25">
      <c r="K4921" s="312"/>
      <c r="N4921" s="514"/>
    </row>
    <row r="4922" spans="11:14" x14ac:dyDescent="0.25">
      <c r="K4922" s="312"/>
      <c r="N4922" s="514"/>
    </row>
    <row r="4923" spans="11:14" x14ac:dyDescent="0.25">
      <c r="K4923" s="312"/>
      <c r="N4923" s="514"/>
    </row>
    <row r="4924" spans="11:14" x14ac:dyDescent="0.25">
      <c r="K4924" s="312"/>
      <c r="N4924" s="514"/>
    </row>
    <row r="4925" spans="11:14" x14ac:dyDescent="0.25">
      <c r="K4925" s="312"/>
      <c r="N4925" s="514"/>
    </row>
    <row r="4926" spans="11:14" x14ac:dyDescent="0.25">
      <c r="K4926" s="312"/>
      <c r="N4926" s="514"/>
    </row>
    <row r="4927" spans="11:14" x14ac:dyDescent="0.25">
      <c r="K4927" s="312"/>
      <c r="N4927" s="514"/>
    </row>
    <row r="4928" spans="11:14" x14ac:dyDescent="0.25">
      <c r="K4928" s="312"/>
      <c r="N4928" s="514"/>
    </row>
    <row r="4929" spans="11:14" x14ac:dyDescent="0.25">
      <c r="K4929" s="312"/>
      <c r="N4929" s="514"/>
    </row>
    <row r="4930" spans="11:14" x14ac:dyDescent="0.25">
      <c r="K4930" s="312"/>
      <c r="N4930" s="514"/>
    </row>
    <row r="4931" spans="11:14" x14ac:dyDescent="0.25">
      <c r="K4931" s="312"/>
      <c r="N4931" s="514"/>
    </row>
    <row r="4932" spans="11:14" x14ac:dyDescent="0.25">
      <c r="K4932" s="312"/>
      <c r="N4932" s="514"/>
    </row>
    <row r="4933" spans="11:14" x14ac:dyDescent="0.25">
      <c r="K4933" s="312"/>
      <c r="N4933" s="514"/>
    </row>
    <row r="4934" spans="11:14" x14ac:dyDescent="0.25">
      <c r="K4934" s="312"/>
      <c r="N4934" s="514"/>
    </row>
    <row r="4935" spans="11:14" x14ac:dyDescent="0.25">
      <c r="K4935" s="312"/>
      <c r="N4935" s="514"/>
    </row>
    <row r="4936" spans="11:14" x14ac:dyDescent="0.25">
      <c r="K4936" s="312"/>
      <c r="N4936" s="514"/>
    </row>
    <row r="4937" spans="11:14" x14ac:dyDescent="0.25">
      <c r="K4937" s="312"/>
      <c r="N4937" s="514"/>
    </row>
    <row r="4938" spans="11:14" x14ac:dyDescent="0.25">
      <c r="K4938" s="312"/>
      <c r="N4938" s="514"/>
    </row>
    <row r="4939" spans="11:14" x14ac:dyDescent="0.25">
      <c r="K4939" s="312"/>
      <c r="N4939" s="514"/>
    </row>
    <row r="4940" spans="11:14" x14ac:dyDescent="0.25">
      <c r="K4940" s="312"/>
      <c r="N4940" s="514"/>
    </row>
    <row r="4941" spans="11:14" x14ac:dyDescent="0.25">
      <c r="K4941" s="312"/>
      <c r="N4941" s="514"/>
    </row>
    <row r="4942" spans="11:14" x14ac:dyDescent="0.25">
      <c r="K4942" s="312"/>
      <c r="N4942" s="514"/>
    </row>
    <row r="4943" spans="11:14" x14ac:dyDescent="0.25">
      <c r="K4943" s="312"/>
      <c r="N4943" s="514"/>
    </row>
    <row r="4944" spans="11:14" x14ac:dyDescent="0.25">
      <c r="K4944" s="312"/>
      <c r="N4944" s="514"/>
    </row>
    <row r="4945" spans="11:14" x14ac:dyDescent="0.25">
      <c r="K4945" s="312"/>
      <c r="N4945" s="514"/>
    </row>
    <row r="4946" spans="11:14" x14ac:dyDescent="0.25">
      <c r="K4946" s="312"/>
      <c r="N4946" s="514"/>
    </row>
    <row r="4947" spans="11:14" x14ac:dyDescent="0.25">
      <c r="K4947" s="312"/>
      <c r="N4947" s="514"/>
    </row>
    <row r="4948" spans="11:14" x14ac:dyDescent="0.25">
      <c r="K4948" s="312"/>
      <c r="N4948" s="514"/>
    </row>
    <row r="4949" spans="11:14" x14ac:dyDescent="0.25">
      <c r="K4949" s="312"/>
      <c r="N4949" s="514"/>
    </row>
    <row r="4950" spans="11:14" x14ac:dyDescent="0.25">
      <c r="K4950" s="312"/>
      <c r="N4950" s="514"/>
    </row>
    <row r="4951" spans="11:14" x14ac:dyDescent="0.25">
      <c r="K4951" s="312"/>
      <c r="N4951" s="514"/>
    </row>
    <row r="4952" spans="11:14" x14ac:dyDescent="0.25">
      <c r="K4952" s="312"/>
      <c r="N4952" s="514"/>
    </row>
    <row r="4953" spans="11:14" x14ac:dyDescent="0.25">
      <c r="K4953" s="312"/>
      <c r="N4953" s="514"/>
    </row>
    <row r="4954" spans="11:14" x14ac:dyDescent="0.25">
      <c r="K4954" s="312"/>
      <c r="N4954" s="514"/>
    </row>
    <row r="4955" spans="11:14" x14ac:dyDescent="0.25">
      <c r="K4955" s="312"/>
      <c r="N4955" s="514"/>
    </row>
    <row r="4956" spans="11:14" x14ac:dyDescent="0.25">
      <c r="K4956" s="312"/>
      <c r="N4956" s="514"/>
    </row>
    <row r="4957" spans="11:14" x14ac:dyDescent="0.25">
      <c r="K4957" s="312"/>
      <c r="N4957" s="514"/>
    </row>
    <row r="4958" spans="11:14" x14ac:dyDescent="0.25">
      <c r="K4958" s="312"/>
      <c r="N4958" s="514"/>
    </row>
    <row r="4959" spans="11:14" x14ac:dyDescent="0.25">
      <c r="K4959" s="312"/>
      <c r="N4959" s="514"/>
    </row>
    <row r="4960" spans="11:14" x14ac:dyDescent="0.25">
      <c r="K4960" s="312"/>
      <c r="N4960" s="514"/>
    </row>
    <row r="4961" spans="11:14" x14ac:dyDescent="0.25">
      <c r="K4961" s="312"/>
      <c r="N4961" s="514"/>
    </row>
    <row r="4962" spans="11:14" x14ac:dyDescent="0.25">
      <c r="K4962" s="312"/>
      <c r="N4962" s="514"/>
    </row>
    <row r="4963" spans="11:14" x14ac:dyDescent="0.25">
      <c r="K4963" s="312"/>
      <c r="N4963" s="514"/>
    </row>
    <row r="4964" spans="11:14" x14ac:dyDescent="0.25">
      <c r="K4964" s="312"/>
      <c r="N4964" s="514"/>
    </row>
    <row r="4965" spans="11:14" x14ac:dyDescent="0.25">
      <c r="K4965" s="312"/>
      <c r="N4965" s="514"/>
    </row>
    <row r="4966" spans="11:14" x14ac:dyDescent="0.25">
      <c r="K4966" s="312"/>
      <c r="N4966" s="514"/>
    </row>
    <row r="4967" spans="11:14" x14ac:dyDescent="0.25">
      <c r="K4967" s="312"/>
      <c r="N4967" s="514"/>
    </row>
    <row r="4968" spans="11:14" x14ac:dyDescent="0.25">
      <c r="K4968" s="312"/>
      <c r="N4968" s="514"/>
    </row>
    <row r="4969" spans="11:14" x14ac:dyDescent="0.25">
      <c r="K4969" s="312"/>
      <c r="N4969" s="514"/>
    </row>
    <row r="4970" spans="11:14" x14ac:dyDescent="0.25">
      <c r="K4970" s="312"/>
      <c r="N4970" s="514"/>
    </row>
    <row r="4971" spans="11:14" x14ac:dyDescent="0.25">
      <c r="K4971" s="312"/>
      <c r="N4971" s="514"/>
    </row>
    <row r="4972" spans="11:14" x14ac:dyDescent="0.25">
      <c r="K4972" s="312"/>
      <c r="N4972" s="514"/>
    </row>
    <row r="4973" spans="11:14" x14ac:dyDescent="0.25">
      <c r="K4973" s="312"/>
      <c r="N4973" s="514"/>
    </row>
    <row r="4974" spans="11:14" x14ac:dyDescent="0.25">
      <c r="K4974" s="312"/>
      <c r="N4974" s="514"/>
    </row>
    <row r="4975" spans="11:14" x14ac:dyDescent="0.25">
      <c r="K4975" s="312"/>
      <c r="N4975" s="514"/>
    </row>
    <row r="4976" spans="11:14" x14ac:dyDescent="0.25">
      <c r="K4976" s="312"/>
      <c r="N4976" s="514"/>
    </row>
    <row r="4977" spans="11:14" x14ac:dyDescent="0.25">
      <c r="K4977" s="312"/>
      <c r="N4977" s="514"/>
    </row>
    <row r="4978" spans="11:14" x14ac:dyDescent="0.25">
      <c r="K4978" s="312"/>
      <c r="N4978" s="514"/>
    </row>
    <row r="4979" spans="11:14" x14ac:dyDescent="0.25">
      <c r="K4979" s="312"/>
      <c r="N4979" s="514"/>
    </row>
    <row r="4980" spans="11:14" x14ac:dyDescent="0.25">
      <c r="K4980" s="312"/>
      <c r="N4980" s="514"/>
    </row>
    <row r="4981" spans="11:14" x14ac:dyDescent="0.25">
      <c r="K4981" s="312"/>
      <c r="N4981" s="514"/>
    </row>
    <row r="4982" spans="11:14" x14ac:dyDescent="0.25">
      <c r="K4982" s="312"/>
      <c r="N4982" s="514"/>
    </row>
    <row r="4983" spans="11:14" x14ac:dyDescent="0.25">
      <c r="K4983" s="312"/>
      <c r="N4983" s="514"/>
    </row>
    <row r="4984" spans="11:14" x14ac:dyDescent="0.25">
      <c r="K4984" s="312"/>
      <c r="N4984" s="514"/>
    </row>
    <row r="4985" spans="11:14" x14ac:dyDescent="0.25">
      <c r="K4985" s="312"/>
      <c r="N4985" s="514"/>
    </row>
    <row r="4986" spans="11:14" x14ac:dyDescent="0.25">
      <c r="K4986" s="312"/>
      <c r="N4986" s="514"/>
    </row>
    <row r="4987" spans="11:14" x14ac:dyDescent="0.25">
      <c r="K4987" s="312"/>
      <c r="N4987" s="514"/>
    </row>
    <row r="4988" spans="11:14" x14ac:dyDescent="0.25">
      <c r="K4988" s="312"/>
      <c r="N4988" s="514"/>
    </row>
    <row r="4989" spans="11:14" x14ac:dyDescent="0.25">
      <c r="K4989" s="312"/>
      <c r="N4989" s="514"/>
    </row>
    <row r="4990" spans="11:14" x14ac:dyDescent="0.25">
      <c r="K4990" s="312"/>
      <c r="N4990" s="514"/>
    </row>
    <row r="4991" spans="11:14" x14ac:dyDescent="0.25">
      <c r="K4991" s="312"/>
      <c r="N4991" s="514"/>
    </row>
    <row r="4992" spans="11:14" x14ac:dyDescent="0.25">
      <c r="K4992" s="312"/>
      <c r="N4992" s="514"/>
    </row>
    <row r="4993" spans="11:14" x14ac:dyDescent="0.25">
      <c r="K4993" s="312"/>
      <c r="N4993" s="514"/>
    </row>
    <row r="4994" spans="11:14" x14ac:dyDescent="0.25">
      <c r="K4994" s="312"/>
      <c r="N4994" s="514"/>
    </row>
    <row r="4995" spans="11:14" x14ac:dyDescent="0.25">
      <c r="K4995" s="312"/>
      <c r="N4995" s="514"/>
    </row>
    <row r="4996" spans="11:14" x14ac:dyDescent="0.25">
      <c r="K4996" s="312"/>
      <c r="N4996" s="514"/>
    </row>
    <row r="4997" spans="11:14" x14ac:dyDescent="0.25">
      <c r="K4997" s="312"/>
      <c r="N4997" s="514"/>
    </row>
    <row r="4998" spans="11:14" x14ac:dyDescent="0.25">
      <c r="K4998" s="312"/>
      <c r="N4998" s="514"/>
    </row>
    <row r="4999" spans="11:14" x14ac:dyDescent="0.25">
      <c r="K4999" s="312"/>
      <c r="N4999" s="514"/>
    </row>
    <row r="5000" spans="11:14" x14ac:dyDescent="0.25">
      <c r="K5000" s="312"/>
      <c r="N5000" s="514"/>
    </row>
    <row r="5001" spans="11:14" x14ac:dyDescent="0.25">
      <c r="K5001" s="312"/>
      <c r="N5001" s="514"/>
    </row>
    <row r="5002" spans="11:14" x14ac:dyDescent="0.25">
      <c r="K5002" s="312"/>
      <c r="N5002" s="514"/>
    </row>
    <row r="5003" spans="11:14" x14ac:dyDescent="0.25">
      <c r="K5003" s="312"/>
      <c r="N5003" s="514"/>
    </row>
    <row r="5004" spans="11:14" x14ac:dyDescent="0.25">
      <c r="K5004" s="312"/>
      <c r="N5004" s="514"/>
    </row>
    <row r="5005" spans="11:14" x14ac:dyDescent="0.25">
      <c r="K5005" s="312"/>
      <c r="N5005" s="514"/>
    </row>
    <row r="5006" spans="11:14" x14ac:dyDescent="0.25">
      <c r="K5006" s="312"/>
      <c r="N5006" s="514"/>
    </row>
    <row r="5007" spans="11:14" x14ac:dyDescent="0.25">
      <c r="K5007" s="312"/>
      <c r="N5007" s="514"/>
    </row>
    <row r="5008" spans="11:14" x14ac:dyDescent="0.25">
      <c r="K5008" s="312"/>
      <c r="N5008" s="514"/>
    </row>
    <row r="5009" spans="11:14" x14ac:dyDescent="0.25">
      <c r="K5009" s="312"/>
      <c r="N5009" s="514"/>
    </row>
    <row r="5010" spans="11:14" x14ac:dyDescent="0.25">
      <c r="K5010" s="312"/>
      <c r="N5010" s="514"/>
    </row>
    <row r="5011" spans="11:14" x14ac:dyDescent="0.25">
      <c r="K5011" s="312"/>
      <c r="N5011" s="514"/>
    </row>
    <row r="5012" spans="11:14" x14ac:dyDescent="0.25">
      <c r="K5012" s="312"/>
      <c r="N5012" s="514"/>
    </row>
    <row r="5013" spans="11:14" x14ac:dyDescent="0.25">
      <c r="K5013" s="312"/>
      <c r="N5013" s="514"/>
    </row>
    <row r="5014" spans="11:14" x14ac:dyDescent="0.25">
      <c r="K5014" s="312"/>
      <c r="N5014" s="514"/>
    </row>
    <row r="5015" spans="11:14" x14ac:dyDescent="0.25">
      <c r="K5015" s="312"/>
      <c r="N5015" s="514"/>
    </row>
    <row r="5016" spans="11:14" x14ac:dyDescent="0.25">
      <c r="K5016" s="312"/>
      <c r="N5016" s="514"/>
    </row>
    <row r="5017" spans="11:14" x14ac:dyDescent="0.25">
      <c r="K5017" s="312"/>
      <c r="N5017" s="514"/>
    </row>
    <row r="5018" spans="11:14" x14ac:dyDescent="0.25">
      <c r="K5018" s="312"/>
      <c r="N5018" s="514"/>
    </row>
    <row r="5019" spans="11:14" x14ac:dyDescent="0.25">
      <c r="K5019" s="312"/>
      <c r="N5019" s="514"/>
    </row>
    <row r="5020" spans="11:14" x14ac:dyDescent="0.25">
      <c r="K5020" s="312"/>
      <c r="N5020" s="514"/>
    </row>
    <row r="5021" spans="11:14" x14ac:dyDescent="0.25">
      <c r="K5021" s="312"/>
      <c r="N5021" s="514"/>
    </row>
    <row r="5022" spans="11:14" x14ac:dyDescent="0.25">
      <c r="K5022" s="312"/>
      <c r="N5022" s="514"/>
    </row>
    <row r="5023" spans="11:14" x14ac:dyDescent="0.25">
      <c r="K5023" s="312"/>
      <c r="N5023" s="514"/>
    </row>
    <row r="5024" spans="11:14" x14ac:dyDescent="0.25">
      <c r="K5024" s="312"/>
      <c r="N5024" s="514"/>
    </row>
    <row r="5025" spans="11:14" x14ac:dyDescent="0.25">
      <c r="K5025" s="312"/>
      <c r="N5025" s="514"/>
    </row>
    <row r="5026" spans="11:14" x14ac:dyDescent="0.25">
      <c r="K5026" s="312"/>
      <c r="N5026" s="514"/>
    </row>
    <row r="5027" spans="11:14" x14ac:dyDescent="0.25">
      <c r="K5027" s="312"/>
      <c r="N5027" s="514"/>
    </row>
    <row r="5028" spans="11:14" x14ac:dyDescent="0.25">
      <c r="K5028" s="312"/>
      <c r="N5028" s="514"/>
    </row>
    <row r="5029" spans="11:14" x14ac:dyDescent="0.25">
      <c r="K5029" s="312"/>
      <c r="N5029" s="514"/>
    </row>
    <row r="5030" spans="11:14" x14ac:dyDescent="0.25">
      <c r="K5030" s="312"/>
      <c r="N5030" s="514"/>
    </row>
    <row r="5031" spans="11:14" x14ac:dyDescent="0.25">
      <c r="K5031" s="312"/>
      <c r="N5031" s="514"/>
    </row>
    <row r="5032" spans="11:14" x14ac:dyDescent="0.25">
      <c r="K5032" s="312"/>
      <c r="N5032" s="514"/>
    </row>
    <row r="5033" spans="11:14" x14ac:dyDescent="0.25">
      <c r="K5033" s="312"/>
      <c r="N5033" s="514"/>
    </row>
    <row r="5034" spans="11:14" x14ac:dyDescent="0.25">
      <c r="K5034" s="312"/>
      <c r="N5034" s="514"/>
    </row>
    <row r="5035" spans="11:14" x14ac:dyDescent="0.25">
      <c r="K5035" s="312"/>
      <c r="N5035" s="514"/>
    </row>
    <row r="5036" spans="11:14" x14ac:dyDescent="0.25">
      <c r="K5036" s="312"/>
      <c r="N5036" s="514"/>
    </row>
    <row r="5037" spans="11:14" x14ac:dyDescent="0.25">
      <c r="K5037" s="312"/>
      <c r="N5037" s="514"/>
    </row>
    <row r="5038" spans="11:14" x14ac:dyDescent="0.25">
      <c r="K5038" s="312"/>
      <c r="N5038" s="514"/>
    </row>
    <row r="5039" spans="11:14" x14ac:dyDescent="0.25">
      <c r="K5039" s="312"/>
      <c r="N5039" s="514"/>
    </row>
    <row r="5040" spans="11:14" x14ac:dyDescent="0.25">
      <c r="K5040" s="312"/>
      <c r="N5040" s="514"/>
    </row>
    <row r="5041" spans="11:14" x14ac:dyDescent="0.25">
      <c r="K5041" s="312"/>
      <c r="N5041" s="514"/>
    </row>
    <row r="5042" spans="11:14" x14ac:dyDescent="0.25">
      <c r="K5042" s="312"/>
      <c r="N5042" s="514"/>
    </row>
    <row r="5043" spans="11:14" x14ac:dyDescent="0.25">
      <c r="K5043" s="312"/>
      <c r="N5043" s="514"/>
    </row>
    <row r="5044" spans="11:14" x14ac:dyDescent="0.25">
      <c r="K5044" s="312"/>
      <c r="N5044" s="514"/>
    </row>
    <row r="5045" spans="11:14" x14ac:dyDescent="0.25">
      <c r="K5045" s="312"/>
      <c r="N5045" s="514"/>
    </row>
    <row r="5046" spans="11:14" x14ac:dyDescent="0.25">
      <c r="K5046" s="312"/>
      <c r="N5046" s="514"/>
    </row>
    <row r="5047" spans="11:14" x14ac:dyDescent="0.25">
      <c r="K5047" s="312"/>
      <c r="N5047" s="514"/>
    </row>
    <row r="5048" spans="11:14" x14ac:dyDescent="0.25">
      <c r="K5048" s="312"/>
      <c r="N5048" s="514"/>
    </row>
    <row r="5049" spans="11:14" x14ac:dyDescent="0.25">
      <c r="K5049" s="312"/>
      <c r="N5049" s="514"/>
    </row>
    <row r="5050" spans="11:14" x14ac:dyDescent="0.25">
      <c r="K5050" s="312"/>
      <c r="N5050" s="514"/>
    </row>
    <row r="5051" spans="11:14" x14ac:dyDescent="0.25">
      <c r="K5051" s="312"/>
      <c r="N5051" s="514"/>
    </row>
    <row r="5052" spans="11:14" x14ac:dyDescent="0.25">
      <c r="K5052" s="312"/>
      <c r="N5052" s="514"/>
    </row>
    <row r="5053" spans="11:14" x14ac:dyDescent="0.25">
      <c r="K5053" s="312"/>
      <c r="N5053" s="514"/>
    </row>
    <row r="5054" spans="11:14" x14ac:dyDescent="0.25">
      <c r="K5054" s="312"/>
      <c r="N5054" s="514"/>
    </row>
    <row r="5055" spans="11:14" x14ac:dyDescent="0.25">
      <c r="K5055" s="312"/>
      <c r="N5055" s="514"/>
    </row>
    <row r="5056" spans="11:14" x14ac:dyDescent="0.25">
      <c r="K5056" s="312"/>
      <c r="N5056" s="514"/>
    </row>
    <row r="5057" spans="11:14" x14ac:dyDescent="0.25">
      <c r="K5057" s="312"/>
      <c r="N5057" s="514"/>
    </row>
    <row r="5058" spans="11:14" x14ac:dyDescent="0.25">
      <c r="K5058" s="312"/>
      <c r="N5058" s="514"/>
    </row>
    <row r="5059" spans="11:14" x14ac:dyDescent="0.25">
      <c r="K5059" s="312"/>
      <c r="N5059" s="514"/>
    </row>
    <row r="5060" spans="11:14" x14ac:dyDescent="0.25">
      <c r="K5060" s="312"/>
      <c r="N5060" s="514"/>
    </row>
    <row r="5061" spans="11:14" x14ac:dyDescent="0.25">
      <c r="K5061" s="312"/>
      <c r="N5061" s="514"/>
    </row>
    <row r="5062" spans="11:14" x14ac:dyDescent="0.25">
      <c r="K5062" s="312"/>
      <c r="N5062" s="514"/>
    </row>
    <row r="5063" spans="11:14" x14ac:dyDescent="0.25">
      <c r="K5063" s="312"/>
      <c r="N5063" s="514"/>
    </row>
    <row r="5064" spans="11:14" x14ac:dyDescent="0.25">
      <c r="K5064" s="312"/>
      <c r="N5064" s="514"/>
    </row>
    <row r="5065" spans="11:14" x14ac:dyDescent="0.25">
      <c r="K5065" s="312"/>
      <c r="N5065" s="514"/>
    </row>
    <row r="5066" spans="11:14" x14ac:dyDescent="0.25">
      <c r="K5066" s="312"/>
      <c r="N5066" s="514"/>
    </row>
    <row r="5067" spans="11:14" x14ac:dyDescent="0.25">
      <c r="K5067" s="312"/>
      <c r="N5067" s="514"/>
    </row>
    <row r="5068" spans="11:14" x14ac:dyDescent="0.25">
      <c r="K5068" s="312"/>
      <c r="N5068" s="514"/>
    </row>
    <row r="5069" spans="11:14" x14ac:dyDescent="0.25">
      <c r="K5069" s="312"/>
      <c r="N5069" s="514"/>
    </row>
    <row r="5070" spans="11:14" x14ac:dyDescent="0.25">
      <c r="K5070" s="312"/>
      <c r="N5070" s="514"/>
    </row>
    <row r="5071" spans="11:14" x14ac:dyDescent="0.25">
      <c r="K5071" s="312"/>
      <c r="N5071" s="514"/>
    </row>
    <row r="5072" spans="11:14" x14ac:dyDescent="0.25">
      <c r="K5072" s="312"/>
      <c r="N5072" s="514"/>
    </row>
    <row r="5073" spans="11:14" x14ac:dyDescent="0.25">
      <c r="K5073" s="312"/>
      <c r="N5073" s="514"/>
    </row>
    <row r="5074" spans="11:14" x14ac:dyDescent="0.25">
      <c r="K5074" s="312"/>
      <c r="N5074" s="514"/>
    </row>
    <row r="5075" spans="11:14" x14ac:dyDescent="0.25">
      <c r="K5075" s="312"/>
      <c r="N5075" s="514"/>
    </row>
    <row r="5076" spans="11:14" x14ac:dyDescent="0.25">
      <c r="K5076" s="312"/>
      <c r="N5076" s="514"/>
    </row>
    <row r="5077" spans="11:14" x14ac:dyDescent="0.25">
      <c r="K5077" s="312"/>
      <c r="N5077" s="514"/>
    </row>
    <row r="5078" spans="11:14" x14ac:dyDescent="0.25">
      <c r="K5078" s="312"/>
      <c r="N5078" s="514"/>
    </row>
    <row r="5079" spans="11:14" x14ac:dyDescent="0.25">
      <c r="K5079" s="312"/>
      <c r="N5079" s="514"/>
    </row>
    <row r="5080" spans="11:14" x14ac:dyDescent="0.25">
      <c r="K5080" s="312"/>
      <c r="N5080" s="514"/>
    </row>
    <row r="5081" spans="11:14" x14ac:dyDescent="0.25">
      <c r="K5081" s="312"/>
      <c r="N5081" s="514"/>
    </row>
    <row r="5082" spans="11:14" x14ac:dyDescent="0.25">
      <c r="K5082" s="312"/>
      <c r="N5082" s="514"/>
    </row>
    <row r="5083" spans="11:14" x14ac:dyDescent="0.25">
      <c r="K5083" s="312"/>
      <c r="N5083" s="514"/>
    </row>
    <row r="5084" spans="11:14" x14ac:dyDescent="0.25">
      <c r="K5084" s="312"/>
      <c r="N5084" s="514"/>
    </row>
    <row r="5085" spans="11:14" x14ac:dyDescent="0.25">
      <c r="K5085" s="312"/>
      <c r="N5085" s="514"/>
    </row>
    <row r="5086" spans="11:14" x14ac:dyDescent="0.25">
      <c r="K5086" s="312"/>
      <c r="N5086" s="514"/>
    </row>
    <row r="5087" spans="11:14" x14ac:dyDescent="0.25">
      <c r="K5087" s="312"/>
      <c r="N5087" s="514"/>
    </row>
    <row r="5088" spans="11:14" x14ac:dyDescent="0.25">
      <c r="K5088" s="312"/>
      <c r="N5088" s="514"/>
    </row>
    <row r="5089" spans="11:14" x14ac:dyDescent="0.25">
      <c r="K5089" s="312"/>
      <c r="N5089" s="514"/>
    </row>
    <row r="5090" spans="11:14" x14ac:dyDescent="0.25">
      <c r="K5090" s="312"/>
      <c r="N5090" s="514"/>
    </row>
    <row r="5091" spans="11:14" x14ac:dyDescent="0.25">
      <c r="K5091" s="312"/>
      <c r="N5091" s="514"/>
    </row>
    <row r="5092" spans="11:14" x14ac:dyDescent="0.25">
      <c r="K5092" s="312"/>
      <c r="N5092" s="514"/>
    </row>
    <row r="5093" spans="11:14" x14ac:dyDescent="0.25">
      <c r="K5093" s="312"/>
      <c r="N5093" s="514"/>
    </row>
    <row r="5094" spans="11:14" x14ac:dyDescent="0.25">
      <c r="K5094" s="312"/>
      <c r="N5094" s="514"/>
    </row>
    <row r="5095" spans="11:14" x14ac:dyDescent="0.25">
      <c r="K5095" s="312"/>
      <c r="N5095" s="514"/>
    </row>
    <row r="5096" spans="11:14" x14ac:dyDescent="0.25">
      <c r="K5096" s="312"/>
      <c r="N5096" s="514"/>
    </row>
    <row r="5097" spans="11:14" x14ac:dyDescent="0.25">
      <c r="K5097" s="312"/>
      <c r="N5097" s="514"/>
    </row>
    <row r="5098" spans="11:14" x14ac:dyDescent="0.25">
      <c r="K5098" s="312"/>
      <c r="N5098" s="514"/>
    </row>
    <row r="5099" spans="11:14" x14ac:dyDescent="0.25">
      <c r="K5099" s="312"/>
      <c r="N5099" s="514"/>
    </row>
    <row r="5100" spans="11:14" x14ac:dyDescent="0.25">
      <c r="K5100" s="312"/>
      <c r="N5100" s="514"/>
    </row>
    <row r="5101" spans="11:14" x14ac:dyDescent="0.25">
      <c r="K5101" s="312"/>
      <c r="N5101" s="514"/>
    </row>
    <row r="5102" spans="11:14" x14ac:dyDescent="0.25">
      <c r="K5102" s="312"/>
      <c r="N5102" s="514"/>
    </row>
    <row r="5103" spans="11:14" x14ac:dyDescent="0.25">
      <c r="K5103" s="312"/>
      <c r="N5103" s="514"/>
    </row>
    <row r="5104" spans="11:14" x14ac:dyDescent="0.25">
      <c r="K5104" s="312"/>
      <c r="N5104" s="514"/>
    </row>
    <row r="5105" spans="11:14" x14ac:dyDescent="0.25">
      <c r="K5105" s="312"/>
      <c r="N5105" s="514"/>
    </row>
    <row r="5106" spans="11:14" x14ac:dyDescent="0.25">
      <c r="K5106" s="312"/>
      <c r="N5106" s="514"/>
    </row>
    <row r="5107" spans="11:14" x14ac:dyDescent="0.25">
      <c r="K5107" s="312"/>
      <c r="N5107" s="514"/>
    </row>
    <row r="5108" spans="11:14" x14ac:dyDescent="0.25">
      <c r="K5108" s="312"/>
      <c r="N5108" s="514"/>
    </row>
    <row r="5109" spans="11:14" x14ac:dyDescent="0.25">
      <c r="K5109" s="312"/>
      <c r="N5109" s="514"/>
    </row>
    <row r="5110" spans="11:14" x14ac:dyDescent="0.25">
      <c r="K5110" s="312"/>
      <c r="N5110" s="514"/>
    </row>
    <row r="5111" spans="11:14" x14ac:dyDescent="0.25">
      <c r="K5111" s="312"/>
      <c r="N5111" s="514"/>
    </row>
    <row r="5112" spans="11:14" x14ac:dyDescent="0.25">
      <c r="K5112" s="312"/>
      <c r="N5112" s="514"/>
    </row>
    <row r="5113" spans="11:14" x14ac:dyDescent="0.25">
      <c r="K5113" s="312"/>
      <c r="N5113" s="514"/>
    </row>
    <row r="5114" spans="11:14" x14ac:dyDescent="0.25">
      <c r="K5114" s="312"/>
      <c r="N5114" s="514"/>
    </row>
    <row r="5115" spans="11:14" x14ac:dyDescent="0.25">
      <c r="K5115" s="312"/>
      <c r="N5115" s="514"/>
    </row>
    <row r="5116" spans="11:14" x14ac:dyDescent="0.25">
      <c r="K5116" s="312"/>
      <c r="N5116" s="514"/>
    </row>
    <row r="5117" spans="11:14" x14ac:dyDescent="0.25">
      <c r="K5117" s="312"/>
      <c r="N5117" s="514"/>
    </row>
    <row r="5118" spans="11:14" x14ac:dyDescent="0.25">
      <c r="K5118" s="312"/>
      <c r="N5118" s="514"/>
    </row>
    <row r="5119" spans="11:14" x14ac:dyDescent="0.25">
      <c r="K5119" s="312"/>
      <c r="N5119" s="514"/>
    </row>
    <row r="5120" spans="11:14" x14ac:dyDescent="0.25">
      <c r="K5120" s="312"/>
      <c r="N5120" s="514"/>
    </row>
    <row r="5121" spans="11:14" x14ac:dyDescent="0.25">
      <c r="K5121" s="312"/>
      <c r="N5121" s="514"/>
    </row>
    <row r="5122" spans="11:14" x14ac:dyDescent="0.25">
      <c r="K5122" s="312"/>
      <c r="N5122" s="514"/>
    </row>
    <row r="5123" spans="11:14" x14ac:dyDescent="0.25">
      <c r="K5123" s="312"/>
      <c r="N5123" s="514"/>
    </row>
    <row r="5124" spans="11:14" x14ac:dyDescent="0.25">
      <c r="K5124" s="312"/>
      <c r="N5124" s="514"/>
    </row>
    <row r="5125" spans="11:14" x14ac:dyDescent="0.25">
      <c r="K5125" s="312"/>
      <c r="N5125" s="514"/>
    </row>
    <row r="5126" spans="11:14" x14ac:dyDescent="0.25">
      <c r="K5126" s="312"/>
      <c r="N5126" s="514"/>
    </row>
    <row r="5127" spans="11:14" x14ac:dyDescent="0.25">
      <c r="K5127" s="312"/>
      <c r="N5127" s="514"/>
    </row>
    <row r="5128" spans="11:14" x14ac:dyDescent="0.25">
      <c r="K5128" s="312"/>
      <c r="N5128" s="514"/>
    </row>
    <row r="5129" spans="11:14" x14ac:dyDescent="0.25">
      <c r="K5129" s="312"/>
      <c r="N5129" s="514"/>
    </row>
    <row r="5130" spans="11:14" x14ac:dyDescent="0.25">
      <c r="K5130" s="312"/>
      <c r="N5130" s="514"/>
    </row>
    <row r="5131" spans="11:14" x14ac:dyDescent="0.25">
      <c r="K5131" s="312"/>
      <c r="N5131" s="514"/>
    </row>
    <row r="5132" spans="11:14" x14ac:dyDescent="0.25">
      <c r="K5132" s="312"/>
      <c r="N5132" s="514"/>
    </row>
    <row r="5133" spans="11:14" x14ac:dyDescent="0.25">
      <c r="K5133" s="312"/>
      <c r="N5133" s="514"/>
    </row>
    <row r="5134" spans="11:14" x14ac:dyDescent="0.25">
      <c r="K5134" s="312"/>
      <c r="N5134" s="514"/>
    </row>
    <row r="5135" spans="11:14" x14ac:dyDescent="0.25">
      <c r="K5135" s="312"/>
      <c r="N5135" s="514"/>
    </row>
    <row r="5136" spans="11:14" x14ac:dyDescent="0.25">
      <c r="K5136" s="312"/>
      <c r="N5136" s="514"/>
    </row>
    <row r="5137" spans="11:14" x14ac:dyDescent="0.25">
      <c r="K5137" s="312"/>
      <c r="N5137" s="514"/>
    </row>
    <row r="5138" spans="11:14" x14ac:dyDescent="0.25">
      <c r="K5138" s="312"/>
      <c r="N5138" s="514"/>
    </row>
    <row r="5139" spans="11:14" x14ac:dyDescent="0.25">
      <c r="K5139" s="312"/>
      <c r="N5139" s="514"/>
    </row>
    <row r="5140" spans="11:14" x14ac:dyDescent="0.25">
      <c r="K5140" s="312"/>
      <c r="N5140" s="514"/>
    </row>
    <row r="5141" spans="11:14" x14ac:dyDescent="0.25">
      <c r="K5141" s="312"/>
      <c r="N5141" s="514"/>
    </row>
    <row r="5142" spans="11:14" x14ac:dyDescent="0.25">
      <c r="K5142" s="312"/>
      <c r="N5142" s="514"/>
    </row>
    <row r="5143" spans="11:14" x14ac:dyDescent="0.25">
      <c r="K5143" s="312"/>
      <c r="N5143" s="514"/>
    </row>
    <row r="5144" spans="11:14" x14ac:dyDescent="0.25">
      <c r="K5144" s="312"/>
      <c r="N5144" s="514"/>
    </row>
    <row r="5145" spans="11:14" x14ac:dyDescent="0.25">
      <c r="K5145" s="312"/>
      <c r="N5145" s="514"/>
    </row>
    <row r="5146" spans="11:14" x14ac:dyDescent="0.25">
      <c r="K5146" s="312"/>
      <c r="N5146" s="514"/>
    </row>
    <row r="5147" spans="11:14" x14ac:dyDescent="0.25">
      <c r="K5147" s="312"/>
      <c r="N5147" s="514"/>
    </row>
    <row r="5148" spans="11:14" x14ac:dyDescent="0.25">
      <c r="K5148" s="312"/>
      <c r="N5148" s="514"/>
    </row>
    <row r="5149" spans="11:14" x14ac:dyDescent="0.25">
      <c r="K5149" s="312"/>
      <c r="N5149" s="514"/>
    </row>
    <row r="5150" spans="11:14" x14ac:dyDescent="0.25">
      <c r="K5150" s="312"/>
      <c r="N5150" s="514"/>
    </row>
    <row r="5151" spans="11:14" x14ac:dyDescent="0.25">
      <c r="K5151" s="312"/>
      <c r="N5151" s="514"/>
    </row>
    <row r="5152" spans="11:14" x14ac:dyDescent="0.25">
      <c r="K5152" s="312"/>
      <c r="N5152" s="514"/>
    </row>
    <row r="5153" spans="11:14" x14ac:dyDescent="0.25">
      <c r="K5153" s="312"/>
      <c r="N5153" s="514"/>
    </row>
    <row r="5154" spans="11:14" x14ac:dyDescent="0.25">
      <c r="K5154" s="312"/>
      <c r="N5154" s="514"/>
    </row>
    <row r="5155" spans="11:14" x14ac:dyDescent="0.25">
      <c r="K5155" s="312"/>
      <c r="N5155" s="514"/>
    </row>
    <row r="5156" spans="11:14" x14ac:dyDescent="0.25">
      <c r="K5156" s="312"/>
      <c r="N5156" s="514"/>
    </row>
    <row r="5157" spans="11:14" x14ac:dyDescent="0.25">
      <c r="K5157" s="312"/>
      <c r="N5157" s="514"/>
    </row>
    <row r="5158" spans="11:14" x14ac:dyDescent="0.25">
      <c r="K5158" s="312"/>
      <c r="N5158" s="514"/>
    </row>
    <row r="5159" spans="11:14" x14ac:dyDescent="0.25">
      <c r="K5159" s="312"/>
      <c r="N5159" s="514"/>
    </row>
    <row r="5160" spans="11:14" x14ac:dyDescent="0.25">
      <c r="K5160" s="312"/>
      <c r="N5160" s="514"/>
    </row>
    <row r="5161" spans="11:14" x14ac:dyDescent="0.25">
      <c r="K5161" s="312"/>
      <c r="N5161" s="514"/>
    </row>
    <row r="5162" spans="11:14" x14ac:dyDescent="0.25">
      <c r="K5162" s="312"/>
      <c r="N5162" s="514"/>
    </row>
    <row r="5163" spans="11:14" x14ac:dyDescent="0.25">
      <c r="K5163" s="312"/>
      <c r="N5163" s="514"/>
    </row>
    <row r="5164" spans="11:14" x14ac:dyDescent="0.25">
      <c r="K5164" s="312"/>
      <c r="N5164" s="514"/>
    </row>
    <row r="5165" spans="11:14" x14ac:dyDescent="0.25">
      <c r="K5165" s="312"/>
      <c r="N5165" s="514"/>
    </row>
    <row r="5166" spans="11:14" x14ac:dyDescent="0.25">
      <c r="K5166" s="312"/>
      <c r="N5166" s="514"/>
    </row>
    <row r="5167" spans="11:14" x14ac:dyDescent="0.25">
      <c r="K5167" s="312"/>
      <c r="N5167" s="514"/>
    </row>
    <row r="5168" spans="11:14" x14ac:dyDescent="0.25">
      <c r="K5168" s="312"/>
      <c r="N5168" s="514"/>
    </row>
    <row r="5169" spans="11:14" x14ac:dyDescent="0.25">
      <c r="K5169" s="312"/>
      <c r="N5169" s="514"/>
    </row>
    <row r="5170" spans="11:14" x14ac:dyDescent="0.25">
      <c r="K5170" s="312"/>
      <c r="N5170" s="514"/>
    </row>
    <row r="5171" spans="11:14" x14ac:dyDescent="0.25">
      <c r="K5171" s="312"/>
      <c r="N5171" s="514"/>
    </row>
    <row r="5172" spans="11:14" x14ac:dyDescent="0.25">
      <c r="K5172" s="312"/>
      <c r="N5172" s="514"/>
    </row>
    <row r="5173" spans="11:14" x14ac:dyDescent="0.25">
      <c r="K5173" s="312"/>
      <c r="N5173" s="514"/>
    </row>
    <row r="5174" spans="11:14" x14ac:dyDescent="0.25">
      <c r="K5174" s="312"/>
      <c r="N5174" s="514"/>
    </row>
    <row r="5175" spans="11:14" x14ac:dyDescent="0.25">
      <c r="K5175" s="312"/>
      <c r="N5175" s="514"/>
    </row>
    <row r="5176" spans="11:14" x14ac:dyDescent="0.25">
      <c r="K5176" s="312"/>
      <c r="N5176" s="514"/>
    </row>
    <row r="5177" spans="11:14" x14ac:dyDescent="0.25">
      <c r="K5177" s="312"/>
      <c r="N5177" s="514"/>
    </row>
    <row r="5178" spans="11:14" x14ac:dyDescent="0.25">
      <c r="K5178" s="312"/>
      <c r="N5178" s="514"/>
    </row>
    <row r="5179" spans="11:14" x14ac:dyDescent="0.25">
      <c r="K5179" s="312"/>
      <c r="N5179" s="514"/>
    </row>
    <row r="5180" spans="11:14" x14ac:dyDescent="0.25">
      <c r="K5180" s="312"/>
      <c r="N5180" s="514"/>
    </row>
    <row r="5181" spans="11:14" x14ac:dyDescent="0.25">
      <c r="K5181" s="312"/>
      <c r="N5181" s="514"/>
    </row>
    <row r="5182" spans="11:14" x14ac:dyDescent="0.25">
      <c r="K5182" s="312"/>
      <c r="N5182" s="514"/>
    </row>
    <row r="5183" spans="11:14" x14ac:dyDescent="0.25">
      <c r="K5183" s="312"/>
      <c r="N5183" s="514"/>
    </row>
    <row r="5184" spans="11:14" x14ac:dyDescent="0.25">
      <c r="K5184" s="312"/>
      <c r="N5184" s="514"/>
    </row>
    <row r="5185" spans="11:14" x14ac:dyDescent="0.25">
      <c r="K5185" s="312"/>
      <c r="N5185" s="514"/>
    </row>
    <row r="5186" spans="11:14" x14ac:dyDescent="0.25">
      <c r="K5186" s="312"/>
      <c r="N5186" s="514"/>
    </row>
    <row r="5187" spans="11:14" x14ac:dyDescent="0.25">
      <c r="K5187" s="312"/>
      <c r="N5187" s="514"/>
    </row>
    <row r="5188" spans="11:14" x14ac:dyDescent="0.25">
      <c r="K5188" s="312"/>
      <c r="N5188" s="514"/>
    </row>
    <row r="5189" spans="11:14" x14ac:dyDescent="0.25">
      <c r="K5189" s="312"/>
      <c r="N5189" s="514"/>
    </row>
    <row r="5190" spans="11:14" x14ac:dyDescent="0.25">
      <c r="K5190" s="312"/>
      <c r="N5190" s="514"/>
    </row>
    <row r="5191" spans="11:14" x14ac:dyDescent="0.25">
      <c r="K5191" s="312"/>
      <c r="N5191" s="514"/>
    </row>
    <row r="5192" spans="11:14" x14ac:dyDescent="0.25">
      <c r="K5192" s="312"/>
      <c r="N5192" s="514"/>
    </row>
    <row r="5193" spans="11:14" x14ac:dyDescent="0.25">
      <c r="K5193" s="312"/>
      <c r="N5193" s="514"/>
    </row>
    <row r="5194" spans="11:14" x14ac:dyDescent="0.25">
      <c r="K5194" s="312"/>
      <c r="N5194" s="514"/>
    </row>
    <row r="5195" spans="11:14" x14ac:dyDescent="0.25">
      <c r="K5195" s="312"/>
      <c r="N5195" s="514"/>
    </row>
    <row r="5196" spans="11:14" x14ac:dyDescent="0.25">
      <c r="K5196" s="312"/>
      <c r="N5196" s="514"/>
    </row>
    <row r="5197" spans="11:14" x14ac:dyDescent="0.25">
      <c r="K5197" s="312"/>
      <c r="N5197" s="514"/>
    </row>
    <row r="5198" spans="11:14" x14ac:dyDescent="0.25">
      <c r="K5198" s="312"/>
      <c r="N5198" s="514"/>
    </row>
    <row r="5199" spans="11:14" x14ac:dyDescent="0.25">
      <c r="K5199" s="312"/>
      <c r="N5199" s="514"/>
    </row>
    <row r="5200" spans="11:14" x14ac:dyDescent="0.25">
      <c r="K5200" s="312"/>
      <c r="N5200" s="514"/>
    </row>
    <row r="5201" spans="11:14" x14ac:dyDescent="0.25">
      <c r="K5201" s="312"/>
      <c r="N5201" s="514"/>
    </row>
    <row r="5202" spans="11:14" x14ac:dyDescent="0.25">
      <c r="K5202" s="312"/>
      <c r="N5202" s="514"/>
    </row>
    <row r="5203" spans="11:14" x14ac:dyDescent="0.25">
      <c r="K5203" s="312"/>
      <c r="N5203" s="514"/>
    </row>
    <row r="5204" spans="11:14" x14ac:dyDescent="0.25">
      <c r="K5204" s="312"/>
      <c r="N5204" s="514"/>
    </row>
    <row r="5205" spans="11:14" x14ac:dyDescent="0.25">
      <c r="K5205" s="312"/>
      <c r="N5205" s="514"/>
    </row>
    <row r="5206" spans="11:14" x14ac:dyDescent="0.25">
      <c r="K5206" s="312"/>
      <c r="N5206" s="514"/>
    </row>
    <row r="5207" spans="11:14" x14ac:dyDescent="0.25">
      <c r="K5207" s="312"/>
      <c r="N5207" s="514"/>
    </row>
    <row r="5208" spans="11:14" x14ac:dyDescent="0.25">
      <c r="K5208" s="312"/>
      <c r="N5208" s="514"/>
    </row>
    <row r="5209" spans="11:14" x14ac:dyDescent="0.25">
      <c r="K5209" s="312"/>
      <c r="N5209" s="514"/>
    </row>
    <row r="5210" spans="11:14" x14ac:dyDescent="0.25">
      <c r="K5210" s="312"/>
      <c r="N5210" s="514"/>
    </row>
    <row r="5211" spans="11:14" x14ac:dyDescent="0.25">
      <c r="K5211" s="312"/>
      <c r="N5211" s="514"/>
    </row>
    <row r="5212" spans="11:14" x14ac:dyDescent="0.25">
      <c r="K5212" s="312"/>
      <c r="N5212" s="514"/>
    </row>
    <row r="5213" spans="11:14" x14ac:dyDescent="0.25">
      <c r="K5213" s="312"/>
      <c r="N5213" s="514"/>
    </row>
    <row r="5214" spans="11:14" x14ac:dyDescent="0.25">
      <c r="K5214" s="312"/>
      <c r="N5214" s="514"/>
    </row>
    <row r="5215" spans="11:14" x14ac:dyDescent="0.25">
      <c r="K5215" s="312"/>
      <c r="N5215" s="514"/>
    </row>
    <row r="5216" spans="11:14" x14ac:dyDescent="0.25">
      <c r="K5216" s="312"/>
      <c r="N5216" s="514"/>
    </row>
    <row r="5217" spans="11:14" x14ac:dyDescent="0.25">
      <c r="K5217" s="312"/>
      <c r="N5217" s="514"/>
    </row>
    <row r="5218" spans="11:14" x14ac:dyDescent="0.25">
      <c r="K5218" s="312"/>
      <c r="N5218" s="514"/>
    </row>
    <row r="5219" spans="11:14" x14ac:dyDescent="0.25">
      <c r="K5219" s="312"/>
      <c r="N5219" s="514"/>
    </row>
    <row r="5220" spans="11:14" x14ac:dyDescent="0.25">
      <c r="K5220" s="312"/>
      <c r="N5220" s="514"/>
    </row>
    <row r="5221" spans="11:14" x14ac:dyDescent="0.25">
      <c r="K5221" s="312"/>
      <c r="N5221" s="514"/>
    </row>
    <row r="5222" spans="11:14" x14ac:dyDescent="0.25">
      <c r="K5222" s="312"/>
      <c r="N5222" s="514"/>
    </row>
    <row r="5223" spans="11:14" x14ac:dyDescent="0.25">
      <c r="K5223" s="312"/>
      <c r="N5223" s="514"/>
    </row>
    <row r="5224" spans="11:14" x14ac:dyDescent="0.25">
      <c r="K5224" s="312"/>
      <c r="N5224" s="514"/>
    </row>
    <row r="5225" spans="11:14" x14ac:dyDescent="0.25">
      <c r="K5225" s="312"/>
      <c r="N5225" s="514"/>
    </row>
    <row r="5226" spans="11:14" x14ac:dyDescent="0.25">
      <c r="K5226" s="312"/>
      <c r="N5226" s="514"/>
    </row>
    <row r="5227" spans="11:14" x14ac:dyDescent="0.25">
      <c r="K5227" s="312"/>
      <c r="N5227" s="514"/>
    </row>
    <row r="5228" spans="11:14" x14ac:dyDescent="0.25">
      <c r="K5228" s="312"/>
      <c r="N5228" s="514"/>
    </row>
    <row r="5229" spans="11:14" x14ac:dyDescent="0.25">
      <c r="K5229" s="312"/>
      <c r="N5229" s="514"/>
    </row>
    <row r="5230" spans="11:14" x14ac:dyDescent="0.25">
      <c r="K5230" s="312"/>
      <c r="N5230" s="514"/>
    </row>
    <row r="5231" spans="11:14" x14ac:dyDescent="0.25">
      <c r="K5231" s="312"/>
      <c r="N5231" s="514"/>
    </row>
    <row r="5232" spans="11:14" x14ac:dyDescent="0.25">
      <c r="K5232" s="312"/>
      <c r="N5232" s="514"/>
    </row>
    <row r="5233" spans="11:14" x14ac:dyDescent="0.25">
      <c r="K5233" s="312"/>
      <c r="N5233" s="514"/>
    </row>
    <row r="5234" spans="11:14" x14ac:dyDescent="0.25">
      <c r="K5234" s="312"/>
      <c r="N5234" s="514"/>
    </row>
    <row r="5235" spans="11:14" x14ac:dyDescent="0.25">
      <c r="K5235" s="312"/>
      <c r="N5235" s="514"/>
    </row>
    <row r="5236" spans="11:14" x14ac:dyDescent="0.25">
      <c r="K5236" s="312"/>
      <c r="N5236" s="514"/>
    </row>
    <row r="5237" spans="11:14" x14ac:dyDescent="0.25">
      <c r="K5237" s="312"/>
      <c r="N5237" s="514"/>
    </row>
    <row r="5238" spans="11:14" x14ac:dyDescent="0.25">
      <c r="K5238" s="312"/>
      <c r="N5238" s="514"/>
    </row>
    <row r="5239" spans="11:14" x14ac:dyDescent="0.25">
      <c r="K5239" s="312"/>
      <c r="N5239" s="514"/>
    </row>
    <row r="5240" spans="11:14" x14ac:dyDescent="0.25">
      <c r="K5240" s="312"/>
      <c r="N5240" s="514"/>
    </row>
    <row r="5241" spans="11:14" x14ac:dyDescent="0.25">
      <c r="K5241" s="312"/>
      <c r="N5241" s="514"/>
    </row>
    <row r="5242" spans="11:14" x14ac:dyDescent="0.25">
      <c r="K5242" s="312"/>
      <c r="N5242" s="514"/>
    </row>
    <row r="5243" spans="11:14" x14ac:dyDescent="0.25">
      <c r="K5243" s="312"/>
      <c r="N5243" s="514"/>
    </row>
    <row r="5244" spans="11:14" x14ac:dyDescent="0.25">
      <c r="K5244" s="312"/>
      <c r="N5244" s="514"/>
    </row>
    <row r="5245" spans="11:14" x14ac:dyDescent="0.25">
      <c r="K5245" s="312"/>
      <c r="N5245" s="514"/>
    </row>
    <row r="5246" spans="11:14" x14ac:dyDescent="0.25">
      <c r="K5246" s="312"/>
      <c r="N5246" s="514"/>
    </row>
    <row r="5247" spans="11:14" x14ac:dyDescent="0.25">
      <c r="K5247" s="312"/>
      <c r="N5247" s="514"/>
    </row>
    <row r="5248" spans="11:14" x14ac:dyDescent="0.25">
      <c r="K5248" s="312"/>
      <c r="N5248" s="514"/>
    </row>
    <row r="5249" spans="11:14" x14ac:dyDescent="0.25">
      <c r="K5249" s="312"/>
      <c r="N5249" s="514"/>
    </row>
    <row r="5250" spans="11:14" x14ac:dyDescent="0.25">
      <c r="K5250" s="312"/>
      <c r="N5250" s="514"/>
    </row>
    <row r="5251" spans="11:14" x14ac:dyDescent="0.25">
      <c r="K5251" s="312"/>
      <c r="N5251" s="514"/>
    </row>
    <row r="5252" spans="11:14" x14ac:dyDescent="0.25">
      <c r="K5252" s="312"/>
      <c r="N5252" s="514"/>
    </row>
    <row r="5253" spans="11:14" x14ac:dyDescent="0.25">
      <c r="K5253" s="312"/>
      <c r="N5253" s="514"/>
    </row>
    <row r="5254" spans="11:14" x14ac:dyDescent="0.25">
      <c r="K5254" s="312"/>
      <c r="N5254" s="514"/>
    </row>
    <row r="5255" spans="11:14" x14ac:dyDescent="0.25">
      <c r="K5255" s="312"/>
      <c r="N5255" s="514"/>
    </row>
    <row r="5256" spans="11:14" x14ac:dyDescent="0.25">
      <c r="K5256" s="312"/>
      <c r="N5256" s="514"/>
    </row>
    <row r="5257" spans="11:14" x14ac:dyDescent="0.25">
      <c r="K5257" s="312"/>
      <c r="N5257" s="514"/>
    </row>
    <row r="5258" spans="11:14" x14ac:dyDescent="0.25">
      <c r="K5258" s="312"/>
      <c r="N5258" s="514"/>
    </row>
    <row r="5259" spans="11:14" x14ac:dyDescent="0.25">
      <c r="K5259" s="312"/>
      <c r="N5259" s="514"/>
    </row>
    <row r="5260" spans="11:14" x14ac:dyDescent="0.25">
      <c r="K5260" s="312"/>
      <c r="N5260" s="514"/>
    </row>
    <row r="5261" spans="11:14" x14ac:dyDescent="0.25">
      <c r="K5261" s="312"/>
      <c r="N5261" s="514"/>
    </row>
    <row r="5262" spans="11:14" x14ac:dyDescent="0.25">
      <c r="K5262" s="312"/>
      <c r="N5262" s="514"/>
    </row>
    <row r="5263" spans="11:14" x14ac:dyDescent="0.25">
      <c r="K5263" s="312"/>
      <c r="N5263" s="514"/>
    </row>
    <row r="5264" spans="11:14" x14ac:dyDescent="0.25">
      <c r="K5264" s="312"/>
      <c r="N5264" s="514"/>
    </row>
    <row r="5265" spans="11:14" x14ac:dyDescent="0.25">
      <c r="K5265" s="312"/>
      <c r="N5265" s="514"/>
    </row>
    <row r="5266" spans="11:14" x14ac:dyDescent="0.25">
      <c r="K5266" s="312"/>
      <c r="N5266" s="514"/>
    </row>
    <row r="5267" spans="11:14" x14ac:dyDescent="0.25">
      <c r="K5267" s="312"/>
      <c r="N5267" s="514"/>
    </row>
    <row r="5268" spans="11:14" x14ac:dyDescent="0.25">
      <c r="K5268" s="312"/>
      <c r="N5268" s="514"/>
    </row>
    <row r="5269" spans="11:14" x14ac:dyDescent="0.25">
      <c r="K5269" s="312"/>
      <c r="N5269" s="514"/>
    </row>
    <row r="5270" spans="11:14" x14ac:dyDescent="0.25">
      <c r="K5270" s="312"/>
      <c r="N5270" s="514"/>
    </row>
    <row r="5271" spans="11:14" x14ac:dyDescent="0.25">
      <c r="K5271" s="312"/>
      <c r="N5271" s="514"/>
    </row>
    <row r="5272" spans="11:14" x14ac:dyDescent="0.25">
      <c r="K5272" s="312"/>
      <c r="N5272" s="514"/>
    </row>
    <row r="5273" spans="11:14" x14ac:dyDescent="0.25">
      <c r="K5273" s="312"/>
      <c r="N5273" s="514"/>
    </row>
    <row r="5274" spans="11:14" x14ac:dyDescent="0.25">
      <c r="K5274" s="312"/>
      <c r="N5274" s="514"/>
    </row>
    <row r="5275" spans="11:14" x14ac:dyDescent="0.25">
      <c r="K5275" s="312"/>
      <c r="N5275" s="514"/>
    </row>
    <row r="5276" spans="11:14" x14ac:dyDescent="0.25">
      <c r="K5276" s="312"/>
      <c r="N5276" s="514"/>
    </row>
    <row r="5277" spans="11:14" x14ac:dyDescent="0.25">
      <c r="K5277" s="312"/>
      <c r="N5277" s="514"/>
    </row>
    <row r="5278" spans="11:14" x14ac:dyDescent="0.25">
      <c r="K5278" s="312"/>
      <c r="N5278" s="514"/>
    </row>
    <row r="5279" spans="11:14" x14ac:dyDescent="0.25">
      <c r="K5279" s="312"/>
      <c r="N5279" s="514"/>
    </row>
    <row r="5280" spans="11:14" x14ac:dyDescent="0.25">
      <c r="K5280" s="312"/>
      <c r="N5280" s="514"/>
    </row>
    <row r="5281" spans="11:14" x14ac:dyDescent="0.25">
      <c r="K5281" s="312"/>
      <c r="N5281" s="514"/>
    </row>
    <row r="5282" spans="11:14" x14ac:dyDescent="0.25">
      <c r="K5282" s="312"/>
      <c r="N5282" s="514"/>
    </row>
    <row r="5283" spans="11:14" x14ac:dyDescent="0.25">
      <c r="K5283" s="312"/>
      <c r="N5283" s="514"/>
    </row>
    <row r="5284" spans="11:14" x14ac:dyDescent="0.25">
      <c r="K5284" s="312"/>
      <c r="N5284" s="514"/>
    </row>
    <row r="5285" spans="11:14" x14ac:dyDescent="0.25">
      <c r="K5285" s="312"/>
      <c r="N5285" s="514"/>
    </row>
    <row r="5286" spans="11:14" x14ac:dyDescent="0.25">
      <c r="K5286" s="312"/>
      <c r="N5286" s="514"/>
    </row>
    <row r="5287" spans="11:14" x14ac:dyDescent="0.25">
      <c r="K5287" s="312"/>
      <c r="N5287" s="514"/>
    </row>
    <row r="5288" spans="11:14" x14ac:dyDescent="0.25">
      <c r="K5288" s="312"/>
      <c r="N5288" s="514"/>
    </row>
    <row r="5289" spans="11:14" x14ac:dyDescent="0.25">
      <c r="K5289" s="312"/>
      <c r="N5289" s="514"/>
    </row>
    <row r="5290" spans="11:14" x14ac:dyDescent="0.25">
      <c r="K5290" s="312"/>
      <c r="N5290" s="514"/>
    </row>
    <row r="5291" spans="11:14" x14ac:dyDescent="0.25">
      <c r="K5291" s="312"/>
      <c r="N5291" s="514"/>
    </row>
    <row r="5292" spans="11:14" x14ac:dyDescent="0.25">
      <c r="K5292" s="312"/>
      <c r="N5292" s="514"/>
    </row>
    <row r="5293" spans="11:14" x14ac:dyDescent="0.25">
      <c r="K5293" s="312"/>
      <c r="N5293" s="514"/>
    </row>
    <row r="5294" spans="11:14" x14ac:dyDescent="0.25">
      <c r="K5294" s="312"/>
      <c r="N5294" s="514"/>
    </row>
    <row r="5295" spans="11:14" x14ac:dyDescent="0.25">
      <c r="K5295" s="312"/>
      <c r="N5295" s="514"/>
    </row>
    <row r="5296" spans="11:14" x14ac:dyDescent="0.25">
      <c r="K5296" s="312"/>
      <c r="N5296" s="514"/>
    </row>
    <row r="5297" spans="11:14" x14ac:dyDescent="0.25">
      <c r="K5297" s="312"/>
      <c r="N5297" s="514"/>
    </row>
    <row r="5298" spans="11:14" x14ac:dyDescent="0.25">
      <c r="K5298" s="312"/>
      <c r="N5298" s="514"/>
    </row>
    <row r="5299" spans="11:14" x14ac:dyDescent="0.25">
      <c r="K5299" s="312"/>
      <c r="N5299" s="514"/>
    </row>
    <row r="5300" spans="11:14" x14ac:dyDescent="0.25">
      <c r="K5300" s="312"/>
      <c r="N5300" s="514"/>
    </row>
    <row r="5301" spans="11:14" x14ac:dyDescent="0.25">
      <c r="K5301" s="312"/>
      <c r="N5301" s="514"/>
    </row>
    <row r="5302" spans="11:14" x14ac:dyDescent="0.25">
      <c r="K5302" s="312"/>
      <c r="N5302" s="514"/>
    </row>
    <row r="5303" spans="11:14" x14ac:dyDescent="0.25">
      <c r="K5303" s="312"/>
      <c r="N5303" s="514"/>
    </row>
    <row r="5304" spans="11:14" x14ac:dyDescent="0.25">
      <c r="K5304" s="312"/>
      <c r="N5304" s="514"/>
    </row>
    <row r="5305" spans="11:14" x14ac:dyDescent="0.25">
      <c r="K5305" s="312"/>
      <c r="N5305" s="514"/>
    </row>
    <row r="5306" spans="11:14" x14ac:dyDescent="0.25">
      <c r="K5306" s="312"/>
      <c r="N5306" s="514"/>
    </row>
    <row r="5307" spans="11:14" x14ac:dyDescent="0.25">
      <c r="K5307" s="312"/>
      <c r="N5307" s="514"/>
    </row>
    <row r="5308" spans="11:14" x14ac:dyDescent="0.25">
      <c r="K5308" s="312"/>
      <c r="N5308" s="514"/>
    </row>
    <row r="5309" spans="11:14" x14ac:dyDescent="0.25">
      <c r="K5309" s="312"/>
      <c r="N5309" s="514"/>
    </row>
    <row r="5310" spans="11:14" x14ac:dyDescent="0.25">
      <c r="K5310" s="312"/>
      <c r="N5310" s="514"/>
    </row>
    <row r="5311" spans="11:14" x14ac:dyDescent="0.25">
      <c r="K5311" s="312"/>
      <c r="N5311" s="514"/>
    </row>
    <row r="5312" spans="11:14" x14ac:dyDescent="0.25">
      <c r="K5312" s="312"/>
      <c r="N5312" s="514"/>
    </row>
    <row r="5313" spans="11:14" x14ac:dyDescent="0.25">
      <c r="K5313" s="312"/>
      <c r="N5313" s="514"/>
    </row>
    <row r="5314" spans="11:14" x14ac:dyDescent="0.25">
      <c r="K5314" s="312"/>
      <c r="N5314" s="514"/>
    </row>
    <row r="5315" spans="11:14" x14ac:dyDescent="0.25">
      <c r="K5315" s="312"/>
      <c r="N5315" s="514"/>
    </row>
    <row r="5316" spans="11:14" x14ac:dyDescent="0.25">
      <c r="K5316" s="312"/>
      <c r="N5316" s="514"/>
    </row>
    <row r="5317" spans="11:14" x14ac:dyDescent="0.25">
      <c r="K5317" s="312"/>
      <c r="N5317" s="514"/>
    </row>
    <row r="5318" spans="11:14" x14ac:dyDescent="0.25">
      <c r="K5318" s="312"/>
      <c r="N5318" s="514"/>
    </row>
    <row r="5319" spans="11:14" x14ac:dyDescent="0.25">
      <c r="K5319" s="312"/>
      <c r="N5319" s="514"/>
    </row>
    <row r="5320" spans="11:14" x14ac:dyDescent="0.25">
      <c r="K5320" s="312"/>
      <c r="N5320" s="514"/>
    </row>
    <row r="5321" spans="11:14" x14ac:dyDescent="0.25">
      <c r="K5321" s="312"/>
      <c r="N5321" s="514"/>
    </row>
    <row r="5322" spans="11:14" x14ac:dyDescent="0.25">
      <c r="K5322" s="312"/>
      <c r="N5322" s="514"/>
    </row>
    <row r="5323" spans="11:14" x14ac:dyDescent="0.25">
      <c r="K5323" s="312"/>
      <c r="N5323" s="514"/>
    </row>
    <row r="5324" spans="11:14" x14ac:dyDescent="0.25">
      <c r="K5324" s="312"/>
      <c r="N5324" s="514"/>
    </row>
    <row r="5325" spans="11:14" x14ac:dyDescent="0.25">
      <c r="K5325" s="312"/>
      <c r="N5325" s="514"/>
    </row>
    <row r="5326" spans="11:14" x14ac:dyDescent="0.25">
      <c r="K5326" s="312"/>
      <c r="N5326" s="514"/>
    </row>
    <row r="5327" spans="11:14" x14ac:dyDescent="0.25">
      <c r="K5327" s="312"/>
      <c r="N5327" s="514"/>
    </row>
    <row r="5328" spans="11:14" x14ac:dyDescent="0.25">
      <c r="K5328" s="312"/>
      <c r="N5328" s="514"/>
    </row>
    <row r="5329" spans="11:14" x14ac:dyDescent="0.25">
      <c r="K5329" s="312"/>
      <c r="N5329" s="514"/>
    </row>
    <row r="5330" spans="11:14" x14ac:dyDescent="0.25">
      <c r="K5330" s="312"/>
      <c r="N5330" s="514"/>
    </row>
    <row r="5331" spans="11:14" x14ac:dyDescent="0.25">
      <c r="K5331" s="312"/>
      <c r="N5331" s="514"/>
    </row>
    <row r="5332" spans="11:14" x14ac:dyDescent="0.25">
      <c r="K5332" s="312"/>
      <c r="N5332" s="514"/>
    </row>
    <row r="5333" spans="11:14" x14ac:dyDescent="0.25">
      <c r="K5333" s="312"/>
      <c r="N5333" s="514"/>
    </row>
    <row r="5334" spans="11:14" x14ac:dyDescent="0.25">
      <c r="K5334" s="312"/>
      <c r="N5334" s="514"/>
    </row>
    <row r="5335" spans="11:14" x14ac:dyDescent="0.25">
      <c r="K5335" s="312"/>
      <c r="N5335" s="514"/>
    </row>
    <row r="5336" spans="11:14" x14ac:dyDescent="0.25">
      <c r="K5336" s="312"/>
      <c r="N5336" s="514"/>
    </row>
    <row r="5337" spans="11:14" x14ac:dyDescent="0.25">
      <c r="K5337" s="312"/>
      <c r="N5337" s="514"/>
    </row>
    <row r="5338" spans="11:14" x14ac:dyDescent="0.25">
      <c r="K5338" s="312"/>
      <c r="N5338" s="514"/>
    </row>
    <row r="5339" spans="11:14" x14ac:dyDescent="0.25">
      <c r="K5339" s="312"/>
      <c r="N5339" s="514"/>
    </row>
    <row r="5340" spans="11:14" x14ac:dyDescent="0.25">
      <c r="K5340" s="312"/>
      <c r="N5340" s="514"/>
    </row>
    <row r="5341" spans="11:14" x14ac:dyDescent="0.25">
      <c r="K5341" s="312"/>
      <c r="N5341" s="514"/>
    </row>
    <row r="5342" spans="11:14" x14ac:dyDescent="0.25">
      <c r="K5342" s="312"/>
      <c r="N5342" s="514"/>
    </row>
    <row r="5343" spans="11:14" x14ac:dyDescent="0.25">
      <c r="K5343" s="312"/>
      <c r="N5343" s="514"/>
    </row>
    <row r="5344" spans="11:14" x14ac:dyDescent="0.25">
      <c r="K5344" s="312"/>
      <c r="N5344" s="514"/>
    </row>
    <row r="5345" spans="11:14" x14ac:dyDescent="0.25">
      <c r="K5345" s="312"/>
      <c r="N5345" s="514"/>
    </row>
    <row r="5346" spans="11:14" x14ac:dyDescent="0.25">
      <c r="K5346" s="312"/>
      <c r="N5346" s="514"/>
    </row>
    <row r="5347" spans="11:14" x14ac:dyDescent="0.25">
      <c r="K5347" s="312"/>
      <c r="N5347" s="514"/>
    </row>
    <row r="5348" spans="11:14" x14ac:dyDescent="0.25">
      <c r="K5348" s="312"/>
      <c r="N5348" s="514"/>
    </row>
    <row r="5349" spans="11:14" x14ac:dyDescent="0.25">
      <c r="K5349" s="312"/>
      <c r="N5349" s="514"/>
    </row>
    <row r="5350" spans="11:14" x14ac:dyDescent="0.25">
      <c r="K5350" s="312"/>
      <c r="N5350" s="514"/>
    </row>
    <row r="5351" spans="11:14" x14ac:dyDescent="0.25">
      <c r="K5351" s="312"/>
      <c r="N5351" s="514"/>
    </row>
    <row r="5352" spans="11:14" x14ac:dyDescent="0.25">
      <c r="K5352" s="312"/>
      <c r="N5352" s="514"/>
    </row>
    <row r="5353" spans="11:14" x14ac:dyDescent="0.25">
      <c r="K5353" s="312"/>
      <c r="N5353" s="514"/>
    </row>
    <row r="5354" spans="11:14" x14ac:dyDescent="0.25">
      <c r="K5354" s="312"/>
      <c r="N5354" s="514"/>
    </row>
    <row r="5355" spans="11:14" x14ac:dyDescent="0.25">
      <c r="K5355" s="312"/>
      <c r="N5355" s="514"/>
    </row>
    <row r="5356" spans="11:14" x14ac:dyDescent="0.25">
      <c r="K5356" s="312"/>
      <c r="N5356" s="514"/>
    </row>
    <row r="5357" spans="11:14" x14ac:dyDescent="0.25">
      <c r="K5357" s="312"/>
      <c r="N5357" s="514"/>
    </row>
    <row r="5358" spans="11:14" x14ac:dyDescent="0.25">
      <c r="K5358" s="312"/>
      <c r="N5358" s="514"/>
    </row>
    <row r="5359" spans="11:14" x14ac:dyDescent="0.25">
      <c r="K5359" s="312"/>
      <c r="N5359" s="514"/>
    </row>
    <row r="5360" spans="11:14" x14ac:dyDescent="0.25">
      <c r="K5360" s="312"/>
      <c r="N5360" s="514"/>
    </row>
    <row r="5361" spans="11:14" x14ac:dyDescent="0.25">
      <c r="K5361" s="312"/>
      <c r="N5361" s="514"/>
    </row>
    <row r="5362" spans="11:14" x14ac:dyDescent="0.25">
      <c r="K5362" s="312"/>
      <c r="N5362" s="514"/>
    </row>
    <row r="5363" spans="11:14" x14ac:dyDescent="0.25">
      <c r="K5363" s="312"/>
      <c r="N5363" s="514"/>
    </row>
    <row r="5364" spans="11:14" x14ac:dyDescent="0.25">
      <c r="K5364" s="312"/>
      <c r="N5364" s="514"/>
    </row>
    <row r="5365" spans="11:14" x14ac:dyDescent="0.25">
      <c r="K5365" s="312"/>
      <c r="N5365" s="514"/>
    </row>
    <row r="5366" spans="11:14" x14ac:dyDescent="0.25">
      <c r="K5366" s="312"/>
      <c r="N5366" s="514"/>
    </row>
    <row r="5367" spans="11:14" x14ac:dyDescent="0.25">
      <c r="K5367" s="312"/>
      <c r="N5367" s="514"/>
    </row>
    <row r="5368" spans="11:14" x14ac:dyDescent="0.25">
      <c r="K5368" s="312"/>
      <c r="N5368" s="514"/>
    </row>
    <row r="5369" spans="11:14" x14ac:dyDescent="0.25">
      <c r="K5369" s="312"/>
      <c r="N5369" s="514"/>
    </row>
    <row r="5370" spans="11:14" x14ac:dyDescent="0.25">
      <c r="K5370" s="312"/>
      <c r="N5370" s="514"/>
    </row>
    <row r="5371" spans="11:14" x14ac:dyDescent="0.25">
      <c r="K5371" s="312"/>
      <c r="N5371" s="514"/>
    </row>
    <row r="5372" spans="11:14" x14ac:dyDescent="0.25">
      <c r="K5372" s="312"/>
      <c r="N5372" s="514"/>
    </row>
    <row r="5373" spans="11:14" x14ac:dyDescent="0.25">
      <c r="K5373" s="312"/>
      <c r="N5373" s="514"/>
    </row>
    <row r="5374" spans="11:14" x14ac:dyDescent="0.25">
      <c r="K5374" s="312"/>
      <c r="N5374" s="514"/>
    </row>
    <row r="5375" spans="11:14" x14ac:dyDescent="0.25">
      <c r="K5375" s="312"/>
      <c r="N5375" s="514"/>
    </row>
    <row r="5376" spans="11:14" x14ac:dyDescent="0.25">
      <c r="K5376" s="312"/>
      <c r="N5376" s="514"/>
    </row>
    <row r="5377" spans="11:14" x14ac:dyDescent="0.25">
      <c r="K5377" s="312"/>
      <c r="N5377" s="514"/>
    </row>
    <row r="5378" spans="11:14" x14ac:dyDescent="0.25">
      <c r="K5378" s="312"/>
      <c r="N5378" s="514"/>
    </row>
    <row r="5379" spans="11:14" x14ac:dyDescent="0.25">
      <c r="K5379" s="312"/>
      <c r="N5379" s="514"/>
    </row>
    <row r="5380" spans="11:14" x14ac:dyDescent="0.25">
      <c r="K5380" s="312"/>
      <c r="N5380" s="514"/>
    </row>
    <row r="5381" spans="11:14" x14ac:dyDescent="0.25">
      <c r="K5381" s="312"/>
      <c r="N5381" s="514"/>
    </row>
    <row r="5382" spans="11:14" x14ac:dyDescent="0.25">
      <c r="K5382" s="312"/>
      <c r="N5382" s="514"/>
    </row>
    <row r="5383" spans="11:14" x14ac:dyDescent="0.25">
      <c r="K5383" s="312"/>
      <c r="N5383" s="514"/>
    </row>
    <row r="5384" spans="11:14" x14ac:dyDescent="0.25">
      <c r="K5384" s="312"/>
      <c r="N5384" s="514"/>
    </row>
    <row r="5385" spans="11:14" x14ac:dyDescent="0.25">
      <c r="K5385" s="312"/>
      <c r="N5385" s="514"/>
    </row>
    <row r="5386" spans="11:14" x14ac:dyDescent="0.25">
      <c r="K5386" s="312"/>
      <c r="N5386" s="514"/>
    </row>
    <row r="5387" spans="11:14" x14ac:dyDescent="0.25">
      <c r="K5387" s="312"/>
      <c r="N5387" s="514"/>
    </row>
    <row r="5388" spans="11:14" x14ac:dyDescent="0.25">
      <c r="K5388" s="312"/>
      <c r="N5388" s="514"/>
    </row>
    <row r="5389" spans="11:14" x14ac:dyDescent="0.25">
      <c r="K5389" s="312"/>
      <c r="N5389" s="514"/>
    </row>
    <row r="5390" spans="11:14" x14ac:dyDescent="0.25">
      <c r="K5390" s="312"/>
      <c r="N5390" s="514"/>
    </row>
    <row r="5391" spans="11:14" x14ac:dyDescent="0.25">
      <c r="K5391" s="312"/>
      <c r="N5391" s="514"/>
    </row>
    <row r="5392" spans="11:14" x14ac:dyDescent="0.25">
      <c r="K5392" s="312"/>
      <c r="N5392" s="514"/>
    </row>
    <row r="5393" spans="11:14" x14ac:dyDescent="0.25">
      <c r="K5393" s="312"/>
      <c r="N5393" s="514"/>
    </row>
    <row r="5394" spans="11:14" x14ac:dyDescent="0.25">
      <c r="K5394" s="312"/>
      <c r="N5394" s="514"/>
    </row>
    <row r="5395" spans="11:14" x14ac:dyDescent="0.25">
      <c r="K5395" s="312"/>
      <c r="N5395" s="514"/>
    </row>
    <row r="5396" spans="11:14" x14ac:dyDescent="0.25">
      <c r="K5396" s="312"/>
      <c r="N5396" s="514"/>
    </row>
    <row r="5397" spans="11:14" x14ac:dyDescent="0.25">
      <c r="K5397" s="312"/>
      <c r="N5397" s="514"/>
    </row>
    <row r="5398" spans="11:14" x14ac:dyDescent="0.25">
      <c r="K5398" s="312"/>
      <c r="N5398" s="514"/>
    </row>
    <row r="5399" spans="11:14" x14ac:dyDescent="0.25">
      <c r="K5399" s="312"/>
      <c r="N5399" s="514"/>
    </row>
    <row r="5400" spans="11:14" x14ac:dyDescent="0.25">
      <c r="K5400" s="312"/>
      <c r="N5400" s="514"/>
    </row>
    <row r="5401" spans="11:14" x14ac:dyDescent="0.25">
      <c r="K5401" s="312"/>
      <c r="N5401" s="514"/>
    </row>
    <row r="5402" spans="11:14" x14ac:dyDescent="0.25">
      <c r="K5402" s="312"/>
      <c r="N5402" s="514"/>
    </row>
    <row r="5403" spans="11:14" x14ac:dyDescent="0.25">
      <c r="K5403" s="312"/>
      <c r="N5403" s="514"/>
    </row>
    <row r="5404" spans="11:14" x14ac:dyDescent="0.25">
      <c r="K5404" s="312"/>
      <c r="N5404" s="514"/>
    </row>
    <row r="5405" spans="11:14" x14ac:dyDescent="0.25">
      <c r="K5405" s="312"/>
      <c r="N5405" s="514"/>
    </row>
    <row r="5406" spans="11:14" x14ac:dyDescent="0.25">
      <c r="K5406" s="312"/>
      <c r="N5406" s="514"/>
    </row>
    <row r="5407" spans="11:14" x14ac:dyDescent="0.25">
      <c r="K5407" s="312"/>
      <c r="N5407" s="514"/>
    </row>
    <row r="5408" spans="11:14" x14ac:dyDescent="0.25">
      <c r="K5408" s="312"/>
      <c r="N5408" s="514"/>
    </row>
    <row r="5409" spans="11:14" x14ac:dyDescent="0.25">
      <c r="K5409" s="312"/>
      <c r="N5409" s="514"/>
    </row>
    <row r="5410" spans="11:14" x14ac:dyDescent="0.25">
      <c r="K5410" s="312"/>
      <c r="N5410" s="514"/>
    </row>
    <row r="5411" spans="11:14" x14ac:dyDescent="0.25">
      <c r="K5411" s="312"/>
      <c r="N5411" s="514"/>
    </row>
    <row r="5412" spans="11:14" x14ac:dyDescent="0.25">
      <c r="K5412" s="312"/>
      <c r="N5412" s="514"/>
    </row>
    <row r="5413" spans="11:14" x14ac:dyDescent="0.25">
      <c r="K5413" s="312"/>
      <c r="N5413" s="514"/>
    </row>
    <row r="5414" spans="11:14" x14ac:dyDescent="0.25">
      <c r="K5414" s="312"/>
      <c r="N5414" s="514"/>
    </row>
    <row r="5415" spans="11:14" x14ac:dyDescent="0.25">
      <c r="K5415" s="312"/>
      <c r="N5415" s="514"/>
    </row>
    <row r="5416" spans="11:14" x14ac:dyDescent="0.25">
      <c r="K5416" s="312"/>
      <c r="N5416" s="514"/>
    </row>
    <row r="5417" spans="11:14" x14ac:dyDescent="0.25">
      <c r="K5417" s="312"/>
      <c r="N5417" s="514"/>
    </row>
    <row r="5418" spans="11:14" x14ac:dyDescent="0.25">
      <c r="K5418" s="312"/>
      <c r="N5418" s="514"/>
    </row>
    <row r="5419" spans="11:14" x14ac:dyDescent="0.25">
      <c r="K5419" s="312"/>
      <c r="N5419" s="514"/>
    </row>
    <row r="5420" spans="11:14" x14ac:dyDescent="0.25">
      <c r="K5420" s="312"/>
      <c r="N5420" s="514"/>
    </row>
    <row r="5421" spans="11:14" x14ac:dyDescent="0.25">
      <c r="K5421" s="312"/>
      <c r="N5421" s="514"/>
    </row>
    <row r="5422" spans="11:14" x14ac:dyDescent="0.25">
      <c r="K5422" s="312"/>
      <c r="N5422" s="514"/>
    </row>
    <row r="5423" spans="11:14" x14ac:dyDescent="0.25">
      <c r="K5423" s="312"/>
      <c r="N5423" s="514"/>
    </row>
    <row r="5424" spans="11:14" x14ac:dyDescent="0.25">
      <c r="K5424" s="312"/>
      <c r="N5424" s="514"/>
    </row>
    <row r="5425" spans="11:14" x14ac:dyDescent="0.25">
      <c r="K5425" s="312"/>
      <c r="N5425" s="514"/>
    </row>
    <row r="5426" spans="11:14" x14ac:dyDescent="0.25">
      <c r="K5426" s="312"/>
      <c r="N5426" s="514"/>
    </row>
    <row r="5427" spans="11:14" x14ac:dyDescent="0.25">
      <c r="K5427" s="312"/>
      <c r="N5427" s="514"/>
    </row>
    <row r="5428" spans="11:14" x14ac:dyDescent="0.25">
      <c r="K5428" s="312"/>
      <c r="N5428" s="514"/>
    </row>
    <row r="5429" spans="11:14" x14ac:dyDescent="0.25">
      <c r="K5429" s="312"/>
      <c r="N5429" s="514"/>
    </row>
    <row r="5430" spans="11:14" x14ac:dyDescent="0.25">
      <c r="K5430" s="312"/>
      <c r="N5430" s="514"/>
    </row>
    <row r="5431" spans="11:14" x14ac:dyDescent="0.25">
      <c r="K5431" s="312"/>
      <c r="N5431" s="514"/>
    </row>
    <row r="5432" spans="11:14" x14ac:dyDescent="0.25">
      <c r="K5432" s="312"/>
      <c r="N5432" s="514"/>
    </row>
    <row r="5433" spans="11:14" x14ac:dyDescent="0.25">
      <c r="K5433" s="312"/>
      <c r="N5433" s="514"/>
    </row>
    <row r="5434" spans="11:14" x14ac:dyDescent="0.25">
      <c r="K5434" s="312"/>
      <c r="N5434" s="514"/>
    </row>
    <row r="5435" spans="11:14" x14ac:dyDescent="0.25">
      <c r="K5435" s="312"/>
      <c r="N5435" s="514"/>
    </row>
    <row r="5436" spans="11:14" x14ac:dyDescent="0.25">
      <c r="K5436" s="312"/>
      <c r="N5436" s="514"/>
    </row>
    <row r="5437" spans="11:14" x14ac:dyDescent="0.25">
      <c r="K5437" s="312"/>
      <c r="N5437" s="514"/>
    </row>
    <row r="5438" spans="11:14" x14ac:dyDescent="0.25">
      <c r="K5438" s="312"/>
      <c r="N5438" s="514"/>
    </row>
    <row r="5439" spans="11:14" x14ac:dyDescent="0.25">
      <c r="K5439" s="312"/>
      <c r="N5439" s="514"/>
    </row>
    <row r="5440" spans="11:14" x14ac:dyDescent="0.25">
      <c r="K5440" s="312"/>
      <c r="N5440" s="514"/>
    </row>
    <row r="5441" spans="11:14" x14ac:dyDescent="0.25">
      <c r="K5441" s="312"/>
      <c r="N5441" s="514"/>
    </row>
    <row r="5442" spans="11:14" x14ac:dyDescent="0.25">
      <c r="K5442" s="312"/>
      <c r="N5442" s="514"/>
    </row>
    <row r="5443" spans="11:14" x14ac:dyDescent="0.25">
      <c r="K5443" s="312"/>
      <c r="N5443" s="514"/>
    </row>
    <row r="5444" spans="11:14" x14ac:dyDescent="0.25">
      <c r="K5444" s="312"/>
      <c r="N5444" s="514"/>
    </row>
    <row r="5445" spans="11:14" x14ac:dyDescent="0.25">
      <c r="K5445" s="312"/>
      <c r="N5445" s="514"/>
    </row>
    <row r="5446" spans="11:14" x14ac:dyDescent="0.25">
      <c r="K5446" s="312"/>
      <c r="N5446" s="514"/>
    </row>
    <row r="5447" spans="11:14" x14ac:dyDescent="0.25">
      <c r="K5447" s="312"/>
      <c r="N5447" s="514"/>
    </row>
    <row r="5448" spans="11:14" x14ac:dyDescent="0.25">
      <c r="K5448" s="312"/>
      <c r="N5448" s="514"/>
    </row>
    <row r="5449" spans="11:14" x14ac:dyDescent="0.25">
      <c r="K5449" s="312"/>
      <c r="N5449" s="514"/>
    </row>
    <row r="5450" spans="11:14" x14ac:dyDescent="0.25">
      <c r="K5450" s="312"/>
      <c r="N5450" s="514"/>
    </row>
    <row r="5451" spans="11:14" x14ac:dyDescent="0.25">
      <c r="K5451" s="312"/>
      <c r="N5451" s="514"/>
    </row>
    <row r="5452" spans="11:14" x14ac:dyDescent="0.25">
      <c r="K5452" s="312"/>
      <c r="N5452" s="514"/>
    </row>
    <row r="5453" spans="11:14" x14ac:dyDescent="0.25">
      <c r="K5453" s="312"/>
      <c r="N5453" s="514"/>
    </row>
    <row r="5454" spans="11:14" x14ac:dyDescent="0.25">
      <c r="K5454" s="312"/>
      <c r="N5454" s="514"/>
    </row>
    <row r="5455" spans="11:14" x14ac:dyDescent="0.25">
      <c r="K5455" s="312"/>
      <c r="N5455" s="514"/>
    </row>
    <row r="5456" spans="11:14" x14ac:dyDescent="0.25">
      <c r="K5456" s="312"/>
      <c r="N5456" s="514"/>
    </row>
    <row r="5457" spans="11:14" x14ac:dyDescent="0.25">
      <c r="K5457" s="312"/>
      <c r="N5457" s="514"/>
    </row>
    <row r="5458" spans="11:14" x14ac:dyDescent="0.25">
      <c r="K5458" s="312"/>
      <c r="N5458" s="514"/>
    </row>
    <row r="5459" spans="11:14" x14ac:dyDescent="0.25">
      <c r="K5459" s="312"/>
      <c r="N5459" s="514"/>
    </row>
    <row r="5460" spans="11:14" x14ac:dyDescent="0.25">
      <c r="K5460" s="312"/>
      <c r="N5460" s="514"/>
    </row>
    <row r="5461" spans="11:14" x14ac:dyDescent="0.25">
      <c r="K5461" s="312"/>
      <c r="N5461" s="514"/>
    </row>
    <row r="5462" spans="11:14" x14ac:dyDescent="0.25">
      <c r="K5462" s="312"/>
      <c r="N5462" s="514"/>
    </row>
    <row r="5463" spans="11:14" x14ac:dyDescent="0.25">
      <c r="K5463" s="312"/>
      <c r="N5463" s="514"/>
    </row>
    <row r="5464" spans="11:14" x14ac:dyDescent="0.25">
      <c r="K5464" s="312"/>
      <c r="N5464" s="514"/>
    </row>
    <row r="5465" spans="11:14" x14ac:dyDescent="0.25">
      <c r="K5465" s="312"/>
      <c r="N5465" s="514"/>
    </row>
    <row r="5466" spans="11:14" x14ac:dyDescent="0.25">
      <c r="K5466" s="312"/>
      <c r="N5466" s="514"/>
    </row>
    <row r="5467" spans="11:14" x14ac:dyDescent="0.25">
      <c r="K5467" s="312"/>
      <c r="N5467" s="514"/>
    </row>
    <row r="5468" spans="11:14" x14ac:dyDescent="0.25">
      <c r="K5468" s="312"/>
      <c r="N5468" s="514"/>
    </row>
    <row r="5469" spans="11:14" x14ac:dyDescent="0.25">
      <c r="K5469" s="312"/>
      <c r="N5469" s="514"/>
    </row>
    <row r="5470" spans="11:14" x14ac:dyDescent="0.25">
      <c r="K5470" s="312"/>
      <c r="N5470" s="514"/>
    </row>
    <row r="5471" spans="11:14" x14ac:dyDescent="0.25">
      <c r="K5471" s="312"/>
      <c r="N5471" s="514"/>
    </row>
    <row r="5472" spans="11:14" x14ac:dyDescent="0.25">
      <c r="K5472" s="312"/>
      <c r="N5472" s="514"/>
    </row>
    <row r="5473" spans="11:14" x14ac:dyDescent="0.25">
      <c r="K5473" s="312"/>
      <c r="N5473" s="514"/>
    </row>
    <row r="5474" spans="11:14" x14ac:dyDescent="0.25">
      <c r="K5474" s="312"/>
      <c r="N5474" s="514"/>
    </row>
    <row r="5475" spans="11:14" x14ac:dyDescent="0.25">
      <c r="K5475" s="312"/>
      <c r="N5475" s="514"/>
    </row>
    <row r="5476" spans="11:14" x14ac:dyDescent="0.25">
      <c r="K5476" s="312"/>
      <c r="N5476" s="514"/>
    </row>
    <row r="5477" spans="11:14" x14ac:dyDescent="0.25">
      <c r="K5477" s="312"/>
      <c r="N5477" s="514"/>
    </row>
    <row r="5478" spans="11:14" x14ac:dyDescent="0.25">
      <c r="K5478" s="312"/>
      <c r="N5478" s="514"/>
    </row>
    <row r="5479" spans="11:14" x14ac:dyDescent="0.25">
      <c r="K5479" s="312"/>
      <c r="N5479" s="514"/>
    </row>
    <row r="5480" spans="11:14" x14ac:dyDescent="0.25">
      <c r="K5480" s="312"/>
      <c r="N5480" s="514"/>
    </row>
    <row r="5481" spans="11:14" x14ac:dyDescent="0.25">
      <c r="K5481" s="312"/>
      <c r="N5481" s="514"/>
    </row>
    <row r="5482" spans="11:14" x14ac:dyDescent="0.25">
      <c r="K5482" s="312"/>
      <c r="N5482" s="514"/>
    </row>
    <row r="5483" spans="11:14" x14ac:dyDescent="0.25">
      <c r="K5483" s="312"/>
      <c r="N5483" s="514"/>
    </row>
    <row r="5484" spans="11:14" x14ac:dyDescent="0.25">
      <c r="K5484" s="312"/>
      <c r="N5484" s="514"/>
    </row>
    <row r="5485" spans="11:14" x14ac:dyDescent="0.25">
      <c r="K5485" s="312"/>
      <c r="N5485" s="514"/>
    </row>
    <row r="5486" spans="11:14" x14ac:dyDescent="0.25">
      <c r="K5486" s="312"/>
      <c r="N5486" s="514"/>
    </row>
    <row r="5487" spans="11:14" x14ac:dyDescent="0.25">
      <c r="K5487" s="312"/>
      <c r="N5487" s="514"/>
    </row>
    <row r="5488" spans="11:14" x14ac:dyDescent="0.25">
      <c r="K5488" s="312"/>
      <c r="N5488" s="514"/>
    </row>
    <row r="5489" spans="11:14" x14ac:dyDescent="0.25">
      <c r="K5489" s="312"/>
      <c r="N5489" s="514"/>
    </row>
    <row r="5490" spans="11:14" x14ac:dyDescent="0.25">
      <c r="K5490" s="312"/>
      <c r="N5490" s="514"/>
    </row>
    <row r="5491" spans="11:14" x14ac:dyDescent="0.25">
      <c r="K5491" s="312"/>
      <c r="N5491" s="514"/>
    </row>
    <row r="5492" spans="11:14" x14ac:dyDescent="0.25">
      <c r="K5492" s="312"/>
      <c r="N5492" s="514"/>
    </row>
    <row r="5493" spans="11:14" x14ac:dyDescent="0.25">
      <c r="K5493" s="312"/>
      <c r="N5493" s="514"/>
    </row>
    <row r="5494" spans="11:14" x14ac:dyDescent="0.25">
      <c r="K5494" s="312"/>
      <c r="N5494" s="514"/>
    </row>
    <row r="5495" spans="11:14" x14ac:dyDescent="0.25">
      <c r="K5495" s="312"/>
      <c r="N5495" s="514"/>
    </row>
    <row r="5496" spans="11:14" x14ac:dyDescent="0.25">
      <c r="K5496" s="312"/>
      <c r="N5496" s="514"/>
    </row>
    <row r="5497" spans="11:14" x14ac:dyDescent="0.25">
      <c r="K5497" s="312"/>
      <c r="N5497" s="514"/>
    </row>
    <row r="5498" spans="11:14" x14ac:dyDescent="0.25">
      <c r="K5498" s="312"/>
      <c r="N5498" s="514"/>
    </row>
    <row r="5499" spans="11:14" x14ac:dyDescent="0.25">
      <c r="K5499" s="312"/>
      <c r="N5499" s="514"/>
    </row>
    <row r="5500" spans="11:14" x14ac:dyDescent="0.25">
      <c r="K5500" s="312"/>
      <c r="N5500" s="514"/>
    </row>
    <row r="5501" spans="11:14" x14ac:dyDescent="0.25">
      <c r="K5501" s="312"/>
      <c r="N5501" s="514"/>
    </row>
    <row r="5502" spans="11:14" x14ac:dyDescent="0.25">
      <c r="K5502" s="312"/>
      <c r="N5502" s="514"/>
    </row>
    <row r="5503" spans="11:14" x14ac:dyDescent="0.25">
      <c r="K5503" s="312"/>
      <c r="N5503" s="514"/>
    </row>
    <row r="5504" spans="11:14" x14ac:dyDescent="0.25">
      <c r="K5504" s="312"/>
      <c r="N5504" s="514"/>
    </row>
    <row r="5505" spans="11:14" x14ac:dyDescent="0.25">
      <c r="K5505" s="312"/>
      <c r="N5505" s="514"/>
    </row>
    <row r="5506" spans="11:14" x14ac:dyDescent="0.25">
      <c r="K5506" s="312"/>
      <c r="N5506" s="514"/>
    </row>
    <row r="5507" spans="11:14" x14ac:dyDescent="0.25">
      <c r="K5507" s="312"/>
      <c r="N5507" s="514"/>
    </row>
    <row r="5508" spans="11:14" x14ac:dyDescent="0.25">
      <c r="K5508" s="312"/>
      <c r="N5508" s="514"/>
    </row>
    <row r="5509" spans="11:14" x14ac:dyDescent="0.25">
      <c r="K5509" s="312"/>
      <c r="N5509" s="514"/>
    </row>
    <row r="5510" spans="11:14" x14ac:dyDescent="0.25">
      <c r="K5510" s="312"/>
      <c r="N5510" s="514"/>
    </row>
    <row r="5511" spans="11:14" x14ac:dyDescent="0.25">
      <c r="K5511" s="312"/>
      <c r="N5511" s="514"/>
    </row>
    <row r="5512" spans="11:14" x14ac:dyDescent="0.25">
      <c r="K5512" s="312"/>
      <c r="N5512" s="514"/>
    </row>
    <row r="5513" spans="11:14" x14ac:dyDescent="0.25">
      <c r="K5513" s="312"/>
      <c r="N5513" s="514"/>
    </row>
    <row r="5514" spans="11:14" x14ac:dyDescent="0.25">
      <c r="K5514" s="312"/>
      <c r="N5514" s="514"/>
    </row>
    <row r="5515" spans="11:14" x14ac:dyDescent="0.25">
      <c r="K5515" s="312"/>
      <c r="N5515" s="514"/>
    </row>
    <row r="5516" spans="11:14" x14ac:dyDescent="0.25">
      <c r="K5516" s="312"/>
      <c r="N5516" s="514"/>
    </row>
    <row r="5517" spans="11:14" x14ac:dyDescent="0.25">
      <c r="K5517" s="312"/>
      <c r="N5517" s="514"/>
    </row>
    <row r="5518" spans="11:14" x14ac:dyDescent="0.25">
      <c r="K5518" s="312"/>
      <c r="N5518" s="514"/>
    </row>
    <row r="5519" spans="11:14" x14ac:dyDescent="0.25">
      <c r="K5519" s="312"/>
      <c r="N5519" s="514"/>
    </row>
    <row r="5520" spans="11:14" x14ac:dyDescent="0.25">
      <c r="K5520" s="312"/>
      <c r="N5520" s="514"/>
    </row>
    <row r="5521" spans="11:14" x14ac:dyDescent="0.25">
      <c r="K5521" s="312"/>
      <c r="N5521" s="514"/>
    </row>
    <row r="5522" spans="11:14" x14ac:dyDescent="0.25">
      <c r="K5522" s="312"/>
      <c r="N5522" s="514"/>
    </row>
    <row r="5523" spans="11:14" x14ac:dyDescent="0.25">
      <c r="K5523" s="312"/>
      <c r="N5523" s="514"/>
    </row>
    <row r="5524" spans="11:14" x14ac:dyDescent="0.25">
      <c r="K5524" s="312"/>
      <c r="N5524" s="514"/>
    </row>
    <row r="5525" spans="11:14" x14ac:dyDescent="0.25">
      <c r="K5525" s="312"/>
      <c r="N5525" s="514"/>
    </row>
    <row r="5526" spans="11:14" x14ac:dyDescent="0.25">
      <c r="K5526" s="312"/>
      <c r="N5526" s="514"/>
    </row>
    <row r="5527" spans="11:14" x14ac:dyDescent="0.25">
      <c r="K5527" s="312"/>
      <c r="N5527" s="514"/>
    </row>
    <row r="5528" spans="11:14" x14ac:dyDescent="0.25">
      <c r="K5528" s="312"/>
      <c r="N5528" s="514"/>
    </row>
    <row r="5529" spans="11:14" x14ac:dyDescent="0.25">
      <c r="K5529" s="312"/>
      <c r="N5529" s="514"/>
    </row>
    <row r="5530" spans="11:14" x14ac:dyDescent="0.25">
      <c r="K5530" s="312"/>
      <c r="N5530" s="514"/>
    </row>
    <row r="5531" spans="11:14" x14ac:dyDescent="0.25">
      <c r="K5531" s="312"/>
      <c r="N5531" s="514"/>
    </row>
    <row r="5532" spans="11:14" x14ac:dyDescent="0.25">
      <c r="K5532" s="312"/>
      <c r="N5532" s="514"/>
    </row>
    <row r="5533" spans="11:14" x14ac:dyDescent="0.25">
      <c r="K5533" s="312"/>
      <c r="N5533" s="514"/>
    </row>
    <row r="5534" spans="11:14" x14ac:dyDescent="0.25">
      <c r="K5534" s="312"/>
      <c r="N5534" s="514"/>
    </row>
    <row r="5535" spans="11:14" x14ac:dyDescent="0.25">
      <c r="K5535" s="312"/>
      <c r="N5535" s="514"/>
    </row>
    <row r="5536" spans="11:14" x14ac:dyDescent="0.25">
      <c r="K5536" s="312"/>
      <c r="N5536" s="514"/>
    </row>
    <row r="5537" spans="11:14" x14ac:dyDescent="0.25">
      <c r="K5537" s="312"/>
      <c r="N5537" s="514"/>
    </row>
    <row r="5538" spans="11:14" x14ac:dyDescent="0.25">
      <c r="K5538" s="312"/>
      <c r="N5538" s="514"/>
    </row>
    <row r="5539" spans="11:14" x14ac:dyDescent="0.25">
      <c r="K5539" s="312"/>
      <c r="N5539" s="514"/>
    </row>
    <row r="5540" spans="11:14" x14ac:dyDescent="0.25">
      <c r="K5540" s="312"/>
      <c r="N5540" s="514"/>
    </row>
    <row r="5541" spans="11:14" x14ac:dyDescent="0.25">
      <c r="K5541" s="312"/>
      <c r="N5541" s="514"/>
    </row>
    <row r="5542" spans="11:14" x14ac:dyDescent="0.25">
      <c r="K5542" s="312"/>
      <c r="N5542" s="514"/>
    </row>
    <row r="5543" spans="11:14" x14ac:dyDescent="0.25">
      <c r="K5543" s="312"/>
      <c r="N5543" s="514"/>
    </row>
    <row r="5544" spans="11:14" x14ac:dyDescent="0.25">
      <c r="K5544" s="312"/>
      <c r="N5544" s="514"/>
    </row>
    <row r="5545" spans="11:14" x14ac:dyDescent="0.25">
      <c r="K5545" s="312"/>
      <c r="N5545" s="514"/>
    </row>
    <row r="5546" spans="11:14" x14ac:dyDescent="0.25">
      <c r="K5546" s="312"/>
      <c r="N5546" s="514"/>
    </row>
    <row r="5547" spans="11:14" x14ac:dyDescent="0.25">
      <c r="K5547" s="312"/>
      <c r="N5547" s="514"/>
    </row>
    <row r="5548" spans="11:14" x14ac:dyDescent="0.25">
      <c r="K5548" s="312"/>
      <c r="N5548" s="514"/>
    </row>
    <row r="5549" spans="11:14" x14ac:dyDescent="0.25">
      <c r="K5549" s="312"/>
      <c r="N5549" s="514"/>
    </row>
    <row r="5550" spans="11:14" x14ac:dyDescent="0.25">
      <c r="K5550" s="312"/>
      <c r="N5550" s="514"/>
    </row>
    <row r="5551" spans="11:14" x14ac:dyDescent="0.25">
      <c r="K5551" s="312"/>
      <c r="N5551" s="514"/>
    </row>
    <row r="5552" spans="11:14" x14ac:dyDescent="0.25">
      <c r="K5552" s="312"/>
      <c r="N5552" s="514"/>
    </row>
    <row r="5553" spans="11:14" x14ac:dyDescent="0.25">
      <c r="K5553" s="312"/>
      <c r="N5553" s="514"/>
    </row>
    <row r="5554" spans="11:14" x14ac:dyDescent="0.25">
      <c r="K5554" s="312"/>
      <c r="N5554" s="514"/>
    </row>
    <row r="5555" spans="11:14" x14ac:dyDescent="0.25">
      <c r="K5555" s="312"/>
      <c r="N5555" s="514"/>
    </row>
    <row r="5556" spans="11:14" x14ac:dyDescent="0.25">
      <c r="K5556" s="312"/>
      <c r="N5556" s="514"/>
    </row>
    <row r="5557" spans="11:14" x14ac:dyDescent="0.25">
      <c r="K5557" s="312"/>
      <c r="N5557" s="514"/>
    </row>
    <row r="5558" spans="11:14" x14ac:dyDescent="0.25">
      <c r="K5558" s="312"/>
      <c r="N5558" s="514"/>
    </row>
    <row r="5559" spans="11:14" x14ac:dyDescent="0.25">
      <c r="K5559" s="312"/>
      <c r="N5559" s="514"/>
    </row>
    <row r="5560" spans="11:14" x14ac:dyDescent="0.25">
      <c r="K5560" s="312"/>
      <c r="N5560" s="514"/>
    </row>
    <row r="5561" spans="11:14" x14ac:dyDescent="0.25">
      <c r="K5561" s="312"/>
      <c r="N5561" s="514"/>
    </row>
    <row r="5562" spans="11:14" x14ac:dyDescent="0.25">
      <c r="K5562" s="312"/>
      <c r="N5562" s="514"/>
    </row>
    <row r="5563" spans="11:14" x14ac:dyDescent="0.25">
      <c r="K5563" s="312"/>
      <c r="N5563" s="514"/>
    </row>
    <row r="5564" spans="11:14" x14ac:dyDescent="0.25">
      <c r="K5564" s="312"/>
      <c r="N5564" s="514"/>
    </row>
    <row r="5565" spans="11:14" x14ac:dyDescent="0.25">
      <c r="K5565" s="312"/>
      <c r="N5565" s="514"/>
    </row>
    <row r="5566" spans="11:14" x14ac:dyDescent="0.25">
      <c r="K5566" s="312"/>
      <c r="N5566" s="514"/>
    </row>
    <row r="5567" spans="11:14" x14ac:dyDescent="0.25">
      <c r="K5567" s="312"/>
      <c r="N5567" s="514"/>
    </row>
    <row r="5568" spans="11:14" x14ac:dyDescent="0.25">
      <c r="K5568" s="312"/>
      <c r="N5568" s="514"/>
    </row>
    <row r="5569" spans="11:14" x14ac:dyDescent="0.25">
      <c r="K5569" s="312"/>
      <c r="N5569" s="514"/>
    </row>
    <row r="5570" spans="11:14" x14ac:dyDescent="0.25">
      <c r="K5570" s="312"/>
      <c r="N5570" s="514"/>
    </row>
    <row r="5571" spans="11:14" x14ac:dyDescent="0.25">
      <c r="K5571" s="312"/>
      <c r="N5571" s="514"/>
    </row>
    <row r="5572" spans="11:14" x14ac:dyDescent="0.25">
      <c r="K5572" s="312"/>
      <c r="N5572" s="514"/>
    </row>
    <row r="5573" spans="11:14" x14ac:dyDescent="0.25">
      <c r="K5573" s="312"/>
      <c r="N5573" s="514"/>
    </row>
    <row r="5574" spans="11:14" x14ac:dyDescent="0.25">
      <c r="K5574" s="312"/>
      <c r="N5574" s="514"/>
    </row>
    <row r="5575" spans="11:14" x14ac:dyDescent="0.25">
      <c r="K5575" s="312"/>
      <c r="N5575" s="514"/>
    </row>
    <row r="5576" spans="11:14" x14ac:dyDescent="0.25">
      <c r="K5576" s="312"/>
      <c r="N5576" s="514"/>
    </row>
    <row r="5577" spans="11:14" x14ac:dyDescent="0.25">
      <c r="K5577" s="312"/>
      <c r="N5577" s="514"/>
    </row>
    <row r="5578" spans="11:14" x14ac:dyDescent="0.25">
      <c r="K5578" s="312"/>
      <c r="N5578" s="514"/>
    </row>
    <row r="5579" spans="11:14" x14ac:dyDescent="0.25">
      <c r="K5579" s="312"/>
      <c r="N5579" s="514"/>
    </row>
    <row r="5580" spans="11:14" x14ac:dyDescent="0.25">
      <c r="K5580" s="312"/>
      <c r="N5580" s="514"/>
    </row>
    <row r="5581" spans="11:14" x14ac:dyDescent="0.25">
      <c r="K5581" s="312"/>
      <c r="N5581" s="514"/>
    </row>
    <row r="5582" spans="11:14" x14ac:dyDescent="0.25">
      <c r="K5582" s="312"/>
      <c r="N5582" s="514"/>
    </row>
    <row r="5583" spans="11:14" x14ac:dyDescent="0.25">
      <c r="K5583" s="312"/>
      <c r="N5583" s="514"/>
    </row>
    <row r="5584" spans="11:14" x14ac:dyDescent="0.25">
      <c r="K5584" s="312"/>
      <c r="N5584" s="514"/>
    </row>
    <row r="5585" spans="11:14" x14ac:dyDescent="0.25">
      <c r="K5585" s="312"/>
      <c r="N5585" s="514"/>
    </row>
    <row r="5586" spans="11:14" x14ac:dyDescent="0.25">
      <c r="K5586" s="312"/>
      <c r="N5586" s="514"/>
    </row>
    <row r="5587" spans="11:14" x14ac:dyDescent="0.25">
      <c r="K5587" s="312"/>
      <c r="N5587" s="514"/>
    </row>
    <row r="5588" spans="11:14" x14ac:dyDescent="0.25">
      <c r="K5588" s="312"/>
      <c r="N5588" s="514"/>
    </row>
    <row r="5589" spans="11:14" x14ac:dyDescent="0.25">
      <c r="K5589" s="312"/>
      <c r="N5589" s="514"/>
    </row>
    <row r="5590" spans="11:14" x14ac:dyDescent="0.25">
      <c r="K5590" s="312"/>
      <c r="N5590" s="514"/>
    </row>
    <row r="5591" spans="11:14" x14ac:dyDescent="0.25">
      <c r="K5591" s="312"/>
      <c r="N5591" s="514"/>
    </row>
    <row r="5592" spans="11:14" x14ac:dyDescent="0.25">
      <c r="K5592" s="312"/>
      <c r="N5592" s="514"/>
    </row>
    <row r="5593" spans="11:14" x14ac:dyDescent="0.25">
      <c r="K5593" s="312"/>
      <c r="N5593" s="514"/>
    </row>
    <row r="5594" spans="11:14" x14ac:dyDescent="0.25">
      <c r="K5594" s="312"/>
      <c r="N5594" s="514"/>
    </row>
    <row r="5595" spans="11:14" x14ac:dyDescent="0.25">
      <c r="K5595" s="312"/>
      <c r="N5595" s="514"/>
    </row>
    <row r="5596" spans="11:14" x14ac:dyDescent="0.25">
      <c r="K5596" s="312"/>
      <c r="N5596" s="514"/>
    </row>
    <row r="5597" spans="11:14" x14ac:dyDescent="0.25">
      <c r="K5597" s="312"/>
      <c r="N5597" s="514"/>
    </row>
    <row r="5598" spans="11:14" x14ac:dyDescent="0.25">
      <c r="K5598" s="312"/>
      <c r="N5598" s="514"/>
    </row>
    <row r="5599" spans="11:14" x14ac:dyDescent="0.25">
      <c r="K5599" s="312"/>
      <c r="N5599" s="514"/>
    </row>
    <row r="5600" spans="11:14" x14ac:dyDescent="0.25">
      <c r="K5600" s="312"/>
      <c r="N5600" s="514"/>
    </row>
    <row r="5601" spans="11:14" x14ac:dyDescent="0.25">
      <c r="K5601" s="312"/>
      <c r="N5601" s="514"/>
    </row>
    <row r="5602" spans="11:14" x14ac:dyDescent="0.25">
      <c r="K5602" s="312"/>
      <c r="N5602" s="514"/>
    </row>
    <row r="5603" spans="11:14" x14ac:dyDescent="0.25">
      <c r="K5603" s="312"/>
      <c r="N5603" s="514"/>
    </row>
    <row r="5604" spans="11:14" x14ac:dyDescent="0.25">
      <c r="K5604" s="312"/>
      <c r="N5604" s="514"/>
    </row>
    <row r="5605" spans="11:14" x14ac:dyDescent="0.25">
      <c r="K5605" s="312"/>
      <c r="N5605" s="514"/>
    </row>
    <row r="5606" spans="11:14" x14ac:dyDescent="0.25">
      <c r="K5606" s="312"/>
      <c r="N5606" s="514"/>
    </row>
    <row r="5607" spans="11:14" x14ac:dyDescent="0.25">
      <c r="K5607" s="312"/>
      <c r="N5607" s="514"/>
    </row>
    <row r="5608" spans="11:14" x14ac:dyDescent="0.25">
      <c r="K5608" s="312"/>
      <c r="N5608" s="514"/>
    </row>
    <row r="5609" spans="11:14" x14ac:dyDescent="0.25">
      <c r="K5609" s="312"/>
      <c r="N5609" s="514"/>
    </row>
    <row r="5610" spans="11:14" x14ac:dyDescent="0.25">
      <c r="K5610" s="312"/>
      <c r="N5610" s="514"/>
    </row>
    <row r="5611" spans="11:14" x14ac:dyDescent="0.25">
      <c r="K5611" s="312"/>
      <c r="N5611" s="514"/>
    </row>
    <row r="5612" spans="11:14" x14ac:dyDescent="0.25">
      <c r="K5612" s="312"/>
      <c r="N5612" s="514"/>
    </row>
    <row r="5613" spans="11:14" x14ac:dyDescent="0.25">
      <c r="K5613" s="312"/>
      <c r="N5613" s="514"/>
    </row>
    <row r="5614" spans="11:14" x14ac:dyDescent="0.25">
      <c r="K5614" s="312"/>
      <c r="N5614" s="514"/>
    </row>
    <row r="5615" spans="11:14" x14ac:dyDescent="0.25">
      <c r="K5615" s="312"/>
      <c r="N5615" s="514"/>
    </row>
    <row r="5616" spans="11:14" x14ac:dyDescent="0.25">
      <c r="K5616" s="312"/>
      <c r="N5616" s="514"/>
    </row>
    <row r="5617" spans="11:14" x14ac:dyDescent="0.25">
      <c r="K5617" s="312"/>
      <c r="N5617" s="514"/>
    </row>
    <row r="5618" spans="11:14" x14ac:dyDescent="0.25">
      <c r="K5618" s="312"/>
      <c r="N5618" s="514"/>
    </row>
    <row r="5619" spans="11:14" x14ac:dyDescent="0.25">
      <c r="K5619" s="312"/>
      <c r="N5619" s="514"/>
    </row>
    <row r="5620" spans="11:14" x14ac:dyDescent="0.25">
      <c r="K5620" s="312"/>
      <c r="N5620" s="514"/>
    </row>
    <row r="5621" spans="11:14" x14ac:dyDescent="0.25">
      <c r="K5621" s="312"/>
      <c r="N5621" s="514"/>
    </row>
    <row r="5622" spans="11:14" x14ac:dyDescent="0.25">
      <c r="K5622" s="312"/>
      <c r="N5622" s="514"/>
    </row>
    <row r="5623" spans="11:14" x14ac:dyDescent="0.25">
      <c r="K5623" s="312"/>
      <c r="N5623" s="514"/>
    </row>
    <row r="5624" spans="11:14" x14ac:dyDescent="0.25">
      <c r="K5624" s="312"/>
      <c r="N5624" s="514"/>
    </row>
    <row r="5625" spans="11:14" x14ac:dyDescent="0.25">
      <c r="K5625" s="312"/>
      <c r="N5625" s="514"/>
    </row>
    <row r="5626" spans="11:14" x14ac:dyDescent="0.25">
      <c r="K5626" s="312"/>
      <c r="N5626" s="514"/>
    </row>
    <row r="5627" spans="11:14" x14ac:dyDescent="0.25">
      <c r="K5627" s="312"/>
      <c r="N5627" s="514"/>
    </row>
    <row r="5628" spans="11:14" x14ac:dyDescent="0.25">
      <c r="K5628" s="312"/>
      <c r="N5628" s="514"/>
    </row>
    <row r="5629" spans="11:14" x14ac:dyDescent="0.25">
      <c r="K5629" s="312"/>
      <c r="N5629" s="514"/>
    </row>
    <row r="5630" spans="11:14" x14ac:dyDescent="0.25">
      <c r="K5630" s="312"/>
      <c r="N5630" s="514"/>
    </row>
    <row r="5631" spans="11:14" x14ac:dyDescent="0.25">
      <c r="K5631" s="312"/>
      <c r="N5631" s="514"/>
    </row>
    <row r="5632" spans="11:14" x14ac:dyDescent="0.25">
      <c r="K5632" s="312"/>
      <c r="N5632" s="514"/>
    </row>
    <row r="5633" spans="11:14" x14ac:dyDescent="0.25">
      <c r="K5633" s="312"/>
      <c r="N5633" s="514"/>
    </row>
    <row r="5634" spans="11:14" x14ac:dyDescent="0.25">
      <c r="K5634" s="312"/>
      <c r="N5634" s="514"/>
    </row>
    <row r="5635" spans="11:14" x14ac:dyDescent="0.25">
      <c r="K5635" s="312"/>
      <c r="N5635" s="514"/>
    </row>
    <row r="5636" spans="11:14" x14ac:dyDescent="0.25">
      <c r="K5636" s="312"/>
      <c r="N5636" s="514"/>
    </row>
    <row r="5637" spans="11:14" x14ac:dyDescent="0.25">
      <c r="K5637" s="312"/>
      <c r="N5637" s="514"/>
    </row>
    <row r="5638" spans="11:14" x14ac:dyDescent="0.25">
      <c r="K5638" s="312"/>
      <c r="N5638" s="514"/>
    </row>
    <row r="5639" spans="11:14" x14ac:dyDescent="0.25">
      <c r="K5639" s="312"/>
      <c r="N5639" s="514"/>
    </row>
    <row r="5640" spans="11:14" x14ac:dyDescent="0.25">
      <c r="K5640" s="312"/>
      <c r="N5640" s="514"/>
    </row>
    <row r="5641" spans="11:14" x14ac:dyDescent="0.25">
      <c r="K5641" s="312"/>
      <c r="N5641" s="514"/>
    </row>
    <row r="5642" spans="11:14" x14ac:dyDescent="0.25">
      <c r="K5642" s="312"/>
      <c r="N5642" s="514"/>
    </row>
    <row r="5643" spans="11:14" x14ac:dyDescent="0.25">
      <c r="K5643" s="312"/>
      <c r="N5643" s="514"/>
    </row>
    <row r="5644" spans="11:14" x14ac:dyDescent="0.25">
      <c r="K5644" s="312"/>
      <c r="N5644" s="514"/>
    </row>
    <row r="5645" spans="11:14" x14ac:dyDescent="0.25">
      <c r="K5645" s="312"/>
      <c r="N5645" s="514"/>
    </row>
    <row r="5646" spans="11:14" x14ac:dyDescent="0.25">
      <c r="K5646" s="312"/>
      <c r="N5646" s="514"/>
    </row>
    <row r="5647" spans="11:14" x14ac:dyDescent="0.25">
      <c r="K5647" s="312"/>
      <c r="N5647" s="514"/>
    </row>
    <row r="5648" spans="11:14" x14ac:dyDescent="0.25">
      <c r="K5648" s="312"/>
      <c r="N5648" s="514"/>
    </row>
    <row r="5649" spans="11:14" x14ac:dyDescent="0.25">
      <c r="K5649" s="312"/>
      <c r="N5649" s="514"/>
    </row>
    <row r="5650" spans="11:14" x14ac:dyDescent="0.25">
      <c r="K5650" s="312"/>
      <c r="N5650" s="514"/>
    </row>
    <row r="5651" spans="11:14" x14ac:dyDescent="0.25">
      <c r="K5651" s="312"/>
      <c r="N5651" s="514"/>
    </row>
    <row r="5652" spans="11:14" x14ac:dyDescent="0.25">
      <c r="K5652" s="312"/>
      <c r="N5652" s="514"/>
    </row>
    <row r="5653" spans="11:14" x14ac:dyDescent="0.25">
      <c r="K5653" s="312"/>
      <c r="N5653" s="514"/>
    </row>
    <row r="5654" spans="11:14" x14ac:dyDescent="0.25">
      <c r="K5654" s="312"/>
      <c r="N5654" s="514"/>
    </row>
    <row r="5655" spans="11:14" x14ac:dyDescent="0.25">
      <c r="K5655" s="312"/>
      <c r="N5655" s="514"/>
    </row>
    <row r="5656" spans="11:14" x14ac:dyDescent="0.25">
      <c r="K5656" s="312"/>
      <c r="N5656" s="514"/>
    </row>
    <row r="5657" spans="11:14" x14ac:dyDescent="0.25">
      <c r="K5657" s="312"/>
      <c r="N5657" s="514"/>
    </row>
    <row r="5658" spans="11:14" x14ac:dyDescent="0.25">
      <c r="K5658" s="312"/>
      <c r="N5658" s="514"/>
    </row>
    <row r="5659" spans="11:14" x14ac:dyDescent="0.25">
      <c r="K5659" s="312"/>
      <c r="N5659" s="514"/>
    </row>
    <row r="5660" spans="11:14" x14ac:dyDescent="0.25">
      <c r="K5660" s="312"/>
      <c r="N5660" s="514"/>
    </row>
    <row r="5661" spans="11:14" x14ac:dyDescent="0.25">
      <c r="K5661" s="312"/>
      <c r="N5661" s="514"/>
    </row>
    <row r="5662" spans="11:14" x14ac:dyDescent="0.25">
      <c r="K5662" s="312"/>
      <c r="N5662" s="514"/>
    </row>
    <row r="5663" spans="11:14" x14ac:dyDescent="0.25">
      <c r="K5663" s="312"/>
      <c r="N5663" s="514"/>
    </row>
    <row r="5664" spans="11:14" x14ac:dyDescent="0.25">
      <c r="K5664" s="312"/>
      <c r="N5664" s="514"/>
    </row>
    <row r="5665" spans="11:14" x14ac:dyDescent="0.25">
      <c r="K5665" s="312"/>
      <c r="N5665" s="514"/>
    </row>
    <row r="5666" spans="11:14" x14ac:dyDescent="0.25">
      <c r="K5666" s="312"/>
      <c r="N5666" s="514"/>
    </row>
    <row r="5667" spans="11:14" x14ac:dyDescent="0.25">
      <c r="K5667" s="312"/>
      <c r="N5667" s="514"/>
    </row>
    <row r="5668" spans="11:14" x14ac:dyDescent="0.25">
      <c r="K5668" s="312"/>
      <c r="N5668" s="514"/>
    </row>
    <row r="5669" spans="11:14" x14ac:dyDescent="0.25">
      <c r="K5669" s="312"/>
      <c r="N5669" s="514"/>
    </row>
    <row r="5670" spans="11:14" x14ac:dyDescent="0.25">
      <c r="K5670" s="312"/>
      <c r="N5670" s="514"/>
    </row>
    <row r="5671" spans="11:14" x14ac:dyDescent="0.25">
      <c r="K5671" s="312"/>
      <c r="N5671" s="514"/>
    </row>
    <row r="5672" spans="11:14" x14ac:dyDescent="0.25">
      <c r="K5672" s="312"/>
      <c r="N5672" s="514"/>
    </row>
    <row r="5673" spans="11:14" x14ac:dyDescent="0.25">
      <c r="K5673" s="312"/>
      <c r="N5673" s="514"/>
    </row>
    <row r="5674" spans="11:14" x14ac:dyDescent="0.25">
      <c r="K5674" s="312"/>
      <c r="N5674" s="514"/>
    </row>
    <row r="5675" spans="11:14" x14ac:dyDescent="0.25">
      <c r="K5675" s="312"/>
      <c r="N5675" s="514"/>
    </row>
    <row r="5676" spans="11:14" x14ac:dyDescent="0.25">
      <c r="K5676" s="312"/>
      <c r="N5676" s="514"/>
    </row>
    <row r="5677" spans="11:14" x14ac:dyDescent="0.25">
      <c r="K5677" s="312"/>
      <c r="N5677" s="514"/>
    </row>
    <row r="5678" spans="11:14" x14ac:dyDescent="0.25">
      <c r="K5678" s="312"/>
      <c r="N5678" s="514"/>
    </row>
    <row r="5679" spans="11:14" x14ac:dyDescent="0.25">
      <c r="K5679" s="312"/>
      <c r="N5679" s="514"/>
    </row>
    <row r="5680" spans="11:14" x14ac:dyDescent="0.25">
      <c r="K5680" s="312"/>
      <c r="N5680" s="514"/>
    </row>
    <row r="5681" spans="11:14" x14ac:dyDescent="0.25">
      <c r="K5681" s="312"/>
      <c r="N5681" s="514"/>
    </row>
    <row r="5682" spans="11:14" x14ac:dyDescent="0.25">
      <c r="K5682" s="312"/>
      <c r="N5682" s="514"/>
    </row>
    <row r="5683" spans="11:14" x14ac:dyDescent="0.25">
      <c r="K5683" s="312"/>
      <c r="N5683" s="514"/>
    </row>
    <row r="5684" spans="11:14" x14ac:dyDescent="0.25">
      <c r="K5684" s="312"/>
      <c r="N5684" s="514"/>
    </row>
    <row r="5685" spans="11:14" x14ac:dyDescent="0.25">
      <c r="K5685" s="312"/>
      <c r="N5685" s="514"/>
    </row>
    <row r="5686" spans="11:14" x14ac:dyDescent="0.25">
      <c r="K5686" s="312"/>
      <c r="N5686" s="514"/>
    </row>
    <row r="5687" spans="11:14" x14ac:dyDescent="0.25">
      <c r="K5687" s="312"/>
      <c r="N5687" s="514"/>
    </row>
    <row r="5688" spans="11:14" x14ac:dyDescent="0.25">
      <c r="K5688" s="312"/>
      <c r="N5688" s="514"/>
    </row>
    <row r="5689" spans="11:14" x14ac:dyDescent="0.25">
      <c r="K5689" s="312"/>
      <c r="N5689" s="514"/>
    </row>
    <row r="5690" spans="11:14" x14ac:dyDescent="0.25">
      <c r="K5690" s="312"/>
      <c r="N5690" s="514"/>
    </row>
    <row r="5691" spans="11:14" x14ac:dyDescent="0.25">
      <c r="K5691" s="312"/>
      <c r="N5691" s="514"/>
    </row>
    <row r="5692" spans="11:14" x14ac:dyDescent="0.25">
      <c r="K5692" s="312"/>
      <c r="N5692" s="514"/>
    </row>
    <row r="5693" spans="11:14" x14ac:dyDescent="0.25">
      <c r="K5693" s="312"/>
      <c r="N5693" s="514"/>
    </row>
    <row r="5694" spans="11:14" x14ac:dyDescent="0.25">
      <c r="K5694" s="312"/>
      <c r="N5694" s="514"/>
    </row>
    <row r="5695" spans="11:14" x14ac:dyDescent="0.25">
      <c r="K5695" s="312"/>
      <c r="N5695" s="514"/>
    </row>
    <row r="5696" spans="11:14" x14ac:dyDescent="0.25">
      <c r="K5696" s="312"/>
      <c r="N5696" s="514"/>
    </row>
    <row r="5697" spans="11:14" x14ac:dyDescent="0.25">
      <c r="K5697" s="312"/>
      <c r="N5697" s="514"/>
    </row>
    <row r="5698" spans="11:14" x14ac:dyDescent="0.25">
      <c r="K5698" s="312"/>
      <c r="N5698" s="514"/>
    </row>
    <row r="5699" spans="11:14" x14ac:dyDescent="0.25">
      <c r="K5699" s="312"/>
      <c r="N5699" s="514"/>
    </row>
    <row r="5700" spans="11:14" x14ac:dyDescent="0.25">
      <c r="K5700" s="312"/>
      <c r="N5700" s="514"/>
    </row>
    <row r="5701" spans="11:14" x14ac:dyDescent="0.25">
      <c r="K5701" s="312"/>
      <c r="N5701" s="514"/>
    </row>
    <row r="5702" spans="11:14" x14ac:dyDescent="0.25">
      <c r="K5702" s="312"/>
      <c r="N5702" s="514"/>
    </row>
    <row r="5703" spans="11:14" x14ac:dyDescent="0.25">
      <c r="K5703" s="312"/>
      <c r="N5703" s="514"/>
    </row>
    <row r="5704" spans="11:14" x14ac:dyDescent="0.25">
      <c r="K5704" s="312"/>
      <c r="N5704" s="514"/>
    </row>
    <row r="5705" spans="11:14" x14ac:dyDescent="0.25">
      <c r="K5705" s="312"/>
      <c r="N5705" s="514"/>
    </row>
    <row r="5706" spans="11:14" x14ac:dyDescent="0.25">
      <c r="K5706" s="312"/>
      <c r="N5706" s="514"/>
    </row>
    <row r="5707" spans="11:14" x14ac:dyDescent="0.25">
      <c r="K5707" s="312"/>
      <c r="N5707" s="514"/>
    </row>
    <row r="5708" spans="11:14" x14ac:dyDescent="0.25">
      <c r="K5708" s="312"/>
      <c r="N5708" s="514"/>
    </row>
    <row r="5709" spans="11:14" x14ac:dyDescent="0.25">
      <c r="K5709" s="312"/>
      <c r="N5709" s="514"/>
    </row>
    <row r="5710" spans="11:14" x14ac:dyDescent="0.25">
      <c r="K5710" s="312"/>
      <c r="N5710" s="514"/>
    </row>
    <row r="5711" spans="11:14" x14ac:dyDescent="0.25">
      <c r="K5711" s="312"/>
      <c r="N5711" s="514"/>
    </row>
    <row r="5712" spans="11:14" x14ac:dyDescent="0.25">
      <c r="K5712" s="312"/>
      <c r="N5712" s="514"/>
    </row>
    <row r="5713" spans="11:14" x14ac:dyDescent="0.25">
      <c r="K5713" s="312"/>
      <c r="N5713" s="514"/>
    </row>
    <row r="5714" spans="11:14" x14ac:dyDescent="0.25">
      <c r="K5714" s="312"/>
      <c r="N5714" s="514"/>
    </row>
    <row r="5715" spans="11:14" x14ac:dyDescent="0.25">
      <c r="K5715" s="312"/>
      <c r="N5715" s="514"/>
    </row>
    <row r="5716" spans="11:14" x14ac:dyDescent="0.25">
      <c r="K5716" s="312"/>
      <c r="N5716" s="514"/>
    </row>
    <row r="5717" spans="11:14" x14ac:dyDescent="0.25">
      <c r="K5717" s="312"/>
      <c r="N5717" s="514"/>
    </row>
    <row r="5718" spans="11:14" x14ac:dyDescent="0.25">
      <c r="K5718" s="312"/>
      <c r="N5718" s="514"/>
    </row>
    <row r="5719" spans="11:14" x14ac:dyDescent="0.25">
      <c r="K5719" s="312"/>
      <c r="N5719" s="514"/>
    </row>
    <row r="5720" spans="11:14" x14ac:dyDescent="0.25">
      <c r="K5720" s="312"/>
      <c r="N5720" s="514"/>
    </row>
    <row r="5721" spans="11:14" x14ac:dyDescent="0.25">
      <c r="K5721" s="312"/>
      <c r="N5721" s="514"/>
    </row>
    <row r="5722" spans="11:14" x14ac:dyDescent="0.25">
      <c r="K5722" s="312"/>
      <c r="N5722" s="514"/>
    </row>
    <row r="5723" spans="11:14" x14ac:dyDescent="0.25">
      <c r="K5723" s="312"/>
      <c r="N5723" s="514"/>
    </row>
    <row r="5724" spans="11:14" x14ac:dyDescent="0.25">
      <c r="K5724" s="312"/>
      <c r="N5724" s="514"/>
    </row>
    <row r="5725" spans="11:14" x14ac:dyDescent="0.25">
      <c r="K5725" s="312"/>
      <c r="N5725" s="514"/>
    </row>
    <row r="5726" spans="11:14" x14ac:dyDescent="0.25">
      <c r="K5726" s="312"/>
      <c r="N5726" s="514"/>
    </row>
    <row r="5727" spans="11:14" x14ac:dyDescent="0.25">
      <c r="K5727" s="312"/>
      <c r="N5727" s="514"/>
    </row>
    <row r="5728" spans="11:14" x14ac:dyDescent="0.25">
      <c r="K5728" s="312"/>
      <c r="N5728" s="514"/>
    </row>
    <row r="5729" spans="11:14" x14ac:dyDescent="0.25">
      <c r="K5729" s="312"/>
      <c r="N5729" s="514"/>
    </row>
    <row r="5730" spans="11:14" x14ac:dyDescent="0.25">
      <c r="K5730" s="312"/>
      <c r="N5730" s="514"/>
    </row>
    <row r="5731" spans="11:14" x14ac:dyDescent="0.25">
      <c r="K5731" s="312"/>
      <c r="N5731" s="514"/>
    </row>
    <row r="5732" spans="11:14" x14ac:dyDescent="0.25">
      <c r="K5732" s="312"/>
      <c r="N5732" s="514"/>
    </row>
    <row r="5733" spans="11:14" x14ac:dyDescent="0.25">
      <c r="K5733" s="312"/>
      <c r="N5733" s="514"/>
    </row>
    <row r="5734" spans="11:14" x14ac:dyDescent="0.25">
      <c r="K5734" s="312"/>
      <c r="N5734" s="514"/>
    </row>
    <row r="5735" spans="11:14" x14ac:dyDescent="0.25">
      <c r="K5735" s="312"/>
      <c r="N5735" s="514"/>
    </row>
    <row r="5736" spans="11:14" x14ac:dyDescent="0.25">
      <c r="K5736" s="312"/>
      <c r="N5736" s="514"/>
    </row>
    <row r="5737" spans="11:14" x14ac:dyDescent="0.25">
      <c r="K5737" s="312"/>
      <c r="N5737" s="514"/>
    </row>
    <row r="5738" spans="11:14" x14ac:dyDescent="0.25">
      <c r="K5738" s="312"/>
      <c r="N5738" s="514"/>
    </row>
    <row r="5739" spans="11:14" x14ac:dyDescent="0.25">
      <c r="K5739" s="312"/>
      <c r="N5739" s="514"/>
    </row>
    <row r="5740" spans="11:14" x14ac:dyDescent="0.25">
      <c r="K5740" s="312"/>
      <c r="N5740" s="514"/>
    </row>
    <row r="5741" spans="11:14" x14ac:dyDescent="0.25">
      <c r="K5741" s="312"/>
      <c r="N5741" s="514"/>
    </row>
    <row r="5742" spans="11:14" x14ac:dyDescent="0.25">
      <c r="K5742" s="312"/>
      <c r="N5742" s="514"/>
    </row>
    <row r="5743" spans="11:14" x14ac:dyDescent="0.25">
      <c r="K5743" s="312"/>
      <c r="N5743" s="514"/>
    </row>
    <row r="5744" spans="11:14" x14ac:dyDescent="0.25">
      <c r="K5744" s="312"/>
      <c r="N5744" s="514"/>
    </row>
    <row r="5745" spans="11:14" x14ac:dyDescent="0.25">
      <c r="K5745" s="312"/>
      <c r="N5745" s="514"/>
    </row>
    <row r="5746" spans="11:14" x14ac:dyDescent="0.25">
      <c r="K5746" s="312"/>
      <c r="N5746" s="514"/>
    </row>
    <row r="5747" spans="11:14" x14ac:dyDescent="0.25">
      <c r="K5747" s="312"/>
      <c r="N5747" s="514"/>
    </row>
    <row r="5748" spans="11:14" x14ac:dyDescent="0.25">
      <c r="K5748" s="312"/>
      <c r="N5748" s="514"/>
    </row>
    <row r="5749" spans="11:14" x14ac:dyDescent="0.25">
      <c r="K5749" s="312"/>
      <c r="N5749" s="514"/>
    </row>
    <row r="5750" spans="11:14" x14ac:dyDescent="0.25">
      <c r="K5750" s="312"/>
      <c r="N5750" s="514"/>
    </row>
    <row r="5751" spans="11:14" x14ac:dyDescent="0.25">
      <c r="K5751" s="312"/>
      <c r="N5751" s="514"/>
    </row>
    <row r="5752" spans="11:14" x14ac:dyDescent="0.25">
      <c r="K5752" s="312"/>
      <c r="N5752" s="514"/>
    </row>
    <row r="5753" spans="11:14" x14ac:dyDescent="0.25">
      <c r="K5753" s="312"/>
      <c r="N5753" s="514"/>
    </row>
    <row r="5754" spans="11:14" x14ac:dyDescent="0.25">
      <c r="K5754" s="312"/>
      <c r="N5754" s="514"/>
    </row>
    <row r="5755" spans="11:14" x14ac:dyDescent="0.25">
      <c r="K5755" s="312"/>
      <c r="N5755" s="514"/>
    </row>
    <row r="5756" spans="11:14" x14ac:dyDescent="0.25">
      <c r="K5756" s="312"/>
      <c r="N5756" s="514"/>
    </row>
    <row r="5757" spans="11:14" x14ac:dyDescent="0.25">
      <c r="K5757" s="312"/>
      <c r="N5757" s="514"/>
    </row>
    <row r="5758" spans="11:14" x14ac:dyDescent="0.25">
      <c r="K5758" s="312"/>
      <c r="N5758" s="514"/>
    </row>
    <row r="5759" spans="11:14" x14ac:dyDescent="0.25">
      <c r="K5759" s="312"/>
      <c r="N5759" s="514"/>
    </row>
    <row r="5760" spans="11:14" x14ac:dyDescent="0.25">
      <c r="K5760" s="312"/>
      <c r="N5760" s="514"/>
    </row>
    <row r="5761" spans="11:14" x14ac:dyDescent="0.25">
      <c r="K5761" s="312"/>
      <c r="N5761" s="514"/>
    </row>
    <row r="5762" spans="11:14" x14ac:dyDescent="0.25">
      <c r="K5762" s="312"/>
      <c r="N5762" s="514"/>
    </row>
    <row r="5763" spans="11:14" x14ac:dyDescent="0.25">
      <c r="K5763" s="312"/>
      <c r="N5763" s="514"/>
    </row>
    <row r="5764" spans="11:14" x14ac:dyDescent="0.25">
      <c r="K5764" s="312"/>
      <c r="N5764" s="514"/>
    </row>
    <row r="5765" spans="11:14" x14ac:dyDescent="0.25">
      <c r="K5765" s="312"/>
      <c r="N5765" s="514"/>
    </row>
    <row r="5766" spans="11:14" x14ac:dyDescent="0.25">
      <c r="K5766" s="312"/>
      <c r="N5766" s="514"/>
    </row>
    <row r="5767" spans="11:14" x14ac:dyDescent="0.25">
      <c r="K5767" s="312"/>
      <c r="N5767" s="514"/>
    </row>
    <row r="5768" spans="11:14" x14ac:dyDescent="0.25">
      <c r="K5768" s="312"/>
      <c r="N5768" s="514"/>
    </row>
    <row r="5769" spans="11:14" x14ac:dyDescent="0.25">
      <c r="K5769" s="312"/>
      <c r="N5769" s="514"/>
    </row>
    <row r="5770" spans="11:14" x14ac:dyDescent="0.25">
      <c r="K5770" s="312"/>
      <c r="N5770" s="514"/>
    </row>
    <row r="5771" spans="11:14" x14ac:dyDescent="0.25">
      <c r="K5771" s="312"/>
      <c r="N5771" s="514"/>
    </row>
    <row r="5772" spans="11:14" x14ac:dyDescent="0.25">
      <c r="K5772" s="312"/>
      <c r="N5772" s="514"/>
    </row>
    <row r="5773" spans="11:14" x14ac:dyDescent="0.25">
      <c r="K5773" s="312"/>
      <c r="N5773" s="514"/>
    </row>
    <row r="5774" spans="11:14" x14ac:dyDescent="0.25">
      <c r="K5774" s="312"/>
      <c r="N5774" s="514"/>
    </row>
    <row r="5775" spans="11:14" x14ac:dyDescent="0.25">
      <c r="K5775" s="312"/>
      <c r="N5775" s="514"/>
    </row>
    <row r="5776" spans="11:14" x14ac:dyDescent="0.25">
      <c r="K5776" s="312"/>
      <c r="N5776" s="514"/>
    </row>
    <row r="5777" spans="11:14" x14ac:dyDescent="0.25">
      <c r="K5777" s="312"/>
      <c r="N5777" s="514"/>
    </row>
    <row r="5778" spans="11:14" x14ac:dyDescent="0.25">
      <c r="K5778" s="312"/>
      <c r="N5778" s="514"/>
    </row>
    <row r="5779" spans="11:14" x14ac:dyDescent="0.25">
      <c r="K5779" s="312"/>
      <c r="N5779" s="514"/>
    </row>
    <row r="5780" spans="11:14" x14ac:dyDescent="0.25">
      <c r="K5780" s="312"/>
      <c r="N5780" s="514"/>
    </row>
    <row r="5781" spans="11:14" x14ac:dyDescent="0.25">
      <c r="K5781" s="312"/>
      <c r="N5781" s="514"/>
    </row>
    <row r="5782" spans="11:14" x14ac:dyDescent="0.25">
      <c r="K5782" s="312"/>
      <c r="N5782" s="514"/>
    </row>
    <row r="5783" spans="11:14" x14ac:dyDescent="0.25">
      <c r="K5783" s="312"/>
      <c r="N5783" s="514"/>
    </row>
    <row r="5784" spans="11:14" x14ac:dyDescent="0.25">
      <c r="K5784" s="312"/>
      <c r="N5784" s="514"/>
    </row>
    <row r="5785" spans="11:14" x14ac:dyDescent="0.25">
      <c r="K5785" s="312"/>
      <c r="N5785" s="514"/>
    </row>
    <row r="5786" spans="11:14" x14ac:dyDescent="0.25">
      <c r="K5786" s="312"/>
      <c r="N5786" s="514"/>
    </row>
    <row r="5787" spans="11:14" x14ac:dyDescent="0.25">
      <c r="K5787" s="312"/>
      <c r="N5787" s="514"/>
    </row>
    <row r="5788" spans="11:14" x14ac:dyDescent="0.25">
      <c r="K5788" s="312"/>
      <c r="N5788" s="514"/>
    </row>
    <row r="5789" spans="11:14" x14ac:dyDescent="0.25">
      <c r="K5789" s="312"/>
      <c r="N5789" s="514"/>
    </row>
    <row r="5790" spans="11:14" x14ac:dyDescent="0.25">
      <c r="K5790" s="312"/>
      <c r="N5790" s="514"/>
    </row>
    <row r="5791" spans="11:14" x14ac:dyDescent="0.25">
      <c r="K5791" s="312"/>
      <c r="N5791" s="514"/>
    </row>
    <row r="5792" spans="11:14" x14ac:dyDescent="0.25">
      <c r="K5792" s="312"/>
      <c r="N5792" s="514"/>
    </row>
    <row r="5793" spans="11:14" x14ac:dyDescent="0.25">
      <c r="K5793" s="312"/>
      <c r="N5793" s="514"/>
    </row>
    <row r="5794" spans="11:14" x14ac:dyDescent="0.25">
      <c r="K5794" s="312"/>
      <c r="N5794" s="514"/>
    </row>
    <row r="5795" spans="11:14" x14ac:dyDescent="0.25">
      <c r="K5795" s="312"/>
      <c r="N5795" s="514"/>
    </row>
    <row r="5796" spans="11:14" x14ac:dyDescent="0.25">
      <c r="K5796" s="312"/>
      <c r="N5796" s="514"/>
    </row>
    <row r="5797" spans="11:14" x14ac:dyDescent="0.25">
      <c r="K5797" s="312"/>
      <c r="N5797" s="514"/>
    </row>
    <row r="5798" spans="11:14" x14ac:dyDescent="0.25">
      <c r="K5798" s="312"/>
      <c r="N5798" s="514"/>
    </row>
    <row r="5799" spans="11:14" x14ac:dyDescent="0.25">
      <c r="K5799" s="312"/>
      <c r="N5799" s="514"/>
    </row>
    <row r="5800" spans="11:14" x14ac:dyDescent="0.25">
      <c r="K5800" s="312"/>
      <c r="N5800" s="514"/>
    </row>
    <row r="5801" spans="11:14" x14ac:dyDescent="0.25">
      <c r="K5801" s="312"/>
      <c r="N5801" s="514"/>
    </row>
    <row r="5802" spans="11:14" x14ac:dyDescent="0.25">
      <c r="K5802" s="312"/>
      <c r="N5802" s="514"/>
    </row>
    <row r="5803" spans="11:14" x14ac:dyDescent="0.25">
      <c r="K5803" s="312"/>
      <c r="N5803" s="514"/>
    </row>
    <row r="5804" spans="11:14" x14ac:dyDescent="0.25">
      <c r="K5804" s="312"/>
      <c r="N5804" s="514"/>
    </row>
    <row r="5805" spans="11:14" x14ac:dyDescent="0.25">
      <c r="K5805" s="312"/>
      <c r="N5805" s="514"/>
    </row>
    <row r="5806" spans="11:14" x14ac:dyDescent="0.25">
      <c r="K5806" s="312"/>
      <c r="N5806" s="514"/>
    </row>
    <row r="5807" spans="11:14" x14ac:dyDescent="0.25">
      <c r="K5807" s="312"/>
      <c r="N5807" s="514"/>
    </row>
    <row r="5808" spans="11:14" x14ac:dyDescent="0.25">
      <c r="K5808" s="312"/>
      <c r="N5808" s="514"/>
    </row>
    <row r="5809" spans="11:14" x14ac:dyDescent="0.25">
      <c r="K5809" s="312"/>
      <c r="N5809" s="514"/>
    </row>
    <row r="5810" spans="11:14" x14ac:dyDescent="0.25">
      <c r="K5810" s="312"/>
      <c r="N5810" s="514"/>
    </row>
    <row r="5811" spans="11:14" x14ac:dyDescent="0.25">
      <c r="K5811" s="312"/>
      <c r="N5811" s="514"/>
    </row>
    <row r="5812" spans="11:14" x14ac:dyDescent="0.25">
      <c r="K5812" s="312"/>
      <c r="N5812" s="514"/>
    </row>
    <row r="5813" spans="11:14" x14ac:dyDescent="0.25">
      <c r="K5813" s="312"/>
      <c r="N5813" s="514"/>
    </row>
    <row r="5814" spans="11:14" x14ac:dyDescent="0.25">
      <c r="K5814" s="312"/>
      <c r="N5814" s="514"/>
    </row>
    <row r="5815" spans="11:14" x14ac:dyDescent="0.25">
      <c r="K5815" s="312"/>
      <c r="N5815" s="514"/>
    </row>
    <row r="5816" spans="11:14" x14ac:dyDescent="0.25">
      <c r="K5816" s="312"/>
      <c r="N5816" s="514"/>
    </row>
    <row r="5817" spans="11:14" x14ac:dyDescent="0.25">
      <c r="K5817" s="312"/>
      <c r="N5817" s="514"/>
    </row>
    <row r="5818" spans="11:14" x14ac:dyDescent="0.25">
      <c r="K5818" s="312"/>
      <c r="N5818" s="514"/>
    </row>
    <row r="5819" spans="11:14" x14ac:dyDescent="0.25">
      <c r="K5819" s="312"/>
      <c r="N5819" s="514"/>
    </row>
    <row r="5820" spans="11:14" x14ac:dyDescent="0.25">
      <c r="K5820" s="312"/>
      <c r="N5820" s="514"/>
    </row>
    <row r="5821" spans="11:14" x14ac:dyDescent="0.25">
      <c r="K5821" s="312"/>
      <c r="N5821" s="514"/>
    </row>
    <row r="5822" spans="11:14" x14ac:dyDescent="0.25">
      <c r="K5822" s="312"/>
      <c r="N5822" s="514"/>
    </row>
    <row r="5823" spans="11:14" x14ac:dyDescent="0.25">
      <c r="K5823" s="312"/>
      <c r="N5823" s="514"/>
    </row>
    <row r="5824" spans="11:14" x14ac:dyDescent="0.25">
      <c r="K5824" s="312"/>
      <c r="N5824" s="514"/>
    </row>
    <row r="5825" spans="11:14" x14ac:dyDescent="0.25">
      <c r="K5825" s="312"/>
      <c r="N5825" s="514"/>
    </row>
    <row r="5826" spans="11:14" x14ac:dyDescent="0.25">
      <c r="K5826" s="312"/>
      <c r="N5826" s="514"/>
    </row>
    <row r="5827" spans="11:14" x14ac:dyDescent="0.25">
      <c r="K5827" s="312"/>
      <c r="N5827" s="514"/>
    </row>
    <row r="5828" spans="11:14" x14ac:dyDescent="0.25">
      <c r="K5828" s="312"/>
      <c r="N5828" s="514"/>
    </row>
    <row r="5829" spans="11:14" x14ac:dyDescent="0.25">
      <c r="K5829" s="312"/>
      <c r="N5829" s="514"/>
    </row>
    <row r="5830" spans="11:14" x14ac:dyDescent="0.25">
      <c r="K5830" s="312"/>
      <c r="N5830" s="514"/>
    </row>
    <row r="5831" spans="11:14" x14ac:dyDescent="0.25">
      <c r="K5831" s="312"/>
      <c r="N5831" s="514"/>
    </row>
    <row r="5832" spans="11:14" x14ac:dyDescent="0.25">
      <c r="K5832" s="312"/>
      <c r="N5832" s="514"/>
    </row>
    <row r="5833" spans="11:14" x14ac:dyDescent="0.25">
      <c r="K5833" s="312"/>
      <c r="N5833" s="514"/>
    </row>
    <row r="5834" spans="11:14" x14ac:dyDescent="0.25">
      <c r="K5834" s="312"/>
      <c r="N5834" s="514"/>
    </row>
    <row r="5835" spans="11:14" x14ac:dyDescent="0.25">
      <c r="K5835" s="312"/>
      <c r="N5835" s="514"/>
    </row>
    <row r="5836" spans="11:14" x14ac:dyDescent="0.25">
      <c r="K5836" s="312"/>
      <c r="N5836" s="514"/>
    </row>
    <row r="5837" spans="11:14" x14ac:dyDescent="0.25">
      <c r="K5837" s="312"/>
      <c r="N5837" s="514"/>
    </row>
    <row r="5838" spans="11:14" x14ac:dyDescent="0.25">
      <c r="K5838" s="312"/>
      <c r="N5838" s="514"/>
    </row>
    <row r="5839" spans="11:14" x14ac:dyDescent="0.25">
      <c r="K5839" s="312"/>
      <c r="N5839" s="514"/>
    </row>
    <row r="5840" spans="11:14" x14ac:dyDescent="0.25">
      <c r="K5840" s="312"/>
      <c r="N5840" s="514"/>
    </row>
    <row r="5841" spans="11:14" x14ac:dyDescent="0.25">
      <c r="K5841" s="312"/>
      <c r="N5841" s="514"/>
    </row>
    <row r="5842" spans="11:14" x14ac:dyDescent="0.25">
      <c r="K5842" s="312"/>
      <c r="N5842" s="514"/>
    </row>
    <row r="5843" spans="11:14" x14ac:dyDescent="0.25">
      <c r="K5843" s="312"/>
      <c r="N5843" s="514"/>
    </row>
    <row r="5844" spans="11:14" x14ac:dyDescent="0.25">
      <c r="K5844" s="312"/>
      <c r="N5844" s="514"/>
    </row>
    <row r="5845" spans="11:14" x14ac:dyDescent="0.25">
      <c r="K5845" s="312"/>
      <c r="N5845" s="514"/>
    </row>
    <row r="5846" spans="11:14" x14ac:dyDescent="0.25">
      <c r="K5846" s="312"/>
      <c r="N5846" s="514"/>
    </row>
    <row r="5847" spans="11:14" x14ac:dyDescent="0.25">
      <c r="K5847" s="312"/>
      <c r="N5847" s="514"/>
    </row>
    <row r="5848" spans="11:14" x14ac:dyDescent="0.25">
      <c r="K5848" s="312"/>
      <c r="N5848" s="514"/>
    </row>
    <row r="5849" spans="11:14" x14ac:dyDescent="0.25">
      <c r="K5849" s="312"/>
      <c r="N5849" s="514"/>
    </row>
    <row r="5850" spans="11:14" x14ac:dyDescent="0.25">
      <c r="K5850" s="312"/>
      <c r="N5850" s="514"/>
    </row>
    <row r="5851" spans="11:14" x14ac:dyDescent="0.25">
      <c r="K5851" s="312"/>
      <c r="N5851" s="514"/>
    </row>
    <row r="5852" spans="11:14" x14ac:dyDescent="0.25">
      <c r="K5852" s="312"/>
      <c r="N5852" s="514"/>
    </row>
    <row r="5853" spans="11:14" x14ac:dyDescent="0.25">
      <c r="K5853" s="312"/>
      <c r="N5853" s="514"/>
    </row>
    <row r="5854" spans="11:14" x14ac:dyDescent="0.25">
      <c r="K5854" s="312"/>
      <c r="N5854" s="514"/>
    </row>
    <row r="5855" spans="11:14" x14ac:dyDescent="0.25">
      <c r="K5855" s="312"/>
      <c r="N5855" s="514"/>
    </row>
    <row r="5856" spans="11:14" x14ac:dyDescent="0.25">
      <c r="K5856" s="312"/>
      <c r="N5856" s="514"/>
    </row>
    <row r="5857" spans="11:14" x14ac:dyDescent="0.25">
      <c r="K5857" s="312"/>
      <c r="N5857" s="514"/>
    </row>
    <row r="5858" spans="11:14" x14ac:dyDescent="0.25">
      <c r="K5858" s="312"/>
      <c r="N5858" s="514"/>
    </row>
    <row r="5859" spans="11:14" x14ac:dyDescent="0.25">
      <c r="K5859" s="312"/>
      <c r="N5859" s="514"/>
    </row>
    <row r="5860" spans="11:14" x14ac:dyDescent="0.25">
      <c r="K5860" s="312"/>
      <c r="N5860" s="514"/>
    </row>
    <row r="5861" spans="11:14" x14ac:dyDescent="0.25">
      <c r="K5861" s="312"/>
      <c r="N5861" s="514"/>
    </row>
    <row r="5862" spans="11:14" x14ac:dyDescent="0.25">
      <c r="K5862" s="312"/>
      <c r="N5862" s="514"/>
    </row>
    <row r="5863" spans="11:14" x14ac:dyDescent="0.25">
      <c r="K5863" s="312"/>
      <c r="N5863" s="514"/>
    </row>
    <row r="5864" spans="11:14" x14ac:dyDescent="0.25">
      <c r="K5864" s="312"/>
      <c r="N5864" s="514"/>
    </row>
    <row r="5865" spans="11:14" x14ac:dyDescent="0.25">
      <c r="K5865" s="312"/>
      <c r="N5865" s="514"/>
    </row>
    <row r="5866" spans="11:14" x14ac:dyDescent="0.25">
      <c r="K5866" s="312"/>
      <c r="N5866" s="514"/>
    </row>
    <row r="5867" spans="11:14" x14ac:dyDescent="0.25">
      <c r="K5867" s="312"/>
      <c r="N5867" s="514"/>
    </row>
    <row r="5868" spans="11:14" x14ac:dyDescent="0.25">
      <c r="K5868" s="312"/>
      <c r="N5868" s="514"/>
    </row>
    <row r="5869" spans="11:14" x14ac:dyDescent="0.25">
      <c r="K5869" s="312"/>
      <c r="N5869" s="514"/>
    </row>
    <row r="5870" spans="11:14" x14ac:dyDescent="0.25">
      <c r="K5870" s="312"/>
      <c r="N5870" s="514"/>
    </row>
    <row r="5871" spans="11:14" x14ac:dyDescent="0.25">
      <c r="K5871" s="312"/>
      <c r="N5871" s="514"/>
    </row>
    <row r="5872" spans="11:14" x14ac:dyDescent="0.25">
      <c r="K5872" s="312"/>
      <c r="N5872" s="514"/>
    </row>
    <row r="5873" spans="11:14" x14ac:dyDescent="0.25">
      <c r="K5873" s="312"/>
      <c r="N5873" s="514"/>
    </row>
    <row r="5874" spans="11:14" x14ac:dyDescent="0.25">
      <c r="K5874" s="312"/>
      <c r="N5874" s="514"/>
    </row>
    <row r="5875" spans="11:14" x14ac:dyDescent="0.25">
      <c r="K5875" s="312"/>
      <c r="N5875" s="514"/>
    </row>
    <row r="5876" spans="11:14" x14ac:dyDescent="0.25">
      <c r="K5876" s="312"/>
      <c r="N5876" s="514"/>
    </row>
    <row r="5877" spans="11:14" x14ac:dyDescent="0.25">
      <c r="K5877" s="312"/>
      <c r="N5877" s="514"/>
    </row>
    <row r="5878" spans="11:14" x14ac:dyDescent="0.25">
      <c r="K5878" s="312"/>
      <c r="N5878" s="514"/>
    </row>
    <row r="5879" spans="11:14" x14ac:dyDescent="0.25">
      <c r="K5879" s="312"/>
      <c r="N5879" s="514"/>
    </row>
    <row r="5880" spans="11:14" x14ac:dyDescent="0.25">
      <c r="K5880" s="312"/>
      <c r="N5880" s="514"/>
    </row>
    <row r="5881" spans="11:14" x14ac:dyDescent="0.25">
      <c r="K5881" s="312"/>
      <c r="N5881" s="514"/>
    </row>
    <row r="5882" spans="11:14" x14ac:dyDescent="0.25">
      <c r="K5882" s="312"/>
      <c r="N5882" s="514"/>
    </row>
    <row r="5883" spans="11:14" x14ac:dyDescent="0.25">
      <c r="K5883" s="312"/>
      <c r="N5883" s="514"/>
    </row>
    <row r="5884" spans="11:14" x14ac:dyDescent="0.25">
      <c r="K5884" s="312"/>
      <c r="N5884" s="514"/>
    </row>
    <row r="5885" spans="11:14" x14ac:dyDescent="0.25">
      <c r="K5885" s="312"/>
      <c r="N5885" s="514"/>
    </row>
    <row r="5886" spans="11:14" x14ac:dyDescent="0.25">
      <c r="K5886" s="312"/>
      <c r="N5886" s="514"/>
    </row>
    <row r="5887" spans="11:14" x14ac:dyDescent="0.25">
      <c r="K5887" s="312"/>
      <c r="N5887" s="514"/>
    </row>
    <row r="5888" spans="11:14" x14ac:dyDescent="0.25">
      <c r="K5888" s="312"/>
      <c r="N5888" s="514"/>
    </row>
    <row r="5889" spans="11:14" x14ac:dyDescent="0.25">
      <c r="K5889" s="312"/>
      <c r="N5889" s="514"/>
    </row>
    <row r="5890" spans="11:14" x14ac:dyDescent="0.25">
      <c r="K5890" s="312"/>
      <c r="N5890" s="514"/>
    </row>
    <row r="5891" spans="11:14" x14ac:dyDescent="0.25">
      <c r="K5891" s="312"/>
      <c r="N5891" s="514"/>
    </row>
    <row r="5892" spans="11:14" x14ac:dyDescent="0.25">
      <c r="K5892" s="312"/>
      <c r="N5892" s="514"/>
    </row>
    <row r="5893" spans="11:14" x14ac:dyDescent="0.25">
      <c r="K5893" s="312"/>
      <c r="N5893" s="514"/>
    </row>
    <row r="5894" spans="11:14" x14ac:dyDescent="0.25">
      <c r="K5894" s="312"/>
      <c r="N5894" s="514"/>
    </row>
    <row r="5895" spans="11:14" x14ac:dyDescent="0.25">
      <c r="K5895" s="312"/>
      <c r="N5895" s="514"/>
    </row>
    <row r="5896" spans="11:14" x14ac:dyDescent="0.25">
      <c r="K5896" s="312"/>
      <c r="N5896" s="514"/>
    </row>
    <row r="5897" spans="11:14" x14ac:dyDescent="0.25">
      <c r="K5897" s="312"/>
      <c r="N5897" s="514"/>
    </row>
    <row r="5898" spans="11:14" x14ac:dyDescent="0.25">
      <c r="K5898" s="312"/>
      <c r="N5898" s="514"/>
    </row>
    <row r="5899" spans="11:14" x14ac:dyDescent="0.25">
      <c r="K5899" s="312"/>
      <c r="N5899" s="514"/>
    </row>
    <row r="5900" spans="11:14" x14ac:dyDescent="0.25">
      <c r="K5900" s="312"/>
      <c r="N5900" s="514"/>
    </row>
    <row r="5901" spans="11:14" x14ac:dyDescent="0.25">
      <c r="K5901" s="312"/>
      <c r="N5901" s="514"/>
    </row>
    <row r="5902" spans="11:14" x14ac:dyDescent="0.25">
      <c r="K5902" s="312"/>
      <c r="N5902" s="514"/>
    </row>
    <row r="5903" spans="11:14" x14ac:dyDescent="0.25">
      <c r="K5903" s="312"/>
      <c r="N5903" s="514"/>
    </row>
    <row r="5904" spans="11:14" x14ac:dyDescent="0.25">
      <c r="K5904" s="312"/>
      <c r="N5904" s="514"/>
    </row>
    <row r="5905" spans="11:14" x14ac:dyDescent="0.25">
      <c r="K5905" s="312"/>
      <c r="N5905" s="514"/>
    </row>
    <row r="5906" spans="11:14" x14ac:dyDescent="0.25">
      <c r="K5906" s="312"/>
      <c r="N5906" s="514"/>
    </row>
    <row r="5907" spans="11:14" x14ac:dyDescent="0.25">
      <c r="K5907" s="312"/>
      <c r="N5907" s="514"/>
    </row>
    <row r="5908" spans="11:14" x14ac:dyDescent="0.25">
      <c r="K5908" s="312"/>
      <c r="N5908" s="514"/>
    </row>
    <row r="5909" spans="11:14" x14ac:dyDescent="0.25">
      <c r="K5909" s="312"/>
      <c r="N5909" s="514"/>
    </row>
    <row r="5910" spans="11:14" x14ac:dyDescent="0.25">
      <c r="K5910" s="312"/>
      <c r="N5910" s="514"/>
    </row>
    <row r="5911" spans="11:14" x14ac:dyDescent="0.25">
      <c r="K5911" s="312"/>
      <c r="N5911" s="514"/>
    </row>
    <row r="5912" spans="11:14" x14ac:dyDescent="0.25">
      <c r="K5912" s="312"/>
      <c r="N5912" s="514"/>
    </row>
    <row r="5913" spans="11:14" x14ac:dyDescent="0.25">
      <c r="K5913" s="312"/>
      <c r="N5913" s="514"/>
    </row>
    <row r="5914" spans="11:14" x14ac:dyDescent="0.25">
      <c r="K5914" s="312"/>
      <c r="N5914" s="514"/>
    </row>
    <row r="5915" spans="11:14" x14ac:dyDescent="0.25">
      <c r="K5915" s="312"/>
      <c r="N5915" s="514"/>
    </row>
    <row r="5916" spans="11:14" x14ac:dyDescent="0.25">
      <c r="K5916" s="312"/>
      <c r="N5916" s="514"/>
    </row>
    <row r="5917" spans="11:14" x14ac:dyDescent="0.25">
      <c r="K5917" s="312"/>
      <c r="N5917" s="514"/>
    </row>
    <row r="5918" spans="11:14" x14ac:dyDescent="0.25">
      <c r="K5918" s="312"/>
      <c r="N5918" s="514"/>
    </row>
    <row r="5919" spans="11:14" x14ac:dyDescent="0.25">
      <c r="K5919" s="312"/>
      <c r="N5919" s="514"/>
    </row>
    <row r="5920" spans="11:14" x14ac:dyDescent="0.25">
      <c r="K5920" s="312"/>
      <c r="N5920" s="514"/>
    </row>
    <row r="5921" spans="11:14" x14ac:dyDescent="0.25">
      <c r="K5921" s="312"/>
      <c r="N5921" s="514"/>
    </row>
    <row r="5922" spans="11:14" x14ac:dyDescent="0.25">
      <c r="K5922" s="312"/>
      <c r="N5922" s="514"/>
    </row>
    <row r="5923" spans="11:14" x14ac:dyDescent="0.25">
      <c r="K5923" s="312"/>
      <c r="N5923" s="514"/>
    </row>
    <row r="5924" spans="11:14" x14ac:dyDescent="0.25">
      <c r="K5924" s="312"/>
      <c r="N5924" s="514"/>
    </row>
    <row r="5925" spans="11:14" x14ac:dyDescent="0.25">
      <c r="K5925" s="312"/>
      <c r="N5925" s="514"/>
    </row>
    <row r="5926" spans="11:14" x14ac:dyDescent="0.25">
      <c r="K5926" s="312"/>
      <c r="N5926" s="514"/>
    </row>
    <row r="5927" spans="11:14" x14ac:dyDescent="0.25">
      <c r="K5927" s="312"/>
      <c r="N5927" s="514"/>
    </row>
    <row r="5928" spans="11:14" x14ac:dyDescent="0.25">
      <c r="K5928" s="312"/>
      <c r="N5928" s="514"/>
    </row>
    <row r="5929" spans="11:14" x14ac:dyDescent="0.25">
      <c r="K5929" s="312"/>
      <c r="N5929" s="514"/>
    </row>
    <row r="5930" spans="11:14" x14ac:dyDescent="0.25">
      <c r="K5930" s="312"/>
      <c r="N5930" s="514"/>
    </row>
    <row r="5931" spans="11:14" x14ac:dyDescent="0.25">
      <c r="K5931" s="312"/>
      <c r="N5931" s="514"/>
    </row>
    <row r="5932" spans="11:14" x14ac:dyDescent="0.25">
      <c r="K5932" s="312"/>
      <c r="N5932" s="514"/>
    </row>
    <row r="5933" spans="11:14" x14ac:dyDescent="0.25">
      <c r="K5933" s="312"/>
      <c r="N5933" s="514"/>
    </row>
    <row r="5934" spans="11:14" x14ac:dyDescent="0.25">
      <c r="K5934" s="312"/>
      <c r="N5934" s="514"/>
    </row>
    <row r="5935" spans="11:14" x14ac:dyDescent="0.25">
      <c r="K5935" s="312"/>
      <c r="N5935" s="514"/>
    </row>
    <row r="5936" spans="11:14" x14ac:dyDescent="0.25">
      <c r="K5936" s="312"/>
      <c r="N5936" s="514"/>
    </row>
    <row r="5937" spans="11:14" x14ac:dyDescent="0.25">
      <c r="K5937" s="312"/>
      <c r="N5937" s="514"/>
    </row>
    <row r="5938" spans="11:14" x14ac:dyDescent="0.25">
      <c r="K5938" s="312"/>
      <c r="N5938" s="514"/>
    </row>
    <row r="5939" spans="11:14" x14ac:dyDescent="0.25">
      <c r="K5939" s="312"/>
      <c r="N5939" s="514"/>
    </row>
    <row r="5940" spans="11:14" x14ac:dyDescent="0.25">
      <c r="K5940" s="312"/>
      <c r="N5940" s="514"/>
    </row>
    <row r="5941" spans="11:14" x14ac:dyDescent="0.25">
      <c r="K5941" s="312"/>
      <c r="N5941" s="514"/>
    </row>
    <row r="5942" spans="11:14" x14ac:dyDescent="0.25">
      <c r="K5942" s="312"/>
      <c r="N5942" s="514"/>
    </row>
    <row r="5943" spans="11:14" x14ac:dyDescent="0.25">
      <c r="K5943" s="312"/>
      <c r="N5943" s="514"/>
    </row>
    <row r="5944" spans="11:14" x14ac:dyDescent="0.25">
      <c r="K5944" s="312"/>
      <c r="N5944" s="514"/>
    </row>
    <row r="5945" spans="11:14" x14ac:dyDescent="0.25">
      <c r="K5945" s="312"/>
      <c r="N5945" s="514"/>
    </row>
    <row r="5946" spans="11:14" x14ac:dyDescent="0.25">
      <c r="K5946" s="312"/>
      <c r="N5946" s="514"/>
    </row>
    <row r="5947" spans="11:14" x14ac:dyDescent="0.25">
      <c r="K5947" s="312"/>
      <c r="N5947" s="514"/>
    </row>
    <row r="5948" spans="11:14" x14ac:dyDescent="0.25">
      <c r="K5948" s="312"/>
      <c r="N5948" s="514"/>
    </row>
    <row r="5949" spans="11:14" x14ac:dyDescent="0.25">
      <c r="K5949" s="312"/>
      <c r="N5949" s="514"/>
    </row>
    <row r="5950" spans="11:14" x14ac:dyDescent="0.25">
      <c r="K5950" s="312"/>
      <c r="N5950" s="514"/>
    </row>
    <row r="5951" spans="11:14" x14ac:dyDescent="0.25">
      <c r="K5951" s="312"/>
      <c r="N5951" s="514"/>
    </row>
    <row r="5952" spans="11:14" x14ac:dyDescent="0.25">
      <c r="K5952" s="312"/>
      <c r="N5952" s="514"/>
    </row>
    <row r="5953" spans="11:14" x14ac:dyDescent="0.25">
      <c r="K5953" s="312"/>
      <c r="N5953" s="514"/>
    </row>
    <row r="5954" spans="11:14" x14ac:dyDescent="0.25">
      <c r="K5954" s="312"/>
      <c r="N5954" s="514"/>
    </row>
    <row r="5955" spans="11:14" x14ac:dyDescent="0.25">
      <c r="K5955" s="312"/>
      <c r="N5955" s="514"/>
    </row>
    <row r="5956" spans="11:14" x14ac:dyDescent="0.25">
      <c r="K5956" s="312"/>
      <c r="N5956" s="514"/>
    </row>
    <row r="5957" spans="11:14" x14ac:dyDescent="0.25">
      <c r="K5957" s="312"/>
      <c r="N5957" s="514"/>
    </row>
    <row r="5958" spans="11:14" x14ac:dyDescent="0.25">
      <c r="K5958" s="312"/>
      <c r="N5958" s="514"/>
    </row>
    <row r="5959" spans="11:14" x14ac:dyDescent="0.25">
      <c r="K5959" s="312"/>
      <c r="N5959" s="514"/>
    </row>
    <row r="5960" spans="11:14" x14ac:dyDescent="0.25">
      <c r="K5960" s="312"/>
      <c r="N5960" s="514"/>
    </row>
    <row r="5961" spans="11:14" x14ac:dyDescent="0.25">
      <c r="K5961" s="312"/>
      <c r="N5961" s="514"/>
    </row>
    <row r="5962" spans="11:14" x14ac:dyDescent="0.25">
      <c r="K5962" s="312"/>
      <c r="N5962" s="514"/>
    </row>
    <row r="5963" spans="11:14" x14ac:dyDescent="0.25">
      <c r="K5963" s="312"/>
      <c r="N5963" s="514"/>
    </row>
    <row r="5964" spans="11:14" x14ac:dyDescent="0.25">
      <c r="K5964" s="312"/>
      <c r="N5964" s="514"/>
    </row>
    <row r="5965" spans="11:14" x14ac:dyDescent="0.25">
      <c r="K5965" s="312"/>
      <c r="N5965" s="514"/>
    </row>
    <row r="5966" spans="11:14" x14ac:dyDescent="0.25">
      <c r="K5966" s="312"/>
      <c r="N5966" s="514"/>
    </row>
    <row r="5967" spans="11:14" x14ac:dyDescent="0.25">
      <c r="K5967" s="312"/>
      <c r="N5967" s="514"/>
    </row>
    <row r="5968" spans="11:14" x14ac:dyDescent="0.25">
      <c r="K5968" s="312"/>
      <c r="N5968" s="514"/>
    </row>
    <row r="5969" spans="11:14" x14ac:dyDescent="0.25">
      <c r="K5969" s="312"/>
      <c r="N5969" s="514"/>
    </row>
    <row r="5970" spans="11:14" x14ac:dyDescent="0.25">
      <c r="K5970" s="312"/>
      <c r="N5970" s="514"/>
    </row>
    <row r="5971" spans="11:14" x14ac:dyDescent="0.25">
      <c r="K5971" s="312"/>
      <c r="N5971" s="514"/>
    </row>
    <row r="5972" spans="11:14" x14ac:dyDescent="0.25">
      <c r="K5972" s="312"/>
      <c r="N5972" s="514"/>
    </row>
    <row r="5973" spans="11:14" x14ac:dyDescent="0.25">
      <c r="K5973" s="312"/>
      <c r="N5973" s="514"/>
    </row>
    <row r="5974" spans="11:14" x14ac:dyDescent="0.25">
      <c r="K5974" s="312"/>
      <c r="N5974" s="514"/>
    </row>
    <row r="5975" spans="11:14" x14ac:dyDescent="0.25">
      <c r="K5975" s="312"/>
      <c r="N5975" s="514"/>
    </row>
    <row r="5976" spans="11:14" x14ac:dyDescent="0.25">
      <c r="K5976" s="312"/>
      <c r="N5976" s="514"/>
    </row>
    <row r="5977" spans="11:14" x14ac:dyDescent="0.25">
      <c r="K5977" s="312"/>
      <c r="N5977" s="514"/>
    </row>
    <row r="5978" spans="11:14" x14ac:dyDescent="0.25">
      <c r="K5978" s="312"/>
      <c r="N5978" s="514"/>
    </row>
    <row r="5979" spans="11:14" x14ac:dyDescent="0.25">
      <c r="K5979" s="312"/>
      <c r="N5979" s="514"/>
    </row>
    <row r="5980" spans="11:14" x14ac:dyDescent="0.25">
      <c r="K5980" s="312"/>
      <c r="N5980" s="514"/>
    </row>
    <row r="5981" spans="11:14" x14ac:dyDescent="0.25">
      <c r="K5981" s="312"/>
      <c r="N5981" s="514"/>
    </row>
    <row r="5982" spans="11:14" x14ac:dyDescent="0.25">
      <c r="K5982" s="312"/>
      <c r="N5982" s="514"/>
    </row>
    <row r="5983" spans="11:14" x14ac:dyDescent="0.25">
      <c r="K5983" s="312"/>
      <c r="N5983" s="514"/>
    </row>
    <row r="5984" spans="11:14" x14ac:dyDescent="0.25">
      <c r="K5984" s="312"/>
      <c r="N5984" s="514"/>
    </row>
    <row r="5985" spans="11:14" x14ac:dyDescent="0.25">
      <c r="K5985" s="312"/>
      <c r="N5985" s="514"/>
    </row>
    <row r="5986" spans="11:14" x14ac:dyDescent="0.25">
      <c r="K5986" s="312"/>
      <c r="N5986" s="514"/>
    </row>
    <row r="5987" spans="11:14" x14ac:dyDescent="0.25">
      <c r="K5987" s="312"/>
      <c r="N5987" s="514"/>
    </row>
    <row r="5988" spans="11:14" x14ac:dyDescent="0.25">
      <c r="K5988" s="312"/>
      <c r="N5988" s="514"/>
    </row>
    <row r="5989" spans="11:14" x14ac:dyDescent="0.25">
      <c r="K5989" s="312"/>
      <c r="N5989" s="514"/>
    </row>
    <row r="5990" spans="11:14" x14ac:dyDescent="0.25">
      <c r="K5990" s="312"/>
      <c r="N5990" s="514"/>
    </row>
    <row r="5991" spans="11:14" x14ac:dyDescent="0.25">
      <c r="K5991" s="312"/>
      <c r="N5991" s="514"/>
    </row>
    <row r="5992" spans="11:14" x14ac:dyDescent="0.25">
      <c r="K5992" s="312"/>
      <c r="N5992" s="514"/>
    </row>
    <row r="5993" spans="11:14" x14ac:dyDescent="0.25">
      <c r="K5993" s="312"/>
      <c r="N5993" s="514"/>
    </row>
    <row r="5994" spans="11:14" x14ac:dyDescent="0.25">
      <c r="K5994" s="312"/>
      <c r="N5994" s="514"/>
    </row>
    <row r="5995" spans="11:14" x14ac:dyDescent="0.25">
      <c r="K5995" s="312"/>
      <c r="N5995" s="514"/>
    </row>
    <row r="5996" spans="11:14" x14ac:dyDescent="0.25">
      <c r="K5996" s="312"/>
      <c r="N5996" s="514"/>
    </row>
    <row r="5997" spans="11:14" x14ac:dyDescent="0.25">
      <c r="K5997" s="312"/>
      <c r="N5997" s="514"/>
    </row>
    <row r="5998" spans="11:14" x14ac:dyDescent="0.25">
      <c r="K5998" s="312"/>
      <c r="N5998" s="514"/>
    </row>
    <row r="5999" spans="11:14" x14ac:dyDescent="0.25">
      <c r="K5999" s="312"/>
      <c r="N5999" s="514"/>
    </row>
    <row r="6000" spans="11:14" x14ac:dyDescent="0.25">
      <c r="K6000" s="312"/>
      <c r="N6000" s="514"/>
    </row>
    <row r="6001" spans="11:14" x14ac:dyDescent="0.25">
      <c r="K6001" s="312"/>
      <c r="N6001" s="514"/>
    </row>
    <row r="6002" spans="11:14" x14ac:dyDescent="0.25">
      <c r="K6002" s="312"/>
      <c r="N6002" s="514"/>
    </row>
    <row r="6003" spans="11:14" x14ac:dyDescent="0.25">
      <c r="K6003" s="312"/>
      <c r="N6003" s="514"/>
    </row>
    <row r="6004" spans="11:14" x14ac:dyDescent="0.25">
      <c r="K6004" s="312"/>
      <c r="N6004" s="514"/>
    </row>
    <row r="6005" spans="11:14" x14ac:dyDescent="0.25">
      <c r="K6005" s="312"/>
      <c r="N6005" s="514"/>
    </row>
    <row r="6006" spans="11:14" x14ac:dyDescent="0.25">
      <c r="K6006" s="312"/>
      <c r="N6006" s="514"/>
    </row>
    <row r="6007" spans="11:14" x14ac:dyDescent="0.25">
      <c r="K6007" s="312"/>
      <c r="N6007" s="514"/>
    </row>
    <row r="6008" spans="11:14" x14ac:dyDescent="0.25">
      <c r="K6008" s="312"/>
      <c r="N6008" s="514"/>
    </row>
    <row r="6009" spans="11:14" x14ac:dyDescent="0.25">
      <c r="K6009" s="312"/>
      <c r="N6009" s="514"/>
    </row>
    <row r="6010" spans="11:14" x14ac:dyDescent="0.25">
      <c r="K6010" s="312"/>
      <c r="N6010" s="514"/>
    </row>
    <row r="6011" spans="11:14" x14ac:dyDescent="0.25">
      <c r="K6011" s="312"/>
      <c r="N6011" s="514"/>
    </row>
    <row r="6012" spans="11:14" x14ac:dyDescent="0.25">
      <c r="K6012" s="312"/>
      <c r="N6012" s="514"/>
    </row>
    <row r="6013" spans="11:14" x14ac:dyDescent="0.25">
      <c r="K6013" s="312"/>
      <c r="N6013" s="514"/>
    </row>
    <row r="6014" spans="11:14" x14ac:dyDescent="0.25">
      <c r="K6014" s="312"/>
      <c r="N6014" s="514"/>
    </row>
    <row r="6015" spans="11:14" x14ac:dyDescent="0.25">
      <c r="K6015" s="312"/>
      <c r="N6015" s="514"/>
    </row>
    <row r="6016" spans="11:14" x14ac:dyDescent="0.25">
      <c r="K6016" s="312"/>
      <c r="N6016" s="514"/>
    </row>
    <row r="6017" spans="11:14" x14ac:dyDescent="0.25">
      <c r="K6017" s="312"/>
      <c r="N6017" s="514"/>
    </row>
    <row r="6018" spans="11:14" x14ac:dyDescent="0.25">
      <c r="K6018" s="312"/>
      <c r="N6018" s="514"/>
    </row>
    <row r="6019" spans="11:14" x14ac:dyDescent="0.25">
      <c r="K6019" s="312"/>
      <c r="N6019" s="514"/>
    </row>
    <row r="6020" spans="11:14" x14ac:dyDescent="0.25">
      <c r="K6020" s="312"/>
      <c r="N6020" s="514"/>
    </row>
    <row r="6021" spans="11:14" x14ac:dyDescent="0.25">
      <c r="K6021" s="312"/>
      <c r="N6021" s="514"/>
    </row>
    <row r="6022" spans="11:14" x14ac:dyDescent="0.25">
      <c r="K6022" s="312"/>
      <c r="N6022" s="514"/>
    </row>
    <row r="6023" spans="11:14" x14ac:dyDescent="0.25">
      <c r="K6023" s="312"/>
      <c r="N6023" s="514"/>
    </row>
    <row r="6024" spans="11:14" x14ac:dyDescent="0.25">
      <c r="K6024" s="312"/>
      <c r="N6024" s="514"/>
    </row>
    <row r="6025" spans="11:14" x14ac:dyDescent="0.25">
      <c r="K6025" s="312"/>
      <c r="N6025" s="514"/>
    </row>
    <row r="6026" spans="11:14" x14ac:dyDescent="0.25">
      <c r="K6026" s="312"/>
      <c r="N6026" s="514"/>
    </row>
    <row r="6027" spans="11:14" x14ac:dyDescent="0.25">
      <c r="K6027" s="312"/>
      <c r="N6027" s="514"/>
    </row>
    <row r="6028" spans="11:14" x14ac:dyDescent="0.25">
      <c r="K6028" s="312"/>
      <c r="N6028" s="514"/>
    </row>
    <row r="6029" spans="11:14" x14ac:dyDescent="0.25">
      <c r="K6029" s="312"/>
      <c r="N6029" s="514"/>
    </row>
    <row r="6030" spans="11:14" x14ac:dyDescent="0.25">
      <c r="K6030" s="312"/>
      <c r="N6030" s="514"/>
    </row>
    <row r="6031" spans="11:14" x14ac:dyDescent="0.25">
      <c r="K6031" s="312"/>
      <c r="N6031" s="514"/>
    </row>
    <row r="6032" spans="11:14" x14ac:dyDescent="0.25">
      <c r="K6032" s="312"/>
      <c r="N6032" s="514"/>
    </row>
    <row r="6033" spans="11:14" x14ac:dyDescent="0.25">
      <c r="K6033" s="312"/>
      <c r="N6033" s="514"/>
    </row>
    <row r="6034" spans="11:14" x14ac:dyDescent="0.25">
      <c r="K6034" s="312"/>
      <c r="N6034" s="514"/>
    </row>
    <row r="6035" spans="11:14" x14ac:dyDescent="0.25">
      <c r="K6035" s="312"/>
      <c r="N6035" s="514"/>
    </row>
    <row r="6036" spans="11:14" x14ac:dyDescent="0.25">
      <c r="K6036" s="312"/>
      <c r="N6036" s="514"/>
    </row>
    <row r="6037" spans="11:14" x14ac:dyDescent="0.25">
      <c r="K6037" s="312"/>
      <c r="N6037" s="514"/>
    </row>
    <row r="6038" spans="11:14" x14ac:dyDescent="0.25">
      <c r="K6038" s="312"/>
      <c r="N6038" s="514"/>
    </row>
    <row r="6039" spans="11:14" x14ac:dyDescent="0.25">
      <c r="K6039" s="312"/>
      <c r="N6039" s="514"/>
    </row>
    <row r="6040" spans="11:14" x14ac:dyDescent="0.25">
      <c r="K6040" s="312"/>
      <c r="N6040" s="514"/>
    </row>
    <row r="6041" spans="11:14" x14ac:dyDescent="0.25">
      <c r="K6041" s="312"/>
      <c r="N6041" s="514"/>
    </row>
    <row r="6042" spans="11:14" x14ac:dyDescent="0.25">
      <c r="K6042" s="312"/>
      <c r="N6042" s="514"/>
    </row>
    <row r="6043" spans="11:14" x14ac:dyDescent="0.25">
      <c r="K6043" s="312"/>
      <c r="N6043" s="514"/>
    </row>
    <row r="6044" spans="11:14" x14ac:dyDescent="0.25">
      <c r="K6044" s="312"/>
      <c r="N6044" s="514"/>
    </row>
    <row r="6045" spans="11:14" x14ac:dyDescent="0.25">
      <c r="K6045" s="312"/>
      <c r="N6045" s="514"/>
    </row>
    <row r="6046" spans="11:14" x14ac:dyDescent="0.25">
      <c r="K6046" s="312"/>
      <c r="N6046" s="514"/>
    </row>
    <row r="6047" spans="11:14" x14ac:dyDescent="0.25">
      <c r="K6047" s="312"/>
      <c r="N6047" s="514"/>
    </row>
    <row r="6048" spans="11:14" x14ac:dyDescent="0.25">
      <c r="K6048" s="312"/>
      <c r="N6048" s="514"/>
    </row>
    <row r="6049" spans="11:14" x14ac:dyDescent="0.25">
      <c r="K6049" s="312"/>
      <c r="N6049" s="514"/>
    </row>
    <row r="6050" spans="11:14" x14ac:dyDescent="0.25">
      <c r="K6050" s="312"/>
      <c r="N6050" s="514"/>
    </row>
    <row r="6051" spans="11:14" x14ac:dyDescent="0.25">
      <c r="K6051" s="312"/>
      <c r="N6051" s="514"/>
    </row>
    <row r="6052" spans="11:14" x14ac:dyDescent="0.25">
      <c r="K6052" s="312"/>
      <c r="N6052" s="514"/>
    </row>
    <row r="6053" spans="11:14" x14ac:dyDescent="0.25">
      <c r="K6053" s="312"/>
      <c r="N6053" s="514"/>
    </row>
    <row r="6054" spans="11:14" x14ac:dyDescent="0.25">
      <c r="K6054" s="312"/>
      <c r="N6054" s="514"/>
    </row>
    <row r="6055" spans="11:14" x14ac:dyDescent="0.25">
      <c r="K6055" s="312"/>
      <c r="N6055" s="514"/>
    </row>
    <row r="6056" spans="11:14" x14ac:dyDescent="0.25">
      <c r="K6056" s="312"/>
      <c r="N6056" s="514"/>
    </row>
    <row r="6057" spans="11:14" x14ac:dyDescent="0.25">
      <c r="K6057" s="312"/>
      <c r="N6057" s="514"/>
    </row>
    <row r="6058" spans="11:14" x14ac:dyDescent="0.25">
      <c r="K6058" s="312"/>
      <c r="N6058" s="514"/>
    </row>
    <row r="6059" spans="11:14" x14ac:dyDescent="0.25">
      <c r="K6059" s="312"/>
      <c r="N6059" s="514"/>
    </row>
    <row r="6060" spans="11:14" x14ac:dyDescent="0.25">
      <c r="K6060" s="312"/>
      <c r="N6060" s="514"/>
    </row>
    <row r="6061" spans="11:14" x14ac:dyDescent="0.25">
      <c r="K6061" s="312"/>
      <c r="N6061" s="514"/>
    </row>
    <row r="6062" spans="11:14" x14ac:dyDescent="0.25">
      <c r="K6062" s="312"/>
      <c r="N6062" s="514"/>
    </row>
    <row r="6063" spans="11:14" x14ac:dyDescent="0.25">
      <c r="K6063" s="312"/>
      <c r="N6063" s="514"/>
    </row>
    <row r="6064" spans="11:14" x14ac:dyDescent="0.25">
      <c r="K6064" s="312"/>
      <c r="N6064" s="514"/>
    </row>
    <row r="6065" spans="11:14" x14ac:dyDescent="0.25">
      <c r="K6065" s="312"/>
      <c r="N6065" s="514"/>
    </row>
    <row r="6066" spans="11:14" x14ac:dyDescent="0.25">
      <c r="K6066" s="312"/>
      <c r="N6066" s="514"/>
    </row>
    <row r="6067" spans="11:14" x14ac:dyDescent="0.25">
      <c r="K6067" s="312"/>
      <c r="N6067" s="514"/>
    </row>
    <row r="6068" spans="11:14" x14ac:dyDescent="0.25">
      <c r="K6068" s="312"/>
      <c r="N6068" s="514"/>
    </row>
    <row r="6069" spans="11:14" x14ac:dyDescent="0.25">
      <c r="K6069" s="312"/>
      <c r="N6069" s="514"/>
    </row>
    <row r="6070" spans="11:14" x14ac:dyDescent="0.25">
      <c r="K6070" s="312"/>
      <c r="N6070" s="514"/>
    </row>
    <row r="6071" spans="11:14" x14ac:dyDescent="0.25">
      <c r="K6071" s="312"/>
      <c r="N6071" s="514"/>
    </row>
    <row r="6072" spans="11:14" x14ac:dyDescent="0.25">
      <c r="K6072" s="312"/>
      <c r="N6072" s="514"/>
    </row>
    <row r="6073" spans="11:14" x14ac:dyDescent="0.25">
      <c r="K6073" s="312"/>
      <c r="N6073" s="514"/>
    </row>
    <row r="6074" spans="11:14" x14ac:dyDescent="0.25">
      <c r="K6074" s="312"/>
      <c r="N6074" s="514"/>
    </row>
    <row r="6075" spans="11:14" x14ac:dyDescent="0.25">
      <c r="K6075" s="312"/>
      <c r="N6075" s="514"/>
    </row>
    <row r="6076" spans="11:14" x14ac:dyDescent="0.25">
      <c r="K6076" s="312"/>
      <c r="N6076" s="514"/>
    </row>
    <row r="6077" spans="11:14" x14ac:dyDescent="0.25">
      <c r="K6077" s="312"/>
      <c r="N6077" s="514"/>
    </row>
    <row r="6078" spans="11:14" x14ac:dyDescent="0.25">
      <c r="K6078" s="312"/>
      <c r="N6078" s="514"/>
    </row>
    <row r="6079" spans="11:14" x14ac:dyDescent="0.25">
      <c r="K6079" s="312"/>
      <c r="N6079" s="514"/>
    </row>
    <row r="6080" spans="11:14" x14ac:dyDescent="0.25">
      <c r="K6080" s="312"/>
      <c r="N6080" s="514"/>
    </row>
    <row r="6081" spans="11:14" x14ac:dyDescent="0.25">
      <c r="K6081" s="312"/>
      <c r="N6081" s="514"/>
    </row>
    <row r="6082" spans="11:14" x14ac:dyDescent="0.25">
      <c r="K6082" s="312"/>
      <c r="N6082" s="514"/>
    </row>
    <row r="6083" spans="11:14" x14ac:dyDescent="0.25">
      <c r="K6083" s="312"/>
      <c r="N6083" s="514"/>
    </row>
    <row r="6084" spans="11:14" x14ac:dyDescent="0.25">
      <c r="K6084" s="312"/>
      <c r="N6084" s="514"/>
    </row>
    <row r="6085" spans="11:14" x14ac:dyDescent="0.25">
      <c r="K6085" s="312"/>
      <c r="N6085" s="514"/>
    </row>
    <row r="6086" spans="11:14" x14ac:dyDescent="0.25">
      <c r="K6086" s="312"/>
      <c r="N6086" s="514"/>
    </row>
    <row r="6087" spans="11:14" x14ac:dyDescent="0.25">
      <c r="K6087" s="312"/>
      <c r="N6087" s="514"/>
    </row>
    <row r="6088" spans="11:14" x14ac:dyDescent="0.25">
      <c r="K6088" s="312"/>
      <c r="N6088" s="514"/>
    </row>
    <row r="6089" spans="11:14" x14ac:dyDescent="0.25">
      <c r="K6089" s="312"/>
      <c r="N6089" s="514"/>
    </row>
    <row r="6090" spans="11:14" x14ac:dyDescent="0.25">
      <c r="K6090" s="312"/>
      <c r="N6090" s="514"/>
    </row>
    <row r="6091" spans="11:14" x14ac:dyDescent="0.25">
      <c r="K6091" s="312"/>
      <c r="N6091" s="514"/>
    </row>
    <row r="6092" spans="11:14" x14ac:dyDescent="0.25">
      <c r="K6092" s="312"/>
      <c r="N6092" s="514"/>
    </row>
    <row r="6093" spans="11:14" x14ac:dyDescent="0.25">
      <c r="K6093" s="312"/>
      <c r="N6093" s="514"/>
    </row>
    <row r="6094" spans="11:14" x14ac:dyDescent="0.25">
      <c r="K6094" s="312"/>
      <c r="N6094" s="514"/>
    </row>
    <row r="6095" spans="11:14" x14ac:dyDescent="0.25">
      <c r="K6095" s="312"/>
      <c r="N6095" s="514"/>
    </row>
    <row r="6096" spans="11:14" x14ac:dyDescent="0.25">
      <c r="K6096" s="312"/>
      <c r="N6096" s="514"/>
    </row>
    <row r="6097" spans="11:14" x14ac:dyDescent="0.25">
      <c r="K6097" s="312"/>
      <c r="N6097" s="514"/>
    </row>
    <row r="6098" spans="11:14" x14ac:dyDescent="0.25">
      <c r="K6098" s="312"/>
      <c r="N6098" s="514"/>
    </row>
    <row r="6099" spans="11:14" x14ac:dyDescent="0.25">
      <c r="K6099" s="312"/>
      <c r="N6099" s="514"/>
    </row>
    <row r="6100" spans="11:14" x14ac:dyDescent="0.25">
      <c r="K6100" s="312"/>
      <c r="N6100" s="514"/>
    </row>
    <row r="6101" spans="11:14" x14ac:dyDescent="0.25">
      <c r="K6101" s="312"/>
      <c r="N6101" s="514"/>
    </row>
    <row r="6102" spans="11:14" x14ac:dyDescent="0.25">
      <c r="K6102" s="312"/>
      <c r="N6102" s="514"/>
    </row>
    <row r="6103" spans="11:14" x14ac:dyDescent="0.25">
      <c r="K6103" s="312"/>
      <c r="N6103" s="514"/>
    </row>
    <row r="6104" spans="11:14" x14ac:dyDescent="0.25">
      <c r="K6104" s="312"/>
      <c r="N6104" s="514"/>
    </row>
    <row r="6105" spans="11:14" x14ac:dyDescent="0.25">
      <c r="K6105" s="312"/>
      <c r="N6105" s="514"/>
    </row>
    <row r="6106" spans="11:14" x14ac:dyDescent="0.25">
      <c r="K6106" s="312"/>
      <c r="N6106" s="514"/>
    </row>
    <row r="6107" spans="11:14" x14ac:dyDescent="0.25">
      <c r="K6107" s="312"/>
      <c r="N6107" s="514"/>
    </row>
    <row r="6108" spans="11:14" x14ac:dyDescent="0.25">
      <c r="K6108" s="312"/>
      <c r="N6108" s="514"/>
    </row>
    <row r="6109" spans="11:14" x14ac:dyDescent="0.25">
      <c r="K6109" s="312"/>
      <c r="N6109" s="514"/>
    </row>
    <row r="6110" spans="11:14" x14ac:dyDescent="0.25">
      <c r="K6110" s="312"/>
      <c r="N6110" s="514"/>
    </row>
    <row r="6111" spans="11:14" x14ac:dyDescent="0.25">
      <c r="K6111" s="312"/>
      <c r="N6111" s="514"/>
    </row>
    <row r="6112" spans="11:14" x14ac:dyDescent="0.25">
      <c r="K6112" s="312"/>
      <c r="N6112" s="514"/>
    </row>
    <row r="6113" spans="11:14" x14ac:dyDescent="0.25">
      <c r="K6113" s="312"/>
      <c r="N6113" s="514"/>
    </row>
    <row r="6114" spans="11:14" x14ac:dyDescent="0.25">
      <c r="K6114" s="312"/>
      <c r="N6114" s="514"/>
    </row>
    <row r="6115" spans="11:14" x14ac:dyDescent="0.25">
      <c r="K6115" s="312"/>
      <c r="N6115" s="514"/>
    </row>
    <row r="6116" spans="11:14" x14ac:dyDescent="0.25">
      <c r="K6116" s="312"/>
      <c r="N6116" s="514"/>
    </row>
    <row r="6117" spans="11:14" x14ac:dyDescent="0.25">
      <c r="K6117" s="312"/>
      <c r="N6117" s="514"/>
    </row>
    <row r="6118" spans="11:14" x14ac:dyDescent="0.25">
      <c r="K6118" s="312"/>
      <c r="N6118" s="514"/>
    </row>
    <row r="6119" spans="11:14" x14ac:dyDescent="0.25">
      <c r="K6119" s="312"/>
      <c r="N6119" s="514"/>
    </row>
    <row r="6120" spans="11:14" x14ac:dyDescent="0.25">
      <c r="K6120" s="312"/>
      <c r="N6120" s="514"/>
    </row>
    <row r="6121" spans="11:14" x14ac:dyDescent="0.25">
      <c r="K6121" s="312"/>
      <c r="N6121" s="514"/>
    </row>
    <row r="6122" spans="11:14" x14ac:dyDescent="0.25">
      <c r="K6122" s="312"/>
      <c r="N6122" s="514"/>
    </row>
    <row r="6123" spans="11:14" x14ac:dyDescent="0.25">
      <c r="K6123" s="312"/>
      <c r="N6123" s="514"/>
    </row>
    <row r="6124" spans="11:14" x14ac:dyDescent="0.25">
      <c r="K6124" s="312"/>
      <c r="N6124" s="514"/>
    </row>
    <row r="6125" spans="11:14" x14ac:dyDescent="0.25">
      <c r="K6125" s="312"/>
      <c r="N6125" s="514"/>
    </row>
    <row r="6126" spans="11:14" x14ac:dyDescent="0.25">
      <c r="K6126" s="312"/>
      <c r="N6126" s="514"/>
    </row>
    <row r="6127" spans="11:14" x14ac:dyDescent="0.25">
      <c r="K6127" s="312"/>
      <c r="N6127" s="514"/>
    </row>
    <row r="6128" spans="11:14" x14ac:dyDescent="0.25">
      <c r="K6128" s="312"/>
      <c r="N6128" s="514"/>
    </row>
    <row r="6129" spans="11:14" x14ac:dyDescent="0.25">
      <c r="K6129" s="312"/>
      <c r="N6129" s="514"/>
    </row>
    <row r="6130" spans="11:14" x14ac:dyDescent="0.25">
      <c r="K6130" s="312"/>
      <c r="N6130" s="514"/>
    </row>
    <row r="6131" spans="11:14" x14ac:dyDescent="0.25">
      <c r="K6131" s="312"/>
      <c r="N6131" s="514"/>
    </row>
    <row r="6132" spans="11:14" x14ac:dyDescent="0.25">
      <c r="K6132" s="312"/>
      <c r="N6132" s="514"/>
    </row>
    <row r="6133" spans="11:14" x14ac:dyDescent="0.25">
      <c r="K6133" s="312"/>
      <c r="N6133" s="514"/>
    </row>
    <row r="6134" spans="11:14" x14ac:dyDescent="0.25">
      <c r="K6134" s="312"/>
      <c r="N6134" s="514"/>
    </row>
    <row r="6135" spans="11:14" x14ac:dyDescent="0.25">
      <c r="K6135" s="312"/>
      <c r="N6135" s="514"/>
    </row>
    <row r="6136" spans="11:14" x14ac:dyDescent="0.25">
      <c r="K6136" s="312"/>
      <c r="N6136" s="514"/>
    </row>
    <row r="6137" spans="11:14" x14ac:dyDescent="0.25">
      <c r="K6137" s="312"/>
      <c r="N6137" s="514"/>
    </row>
    <row r="6138" spans="11:14" x14ac:dyDescent="0.25">
      <c r="K6138" s="312"/>
      <c r="N6138" s="514"/>
    </row>
    <row r="6139" spans="11:14" x14ac:dyDescent="0.25">
      <c r="K6139" s="312"/>
      <c r="N6139" s="514"/>
    </row>
    <row r="6140" spans="11:14" x14ac:dyDescent="0.25">
      <c r="K6140" s="312"/>
      <c r="N6140" s="514"/>
    </row>
    <row r="6141" spans="11:14" x14ac:dyDescent="0.25">
      <c r="K6141" s="312"/>
      <c r="N6141" s="514"/>
    </row>
    <row r="6142" spans="11:14" x14ac:dyDescent="0.25">
      <c r="K6142" s="312"/>
      <c r="N6142" s="514"/>
    </row>
    <row r="6143" spans="11:14" x14ac:dyDescent="0.25">
      <c r="K6143" s="312"/>
      <c r="N6143" s="514"/>
    </row>
    <row r="6144" spans="11:14" x14ac:dyDescent="0.25">
      <c r="K6144" s="312"/>
      <c r="N6144" s="514"/>
    </row>
    <row r="6145" spans="11:14" x14ac:dyDescent="0.25">
      <c r="K6145" s="312"/>
      <c r="N6145" s="514"/>
    </row>
    <row r="6146" spans="11:14" x14ac:dyDescent="0.25">
      <c r="K6146" s="312"/>
      <c r="N6146" s="514"/>
    </row>
    <row r="6147" spans="11:14" x14ac:dyDescent="0.25">
      <c r="K6147" s="312"/>
      <c r="N6147" s="514"/>
    </row>
    <row r="6148" spans="11:14" x14ac:dyDescent="0.25">
      <c r="K6148" s="312"/>
      <c r="N6148" s="514"/>
    </row>
    <row r="6149" spans="11:14" x14ac:dyDescent="0.25">
      <c r="K6149" s="312"/>
      <c r="N6149" s="514"/>
    </row>
    <row r="6150" spans="11:14" x14ac:dyDescent="0.25">
      <c r="K6150" s="312"/>
      <c r="N6150" s="514"/>
    </row>
    <row r="6151" spans="11:14" x14ac:dyDescent="0.25">
      <c r="K6151" s="312"/>
      <c r="N6151" s="514"/>
    </row>
    <row r="6152" spans="11:14" x14ac:dyDescent="0.25">
      <c r="K6152" s="312"/>
      <c r="N6152" s="514"/>
    </row>
    <row r="6153" spans="11:14" x14ac:dyDescent="0.25">
      <c r="K6153" s="312"/>
      <c r="N6153" s="514"/>
    </row>
    <row r="6154" spans="11:14" x14ac:dyDescent="0.25">
      <c r="K6154" s="312"/>
      <c r="N6154" s="514"/>
    </row>
    <row r="6155" spans="11:14" x14ac:dyDescent="0.25">
      <c r="K6155" s="312"/>
      <c r="N6155" s="514"/>
    </row>
    <row r="6156" spans="11:14" x14ac:dyDescent="0.25">
      <c r="K6156" s="312"/>
      <c r="N6156" s="514"/>
    </row>
    <row r="6157" spans="11:14" x14ac:dyDescent="0.25">
      <c r="K6157" s="312"/>
      <c r="N6157" s="514"/>
    </row>
    <row r="6158" spans="11:14" x14ac:dyDescent="0.25">
      <c r="K6158" s="312"/>
      <c r="N6158" s="514"/>
    </row>
    <row r="6159" spans="11:14" x14ac:dyDescent="0.25">
      <c r="K6159" s="312"/>
      <c r="N6159" s="514"/>
    </row>
    <row r="6160" spans="11:14" x14ac:dyDescent="0.25">
      <c r="K6160" s="312"/>
      <c r="N6160" s="514"/>
    </row>
    <row r="6161" spans="11:14" x14ac:dyDescent="0.25">
      <c r="K6161" s="312"/>
      <c r="N6161" s="514"/>
    </row>
    <row r="6162" spans="11:14" x14ac:dyDescent="0.25">
      <c r="K6162" s="312"/>
      <c r="N6162" s="514"/>
    </row>
    <row r="6163" spans="11:14" x14ac:dyDescent="0.25">
      <c r="K6163" s="312"/>
      <c r="N6163" s="514"/>
    </row>
    <row r="6164" spans="11:14" x14ac:dyDescent="0.25">
      <c r="K6164" s="312"/>
      <c r="N6164" s="514"/>
    </row>
    <row r="6165" spans="11:14" x14ac:dyDescent="0.25">
      <c r="K6165" s="312"/>
      <c r="N6165" s="514"/>
    </row>
    <row r="6166" spans="11:14" x14ac:dyDescent="0.25">
      <c r="K6166" s="312"/>
      <c r="N6166" s="514"/>
    </row>
    <row r="6167" spans="11:14" x14ac:dyDescent="0.25">
      <c r="K6167" s="312"/>
      <c r="N6167" s="514"/>
    </row>
    <row r="6168" spans="11:14" x14ac:dyDescent="0.25">
      <c r="K6168" s="312"/>
      <c r="N6168" s="514"/>
    </row>
    <row r="6169" spans="11:14" x14ac:dyDescent="0.25">
      <c r="K6169" s="312"/>
      <c r="N6169" s="514"/>
    </row>
    <row r="6170" spans="11:14" x14ac:dyDescent="0.25">
      <c r="K6170" s="312"/>
      <c r="N6170" s="514"/>
    </row>
    <row r="6171" spans="11:14" x14ac:dyDescent="0.25">
      <c r="K6171" s="312"/>
      <c r="N6171" s="514"/>
    </row>
    <row r="6172" spans="11:14" x14ac:dyDescent="0.25">
      <c r="K6172" s="312"/>
      <c r="N6172" s="514"/>
    </row>
    <row r="6173" spans="11:14" x14ac:dyDescent="0.25">
      <c r="K6173" s="312"/>
      <c r="N6173" s="514"/>
    </row>
    <row r="6174" spans="11:14" x14ac:dyDescent="0.25">
      <c r="K6174" s="312"/>
      <c r="N6174" s="514"/>
    </row>
    <row r="6175" spans="11:14" x14ac:dyDescent="0.25">
      <c r="K6175" s="312"/>
      <c r="N6175" s="514"/>
    </row>
    <row r="6176" spans="11:14" x14ac:dyDescent="0.25">
      <c r="K6176" s="312"/>
      <c r="N6176" s="514"/>
    </row>
    <row r="6177" spans="11:14" x14ac:dyDescent="0.25">
      <c r="K6177" s="312"/>
      <c r="N6177" s="514"/>
    </row>
    <row r="6178" spans="11:14" x14ac:dyDescent="0.25">
      <c r="K6178" s="312"/>
      <c r="N6178" s="514"/>
    </row>
    <row r="6179" spans="11:14" x14ac:dyDescent="0.25">
      <c r="K6179" s="312"/>
      <c r="N6179" s="514"/>
    </row>
    <row r="6180" spans="11:14" x14ac:dyDescent="0.25">
      <c r="K6180" s="312"/>
      <c r="N6180" s="514"/>
    </row>
    <row r="6181" spans="11:14" x14ac:dyDescent="0.25">
      <c r="K6181" s="312"/>
      <c r="N6181" s="514"/>
    </row>
    <row r="6182" spans="11:14" x14ac:dyDescent="0.25">
      <c r="K6182" s="312"/>
      <c r="N6182" s="514"/>
    </row>
    <row r="6183" spans="11:14" x14ac:dyDescent="0.25">
      <c r="K6183" s="312"/>
      <c r="N6183" s="514"/>
    </row>
    <row r="6184" spans="11:14" x14ac:dyDescent="0.25">
      <c r="K6184" s="312"/>
      <c r="N6184" s="514"/>
    </row>
    <row r="6185" spans="11:14" x14ac:dyDescent="0.25">
      <c r="K6185" s="312"/>
      <c r="N6185" s="514"/>
    </row>
    <row r="6186" spans="11:14" x14ac:dyDescent="0.25">
      <c r="K6186" s="312"/>
      <c r="N6186" s="514"/>
    </row>
    <row r="6187" spans="11:14" x14ac:dyDescent="0.25">
      <c r="K6187" s="312"/>
      <c r="N6187" s="514"/>
    </row>
    <row r="6188" spans="11:14" x14ac:dyDescent="0.25">
      <c r="K6188" s="312"/>
      <c r="N6188" s="514"/>
    </row>
    <row r="6189" spans="11:14" x14ac:dyDescent="0.25">
      <c r="K6189" s="312"/>
      <c r="N6189" s="514"/>
    </row>
    <row r="6190" spans="11:14" x14ac:dyDescent="0.25">
      <c r="K6190" s="312"/>
      <c r="N6190" s="514"/>
    </row>
    <row r="6191" spans="11:14" x14ac:dyDescent="0.25">
      <c r="K6191" s="312"/>
      <c r="N6191" s="514"/>
    </row>
    <row r="6192" spans="11:14" x14ac:dyDescent="0.25">
      <c r="K6192" s="312"/>
      <c r="N6192" s="514"/>
    </row>
    <row r="6193" spans="11:14" x14ac:dyDescent="0.25">
      <c r="K6193" s="312"/>
      <c r="N6193" s="514"/>
    </row>
    <row r="6194" spans="11:14" x14ac:dyDescent="0.25">
      <c r="K6194" s="312"/>
      <c r="N6194" s="514"/>
    </row>
    <row r="6195" spans="11:14" x14ac:dyDescent="0.25">
      <c r="K6195" s="312"/>
      <c r="N6195" s="514"/>
    </row>
    <row r="6196" spans="11:14" x14ac:dyDescent="0.25">
      <c r="K6196" s="312"/>
      <c r="N6196" s="514"/>
    </row>
    <row r="6197" spans="11:14" x14ac:dyDescent="0.25">
      <c r="K6197" s="312"/>
      <c r="N6197" s="514"/>
    </row>
    <row r="6198" spans="11:14" x14ac:dyDescent="0.25">
      <c r="K6198" s="312"/>
      <c r="N6198" s="514"/>
    </row>
    <row r="6199" spans="11:14" x14ac:dyDescent="0.25">
      <c r="K6199" s="312"/>
      <c r="N6199" s="514"/>
    </row>
    <row r="6200" spans="11:14" x14ac:dyDescent="0.25">
      <c r="K6200" s="312"/>
      <c r="N6200" s="514"/>
    </row>
    <row r="6201" spans="11:14" x14ac:dyDescent="0.25">
      <c r="K6201" s="312"/>
      <c r="N6201" s="514"/>
    </row>
    <row r="6202" spans="11:14" x14ac:dyDescent="0.25">
      <c r="K6202" s="312"/>
      <c r="N6202" s="514"/>
    </row>
    <row r="6203" spans="11:14" x14ac:dyDescent="0.25">
      <c r="K6203" s="312"/>
      <c r="N6203" s="514"/>
    </row>
    <row r="6204" spans="11:14" x14ac:dyDescent="0.25">
      <c r="K6204" s="312"/>
      <c r="N6204" s="514"/>
    </row>
    <row r="6205" spans="11:14" x14ac:dyDescent="0.25">
      <c r="K6205" s="312"/>
      <c r="N6205" s="514"/>
    </row>
    <row r="6206" spans="11:14" x14ac:dyDescent="0.25">
      <c r="K6206" s="312"/>
      <c r="N6206" s="514"/>
    </row>
    <row r="6207" spans="11:14" x14ac:dyDescent="0.25">
      <c r="K6207" s="312"/>
      <c r="N6207" s="514"/>
    </row>
    <row r="6208" spans="11:14" x14ac:dyDescent="0.25">
      <c r="K6208" s="312"/>
      <c r="N6208" s="514"/>
    </row>
    <row r="6209" spans="11:14" x14ac:dyDescent="0.25">
      <c r="K6209" s="312"/>
      <c r="N6209" s="514"/>
    </row>
    <row r="6210" spans="11:14" x14ac:dyDescent="0.25">
      <c r="K6210" s="312"/>
      <c r="N6210" s="514"/>
    </row>
    <row r="6211" spans="11:14" x14ac:dyDescent="0.25">
      <c r="K6211" s="312"/>
      <c r="N6211" s="514"/>
    </row>
    <row r="6212" spans="11:14" x14ac:dyDescent="0.25">
      <c r="K6212" s="312"/>
      <c r="N6212" s="514"/>
    </row>
    <row r="6213" spans="11:14" x14ac:dyDescent="0.25">
      <c r="K6213" s="312"/>
      <c r="N6213" s="514"/>
    </row>
    <row r="6214" spans="11:14" x14ac:dyDescent="0.25">
      <c r="K6214" s="312"/>
      <c r="N6214" s="514"/>
    </row>
    <row r="6215" spans="11:14" x14ac:dyDescent="0.25">
      <c r="K6215" s="312"/>
      <c r="N6215" s="514"/>
    </row>
    <row r="6216" spans="11:14" x14ac:dyDescent="0.25">
      <c r="K6216" s="312"/>
      <c r="N6216" s="514"/>
    </row>
    <row r="6217" spans="11:14" x14ac:dyDescent="0.25">
      <c r="K6217" s="312"/>
      <c r="N6217" s="514"/>
    </row>
    <row r="6218" spans="11:14" x14ac:dyDescent="0.25">
      <c r="K6218" s="312"/>
      <c r="N6218" s="514"/>
    </row>
    <row r="6219" spans="11:14" x14ac:dyDescent="0.25">
      <c r="K6219" s="312"/>
      <c r="N6219" s="514"/>
    </row>
    <row r="6220" spans="11:14" x14ac:dyDescent="0.25">
      <c r="K6220" s="312"/>
      <c r="N6220" s="514"/>
    </row>
    <row r="6221" spans="11:14" x14ac:dyDescent="0.25">
      <c r="K6221" s="312"/>
      <c r="N6221" s="514"/>
    </row>
    <row r="6222" spans="11:14" x14ac:dyDescent="0.25">
      <c r="K6222" s="312"/>
      <c r="N6222" s="514"/>
    </row>
    <row r="6223" spans="11:14" x14ac:dyDescent="0.25">
      <c r="K6223" s="312"/>
      <c r="N6223" s="514"/>
    </row>
    <row r="6224" spans="11:14" x14ac:dyDescent="0.25">
      <c r="K6224" s="312"/>
      <c r="N6224" s="514"/>
    </row>
    <row r="6225" spans="11:14" x14ac:dyDescent="0.25">
      <c r="K6225" s="312"/>
      <c r="N6225" s="514"/>
    </row>
    <row r="6226" spans="11:14" x14ac:dyDescent="0.25">
      <c r="K6226" s="312"/>
      <c r="N6226" s="514"/>
    </row>
    <row r="6227" spans="11:14" x14ac:dyDescent="0.25">
      <c r="K6227" s="312"/>
      <c r="N6227" s="514"/>
    </row>
    <row r="6228" spans="11:14" x14ac:dyDescent="0.25">
      <c r="K6228" s="312"/>
      <c r="N6228" s="514"/>
    </row>
    <row r="6229" spans="11:14" x14ac:dyDescent="0.25">
      <c r="K6229" s="312"/>
      <c r="N6229" s="514"/>
    </row>
    <row r="6230" spans="11:14" x14ac:dyDescent="0.25">
      <c r="K6230" s="312"/>
      <c r="N6230" s="514"/>
    </row>
    <row r="6231" spans="11:14" x14ac:dyDescent="0.25">
      <c r="K6231" s="312"/>
      <c r="N6231" s="514"/>
    </row>
    <row r="6232" spans="11:14" x14ac:dyDescent="0.25">
      <c r="K6232" s="312"/>
      <c r="N6232" s="514"/>
    </row>
    <row r="6233" spans="11:14" x14ac:dyDescent="0.25">
      <c r="K6233" s="312"/>
      <c r="N6233" s="514"/>
    </row>
    <row r="6234" spans="11:14" x14ac:dyDescent="0.25">
      <c r="K6234" s="312"/>
      <c r="N6234" s="514"/>
    </row>
    <row r="6235" spans="11:14" x14ac:dyDescent="0.25">
      <c r="K6235" s="312"/>
      <c r="N6235" s="514"/>
    </row>
    <row r="6236" spans="11:14" x14ac:dyDescent="0.25">
      <c r="K6236" s="312"/>
      <c r="N6236" s="514"/>
    </row>
    <row r="6237" spans="11:14" x14ac:dyDescent="0.25">
      <c r="K6237" s="312"/>
      <c r="N6237" s="514"/>
    </row>
    <row r="6238" spans="11:14" x14ac:dyDescent="0.25">
      <c r="K6238" s="312"/>
      <c r="N6238" s="514"/>
    </row>
    <row r="6239" spans="11:14" x14ac:dyDescent="0.25">
      <c r="K6239" s="312"/>
      <c r="N6239" s="514"/>
    </row>
    <row r="6240" spans="11:14" x14ac:dyDescent="0.25">
      <c r="K6240" s="312"/>
      <c r="N6240" s="514"/>
    </row>
    <row r="6241" spans="11:14" x14ac:dyDescent="0.25">
      <c r="K6241" s="312"/>
      <c r="N6241" s="514"/>
    </row>
    <row r="6242" spans="11:14" x14ac:dyDescent="0.25">
      <c r="K6242" s="312"/>
      <c r="N6242" s="514"/>
    </row>
    <row r="6243" spans="11:14" x14ac:dyDescent="0.25">
      <c r="K6243" s="312"/>
      <c r="N6243" s="514"/>
    </row>
    <row r="6244" spans="11:14" x14ac:dyDescent="0.25">
      <c r="K6244" s="312"/>
      <c r="N6244" s="514"/>
    </row>
    <row r="6245" spans="11:14" x14ac:dyDescent="0.25">
      <c r="K6245" s="312"/>
      <c r="N6245" s="514"/>
    </row>
    <row r="6246" spans="11:14" x14ac:dyDescent="0.25">
      <c r="K6246" s="312"/>
      <c r="N6246" s="514"/>
    </row>
    <row r="6247" spans="11:14" x14ac:dyDescent="0.25">
      <c r="K6247" s="312"/>
      <c r="N6247" s="514"/>
    </row>
    <row r="6248" spans="11:14" x14ac:dyDescent="0.25">
      <c r="K6248" s="312"/>
      <c r="N6248" s="514"/>
    </row>
    <row r="6249" spans="11:14" x14ac:dyDescent="0.25">
      <c r="K6249" s="312"/>
      <c r="N6249" s="514"/>
    </row>
    <row r="6250" spans="11:14" x14ac:dyDescent="0.25">
      <c r="K6250" s="312"/>
      <c r="N6250" s="514"/>
    </row>
    <row r="6251" spans="11:14" x14ac:dyDescent="0.25">
      <c r="K6251" s="312"/>
      <c r="N6251" s="514"/>
    </row>
    <row r="6252" spans="11:14" x14ac:dyDescent="0.25">
      <c r="K6252" s="312"/>
      <c r="N6252" s="514"/>
    </row>
    <row r="6253" spans="11:14" x14ac:dyDescent="0.25">
      <c r="K6253" s="312"/>
      <c r="N6253" s="514"/>
    </row>
    <row r="6254" spans="11:14" x14ac:dyDescent="0.25">
      <c r="K6254" s="312"/>
      <c r="N6254" s="514"/>
    </row>
    <row r="6255" spans="11:14" x14ac:dyDescent="0.25">
      <c r="K6255" s="312"/>
      <c r="N6255" s="514"/>
    </row>
    <row r="6256" spans="11:14" x14ac:dyDescent="0.25">
      <c r="K6256" s="312"/>
      <c r="N6256" s="514"/>
    </row>
    <row r="6257" spans="11:14" x14ac:dyDescent="0.25">
      <c r="K6257" s="312"/>
      <c r="N6257" s="514"/>
    </row>
    <row r="6258" spans="11:14" x14ac:dyDescent="0.25">
      <c r="K6258" s="312"/>
      <c r="N6258" s="514"/>
    </row>
    <row r="6259" spans="11:14" x14ac:dyDescent="0.25">
      <c r="K6259" s="312"/>
      <c r="N6259" s="514"/>
    </row>
    <row r="6260" spans="11:14" x14ac:dyDescent="0.25">
      <c r="K6260" s="312"/>
      <c r="N6260" s="514"/>
    </row>
    <row r="6261" spans="11:14" x14ac:dyDescent="0.25">
      <c r="K6261" s="312"/>
      <c r="N6261" s="514"/>
    </row>
    <row r="6262" spans="11:14" x14ac:dyDescent="0.25">
      <c r="K6262" s="312"/>
      <c r="N6262" s="514"/>
    </row>
    <row r="6263" spans="11:14" x14ac:dyDescent="0.25">
      <c r="K6263" s="312"/>
      <c r="N6263" s="514"/>
    </row>
    <row r="6264" spans="11:14" x14ac:dyDescent="0.25">
      <c r="K6264" s="312"/>
      <c r="N6264" s="514"/>
    </row>
    <row r="6265" spans="11:14" x14ac:dyDescent="0.25">
      <c r="K6265" s="312"/>
      <c r="N6265" s="514"/>
    </row>
    <row r="6266" spans="11:14" x14ac:dyDescent="0.25">
      <c r="K6266" s="312"/>
      <c r="N6266" s="514"/>
    </row>
    <row r="6267" spans="11:14" x14ac:dyDescent="0.25">
      <c r="K6267" s="312"/>
      <c r="N6267" s="514"/>
    </row>
    <row r="6268" spans="11:14" x14ac:dyDescent="0.25">
      <c r="K6268" s="312"/>
      <c r="N6268" s="514"/>
    </row>
    <row r="6269" spans="11:14" x14ac:dyDescent="0.25">
      <c r="K6269" s="312"/>
      <c r="N6269" s="514"/>
    </row>
    <row r="6270" spans="11:14" x14ac:dyDescent="0.25">
      <c r="K6270" s="312"/>
      <c r="N6270" s="514"/>
    </row>
    <row r="6271" spans="11:14" x14ac:dyDescent="0.25">
      <c r="K6271" s="312"/>
      <c r="N6271" s="514"/>
    </row>
    <row r="6272" spans="11:14" x14ac:dyDescent="0.25">
      <c r="K6272" s="312"/>
      <c r="N6272" s="514"/>
    </row>
    <row r="6273" spans="11:14" x14ac:dyDescent="0.25">
      <c r="K6273" s="312"/>
      <c r="N6273" s="514"/>
    </row>
    <row r="6274" spans="11:14" x14ac:dyDescent="0.25">
      <c r="K6274" s="312"/>
      <c r="N6274" s="514"/>
    </row>
    <row r="6275" spans="11:14" x14ac:dyDescent="0.25">
      <c r="K6275" s="312"/>
      <c r="N6275" s="514"/>
    </row>
    <row r="6276" spans="11:14" x14ac:dyDescent="0.25">
      <c r="K6276" s="312"/>
      <c r="N6276" s="514"/>
    </row>
    <row r="6277" spans="11:14" x14ac:dyDescent="0.25">
      <c r="K6277" s="312"/>
      <c r="N6277" s="514"/>
    </row>
    <row r="6278" spans="11:14" x14ac:dyDescent="0.25">
      <c r="K6278" s="312"/>
      <c r="N6278" s="514"/>
    </row>
    <row r="6279" spans="11:14" x14ac:dyDescent="0.25">
      <c r="K6279" s="312"/>
      <c r="N6279" s="514"/>
    </row>
    <row r="6280" spans="11:14" x14ac:dyDescent="0.25">
      <c r="K6280" s="312"/>
      <c r="N6280" s="514"/>
    </row>
    <row r="6281" spans="11:14" x14ac:dyDescent="0.25">
      <c r="K6281" s="312"/>
      <c r="N6281" s="514"/>
    </row>
    <row r="6282" spans="11:14" x14ac:dyDescent="0.25">
      <c r="K6282" s="312"/>
      <c r="N6282" s="514"/>
    </row>
    <row r="6283" spans="11:14" x14ac:dyDescent="0.25">
      <c r="K6283" s="312"/>
      <c r="N6283" s="514"/>
    </row>
    <row r="6284" spans="11:14" x14ac:dyDescent="0.25">
      <c r="K6284" s="312"/>
      <c r="N6284" s="514"/>
    </row>
    <row r="6285" spans="11:14" x14ac:dyDescent="0.25">
      <c r="K6285" s="312"/>
      <c r="N6285" s="514"/>
    </row>
    <row r="6286" spans="11:14" x14ac:dyDescent="0.25">
      <c r="K6286" s="312"/>
      <c r="N6286" s="514"/>
    </row>
    <row r="6287" spans="11:14" x14ac:dyDescent="0.25">
      <c r="K6287" s="312"/>
      <c r="N6287" s="514"/>
    </row>
    <row r="6288" spans="11:14" x14ac:dyDescent="0.25">
      <c r="K6288" s="312"/>
      <c r="N6288" s="514"/>
    </row>
    <row r="6289" spans="11:14" x14ac:dyDescent="0.25">
      <c r="K6289" s="312"/>
      <c r="N6289" s="514"/>
    </row>
    <row r="6290" spans="11:14" x14ac:dyDescent="0.25">
      <c r="K6290" s="312"/>
      <c r="N6290" s="514"/>
    </row>
    <row r="6291" spans="11:14" x14ac:dyDescent="0.25">
      <c r="K6291" s="312"/>
      <c r="N6291" s="514"/>
    </row>
    <row r="6292" spans="11:14" x14ac:dyDescent="0.25">
      <c r="K6292" s="312"/>
      <c r="N6292" s="514"/>
    </row>
    <row r="6293" spans="11:14" x14ac:dyDescent="0.25">
      <c r="K6293" s="312"/>
      <c r="N6293" s="514"/>
    </row>
    <row r="6294" spans="11:14" x14ac:dyDescent="0.25">
      <c r="K6294" s="312"/>
      <c r="N6294" s="514"/>
    </row>
    <row r="6295" spans="11:14" x14ac:dyDescent="0.25">
      <c r="K6295" s="312"/>
      <c r="N6295" s="514"/>
    </row>
    <row r="6296" spans="11:14" x14ac:dyDescent="0.25">
      <c r="K6296" s="312"/>
      <c r="N6296" s="514"/>
    </row>
    <row r="6297" spans="11:14" x14ac:dyDescent="0.25">
      <c r="K6297" s="312"/>
      <c r="N6297" s="514"/>
    </row>
    <row r="6298" spans="11:14" x14ac:dyDescent="0.25">
      <c r="K6298" s="312"/>
      <c r="N6298" s="514"/>
    </row>
    <row r="6299" spans="11:14" x14ac:dyDescent="0.25">
      <c r="K6299" s="312"/>
      <c r="N6299" s="514"/>
    </row>
    <row r="6300" spans="11:14" x14ac:dyDescent="0.25">
      <c r="K6300" s="312"/>
      <c r="N6300" s="514"/>
    </row>
    <row r="6301" spans="11:14" x14ac:dyDescent="0.25">
      <c r="K6301" s="312"/>
      <c r="N6301" s="514"/>
    </row>
    <row r="6302" spans="11:14" x14ac:dyDescent="0.25">
      <c r="K6302" s="312"/>
      <c r="N6302" s="514"/>
    </row>
    <row r="6303" spans="11:14" x14ac:dyDescent="0.25">
      <c r="K6303" s="312"/>
      <c r="N6303" s="514"/>
    </row>
    <row r="6304" spans="11:14" x14ac:dyDescent="0.25">
      <c r="K6304" s="312"/>
      <c r="N6304" s="514"/>
    </row>
    <row r="6305" spans="11:14" x14ac:dyDescent="0.25">
      <c r="K6305" s="312"/>
      <c r="N6305" s="514"/>
    </row>
    <row r="6306" spans="11:14" x14ac:dyDescent="0.25">
      <c r="K6306" s="312"/>
      <c r="N6306" s="514"/>
    </row>
    <row r="6307" spans="11:14" x14ac:dyDescent="0.25">
      <c r="K6307" s="312"/>
      <c r="N6307" s="514"/>
    </row>
    <row r="6308" spans="11:14" x14ac:dyDescent="0.25">
      <c r="K6308" s="312"/>
      <c r="N6308" s="514"/>
    </row>
    <row r="6309" spans="11:14" x14ac:dyDescent="0.25">
      <c r="K6309" s="312"/>
      <c r="N6309" s="514"/>
    </row>
    <row r="6310" spans="11:14" x14ac:dyDescent="0.25">
      <c r="K6310" s="312"/>
      <c r="N6310" s="514"/>
    </row>
    <row r="6311" spans="11:14" x14ac:dyDescent="0.25">
      <c r="K6311" s="312"/>
      <c r="N6311" s="514"/>
    </row>
    <row r="6312" spans="11:14" x14ac:dyDescent="0.25">
      <c r="K6312" s="312"/>
      <c r="N6312" s="514"/>
    </row>
    <row r="6313" spans="11:14" x14ac:dyDescent="0.25">
      <c r="K6313" s="312"/>
      <c r="N6313" s="514"/>
    </row>
    <row r="6314" spans="11:14" x14ac:dyDescent="0.25">
      <c r="K6314" s="312"/>
      <c r="N6314" s="514"/>
    </row>
    <row r="6315" spans="11:14" x14ac:dyDescent="0.25">
      <c r="K6315" s="312"/>
      <c r="N6315" s="514"/>
    </row>
    <row r="6316" spans="11:14" x14ac:dyDescent="0.25">
      <c r="K6316" s="312"/>
      <c r="N6316" s="514"/>
    </row>
    <row r="6317" spans="11:14" x14ac:dyDescent="0.25">
      <c r="K6317" s="312"/>
      <c r="N6317" s="514"/>
    </row>
    <row r="6318" spans="11:14" x14ac:dyDescent="0.25">
      <c r="K6318" s="312"/>
      <c r="N6318" s="514"/>
    </row>
    <row r="6319" spans="11:14" x14ac:dyDescent="0.25">
      <c r="K6319" s="312"/>
      <c r="N6319" s="514"/>
    </row>
    <row r="6320" spans="11:14" x14ac:dyDescent="0.25">
      <c r="K6320" s="312"/>
      <c r="N6320" s="514"/>
    </row>
    <row r="6321" spans="11:14" x14ac:dyDescent="0.25">
      <c r="K6321" s="312"/>
      <c r="N6321" s="514"/>
    </row>
    <row r="6322" spans="11:14" x14ac:dyDescent="0.25">
      <c r="K6322" s="312"/>
      <c r="N6322" s="514"/>
    </row>
    <row r="6323" spans="11:14" x14ac:dyDescent="0.25">
      <c r="K6323" s="312"/>
      <c r="N6323" s="514"/>
    </row>
    <row r="6324" spans="11:14" x14ac:dyDescent="0.25">
      <c r="K6324" s="312"/>
      <c r="N6324" s="514"/>
    </row>
    <row r="6325" spans="11:14" x14ac:dyDescent="0.25">
      <c r="K6325" s="312"/>
      <c r="N6325" s="514"/>
    </row>
    <row r="6326" spans="11:14" x14ac:dyDescent="0.25">
      <c r="K6326" s="312"/>
      <c r="N6326" s="514"/>
    </row>
    <row r="6327" spans="11:14" x14ac:dyDescent="0.25">
      <c r="K6327" s="312"/>
      <c r="N6327" s="514"/>
    </row>
    <row r="6328" spans="11:14" x14ac:dyDescent="0.25">
      <c r="K6328" s="312"/>
      <c r="N6328" s="514"/>
    </row>
    <row r="6329" spans="11:14" x14ac:dyDescent="0.25">
      <c r="K6329" s="312"/>
      <c r="N6329" s="514"/>
    </row>
    <row r="6330" spans="11:14" x14ac:dyDescent="0.25">
      <c r="K6330" s="312"/>
      <c r="N6330" s="514"/>
    </row>
    <row r="6331" spans="11:14" x14ac:dyDescent="0.25">
      <c r="K6331" s="312"/>
      <c r="N6331" s="514"/>
    </row>
    <row r="6332" spans="11:14" x14ac:dyDescent="0.25">
      <c r="K6332" s="312"/>
      <c r="N6332" s="514"/>
    </row>
    <row r="6333" spans="11:14" x14ac:dyDescent="0.25">
      <c r="K6333" s="312"/>
      <c r="N6333" s="514"/>
    </row>
    <row r="6334" spans="11:14" x14ac:dyDescent="0.25">
      <c r="K6334" s="312"/>
      <c r="N6334" s="514"/>
    </row>
    <row r="6335" spans="11:14" x14ac:dyDescent="0.25">
      <c r="K6335" s="312"/>
      <c r="N6335" s="514"/>
    </row>
    <row r="6336" spans="11:14" x14ac:dyDescent="0.25">
      <c r="K6336" s="312"/>
      <c r="N6336" s="514"/>
    </row>
    <row r="6337" spans="11:14" x14ac:dyDescent="0.25">
      <c r="K6337" s="312"/>
      <c r="N6337" s="514"/>
    </row>
    <row r="6338" spans="11:14" x14ac:dyDescent="0.25">
      <c r="K6338" s="312"/>
      <c r="N6338" s="514"/>
    </row>
    <row r="6339" spans="11:14" x14ac:dyDescent="0.25">
      <c r="K6339" s="312"/>
      <c r="N6339" s="514"/>
    </row>
    <row r="6340" spans="11:14" x14ac:dyDescent="0.25">
      <c r="K6340" s="312"/>
      <c r="N6340" s="514"/>
    </row>
    <row r="6341" spans="11:14" x14ac:dyDescent="0.25">
      <c r="K6341" s="312"/>
      <c r="N6341" s="514"/>
    </row>
    <row r="6342" spans="11:14" x14ac:dyDescent="0.25">
      <c r="K6342" s="312"/>
      <c r="N6342" s="514"/>
    </row>
    <row r="6343" spans="11:14" x14ac:dyDescent="0.25">
      <c r="K6343" s="312"/>
      <c r="N6343" s="514"/>
    </row>
    <row r="6344" spans="11:14" x14ac:dyDescent="0.25">
      <c r="K6344" s="312"/>
      <c r="N6344" s="514"/>
    </row>
    <row r="6345" spans="11:14" x14ac:dyDescent="0.25">
      <c r="K6345" s="312"/>
      <c r="N6345" s="514"/>
    </row>
    <row r="6346" spans="11:14" x14ac:dyDescent="0.25">
      <c r="K6346" s="312"/>
      <c r="N6346" s="514"/>
    </row>
    <row r="6347" spans="11:14" x14ac:dyDescent="0.25">
      <c r="K6347" s="312"/>
      <c r="N6347" s="514"/>
    </row>
    <row r="6348" spans="11:14" x14ac:dyDescent="0.25">
      <c r="K6348" s="312"/>
      <c r="N6348" s="514"/>
    </row>
    <row r="6349" spans="11:14" x14ac:dyDescent="0.25">
      <c r="K6349" s="312"/>
      <c r="N6349" s="514"/>
    </row>
    <row r="6350" spans="11:14" x14ac:dyDescent="0.25">
      <c r="K6350" s="312"/>
      <c r="N6350" s="514"/>
    </row>
    <row r="6351" spans="11:14" x14ac:dyDescent="0.25">
      <c r="K6351" s="312"/>
      <c r="N6351" s="514"/>
    </row>
    <row r="6352" spans="11:14" x14ac:dyDescent="0.25">
      <c r="K6352" s="312"/>
      <c r="N6352" s="514"/>
    </row>
    <row r="6353" spans="11:14" x14ac:dyDescent="0.25">
      <c r="K6353" s="312"/>
      <c r="N6353" s="514"/>
    </row>
    <row r="6354" spans="11:14" x14ac:dyDescent="0.25">
      <c r="K6354" s="312"/>
      <c r="N6354" s="514"/>
    </row>
    <row r="6355" spans="11:14" x14ac:dyDescent="0.25">
      <c r="K6355" s="312"/>
      <c r="N6355" s="514"/>
    </row>
    <row r="6356" spans="11:14" x14ac:dyDescent="0.25">
      <c r="K6356" s="312"/>
      <c r="N6356" s="514"/>
    </row>
    <row r="6357" spans="11:14" x14ac:dyDescent="0.25">
      <c r="K6357" s="312"/>
      <c r="N6357" s="514"/>
    </row>
    <row r="6358" spans="11:14" x14ac:dyDescent="0.25">
      <c r="K6358" s="312"/>
      <c r="N6358" s="514"/>
    </row>
    <row r="6359" spans="11:14" x14ac:dyDescent="0.25">
      <c r="K6359" s="312"/>
      <c r="N6359" s="514"/>
    </row>
    <row r="6360" spans="11:14" x14ac:dyDescent="0.25">
      <c r="K6360" s="312"/>
      <c r="N6360" s="514"/>
    </row>
    <row r="6361" spans="11:14" x14ac:dyDescent="0.25">
      <c r="K6361" s="312"/>
      <c r="N6361" s="514"/>
    </row>
    <row r="6362" spans="11:14" x14ac:dyDescent="0.25">
      <c r="K6362" s="312"/>
      <c r="N6362" s="514"/>
    </row>
    <row r="6363" spans="11:14" x14ac:dyDescent="0.25">
      <c r="K6363" s="312"/>
      <c r="N6363" s="514"/>
    </row>
    <row r="6364" spans="11:14" x14ac:dyDescent="0.25">
      <c r="K6364" s="312"/>
      <c r="N6364" s="514"/>
    </row>
    <row r="6365" spans="11:14" x14ac:dyDescent="0.25">
      <c r="K6365" s="312"/>
      <c r="N6365" s="514"/>
    </row>
    <row r="6366" spans="11:14" x14ac:dyDescent="0.25">
      <c r="K6366" s="312"/>
      <c r="N6366" s="514"/>
    </row>
    <row r="6367" spans="11:14" x14ac:dyDescent="0.25">
      <c r="K6367" s="312"/>
      <c r="N6367" s="514"/>
    </row>
    <row r="6368" spans="11:14" x14ac:dyDescent="0.25">
      <c r="K6368" s="312"/>
      <c r="N6368" s="514"/>
    </row>
    <row r="6369" spans="11:14" x14ac:dyDescent="0.25">
      <c r="K6369" s="312"/>
      <c r="N6369" s="514"/>
    </row>
    <row r="6370" spans="11:14" x14ac:dyDescent="0.25">
      <c r="K6370" s="312"/>
      <c r="N6370" s="514"/>
    </row>
    <row r="6371" spans="11:14" x14ac:dyDescent="0.25">
      <c r="K6371" s="312"/>
      <c r="N6371" s="514"/>
    </row>
    <row r="6372" spans="11:14" x14ac:dyDescent="0.25">
      <c r="K6372" s="312"/>
      <c r="N6372" s="514"/>
    </row>
    <row r="6373" spans="11:14" x14ac:dyDescent="0.25">
      <c r="K6373" s="312"/>
      <c r="N6373" s="514"/>
    </row>
    <row r="6374" spans="11:14" x14ac:dyDescent="0.25">
      <c r="K6374" s="312"/>
      <c r="N6374" s="514"/>
    </row>
    <row r="6375" spans="11:14" x14ac:dyDescent="0.25">
      <c r="K6375" s="312"/>
      <c r="N6375" s="514"/>
    </row>
    <row r="6376" spans="11:14" x14ac:dyDescent="0.25">
      <c r="K6376" s="312"/>
      <c r="N6376" s="514"/>
    </row>
    <row r="6377" spans="11:14" x14ac:dyDescent="0.25">
      <c r="K6377" s="312"/>
      <c r="N6377" s="514"/>
    </row>
    <row r="6378" spans="11:14" x14ac:dyDescent="0.25">
      <c r="K6378" s="312"/>
      <c r="N6378" s="514"/>
    </row>
    <row r="6379" spans="11:14" x14ac:dyDescent="0.25">
      <c r="K6379" s="312"/>
      <c r="N6379" s="514"/>
    </row>
    <row r="6380" spans="11:14" x14ac:dyDescent="0.25">
      <c r="K6380" s="312"/>
      <c r="N6380" s="514"/>
    </row>
    <row r="6381" spans="11:14" x14ac:dyDescent="0.25">
      <c r="K6381" s="312"/>
      <c r="N6381" s="514"/>
    </row>
    <row r="6382" spans="11:14" x14ac:dyDescent="0.25">
      <c r="K6382" s="312"/>
      <c r="N6382" s="514"/>
    </row>
    <row r="6383" spans="11:14" x14ac:dyDescent="0.25">
      <c r="K6383" s="312"/>
      <c r="N6383" s="514"/>
    </row>
    <row r="6384" spans="11:14" x14ac:dyDescent="0.25">
      <c r="K6384" s="312"/>
      <c r="N6384" s="514"/>
    </row>
    <row r="6385" spans="11:14" x14ac:dyDescent="0.25">
      <c r="K6385" s="312"/>
      <c r="N6385" s="514"/>
    </row>
    <row r="6386" spans="11:14" x14ac:dyDescent="0.25">
      <c r="K6386" s="312"/>
      <c r="N6386" s="514"/>
    </row>
    <row r="6387" spans="11:14" x14ac:dyDescent="0.25">
      <c r="K6387" s="312"/>
      <c r="N6387" s="514"/>
    </row>
    <row r="6388" spans="11:14" x14ac:dyDescent="0.25">
      <c r="K6388" s="312"/>
      <c r="N6388" s="514"/>
    </row>
    <row r="6389" spans="11:14" x14ac:dyDescent="0.25">
      <c r="K6389" s="312"/>
      <c r="N6389" s="514"/>
    </row>
    <row r="6390" spans="11:14" x14ac:dyDescent="0.25">
      <c r="K6390" s="312"/>
      <c r="N6390" s="514"/>
    </row>
    <row r="6391" spans="11:14" x14ac:dyDescent="0.25">
      <c r="K6391" s="312"/>
      <c r="N6391" s="514"/>
    </row>
    <row r="6392" spans="11:14" x14ac:dyDescent="0.25">
      <c r="K6392" s="312"/>
      <c r="N6392" s="514"/>
    </row>
    <row r="6393" spans="11:14" x14ac:dyDescent="0.25">
      <c r="K6393" s="312"/>
      <c r="N6393" s="514"/>
    </row>
    <row r="6394" spans="11:14" x14ac:dyDescent="0.25">
      <c r="K6394" s="312"/>
      <c r="N6394" s="514"/>
    </row>
    <row r="6395" spans="11:14" x14ac:dyDescent="0.25">
      <c r="K6395" s="312"/>
      <c r="N6395" s="514"/>
    </row>
    <row r="6396" spans="11:14" x14ac:dyDescent="0.25">
      <c r="K6396" s="312"/>
      <c r="N6396" s="514"/>
    </row>
    <row r="6397" spans="11:14" x14ac:dyDescent="0.25">
      <c r="K6397" s="312"/>
      <c r="N6397" s="514"/>
    </row>
    <row r="6398" spans="11:14" x14ac:dyDescent="0.25">
      <c r="K6398" s="312"/>
      <c r="N6398" s="514"/>
    </row>
    <row r="6399" spans="11:14" x14ac:dyDescent="0.25">
      <c r="K6399" s="312"/>
      <c r="N6399" s="514"/>
    </row>
    <row r="6400" spans="11:14" x14ac:dyDescent="0.25">
      <c r="K6400" s="312"/>
      <c r="N6400" s="514"/>
    </row>
    <row r="6401" spans="11:14" x14ac:dyDescent="0.25">
      <c r="K6401" s="312"/>
      <c r="N6401" s="514"/>
    </row>
    <row r="6402" spans="11:14" x14ac:dyDescent="0.25">
      <c r="K6402" s="312"/>
      <c r="N6402" s="514"/>
    </row>
    <row r="6403" spans="11:14" x14ac:dyDescent="0.25">
      <c r="K6403" s="312"/>
      <c r="N6403" s="514"/>
    </row>
    <row r="6404" spans="11:14" x14ac:dyDescent="0.25">
      <c r="K6404" s="312"/>
      <c r="N6404" s="514"/>
    </row>
    <row r="6405" spans="11:14" x14ac:dyDescent="0.25">
      <c r="K6405" s="312"/>
      <c r="N6405" s="514"/>
    </row>
    <row r="6406" spans="11:14" x14ac:dyDescent="0.25">
      <c r="K6406" s="312"/>
      <c r="N6406" s="514"/>
    </row>
    <row r="6407" spans="11:14" x14ac:dyDescent="0.25">
      <c r="K6407" s="312"/>
      <c r="N6407" s="514"/>
    </row>
    <row r="6408" spans="11:14" x14ac:dyDescent="0.25">
      <c r="K6408" s="312"/>
      <c r="N6408" s="514"/>
    </row>
    <row r="6409" spans="11:14" x14ac:dyDescent="0.25">
      <c r="K6409" s="312"/>
      <c r="N6409" s="514"/>
    </row>
    <row r="6410" spans="11:14" x14ac:dyDescent="0.25">
      <c r="K6410" s="312"/>
      <c r="N6410" s="514"/>
    </row>
    <row r="6411" spans="11:14" x14ac:dyDescent="0.25">
      <c r="K6411" s="312"/>
      <c r="N6411" s="514"/>
    </row>
    <row r="6412" spans="11:14" x14ac:dyDescent="0.25">
      <c r="K6412" s="312"/>
      <c r="N6412" s="514"/>
    </row>
    <row r="6413" spans="11:14" x14ac:dyDescent="0.25">
      <c r="K6413" s="312"/>
      <c r="N6413" s="514"/>
    </row>
    <row r="6414" spans="11:14" x14ac:dyDescent="0.25">
      <c r="K6414" s="312"/>
      <c r="N6414" s="514"/>
    </row>
    <row r="6415" spans="11:14" x14ac:dyDescent="0.25">
      <c r="K6415" s="312"/>
      <c r="N6415" s="514"/>
    </row>
    <row r="6416" spans="11:14" x14ac:dyDescent="0.25">
      <c r="K6416" s="312"/>
      <c r="N6416" s="514"/>
    </row>
    <row r="6417" spans="11:14" x14ac:dyDescent="0.25">
      <c r="K6417" s="312"/>
      <c r="N6417" s="514"/>
    </row>
    <row r="6418" spans="11:14" x14ac:dyDescent="0.25">
      <c r="K6418" s="312"/>
      <c r="N6418" s="514"/>
    </row>
    <row r="6419" spans="11:14" x14ac:dyDescent="0.25">
      <c r="K6419" s="312"/>
      <c r="N6419" s="514"/>
    </row>
    <row r="6420" spans="11:14" x14ac:dyDescent="0.25">
      <c r="K6420" s="312"/>
      <c r="N6420" s="514"/>
    </row>
    <row r="6421" spans="11:14" x14ac:dyDescent="0.25">
      <c r="K6421" s="312"/>
      <c r="N6421" s="514"/>
    </row>
    <row r="6422" spans="11:14" x14ac:dyDescent="0.25">
      <c r="K6422" s="312"/>
      <c r="N6422" s="514"/>
    </row>
    <row r="6423" spans="11:14" x14ac:dyDescent="0.25">
      <c r="K6423" s="312"/>
      <c r="N6423" s="514"/>
    </row>
    <row r="6424" spans="11:14" x14ac:dyDescent="0.25">
      <c r="K6424" s="312"/>
      <c r="N6424" s="514"/>
    </row>
    <row r="6425" spans="11:14" x14ac:dyDescent="0.25">
      <c r="K6425" s="312"/>
      <c r="N6425" s="514"/>
    </row>
    <row r="6426" spans="11:14" x14ac:dyDescent="0.25">
      <c r="K6426" s="312"/>
      <c r="N6426" s="514"/>
    </row>
    <row r="6427" spans="11:14" x14ac:dyDescent="0.25">
      <c r="K6427" s="312"/>
      <c r="N6427" s="514"/>
    </row>
    <row r="6428" spans="11:14" x14ac:dyDescent="0.25">
      <c r="K6428" s="312"/>
      <c r="N6428" s="514"/>
    </row>
    <row r="6429" spans="11:14" x14ac:dyDescent="0.25">
      <c r="K6429" s="312"/>
      <c r="N6429" s="514"/>
    </row>
    <row r="6430" spans="11:14" x14ac:dyDescent="0.25">
      <c r="K6430" s="312"/>
      <c r="N6430" s="514"/>
    </row>
    <row r="6431" spans="11:14" x14ac:dyDescent="0.25">
      <c r="K6431" s="312"/>
      <c r="N6431" s="514"/>
    </row>
    <row r="6432" spans="11:14" x14ac:dyDescent="0.25">
      <c r="K6432" s="312"/>
      <c r="N6432" s="514"/>
    </row>
    <row r="6433" spans="11:14" x14ac:dyDescent="0.25">
      <c r="K6433" s="312"/>
      <c r="N6433" s="514"/>
    </row>
    <row r="6434" spans="11:14" x14ac:dyDescent="0.25">
      <c r="K6434" s="312"/>
      <c r="N6434" s="514"/>
    </row>
    <row r="6435" spans="11:14" x14ac:dyDescent="0.25">
      <c r="K6435" s="312"/>
      <c r="N6435" s="514"/>
    </row>
    <row r="6436" spans="11:14" x14ac:dyDescent="0.25">
      <c r="K6436" s="312"/>
      <c r="N6436" s="514"/>
    </row>
    <row r="6437" spans="11:14" x14ac:dyDescent="0.25">
      <c r="K6437" s="312"/>
      <c r="N6437" s="514"/>
    </row>
    <row r="6438" spans="11:14" x14ac:dyDescent="0.25">
      <c r="K6438" s="312"/>
      <c r="N6438" s="514"/>
    </row>
    <row r="6439" spans="11:14" x14ac:dyDescent="0.25">
      <c r="K6439" s="312"/>
      <c r="N6439" s="514"/>
    </row>
    <row r="6440" spans="11:14" x14ac:dyDescent="0.25">
      <c r="K6440" s="312"/>
      <c r="N6440" s="514"/>
    </row>
    <row r="6441" spans="11:14" x14ac:dyDescent="0.25">
      <c r="K6441" s="312"/>
      <c r="N6441" s="514"/>
    </row>
    <row r="6442" spans="11:14" x14ac:dyDescent="0.25">
      <c r="K6442" s="312"/>
      <c r="N6442" s="514"/>
    </row>
    <row r="6443" spans="11:14" x14ac:dyDescent="0.25">
      <c r="K6443" s="312"/>
      <c r="N6443" s="514"/>
    </row>
    <row r="6444" spans="11:14" x14ac:dyDescent="0.25">
      <c r="K6444" s="312"/>
      <c r="N6444" s="514"/>
    </row>
    <row r="6445" spans="11:14" x14ac:dyDescent="0.25">
      <c r="K6445" s="312"/>
      <c r="N6445" s="514"/>
    </row>
    <row r="6446" spans="11:14" x14ac:dyDescent="0.25">
      <c r="K6446" s="312"/>
      <c r="N6446" s="514"/>
    </row>
    <row r="6447" spans="11:14" x14ac:dyDescent="0.25">
      <c r="K6447" s="312"/>
      <c r="N6447" s="514"/>
    </row>
    <row r="6448" spans="11:14" x14ac:dyDescent="0.25">
      <c r="K6448" s="312"/>
      <c r="N6448" s="514"/>
    </row>
    <row r="6449" spans="11:14" x14ac:dyDescent="0.25">
      <c r="K6449" s="312"/>
      <c r="N6449" s="514"/>
    </row>
    <row r="6450" spans="11:14" x14ac:dyDescent="0.25">
      <c r="K6450" s="312"/>
      <c r="N6450" s="514"/>
    </row>
    <row r="6451" spans="11:14" x14ac:dyDescent="0.25">
      <c r="K6451" s="312"/>
      <c r="N6451" s="514"/>
    </row>
    <row r="6452" spans="11:14" x14ac:dyDescent="0.25">
      <c r="K6452" s="312"/>
      <c r="N6452" s="514"/>
    </row>
    <row r="6453" spans="11:14" x14ac:dyDescent="0.25">
      <c r="K6453" s="312"/>
      <c r="N6453" s="514"/>
    </row>
    <row r="6454" spans="11:14" x14ac:dyDescent="0.25">
      <c r="K6454" s="312"/>
      <c r="N6454" s="514"/>
    </row>
    <row r="6455" spans="11:14" x14ac:dyDescent="0.25">
      <c r="K6455" s="312"/>
      <c r="N6455" s="514"/>
    </row>
    <row r="6456" spans="11:14" x14ac:dyDescent="0.25">
      <c r="K6456" s="312"/>
      <c r="N6456" s="514"/>
    </row>
    <row r="6457" spans="11:14" x14ac:dyDescent="0.25">
      <c r="K6457" s="312"/>
      <c r="N6457" s="514"/>
    </row>
    <row r="6458" spans="11:14" x14ac:dyDescent="0.25">
      <c r="K6458" s="312"/>
      <c r="N6458" s="514"/>
    </row>
    <row r="6459" spans="11:14" x14ac:dyDescent="0.25">
      <c r="K6459" s="312"/>
      <c r="N6459" s="514"/>
    </row>
    <row r="6460" spans="11:14" x14ac:dyDescent="0.25">
      <c r="K6460" s="312"/>
      <c r="N6460" s="514"/>
    </row>
    <row r="6461" spans="11:14" x14ac:dyDescent="0.25">
      <c r="K6461" s="312"/>
      <c r="N6461" s="514"/>
    </row>
    <row r="6462" spans="11:14" x14ac:dyDescent="0.25">
      <c r="K6462" s="312"/>
      <c r="N6462" s="514"/>
    </row>
    <row r="6463" spans="11:14" x14ac:dyDescent="0.25">
      <c r="K6463" s="312"/>
      <c r="N6463" s="514"/>
    </row>
    <row r="6464" spans="11:14" x14ac:dyDescent="0.25">
      <c r="K6464" s="312"/>
      <c r="N6464" s="514"/>
    </row>
    <row r="6465" spans="11:14" x14ac:dyDescent="0.25">
      <c r="K6465" s="312"/>
      <c r="N6465" s="514"/>
    </row>
    <row r="6466" spans="11:14" x14ac:dyDescent="0.25">
      <c r="K6466" s="312"/>
      <c r="N6466" s="514"/>
    </row>
    <row r="6467" spans="11:14" x14ac:dyDescent="0.25">
      <c r="K6467" s="312"/>
      <c r="N6467" s="514"/>
    </row>
    <row r="6468" spans="11:14" x14ac:dyDescent="0.25">
      <c r="K6468" s="312"/>
      <c r="N6468" s="514"/>
    </row>
    <row r="6469" spans="11:14" x14ac:dyDescent="0.25">
      <c r="K6469" s="312"/>
      <c r="N6469" s="514"/>
    </row>
    <row r="6470" spans="11:14" x14ac:dyDescent="0.25">
      <c r="K6470" s="312"/>
      <c r="N6470" s="514"/>
    </row>
    <row r="6471" spans="11:14" x14ac:dyDescent="0.25">
      <c r="K6471" s="312"/>
      <c r="N6471" s="514"/>
    </row>
    <row r="6472" spans="11:14" x14ac:dyDescent="0.25">
      <c r="K6472" s="312"/>
      <c r="N6472" s="514"/>
    </row>
    <row r="6473" spans="11:14" x14ac:dyDescent="0.25">
      <c r="K6473" s="312"/>
      <c r="N6473" s="514"/>
    </row>
    <row r="6474" spans="11:14" x14ac:dyDescent="0.25">
      <c r="K6474" s="312"/>
      <c r="N6474" s="514"/>
    </row>
    <row r="6475" spans="11:14" x14ac:dyDescent="0.25">
      <c r="K6475" s="312"/>
      <c r="N6475" s="514"/>
    </row>
    <row r="6476" spans="11:14" x14ac:dyDescent="0.25">
      <c r="K6476" s="312"/>
      <c r="N6476" s="514"/>
    </row>
    <row r="6477" spans="11:14" x14ac:dyDescent="0.25">
      <c r="K6477" s="312"/>
      <c r="N6477" s="514"/>
    </row>
    <row r="6478" spans="11:14" x14ac:dyDescent="0.25">
      <c r="K6478" s="312"/>
      <c r="N6478" s="514"/>
    </row>
    <row r="6479" spans="11:14" x14ac:dyDescent="0.25">
      <c r="K6479" s="312"/>
      <c r="N6479" s="514"/>
    </row>
    <row r="6480" spans="11:14" x14ac:dyDescent="0.25">
      <c r="K6480" s="312"/>
      <c r="N6480" s="514"/>
    </row>
    <row r="6481" spans="11:14" x14ac:dyDescent="0.25">
      <c r="K6481" s="312"/>
      <c r="N6481" s="514"/>
    </row>
    <row r="6482" spans="11:14" x14ac:dyDescent="0.25">
      <c r="K6482" s="312"/>
      <c r="N6482" s="514"/>
    </row>
    <row r="6483" spans="11:14" x14ac:dyDescent="0.25">
      <c r="K6483" s="312"/>
      <c r="N6483" s="514"/>
    </row>
    <row r="6484" spans="11:14" x14ac:dyDescent="0.25">
      <c r="K6484" s="312"/>
      <c r="N6484" s="514"/>
    </row>
    <row r="6485" spans="11:14" x14ac:dyDescent="0.25">
      <c r="K6485" s="312"/>
      <c r="N6485" s="514"/>
    </row>
    <row r="6486" spans="11:14" x14ac:dyDescent="0.25">
      <c r="K6486" s="312"/>
      <c r="N6486" s="514"/>
    </row>
    <row r="6487" spans="11:14" x14ac:dyDescent="0.25">
      <c r="K6487" s="312"/>
      <c r="N6487" s="514"/>
    </row>
    <row r="6488" spans="11:14" x14ac:dyDescent="0.25">
      <c r="K6488" s="312"/>
      <c r="N6488" s="514"/>
    </row>
    <row r="6489" spans="11:14" x14ac:dyDescent="0.25">
      <c r="K6489" s="312"/>
      <c r="N6489" s="514"/>
    </row>
    <row r="6490" spans="11:14" x14ac:dyDescent="0.25">
      <c r="K6490" s="312"/>
      <c r="N6490" s="514"/>
    </row>
    <row r="6491" spans="11:14" x14ac:dyDescent="0.25">
      <c r="K6491" s="312"/>
      <c r="N6491" s="514"/>
    </row>
    <row r="6492" spans="11:14" x14ac:dyDescent="0.25">
      <c r="K6492" s="312"/>
      <c r="N6492" s="514"/>
    </row>
    <row r="6493" spans="11:14" x14ac:dyDescent="0.25">
      <c r="K6493" s="312"/>
      <c r="N6493" s="514"/>
    </row>
    <row r="6494" spans="11:14" x14ac:dyDescent="0.25">
      <c r="K6494" s="312"/>
      <c r="N6494" s="514"/>
    </row>
    <row r="6495" spans="11:14" x14ac:dyDescent="0.25">
      <c r="K6495" s="312"/>
      <c r="N6495" s="514"/>
    </row>
    <row r="6496" spans="11:14" x14ac:dyDescent="0.25">
      <c r="K6496" s="312"/>
      <c r="N6496" s="514"/>
    </row>
    <row r="6497" spans="11:14" x14ac:dyDescent="0.25">
      <c r="K6497" s="312"/>
      <c r="N6497" s="514"/>
    </row>
    <row r="6498" spans="11:14" x14ac:dyDescent="0.25">
      <c r="K6498" s="312"/>
      <c r="N6498" s="514"/>
    </row>
    <row r="6499" spans="11:14" x14ac:dyDescent="0.25">
      <c r="K6499" s="312"/>
      <c r="N6499" s="514"/>
    </row>
    <row r="6500" spans="11:14" x14ac:dyDescent="0.25">
      <c r="K6500" s="312"/>
      <c r="N6500" s="514"/>
    </row>
    <row r="6501" spans="11:14" x14ac:dyDescent="0.25">
      <c r="K6501" s="312"/>
      <c r="N6501" s="514"/>
    </row>
    <row r="6502" spans="11:14" x14ac:dyDescent="0.25">
      <c r="K6502" s="312"/>
      <c r="N6502" s="514"/>
    </row>
    <row r="6503" spans="11:14" x14ac:dyDescent="0.25">
      <c r="K6503" s="312"/>
      <c r="N6503" s="514"/>
    </row>
    <row r="6504" spans="11:14" x14ac:dyDescent="0.25">
      <c r="K6504" s="312"/>
      <c r="N6504" s="514"/>
    </row>
    <row r="6505" spans="11:14" x14ac:dyDescent="0.25">
      <c r="K6505" s="312"/>
      <c r="N6505" s="514"/>
    </row>
    <row r="6506" spans="11:14" x14ac:dyDescent="0.25">
      <c r="K6506" s="312"/>
      <c r="N6506" s="514"/>
    </row>
    <row r="6507" spans="11:14" x14ac:dyDescent="0.25">
      <c r="K6507" s="312"/>
      <c r="N6507" s="514"/>
    </row>
    <row r="6508" spans="11:14" x14ac:dyDescent="0.25">
      <c r="K6508" s="312"/>
      <c r="N6508" s="514"/>
    </row>
    <row r="6509" spans="11:14" x14ac:dyDescent="0.25">
      <c r="K6509" s="312"/>
      <c r="N6509" s="514"/>
    </row>
    <row r="6510" spans="11:14" x14ac:dyDescent="0.25">
      <c r="K6510" s="312"/>
      <c r="N6510" s="514"/>
    </row>
    <row r="6511" spans="11:14" x14ac:dyDescent="0.25">
      <c r="K6511" s="312"/>
      <c r="N6511" s="514"/>
    </row>
    <row r="6512" spans="11:14" x14ac:dyDescent="0.25">
      <c r="K6512" s="312"/>
      <c r="N6512" s="514"/>
    </row>
    <row r="6513" spans="11:14" x14ac:dyDescent="0.25">
      <c r="K6513" s="312"/>
      <c r="N6513" s="514"/>
    </row>
    <row r="6514" spans="11:14" x14ac:dyDescent="0.25">
      <c r="K6514" s="312"/>
      <c r="N6514" s="514"/>
    </row>
    <row r="6515" spans="11:14" x14ac:dyDescent="0.25">
      <c r="K6515" s="312"/>
      <c r="N6515" s="514"/>
    </row>
    <row r="6516" spans="11:14" x14ac:dyDescent="0.25">
      <c r="K6516" s="312"/>
      <c r="N6516" s="514"/>
    </row>
    <row r="6517" spans="11:14" x14ac:dyDescent="0.25">
      <c r="K6517" s="312"/>
      <c r="N6517" s="514"/>
    </row>
    <row r="6518" spans="11:14" x14ac:dyDescent="0.25">
      <c r="K6518" s="312"/>
      <c r="N6518" s="514"/>
    </row>
    <row r="6519" spans="11:14" x14ac:dyDescent="0.25">
      <c r="K6519" s="312"/>
      <c r="N6519" s="514"/>
    </row>
    <row r="6520" spans="11:14" x14ac:dyDescent="0.25">
      <c r="K6520" s="312"/>
      <c r="N6520" s="514"/>
    </row>
    <row r="6521" spans="11:14" x14ac:dyDescent="0.25">
      <c r="K6521" s="312"/>
      <c r="N6521" s="514"/>
    </row>
    <row r="6522" spans="11:14" x14ac:dyDescent="0.25">
      <c r="K6522" s="312"/>
      <c r="N6522" s="514"/>
    </row>
    <row r="6523" spans="11:14" x14ac:dyDescent="0.25">
      <c r="K6523" s="312"/>
      <c r="N6523" s="514"/>
    </row>
    <row r="6524" spans="11:14" x14ac:dyDescent="0.25">
      <c r="K6524" s="312"/>
      <c r="N6524" s="514"/>
    </row>
    <row r="6525" spans="11:14" x14ac:dyDescent="0.25">
      <c r="K6525" s="312"/>
      <c r="N6525" s="514"/>
    </row>
    <row r="6526" spans="11:14" x14ac:dyDescent="0.25">
      <c r="K6526" s="312"/>
      <c r="N6526" s="514"/>
    </row>
    <row r="6527" spans="11:14" x14ac:dyDescent="0.25">
      <c r="K6527" s="312"/>
      <c r="N6527" s="514"/>
    </row>
    <row r="6528" spans="11:14" x14ac:dyDescent="0.25">
      <c r="K6528" s="312"/>
      <c r="N6528" s="514"/>
    </row>
    <row r="6529" spans="11:14" x14ac:dyDescent="0.25">
      <c r="K6529" s="312"/>
      <c r="N6529" s="514"/>
    </row>
    <row r="6530" spans="11:14" x14ac:dyDescent="0.25">
      <c r="K6530" s="312"/>
      <c r="N6530" s="514"/>
    </row>
    <row r="6531" spans="11:14" x14ac:dyDescent="0.25">
      <c r="K6531" s="312"/>
      <c r="N6531" s="514"/>
    </row>
    <row r="6532" spans="11:14" x14ac:dyDescent="0.25">
      <c r="K6532" s="312"/>
      <c r="N6532" s="514"/>
    </row>
    <row r="6533" spans="11:14" x14ac:dyDescent="0.25">
      <c r="K6533" s="312"/>
      <c r="N6533" s="514"/>
    </row>
    <row r="6534" spans="11:14" x14ac:dyDescent="0.25">
      <c r="K6534" s="312"/>
      <c r="N6534" s="514"/>
    </row>
    <row r="6535" spans="11:14" x14ac:dyDescent="0.25">
      <c r="K6535" s="312"/>
      <c r="N6535" s="514"/>
    </row>
    <row r="6536" spans="11:14" x14ac:dyDescent="0.25">
      <c r="K6536" s="312"/>
      <c r="N6536" s="514"/>
    </row>
    <row r="6537" spans="11:14" x14ac:dyDescent="0.25">
      <c r="K6537" s="312"/>
      <c r="N6537" s="514"/>
    </row>
    <row r="6538" spans="11:14" x14ac:dyDescent="0.25">
      <c r="K6538" s="312"/>
      <c r="N6538" s="514"/>
    </row>
    <row r="6539" spans="11:14" x14ac:dyDescent="0.25">
      <c r="K6539" s="312"/>
      <c r="N6539" s="514"/>
    </row>
    <row r="6540" spans="11:14" x14ac:dyDescent="0.25">
      <c r="K6540" s="312"/>
      <c r="N6540" s="514"/>
    </row>
    <row r="6541" spans="11:14" x14ac:dyDescent="0.25">
      <c r="K6541" s="312"/>
      <c r="N6541" s="514"/>
    </row>
    <row r="6542" spans="11:14" x14ac:dyDescent="0.25">
      <c r="K6542" s="312"/>
      <c r="N6542" s="514"/>
    </row>
    <row r="6543" spans="11:14" x14ac:dyDescent="0.25">
      <c r="K6543" s="312"/>
      <c r="N6543" s="514"/>
    </row>
    <row r="6544" spans="11:14" x14ac:dyDescent="0.25">
      <c r="K6544" s="312"/>
      <c r="N6544" s="514"/>
    </row>
    <row r="6545" spans="11:14" x14ac:dyDescent="0.25">
      <c r="K6545" s="312"/>
      <c r="N6545" s="514"/>
    </row>
    <row r="6546" spans="11:14" x14ac:dyDescent="0.25">
      <c r="K6546" s="312"/>
      <c r="N6546" s="514"/>
    </row>
    <row r="6547" spans="11:14" x14ac:dyDescent="0.25">
      <c r="K6547" s="312"/>
      <c r="N6547" s="514"/>
    </row>
    <row r="6548" spans="11:14" x14ac:dyDescent="0.25">
      <c r="K6548" s="312"/>
      <c r="N6548" s="514"/>
    </row>
    <row r="6549" spans="11:14" x14ac:dyDescent="0.25">
      <c r="K6549" s="312"/>
      <c r="N6549" s="514"/>
    </row>
    <row r="6550" spans="11:14" x14ac:dyDescent="0.25">
      <c r="K6550" s="312"/>
      <c r="N6550" s="514"/>
    </row>
    <row r="6551" spans="11:14" x14ac:dyDescent="0.25">
      <c r="K6551" s="312"/>
      <c r="N6551" s="514"/>
    </row>
    <row r="6552" spans="11:14" x14ac:dyDescent="0.25">
      <c r="K6552" s="312"/>
      <c r="N6552" s="514"/>
    </row>
    <row r="6553" spans="11:14" x14ac:dyDescent="0.25">
      <c r="K6553" s="312"/>
      <c r="N6553" s="514"/>
    </row>
    <row r="6554" spans="11:14" x14ac:dyDescent="0.25">
      <c r="K6554" s="312"/>
      <c r="N6554" s="514"/>
    </row>
    <row r="6555" spans="11:14" x14ac:dyDescent="0.25">
      <c r="K6555" s="312"/>
      <c r="N6555" s="514"/>
    </row>
    <row r="6556" spans="11:14" x14ac:dyDescent="0.25">
      <c r="K6556" s="312"/>
      <c r="N6556" s="514"/>
    </row>
    <row r="6557" spans="11:14" x14ac:dyDescent="0.25">
      <c r="K6557" s="312"/>
      <c r="N6557" s="514"/>
    </row>
    <row r="6558" spans="11:14" x14ac:dyDescent="0.25">
      <c r="K6558" s="312"/>
      <c r="N6558" s="514"/>
    </row>
    <row r="6559" spans="11:14" x14ac:dyDescent="0.25">
      <c r="K6559" s="312"/>
      <c r="N6559" s="514"/>
    </row>
    <row r="6560" spans="11:14" x14ac:dyDescent="0.25">
      <c r="K6560" s="312"/>
      <c r="N6560" s="514"/>
    </row>
    <row r="6561" spans="11:14" x14ac:dyDescent="0.25">
      <c r="K6561" s="312"/>
      <c r="N6561" s="514"/>
    </row>
    <row r="6562" spans="11:14" x14ac:dyDescent="0.25">
      <c r="K6562" s="312"/>
      <c r="N6562" s="514"/>
    </row>
    <row r="6563" spans="11:14" x14ac:dyDescent="0.25">
      <c r="K6563" s="312"/>
      <c r="N6563" s="514"/>
    </row>
    <row r="6564" spans="11:14" x14ac:dyDescent="0.25">
      <c r="K6564" s="312"/>
      <c r="N6564" s="514"/>
    </row>
    <row r="6565" spans="11:14" x14ac:dyDescent="0.25">
      <c r="K6565" s="312"/>
      <c r="N6565" s="514"/>
    </row>
    <row r="6566" spans="11:14" x14ac:dyDescent="0.25">
      <c r="K6566" s="312"/>
      <c r="N6566" s="514"/>
    </row>
    <row r="6567" spans="11:14" x14ac:dyDescent="0.25">
      <c r="K6567" s="312"/>
      <c r="N6567" s="514"/>
    </row>
    <row r="6568" spans="11:14" x14ac:dyDescent="0.25">
      <c r="K6568" s="312"/>
      <c r="N6568" s="514"/>
    </row>
    <row r="6569" spans="11:14" x14ac:dyDescent="0.25">
      <c r="K6569" s="312"/>
      <c r="N6569" s="514"/>
    </row>
    <row r="6570" spans="11:14" x14ac:dyDescent="0.25">
      <c r="K6570" s="312"/>
      <c r="N6570" s="514"/>
    </row>
    <row r="6571" spans="11:14" x14ac:dyDescent="0.25">
      <c r="K6571" s="312"/>
      <c r="N6571" s="514"/>
    </row>
    <row r="6572" spans="11:14" x14ac:dyDescent="0.25">
      <c r="K6572" s="312"/>
      <c r="N6572" s="514"/>
    </row>
    <row r="6573" spans="11:14" x14ac:dyDescent="0.25">
      <c r="K6573" s="312"/>
      <c r="N6573" s="514"/>
    </row>
    <row r="6574" spans="11:14" x14ac:dyDescent="0.25">
      <c r="K6574" s="312"/>
      <c r="N6574" s="514"/>
    </row>
    <row r="6575" spans="11:14" x14ac:dyDescent="0.25">
      <c r="K6575" s="312"/>
      <c r="N6575" s="514"/>
    </row>
    <row r="6576" spans="11:14" x14ac:dyDescent="0.25">
      <c r="K6576" s="312"/>
      <c r="N6576" s="514"/>
    </row>
    <row r="6577" spans="11:14" x14ac:dyDescent="0.25">
      <c r="K6577" s="312"/>
      <c r="N6577" s="514"/>
    </row>
    <row r="6578" spans="11:14" x14ac:dyDescent="0.25">
      <c r="K6578" s="312"/>
      <c r="N6578" s="514"/>
    </row>
    <row r="6579" spans="11:14" x14ac:dyDescent="0.25">
      <c r="K6579" s="312"/>
      <c r="N6579" s="514"/>
    </row>
    <row r="6580" spans="11:14" x14ac:dyDescent="0.25">
      <c r="K6580" s="312"/>
      <c r="N6580" s="514"/>
    </row>
    <row r="6581" spans="11:14" x14ac:dyDescent="0.25">
      <c r="K6581" s="312"/>
      <c r="N6581" s="514"/>
    </row>
    <row r="6582" spans="11:14" x14ac:dyDescent="0.25">
      <c r="K6582" s="312"/>
      <c r="N6582" s="514"/>
    </row>
    <row r="6583" spans="11:14" x14ac:dyDescent="0.25">
      <c r="K6583" s="312"/>
      <c r="N6583" s="514"/>
    </row>
    <row r="6584" spans="11:14" x14ac:dyDescent="0.25">
      <c r="K6584" s="312"/>
      <c r="N6584" s="514"/>
    </row>
    <row r="6585" spans="11:14" x14ac:dyDescent="0.25">
      <c r="K6585" s="312"/>
      <c r="N6585" s="514"/>
    </row>
    <row r="6586" spans="11:14" x14ac:dyDescent="0.25">
      <c r="K6586" s="312"/>
      <c r="N6586" s="514"/>
    </row>
    <row r="6587" spans="11:14" x14ac:dyDescent="0.25">
      <c r="K6587" s="312"/>
      <c r="N6587" s="514"/>
    </row>
    <row r="6588" spans="11:14" x14ac:dyDescent="0.25">
      <c r="K6588" s="312"/>
      <c r="N6588" s="514"/>
    </row>
    <row r="6589" spans="11:14" x14ac:dyDescent="0.25">
      <c r="K6589" s="312"/>
      <c r="N6589" s="514"/>
    </row>
    <row r="6590" spans="11:14" x14ac:dyDescent="0.25">
      <c r="K6590" s="312"/>
      <c r="N6590" s="514"/>
    </row>
    <row r="6591" spans="11:14" x14ac:dyDescent="0.25">
      <c r="K6591" s="312"/>
      <c r="N6591" s="514"/>
    </row>
    <row r="6592" spans="11:14" x14ac:dyDescent="0.25">
      <c r="K6592" s="312"/>
      <c r="N6592" s="514"/>
    </row>
    <row r="6593" spans="11:14" x14ac:dyDescent="0.25">
      <c r="K6593" s="312"/>
      <c r="N6593" s="514"/>
    </row>
    <row r="6594" spans="11:14" x14ac:dyDescent="0.25">
      <c r="K6594" s="312"/>
      <c r="N6594" s="514"/>
    </row>
    <row r="6595" spans="11:14" x14ac:dyDescent="0.25">
      <c r="K6595" s="312"/>
      <c r="N6595" s="514"/>
    </row>
    <row r="6596" spans="11:14" x14ac:dyDescent="0.25">
      <c r="K6596" s="312"/>
      <c r="N6596" s="514"/>
    </row>
    <row r="6597" spans="11:14" x14ac:dyDescent="0.25">
      <c r="K6597" s="312"/>
      <c r="N6597" s="514"/>
    </row>
    <row r="6598" spans="11:14" x14ac:dyDescent="0.25">
      <c r="K6598" s="312"/>
      <c r="N6598" s="514"/>
    </row>
    <row r="6599" spans="11:14" x14ac:dyDescent="0.25">
      <c r="K6599" s="312"/>
      <c r="N6599" s="514"/>
    </row>
    <row r="6600" spans="11:14" x14ac:dyDescent="0.25">
      <c r="K6600" s="312"/>
      <c r="N6600" s="514"/>
    </row>
    <row r="6601" spans="11:14" x14ac:dyDescent="0.25">
      <c r="K6601" s="312"/>
      <c r="N6601" s="514"/>
    </row>
    <row r="6602" spans="11:14" x14ac:dyDescent="0.25">
      <c r="K6602" s="312"/>
      <c r="N6602" s="514"/>
    </row>
    <row r="6603" spans="11:14" x14ac:dyDescent="0.25">
      <c r="K6603" s="312"/>
      <c r="N6603" s="514"/>
    </row>
    <row r="6604" spans="11:14" x14ac:dyDescent="0.25">
      <c r="K6604" s="312"/>
      <c r="N6604" s="514"/>
    </row>
    <row r="6605" spans="11:14" x14ac:dyDescent="0.25">
      <c r="K6605" s="312"/>
      <c r="N6605" s="514"/>
    </row>
    <row r="6606" spans="11:14" x14ac:dyDescent="0.25">
      <c r="K6606" s="312"/>
      <c r="N6606" s="514"/>
    </row>
    <row r="6607" spans="11:14" x14ac:dyDescent="0.25">
      <c r="K6607" s="312"/>
      <c r="N6607" s="514"/>
    </row>
    <row r="6608" spans="11:14" x14ac:dyDescent="0.25">
      <c r="K6608" s="312"/>
      <c r="N6608" s="514"/>
    </row>
    <row r="6609" spans="11:14" x14ac:dyDescent="0.25">
      <c r="K6609" s="312"/>
      <c r="N6609" s="514"/>
    </row>
    <row r="6610" spans="11:14" x14ac:dyDescent="0.25">
      <c r="K6610" s="312"/>
      <c r="N6610" s="514"/>
    </row>
    <row r="6611" spans="11:14" x14ac:dyDescent="0.25">
      <c r="K6611" s="312"/>
      <c r="N6611" s="514"/>
    </row>
    <row r="6612" spans="11:14" x14ac:dyDescent="0.25">
      <c r="K6612" s="312"/>
      <c r="N6612" s="514"/>
    </row>
    <row r="6613" spans="11:14" x14ac:dyDescent="0.25">
      <c r="K6613" s="312"/>
      <c r="N6613" s="514"/>
    </row>
    <row r="6614" spans="11:14" x14ac:dyDescent="0.25">
      <c r="K6614" s="312"/>
      <c r="N6614" s="514"/>
    </row>
    <row r="6615" spans="11:14" x14ac:dyDescent="0.25">
      <c r="K6615" s="312"/>
      <c r="N6615" s="514"/>
    </row>
    <row r="6616" spans="11:14" x14ac:dyDescent="0.25">
      <c r="K6616" s="312"/>
      <c r="N6616" s="514"/>
    </row>
    <row r="6617" spans="11:14" x14ac:dyDescent="0.25">
      <c r="K6617" s="312"/>
      <c r="N6617" s="514"/>
    </row>
    <row r="6618" spans="11:14" x14ac:dyDescent="0.25">
      <c r="K6618" s="312"/>
      <c r="N6618" s="514"/>
    </row>
    <row r="6619" spans="11:14" x14ac:dyDescent="0.25">
      <c r="K6619" s="312"/>
      <c r="N6619" s="514"/>
    </row>
    <row r="6620" spans="11:14" x14ac:dyDescent="0.25">
      <c r="K6620" s="312"/>
      <c r="N6620" s="514"/>
    </row>
    <row r="6621" spans="11:14" x14ac:dyDescent="0.25">
      <c r="K6621" s="312"/>
      <c r="N6621" s="514"/>
    </row>
    <row r="6622" spans="11:14" x14ac:dyDescent="0.25">
      <c r="K6622" s="312"/>
      <c r="N6622" s="514"/>
    </row>
    <row r="6623" spans="11:14" x14ac:dyDescent="0.25">
      <c r="K6623" s="312"/>
      <c r="N6623" s="514"/>
    </row>
    <row r="6624" spans="11:14" x14ac:dyDescent="0.25">
      <c r="K6624" s="312"/>
      <c r="N6624" s="514"/>
    </row>
    <row r="6625" spans="11:14" x14ac:dyDescent="0.25">
      <c r="K6625" s="312"/>
      <c r="N6625" s="514"/>
    </row>
    <row r="6626" spans="11:14" x14ac:dyDescent="0.25">
      <c r="K6626" s="312"/>
      <c r="N6626" s="514"/>
    </row>
    <row r="6627" spans="11:14" x14ac:dyDescent="0.25">
      <c r="K6627" s="312"/>
      <c r="N6627" s="514"/>
    </row>
    <row r="6628" spans="11:14" x14ac:dyDescent="0.25">
      <c r="K6628" s="312"/>
      <c r="N6628" s="514"/>
    </row>
    <row r="6629" spans="11:14" x14ac:dyDescent="0.25">
      <c r="K6629" s="312"/>
      <c r="N6629" s="514"/>
    </row>
    <row r="6630" spans="11:14" x14ac:dyDescent="0.25">
      <c r="K6630" s="312"/>
      <c r="N6630" s="514"/>
    </row>
    <row r="6631" spans="11:14" x14ac:dyDescent="0.25">
      <c r="K6631" s="312"/>
      <c r="N6631" s="514"/>
    </row>
    <row r="6632" spans="11:14" x14ac:dyDescent="0.25">
      <c r="K6632" s="312"/>
      <c r="N6632" s="514"/>
    </row>
    <row r="6633" spans="11:14" x14ac:dyDescent="0.25">
      <c r="K6633" s="312"/>
      <c r="N6633" s="514"/>
    </row>
    <row r="6634" spans="11:14" x14ac:dyDescent="0.25">
      <c r="K6634" s="312"/>
      <c r="N6634" s="514"/>
    </row>
    <row r="6635" spans="11:14" x14ac:dyDescent="0.25">
      <c r="K6635" s="312"/>
      <c r="N6635" s="514"/>
    </row>
    <row r="6636" spans="11:14" x14ac:dyDescent="0.25">
      <c r="K6636" s="312"/>
      <c r="N6636" s="514"/>
    </row>
    <row r="6637" spans="11:14" x14ac:dyDescent="0.25">
      <c r="K6637" s="312"/>
      <c r="N6637" s="514"/>
    </row>
    <row r="6638" spans="11:14" x14ac:dyDescent="0.25">
      <c r="K6638" s="312"/>
      <c r="N6638" s="514"/>
    </row>
    <row r="6639" spans="11:14" x14ac:dyDescent="0.25">
      <c r="K6639" s="312"/>
      <c r="N6639" s="514"/>
    </row>
    <row r="6640" spans="11:14" x14ac:dyDescent="0.25">
      <c r="K6640" s="312"/>
      <c r="N6640" s="514"/>
    </row>
    <row r="6641" spans="11:14" x14ac:dyDescent="0.25">
      <c r="K6641" s="312"/>
      <c r="N6641" s="514"/>
    </row>
    <row r="6642" spans="11:14" x14ac:dyDescent="0.25">
      <c r="K6642" s="312"/>
      <c r="N6642" s="514"/>
    </row>
    <row r="6643" spans="11:14" x14ac:dyDescent="0.25">
      <c r="K6643" s="312"/>
      <c r="N6643" s="514"/>
    </row>
    <row r="6644" spans="11:14" x14ac:dyDescent="0.25">
      <c r="K6644" s="312"/>
      <c r="N6644" s="514"/>
    </row>
    <row r="6645" spans="11:14" x14ac:dyDescent="0.25">
      <c r="K6645" s="312"/>
      <c r="N6645" s="514"/>
    </row>
    <row r="6646" spans="11:14" x14ac:dyDescent="0.25">
      <c r="K6646" s="312"/>
      <c r="N6646" s="514"/>
    </row>
    <row r="6647" spans="11:14" x14ac:dyDescent="0.25">
      <c r="K6647" s="312"/>
      <c r="N6647" s="514"/>
    </row>
    <row r="6648" spans="11:14" x14ac:dyDescent="0.25">
      <c r="K6648" s="312"/>
      <c r="N6648" s="514"/>
    </row>
    <row r="6649" spans="11:14" x14ac:dyDescent="0.25">
      <c r="K6649" s="312"/>
      <c r="N6649" s="514"/>
    </row>
    <row r="6650" spans="11:14" x14ac:dyDescent="0.25">
      <c r="K6650" s="312"/>
      <c r="N6650" s="514"/>
    </row>
    <row r="6651" spans="11:14" x14ac:dyDescent="0.25">
      <c r="K6651" s="312"/>
      <c r="N6651" s="514"/>
    </row>
    <row r="6652" spans="11:14" x14ac:dyDescent="0.25">
      <c r="K6652" s="312"/>
      <c r="N6652" s="514"/>
    </row>
    <row r="6653" spans="11:14" x14ac:dyDescent="0.25">
      <c r="K6653" s="312"/>
      <c r="N6653" s="514"/>
    </row>
    <row r="6654" spans="11:14" x14ac:dyDescent="0.25">
      <c r="K6654" s="312"/>
      <c r="N6654" s="514"/>
    </row>
    <row r="6655" spans="11:14" x14ac:dyDescent="0.25">
      <c r="K6655" s="312"/>
      <c r="N6655" s="514"/>
    </row>
    <row r="6656" spans="11:14" x14ac:dyDescent="0.25">
      <c r="K6656" s="312"/>
      <c r="N6656" s="514"/>
    </row>
    <row r="6657" spans="11:14" x14ac:dyDescent="0.25">
      <c r="K6657" s="312"/>
      <c r="N6657" s="514"/>
    </row>
    <row r="6658" spans="11:14" x14ac:dyDescent="0.25">
      <c r="K6658" s="312"/>
      <c r="N6658" s="514"/>
    </row>
    <row r="6659" spans="11:14" x14ac:dyDescent="0.25">
      <c r="K6659" s="312"/>
      <c r="N6659" s="514"/>
    </row>
    <row r="6660" spans="11:14" x14ac:dyDescent="0.25">
      <c r="K6660" s="312"/>
      <c r="N6660" s="514"/>
    </row>
    <row r="6661" spans="11:14" x14ac:dyDescent="0.25">
      <c r="K6661" s="312"/>
      <c r="N6661" s="514"/>
    </row>
    <row r="6662" spans="11:14" x14ac:dyDescent="0.25">
      <c r="K6662" s="312"/>
      <c r="N6662" s="514"/>
    </row>
    <row r="6663" spans="11:14" x14ac:dyDescent="0.25">
      <c r="K6663" s="312"/>
      <c r="N6663" s="514"/>
    </row>
    <row r="6664" spans="11:14" x14ac:dyDescent="0.25">
      <c r="K6664" s="312"/>
      <c r="N6664" s="514"/>
    </row>
    <row r="6665" spans="11:14" x14ac:dyDescent="0.25">
      <c r="K6665" s="312"/>
      <c r="N6665" s="514"/>
    </row>
    <row r="6666" spans="11:14" x14ac:dyDescent="0.25">
      <c r="K6666" s="312"/>
      <c r="N6666" s="514"/>
    </row>
    <row r="6667" spans="11:14" x14ac:dyDescent="0.25">
      <c r="K6667" s="312"/>
      <c r="N6667" s="514"/>
    </row>
    <row r="6668" spans="11:14" x14ac:dyDescent="0.25">
      <c r="K6668" s="312"/>
      <c r="N6668" s="514"/>
    </row>
    <row r="6669" spans="11:14" x14ac:dyDescent="0.25">
      <c r="K6669" s="312"/>
      <c r="N6669" s="514"/>
    </row>
    <row r="6670" spans="11:14" x14ac:dyDescent="0.25">
      <c r="K6670" s="312"/>
      <c r="N6670" s="514"/>
    </row>
    <row r="6671" spans="11:14" x14ac:dyDescent="0.25">
      <c r="K6671" s="312"/>
      <c r="N6671" s="514"/>
    </row>
    <row r="6672" spans="11:14" x14ac:dyDescent="0.25">
      <c r="K6672" s="312"/>
      <c r="N6672" s="514"/>
    </row>
    <row r="6673" spans="11:14" x14ac:dyDescent="0.25">
      <c r="K6673" s="312"/>
      <c r="N6673" s="514"/>
    </row>
    <row r="6674" spans="11:14" x14ac:dyDescent="0.25">
      <c r="K6674" s="312"/>
      <c r="N6674" s="514"/>
    </row>
    <row r="6675" spans="11:14" x14ac:dyDescent="0.25">
      <c r="K6675" s="312"/>
      <c r="N6675" s="514"/>
    </row>
    <row r="6676" spans="11:14" x14ac:dyDescent="0.25">
      <c r="K6676" s="312"/>
      <c r="N6676" s="514"/>
    </row>
    <row r="6677" spans="11:14" x14ac:dyDescent="0.25">
      <c r="K6677" s="312"/>
      <c r="N6677" s="514"/>
    </row>
    <row r="6678" spans="11:14" x14ac:dyDescent="0.25">
      <c r="K6678" s="312"/>
      <c r="N6678" s="514"/>
    </row>
    <row r="6679" spans="11:14" x14ac:dyDescent="0.25">
      <c r="K6679" s="312"/>
      <c r="N6679" s="514"/>
    </row>
    <row r="6680" spans="11:14" x14ac:dyDescent="0.25">
      <c r="K6680" s="312"/>
      <c r="N6680" s="514"/>
    </row>
    <row r="6681" spans="11:14" x14ac:dyDescent="0.25">
      <c r="K6681" s="312"/>
      <c r="N6681" s="514"/>
    </row>
    <row r="6682" spans="11:14" x14ac:dyDescent="0.25">
      <c r="K6682" s="312"/>
      <c r="N6682" s="514"/>
    </row>
    <row r="6683" spans="11:14" x14ac:dyDescent="0.25">
      <c r="K6683" s="312"/>
      <c r="N6683" s="514"/>
    </row>
    <row r="6684" spans="11:14" x14ac:dyDescent="0.25">
      <c r="K6684" s="312"/>
      <c r="N6684" s="514"/>
    </row>
    <row r="6685" spans="11:14" x14ac:dyDescent="0.25">
      <c r="K6685" s="312"/>
      <c r="N6685" s="514"/>
    </row>
    <row r="6686" spans="11:14" x14ac:dyDescent="0.25">
      <c r="K6686" s="312"/>
      <c r="N6686" s="514"/>
    </row>
    <row r="6687" spans="11:14" x14ac:dyDescent="0.25">
      <c r="K6687" s="312"/>
      <c r="N6687" s="514"/>
    </row>
    <row r="6688" spans="11:14" x14ac:dyDescent="0.25">
      <c r="K6688" s="312"/>
      <c r="N6688" s="514"/>
    </row>
    <row r="6689" spans="11:14" x14ac:dyDescent="0.25">
      <c r="K6689" s="312"/>
      <c r="N6689" s="514"/>
    </row>
    <row r="6690" spans="11:14" x14ac:dyDescent="0.25">
      <c r="K6690" s="312"/>
      <c r="N6690" s="514"/>
    </row>
    <row r="6691" spans="11:14" x14ac:dyDescent="0.25">
      <c r="K6691" s="312"/>
      <c r="N6691" s="514"/>
    </row>
    <row r="6692" spans="11:14" x14ac:dyDescent="0.25">
      <c r="K6692" s="312"/>
      <c r="N6692" s="514"/>
    </row>
    <row r="6693" spans="11:14" x14ac:dyDescent="0.25">
      <c r="K6693" s="312"/>
      <c r="N6693" s="514"/>
    </row>
    <row r="6694" spans="11:14" x14ac:dyDescent="0.25">
      <c r="K6694" s="312"/>
      <c r="N6694" s="514"/>
    </row>
    <row r="6695" spans="11:14" x14ac:dyDescent="0.25">
      <c r="K6695" s="312"/>
      <c r="N6695" s="514"/>
    </row>
    <row r="6696" spans="11:14" x14ac:dyDescent="0.25">
      <c r="K6696" s="312"/>
      <c r="N6696" s="514"/>
    </row>
    <row r="6697" spans="11:14" x14ac:dyDescent="0.25">
      <c r="K6697" s="312"/>
      <c r="N6697" s="514"/>
    </row>
    <row r="6698" spans="11:14" x14ac:dyDescent="0.25">
      <c r="K6698" s="312"/>
      <c r="N6698" s="514"/>
    </row>
    <row r="6699" spans="11:14" x14ac:dyDescent="0.25">
      <c r="K6699" s="312"/>
      <c r="N6699" s="514"/>
    </row>
    <row r="6700" spans="11:14" x14ac:dyDescent="0.25">
      <c r="K6700" s="312"/>
      <c r="N6700" s="514"/>
    </row>
    <row r="6701" spans="11:14" x14ac:dyDescent="0.25">
      <c r="K6701" s="312"/>
      <c r="N6701" s="514"/>
    </row>
    <row r="6702" spans="11:14" x14ac:dyDescent="0.25">
      <c r="K6702" s="312"/>
      <c r="N6702" s="514"/>
    </row>
    <row r="6703" spans="11:14" x14ac:dyDescent="0.25">
      <c r="K6703" s="312"/>
      <c r="N6703" s="514"/>
    </row>
    <row r="6704" spans="11:14" x14ac:dyDescent="0.25">
      <c r="K6704" s="312"/>
      <c r="N6704" s="514"/>
    </row>
    <row r="6705" spans="11:14" x14ac:dyDescent="0.25">
      <c r="K6705" s="312"/>
      <c r="N6705" s="514"/>
    </row>
    <row r="6706" spans="11:14" x14ac:dyDescent="0.25">
      <c r="K6706" s="312"/>
      <c r="N6706" s="514"/>
    </row>
    <row r="6707" spans="11:14" x14ac:dyDescent="0.25">
      <c r="K6707" s="312"/>
      <c r="N6707" s="514"/>
    </row>
    <row r="6708" spans="11:14" x14ac:dyDescent="0.25">
      <c r="K6708" s="312"/>
      <c r="N6708" s="514"/>
    </row>
    <row r="6709" spans="11:14" x14ac:dyDescent="0.25">
      <c r="K6709" s="312"/>
      <c r="N6709" s="514"/>
    </row>
    <row r="6710" spans="11:14" x14ac:dyDescent="0.25">
      <c r="K6710" s="312"/>
      <c r="N6710" s="514"/>
    </row>
    <row r="6711" spans="11:14" x14ac:dyDescent="0.25">
      <c r="K6711" s="312"/>
      <c r="N6711" s="514"/>
    </row>
    <row r="6712" spans="11:14" x14ac:dyDescent="0.25">
      <c r="K6712" s="312"/>
      <c r="N6712" s="514"/>
    </row>
    <row r="6713" spans="11:14" x14ac:dyDescent="0.25">
      <c r="K6713" s="312"/>
      <c r="N6713" s="514"/>
    </row>
    <row r="6714" spans="11:14" x14ac:dyDescent="0.25">
      <c r="K6714" s="312"/>
      <c r="N6714" s="514"/>
    </row>
    <row r="6715" spans="11:14" x14ac:dyDescent="0.25">
      <c r="K6715" s="312"/>
      <c r="N6715" s="514"/>
    </row>
    <row r="6716" spans="11:14" x14ac:dyDescent="0.25">
      <c r="K6716" s="312"/>
      <c r="N6716" s="514"/>
    </row>
    <row r="6717" spans="11:14" x14ac:dyDescent="0.25">
      <c r="K6717" s="312"/>
      <c r="N6717" s="514"/>
    </row>
    <row r="6718" spans="11:14" x14ac:dyDescent="0.25">
      <c r="K6718" s="312"/>
      <c r="N6718" s="514"/>
    </row>
    <row r="6719" spans="11:14" x14ac:dyDescent="0.25">
      <c r="K6719" s="312"/>
      <c r="N6719" s="514"/>
    </row>
    <row r="6720" spans="11:14" x14ac:dyDescent="0.25">
      <c r="K6720" s="312"/>
      <c r="N6720" s="514"/>
    </row>
    <row r="6721" spans="11:14" x14ac:dyDescent="0.25">
      <c r="K6721" s="312"/>
      <c r="N6721" s="514"/>
    </row>
    <row r="6722" spans="11:14" x14ac:dyDescent="0.25">
      <c r="K6722" s="312"/>
      <c r="N6722" s="514"/>
    </row>
    <row r="6723" spans="11:14" x14ac:dyDescent="0.25">
      <c r="K6723" s="312"/>
      <c r="N6723" s="514"/>
    </row>
    <row r="6724" spans="11:14" x14ac:dyDescent="0.25">
      <c r="K6724" s="312"/>
      <c r="N6724" s="514"/>
    </row>
    <row r="6725" spans="11:14" x14ac:dyDescent="0.25">
      <c r="K6725" s="312"/>
      <c r="N6725" s="514"/>
    </row>
    <row r="6726" spans="11:14" x14ac:dyDescent="0.25">
      <c r="K6726" s="312"/>
      <c r="N6726" s="514"/>
    </row>
    <row r="6727" spans="11:14" x14ac:dyDescent="0.25">
      <c r="K6727" s="312"/>
      <c r="N6727" s="514"/>
    </row>
    <row r="6728" spans="11:14" x14ac:dyDescent="0.25">
      <c r="K6728" s="312"/>
      <c r="N6728" s="514"/>
    </row>
    <row r="6729" spans="11:14" x14ac:dyDescent="0.25">
      <c r="K6729" s="312"/>
      <c r="N6729" s="514"/>
    </row>
    <row r="6730" spans="11:14" x14ac:dyDescent="0.25">
      <c r="K6730" s="312"/>
      <c r="N6730" s="514"/>
    </row>
    <row r="6731" spans="11:14" x14ac:dyDescent="0.25">
      <c r="K6731" s="312"/>
      <c r="N6731" s="514"/>
    </row>
    <row r="6732" spans="11:14" x14ac:dyDescent="0.25">
      <c r="K6732" s="312"/>
      <c r="N6732" s="514"/>
    </row>
    <row r="6733" spans="11:14" x14ac:dyDescent="0.25">
      <c r="K6733" s="312"/>
      <c r="N6733" s="514"/>
    </row>
    <row r="6734" spans="11:14" x14ac:dyDescent="0.25">
      <c r="K6734" s="312"/>
      <c r="N6734" s="514"/>
    </row>
    <row r="6735" spans="11:14" x14ac:dyDescent="0.25">
      <c r="K6735" s="312"/>
      <c r="N6735" s="514"/>
    </row>
    <row r="6736" spans="11:14" x14ac:dyDescent="0.25">
      <c r="K6736" s="312"/>
      <c r="N6736" s="514"/>
    </row>
    <row r="6737" spans="11:14" x14ac:dyDescent="0.25">
      <c r="K6737" s="312"/>
      <c r="N6737" s="514"/>
    </row>
    <row r="6738" spans="11:14" x14ac:dyDescent="0.25">
      <c r="K6738" s="312"/>
      <c r="N6738" s="514"/>
    </row>
    <row r="6739" spans="11:14" x14ac:dyDescent="0.25">
      <c r="K6739" s="312"/>
      <c r="N6739" s="514"/>
    </row>
    <row r="6740" spans="11:14" x14ac:dyDescent="0.25">
      <c r="K6740" s="312"/>
      <c r="N6740" s="514"/>
    </row>
    <row r="6741" spans="11:14" x14ac:dyDescent="0.25">
      <c r="K6741" s="312"/>
      <c r="N6741" s="514"/>
    </row>
    <row r="6742" spans="11:14" x14ac:dyDescent="0.25">
      <c r="K6742" s="312"/>
      <c r="N6742" s="514"/>
    </row>
    <row r="6743" spans="11:14" x14ac:dyDescent="0.25">
      <c r="K6743" s="312"/>
      <c r="N6743" s="514"/>
    </row>
    <row r="6744" spans="11:14" x14ac:dyDescent="0.25">
      <c r="K6744" s="312"/>
      <c r="N6744" s="514"/>
    </row>
    <row r="6745" spans="11:14" x14ac:dyDescent="0.25">
      <c r="K6745" s="312"/>
      <c r="N6745" s="514"/>
    </row>
    <row r="6746" spans="11:14" x14ac:dyDescent="0.25">
      <c r="K6746" s="312"/>
      <c r="N6746" s="514"/>
    </row>
    <row r="6747" spans="11:14" x14ac:dyDescent="0.25">
      <c r="K6747" s="312"/>
      <c r="N6747" s="514"/>
    </row>
    <row r="6748" spans="11:14" x14ac:dyDescent="0.25">
      <c r="K6748" s="312"/>
      <c r="N6748" s="514"/>
    </row>
    <row r="6749" spans="11:14" x14ac:dyDescent="0.25">
      <c r="K6749" s="312"/>
      <c r="N6749" s="514"/>
    </row>
    <row r="6750" spans="11:14" x14ac:dyDescent="0.25">
      <c r="K6750" s="312"/>
      <c r="N6750" s="514"/>
    </row>
    <row r="6751" spans="11:14" x14ac:dyDescent="0.25">
      <c r="K6751" s="312"/>
      <c r="N6751" s="514"/>
    </row>
    <row r="6752" spans="11:14" x14ac:dyDescent="0.25">
      <c r="K6752" s="312"/>
      <c r="N6752" s="514"/>
    </row>
    <row r="6753" spans="11:14" x14ac:dyDescent="0.25">
      <c r="K6753" s="312"/>
      <c r="N6753" s="514"/>
    </row>
    <row r="6754" spans="11:14" x14ac:dyDescent="0.25">
      <c r="K6754" s="312"/>
      <c r="N6754" s="514"/>
    </row>
    <row r="6755" spans="11:14" x14ac:dyDescent="0.25">
      <c r="K6755" s="312"/>
      <c r="N6755" s="514"/>
    </row>
    <row r="6756" spans="11:14" x14ac:dyDescent="0.25">
      <c r="K6756" s="312"/>
      <c r="N6756" s="514"/>
    </row>
    <row r="6757" spans="11:14" x14ac:dyDescent="0.25">
      <c r="K6757" s="312"/>
      <c r="N6757" s="514"/>
    </row>
    <row r="6758" spans="11:14" x14ac:dyDescent="0.25">
      <c r="K6758" s="312"/>
      <c r="N6758" s="514"/>
    </row>
    <row r="6759" spans="11:14" x14ac:dyDescent="0.25">
      <c r="K6759" s="312"/>
      <c r="N6759" s="514"/>
    </row>
    <row r="6760" spans="11:14" x14ac:dyDescent="0.25">
      <c r="K6760" s="312"/>
      <c r="N6760" s="514"/>
    </row>
    <row r="6761" spans="11:14" x14ac:dyDescent="0.25">
      <c r="K6761" s="312"/>
      <c r="N6761" s="514"/>
    </row>
    <row r="6762" spans="11:14" x14ac:dyDescent="0.25">
      <c r="K6762" s="312"/>
      <c r="N6762" s="514"/>
    </row>
    <row r="6763" spans="11:14" x14ac:dyDescent="0.25">
      <c r="K6763" s="312"/>
      <c r="N6763" s="514"/>
    </row>
    <row r="6764" spans="11:14" x14ac:dyDescent="0.25">
      <c r="K6764" s="312"/>
      <c r="N6764" s="514"/>
    </row>
    <row r="6765" spans="11:14" x14ac:dyDescent="0.25">
      <c r="K6765" s="312"/>
      <c r="N6765" s="514"/>
    </row>
    <row r="6766" spans="11:14" x14ac:dyDescent="0.25">
      <c r="K6766" s="312"/>
      <c r="N6766" s="514"/>
    </row>
    <row r="6767" spans="11:14" x14ac:dyDescent="0.25">
      <c r="K6767" s="312"/>
      <c r="N6767" s="514"/>
    </row>
    <row r="6768" spans="11:14" x14ac:dyDescent="0.25">
      <c r="K6768" s="312"/>
      <c r="N6768" s="514"/>
    </row>
    <row r="6769" spans="11:14" x14ac:dyDescent="0.25">
      <c r="K6769" s="312"/>
      <c r="N6769" s="514"/>
    </row>
    <row r="6770" spans="11:14" x14ac:dyDescent="0.25">
      <c r="K6770" s="312"/>
      <c r="N6770" s="514"/>
    </row>
    <row r="6771" spans="11:14" x14ac:dyDescent="0.25">
      <c r="K6771" s="312"/>
      <c r="N6771" s="514"/>
    </row>
    <row r="6772" spans="11:14" x14ac:dyDescent="0.25">
      <c r="K6772" s="312"/>
      <c r="N6772" s="514"/>
    </row>
    <row r="6773" spans="11:14" x14ac:dyDescent="0.25">
      <c r="K6773" s="312"/>
      <c r="N6773" s="514"/>
    </row>
    <row r="6774" spans="11:14" x14ac:dyDescent="0.25">
      <c r="K6774" s="312"/>
      <c r="N6774" s="514"/>
    </row>
    <row r="6775" spans="11:14" x14ac:dyDescent="0.25">
      <c r="K6775" s="312"/>
      <c r="N6775" s="514"/>
    </row>
    <row r="6776" spans="11:14" x14ac:dyDescent="0.25">
      <c r="K6776" s="312"/>
      <c r="N6776" s="514"/>
    </row>
    <row r="6777" spans="11:14" x14ac:dyDescent="0.25">
      <c r="K6777" s="312"/>
      <c r="N6777" s="514"/>
    </row>
    <row r="6778" spans="11:14" x14ac:dyDescent="0.25">
      <c r="K6778" s="312"/>
      <c r="N6778" s="514"/>
    </row>
    <row r="6779" spans="11:14" x14ac:dyDescent="0.25">
      <c r="K6779" s="312"/>
      <c r="N6779" s="514"/>
    </row>
    <row r="6780" spans="11:14" x14ac:dyDescent="0.25">
      <c r="K6780" s="312"/>
      <c r="N6780" s="514"/>
    </row>
    <row r="6781" spans="11:14" x14ac:dyDescent="0.25">
      <c r="K6781" s="312"/>
      <c r="N6781" s="514"/>
    </row>
    <row r="6782" spans="11:14" x14ac:dyDescent="0.25">
      <c r="K6782" s="312"/>
      <c r="N6782" s="514"/>
    </row>
    <row r="6783" spans="11:14" x14ac:dyDescent="0.25">
      <c r="K6783" s="312"/>
      <c r="N6783" s="514"/>
    </row>
    <row r="6784" spans="11:14" x14ac:dyDescent="0.25">
      <c r="K6784" s="312"/>
      <c r="N6784" s="514"/>
    </row>
    <row r="6785" spans="11:14" x14ac:dyDescent="0.25">
      <c r="K6785" s="312"/>
      <c r="N6785" s="514"/>
    </row>
    <row r="6786" spans="11:14" x14ac:dyDescent="0.25">
      <c r="K6786" s="312"/>
      <c r="N6786" s="514"/>
    </row>
    <row r="6787" spans="11:14" x14ac:dyDescent="0.25">
      <c r="K6787" s="312"/>
      <c r="N6787" s="514"/>
    </row>
    <row r="6788" spans="11:14" x14ac:dyDescent="0.25">
      <c r="K6788" s="312"/>
      <c r="N6788" s="514"/>
    </row>
    <row r="6789" spans="11:14" x14ac:dyDescent="0.25">
      <c r="K6789" s="312"/>
      <c r="N6789" s="514"/>
    </row>
    <row r="6790" spans="11:14" x14ac:dyDescent="0.25">
      <c r="K6790" s="312"/>
      <c r="N6790" s="514"/>
    </row>
    <row r="6791" spans="11:14" x14ac:dyDescent="0.25">
      <c r="K6791" s="312"/>
      <c r="N6791" s="514"/>
    </row>
    <row r="6792" spans="11:14" x14ac:dyDescent="0.25">
      <c r="K6792" s="312"/>
      <c r="N6792" s="514"/>
    </row>
    <row r="6793" spans="11:14" x14ac:dyDescent="0.25">
      <c r="K6793" s="312"/>
      <c r="N6793" s="514"/>
    </row>
    <row r="6794" spans="11:14" x14ac:dyDescent="0.25">
      <c r="K6794" s="312"/>
      <c r="N6794" s="514"/>
    </row>
    <row r="6795" spans="11:14" x14ac:dyDescent="0.25">
      <c r="K6795" s="312"/>
      <c r="N6795" s="514"/>
    </row>
    <row r="6796" spans="11:14" x14ac:dyDescent="0.25">
      <c r="K6796" s="312"/>
      <c r="N6796" s="514"/>
    </row>
    <row r="6797" spans="11:14" x14ac:dyDescent="0.25">
      <c r="K6797" s="312"/>
      <c r="N6797" s="514"/>
    </row>
    <row r="6798" spans="11:14" x14ac:dyDescent="0.25">
      <c r="K6798" s="312"/>
      <c r="N6798" s="514"/>
    </row>
    <row r="6799" spans="11:14" x14ac:dyDescent="0.25">
      <c r="K6799" s="312"/>
      <c r="N6799" s="514"/>
    </row>
    <row r="6800" spans="11:14" x14ac:dyDescent="0.25">
      <c r="K6800" s="312"/>
      <c r="N6800" s="514"/>
    </row>
    <row r="6801" spans="11:14" x14ac:dyDescent="0.25">
      <c r="K6801" s="312"/>
      <c r="N6801" s="514"/>
    </row>
    <row r="6802" spans="11:14" x14ac:dyDescent="0.25">
      <c r="K6802" s="312"/>
      <c r="N6802" s="514"/>
    </row>
    <row r="6803" spans="11:14" x14ac:dyDescent="0.25">
      <c r="K6803" s="312"/>
      <c r="N6803" s="514"/>
    </row>
    <row r="6804" spans="11:14" x14ac:dyDescent="0.25">
      <c r="K6804" s="312"/>
      <c r="N6804" s="514"/>
    </row>
    <row r="6805" spans="11:14" x14ac:dyDescent="0.25">
      <c r="K6805" s="312"/>
      <c r="N6805" s="514"/>
    </row>
    <row r="6806" spans="11:14" x14ac:dyDescent="0.25">
      <c r="K6806" s="312"/>
      <c r="N6806" s="514"/>
    </row>
    <row r="6807" spans="11:14" x14ac:dyDescent="0.25">
      <c r="K6807" s="312"/>
      <c r="N6807" s="514"/>
    </row>
    <row r="6808" spans="11:14" x14ac:dyDescent="0.25">
      <c r="K6808" s="312"/>
      <c r="N6808" s="514"/>
    </row>
    <row r="6809" spans="11:14" x14ac:dyDescent="0.25">
      <c r="K6809" s="312"/>
      <c r="N6809" s="514"/>
    </row>
    <row r="6810" spans="11:14" x14ac:dyDescent="0.25">
      <c r="K6810" s="312"/>
      <c r="N6810" s="514"/>
    </row>
    <row r="6811" spans="11:14" x14ac:dyDescent="0.25">
      <c r="K6811" s="312"/>
      <c r="N6811" s="514"/>
    </row>
    <row r="6812" spans="11:14" x14ac:dyDescent="0.25">
      <c r="K6812" s="312"/>
      <c r="N6812" s="514"/>
    </row>
    <row r="6813" spans="11:14" x14ac:dyDescent="0.25">
      <c r="K6813" s="312"/>
      <c r="N6813" s="514"/>
    </row>
    <row r="6814" spans="11:14" x14ac:dyDescent="0.25">
      <c r="K6814" s="312"/>
      <c r="N6814" s="514"/>
    </row>
    <row r="6815" spans="11:14" x14ac:dyDescent="0.25">
      <c r="K6815" s="312"/>
      <c r="N6815" s="514"/>
    </row>
    <row r="6816" spans="11:14" x14ac:dyDescent="0.25">
      <c r="K6816" s="312"/>
      <c r="N6816" s="514"/>
    </row>
    <row r="6817" spans="11:14" x14ac:dyDescent="0.25">
      <c r="K6817" s="312"/>
      <c r="N6817" s="514"/>
    </row>
    <row r="6818" spans="11:14" x14ac:dyDescent="0.25">
      <c r="K6818" s="312"/>
      <c r="N6818" s="514"/>
    </row>
    <row r="6819" spans="11:14" x14ac:dyDescent="0.25">
      <c r="K6819" s="312"/>
      <c r="N6819" s="514"/>
    </row>
    <row r="6820" spans="11:14" x14ac:dyDescent="0.25">
      <c r="K6820" s="312"/>
      <c r="N6820" s="514"/>
    </row>
    <row r="6821" spans="11:14" x14ac:dyDescent="0.25">
      <c r="K6821" s="312"/>
      <c r="N6821" s="514"/>
    </row>
    <row r="6822" spans="11:14" x14ac:dyDescent="0.25">
      <c r="K6822" s="312"/>
      <c r="N6822" s="514"/>
    </row>
    <row r="6823" spans="11:14" x14ac:dyDescent="0.25">
      <c r="K6823" s="312"/>
      <c r="N6823" s="514"/>
    </row>
    <row r="6824" spans="11:14" x14ac:dyDescent="0.25">
      <c r="K6824" s="312"/>
      <c r="N6824" s="514"/>
    </row>
    <row r="6825" spans="11:14" x14ac:dyDescent="0.25">
      <c r="K6825" s="312"/>
      <c r="N6825" s="514"/>
    </row>
    <row r="6826" spans="11:14" x14ac:dyDescent="0.25">
      <c r="K6826" s="312"/>
      <c r="N6826" s="514"/>
    </row>
    <row r="6827" spans="11:14" x14ac:dyDescent="0.25">
      <c r="K6827" s="312"/>
      <c r="N6827" s="514"/>
    </row>
    <row r="6828" spans="11:14" x14ac:dyDescent="0.25">
      <c r="K6828" s="312"/>
      <c r="N6828" s="514"/>
    </row>
    <row r="6829" spans="11:14" x14ac:dyDescent="0.25">
      <c r="K6829" s="312"/>
      <c r="N6829" s="514"/>
    </row>
    <row r="6830" spans="11:14" x14ac:dyDescent="0.25">
      <c r="K6830" s="312"/>
      <c r="N6830" s="514"/>
    </row>
    <row r="6831" spans="11:14" x14ac:dyDescent="0.25">
      <c r="K6831" s="312"/>
      <c r="N6831" s="514"/>
    </row>
    <row r="6832" spans="11:14" x14ac:dyDescent="0.25">
      <c r="K6832" s="312"/>
      <c r="N6832" s="514"/>
    </row>
    <row r="6833" spans="11:14" x14ac:dyDescent="0.25">
      <c r="K6833" s="312"/>
      <c r="N6833" s="514"/>
    </row>
    <row r="6834" spans="11:14" x14ac:dyDescent="0.25">
      <c r="K6834" s="312"/>
      <c r="N6834" s="514"/>
    </row>
    <row r="6835" spans="11:14" x14ac:dyDescent="0.25">
      <c r="K6835" s="312"/>
      <c r="N6835" s="514"/>
    </row>
    <row r="6836" spans="11:14" x14ac:dyDescent="0.25">
      <c r="K6836" s="312"/>
      <c r="N6836" s="514"/>
    </row>
    <row r="6837" spans="11:14" x14ac:dyDescent="0.25">
      <c r="K6837" s="312"/>
      <c r="N6837" s="514"/>
    </row>
    <row r="6838" spans="11:14" x14ac:dyDescent="0.25">
      <c r="K6838" s="312"/>
      <c r="N6838" s="514"/>
    </row>
    <row r="6839" spans="11:14" x14ac:dyDescent="0.25">
      <c r="K6839" s="312"/>
      <c r="N6839" s="514"/>
    </row>
    <row r="6840" spans="11:14" x14ac:dyDescent="0.25">
      <c r="K6840" s="312"/>
      <c r="N6840" s="514"/>
    </row>
    <row r="6841" spans="11:14" x14ac:dyDescent="0.25">
      <c r="K6841" s="312"/>
      <c r="N6841" s="514"/>
    </row>
    <row r="6842" spans="11:14" x14ac:dyDescent="0.25">
      <c r="K6842" s="312"/>
      <c r="N6842" s="514"/>
    </row>
    <row r="6843" spans="11:14" x14ac:dyDescent="0.25">
      <c r="K6843" s="312"/>
      <c r="N6843" s="514"/>
    </row>
    <row r="6844" spans="11:14" x14ac:dyDescent="0.25">
      <c r="K6844" s="312"/>
      <c r="N6844" s="514"/>
    </row>
    <row r="6845" spans="11:14" x14ac:dyDescent="0.25">
      <c r="K6845" s="312"/>
      <c r="N6845" s="514"/>
    </row>
    <row r="6846" spans="11:14" x14ac:dyDescent="0.25">
      <c r="K6846" s="312"/>
      <c r="N6846" s="514"/>
    </row>
    <row r="6847" spans="11:14" x14ac:dyDescent="0.25">
      <c r="K6847" s="312"/>
      <c r="N6847" s="514"/>
    </row>
    <row r="6848" spans="11:14" x14ac:dyDescent="0.25">
      <c r="K6848" s="312"/>
      <c r="N6848" s="514"/>
    </row>
    <row r="6849" spans="11:14" x14ac:dyDescent="0.25">
      <c r="K6849" s="312"/>
      <c r="N6849" s="514"/>
    </row>
    <row r="6850" spans="11:14" x14ac:dyDescent="0.25">
      <c r="K6850" s="312"/>
      <c r="N6850" s="514"/>
    </row>
    <row r="6851" spans="11:14" x14ac:dyDescent="0.25">
      <c r="K6851" s="312"/>
      <c r="N6851" s="514"/>
    </row>
    <row r="6852" spans="11:14" x14ac:dyDescent="0.25">
      <c r="K6852" s="312"/>
      <c r="N6852" s="514"/>
    </row>
    <row r="6853" spans="11:14" x14ac:dyDescent="0.25">
      <c r="K6853" s="312"/>
      <c r="N6853" s="514"/>
    </row>
    <row r="6854" spans="11:14" x14ac:dyDescent="0.25">
      <c r="K6854" s="312"/>
      <c r="N6854" s="514"/>
    </row>
    <row r="6855" spans="11:14" x14ac:dyDescent="0.25">
      <c r="K6855" s="312"/>
      <c r="N6855" s="514"/>
    </row>
    <row r="6856" spans="11:14" x14ac:dyDescent="0.25">
      <c r="K6856" s="312"/>
      <c r="N6856" s="514"/>
    </row>
    <row r="6857" spans="11:14" x14ac:dyDescent="0.25">
      <c r="K6857" s="312"/>
      <c r="N6857" s="514"/>
    </row>
    <row r="6858" spans="11:14" x14ac:dyDescent="0.25">
      <c r="K6858" s="312"/>
      <c r="N6858" s="514"/>
    </row>
    <row r="6859" spans="11:14" x14ac:dyDescent="0.25">
      <c r="K6859" s="312"/>
      <c r="N6859" s="514"/>
    </row>
    <row r="6860" spans="11:14" x14ac:dyDescent="0.25">
      <c r="K6860" s="312"/>
      <c r="N6860" s="514"/>
    </row>
    <row r="6861" spans="11:14" x14ac:dyDescent="0.25">
      <c r="K6861" s="312"/>
      <c r="N6861" s="514"/>
    </row>
    <row r="6862" spans="11:14" x14ac:dyDescent="0.25">
      <c r="K6862" s="312"/>
      <c r="N6862" s="514"/>
    </row>
    <row r="6863" spans="11:14" x14ac:dyDescent="0.25">
      <c r="K6863" s="312"/>
      <c r="N6863" s="514"/>
    </row>
    <row r="6864" spans="11:14" x14ac:dyDescent="0.25">
      <c r="K6864" s="312"/>
      <c r="N6864" s="514"/>
    </row>
    <row r="6865" spans="11:14" x14ac:dyDescent="0.25">
      <c r="K6865" s="312"/>
      <c r="N6865" s="514"/>
    </row>
    <row r="6866" spans="11:14" x14ac:dyDescent="0.25">
      <c r="K6866" s="312"/>
      <c r="N6866" s="514"/>
    </row>
    <row r="6867" spans="11:14" x14ac:dyDescent="0.25">
      <c r="K6867" s="312"/>
      <c r="N6867" s="514"/>
    </row>
    <row r="6868" spans="11:14" x14ac:dyDescent="0.25">
      <c r="K6868" s="312"/>
      <c r="N6868" s="514"/>
    </row>
    <row r="6869" spans="11:14" x14ac:dyDescent="0.25">
      <c r="K6869" s="312"/>
      <c r="N6869" s="514"/>
    </row>
    <row r="6870" spans="11:14" x14ac:dyDescent="0.25">
      <c r="K6870" s="312"/>
      <c r="N6870" s="514"/>
    </row>
    <row r="6871" spans="11:14" x14ac:dyDescent="0.25">
      <c r="K6871" s="312"/>
      <c r="N6871" s="514"/>
    </row>
    <row r="6872" spans="11:14" x14ac:dyDescent="0.25">
      <c r="K6872" s="312"/>
      <c r="N6872" s="514"/>
    </row>
    <row r="6873" spans="11:14" x14ac:dyDescent="0.25">
      <c r="K6873" s="312"/>
      <c r="N6873" s="514"/>
    </row>
    <row r="6874" spans="11:14" x14ac:dyDescent="0.25">
      <c r="K6874" s="312"/>
      <c r="N6874" s="514"/>
    </row>
    <row r="6875" spans="11:14" x14ac:dyDescent="0.25">
      <c r="K6875" s="312"/>
      <c r="N6875" s="514"/>
    </row>
    <row r="6876" spans="11:14" x14ac:dyDescent="0.25">
      <c r="K6876" s="312"/>
      <c r="N6876" s="514"/>
    </row>
    <row r="6877" spans="11:14" x14ac:dyDescent="0.25">
      <c r="K6877" s="312"/>
      <c r="N6877" s="514"/>
    </row>
    <row r="6878" spans="11:14" x14ac:dyDescent="0.25">
      <c r="K6878" s="312"/>
      <c r="N6878" s="514"/>
    </row>
    <row r="6879" spans="11:14" x14ac:dyDescent="0.25">
      <c r="K6879" s="312"/>
      <c r="N6879" s="514"/>
    </row>
    <row r="6880" spans="11:14" x14ac:dyDescent="0.25">
      <c r="K6880" s="312"/>
      <c r="N6880" s="514"/>
    </row>
    <row r="6881" spans="11:14" x14ac:dyDescent="0.25">
      <c r="K6881" s="312"/>
      <c r="N6881" s="514"/>
    </row>
    <row r="6882" spans="11:14" x14ac:dyDescent="0.25">
      <c r="K6882" s="312"/>
      <c r="N6882" s="514"/>
    </row>
    <row r="6883" spans="11:14" x14ac:dyDescent="0.25">
      <c r="K6883" s="312"/>
      <c r="N6883" s="514"/>
    </row>
    <row r="6884" spans="11:14" x14ac:dyDescent="0.25">
      <c r="K6884" s="312"/>
      <c r="N6884" s="514"/>
    </row>
    <row r="6885" spans="11:14" x14ac:dyDescent="0.25">
      <c r="K6885" s="312"/>
      <c r="N6885" s="514"/>
    </row>
    <row r="6886" spans="11:14" x14ac:dyDescent="0.25">
      <c r="K6886" s="312"/>
      <c r="N6886" s="514"/>
    </row>
    <row r="6887" spans="11:14" x14ac:dyDescent="0.25">
      <c r="K6887" s="312"/>
      <c r="N6887" s="514"/>
    </row>
    <row r="6888" spans="11:14" x14ac:dyDescent="0.25">
      <c r="K6888" s="312"/>
      <c r="N6888" s="514"/>
    </row>
    <row r="6889" spans="11:14" x14ac:dyDescent="0.25">
      <c r="K6889" s="312"/>
      <c r="N6889" s="514"/>
    </row>
    <row r="6890" spans="11:14" x14ac:dyDescent="0.25">
      <c r="K6890" s="312"/>
      <c r="N6890" s="514"/>
    </row>
    <row r="6891" spans="11:14" x14ac:dyDescent="0.25">
      <c r="K6891" s="312"/>
      <c r="N6891" s="514"/>
    </row>
    <row r="6892" spans="11:14" x14ac:dyDescent="0.25">
      <c r="K6892" s="312"/>
      <c r="N6892" s="514"/>
    </row>
    <row r="6893" spans="11:14" x14ac:dyDescent="0.25">
      <c r="K6893" s="312"/>
      <c r="N6893" s="514"/>
    </row>
    <row r="6894" spans="11:14" x14ac:dyDescent="0.25">
      <c r="K6894" s="312"/>
      <c r="N6894" s="514"/>
    </row>
    <row r="6895" spans="11:14" x14ac:dyDescent="0.25">
      <c r="K6895" s="312"/>
      <c r="N6895" s="514"/>
    </row>
    <row r="6896" spans="11:14" x14ac:dyDescent="0.25">
      <c r="K6896" s="312"/>
      <c r="N6896" s="514"/>
    </row>
    <row r="6897" spans="11:14" x14ac:dyDescent="0.25">
      <c r="K6897" s="312"/>
      <c r="N6897" s="514"/>
    </row>
    <row r="6898" spans="11:14" x14ac:dyDescent="0.25">
      <c r="K6898" s="312"/>
      <c r="N6898" s="514"/>
    </row>
    <row r="6899" spans="11:14" x14ac:dyDescent="0.25">
      <c r="K6899" s="312"/>
      <c r="N6899" s="514"/>
    </row>
    <row r="6900" spans="11:14" x14ac:dyDescent="0.25">
      <c r="K6900" s="312"/>
      <c r="N6900" s="514"/>
    </row>
    <row r="6901" spans="11:14" x14ac:dyDescent="0.25">
      <c r="K6901" s="312"/>
      <c r="N6901" s="514"/>
    </row>
    <row r="6902" spans="11:14" x14ac:dyDescent="0.25">
      <c r="K6902" s="312"/>
      <c r="N6902" s="514"/>
    </row>
    <row r="6903" spans="11:14" x14ac:dyDescent="0.25">
      <c r="K6903" s="312"/>
      <c r="N6903" s="514"/>
    </row>
    <row r="6904" spans="11:14" x14ac:dyDescent="0.25">
      <c r="K6904" s="312"/>
      <c r="N6904" s="514"/>
    </row>
    <row r="6905" spans="11:14" x14ac:dyDescent="0.25">
      <c r="K6905" s="312"/>
      <c r="N6905" s="514"/>
    </row>
    <row r="6906" spans="11:14" x14ac:dyDescent="0.25">
      <c r="K6906" s="312"/>
      <c r="N6906" s="514"/>
    </row>
    <row r="6907" spans="11:14" x14ac:dyDescent="0.25">
      <c r="K6907" s="312"/>
      <c r="N6907" s="514"/>
    </row>
    <row r="6908" spans="11:14" x14ac:dyDescent="0.25">
      <c r="K6908" s="312"/>
      <c r="N6908" s="514"/>
    </row>
    <row r="6909" spans="11:14" x14ac:dyDescent="0.25">
      <c r="K6909" s="312"/>
      <c r="N6909" s="514"/>
    </row>
    <row r="6910" spans="11:14" x14ac:dyDescent="0.25">
      <c r="K6910" s="312"/>
      <c r="N6910" s="514"/>
    </row>
    <row r="6911" spans="11:14" x14ac:dyDescent="0.25">
      <c r="K6911" s="312"/>
      <c r="N6911" s="514"/>
    </row>
    <row r="6912" spans="11:14" x14ac:dyDescent="0.25">
      <c r="K6912" s="312"/>
      <c r="N6912" s="514"/>
    </row>
    <row r="6913" spans="11:14" x14ac:dyDescent="0.25">
      <c r="K6913" s="312"/>
      <c r="N6913" s="514"/>
    </row>
    <row r="6914" spans="11:14" x14ac:dyDescent="0.25">
      <c r="K6914" s="312"/>
      <c r="N6914" s="514"/>
    </row>
    <row r="6915" spans="11:14" x14ac:dyDescent="0.25">
      <c r="K6915" s="312"/>
      <c r="N6915" s="514"/>
    </row>
    <row r="6916" spans="11:14" x14ac:dyDescent="0.25">
      <c r="K6916" s="312"/>
      <c r="N6916" s="514"/>
    </row>
    <row r="6917" spans="11:14" x14ac:dyDescent="0.25">
      <c r="K6917" s="312"/>
      <c r="N6917" s="514"/>
    </row>
    <row r="6918" spans="11:14" x14ac:dyDescent="0.25">
      <c r="K6918" s="312"/>
      <c r="N6918" s="514"/>
    </row>
    <row r="6919" spans="11:14" x14ac:dyDescent="0.25">
      <c r="K6919" s="312"/>
      <c r="N6919" s="514"/>
    </row>
    <row r="6920" spans="11:14" x14ac:dyDescent="0.25">
      <c r="K6920" s="312"/>
      <c r="N6920" s="514"/>
    </row>
    <row r="6921" spans="11:14" x14ac:dyDescent="0.25">
      <c r="K6921" s="312"/>
      <c r="N6921" s="514"/>
    </row>
    <row r="6922" spans="11:14" x14ac:dyDescent="0.25">
      <c r="K6922" s="312"/>
      <c r="N6922" s="514"/>
    </row>
    <row r="6923" spans="11:14" x14ac:dyDescent="0.25">
      <c r="K6923" s="312"/>
      <c r="N6923" s="514"/>
    </row>
    <row r="6924" spans="11:14" x14ac:dyDescent="0.25">
      <c r="K6924" s="312"/>
      <c r="N6924" s="514"/>
    </row>
    <row r="6925" spans="11:14" x14ac:dyDescent="0.25">
      <c r="K6925" s="312"/>
      <c r="N6925" s="514"/>
    </row>
    <row r="6926" spans="11:14" x14ac:dyDescent="0.25">
      <c r="K6926" s="312"/>
      <c r="N6926" s="514"/>
    </row>
    <row r="6927" spans="11:14" x14ac:dyDescent="0.25">
      <c r="K6927" s="312"/>
      <c r="N6927" s="514"/>
    </row>
    <row r="6928" spans="11:14" x14ac:dyDescent="0.25">
      <c r="K6928" s="312"/>
      <c r="N6928" s="514"/>
    </row>
    <row r="6929" spans="11:14" x14ac:dyDescent="0.25">
      <c r="K6929" s="312"/>
      <c r="N6929" s="514"/>
    </row>
    <row r="6930" spans="11:14" x14ac:dyDescent="0.25">
      <c r="K6930" s="312"/>
      <c r="N6930" s="514"/>
    </row>
    <row r="6931" spans="11:14" x14ac:dyDescent="0.25">
      <c r="K6931" s="312"/>
      <c r="N6931" s="514"/>
    </row>
    <row r="6932" spans="11:14" x14ac:dyDescent="0.25">
      <c r="K6932" s="312"/>
      <c r="N6932" s="514"/>
    </row>
    <row r="6933" spans="11:14" x14ac:dyDescent="0.25">
      <c r="K6933" s="312"/>
      <c r="N6933" s="514"/>
    </row>
    <row r="6934" spans="11:14" x14ac:dyDescent="0.25">
      <c r="K6934" s="312"/>
      <c r="N6934" s="514"/>
    </row>
    <row r="6935" spans="11:14" x14ac:dyDescent="0.25">
      <c r="K6935" s="312"/>
      <c r="N6935" s="514"/>
    </row>
    <row r="6936" spans="11:14" x14ac:dyDescent="0.25">
      <c r="K6936" s="312"/>
      <c r="N6936" s="514"/>
    </row>
    <row r="6937" spans="11:14" x14ac:dyDescent="0.25">
      <c r="K6937" s="312"/>
      <c r="N6937" s="514"/>
    </row>
    <row r="6938" spans="11:14" x14ac:dyDescent="0.25">
      <c r="K6938" s="312"/>
      <c r="N6938" s="514"/>
    </row>
    <row r="6939" spans="11:14" x14ac:dyDescent="0.25">
      <c r="K6939" s="312"/>
      <c r="N6939" s="514"/>
    </row>
    <row r="6940" spans="11:14" x14ac:dyDescent="0.25">
      <c r="K6940" s="312"/>
      <c r="N6940" s="514"/>
    </row>
    <row r="6941" spans="11:14" x14ac:dyDescent="0.25">
      <c r="K6941" s="312"/>
      <c r="N6941" s="514"/>
    </row>
    <row r="6942" spans="11:14" x14ac:dyDescent="0.25">
      <c r="K6942" s="312"/>
      <c r="N6942" s="514"/>
    </row>
    <row r="6943" spans="11:14" x14ac:dyDescent="0.25">
      <c r="K6943" s="312"/>
      <c r="N6943" s="514"/>
    </row>
    <row r="6944" spans="11:14" x14ac:dyDescent="0.25">
      <c r="K6944" s="312"/>
      <c r="N6944" s="514"/>
    </row>
    <row r="6945" spans="11:14" x14ac:dyDescent="0.25">
      <c r="K6945" s="312"/>
      <c r="N6945" s="514"/>
    </row>
    <row r="6946" spans="11:14" x14ac:dyDescent="0.25">
      <c r="K6946" s="312"/>
      <c r="N6946" s="514"/>
    </row>
    <row r="6947" spans="11:14" x14ac:dyDescent="0.25">
      <c r="K6947" s="312"/>
      <c r="N6947" s="514"/>
    </row>
    <row r="6948" spans="11:14" x14ac:dyDescent="0.25">
      <c r="K6948" s="312"/>
      <c r="N6948" s="514"/>
    </row>
    <row r="6949" spans="11:14" x14ac:dyDescent="0.25">
      <c r="K6949" s="312"/>
      <c r="N6949" s="514"/>
    </row>
    <row r="6950" spans="11:14" x14ac:dyDescent="0.25">
      <c r="K6950" s="312"/>
      <c r="N6950" s="514"/>
    </row>
    <row r="6951" spans="11:14" x14ac:dyDescent="0.25">
      <c r="K6951" s="312"/>
      <c r="N6951" s="514"/>
    </row>
    <row r="6952" spans="11:14" x14ac:dyDescent="0.25">
      <c r="K6952" s="312"/>
      <c r="N6952" s="514"/>
    </row>
    <row r="6953" spans="11:14" x14ac:dyDescent="0.25">
      <c r="K6953" s="312"/>
      <c r="N6953" s="514"/>
    </row>
    <row r="6954" spans="11:14" x14ac:dyDescent="0.25">
      <c r="K6954" s="312"/>
      <c r="N6954" s="514"/>
    </row>
    <row r="6955" spans="11:14" x14ac:dyDescent="0.25">
      <c r="K6955" s="312"/>
      <c r="N6955" s="514"/>
    </row>
    <row r="6956" spans="11:14" x14ac:dyDescent="0.25">
      <c r="K6956" s="312"/>
      <c r="N6956" s="514"/>
    </row>
    <row r="6957" spans="11:14" x14ac:dyDescent="0.25">
      <c r="K6957" s="312"/>
      <c r="N6957" s="514"/>
    </row>
    <row r="6958" spans="11:14" x14ac:dyDescent="0.25">
      <c r="K6958" s="312"/>
      <c r="N6958" s="514"/>
    </row>
    <row r="6959" spans="11:14" x14ac:dyDescent="0.25">
      <c r="K6959" s="312"/>
      <c r="N6959" s="514"/>
    </row>
    <row r="6960" spans="11:14" x14ac:dyDescent="0.25">
      <c r="K6960" s="312"/>
      <c r="N6960" s="514"/>
    </row>
    <row r="6961" spans="11:14" x14ac:dyDescent="0.25">
      <c r="K6961" s="312"/>
      <c r="N6961" s="514"/>
    </row>
    <row r="6962" spans="11:14" x14ac:dyDescent="0.25">
      <c r="K6962" s="312"/>
      <c r="N6962" s="514"/>
    </row>
    <row r="6963" spans="11:14" x14ac:dyDescent="0.25">
      <c r="K6963" s="312"/>
      <c r="N6963" s="514"/>
    </row>
    <row r="6964" spans="11:14" x14ac:dyDescent="0.25">
      <c r="K6964" s="312"/>
      <c r="N6964" s="514"/>
    </row>
    <row r="6965" spans="11:14" x14ac:dyDescent="0.25">
      <c r="K6965" s="312"/>
      <c r="N6965" s="514"/>
    </row>
    <row r="6966" spans="11:14" x14ac:dyDescent="0.25">
      <c r="K6966" s="312"/>
      <c r="N6966" s="514"/>
    </row>
    <row r="6967" spans="11:14" x14ac:dyDescent="0.25">
      <c r="K6967" s="312"/>
      <c r="N6967" s="514"/>
    </row>
    <row r="6968" spans="11:14" x14ac:dyDescent="0.25">
      <c r="K6968" s="312"/>
      <c r="N6968" s="514"/>
    </row>
    <row r="6969" spans="11:14" x14ac:dyDescent="0.25">
      <c r="K6969" s="312"/>
      <c r="N6969" s="514"/>
    </row>
    <row r="6970" spans="11:14" x14ac:dyDescent="0.25">
      <c r="K6970" s="312"/>
      <c r="N6970" s="514"/>
    </row>
    <row r="6971" spans="11:14" x14ac:dyDescent="0.25">
      <c r="K6971" s="312"/>
      <c r="N6971" s="514"/>
    </row>
    <row r="6972" spans="11:14" x14ac:dyDescent="0.25">
      <c r="K6972" s="312"/>
      <c r="N6972" s="514"/>
    </row>
    <row r="6973" spans="11:14" x14ac:dyDescent="0.25">
      <c r="K6973" s="312"/>
      <c r="N6973" s="514"/>
    </row>
    <row r="6974" spans="11:14" x14ac:dyDescent="0.25">
      <c r="K6974" s="312"/>
      <c r="N6974" s="514"/>
    </row>
    <row r="6975" spans="11:14" x14ac:dyDescent="0.25">
      <c r="K6975" s="312"/>
      <c r="N6975" s="514"/>
    </row>
    <row r="6976" spans="11:14" x14ac:dyDescent="0.25">
      <c r="K6976" s="312"/>
      <c r="N6976" s="514"/>
    </row>
    <row r="6977" spans="11:14" x14ac:dyDescent="0.25">
      <c r="K6977" s="312"/>
      <c r="N6977" s="514"/>
    </row>
    <row r="6978" spans="11:14" x14ac:dyDescent="0.25">
      <c r="K6978" s="312"/>
      <c r="N6978" s="514"/>
    </row>
    <row r="6979" spans="11:14" x14ac:dyDescent="0.25">
      <c r="K6979" s="312"/>
      <c r="N6979" s="514"/>
    </row>
    <row r="6980" spans="11:14" x14ac:dyDescent="0.25">
      <c r="K6980" s="312"/>
      <c r="N6980" s="514"/>
    </row>
    <row r="6981" spans="11:14" x14ac:dyDescent="0.25">
      <c r="K6981" s="312"/>
      <c r="N6981" s="514"/>
    </row>
    <row r="6982" spans="11:14" x14ac:dyDescent="0.25">
      <c r="K6982" s="312"/>
      <c r="N6982" s="514"/>
    </row>
    <row r="6983" spans="11:14" x14ac:dyDescent="0.25">
      <c r="K6983" s="312"/>
      <c r="N6983" s="514"/>
    </row>
    <row r="6984" spans="11:14" x14ac:dyDescent="0.25">
      <c r="K6984" s="312"/>
      <c r="N6984" s="514"/>
    </row>
    <row r="6985" spans="11:14" x14ac:dyDescent="0.25">
      <c r="K6985" s="312"/>
      <c r="N6985" s="514"/>
    </row>
    <row r="6986" spans="11:14" x14ac:dyDescent="0.25">
      <c r="K6986" s="312"/>
      <c r="N6986" s="514"/>
    </row>
    <row r="6987" spans="11:14" x14ac:dyDescent="0.25">
      <c r="K6987" s="312"/>
      <c r="N6987" s="514"/>
    </row>
    <row r="6988" spans="11:14" x14ac:dyDescent="0.25">
      <c r="K6988" s="312"/>
      <c r="N6988" s="514"/>
    </row>
    <row r="6989" spans="11:14" x14ac:dyDescent="0.25">
      <c r="K6989" s="312"/>
      <c r="N6989" s="514"/>
    </row>
    <row r="6990" spans="11:14" x14ac:dyDescent="0.25">
      <c r="K6990" s="312"/>
      <c r="N6990" s="514"/>
    </row>
    <row r="6991" spans="11:14" x14ac:dyDescent="0.25">
      <c r="K6991" s="312"/>
      <c r="N6991" s="514"/>
    </row>
    <row r="6992" spans="11:14" x14ac:dyDescent="0.25">
      <c r="K6992" s="312"/>
      <c r="N6992" s="514"/>
    </row>
    <row r="6993" spans="11:14" x14ac:dyDescent="0.25">
      <c r="K6993" s="312"/>
      <c r="N6993" s="514"/>
    </row>
    <row r="6994" spans="11:14" x14ac:dyDescent="0.25">
      <c r="K6994" s="312"/>
      <c r="N6994" s="514"/>
    </row>
    <row r="6995" spans="11:14" x14ac:dyDescent="0.25">
      <c r="K6995" s="312"/>
      <c r="N6995" s="514"/>
    </row>
    <row r="6996" spans="11:14" x14ac:dyDescent="0.25">
      <c r="K6996" s="312"/>
      <c r="N6996" s="514"/>
    </row>
    <row r="6997" spans="11:14" x14ac:dyDescent="0.25">
      <c r="K6997" s="312"/>
      <c r="N6997" s="514"/>
    </row>
    <row r="6998" spans="11:14" x14ac:dyDescent="0.25">
      <c r="K6998" s="312"/>
      <c r="N6998" s="514"/>
    </row>
    <row r="6999" spans="11:14" x14ac:dyDescent="0.25">
      <c r="K6999" s="312"/>
      <c r="N6999" s="514"/>
    </row>
    <row r="7000" spans="11:14" x14ac:dyDescent="0.25">
      <c r="K7000" s="312"/>
      <c r="N7000" s="514"/>
    </row>
    <row r="7001" spans="11:14" x14ac:dyDescent="0.25">
      <c r="K7001" s="312"/>
      <c r="N7001" s="514"/>
    </row>
    <row r="7002" spans="11:14" x14ac:dyDescent="0.25">
      <c r="K7002" s="312"/>
      <c r="N7002" s="514"/>
    </row>
    <row r="7003" spans="11:14" x14ac:dyDescent="0.25">
      <c r="K7003" s="312"/>
      <c r="N7003" s="514"/>
    </row>
    <row r="7004" spans="11:14" x14ac:dyDescent="0.25">
      <c r="K7004" s="312"/>
      <c r="N7004" s="514"/>
    </row>
    <row r="7005" spans="11:14" x14ac:dyDescent="0.25">
      <c r="K7005" s="312"/>
      <c r="N7005" s="514"/>
    </row>
    <row r="7006" spans="11:14" x14ac:dyDescent="0.25">
      <c r="K7006" s="312"/>
      <c r="N7006" s="514"/>
    </row>
    <row r="7007" spans="11:14" x14ac:dyDescent="0.25">
      <c r="K7007" s="312"/>
      <c r="N7007" s="514"/>
    </row>
    <row r="7008" spans="11:14" x14ac:dyDescent="0.25">
      <c r="K7008" s="312"/>
      <c r="N7008" s="514"/>
    </row>
    <row r="7009" spans="11:14" x14ac:dyDescent="0.25">
      <c r="K7009" s="312"/>
      <c r="N7009" s="514"/>
    </row>
    <row r="7010" spans="11:14" x14ac:dyDescent="0.25">
      <c r="K7010" s="312"/>
      <c r="N7010" s="514"/>
    </row>
    <row r="7011" spans="11:14" x14ac:dyDescent="0.25">
      <c r="K7011" s="312"/>
      <c r="N7011" s="514"/>
    </row>
    <row r="7012" spans="11:14" x14ac:dyDescent="0.25">
      <c r="K7012" s="312"/>
      <c r="N7012" s="514"/>
    </row>
    <row r="7013" spans="11:14" x14ac:dyDescent="0.25">
      <c r="K7013" s="312"/>
      <c r="N7013" s="514"/>
    </row>
    <row r="7014" spans="11:14" x14ac:dyDescent="0.25">
      <c r="K7014" s="312"/>
      <c r="N7014" s="514"/>
    </row>
    <row r="7015" spans="11:14" x14ac:dyDescent="0.25">
      <c r="K7015" s="312"/>
      <c r="N7015" s="514"/>
    </row>
    <row r="7016" spans="11:14" x14ac:dyDescent="0.25">
      <c r="K7016" s="312"/>
      <c r="N7016" s="514"/>
    </row>
    <row r="7017" spans="11:14" x14ac:dyDescent="0.25">
      <c r="K7017" s="312"/>
      <c r="N7017" s="514"/>
    </row>
    <row r="7018" spans="11:14" x14ac:dyDescent="0.25">
      <c r="K7018" s="312"/>
      <c r="N7018" s="514"/>
    </row>
    <row r="7019" spans="11:14" x14ac:dyDescent="0.25">
      <c r="K7019" s="312"/>
      <c r="N7019" s="514"/>
    </row>
    <row r="7020" spans="11:14" x14ac:dyDescent="0.25">
      <c r="K7020" s="312"/>
      <c r="N7020" s="514"/>
    </row>
    <row r="7021" spans="11:14" x14ac:dyDescent="0.25">
      <c r="K7021" s="312"/>
      <c r="N7021" s="514"/>
    </row>
    <row r="7022" spans="11:14" x14ac:dyDescent="0.25">
      <c r="K7022" s="312"/>
      <c r="N7022" s="514"/>
    </row>
    <row r="7023" spans="11:14" x14ac:dyDescent="0.25">
      <c r="K7023" s="312"/>
      <c r="N7023" s="514"/>
    </row>
    <row r="7024" spans="11:14" x14ac:dyDescent="0.25">
      <c r="K7024" s="312"/>
      <c r="N7024" s="514"/>
    </row>
    <row r="7025" spans="11:14" x14ac:dyDescent="0.25">
      <c r="K7025" s="312"/>
      <c r="N7025" s="514"/>
    </row>
    <row r="7026" spans="11:14" x14ac:dyDescent="0.25">
      <c r="K7026" s="312"/>
      <c r="N7026" s="514"/>
    </row>
    <row r="7027" spans="11:14" x14ac:dyDescent="0.25">
      <c r="K7027" s="312"/>
      <c r="N7027" s="514"/>
    </row>
    <row r="7028" spans="11:14" x14ac:dyDescent="0.25">
      <c r="K7028" s="312"/>
      <c r="N7028" s="514"/>
    </row>
    <row r="7029" spans="11:14" x14ac:dyDescent="0.25">
      <c r="K7029" s="312"/>
      <c r="N7029" s="514"/>
    </row>
    <row r="7030" spans="11:14" x14ac:dyDescent="0.25">
      <c r="K7030" s="312"/>
      <c r="N7030" s="514"/>
    </row>
    <row r="7031" spans="11:14" x14ac:dyDescent="0.25">
      <c r="K7031" s="312"/>
      <c r="N7031" s="514"/>
    </row>
    <row r="7032" spans="11:14" x14ac:dyDescent="0.25">
      <c r="K7032" s="312"/>
      <c r="N7032" s="514"/>
    </row>
    <row r="7033" spans="11:14" x14ac:dyDescent="0.25">
      <c r="K7033" s="312"/>
      <c r="N7033" s="514"/>
    </row>
    <row r="7034" spans="11:14" x14ac:dyDescent="0.25">
      <c r="K7034" s="312"/>
      <c r="N7034" s="514"/>
    </row>
    <row r="7035" spans="11:14" x14ac:dyDescent="0.25">
      <c r="K7035" s="312"/>
      <c r="N7035" s="514"/>
    </row>
    <row r="7036" spans="11:14" x14ac:dyDescent="0.25">
      <c r="K7036" s="312"/>
      <c r="N7036" s="514"/>
    </row>
    <row r="7037" spans="11:14" x14ac:dyDescent="0.25">
      <c r="K7037" s="312"/>
      <c r="N7037" s="514"/>
    </row>
    <row r="7038" spans="11:14" x14ac:dyDescent="0.25">
      <c r="K7038" s="312"/>
      <c r="N7038" s="514"/>
    </row>
    <row r="7039" spans="11:14" x14ac:dyDescent="0.25">
      <c r="K7039" s="312"/>
      <c r="N7039" s="514"/>
    </row>
    <row r="7040" spans="11:14" x14ac:dyDescent="0.25">
      <c r="K7040" s="312"/>
      <c r="N7040" s="514"/>
    </row>
    <row r="7041" spans="11:14" x14ac:dyDescent="0.25">
      <c r="K7041" s="312"/>
      <c r="N7041" s="514"/>
    </row>
    <row r="7042" spans="11:14" x14ac:dyDescent="0.25">
      <c r="K7042" s="312"/>
      <c r="N7042" s="514"/>
    </row>
    <row r="7043" spans="11:14" x14ac:dyDescent="0.25">
      <c r="K7043" s="312"/>
      <c r="N7043" s="514"/>
    </row>
    <row r="7044" spans="11:14" x14ac:dyDescent="0.25">
      <c r="K7044" s="312"/>
      <c r="N7044" s="514"/>
    </row>
    <row r="7045" spans="11:14" x14ac:dyDescent="0.25">
      <c r="K7045" s="312"/>
      <c r="N7045" s="514"/>
    </row>
    <row r="7046" spans="11:14" x14ac:dyDescent="0.25">
      <c r="K7046" s="312"/>
      <c r="N7046" s="514"/>
    </row>
    <row r="7047" spans="11:14" x14ac:dyDescent="0.25">
      <c r="K7047" s="312"/>
      <c r="N7047" s="514"/>
    </row>
    <row r="7048" spans="11:14" x14ac:dyDescent="0.25">
      <c r="K7048" s="312"/>
      <c r="N7048" s="514"/>
    </row>
    <row r="7049" spans="11:14" x14ac:dyDescent="0.25">
      <c r="K7049" s="312"/>
      <c r="N7049" s="514"/>
    </row>
    <row r="7050" spans="11:14" x14ac:dyDescent="0.25">
      <c r="K7050" s="312"/>
      <c r="N7050" s="514"/>
    </row>
    <row r="7051" spans="11:14" x14ac:dyDescent="0.25">
      <c r="K7051" s="312"/>
      <c r="N7051" s="514"/>
    </row>
    <row r="7052" spans="11:14" x14ac:dyDescent="0.25">
      <c r="K7052" s="312"/>
      <c r="N7052" s="514"/>
    </row>
    <row r="7053" spans="11:14" x14ac:dyDescent="0.25">
      <c r="K7053" s="312"/>
      <c r="N7053" s="514"/>
    </row>
    <row r="7054" spans="11:14" x14ac:dyDescent="0.25">
      <c r="K7054" s="312"/>
      <c r="N7054" s="514"/>
    </row>
    <row r="7055" spans="11:14" x14ac:dyDescent="0.25">
      <c r="K7055" s="312"/>
      <c r="N7055" s="514"/>
    </row>
    <row r="7056" spans="11:14" x14ac:dyDescent="0.25">
      <c r="K7056" s="312"/>
      <c r="N7056" s="514"/>
    </row>
    <row r="7057" spans="11:14" x14ac:dyDescent="0.25">
      <c r="K7057" s="312"/>
      <c r="N7057" s="514"/>
    </row>
    <row r="7058" spans="11:14" x14ac:dyDescent="0.25">
      <c r="K7058" s="312"/>
      <c r="N7058" s="514"/>
    </row>
    <row r="7059" spans="11:14" x14ac:dyDescent="0.25">
      <c r="K7059" s="312"/>
      <c r="N7059" s="514"/>
    </row>
    <row r="7060" spans="11:14" x14ac:dyDescent="0.25">
      <c r="K7060" s="312"/>
      <c r="N7060" s="514"/>
    </row>
    <row r="7061" spans="11:14" x14ac:dyDescent="0.25">
      <c r="K7061" s="312"/>
      <c r="N7061" s="514"/>
    </row>
    <row r="7062" spans="11:14" x14ac:dyDescent="0.25">
      <c r="K7062" s="312"/>
      <c r="N7062" s="514"/>
    </row>
    <row r="7063" spans="11:14" x14ac:dyDescent="0.25">
      <c r="K7063" s="312"/>
      <c r="N7063" s="514"/>
    </row>
    <row r="7064" spans="11:14" x14ac:dyDescent="0.25">
      <c r="K7064" s="312"/>
      <c r="N7064" s="514"/>
    </row>
    <row r="7065" spans="11:14" x14ac:dyDescent="0.25">
      <c r="K7065" s="312"/>
      <c r="N7065" s="514"/>
    </row>
    <row r="7066" spans="11:14" x14ac:dyDescent="0.25">
      <c r="K7066" s="312"/>
      <c r="N7066" s="514"/>
    </row>
    <row r="7067" spans="11:14" x14ac:dyDescent="0.25">
      <c r="K7067" s="312"/>
      <c r="N7067" s="514"/>
    </row>
    <row r="7068" spans="11:14" x14ac:dyDescent="0.25">
      <c r="K7068" s="312"/>
      <c r="N7068" s="514"/>
    </row>
    <row r="7069" spans="11:14" x14ac:dyDescent="0.25">
      <c r="K7069" s="312"/>
      <c r="N7069" s="514"/>
    </row>
    <row r="7070" spans="11:14" x14ac:dyDescent="0.25">
      <c r="K7070" s="312"/>
      <c r="N7070" s="514"/>
    </row>
    <row r="7071" spans="11:14" x14ac:dyDescent="0.25">
      <c r="K7071" s="312"/>
      <c r="N7071" s="514"/>
    </row>
    <row r="7072" spans="11:14" x14ac:dyDescent="0.25">
      <c r="K7072" s="312"/>
      <c r="N7072" s="514"/>
    </row>
    <row r="7073" spans="11:14" x14ac:dyDescent="0.25">
      <c r="K7073" s="312"/>
      <c r="N7073" s="514"/>
    </row>
    <row r="7074" spans="11:14" x14ac:dyDescent="0.25">
      <c r="K7074" s="312"/>
      <c r="N7074" s="514"/>
    </row>
    <row r="7075" spans="11:14" x14ac:dyDescent="0.25">
      <c r="K7075" s="312"/>
      <c r="N7075" s="514"/>
    </row>
    <row r="7076" spans="11:14" x14ac:dyDescent="0.25">
      <c r="K7076" s="312"/>
      <c r="N7076" s="514"/>
    </row>
    <row r="7077" spans="11:14" x14ac:dyDescent="0.25">
      <c r="K7077" s="312"/>
      <c r="N7077" s="514"/>
    </row>
    <row r="7078" spans="11:14" x14ac:dyDescent="0.25">
      <c r="K7078" s="312"/>
      <c r="N7078" s="514"/>
    </row>
    <row r="7079" spans="11:14" x14ac:dyDescent="0.25">
      <c r="K7079" s="312"/>
      <c r="N7079" s="514"/>
    </row>
    <row r="7080" spans="11:14" x14ac:dyDescent="0.25">
      <c r="K7080" s="312"/>
      <c r="N7080" s="514"/>
    </row>
    <row r="7081" spans="11:14" x14ac:dyDescent="0.25">
      <c r="K7081" s="312"/>
      <c r="N7081" s="514"/>
    </row>
    <row r="7082" spans="11:14" x14ac:dyDescent="0.25">
      <c r="K7082" s="312"/>
      <c r="N7082" s="514"/>
    </row>
    <row r="7083" spans="11:14" x14ac:dyDescent="0.25">
      <c r="K7083" s="312"/>
      <c r="N7083" s="514"/>
    </row>
    <row r="7084" spans="11:14" x14ac:dyDescent="0.25">
      <c r="K7084" s="312"/>
      <c r="N7084" s="514"/>
    </row>
    <row r="7085" spans="11:14" x14ac:dyDescent="0.25">
      <c r="K7085" s="312"/>
      <c r="N7085" s="514"/>
    </row>
    <row r="7086" spans="11:14" x14ac:dyDescent="0.25">
      <c r="K7086" s="312"/>
      <c r="N7086" s="514"/>
    </row>
    <row r="7087" spans="11:14" x14ac:dyDescent="0.25">
      <c r="K7087" s="312"/>
      <c r="N7087" s="514"/>
    </row>
    <row r="7088" spans="11:14" x14ac:dyDescent="0.25">
      <c r="K7088" s="312"/>
      <c r="N7088" s="514"/>
    </row>
    <row r="7089" spans="11:14" x14ac:dyDescent="0.25">
      <c r="K7089" s="312"/>
      <c r="N7089" s="514"/>
    </row>
    <row r="7090" spans="11:14" x14ac:dyDescent="0.25">
      <c r="K7090" s="312"/>
      <c r="N7090" s="514"/>
    </row>
    <row r="7091" spans="11:14" x14ac:dyDescent="0.25">
      <c r="K7091" s="312"/>
      <c r="N7091" s="514"/>
    </row>
    <row r="7092" spans="11:14" x14ac:dyDescent="0.25">
      <c r="K7092" s="312"/>
      <c r="N7092" s="514"/>
    </row>
    <row r="7093" spans="11:14" x14ac:dyDescent="0.25">
      <c r="K7093" s="312"/>
      <c r="N7093" s="514"/>
    </row>
    <row r="7094" spans="11:14" x14ac:dyDescent="0.25">
      <c r="K7094" s="312"/>
      <c r="N7094" s="514"/>
    </row>
    <row r="7095" spans="11:14" x14ac:dyDescent="0.25">
      <c r="K7095" s="312"/>
      <c r="N7095" s="514"/>
    </row>
    <row r="7096" spans="11:14" x14ac:dyDescent="0.25">
      <c r="K7096" s="312"/>
      <c r="N7096" s="514"/>
    </row>
    <row r="7097" spans="11:14" x14ac:dyDescent="0.25">
      <c r="K7097" s="312"/>
      <c r="N7097" s="514"/>
    </row>
    <row r="7098" spans="11:14" x14ac:dyDescent="0.25">
      <c r="K7098" s="312"/>
      <c r="N7098" s="514"/>
    </row>
    <row r="7099" spans="11:14" x14ac:dyDescent="0.25">
      <c r="K7099" s="312"/>
      <c r="N7099" s="514"/>
    </row>
    <row r="7100" spans="11:14" x14ac:dyDescent="0.25">
      <c r="K7100" s="312"/>
      <c r="N7100" s="514"/>
    </row>
    <row r="7101" spans="11:14" x14ac:dyDescent="0.25">
      <c r="K7101" s="312"/>
      <c r="N7101" s="514"/>
    </row>
    <row r="7102" spans="11:14" x14ac:dyDescent="0.25">
      <c r="K7102" s="312"/>
      <c r="N7102" s="514"/>
    </row>
    <row r="7103" spans="11:14" x14ac:dyDescent="0.25">
      <c r="K7103" s="312"/>
      <c r="N7103" s="514"/>
    </row>
    <row r="7104" spans="11:14" x14ac:dyDescent="0.25">
      <c r="K7104" s="312"/>
      <c r="N7104" s="514"/>
    </row>
    <row r="7105" spans="11:14" x14ac:dyDescent="0.25">
      <c r="K7105" s="312"/>
      <c r="N7105" s="514"/>
    </row>
    <row r="7106" spans="11:14" x14ac:dyDescent="0.25">
      <c r="K7106" s="312"/>
      <c r="N7106" s="514"/>
    </row>
    <row r="7107" spans="11:14" x14ac:dyDescent="0.25">
      <c r="K7107" s="312"/>
      <c r="N7107" s="514"/>
    </row>
    <row r="7108" spans="11:14" x14ac:dyDescent="0.25">
      <c r="K7108" s="312"/>
      <c r="N7108" s="514"/>
    </row>
    <row r="7109" spans="11:14" x14ac:dyDescent="0.25">
      <c r="K7109" s="312"/>
      <c r="N7109" s="514"/>
    </row>
    <row r="7110" spans="11:14" x14ac:dyDescent="0.25">
      <c r="K7110" s="312"/>
      <c r="N7110" s="514"/>
    </row>
    <row r="7111" spans="11:14" x14ac:dyDescent="0.25">
      <c r="K7111" s="312"/>
      <c r="N7111" s="514"/>
    </row>
    <row r="7112" spans="11:14" x14ac:dyDescent="0.25">
      <c r="K7112" s="312"/>
      <c r="N7112" s="514"/>
    </row>
    <row r="7113" spans="11:14" x14ac:dyDescent="0.25">
      <c r="K7113" s="312"/>
      <c r="N7113" s="514"/>
    </row>
    <row r="7114" spans="11:14" x14ac:dyDescent="0.25">
      <c r="K7114" s="312"/>
      <c r="N7114" s="514"/>
    </row>
    <row r="7115" spans="11:14" x14ac:dyDescent="0.25">
      <c r="K7115" s="312"/>
      <c r="N7115" s="514"/>
    </row>
    <row r="7116" spans="11:14" x14ac:dyDescent="0.25">
      <c r="K7116" s="312"/>
      <c r="N7116" s="514"/>
    </row>
    <row r="7117" spans="11:14" x14ac:dyDescent="0.25">
      <c r="K7117" s="312"/>
      <c r="N7117" s="514"/>
    </row>
    <row r="7118" spans="11:14" x14ac:dyDescent="0.25">
      <c r="K7118" s="312"/>
      <c r="N7118" s="514"/>
    </row>
    <row r="7119" spans="11:14" x14ac:dyDescent="0.25">
      <c r="K7119" s="312"/>
      <c r="N7119" s="514"/>
    </row>
    <row r="7120" spans="11:14" x14ac:dyDescent="0.25">
      <c r="K7120" s="312"/>
      <c r="N7120" s="514"/>
    </row>
    <row r="7121" spans="11:14" x14ac:dyDescent="0.25">
      <c r="K7121" s="312"/>
      <c r="N7121" s="514"/>
    </row>
    <row r="7122" spans="11:14" x14ac:dyDescent="0.25">
      <c r="K7122" s="312"/>
      <c r="N7122" s="514"/>
    </row>
    <row r="7123" spans="11:14" x14ac:dyDescent="0.25">
      <c r="K7123" s="312"/>
      <c r="N7123" s="514"/>
    </row>
    <row r="7124" spans="11:14" x14ac:dyDescent="0.25">
      <c r="K7124" s="312"/>
      <c r="N7124" s="514"/>
    </row>
    <row r="7125" spans="11:14" x14ac:dyDescent="0.25">
      <c r="K7125" s="312"/>
      <c r="N7125" s="514"/>
    </row>
    <row r="7126" spans="11:14" x14ac:dyDescent="0.25">
      <c r="K7126" s="312"/>
      <c r="N7126" s="514"/>
    </row>
    <row r="7127" spans="11:14" x14ac:dyDescent="0.25">
      <c r="K7127" s="312"/>
      <c r="N7127" s="514"/>
    </row>
    <row r="7128" spans="11:14" x14ac:dyDescent="0.25">
      <c r="K7128" s="312"/>
      <c r="N7128" s="514"/>
    </row>
    <row r="7129" spans="11:14" x14ac:dyDescent="0.25">
      <c r="K7129" s="312"/>
      <c r="N7129" s="514"/>
    </row>
    <row r="7130" spans="11:14" x14ac:dyDescent="0.25">
      <c r="K7130" s="312"/>
      <c r="N7130" s="514"/>
    </row>
    <row r="7131" spans="11:14" x14ac:dyDescent="0.25">
      <c r="K7131" s="312"/>
      <c r="N7131" s="514"/>
    </row>
    <row r="7132" spans="11:14" x14ac:dyDescent="0.25">
      <c r="K7132" s="312"/>
      <c r="N7132" s="514"/>
    </row>
    <row r="7133" spans="11:14" x14ac:dyDescent="0.25">
      <c r="K7133" s="312"/>
      <c r="N7133" s="514"/>
    </row>
    <row r="7134" spans="11:14" x14ac:dyDescent="0.25">
      <c r="K7134" s="312"/>
      <c r="N7134" s="514"/>
    </row>
    <row r="7135" spans="11:14" x14ac:dyDescent="0.25">
      <c r="K7135" s="312"/>
      <c r="N7135" s="514"/>
    </row>
    <row r="7136" spans="11:14" x14ac:dyDescent="0.25">
      <c r="K7136" s="312"/>
      <c r="N7136" s="514"/>
    </row>
    <row r="7137" spans="11:14" x14ac:dyDescent="0.25">
      <c r="K7137" s="312"/>
      <c r="N7137" s="514"/>
    </row>
    <row r="7138" spans="11:14" x14ac:dyDescent="0.25">
      <c r="K7138" s="312"/>
      <c r="N7138" s="514"/>
    </row>
    <row r="7139" spans="11:14" x14ac:dyDescent="0.25">
      <c r="K7139" s="312"/>
      <c r="N7139" s="514"/>
    </row>
    <row r="7140" spans="11:14" x14ac:dyDescent="0.25">
      <c r="K7140" s="312"/>
      <c r="N7140" s="514"/>
    </row>
    <row r="7141" spans="11:14" x14ac:dyDescent="0.25">
      <c r="K7141" s="312"/>
      <c r="N7141" s="514"/>
    </row>
    <row r="7142" spans="11:14" x14ac:dyDescent="0.25">
      <c r="K7142" s="312"/>
      <c r="N7142" s="514"/>
    </row>
    <row r="7143" spans="11:14" x14ac:dyDescent="0.25">
      <c r="K7143" s="312"/>
      <c r="N7143" s="514"/>
    </row>
    <row r="7144" spans="11:14" x14ac:dyDescent="0.25">
      <c r="K7144" s="312"/>
      <c r="N7144" s="514"/>
    </row>
    <row r="7145" spans="11:14" x14ac:dyDescent="0.25">
      <c r="K7145" s="312"/>
      <c r="N7145" s="514"/>
    </row>
    <row r="7146" spans="11:14" x14ac:dyDescent="0.25">
      <c r="K7146" s="312"/>
      <c r="N7146" s="514"/>
    </row>
    <row r="7147" spans="11:14" x14ac:dyDescent="0.25">
      <c r="K7147" s="312"/>
      <c r="N7147" s="514"/>
    </row>
    <row r="7148" spans="11:14" x14ac:dyDescent="0.25">
      <c r="K7148" s="312"/>
      <c r="N7148" s="514"/>
    </row>
    <row r="7149" spans="11:14" x14ac:dyDescent="0.25">
      <c r="K7149" s="312"/>
      <c r="N7149" s="514"/>
    </row>
    <row r="7150" spans="11:14" x14ac:dyDescent="0.25">
      <c r="K7150" s="312"/>
      <c r="N7150" s="514"/>
    </row>
    <row r="7151" spans="11:14" x14ac:dyDescent="0.25">
      <c r="K7151" s="312"/>
      <c r="N7151" s="514"/>
    </row>
    <row r="7152" spans="11:14" x14ac:dyDescent="0.25">
      <c r="K7152" s="312"/>
      <c r="N7152" s="514"/>
    </row>
    <row r="7153" spans="11:14" x14ac:dyDescent="0.25">
      <c r="K7153" s="312"/>
      <c r="N7153" s="514"/>
    </row>
    <row r="7154" spans="11:14" x14ac:dyDescent="0.25">
      <c r="K7154" s="312"/>
      <c r="N7154" s="514"/>
    </row>
    <row r="7155" spans="11:14" x14ac:dyDescent="0.25">
      <c r="K7155" s="312"/>
      <c r="N7155" s="514"/>
    </row>
    <row r="7156" spans="11:14" x14ac:dyDescent="0.25">
      <c r="K7156" s="312"/>
      <c r="N7156" s="514"/>
    </row>
    <row r="7157" spans="11:14" x14ac:dyDescent="0.25">
      <c r="K7157" s="312"/>
      <c r="N7157" s="514"/>
    </row>
    <row r="7158" spans="11:14" x14ac:dyDescent="0.25">
      <c r="K7158" s="312"/>
      <c r="N7158" s="514"/>
    </row>
    <row r="7159" spans="11:14" x14ac:dyDescent="0.25">
      <c r="K7159" s="312"/>
      <c r="N7159" s="514"/>
    </row>
    <row r="7160" spans="11:14" x14ac:dyDescent="0.25">
      <c r="K7160" s="312"/>
      <c r="N7160" s="514"/>
    </row>
    <row r="7161" spans="11:14" x14ac:dyDescent="0.25">
      <c r="K7161" s="312"/>
      <c r="N7161" s="514"/>
    </row>
    <row r="7162" spans="11:14" x14ac:dyDescent="0.25">
      <c r="K7162" s="312"/>
      <c r="N7162" s="514"/>
    </row>
    <row r="7163" spans="11:14" x14ac:dyDescent="0.25">
      <c r="K7163" s="312"/>
      <c r="N7163" s="514"/>
    </row>
    <row r="7164" spans="11:14" x14ac:dyDescent="0.25">
      <c r="K7164" s="312"/>
      <c r="N7164" s="514"/>
    </row>
    <row r="7165" spans="11:14" x14ac:dyDescent="0.25">
      <c r="K7165" s="312"/>
      <c r="N7165" s="514"/>
    </row>
    <row r="7166" spans="11:14" x14ac:dyDescent="0.25">
      <c r="K7166" s="312"/>
      <c r="N7166" s="514"/>
    </row>
    <row r="7167" spans="11:14" x14ac:dyDescent="0.25">
      <c r="K7167" s="312"/>
      <c r="N7167" s="514"/>
    </row>
    <row r="7168" spans="11:14" x14ac:dyDescent="0.25">
      <c r="K7168" s="312"/>
      <c r="N7168" s="514"/>
    </row>
    <row r="7169" spans="11:14" x14ac:dyDescent="0.25">
      <c r="K7169" s="312"/>
      <c r="N7169" s="514"/>
    </row>
    <row r="7170" spans="11:14" x14ac:dyDescent="0.25">
      <c r="K7170" s="312"/>
      <c r="N7170" s="514"/>
    </row>
    <row r="7171" spans="11:14" x14ac:dyDescent="0.25">
      <c r="K7171" s="312"/>
      <c r="N7171" s="514"/>
    </row>
    <row r="7172" spans="11:14" x14ac:dyDescent="0.25">
      <c r="K7172" s="312"/>
      <c r="N7172" s="514"/>
    </row>
    <row r="7173" spans="11:14" x14ac:dyDescent="0.25">
      <c r="K7173" s="312"/>
      <c r="N7173" s="514"/>
    </row>
    <row r="7174" spans="11:14" x14ac:dyDescent="0.25">
      <c r="K7174" s="312"/>
      <c r="N7174" s="514"/>
    </row>
    <row r="7175" spans="11:14" x14ac:dyDescent="0.25">
      <c r="K7175" s="312"/>
      <c r="N7175" s="514"/>
    </row>
    <row r="7176" spans="11:14" x14ac:dyDescent="0.25">
      <c r="K7176" s="312"/>
      <c r="N7176" s="514"/>
    </row>
    <row r="7177" spans="11:14" x14ac:dyDescent="0.25">
      <c r="K7177" s="312"/>
      <c r="N7177" s="514"/>
    </row>
    <row r="7178" spans="11:14" x14ac:dyDescent="0.25">
      <c r="K7178" s="312"/>
      <c r="N7178" s="514"/>
    </row>
    <row r="7179" spans="11:14" x14ac:dyDescent="0.25">
      <c r="K7179" s="312"/>
      <c r="N7179" s="514"/>
    </row>
    <row r="7180" spans="11:14" x14ac:dyDescent="0.25">
      <c r="K7180" s="312"/>
      <c r="N7180" s="514"/>
    </row>
    <row r="7181" spans="11:14" x14ac:dyDescent="0.25">
      <c r="K7181" s="312"/>
      <c r="N7181" s="514"/>
    </row>
    <row r="7182" spans="11:14" x14ac:dyDescent="0.25">
      <c r="K7182" s="312"/>
      <c r="N7182" s="514"/>
    </row>
    <row r="7183" spans="11:14" x14ac:dyDescent="0.25">
      <c r="K7183" s="312"/>
      <c r="N7183" s="514"/>
    </row>
    <row r="7184" spans="11:14" x14ac:dyDescent="0.25">
      <c r="K7184" s="312"/>
      <c r="N7184" s="514"/>
    </row>
    <row r="7185" spans="11:14" x14ac:dyDescent="0.25">
      <c r="K7185" s="312"/>
      <c r="N7185" s="514"/>
    </row>
    <row r="7186" spans="11:14" x14ac:dyDescent="0.25">
      <c r="K7186" s="312"/>
      <c r="N7186" s="514"/>
    </row>
    <row r="7187" spans="11:14" x14ac:dyDescent="0.25">
      <c r="K7187" s="312"/>
      <c r="N7187" s="514"/>
    </row>
    <row r="7188" spans="11:14" x14ac:dyDescent="0.25">
      <c r="K7188" s="312"/>
      <c r="N7188" s="514"/>
    </row>
    <row r="7189" spans="11:14" x14ac:dyDescent="0.25">
      <c r="K7189" s="312"/>
      <c r="N7189" s="514"/>
    </row>
    <row r="7190" spans="11:14" x14ac:dyDescent="0.25">
      <c r="K7190" s="312"/>
      <c r="N7190" s="514"/>
    </row>
    <row r="7191" spans="11:14" x14ac:dyDescent="0.25">
      <c r="K7191" s="312"/>
      <c r="N7191" s="514"/>
    </row>
    <row r="7192" spans="11:14" x14ac:dyDescent="0.25">
      <c r="K7192" s="312"/>
      <c r="N7192" s="514"/>
    </row>
    <row r="7193" spans="11:14" x14ac:dyDescent="0.25">
      <c r="K7193" s="312"/>
      <c r="N7193" s="514"/>
    </row>
    <row r="7194" spans="11:14" x14ac:dyDescent="0.25">
      <c r="K7194" s="312"/>
      <c r="N7194" s="514"/>
    </row>
    <row r="7195" spans="11:14" x14ac:dyDescent="0.25">
      <c r="K7195" s="312"/>
      <c r="N7195" s="514"/>
    </row>
    <row r="7196" spans="11:14" x14ac:dyDescent="0.25">
      <c r="K7196" s="312"/>
      <c r="N7196" s="514"/>
    </row>
    <row r="7197" spans="11:14" x14ac:dyDescent="0.25">
      <c r="K7197" s="312"/>
      <c r="N7197" s="514"/>
    </row>
    <row r="7198" spans="11:14" x14ac:dyDescent="0.25">
      <c r="K7198" s="312"/>
      <c r="N7198" s="514"/>
    </row>
    <row r="7199" spans="11:14" x14ac:dyDescent="0.25">
      <c r="K7199" s="312"/>
      <c r="N7199" s="514"/>
    </row>
    <row r="7200" spans="11:14" x14ac:dyDescent="0.25">
      <c r="K7200" s="312"/>
      <c r="N7200" s="514"/>
    </row>
    <row r="7201" spans="11:14" x14ac:dyDescent="0.25">
      <c r="K7201" s="312"/>
      <c r="N7201" s="514"/>
    </row>
    <row r="7202" spans="11:14" x14ac:dyDescent="0.25">
      <c r="K7202" s="312"/>
      <c r="N7202" s="514"/>
    </row>
    <row r="7203" spans="11:14" x14ac:dyDescent="0.25">
      <c r="K7203" s="312"/>
      <c r="N7203" s="514"/>
    </row>
    <row r="7204" spans="11:14" x14ac:dyDescent="0.25">
      <c r="K7204" s="312"/>
      <c r="N7204" s="514"/>
    </row>
    <row r="7205" spans="11:14" x14ac:dyDescent="0.25">
      <c r="K7205" s="312"/>
      <c r="N7205" s="514"/>
    </row>
    <row r="7206" spans="11:14" x14ac:dyDescent="0.25">
      <c r="K7206" s="312"/>
      <c r="N7206" s="514"/>
    </row>
    <row r="7207" spans="11:14" x14ac:dyDescent="0.25">
      <c r="K7207" s="312"/>
      <c r="N7207" s="514"/>
    </row>
    <row r="7208" spans="11:14" x14ac:dyDescent="0.25">
      <c r="K7208" s="312"/>
      <c r="N7208" s="514"/>
    </row>
    <row r="7209" spans="11:14" x14ac:dyDescent="0.25">
      <c r="K7209" s="312"/>
      <c r="N7209" s="514"/>
    </row>
    <row r="7210" spans="11:14" x14ac:dyDescent="0.25">
      <c r="K7210" s="312"/>
      <c r="N7210" s="514"/>
    </row>
    <row r="7211" spans="11:14" x14ac:dyDescent="0.25">
      <c r="K7211" s="312"/>
      <c r="N7211" s="514"/>
    </row>
    <row r="7212" spans="11:14" x14ac:dyDescent="0.25">
      <c r="K7212" s="312"/>
      <c r="N7212" s="514"/>
    </row>
    <row r="7213" spans="11:14" x14ac:dyDescent="0.25">
      <c r="K7213" s="312"/>
      <c r="N7213" s="514"/>
    </row>
    <row r="7214" spans="11:14" x14ac:dyDescent="0.25">
      <c r="K7214" s="312"/>
      <c r="N7214" s="514"/>
    </row>
    <row r="7215" spans="11:14" x14ac:dyDescent="0.25">
      <c r="K7215" s="312"/>
      <c r="N7215" s="514"/>
    </row>
    <row r="7216" spans="11:14" x14ac:dyDescent="0.25">
      <c r="K7216" s="312"/>
      <c r="N7216" s="514"/>
    </row>
    <row r="7217" spans="11:14" x14ac:dyDescent="0.25">
      <c r="K7217" s="312"/>
      <c r="N7217" s="514"/>
    </row>
    <row r="7218" spans="11:14" x14ac:dyDescent="0.25">
      <c r="K7218" s="312"/>
      <c r="N7218" s="514"/>
    </row>
    <row r="7219" spans="11:14" x14ac:dyDescent="0.25">
      <c r="K7219" s="312"/>
      <c r="N7219" s="514"/>
    </row>
    <row r="7220" spans="11:14" x14ac:dyDescent="0.25">
      <c r="K7220" s="312"/>
      <c r="N7220" s="514"/>
    </row>
    <row r="7221" spans="11:14" x14ac:dyDescent="0.25">
      <c r="K7221" s="312"/>
      <c r="N7221" s="514"/>
    </row>
    <row r="7222" spans="11:14" x14ac:dyDescent="0.25">
      <c r="K7222" s="312"/>
      <c r="N7222" s="514"/>
    </row>
    <row r="7223" spans="11:14" x14ac:dyDescent="0.25">
      <c r="K7223" s="312"/>
      <c r="N7223" s="514"/>
    </row>
    <row r="7224" spans="11:14" x14ac:dyDescent="0.25">
      <c r="K7224" s="312"/>
      <c r="N7224" s="514"/>
    </row>
    <row r="7225" spans="11:14" x14ac:dyDescent="0.25">
      <c r="K7225" s="312"/>
      <c r="N7225" s="514"/>
    </row>
    <row r="7226" spans="11:14" x14ac:dyDescent="0.25">
      <c r="K7226" s="312"/>
      <c r="N7226" s="514"/>
    </row>
    <row r="7227" spans="11:14" x14ac:dyDescent="0.25">
      <c r="K7227" s="312"/>
      <c r="N7227" s="514"/>
    </row>
    <row r="7228" spans="11:14" x14ac:dyDescent="0.25">
      <c r="K7228" s="312"/>
      <c r="N7228" s="514"/>
    </row>
    <row r="7229" spans="11:14" x14ac:dyDescent="0.25">
      <c r="K7229" s="312"/>
      <c r="N7229" s="514"/>
    </row>
    <row r="7230" spans="11:14" x14ac:dyDescent="0.25">
      <c r="K7230" s="312"/>
      <c r="N7230" s="514"/>
    </row>
    <row r="7231" spans="11:14" x14ac:dyDescent="0.25">
      <c r="K7231" s="312"/>
      <c r="N7231" s="514"/>
    </row>
    <row r="7232" spans="11:14" x14ac:dyDescent="0.25">
      <c r="K7232" s="312"/>
      <c r="N7232" s="514"/>
    </row>
    <row r="7233" spans="11:14" x14ac:dyDescent="0.25">
      <c r="K7233" s="312"/>
      <c r="N7233" s="514"/>
    </row>
    <row r="7234" spans="11:14" x14ac:dyDescent="0.25">
      <c r="K7234" s="312"/>
      <c r="N7234" s="514"/>
    </row>
    <row r="7235" spans="11:14" x14ac:dyDescent="0.25">
      <c r="K7235" s="312"/>
      <c r="N7235" s="514"/>
    </row>
    <row r="7236" spans="11:14" x14ac:dyDescent="0.25">
      <c r="K7236" s="312"/>
      <c r="N7236" s="514"/>
    </row>
    <row r="7237" spans="11:14" x14ac:dyDescent="0.25">
      <c r="K7237" s="312"/>
      <c r="N7237" s="514"/>
    </row>
    <row r="7238" spans="11:14" x14ac:dyDescent="0.25">
      <c r="K7238" s="312"/>
      <c r="N7238" s="514"/>
    </row>
    <row r="7239" spans="11:14" x14ac:dyDescent="0.25">
      <c r="K7239" s="312"/>
      <c r="N7239" s="514"/>
    </row>
    <row r="7240" spans="11:14" x14ac:dyDescent="0.25">
      <c r="K7240" s="312"/>
      <c r="N7240" s="514"/>
    </row>
    <row r="7241" spans="11:14" x14ac:dyDescent="0.25">
      <c r="K7241" s="312"/>
      <c r="N7241" s="514"/>
    </row>
    <row r="7242" spans="11:14" x14ac:dyDescent="0.25">
      <c r="K7242" s="312"/>
      <c r="N7242" s="514"/>
    </row>
    <row r="7243" spans="11:14" x14ac:dyDescent="0.25">
      <c r="K7243" s="312"/>
      <c r="N7243" s="514"/>
    </row>
    <row r="7244" spans="11:14" x14ac:dyDescent="0.25">
      <c r="K7244" s="312"/>
      <c r="N7244" s="514"/>
    </row>
    <row r="7245" spans="11:14" x14ac:dyDescent="0.25">
      <c r="K7245" s="312"/>
      <c r="N7245" s="514"/>
    </row>
    <row r="7246" spans="11:14" x14ac:dyDescent="0.25">
      <c r="K7246" s="312"/>
      <c r="N7246" s="514"/>
    </row>
    <row r="7247" spans="11:14" x14ac:dyDescent="0.25">
      <c r="K7247" s="312"/>
      <c r="N7247" s="514"/>
    </row>
    <row r="7248" spans="11:14" x14ac:dyDescent="0.25">
      <c r="K7248" s="312"/>
      <c r="N7248" s="514"/>
    </row>
    <row r="7249" spans="11:14" x14ac:dyDescent="0.25">
      <c r="K7249" s="312"/>
      <c r="N7249" s="514"/>
    </row>
    <row r="7250" spans="11:14" x14ac:dyDescent="0.25">
      <c r="K7250" s="312"/>
      <c r="N7250" s="514"/>
    </row>
    <row r="7251" spans="11:14" x14ac:dyDescent="0.25">
      <c r="K7251" s="312"/>
      <c r="N7251" s="514"/>
    </row>
    <row r="7252" spans="11:14" x14ac:dyDescent="0.25">
      <c r="K7252" s="312"/>
      <c r="N7252" s="514"/>
    </row>
    <row r="7253" spans="11:14" x14ac:dyDescent="0.25">
      <c r="K7253" s="312"/>
      <c r="N7253" s="514"/>
    </row>
    <row r="7254" spans="11:14" x14ac:dyDescent="0.25">
      <c r="K7254" s="312"/>
      <c r="N7254" s="514"/>
    </row>
    <row r="7255" spans="11:14" x14ac:dyDescent="0.25">
      <c r="K7255" s="312"/>
      <c r="N7255" s="514"/>
    </row>
    <row r="7256" spans="11:14" x14ac:dyDescent="0.25">
      <c r="K7256" s="312"/>
      <c r="N7256" s="514"/>
    </row>
    <row r="7257" spans="11:14" x14ac:dyDescent="0.25">
      <c r="K7257" s="312"/>
      <c r="N7257" s="514"/>
    </row>
    <row r="7258" spans="11:14" x14ac:dyDescent="0.25">
      <c r="K7258" s="312"/>
      <c r="N7258" s="514"/>
    </row>
    <row r="7259" spans="11:14" x14ac:dyDescent="0.25">
      <c r="K7259" s="312"/>
      <c r="N7259" s="514"/>
    </row>
    <row r="7260" spans="11:14" x14ac:dyDescent="0.25">
      <c r="K7260" s="312"/>
      <c r="N7260" s="514"/>
    </row>
    <row r="7261" spans="11:14" x14ac:dyDescent="0.25">
      <c r="K7261" s="312"/>
      <c r="N7261" s="514"/>
    </row>
    <row r="7262" spans="11:14" x14ac:dyDescent="0.25">
      <c r="K7262" s="312"/>
      <c r="N7262" s="514"/>
    </row>
    <row r="7263" spans="11:14" x14ac:dyDescent="0.25">
      <c r="K7263" s="312"/>
      <c r="N7263" s="514"/>
    </row>
    <row r="7264" spans="11:14" x14ac:dyDescent="0.25">
      <c r="K7264" s="312"/>
      <c r="N7264" s="514"/>
    </row>
    <row r="7265" spans="11:14" x14ac:dyDescent="0.25">
      <c r="K7265" s="312"/>
      <c r="N7265" s="514"/>
    </row>
    <row r="7266" spans="11:14" x14ac:dyDescent="0.25">
      <c r="K7266" s="312"/>
      <c r="N7266" s="514"/>
    </row>
    <row r="7267" spans="11:14" x14ac:dyDescent="0.25">
      <c r="K7267" s="312"/>
      <c r="N7267" s="514"/>
    </row>
    <row r="7268" spans="11:14" x14ac:dyDescent="0.25">
      <c r="K7268" s="312"/>
      <c r="N7268" s="514"/>
    </row>
    <row r="7269" spans="11:14" x14ac:dyDescent="0.25">
      <c r="K7269" s="312"/>
      <c r="N7269" s="514"/>
    </row>
    <row r="7270" spans="11:14" x14ac:dyDescent="0.25">
      <c r="K7270" s="312"/>
      <c r="N7270" s="514"/>
    </row>
    <row r="7271" spans="11:14" x14ac:dyDescent="0.25">
      <c r="K7271" s="312"/>
      <c r="N7271" s="514"/>
    </row>
    <row r="7272" spans="11:14" x14ac:dyDescent="0.25">
      <c r="K7272" s="312"/>
      <c r="N7272" s="514"/>
    </row>
    <row r="7273" spans="11:14" x14ac:dyDescent="0.25">
      <c r="K7273" s="312"/>
      <c r="N7273" s="514"/>
    </row>
    <row r="7274" spans="11:14" x14ac:dyDescent="0.25">
      <c r="K7274" s="312"/>
      <c r="N7274" s="514"/>
    </row>
    <row r="7275" spans="11:14" x14ac:dyDescent="0.25">
      <c r="K7275" s="312"/>
      <c r="N7275" s="514"/>
    </row>
    <row r="7276" spans="11:14" x14ac:dyDescent="0.25">
      <c r="K7276" s="312"/>
      <c r="N7276" s="514"/>
    </row>
    <row r="7277" spans="11:14" x14ac:dyDescent="0.25">
      <c r="K7277" s="312"/>
      <c r="N7277" s="514"/>
    </row>
    <row r="7278" spans="11:14" x14ac:dyDescent="0.25">
      <c r="K7278" s="312"/>
      <c r="N7278" s="514"/>
    </row>
    <row r="7279" spans="11:14" x14ac:dyDescent="0.25">
      <c r="K7279" s="312"/>
      <c r="N7279" s="514"/>
    </row>
    <row r="7280" spans="11:14" x14ac:dyDescent="0.25">
      <c r="K7280" s="312"/>
      <c r="N7280" s="514"/>
    </row>
    <row r="7281" spans="11:14" x14ac:dyDescent="0.25">
      <c r="K7281" s="312"/>
      <c r="N7281" s="514"/>
    </row>
    <row r="7282" spans="11:14" x14ac:dyDescent="0.25">
      <c r="K7282" s="312"/>
      <c r="N7282" s="514"/>
    </row>
    <row r="7283" spans="11:14" x14ac:dyDescent="0.25">
      <c r="K7283" s="312"/>
      <c r="N7283" s="514"/>
    </row>
    <row r="7284" spans="11:14" x14ac:dyDescent="0.25">
      <c r="K7284" s="312"/>
      <c r="N7284" s="514"/>
    </row>
    <row r="7285" spans="11:14" x14ac:dyDescent="0.25">
      <c r="K7285" s="312"/>
      <c r="N7285" s="514"/>
    </row>
    <row r="7286" spans="11:14" x14ac:dyDescent="0.25">
      <c r="K7286" s="312"/>
      <c r="N7286" s="514"/>
    </row>
    <row r="7287" spans="11:14" x14ac:dyDescent="0.25">
      <c r="K7287" s="312"/>
      <c r="N7287" s="514"/>
    </row>
    <row r="7288" spans="11:14" x14ac:dyDescent="0.25">
      <c r="K7288" s="312"/>
      <c r="N7288" s="514"/>
    </row>
    <row r="7289" spans="11:14" x14ac:dyDescent="0.25">
      <c r="K7289" s="312"/>
      <c r="N7289" s="514"/>
    </row>
    <row r="7290" spans="11:14" x14ac:dyDescent="0.25">
      <c r="K7290" s="312"/>
      <c r="N7290" s="514"/>
    </row>
    <row r="7291" spans="11:14" x14ac:dyDescent="0.25">
      <c r="K7291" s="312"/>
      <c r="N7291" s="514"/>
    </row>
    <row r="7292" spans="11:14" x14ac:dyDescent="0.25">
      <c r="K7292" s="312"/>
      <c r="N7292" s="514"/>
    </row>
    <row r="7293" spans="11:14" x14ac:dyDescent="0.25">
      <c r="K7293" s="312"/>
      <c r="N7293" s="514"/>
    </row>
    <row r="7294" spans="11:14" x14ac:dyDescent="0.25">
      <c r="K7294" s="312"/>
      <c r="N7294" s="514"/>
    </row>
    <row r="7295" spans="11:14" x14ac:dyDescent="0.25">
      <c r="K7295" s="312"/>
      <c r="N7295" s="514"/>
    </row>
    <row r="7296" spans="11:14" x14ac:dyDescent="0.25">
      <c r="K7296" s="312"/>
      <c r="N7296" s="514"/>
    </row>
    <row r="7297" spans="11:14" x14ac:dyDescent="0.25">
      <c r="K7297" s="312"/>
      <c r="N7297" s="514"/>
    </row>
    <row r="7298" spans="11:14" x14ac:dyDescent="0.25">
      <c r="K7298" s="312"/>
      <c r="N7298" s="514"/>
    </row>
    <row r="7299" spans="11:14" x14ac:dyDescent="0.25">
      <c r="K7299" s="312"/>
      <c r="N7299" s="514"/>
    </row>
    <row r="7300" spans="11:14" x14ac:dyDescent="0.25">
      <c r="K7300" s="312"/>
      <c r="N7300" s="514"/>
    </row>
    <row r="7301" spans="11:14" x14ac:dyDescent="0.25">
      <c r="K7301" s="312"/>
      <c r="N7301" s="514"/>
    </row>
    <row r="7302" spans="11:14" x14ac:dyDescent="0.25">
      <c r="K7302" s="312"/>
      <c r="N7302" s="514"/>
    </row>
    <row r="7303" spans="11:14" x14ac:dyDescent="0.25">
      <c r="K7303" s="312"/>
      <c r="N7303" s="514"/>
    </row>
    <row r="7304" spans="11:14" x14ac:dyDescent="0.25">
      <c r="K7304" s="312"/>
      <c r="N7304" s="514"/>
    </row>
    <row r="7305" spans="11:14" x14ac:dyDescent="0.25">
      <c r="K7305" s="312"/>
      <c r="N7305" s="514"/>
    </row>
    <row r="7306" spans="11:14" x14ac:dyDescent="0.25">
      <c r="K7306" s="312"/>
      <c r="N7306" s="514"/>
    </row>
    <row r="7307" spans="11:14" x14ac:dyDescent="0.25">
      <c r="K7307" s="312"/>
      <c r="N7307" s="514"/>
    </row>
    <row r="7308" spans="11:14" x14ac:dyDescent="0.25">
      <c r="K7308" s="312"/>
      <c r="N7308" s="514"/>
    </row>
    <row r="7309" spans="11:14" x14ac:dyDescent="0.25">
      <c r="K7309" s="312"/>
      <c r="N7309" s="514"/>
    </row>
    <row r="7310" spans="11:14" x14ac:dyDescent="0.25">
      <c r="K7310" s="312"/>
      <c r="N7310" s="514"/>
    </row>
    <row r="7311" spans="11:14" x14ac:dyDescent="0.25">
      <c r="K7311" s="312"/>
      <c r="N7311" s="514"/>
    </row>
    <row r="7312" spans="11:14" x14ac:dyDescent="0.25">
      <c r="K7312" s="312"/>
      <c r="N7312" s="514"/>
    </row>
    <row r="7313" spans="11:14" x14ac:dyDescent="0.25">
      <c r="K7313" s="312"/>
      <c r="N7313" s="514"/>
    </row>
    <row r="7314" spans="11:14" x14ac:dyDescent="0.25">
      <c r="K7314" s="312"/>
      <c r="N7314" s="514"/>
    </row>
    <row r="7315" spans="11:14" x14ac:dyDescent="0.25">
      <c r="K7315" s="312"/>
      <c r="N7315" s="514"/>
    </row>
    <row r="7316" spans="11:14" x14ac:dyDescent="0.25">
      <c r="K7316" s="312"/>
      <c r="N7316" s="514"/>
    </row>
    <row r="7317" spans="11:14" x14ac:dyDescent="0.25">
      <c r="K7317" s="312"/>
      <c r="N7317" s="514"/>
    </row>
    <row r="7318" spans="11:14" x14ac:dyDescent="0.25">
      <c r="K7318" s="312"/>
      <c r="N7318" s="514"/>
    </row>
    <row r="7319" spans="11:14" x14ac:dyDescent="0.25">
      <c r="K7319" s="312"/>
      <c r="N7319" s="514"/>
    </row>
    <row r="7320" spans="11:14" x14ac:dyDescent="0.25">
      <c r="K7320" s="312"/>
      <c r="N7320" s="514"/>
    </row>
    <row r="7321" spans="11:14" x14ac:dyDescent="0.25">
      <c r="K7321" s="312"/>
      <c r="N7321" s="514"/>
    </row>
    <row r="7322" spans="11:14" x14ac:dyDescent="0.25">
      <c r="K7322" s="312"/>
      <c r="N7322" s="514"/>
    </row>
    <row r="7323" spans="11:14" x14ac:dyDescent="0.25">
      <c r="K7323" s="312"/>
      <c r="N7323" s="514"/>
    </row>
    <row r="7324" spans="11:14" x14ac:dyDescent="0.25">
      <c r="K7324" s="312"/>
      <c r="N7324" s="514"/>
    </row>
    <row r="7325" spans="11:14" x14ac:dyDescent="0.25">
      <c r="K7325" s="312"/>
      <c r="N7325" s="514"/>
    </row>
    <row r="7326" spans="11:14" x14ac:dyDescent="0.25">
      <c r="K7326" s="312"/>
      <c r="N7326" s="514"/>
    </row>
    <row r="7327" spans="11:14" x14ac:dyDescent="0.25">
      <c r="K7327" s="312"/>
      <c r="N7327" s="514"/>
    </row>
    <row r="7328" spans="11:14" x14ac:dyDescent="0.25">
      <c r="K7328" s="312"/>
      <c r="N7328" s="514"/>
    </row>
    <row r="7329" spans="11:14" x14ac:dyDescent="0.25">
      <c r="K7329" s="312"/>
      <c r="N7329" s="514"/>
    </row>
    <row r="7330" spans="11:14" x14ac:dyDescent="0.25">
      <c r="K7330" s="312"/>
      <c r="N7330" s="514"/>
    </row>
    <row r="7331" spans="11:14" x14ac:dyDescent="0.25">
      <c r="K7331" s="312"/>
      <c r="N7331" s="514"/>
    </row>
    <row r="7332" spans="11:14" x14ac:dyDescent="0.25">
      <c r="K7332" s="312"/>
      <c r="N7332" s="514"/>
    </row>
    <row r="7333" spans="11:14" x14ac:dyDescent="0.25">
      <c r="K7333" s="312"/>
      <c r="N7333" s="514"/>
    </row>
    <row r="7334" spans="11:14" x14ac:dyDescent="0.25">
      <c r="K7334" s="312"/>
      <c r="N7334" s="514"/>
    </row>
    <row r="7335" spans="11:14" x14ac:dyDescent="0.25">
      <c r="K7335" s="312"/>
      <c r="N7335" s="514"/>
    </row>
    <row r="7336" spans="11:14" x14ac:dyDescent="0.25">
      <c r="K7336" s="312"/>
      <c r="N7336" s="514"/>
    </row>
    <row r="7337" spans="11:14" x14ac:dyDescent="0.25">
      <c r="K7337" s="312"/>
      <c r="N7337" s="514"/>
    </row>
    <row r="7338" spans="11:14" x14ac:dyDescent="0.25">
      <c r="K7338" s="312"/>
      <c r="N7338" s="514"/>
    </row>
    <row r="7339" spans="11:14" x14ac:dyDescent="0.25">
      <c r="K7339" s="312"/>
      <c r="N7339" s="514"/>
    </row>
    <row r="7340" spans="11:14" x14ac:dyDescent="0.25">
      <c r="K7340" s="312"/>
      <c r="N7340" s="514"/>
    </row>
    <row r="7341" spans="11:14" x14ac:dyDescent="0.25">
      <c r="K7341" s="312"/>
      <c r="N7341" s="514"/>
    </row>
    <row r="7342" spans="11:14" x14ac:dyDescent="0.25">
      <c r="K7342" s="312"/>
      <c r="N7342" s="514"/>
    </row>
    <row r="7343" spans="11:14" x14ac:dyDescent="0.25">
      <c r="K7343" s="312"/>
      <c r="N7343" s="514"/>
    </row>
    <row r="7344" spans="11:14" x14ac:dyDescent="0.25">
      <c r="K7344" s="312"/>
      <c r="N7344" s="514"/>
    </row>
    <row r="7345" spans="11:14" x14ac:dyDescent="0.25">
      <c r="K7345" s="312"/>
      <c r="N7345" s="514"/>
    </row>
    <row r="7346" spans="11:14" x14ac:dyDescent="0.25">
      <c r="K7346" s="312"/>
      <c r="N7346" s="514"/>
    </row>
    <row r="7347" spans="11:14" x14ac:dyDescent="0.25">
      <c r="K7347" s="312"/>
      <c r="N7347" s="514"/>
    </row>
    <row r="7348" spans="11:14" x14ac:dyDescent="0.25">
      <c r="K7348" s="312"/>
      <c r="N7348" s="514"/>
    </row>
    <row r="7349" spans="11:14" x14ac:dyDescent="0.25">
      <c r="K7349" s="312"/>
      <c r="N7349" s="514"/>
    </row>
    <row r="7350" spans="11:14" x14ac:dyDescent="0.25">
      <c r="K7350" s="312"/>
      <c r="N7350" s="514"/>
    </row>
    <row r="7351" spans="11:14" x14ac:dyDescent="0.25">
      <c r="K7351" s="312"/>
      <c r="N7351" s="514"/>
    </row>
    <row r="7352" spans="11:14" x14ac:dyDescent="0.25">
      <c r="K7352" s="312"/>
      <c r="N7352" s="514"/>
    </row>
    <row r="7353" spans="11:14" x14ac:dyDescent="0.25">
      <c r="K7353" s="312"/>
      <c r="N7353" s="514"/>
    </row>
    <row r="7354" spans="11:14" x14ac:dyDescent="0.25">
      <c r="K7354" s="312"/>
      <c r="N7354" s="514"/>
    </row>
    <row r="7355" spans="11:14" x14ac:dyDescent="0.25">
      <c r="K7355" s="312"/>
      <c r="N7355" s="514"/>
    </row>
    <row r="7356" spans="11:14" x14ac:dyDescent="0.25">
      <c r="K7356" s="312"/>
      <c r="N7356" s="514"/>
    </row>
    <row r="7357" spans="11:14" x14ac:dyDescent="0.25">
      <c r="K7357" s="312"/>
      <c r="N7357" s="514"/>
    </row>
    <row r="7358" spans="11:14" x14ac:dyDescent="0.25">
      <c r="K7358" s="312"/>
      <c r="N7358" s="514"/>
    </row>
    <row r="7359" spans="11:14" x14ac:dyDescent="0.25">
      <c r="K7359" s="312"/>
      <c r="N7359" s="514"/>
    </row>
    <row r="7360" spans="11:14" x14ac:dyDescent="0.25">
      <c r="K7360" s="312"/>
      <c r="N7360" s="514"/>
    </row>
    <row r="7361" spans="11:14" x14ac:dyDescent="0.25">
      <c r="K7361" s="312"/>
      <c r="N7361" s="514"/>
    </row>
    <row r="7362" spans="11:14" x14ac:dyDescent="0.25">
      <c r="K7362" s="312"/>
      <c r="N7362" s="514"/>
    </row>
    <row r="7363" spans="11:14" x14ac:dyDescent="0.25">
      <c r="K7363" s="312"/>
      <c r="N7363" s="514"/>
    </row>
    <row r="7364" spans="11:14" x14ac:dyDescent="0.25">
      <c r="K7364" s="312"/>
      <c r="N7364" s="514"/>
    </row>
    <row r="7365" spans="11:14" x14ac:dyDescent="0.25">
      <c r="K7365" s="312"/>
      <c r="N7365" s="514"/>
    </row>
    <row r="7366" spans="11:14" x14ac:dyDescent="0.25">
      <c r="K7366" s="312"/>
      <c r="N7366" s="514"/>
    </row>
    <row r="7367" spans="11:14" x14ac:dyDescent="0.25">
      <c r="K7367" s="312"/>
      <c r="N7367" s="514"/>
    </row>
    <row r="7368" spans="11:14" x14ac:dyDescent="0.25">
      <c r="K7368" s="312"/>
      <c r="N7368" s="514"/>
    </row>
    <row r="7369" spans="11:14" x14ac:dyDescent="0.25">
      <c r="K7369" s="312"/>
      <c r="N7369" s="514"/>
    </row>
    <row r="7370" spans="11:14" x14ac:dyDescent="0.25">
      <c r="K7370" s="312"/>
      <c r="N7370" s="514"/>
    </row>
    <row r="7371" spans="11:14" x14ac:dyDescent="0.25">
      <c r="K7371" s="312"/>
      <c r="N7371" s="514"/>
    </row>
    <row r="7372" spans="11:14" x14ac:dyDescent="0.25">
      <c r="K7372" s="312"/>
      <c r="N7372" s="514"/>
    </row>
    <row r="7373" spans="11:14" x14ac:dyDescent="0.25">
      <c r="K7373" s="312"/>
      <c r="N7373" s="514"/>
    </row>
    <row r="7374" spans="11:14" x14ac:dyDescent="0.25">
      <c r="K7374" s="312"/>
      <c r="N7374" s="514"/>
    </row>
    <row r="7375" spans="11:14" x14ac:dyDescent="0.25">
      <c r="K7375" s="312"/>
      <c r="N7375" s="514"/>
    </row>
    <row r="7376" spans="11:14" x14ac:dyDescent="0.25">
      <c r="K7376" s="312"/>
      <c r="N7376" s="514"/>
    </row>
    <row r="7377" spans="11:14" x14ac:dyDescent="0.25">
      <c r="K7377" s="312"/>
      <c r="N7377" s="514"/>
    </row>
    <row r="7378" spans="11:14" x14ac:dyDescent="0.25">
      <c r="K7378" s="312"/>
      <c r="N7378" s="514"/>
    </row>
    <row r="7379" spans="11:14" x14ac:dyDescent="0.25">
      <c r="K7379" s="312"/>
      <c r="N7379" s="514"/>
    </row>
    <row r="7380" spans="11:14" x14ac:dyDescent="0.25">
      <c r="K7380" s="312"/>
      <c r="N7380" s="514"/>
    </row>
    <row r="7381" spans="11:14" x14ac:dyDescent="0.25">
      <c r="K7381" s="312"/>
      <c r="N7381" s="514"/>
    </row>
    <row r="7382" spans="11:14" x14ac:dyDescent="0.25">
      <c r="K7382" s="312"/>
      <c r="N7382" s="514"/>
    </row>
    <row r="7383" spans="11:14" x14ac:dyDescent="0.25">
      <c r="K7383" s="312"/>
      <c r="N7383" s="514"/>
    </row>
    <row r="7384" spans="11:14" x14ac:dyDescent="0.25">
      <c r="K7384" s="312"/>
      <c r="N7384" s="514"/>
    </row>
    <row r="7385" spans="11:14" x14ac:dyDescent="0.25">
      <c r="K7385" s="312"/>
      <c r="N7385" s="514"/>
    </row>
    <row r="7386" spans="11:14" x14ac:dyDescent="0.25">
      <c r="K7386" s="312"/>
      <c r="N7386" s="514"/>
    </row>
    <row r="7387" spans="11:14" x14ac:dyDescent="0.25">
      <c r="K7387" s="312"/>
      <c r="N7387" s="514"/>
    </row>
    <row r="7388" spans="11:14" x14ac:dyDescent="0.25">
      <c r="K7388" s="312"/>
      <c r="N7388" s="514"/>
    </row>
    <row r="7389" spans="11:14" x14ac:dyDescent="0.25">
      <c r="K7389" s="312"/>
      <c r="N7389" s="514"/>
    </row>
    <row r="7390" spans="11:14" x14ac:dyDescent="0.25">
      <c r="K7390" s="312"/>
      <c r="N7390" s="514"/>
    </row>
    <row r="7391" spans="11:14" x14ac:dyDescent="0.25">
      <c r="K7391" s="312"/>
      <c r="N7391" s="514"/>
    </row>
    <row r="7392" spans="11:14" x14ac:dyDescent="0.25">
      <c r="K7392" s="312"/>
      <c r="N7392" s="514"/>
    </row>
    <row r="7393" spans="11:14" x14ac:dyDescent="0.25">
      <c r="K7393" s="312"/>
      <c r="N7393" s="514"/>
    </row>
    <row r="7394" spans="11:14" x14ac:dyDescent="0.25">
      <c r="K7394" s="312"/>
      <c r="N7394" s="514"/>
    </row>
    <row r="7395" spans="11:14" x14ac:dyDescent="0.25">
      <c r="K7395" s="312"/>
      <c r="N7395" s="514"/>
    </row>
    <row r="7396" spans="11:14" x14ac:dyDescent="0.25">
      <c r="K7396" s="312"/>
      <c r="N7396" s="514"/>
    </row>
    <row r="7397" spans="11:14" x14ac:dyDescent="0.25">
      <c r="K7397" s="312"/>
      <c r="N7397" s="514"/>
    </row>
    <row r="7398" spans="11:14" x14ac:dyDescent="0.25">
      <c r="K7398" s="312"/>
      <c r="N7398" s="514"/>
    </row>
    <row r="7399" spans="11:14" x14ac:dyDescent="0.25">
      <c r="K7399" s="312"/>
      <c r="N7399" s="514"/>
    </row>
    <row r="7400" spans="11:14" x14ac:dyDescent="0.25">
      <c r="K7400" s="312"/>
      <c r="N7400" s="514"/>
    </row>
    <row r="7401" spans="11:14" x14ac:dyDescent="0.25">
      <c r="K7401" s="312"/>
      <c r="N7401" s="514"/>
    </row>
    <row r="7402" spans="11:14" x14ac:dyDescent="0.25">
      <c r="K7402" s="312"/>
      <c r="N7402" s="514"/>
    </row>
    <row r="7403" spans="11:14" x14ac:dyDescent="0.25">
      <c r="K7403" s="312"/>
      <c r="N7403" s="514"/>
    </row>
    <row r="7404" spans="11:14" x14ac:dyDescent="0.25">
      <c r="K7404" s="312"/>
      <c r="N7404" s="514"/>
    </row>
    <row r="7405" spans="11:14" x14ac:dyDescent="0.25">
      <c r="K7405" s="312"/>
      <c r="N7405" s="514"/>
    </row>
    <row r="7406" spans="11:14" x14ac:dyDescent="0.25">
      <c r="K7406" s="312"/>
      <c r="N7406" s="514"/>
    </row>
    <row r="7407" spans="11:14" x14ac:dyDescent="0.25">
      <c r="K7407" s="312"/>
      <c r="N7407" s="514"/>
    </row>
    <row r="7408" spans="11:14" x14ac:dyDescent="0.25">
      <c r="K7408" s="312"/>
      <c r="N7408" s="514"/>
    </row>
    <row r="7409" spans="11:14" x14ac:dyDescent="0.25">
      <c r="K7409" s="312"/>
      <c r="N7409" s="514"/>
    </row>
    <row r="7410" spans="11:14" x14ac:dyDescent="0.25">
      <c r="K7410" s="312"/>
      <c r="N7410" s="514"/>
    </row>
    <row r="7411" spans="11:14" x14ac:dyDescent="0.25">
      <c r="K7411" s="312"/>
      <c r="N7411" s="514"/>
    </row>
    <row r="7412" spans="11:14" x14ac:dyDescent="0.25">
      <c r="K7412" s="312"/>
      <c r="N7412" s="514"/>
    </row>
    <row r="7413" spans="11:14" x14ac:dyDescent="0.25">
      <c r="K7413" s="312"/>
      <c r="N7413" s="514"/>
    </row>
    <row r="7414" spans="11:14" x14ac:dyDescent="0.25">
      <c r="K7414" s="312"/>
      <c r="N7414" s="514"/>
    </row>
    <row r="7415" spans="11:14" x14ac:dyDescent="0.25">
      <c r="K7415" s="312"/>
      <c r="N7415" s="514"/>
    </row>
    <row r="7416" spans="11:14" x14ac:dyDescent="0.25">
      <c r="K7416" s="312"/>
      <c r="N7416" s="514"/>
    </row>
    <row r="7417" spans="11:14" x14ac:dyDescent="0.25">
      <c r="K7417" s="312"/>
      <c r="N7417" s="514"/>
    </row>
    <row r="7418" spans="11:14" x14ac:dyDescent="0.25">
      <c r="K7418" s="312"/>
      <c r="N7418" s="514"/>
    </row>
    <row r="7419" spans="11:14" x14ac:dyDescent="0.25">
      <c r="K7419" s="312"/>
      <c r="N7419" s="514"/>
    </row>
    <row r="7420" spans="11:14" x14ac:dyDescent="0.25">
      <c r="K7420" s="312"/>
      <c r="N7420" s="514"/>
    </row>
    <row r="7421" spans="11:14" x14ac:dyDescent="0.25">
      <c r="K7421" s="312"/>
      <c r="N7421" s="514"/>
    </row>
    <row r="7422" spans="11:14" x14ac:dyDescent="0.25">
      <c r="K7422" s="312"/>
      <c r="N7422" s="514"/>
    </row>
    <row r="7423" spans="11:14" x14ac:dyDescent="0.25">
      <c r="K7423" s="312"/>
      <c r="N7423" s="514"/>
    </row>
    <row r="7424" spans="11:14" x14ac:dyDescent="0.25">
      <c r="K7424" s="312"/>
      <c r="N7424" s="514"/>
    </row>
    <row r="7425" spans="11:14" x14ac:dyDescent="0.25">
      <c r="K7425" s="312"/>
      <c r="N7425" s="514"/>
    </row>
    <row r="7426" spans="11:14" x14ac:dyDescent="0.25">
      <c r="K7426" s="312"/>
      <c r="N7426" s="514"/>
    </row>
    <row r="7427" spans="11:14" x14ac:dyDescent="0.25">
      <c r="K7427" s="312"/>
      <c r="N7427" s="514"/>
    </row>
    <row r="7428" spans="11:14" x14ac:dyDescent="0.25">
      <c r="K7428" s="312"/>
      <c r="N7428" s="514"/>
    </row>
    <row r="7429" spans="11:14" x14ac:dyDescent="0.25">
      <c r="K7429" s="312"/>
      <c r="N7429" s="514"/>
    </row>
    <row r="7430" spans="11:14" x14ac:dyDescent="0.25">
      <c r="K7430" s="312"/>
      <c r="N7430" s="514"/>
    </row>
    <row r="7431" spans="11:14" x14ac:dyDescent="0.25">
      <c r="K7431" s="312"/>
      <c r="N7431" s="514"/>
    </row>
    <row r="7432" spans="11:14" x14ac:dyDescent="0.25">
      <c r="K7432" s="312"/>
      <c r="N7432" s="514"/>
    </row>
    <row r="7433" spans="11:14" x14ac:dyDescent="0.25">
      <c r="K7433" s="312"/>
      <c r="N7433" s="514"/>
    </row>
    <row r="7434" spans="11:14" x14ac:dyDescent="0.25">
      <c r="K7434" s="312"/>
      <c r="N7434" s="514"/>
    </row>
    <row r="7435" spans="11:14" x14ac:dyDescent="0.25">
      <c r="K7435" s="312"/>
      <c r="N7435" s="514"/>
    </row>
    <row r="7436" spans="11:14" x14ac:dyDescent="0.25">
      <c r="K7436" s="312"/>
      <c r="N7436" s="514"/>
    </row>
    <row r="7437" spans="11:14" x14ac:dyDescent="0.25">
      <c r="K7437" s="312"/>
      <c r="N7437" s="514"/>
    </row>
    <row r="7438" spans="11:14" x14ac:dyDescent="0.25">
      <c r="K7438" s="312"/>
      <c r="N7438" s="514"/>
    </row>
    <row r="7439" spans="11:14" x14ac:dyDescent="0.25">
      <c r="K7439" s="312"/>
      <c r="N7439" s="514"/>
    </row>
    <row r="7440" spans="11:14" x14ac:dyDescent="0.25">
      <c r="K7440" s="312"/>
      <c r="N7440" s="514"/>
    </row>
    <row r="7441" spans="11:14" x14ac:dyDescent="0.25">
      <c r="K7441" s="312"/>
      <c r="N7441" s="514"/>
    </row>
    <row r="7442" spans="11:14" x14ac:dyDescent="0.25">
      <c r="K7442" s="312"/>
      <c r="N7442" s="514"/>
    </row>
    <row r="7443" spans="11:14" x14ac:dyDescent="0.25">
      <c r="K7443" s="312"/>
      <c r="N7443" s="514"/>
    </row>
    <row r="7444" spans="11:14" x14ac:dyDescent="0.25">
      <c r="K7444" s="312"/>
      <c r="N7444" s="514"/>
    </row>
    <row r="7445" spans="11:14" x14ac:dyDescent="0.25">
      <c r="K7445" s="312"/>
      <c r="N7445" s="514"/>
    </row>
    <row r="7446" spans="11:14" x14ac:dyDescent="0.25">
      <c r="K7446" s="312"/>
      <c r="N7446" s="514"/>
    </row>
    <row r="7447" spans="11:14" x14ac:dyDescent="0.25">
      <c r="K7447" s="312"/>
      <c r="N7447" s="514"/>
    </row>
    <row r="7448" spans="11:14" x14ac:dyDescent="0.25">
      <c r="K7448" s="312"/>
      <c r="N7448" s="514"/>
    </row>
    <row r="7449" spans="11:14" x14ac:dyDescent="0.25">
      <c r="K7449" s="312"/>
      <c r="N7449" s="514"/>
    </row>
    <row r="7450" spans="11:14" x14ac:dyDescent="0.25">
      <c r="K7450" s="312"/>
      <c r="N7450" s="514"/>
    </row>
    <row r="7451" spans="11:14" x14ac:dyDescent="0.25">
      <c r="K7451" s="312"/>
      <c r="N7451" s="514"/>
    </row>
    <row r="7452" spans="11:14" x14ac:dyDescent="0.25">
      <c r="K7452" s="312"/>
      <c r="N7452" s="514"/>
    </row>
    <row r="7453" spans="11:14" x14ac:dyDescent="0.25">
      <c r="K7453" s="312"/>
      <c r="N7453" s="514"/>
    </row>
    <row r="7454" spans="11:14" x14ac:dyDescent="0.25">
      <c r="K7454" s="312"/>
      <c r="N7454" s="514"/>
    </row>
    <row r="7455" spans="11:14" x14ac:dyDescent="0.25">
      <c r="K7455" s="312"/>
      <c r="N7455" s="514"/>
    </row>
    <row r="7456" spans="11:14" x14ac:dyDescent="0.25">
      <c r="K7456" s="312"/>
      <c r="N7456" s="514"/>
    </row>
    <row r="7457" spans="11:14" x14ac:dyDescent="0.25">
      <c r="K7457" s="312"/>
      <c r="N7457" s="514"/>
    </row>
    <row r="7458" spans="11:14" x14ac:dyDescent="0.25">
      <c r="K7458" s="312"/>
      <c r="N7458" s="514"/>
    </row>
    <row r="7459" spans="11:14" x14ac:dyDescent="0.25">
      <c r="K7459" s="312"/>
      <c r="N7459" s="514"/>
    </row>
    <row r="7460" spans="11:14" x14ac:dyDescent="0.25">
      <c r="K7460" s="312"/>
      <c r="N7460" s="514"/>
    </row>
    <row r="7461" spans="11:14" x14ac:dyDescent="0.25">
      <c r="K7461" s="312"/>
      <c r="N7461" s="514"/>
    </row>
    <row r="7462" spans="11:14" x14ac:dyDescent="0.25">
      <c r="K7462" s="312"/>
      <c r="N7462" s="514"/>
    </row>
    <row r="7463" spans="11:14" x14ac:dyDescent="0.25">
      <c r="K7463" s="312"/>
      <c r="N7463" s="514"/>
    </row>
    <row r="7464" spans="11:14" x14ac:dyDescent="0.25">
      <c r="K7464" s="312"/>
      <c r="N7464" s="514"/>
    </row>
    <row r="7465" spans="11:14" x14ac:dyDescent="0.25">
      <c r="K7465" s="312"/>
      <c r="N7465" s="514"/>
    </row>
    <row r="7466" spans="11:14" x14ac:dyDescent="0.25">
      <c r="K7466" s="312"/>
      <c r="N7466" s="514"/>
    </row>
    <row r="7467" spans="11:14" x14ac:dyDescent="0.25">
      <c r="K7467" s="312"/>
      <c r="N7467" s="514"/>
    </row>
    <row r="7468" spans="11:14" x14ac:dyDescent="0.25">
      <c r="K7468" s="312"/>
      <c r="N7468" s="514"/>
    </row>
    <row r="7469" spans="11:14" x14ac:dyDescent="0.25">
      <c r="K7469" s="312"/>
      <c r="N7469" s="514"/>
    </row>
    <row r="7470" spans="11:14" x14ac:dyDescent="0.25">
      <c r="K7470" s="312"/>
      <c r="N7470" s="514"/>
    </row>
    <row r="7471" spans="11:14" x14ac:dyDescent="0.25">
      <c r="K7471" s="312"/>
      <c r="N7471" s="514"/>
    </row>
    <row r="7472" spans="11:14" x14ac:dyDescent="0.25">
      <c r="K7472" s="312"/>
      <c r="N7472" s="514"/>
    </row>
    <row r="7473" spans="11:14" x14ac:dyDescent="0.25">
      <c r="K7473" s="312"/>
      <c r="N7473" s="514"/>
    </row>
    <row r="7474" spans="11:14" x14ac:dyDescent="0.25">
      <c r="K7474" s="312"/>
      <c r="N7474" s="514"/>
    </row>
    <row r="7475" spans="11:14" x14ac:dyDescent="0.25">
      <c r="K7475" s="312"/>
      <c r="N7475" s="514"/>
    </row>
    <row r="7476" spans="11:14" x14ac:dyDescent="0.25">
      <c r="K7476" s="312"/>
      <c r="N7476" s="514"/>
    </row>
    <row r="7477" spans="11:14" x14ac:dyDescent="0.25">
      <c r="K7477" s="312"/>
      <c r="N7477" s="514"/>
    </row>
    <row r="7478" spans="11:14" x14ac:dyDescent="0.25">
      <c r="K7478" s="312"/>
      <c r="N7478" s="514"/>
    </row>
    <row r="7479" spans="11:14" x14ac:dyDescent="0.25">
      <c r="K7479" s="312"/>
      <c r="N7479" s="514"/>
    </row>
    <row r="7480" spans="11:14" x14ac:dyDescent="0.25">
      <c r="K7480" s="312"/>
      <c r="N7480" s="514"/>
    </row>
    <row r="7481" spans="11:14" x14ac:dyDescent="0.25">
      <c r="K7481" s="312"/>
      <c r="N7481" s="514"/>
    </row>
    <row r="7482" spans="11:14" x14ac:dyDescent="0.25">
      <c r="K7482" s="312"/>
      <c r="N7482" s="514"/>
    </row>
    <row r="7483" spans="11:14" x14ac:dyDescent="0.25">
      <c r="K7483" s="312"/>
      <c r="N7483" s="514"/>
    </row>
    <row r="7484" spans="11:14" x14ac:dyDescent="0.25">
      <c r="K7484" s="312"/>
      <c r="N7484" s="514"/>
    </row>
    <row r="7485" spans="11:14" x14ac:dyDescent="0.25">
      <c r="K7485" s="312"/>
      <c r="N7485" s="514"/>
    </row>
    <row r="7486" spans="11:14" x14ac:dyDescent="0.25">
      <c r="K7486" s="312"/>
      <c r="N7486" s="514"/>
    </row>
    <row r="7487" spans="11:14" x14ac:dyDescent="0.25">
      <c r="K7487" s="312"/>
      <c r="N7487" s="514"/>
    </row>
    <row r="7488" spans="11:14" x14ac:dyDescent="0.25">
      <c r="K7488" s="312"/>
      <c r="N7488" s="514"/>
    </row>
    <row r="7489" spans="11:14" x14ac:dyDescent="0.25">
      <c r="K7489" s="312"/>
      <c r="N7489" s="514"/>
    </row>
    <row r="7490" spans="11:14" x14ac:dyDescent="0.25">
      <c r="K7490" s="312"/>
      <c r="N7490" s="514"/>
    </row>
    <row r="7491" spans="11:14" x14ac:dyDescent="0.25">
      <c r="K7491" s="312"/>
      <c r="N7491" s="514"/>
    </row>
    <row r="7492" spans="11:14" x14ac:dyDescent="0.25">
      <c r="K7492" s="312"/>
      <c r="N7492" s="514"/>
    </row>
    <row r="7493" spans="11:14" x14ac:dyDescent="0.25">
      <c r="K7493" s="312"/>
      <c r="N7493" s="514"/>
    </row>
    <row r="7494" spans="11:14" x14ac:dyDescent="0.25">
      <c r="K7494" s="312"/>
      <c r="N7494" s="514"/>
    </row>
    <row r="7495" spans="11:14" x14ac:dyDescent="0.25">
      <c r="K7495" s="312"/>
      <c r="N7495" s="514"/>
    </row>
    <row r="7496" spans="11:14" x14ac:dyDescent="0.25">
      <c r="K7496" s="312"/>
      <c r="N7496" s="514"/>
    </row>
    <row r="7497" spans="11:14" x14ac:dyDescent="0.25">
      <c r="K7497" s="312"/>
      <c r="N7497" s="514"/>
    </row>
    <row r="7498" spans="11:14" x14ac:dyDescent="0.25">
      <c r="K7498" s="312"/>
      <c r="N7498" s="514"/>
    </row>
    <row r="7499" spans="11:14" x14ac:dyDescent="0.25">
      <c r="K7499" s="312"/>
      <c r="N7499" s="514"/>
    </row>
    <row r="7500" spans="11:14" x14ac:dyDescent="0.25">
      <c r="K7500" s="312"/>
      <c r="N7500" s="514"/>
    </row>
    <row r="7501" spans="11:14" x14ac:dyDescent="0.25">
      <c r="K7501" s="312"/>
      <c r="N7501" s="514"/>
    </row>
    <row r="7502" spans="11:14" x14ac:dyDescent="0.25">
      <c r="K7502" s="312"/>
      <c r="N7502" s="514"/>
    </row>
    <row r="7503" spans="11:14" x14ac:dyDescent="0.25">
      <c r="K7503" s="312"/>
      <c r="N7503" s="514"/>
    </row>
    <row r="7504" spans="11:14" x14ac:dyDescent="0.25">
      <c r="K7504" s="312"/>
      <c r="N7504" s="514"/>
    </row>
    <row r="7505" spans="11:14" x14ac:dyDescent="0.25">
      <c r="K7505" s="312"/>
      <c r="N7505" s="514"/>
    </row>
    <row r="7506" spans="11:14" x14ac:dyDescent="0.25">
      <c r="K7506" s="312"/>
      <c r="N7506" s="514"/>
    </row>
    <row r="7507" spans="11:14" x14ac:dyDescent="0.25">
      <c r="K7507" s="312"/>
      <c r="N7507" s="514"/>
    </row>
    <row r="7508" spans="11:14" x14ac:dyDescent="0.25">
      <c r="K7508" s="312"/>
      <c r="N7508" s="514"/>
    </row>
    <row r="7509" spans="11:14" x14ac:dyDescent="0.25">
      <c r="K7509" s="312"/>
      <c r="N7509" s="514"/>
    </row>
    <row r="7510" spans="11:14" x14ac:dyDescent="0.25">
      <c r="K7510" s="312"/>
      <c r="N7510" s="514"/>
    </row>
    <row r="7511" spans="11:14" x14ac:dyDescent="0.25">
      <c r="K7511" s="312"/>
      <c r="N7511" s="514"/>
    </row>
    <row r="7512" spans="11:14" x14ac:dyDescent="0.25">
      <c r="K7512" s="312"/>
      <c r="N7512" s="514"/>
    </row>
    <row r="7513" spans="11:14" x14ac:dyDescent="0.25">
      <c r="K7513" s="312"/>
      <c r="N7513" s="514"/>
    </row>
    <row r="7514" spans="11:14" x14ac:dyDescent="0.25">
      <c r="K7514" s="312"/>
      <c r="N7514" s="514"/>
    </row>
    <row r="7515" spans="11:14" x14ac:dyDescent="0.25">
      <c r="K7515" s="312"/>
      <c r="N7515" s="514"/>
    </row>
    <row r="7516" spans="11:14" x14ac:dyDescent="0.25">
      <c r="K7516" s="312"/>
      <c r="N7516" s="514"/>
    </row>
    <row r="7517" spans="11:14" x14ac:dyDescent="0.25">
      <c r="K7517" s="312"/>
      <c r="N7517" s="514"/>
    </row>
    <row r="7518" spans="11:14" x14ac:dyDescent="0.25">
      <c r="K7518" s="312"/>
      <c r="N7518" s="514"/>
    </row>
    <row r="7519" spans="11:14" x14ac:dyDescent="0.25">
      <c r="K7519" s="312"/>
      <c r="N7519" s="514"/>
    </row>
    <row r="7520" spans="11:14" x14ac:dyDescent="0.25">
      <c r="K7520" s="312"/>
      <c r="N7520" s="514"/>
    </row>
    <row r="7521" spans="11:14" x14ac:dyDescent="0.25">
      <c r="K7521" s="312"/>
      <c r="N7521" s="514"/>
    </row>
    <row r="7522" spans="11:14" x14ac:dyDescent="0.25">
      <c r="K7522" s="312"/>
      <c r="N7522" s="514"/>
    </row>
    <row r="7523" spans="11:14" x14ac:dyDescent="0.25">
      <c r="K7523" s="312"/>
      <c r="N7523" s="514"/>
    </row>
    <row r="7524" spans="11:14" x14ac:dyDescent="0.25">
      <c r="K7524" s="312"/>
      <c r="N7524" s="514"/>
    </row>
    <row r="7525" spans="11:14" x14ac:dyDescent="0.25">
      <c r="K7525" s="312"/>
      <c r="N7525" s="514"/>
    </row>
    <row r="7526" spans="11:14" x14ac:dyDescent="0.25">
      <c r="K7526" s="312"/>
      <c r="N7526" s="514"/>
    </row>
    <row r="7527" spans="11:14" x14ac:dyDescent="0.25">
      <c r="K7527" s="312"/>
      <c r="N7527" s="514"/>
    </row>
    <row r="7528" spans="11:14" x14ac:dyDescent="0.25">
      <c r="K7528" s="312"/>
      <c r="N7528" s="514"/>
    </row>
    <row r="7529" spans="11:14" x14ac:dyDescent="0.25">
      <c r="K7529" s="312"/>
      <c r="N7529" s="514"/>
    </row>
    <row r="7530" spans="11:14" x14ac:dyDescent="0.25">
      <c r="K7530" s="312"/>
      <c r="N7530" s="514"/>
    </row>
    <row r="7531" spans="11:14" x14ac:dyDescent="0.25">
      <c r="K7531" s="312"/>
      <c r="N7531" s="514"/>
    </row>
    <row r="7532" spans="11:14" x14ac:dyDescent="0.25">
      <c r="K7532" s="312"/>
      <c r="N7532" s="514"/>
    </row>
    <row r="7533" spans="11:14" x14ac:dyDescent="0.25">
      <c r="K7533" s="312"/>
      <c r="N7533" s="514"/>
    </row>
    <row r="7534" spans="11:14" x14ac:dyDescent="0.25">
      <c r="K7534" s="312"/>
      <c r="N7534" s="514"/>
    </row>
    <row r="7535" spans="11:14" x14ac:dyDescent="0.25">
      <c r="K7535" s="312"/>
      <c r="N7535" s="514"/>
    </row>
    <row r="7536" spans="11:14" x14ac:dyDescent="0.25">
      <c r="K7536" s="312"/>
      <c r="N7536" s="514"/>
    </row>
    <row r="7537" spans="11:14" x14ac:dyDescent="0.25">
      <c r="K7537" s="312"/>
      <c r="N7537" s="514"/>
    </row>
    <row r="7538" spans="11:14" x14ac:dyDescent="0.25">
      <c r="K7538" s="312"/>
      <c r="N7538" s="514"/>
    </row>
    <row r="7539" spans="11:14" x14ac:dyDescent="0.25">
      <c r="K7539" s="312"/>
      <c r="N7539" s="514"/>
    </row>
    <row r="7540" spans="11:14" x14ac:dyDescent="0.25">
      <c r="K7540" s="312"/>
      <c r="N7540" s="514"/>
    </row>
    <row r="7541" spans="11:14" x14ac:dyDescent="0.25">
      <c r="K7541" s="312"/>
      <c r="N7541" s="514"/>
    </row>
    <row r="7542" spans="11:14" x14ac:dyDescent="0.25">
      <c r="K7542" s="312"/>
      <c r="N7542" s="514"/>
    </row>
    <row r="7543" spans="11:14" x14ac:dyDescent="0.25">
      <c r="K7543" s="312"/>
      <c r="N7543" s="514"/>
    </row>
    <row r="7544" spans="11:14" x14ac:dyDescent="0.25">
      <c r="K7544" s="312"/>
      <c r="N7544" s="514"/>
    </row>
    <row r="7545" spans="11:14" x14ac:dyDescent="0.25">
      <c r="K7545" s="312"/>
      <c r="N7545" s="514"/>
    </row>
    <row r="7546" spans="11:14" x14ac:dyDescent="0.25">
      <c r="K7546" s="312"/>
      <c r="N7546" s="514"/>
    </row>
    <row r="7547" spans="11:14" x14ac:dyDescent="0.25">
      <c r="K7547" s="312"/>
      <c r="N7547" s="514"/>
    </row>
    <row r="7548" spans="11:14" x14ac:dyDescent="0.25">
      <c r="K7548" s="312"/>
      <c r="N7548" s="514"/>
    </row>
    <row r="7549" spans="11:14" x14ac:dyDescent="0.25">
      <c r="K7549" s="312"/>
      <c r="N7549" s="514"/>
    </row>
    <row r="7550" spans="11:14" x14ac:dyDescent="0.25">
      <c r="K7550" s="312"/>
      <c r="N7550" s="514"/>
    </row>
    <row r="7551" spans="11:14" x14ac:dyDescent="0.25">
      <c r="K7551" s="312"/>
      <c r="N7551" s="514"/>
    </row>
    <row r="7552" spans="11:14" x14ac:dyDescent="0.25">
      <c r="K7552" s="312"/>
      <c r="N7552" s="514"/>
    </row>
    <row r="7553" spans="11:14" x14ac:dyDescent="0.25">
      <c r="K7553" s="312"/>
      <c r="N7553" s="514"/>
    </row>
    <row r="7554" spans="11:14" x14ac:dyDescent="0.25">
      <c r="K7554" s="312"/>
      <c r="N7554" s="514"/>
    </row>
    <row r="7555" spans="11:14" x14ac:dyDescent="0.25">
      <c r="K7555" s="312"/>
      <c r="N7555" s="514"/>
    </row>
    <row r="7556" spans="11:14" x14ac:dyDescent="0.25">
      <c r="K7556" s="312"/>
      <c r="N7556" s="514"/>
    </row>
    <row r="7557" spans="11:14" x14ac:dyDescent="0.25">
      <c r="K7557" s="312"/>
      <c r="N7557" s="514"/>
    </row>
    <row r="7558" spans="11:14" x14ac:dyDescent="0.25">
      <c r="K7558" s="312"/>
      <c r="N7558" s="514"/>
    </row>
    <row r="7559" spans="11:14" x14ac:dyDescent="0.25">
      <c r="K7559" s="312"/>
      <c r="N7559" s="514"/>
    </row>
    <row r="7560" spans="11:14" x14ac:dyDescent="0.25">
      <c r="K7560" s="312"/>
      <c r="N7560" s="514"/>
    </row>
    <row r="7561" spans="11:14" x14ac:dyDescent="0.25">
      <c r="K7561" s="312"/>
      <c r="N7561" s="514"/>
    </row>
    <row r="7562" spans="11:14" x14ac:dyDescent="0.25">
      <c r="K7562" s="312"/>
      <c r="N7562" s="514"/>
    </row>
    <row r="7563" spans="11:14" x14ac:dyDescent="0.25">
      <c r="K7563" s="312"/>
      <c r="N7563" s="514"/>
    </row>
    <row r="7564" spans="11:14" x14ac:dyDescent="0.25">
      <c r="K7564" s="312"/>
      <c r="N7564" s="514"/>
    </row>
    <row r="7565" spans="11:14" x14ac:dyDescent="0.25">
      <c r="K7565" s="312"/>
      <c r="N7565" s="514"/>
    </row>
    <row r="7566" spans="11:14" x14ac:dyDescent="0.25">
      <c r="K7566" s="312"/>
      <c r="N7566" s="514"/>
    </row>
    <row r="7567" spans="11:14" x14ac:dyDescent="0.25">
      <c r="K7567" s="312"/>
      <c r="N7567" s="514"/>
    </row>
    <row r="7568" spans="11:14" x14ac:dyDescent="0.25">
      <c r="K7568" s="312"/>
      <c r="N7568" s="514"/>
    </row>
    <row r="7569" spans="11:14" x14ac:dyDescent="0.25">
      <c r="K7569" s="312"/>
      <c r="N7569" s="514"/>
    </row>
    <row r="7570" spans="11:14" x14ac:dyDescent="0.25">
      <c r="K7570" s="312"/>
      <c r="N7570" s="514"/>
    </row>
    <row r="7571" spans="11:14" x14ac:dyDescent="0.25">
      <c r="K7571" s="312"/>
      <c r="N7571" s="514"/>
    </row>
    <row r="7572" spans="11:14" x14ac:dyDescent="0.25">
      <c r="K7572" s="312"/>
      <c r="N7572" s="514"/>
    </row>
    <row r="7573" spans="11:14" x14ac:dyDescent="0.25">
      <c r="K7573" s="312"/>
      <c r="N7573" s="514"/>
    </row>
    <row r="7574" spans="11:14" x14ac:dyDescent="0.25">
      <c r="K7574" s="312"/>
      <c r="N7574" s="514"/>
    </row>
    <row r="7575" spans="11:14" x14ac:dyDescent="0.25">
      <c r="K7575" s="312"/>
      <c r="N7575" s="514"/>
    </row>
    <row r="7576" spans="11:14" x14ac:dyDescent="0.25">
      <c r="K7576" s="312"/>
      <c r="N7576" s="514"/>
    </row>
    <row r="7577" spans="11:14" x14ac:dyDescent="0.25">
      <c r="K7577" s="312"/>
      <c r="N7577" s="514"/>
    </row>
    <row r="7578" spans="11:14" x14ac:dyDescent="0.25">
      <c r="K7578" s="312"/>
      <c r="N7578" s="514"/>
    </row>
    <row r="7579" spans="11:14" x14ac:dyDescent="0.25">
      <c r="K7579" s="312"/>
      <c r="N7579" s="514"/>
    </row>
    <row r="7580" spans="11:14" x14ac:dyDescent="0.25">
      <c r="K7580" s="312"/>
      <c r="N7580" s="514"/>
    </row>
    <row r="7581" spans="11:14" x14ac:dyDescent="0.25">
      <c r="K7581" s="312"/>
      <c r="N7581" s="514"/>
    </row>
    <row r="7582" spans="11:14" x14ac:dyDescent="0.25">
      <c r="K7582" s="312"/>
      <c r="N7582" s="514"/>
    </row>
    <row r="7583" spans="11:14" x14ac:dyDescent="0.25">
      <c r="K7583" s="312"/>
      <c r="N7583" s="514"/>
    </row>
    <row r="7584" spans="11:14" x14ac:dyDescent="0.25">
      <c r="K7584" s="312"/>
      <c r="N7584" s="514"/>
    </row>
    <row r="7585" spans="11:14" x14ac:dyDescent="0.25">
      <c r="K7585" s="312"/>
      <c r="N7585" s="514"/>
    </row>
    <row r="7586" spans="11:14" x14ac:dyDescent="0.25">
      <c r="K7586" s="312"/>
      <c r="N7586" s="514"/>
    </row>
    <row r="7587" spans="11:14" x14ac:dyDescent="0.25">
      <c r="K7587" s="312"/>
      <c r="N7587" s="514"/>
    </row>
    <row r="7588" spans="11:14" x14ac:dyDescent="0.25">
      <c r="K7588" s="312"/>
      <c r="N7588" s="514"/>
    </row>
    <row r="7589" spans="11:14" x14ac:dyDescent="0.25">
      <c r="K7589" s="312"/>
      <c r="N7589" s="514"/>
    </row>
    <row r="7590" spans="11:14" x14ac:dyDescent="0.25">
      <c r="K7590" s="312"/>
      <c r="N7590" s="514"/>
    </row>
    <row r="7591" spans="11:14" x14ac:dyDescent="0.25">
      <c r="K7591" s="312"/>
      <c r="N7591" s="514"/>
    </row>
    <row r="7592" spans="11:14" x14ac:dyDescent="0.25">
      <c r="K7592" s="312"/>
      <c r="N7592" s="514"/>
    </row>
    <row r="7593" spans="11:14" x14ac:dyDescent="0.25">
      <c r="K7593" s="312"/>
      <c r="N7593" s="514"/>
    </row>
    <row r="7594" spans="11:14" x14ac:dyDescent="0.25">
      <c r="K7594" s="312"/>
      <c r="N7594" s="514"/>
    </row>
    <row r="7595" spans="11:14" x14ac:dyDescent="0.25">
      <c r="K7595" s="312"/>
      <c r="N7595" s="514"/>
    </row>
    <row r="7596" spans="11:14" x14ac:dyDescent="0.25">
      <c r="K7596" s="312"/>
      <c r="N7596" s="514"/>
    </row>
    <row r="7597" spans="11:14" x14ac:dyDescent="0.25">
      <c r="K7597" s="312"/>
      <c r="N7597" s="514"/>
    </row>
    <row r="7598" spans="11:14" x14ac:dyDescent="0.25">
      <c r="K7598" s="312"/>
      <c r="N7598" s="514"/>
    </row>
    <row r="7599" spans="11:14" x14ac:dyDescent="0.25">
      <c r="K7599" s="312"/>
      <c r="N7599" s="514"/>
    </row>
    <row r="7600" spans="11:14" x14ac:dyDescent="0.25">
      <c r="K7600" s="312"/>
      <c r="N7600" s="514"/>
    </row>
    <row r="7601" spans="11:14" x14ac:dyDescent="0.25">
      <c r="K7601" s="312"/>
      <c r="N7601" s="514"/>
    </row>
    <row r="7602" spans="11:14" x14ac:dyDescent="0.25">
      <c r="K7602" s="312"/>
      <c r="N7602" s="514"/>
    </row>
    <row r="7603" spans="11:14" x14ac:dyDescent="0.25">
      <c r="K7603" s="312"/>
      <c r="N7603" s="514"/>
    </row>
    <row r="7604" spans="11:14" x14ac:dyDescent="0.25">
      <c r="K7604" s="312"/>
      <c r="N7604" s="514"/>
    </row>
    <row r="7605" spans="11:14" x14ac:dyDescent="0.25">
      <c r="K7605" s="312"/>
      <c r="N7605" s="514"/>
    </row>
    <row r="7606" spans="11:14" x14ac:dyDescent="0.25">
      <c r="K7606" s="312"/>
      <c r="N7606" s="514"/>
    </row>
    <row r="7607" spans="11:14" x14ac:dyDescent="0.25">
      <c r="K7607" s="312"/>
      <c r="N7607" s="514"/>
    </row>
    <row r="7608" spans="11:14" x14ac:dyDescent="0.25">
      <c r="K7608" s="312"/>
      <c r="N7608" s="514"/>
    </row>
    <row r="7609" spans="11:14" x14ac:dyDescent="0.25">
      <c r="K7609" s="312"/>
      <c r="N7609" s="514"/>
    </row>
    <row r="7610" spans="11:14" x14ac:dyDescent="0.25">
      <c r="K7610" s="312"/>
      <c r="N7610" s="514"/>
    </row>
    <row r="7611" spans="11:14" x14ac:dyDescent="0.25">
      <c r="K7611" s="312"/>
      <c r="N7611" s="514"/>
    </row>
    <row r="7612" spans="11:14" x14ac:dyDescent="0.25">
      <c r="K7612" s="312"/>
      <c r="N7612" s="514"/>
    </row>
    <row r="7613" spans="11:14" x14ac:dyDescent="0.25">
      <c r="K7613" s="312"/>
      <c r="N7613" s="514"/>
    </row>
    <row r="7614" spans="11:14" x14ac:dyDescent="0.25">
      <c r="K7614" s="312"/>
      <c r="N7614" s="514"/>
    </row>
    <row r="7615" spans="11:14" x14ac:dyDescent="0.25">
      <c r="K7615" s="312"/>
      <c r="N7615" s="514"/>
    </row>
    <row r="7616" spans="11:14" x14ac:dyDescent="0.25">
      <c r="K7616" s="312"/>
      <c r="N7616" s="514"/>
    </row>
    <row r="7617" spans="11:14" x14ac:dyDescent="0.25">
      <c r="K7617" s="312"/>
      <c r="N7617" s="514"/>
    </row>
    <row r="7618" spans="11:14" x14ac:dyDescent="0.25">
      <c r="K7618" s="312"/>
      <c r="N7618" s="514"/>
    </row>
    <row r="7619" spans="11:14" x14ac:dyDescent="0.25">
      <c r="K7619" s="312"/>
      <c r="N7619" s="514"/>
    </row>
    <row r="7620" spans="11:14" x14ac:dyDescent="0.25">
      <c r="K7620" s="312"/>
      <c r="N7620" s="514"/>
    </row>
    <row r="7621" spans="11:14" x14ac:dyDescent="0.25">
      <c r="K7621" s="312"/>
      <c r="N7621" s="514"/>
    </row>
    <row r="7622" spans="11:14" x14ac:dyDescent="0.25">
      <c r="K7622" s="312"/>
      <c r="N7622" s="514"/>
    </row>
    <row r="7623" spans="11:14" x14ac:dyDescent="0.25">
      <c r="K7623" s="312"/>
      <c r="N7623" s="514"/>
    </row>
    <row r="7624" spans="11:14" x14ac:dyDescent="0.25">
      <c r="K7624" s="312"/>
      <c r="N7624" s="514"/>
    </row>
    <row r="7625" spans="11:14" x14ac:dyDescent="0.25">
      <c r="K7625" s="312"/>
      <c r="N7625" s="514"/>
    </row>
    <row r="7626" spans="11:14" x14ac:dyDescent="0.25">
      <c r="K7626" s="312"/>
      <c r="N7626" s="514"/>
    </row>
    <row r="7627" spans="11:14" x14ac:dyDescent="0.25">
      <c r="K7627" s="312"/>
      <c r="N7627" s="514"/>
    </row>
    <row r="7628" spans="11:14" x14ac:dyDescent="0.25">
      <c r="K7628" s="312"/>
      <c r="N7628" s="514"/>
    </row>
    <row r="7629" spans="11:14" x14ac:dyDescent="0.25">
      <c r="K7629" s="312"/>
      <c r="N7629" s="514"/>
    </row>
    <row r="7630" spans="11:14" x14ac:dyDescent="0.25">
      <c r="K7630" s="312"/>
      <c r="N7630" s="514"/>
    </row>
    <row r="7631" spans="11:14" x14ac:dyDescent="0.25">
      <c r="K7631" s="312"/>
      <c r="N7631" s="514"/>
    </row>
    <row r="7632" spans="11:14" x14ac:dyDescent="0.25">
      <c r="K7632" s="312"/>
      <c r="N7632" s="514"/>
    </row>
    <row r="7633" spans="11:14" x14ac:dyDescent="0.25">
      <c r="K7633" s="312"/>
      <c r="N7633" s="514"/>
    </row>
    <row r="7634" spans="11:14" x14ac:dyDescent="0.25">
      <c r="K7634" s="312"/>
      <c r="N7634" s="514"/>
    </row>
    <row r="7635" spans="11:14" x14ac:dyDescent="0.25">
      <c r="K7635" s="312"/>
      <c r="N7635" s="514"/>
    </row>
    <row r="7636" spans="11:14" x14ac:dyDescent="0.25">
      <c r="K7636" s="312"/>
      <c r="N7636" s="514"/>
    </row>
    <row r="7637" spans="11:14" x14ac:dyDescent="0.25">
      <c r="K7637" s="312"/>
      <c r="N7637" s="514"/>
    </row>
    <row r="7638" spans="11:14" x14ac:dyDescent="0.25">
      <c r="K7638" s="312"/>
      <c r="N7638" s="514"/>
    </row>
    <row r="7639" spans="11:14" x14ac:dyDescent="0.25">
      <c r="K7639" s="312"/>
      <c r="N7639" s="514"/>
    </row>
    <row r="7640" spans="11:14" x14ac:dyDescent="0.25">
      <c r="K7640" s="312"/>
      <c r="N7640" s="514"/>
    </row>
    <row r="7641" spans="11:14" x14ac:dyDescent="0.25">
      <c r="K7641" s="312"/>
      <c r="N7641" s="514"/>
    </row>
    <row r="7642" spans="11:14" x14ac:dyDescent="0.25">
      <c r="K7642" s="312"/>
      <c r="N7642" s="514"/>
    </row>
    <row r="7643" spans="11:14" x14ac:dyDescent="0.25">
      <c r="K7643" s="312"/>
      <c r="N7643" s="514"/>
    </row>
    <row r="7644" spans="11:14" x14ac:dyDescent="0.25">
      <c r="K7644" s="312"/>
      <c r="N7644" s="514"/>
    </row>
    <row r="7645" spans="11:14" x14ac:dyDescent="0.25">
      <c r="K7645" s="312"/>
      <c r="N7645" s="514"/>
    </row>
    <row r="7646" spans="11:14" x14ac:dyDescent="0.25">
      <c r="K7646" s="312"/>
      <c r="N7646" s="514"/>
    </row>
    <row r="7647" spans="11:14" x14ac:dyDescent="0.25">
      <c r="K7647" s="312"/>
      <c r="N7647" s="514"/>
    </row>
    <row r="7648" spans="11:14" x14ac:dyDescent="0.25">
      <c r="K7648" s="312"/>
      <c r="N7648" s="514"/>
    </row>
    <row r="7649" spans="11:14" x14ac:dyDescent="0.25">
      <c r="K7649" s="312"/>
      <c r="N7649" s="514"/>
    </row>
    <row r="7650" spans="11:14" x14ac:dyDescent="0.25">
      <c r="K7650" s="312"/>
      <c r="N7650" s="514"/>
    </row>
    <row r="7651" spans="11:14" x14ac:dyDescent="0.25">
      <c r="K7651" s="312"/>
      <c r="N7651" s="514"/>
    </row>
    <row r="7652" spans="11:14" x14ac:dyDescent="0.25">
      <c r="K7652" s="312"/>
      <c r="N7652" s="514"/>
    </row>
    <row r="7653" spans="11:14" x14ac:dyDescent="0.25">
      <c r="K7653" s="312"/>
      <c r="N7653" s="514"/>
    </row>
    <row r="7654" spans="11:14" x14ac:dyDescent="0.25">
      <c r="K7654" s="312"/>
      <c r="N7654" s="514"/>
    </row>
    <row r="7655" spans="11:14" x14ac:dyDescent="0.25">
      <c r="K7655" s="312"/>
      <c r="N7655" s="514"/>
    </row>
    <row r="7656" spans="11:14" x14ac:dyDescent="0.25">
      <c r="K7656" s="312"/>
      <c r="N7656" s="514"/>
    </row>
    <row r="7657" spans="11:14" x14ac:dyDescent="0.25">
      <c r="K7657" s="312"/>
      <c r="N7657" s="514"/>
    </row>
    <row r="7658" spans="11:14" x14ac:dyDescent="0.25">
      <c r="K7658" s="312"/>
      <c r="N7658" s="514"/>
    </row>
    <row r="7659" spans="11:14" x14ac:dyDescent="0.25">
      <c r="K7659" s="312"/>
      <c r="N7659" s="514"/>
    </row>
    <row r="7660" spans="11:14" x14ac:dyDescent="0.25">
      <c r="K7660" s="312"/>
      <c r="N7660" s="514"/>
    </row>
    <row r="7661" spans="11:14" x14ac:dyDescent="0.25">
      <c r="K7661" s="312"/>
      <c r="N7661" s="514"/>
    </row>
    <row r="7662" spans="11:14" x14ac:dyDescent="0.25">
      <c r="K7662" s="312"/>
      <c r="N7662" s="514"/>
    </row>
    <row r="7663" spans="11:14" x14ac:dyDescent="0.25">
      <c r="K7663" s="312"/>
      <c r="N7663" s="514"/>
    </row>
    <row r="7664" spans="11:14" x14ac:dyDescent="0.25">
      <c r="K7664" s="312"/>
      <c r="N7664" s="514"/>
    </row>
    <row r="7665" spans="11:14" x14ac:dyDescent="0.25">
      <c r="K7665" s="312"/>
      <c r="N7665" s="514"/>
    </row>
    <row r="7666" spans="11:14" x14ac:dyDescent="0.25">
      <c r="K7666" s="312"/>
      <c r="N7666" s="514"/>
    </row>
    <row r="7667" spans="11:14" x14ac:dyDescent="0.25">
      <c r="K7667" s="312"/>
      <c r="N7667" s="514"/>
    </row>
    <row r="7668" spans="11:14" x14ac:dyDescent="0.25">
      <c r="K7668" s="312"/>
      <c r="N7668" s="514"/>
    </row>
    <row r="7669" spans="11:14" x14ac:dyDescent="0.25">
      <c r="K7669" s="312"/>
      <c r="N7669" s="514"/>
    </row>
    <row r="7670" spans="11:14" x14ac:dyDescent="0.25">
      <c r="K7670" s="312"/>
      <c r="N7670" s="514"/>
    </row>
    <row r="7671" spans="11:14" x14ac:dyDescent="0.25">
      <c r="K7671" s="312"/>
      <c r="N7671" s="514"/>
    </row>
    <row r="7672" spans="11:14" x14ac:dyDescent="0.25">
      <c r="K7672" s="312"/>
      <c r="N7672" s="514"/>
    </row>
    <row r="7673" spans="11:14" x14ac:dyDescent="0.25">
      <c r="K7673" s="312"/>
      <c r="N7673" s="514"/>
    </row>
    <row r="7674" spans="11:14" x14ac:dyDescent="0.25">
      <c r="K7674" s="312"/>
      <c r="N7674" s="514"/>
    </row>
    <row r="7675" spans="11:14" x14ac:dyDescent="0.25">
      <c r="K7675" s="312"/>
      <c r="N7675" s="514"/>
    </row>
    <row r="7676" spans="11:14" x14ac:dyDescent="0.25">
      <c r="K7676" s="312"/>
      <c r="N7676" s="514"/>
    </row>
    <row r="7677" spans="11:14" x14ac:dyDescent="0.25">
      <c r="K7677" s="312"/>
      <c r="N7677" s="514"/>
    </row>
    <row r="7678" spans="11:14" x14ac:dyDescent="0.25">
      <c r="K7678" s="312"/>
      <c r="N7678" s="514"/>
    </row>
    <row r="7679" spans="11:14" x14ac:dyDescent="0.25">
      <c r="K7679" s="312"/>
      <c r="N7679" s="514"/>
    </row>
    <row r="7680" spans="11:14" x14ac:dyDescent="0.25">
      <c r="K7680" s="312"/>
      <c r="N7680" s="514"/>
    </row>
    <row r="7681" spans="11:14" x14ac:dyDescent="0.25">
      <c r="K7681" s="312"/>
      <c r="N7681" s="514"/>
    </row>
    <row r="7682" spans="11:14" x14ac:dyDescent="0.25">
      <c r="K7682" s="312"/>
      <c r="N7682" s="514"/>
    </row>
    <row r="7683" spans="11:14" x14ac:dyDescent="0.25">
      <c r="K7683" s="312"/>
      <c r="N7683" s="514"/>
    </row>
    <row r="7684" spans="11:14" x14ac:dyDescent="0.25">
      <c r="K7684" s="312"/>
      <c r="N7684" s="514"/>
    </row>
    <row r="7685" spans="11:14" x14ac:dyDescent="0.25">
      <c r="K7685" s="312"/>
      <c r="N7685" s="514"/>
    </row>
    <row r="7686" spans="11:14" x14ac:dyDescent="0.25">
      <c r="K7686" s="312"/>
      <c r="N7686" s="514"/>
    </row>
    <row r="7687" spans="11:14" x14ac:dyDescent="0.25">
      <c r="K7687" s="312"/>
      <c r="N7687" s="514"/>
    </row>
    <row r="7688" spans="11:14" x14ac:dyDescent="0.25">
      <c r="K7688" s="312"/>
      <c r="N7688" s="514"/>
    </row>
    <row r="7689" spans="11:14" x14ac:dyDescent="0.25">
      <c r="K7689" s="312"/>
      <c r="N7689" s="514"/>
    </row>
    <row r="7690" spans="11:14" x14ac:dyDescent="0.25">
      <c r="K7690" s="312"/>
      <c r="N7690" s="514"/>
    </row>
    <row r="7691" spans="11:14" x14ac:dyDescent="0.25">
      <c r="K7691" s="312"/>
      <c r="N7691" s="514"/>
    </row>
    <row r="7692" spans="11:14" x14ac:dyDescent="0.25">
      <c r="K7692" s="312"/>
      <c r="N7692" s="514"/>
    </row>
    <row r="7693" spans="11:14" x14ac:dyDescent="0.25">
      <c r="K7693" s="312"/>
      <c r="N7693" s="514"/>
    </row>
    <row r="7694" spans="11:14" x14ac:dyDescent="0.25">
      <c r="K7694" s="312"/>
      <c r="N7694" s="514"/>
    </row>
    <row r="7695" spans="11:14" x14ac:dyDescent="0.25">
      <c r="K7695" s="312"/>
      <c r="N7695" s="514"/>
    </row>
    <row r="7696" spans="11:14" x14ac:dyDescent="0.25">
      <c r="K7696" s="312"/>
      <c r="N7696" s="514"/>
    </row>
    <row r="7697" spans="11:14" x14ac:dyDescent="0.25">
      <c r="K7697" s="312"/>
      <c r="N7697" s="514"/>
    </row>
    <row r="7698" spans="11:14" x14ac:dyDescent="0.25">
      <c r="K7698" s="312"/>
      <c r="N7698" s="514"/>
    </row>
    <row r="7699" spans="11:14" x14ac:dyDescent="0.25">
      <c r="K7699" s="312"/>
      <c r="N7699" s="514"/>
    </row>
    <row r="7700" spans="11:14" x14ac:dyDescent="0.25">
      <c r="K7700" s="312"/>
      <c r="N7700" s="514"/>
    </row>
    <row r="7701" spans="11:14" x14ac:dyDescent="0.25">
      <c r="K7701" s="312"/>
      <c r="N7701" s="514"/>
    </row>
    <row r="7702" spans="11:14" x14ac:dyDescent="0.25">
      <c r="K7702" s="312"/>
      <c r="N7702" s="514"/>
    </row>
    <row r="7703" spans="11:14" x14ac:dyDescent="0.25">
      <c r="K7703" s="312"/>
      <c r="N7703" s="514"/>
    </row>
    <row r="7704" spans="11:14" x14ac:dyDescent="0.25">
      <c r="K7704" s="312"/>
      <c r="N7704" s="514"/>
    </row>
    <row r="7705" spans="11:14" x14ac:dyDescent="0.25">
      <c r="K7705" s="312"/>
      <c r="N7705" s="514"/>
    </row>
    <row r="7706" spans="11:14" x14ac:dyDescent="0.25">
      <c r="K7706" s="312"/>
      <c r="N7706" s="514"/>
    </row>
    <row r="7707" spans="11:14" x14ac:dyDescent="0.25">
      <c r="K7707" s="312"/>
      <c r="N7707" s="514"/>
    </row>
    <row r="7708" spans="11:14" x14ac:dyDescent="0.25">
      <c r="K7708" s="312"/>
      <c r="N7708" s="514"/>
    </row>
    <row r="7709" spans="11:14" x14ac:dyDescent="0.25">
      <c r="K7709" s="312"/>
      <c r="N7709" s="514"/>
    </row>
    <row r="7710" spans="11:14" x14ac:dyDescent="0.25">
      <c r="K7710" s="312"/>
      <c r="N7710" s="514"/>
    </row>
    <row r="7711" spans="11:14" x14ac:dyDescent="0.25">
      <c r="K7711" s="312"/>
      <c r="N7711" s="514"/>
    </row>
    <row r="7712" spans="11:14" x14ac:dyDescent="0.25">
      <c r="K7712" s="312"/>
      <c r="N7712" s="514"/>
    </row>
    <row r="7713" spans="11:14" x14ac:dyDescent="0.25">
      <c r="K7713" s="312"/>
      <c r="N7713" s="514"/>
    </row>
    <row r="7714" spans="11:14" x14ac:dyDescent="0.25">
      <c r="K7714" s="312"/>
      <c r="N7714" s="514"/>
    </row>
    <row r="7715" spans="11:14" x14ac:dyDescent="0.25">
      <c r="K7715" s="312"/>
      <c r="N7715" s="514"/>
    </row>
    <row r="7716" spans="11:14" x14ac:dyDescent="0.25">
      <c r="K7716" s="312"/>
      <c r="N7716" s="514"/>
    </row>
    <row r="7717" spans="11:14" x14ac:dyDescent="0.25">
      <c r="K7717" s="312"/>
      <c r="N7717" s="514"/>
    </row>
    <row r="7718" spans="11:14" x14ac:dyDescent="0.25">
      <c r="K7718" s="312"/>
      <c r="N7718" s="514"/>
    </row>
    <row r="7719" spans="11:14" x14ac:dyDescent="0.25">
      <c r="K7719" s="312"/>
      <c r="N7719" s="514"/>
    </row>
    <row r="7720" spans="11:14" x14ac:dyDescent="0.25">
      <c r="K7720" s="312"/>
      <c r="N7720" s="514"/>
    </row>
    <row r="7721" spans="11:14" x14ac:dyDescent="0.25">
      <c r="K7721" s="312"/>
      <c r="N7721" s="514"/>
    </row>
    <row r="7722" spans="11:14" x14ac:dyDescent="0.25">
      <c r="K7722" s="312"/>
      <c r="N7722" s="514"/>
    </row>
    <row r="7723" spans="11:14" x14ac:dyDescent="0.25">
      <c r="K7723" s="312"/>
      <c r="N7723" s="514"/>
    </row>
    <row r="7724" spans="11:14" x14ac:dyDescent="0.25">
      <c r="K7724" s="312"/>
      <c r="N7724" s="514"/>
    </row>
    <row r="7725" spans="11:14" x14ac:dyDescent="0.25">
      <c r="K7725" s="312"/>
      <c r="N7725" s="514"/>
    </row>
    <row r="7726" spans="11:14" x14ac:dyDescent="0.25">
      <c r="K7726" s="312"/>
      <c r="N7726" s="514"/>
    </row>
    <row r="7727" spans="11:14" x14ac:dyDescent="0.25">
      <c r="K7727" s="312"/>
      <c r="N7727" s="514"/>
    </row>
    <row r="7728" spans="11:14" x14ac:dyDescent="0.25">
      <c r="K7728" s="312"/>
      <c r="N7728" s="514"/>
    </row>
    <row r="7729" spans="11:14" x14ac:dyDescent="0.25">
      <c r="K7729" s="312"/>
      <c r="N7729" s="514"/>
    </row>
    <row r="7730" spans="11:14" x14ac:dyDescent="0.25">
      <c r="K7730" s="312"/>
      <c r="N7730" s="514"/>
    </row>
    <row r="7731" spans="11:14" x14ac:dyDescent="0.25">
      <c r="K7731" s="312"/>
      <c r="N7731" s="514"/>
    </row>
    <row r="7732" spans="11:14" x14ac:dyDescent="0.25">
      <c r="K7732" s="312"/>
      <c r="N7732" s="514"/>
    </row>
    <row r="7733" spans="11:14" x14ac:dyDescent="0.25">
      <c r="K7733" s="312"/>
      <c r="N7733" s="514"/>
    </row>
    <row r="7734" spans="11:14" x14ac:dyDescent="0.25">
      <c r="K7734" s="312"/>
      <c r="N7734" s="514"/>
    </row>
    <row r="7735" spans="11:14" x14ac:dyDescent="0.25">
      <c r="K7735" s="312"/>
      <c r="N7735" s="514"/>
    </row>
    <row r="7736" spans="11:14" x14ac:dyDescent="0.25">
      <c r="K7736" s="312"/>
      <c r="N7736" s="514"/>
    </row>
    <row r="7737" spans="11:14" x14ac:dyDescent="0.25">
      <c r="K7737" s="312"/>
      <c r="N7737" s="514"/>
    </row>
    <row r="7738" spans="11:14" x14ac:dyDescent="0.25">
      <c r="K7738" s="312"/>
      <c r="N7738" s="514"/>
    </row>
    <row r="7739" spans="11:14" x14ac:dyDescent="0.25">
      <c r="K7739" s="312"/>
      <c r="N7739" s="514"/>
    </row>
    <row r="7740" spans="11:14" x14ac:dyDescent="0.25">
      <c r="K7740" s="312"/>
      <c r="N7740" s="514"/>
    </row>
    <row r="7741" spans="11:14" x14ac:dyDescent="0.25">
      <c r="K7741" s="312"/>
      <c r="N7741" s="514"/>
    </row>
    <row r="7742" spans="11:14" x14ac:dyDescent="0.25">
      <c r="K7742" s="312"/>
      <c r="N7742" s="514"/>
    </row>
    <row r="7743" spans="11:14" x14ac:dyDescent="0.25">
      <c r="K7743" s="312"/>
      <c r="N7743" s="514"/>
    </row>
    <row r="7744" spans="11:14" x14ac:dyDescent="0.25">
      <c r="K7744" s="312"/>
      <c r="N7744" s="514"/>
    </row>
    <row r="7745" spans="11:14" x14ac:dyDescent="0.25">
      <c r="K7745" s="312"/>
      <c r="N7745" s="514"/>
    </row>
    <row r="7746" spans="11:14" x14ac:dyDescent="0.25">
      <c r="K7746" s="312"/>
      <c r="N7746" s="514"/>
    </row>
    <row r="7747" spans="11:14" x14ac:dyDescent="0.25">
      <c r="K7747" s="312"/>
      <c r="N7747" s="514"/>
    </row>
    <row r="7748" spans="11:14" x14ac:dyDescent="0.25">
      <c r="K7748" s="312"/>
      <c r="N7748" s="514"/>
    </row>
    <row r="7749" spans="11:14" x14ac:dyDescent="0.25">
      <c r="K7749" s="312"/>
      <c r="N7749" s="514"/>
    </row>
    <row r="7750" spans="11:14" x14ac:dyDescent="0.25">
      <c r="K7750" s="312"/>
      <c r="N7750" s="514"/>
    </row>
    <row r="7751" spans="11:14" x14ac:dyDescent="0.25">
      <c r="K7751" s="312"/>
      <c r="N7751" s="514"/>
    </row>
    <row r="7752" spans="11:14" x14ac:dyDescent="0.25">
      <c r="K7752" s="312"/>
      <c r="N7752" s="514"/>
    </row>
    <row r="7753" spans="11:14" x14ac:dyDescent="0.25">
      <c r="K7753" s="312"/>
      <c r="N7753" s="514"/>
    </row>
    <row r="7754" spans="11:14" x14ac:dyDescent="0.25">
      <c r="K7754" s="312"/>
      <c r="N7754" s="514"/>
    </row>
    <row r="7755" spans="11:14" x14ac:dyDescent="0.25">
      <c r="K7755" s="312"/>
      <c r="N7755" s="514"/>
    </row>
    <row r="7756" spans="11:14" x14ac:dyDescent="0.25">
      <c r="K7756" s="312"/>
      <c r="N7756" s="514"/>
    </row>
    <row r="7757" spans="11:14" x14ac:dyDescent="0.25">
      <c r="K7757" s="312"/>
      <c r="N7757" s="514"/>
    </row>
    <row r="7758" spans="11:14" x14ac:dyDescent="0.25">
      <c r="K7758" s="312"/>
      <c r="N7758" s="514"/>
    </row>
    <row r="7759" spans="11:14" x14ac:dyDescent="0.25">
      <c r="K7759" s="312"/>
      <c r="N7759" s="514"/>
    </row>
    <row r="7760" spans="11:14" x14ac:dyDescent="0.25">
      <c r="K7760" s="312"/>
      <c r="N7760" s="514"/>
    </row>
    <row r="7761" spans="11:14" x14ac:dyDescent="0.25">
      <c r="K7761" s="312"/>
      <c r="N7761" s="514"/>
    </row>
    <row r="7762" spans="11:14" x14ac:dyDescent="0.25">
      <c r="K7762" s="312"/>
      <c r="N7762" s="514"/>
    </row>
    <row r="7763" spans="11:14" x14ac:dyDescent="0.25">
      <c r="K7763" s="312"/>
      <c r="N7763" s="514"/>
    </row>
    <row r="7764" spans="11:14" x14ac:dyDescent="0.25">
      <c r="K7764" s="312"/>
      <c r="N7764" s="514"/>
    </row>
    <row r="7765" spans="11:14" x14ac:dyDescent="0.25">
      <c r="K7765" s="312"/>
      <c r="N7765" s="514"/>
    </row>
    <row r="7766" spans="11:14" x14ac:dyDescent="0.25">
      <c r="K7766" s="312"/>
      <c r="N7766" s="514"/>
    </row>
    <row r="7767" spans="11:14" x14ac:dyDescent="0.25">
      <c r="K7767" s="312"/>
      <c r="N7767" s="514"/>
    </row>
    <row r="7768" spans="11:14" x14ac:dyDescent="0.25">
      <c r="K7768" s="312"/>
      <c r="N7768" s="514"/>
    </row>
    <row r="7769" spans="11:14" x14ac:dyDescent="0.25">
      <c r="K7769" s="312"/>
      <c r="N7769" s="514"/>
    </row>
    <row r="7770" spans="11:14" x14ac:dyDescent="0.25">
      <c r="K7770" s="312"/>
      <c r="N7770" s="514"/>
    </row>
    <row r="7771" spans="11:14" x14ac:dyDescent="0.25">
      <c r="K7771" s="312"/>
      <c r="N7771" s="514"/>
    </row>
    <row r="7772" spans="11:14" x14ac:dyDescent="0.25">
      <c r="K7772" s="312"/>
      <c r="N7772" s="514"/>
    </row>
    <row r="7773" spans="11:14" x14ac:dyDescent="0.25">
      <c r="K7773" s="312"/>
      <c r="N7773" s="514"/>
    </row>
    <row r="7774" spans="11:14" x14ac:dyDescent="0.25">
      <c r="K7774" s="312"/>
      <c r="N7774" s="514"/>
    </row>
    <row r="7775" spans="11:14" x14ac:dyDescent="0.25">
      <c r="K7775" s="312"/>
      <c r="N7775" s="514"/>
    </row>
    <row r="7776" spans="11:14" x14ac:dyDescent="0.25">
      <c r="K7776" s="312"/>
      <c r="N7776" s="514"/>
    </row>
    <row r="7777" spans="11:14" x14ac:dyDescent="0.25">
      <c r="K7777" s="312"/>
      <c r="N7777" s="514"/>
    </row>
    <row r="7778" spans="11:14" x14ac:dyDescent="0.25">
      <c r="K7778" s="312"/>
      <c r="N7778" s="514"/>
    </row>
    <row r="7779" spans="11:14" x14ac:dyDescent="0.25">
      <c r="K7779" s="312"/>
      <c r="N7779" s="514"/>
    </row>
    <row r="7780" spans="11:14" x14ac:dyDescent="0.25">
      <c r="K7780" s="312"/>
      <c r="N7780" s="514"/>
    </row>
    <row r="7781" spans="11:14" x14ac:dyDescent="0.25">
      <c r="K7781" s="312"/>
      <c r="N7781" s="514"/>
    </row>
    <row r="7782" spans="11:14" x14ac:dyDescent="0.25">
      <c r="K7782" s="312"/>
      <c r="N7782" s="514"/>
    </row>
    <row r="7783" spans="11:14" x14ac:dyDescent="0.25">
      <c r="K7783" s="312"/>
      <c r="N7783" s="514"/>
    </row>
    <row r="7784" spans="11:14" x14ac:dyDescent="0.25">
      <c r="K7784" s="312"/>
      <c r="N7784" s="514"/>
    </row>
    <row r="7785" spans="11:14" x14ac:dyDescent="0.25">
      <c r="K7785" s="312"/>
      <c r="N7785" s="514"/>
    </row>
    <row r="7786" spans="11:14" x14ac:dyDescent="0.25">
      <c r="K7786" s="312"/>
      <c r="N7786" s="514"/>
    </row>
    <row r="7787" spans="11:14" x14ac:dyDescent="0.25">
      <c r="K7787" s="312"/>
      <c r="N7787" s="514"/>
    </row>
    <row r="7788" spans="11:14" x14ac:dyDescent="0.25">
      <c r="K7788" s="312"/>
      <c r="N7788" s="514"/>
    </row>
    <row r="7789" spans="11:14" x14ac:dyDescent="0.25">
      <c r="K7789" s="312"/>
      <c r="N7789" s="514"/>
    </row>
    <row r="7790" spans="11:14" x14ac:dyDescent="0.25">
      <c r="K7790" s="312"/>
      <c r="N7790" s="514"/>
    </row>
    <row r="7791" spans="11:14" x14ac:dyDescent="0.25">
      <c r="K7791" s="312"/>
      <c r="N7791" s="514"/>
    </row>
    <row r="7792" spans="11:14" x14ac:dyDescent="0.25">
      <c r="K7792" s="312"/>
      <c r="N7792" s="514"/>
    </row>
    <row r="7793" spans="11:14" x14ac:dyDescent="0.25">
      <c r="K7793" s="312"/>
      <c r="N7793" s="514"/>
    </row>
    <row r="7794" spans="11:14" x14ac:dyDescent="0.25">
      <c r="K7794" s="312"/>
      <c r="N7794" s="514"/>
    </row>
    <row r="7795" spans="11:14" x14ac:dyDescent="0.25">
      <c r="K7795" s="312"/>
      <c r="N7795" s="514"/>
    </row>
    <row r="7796" spans="11:14" x14ac:dyDescent="0.25">
      <c r="K7796" s="312"/>
      <c r="N7796" s="514"/>
    </row>
    <row r="7797" spans="11:14" x14ac:dyDescent="0.25">
      <c r="K7797" s="312"/>
      <c r="N7797" s="514"/>
    </row>
    <row r="7798" spans="11:14" x14ac:dyDescent="0.25">
      <c r="K7798" s="312"/>
      <c r="N7798" s="514"/>
    </row>
    <row r="7799" spans="11:14" x14ac:dyDescent="0.25">
      <c r="K7799" s="312"/>
      <c r="N7799" s="514"/>
    </row>
    <row r="7800" spans="11:14" x14ac:dyDescent="0.25">
      <c r="K7800" s="312"/>
      <c r="N7800" s="514"/>
    </row>
    <row r="7801" spans="11:14" x14ac:dyDescent="0.25">
      <c r="K7801" s="312"/>
      <c r="N7801" s="514"/>
    </row>
    <row r="7802" spans="11:14" x14ac:dyDescent="0.25">
      <c r="K7802" s="312"/>
      <c r="N7802" s="514"/>
    </row>
    <row r="7803" spans="11:14" x14ac:dyDescent="0.25">
      <c r="K7803" s="312"/>
      <c r="N7803" s="514"/>
    </row>
    <row r="7804" spans="11:14" x14ac:dyDescent="0.25">
      <c r="K7804" s="312"/>
      <c r="N7804" s="514"/>
    </row>
    <row r="7805" spans="11:14" x14ac:dyDescent="0.25">
      <c r="K7805" s="312"/>
      <c r="N7805" s="514"/>
    </row>
    <row r="7806" spans="11:14" x14ac:dyDescent="0.25">
      <c r="K7806" s="312"/>
      <c r="N7806" s="514"/>
    </row>
    <row r="7807" spans="11:14" x14ac:dyDescent="0.25">
      <c r="K7807" s="312"/>
      <c r="N7807" s="514"/>
    </row>
    <row r="7808" spans="11:14" x14ac:dyDescent="0.25">
      <c r="K7808" s="312"/>
      <c r="N7808" s="514"/>
    </row>
    <row r="7809" spans="11:14" x14ac:dyDescent="0.25">
      <c r="K7809" s="312"/>
      <c r="N7809" s="514"/>
    </row>
    <row r="7810" spans="11:14" x14ac:dyDescent="0.25">
      <c r="K7810" s="312"/>
      <c r="N7810" s="514"/>
    </row>
    <row r="7811" spans="11:14" x14ac:dyDescent="0.25">
      <c r="K7811" s="312"/>
      <c r="N7811" s="514"/>
    </row>
    <row r="7812" spans="11:14" x14ac:dyDescent="0.25">
      <c r="K7812" s="312"/>
      <c r="N7812" s="514"/>
    </row>
    <row r="7813" spans="11:14" x14ac:dyDescent="0.25">
      <c r="K7813" s="312"/>
      <c r="N7813" s="514"/>
    </row>
    <row r="7814" spans="11:14" x14ac:dyDescent="0.25">
      <c r="K7814" s="312"/>
      <c r="N7814" s="514"/>
    </row>
    <row r="7815" spans="11:14" x14ac:dyDescent="0.25">
      <c r="K7815" s="312"/>
      <c r="N7815" s="514"/>
    </row>
    <row r="7816" spans="11:14" x14ac:dyDescent="0.25">
      <c r="K7816" s="312"/>
      <c r="N7816" s="514"/>
    </row>
    <row r="7817" spans="11:14" x14ac:dyDescent="0.25">
      <c r="K7817" s="312"/>
      <c r="N7817" s="514"/>
    </row>
    <row r="7818" spans="11:14" x14ac:dyDescent="0.25">
      <c r="K7818" s="312"/>
      <c r="N7818" s="514"/>
    </row>
    <row r="7819" spans="11:14" x14ac:dyDescent="0.25">
      <c r="K7819" s="312"/>
      <c r="N7819" s="514"/>
    </row>
    <row r="7820" spans="11:14" x14ac:dyDescent="0.25">
      <c r="K7820" s="312"/>
      <c r="N7820" s="514"/>
    </row>
    <row r="7821" spans="11:14" x14ac:dyDescent="0.25">
      <c r="K7821" s="312"/>
      <c r="N7821" s="514"/>
    </row>
    <row r="7822" spans="11:14" x14ac:dyDescent="0.25">
      <c r="K7822" s="312"/>
      <c r="N7822" s="514"/>
    </row>
    <row r="7823" spans="11:14" x14ac:dyDescent="0.25">
      <c r="K7823" s="312"/>
      <c r="N7823" s="514"/>
    </row>
    <row r="7824" spans="11:14" x14ac:dyDescent="0.25">
      <c r="K7824" s="312"/>
      <c r="N7824" s="514"/>
    </row>
    <row r="7825" spans="11:14" x14ac:dyDescent="0.25">
      <c r="K7825" s="312"/>
      <c r="N7825" s="514"/>
    </row>
    <row r="7826" spans="11:14" x14ac:dyDescent="0.25">
      <c r="K7826" s="312"/>
      <c r="N7826" s="514"/>
    </row>
    <row r="7827" spans="11:14" x14ac:dyDescent="0.25">
      <c r="K7827" s="312"/>
      <c r="N7827" s="514"/>
    </row>
    <row r="7828" spans="11:14" x14ac:dyDescent="0.25">
      <c r="K7828" s="312"/>
      <c r="N7828" s="514"/>
    </row>
    <row r="7829" spans="11:14" x14ac:dyDescent="0.25">
      <c r="K7829" s="312"/>
      <c r="N7829" s="514"/>
    </row>
    <row r="7830" spans="11:14" x14ac:dyDescent="0.25">
      <c r="K7830" s="312"/>
      <c r="N7830" s="514"/>
    </row>
    <row r="7831" spans="11:14" x14ac:dyDescent="0.25">
      <c r="K7831" s="312"/>
      <c r="N7831" s="514"/>
    </row>
    <row r="7832" spans="11:14" x14ac:dyDescent="0.25">
      <c r="K7832" s="312"/>
      <c r="N7832" s="514"/>
    </row>
    <row r="7833" spans="11:14" x14ac:dyDescent="0.25">
      <c r="K7833" s="312"/>
      <c r="N7833" s="514"/>
    </row>
    <row r="7834" spans="11:14" x14ac:dyDescent="0.25">
      <c r="K7834" s="312"/>
      <c r="N7834" s="514"/>
    </row>
    <row r="7835" spans="11:14" x14ac:dyDescent="0.25">
      <c r="K7835" s="312"/>
      <c r="N7835" s="514"/>
    </row>
    <row r="7836" spans="11:14" x14ac:dyDescent="0.25">
      <c r="K7836" s="312"/>
      <c r="N7836" s="514"/>
    </row>
    <row r="7837" spans="11:14" x14ac:dyDescent="0.25">
      <c r="K7837" s="312"/>
      <c r="N7837" s="514"/>
    </row>
    <row r="7838" spans="11:14" x14ac:dyDescent="0.25">
      <c r="K7838" s="312"/>
      <c r="N7838" s="514"/>
    </row>
    <row r="7839" spans="11:14" x14ac:dyDescent="0.25">
      <c r="K7839" s="312"/>
      <c r="N7839" s="514"/>
    </row>
    <row r="7840" spans="11:14" x14ac:dyDescent="0.25">
      <c r="K7840" s="312"/>
      <c r="N7840" s="514"/>
    </row>
    <row r="7841" spans="11:14" x14ac:dyDescent="0.25">
      <c r="K7841" s="312"/>
      <c r="N7841" s="514"/>
    </row>
    <row r="7842" spans="11:14" x14ac:dyDescent="0.25">
      <c r="K7842" s="312"/>
      <c r="N7842" s="514"/>
    </row>
    <row r="7843" spans="11:14" x14ac:dyDescent="0.25">
      <c r="K7843" s="312"/>
      <c r="N7843" s="514"/>
    </row>
    <row r="7844" spans="11:14" x14ac:dyDescent="0.25">
      <c r="K7844" s="312"/>
      <c r="N7844" s="514"/>
    </row>
    <row r="7845" spans="11:14" x14ac:dyDescent="0.25">
      <c r="K7845" s="312"/>
      <c r="N7845" s="514"/>
    </row>
    <row r="7846" spans="11:14" x14ac:dyDescent="0.25">
      <c r="K7846" s="312"/>
      <c r="N7846" s="514"/>
    </row>
    <row r="7847" spans="11:14" x14ac:dyDescent="0.25">
      <c r="K7847" s="312"/>
      <c r="N7847" s="514"/>
    </row>
    <row r="7848" spans="11:14" x14ac:dyDescent="0.25">
      <c r="K7848" s="312"/>
      <c r="N7848" s="514"/>
    </row>
    <row r="7849" spans="11:14" x14ac:dyDescent="0.25">
      <c r="K7849" s="312"/>
      <c r="N7849" s="514"/>
    </row>
    <row r="7850" spans="11:14" x14ac:dyDescent="0.25">
      <c r="K7850" s="312"/>
      <c r="N7850" s="514"/>
    </row>
    <row r="7851" spans="11:14" x14ac:dyDescent="0.25">
      <c r="K7851" s="312"/>
      <c r="N7851" s="514"/>
    </row>
    <row r="7852" spans="11:14" x14ac:dyDescent="0.25">
      <c r="K7852" s="312"/>
      <c r="N7852" s="514"/>
    </row>
    <row r="7853" spans="11:14" x14ac:dyDescent="0.25">
      <c r="K7853" s="312"/>
      <c r="N7853" s="514"/>
    </row>
    <row r="7854" spans="11:14" x14ac:dyDescent="0.25">
      <c r="K7854" s="312"/>
      <c r="N7854" s="514"/>
    </row>
    <row r="7855" spans="11:14" x14ac:dyDescent="0.25">
      <c r="K7855" s="312"/>
      <c r="N7855" s="514"/>
    </row>
    <row r="7856" spans="11:14" x14ac:dyDescent="0.25">
      <c r="K7856" s="312"/>
      <c r="N7856" s="514"/>
    </row>
    <row r="7857" spans="11:14" x14ac:dyDescent="0.25">
      <c r="K7857" s="312"/>
      <c r="N7857" s="514"/>
    </row>
    <row r="7858" spans="11:14" x14ac:dyDescent="0.25">
      <c r="K7858" s="312"/>
      <c r="N7858" s="514"/>
    </row>
    <row r="7859" spans="11:14" x14ac:dyDescent="0.25">
      <c r="K7859" s="312"/>
      <c r="N7859" s="514"/>
    </row>
    <row r="7860" spans="11:14" x14ac:dyDescent="0.25">
      <c r="K7860" s="312"/>
      <c r="N7860" s="514"/>
    </row>
    <row r="7861" spans="11:14" x14ac:dyDescent="0.25">
      <c r="K7861" s="312"/>
      <c r="N7861" s="514"/>
    </row>
    <row r="7862" spans="11:14" x14ac:dyDescent="0.25">
      <c r="K7862" s="312"/>
      <c r="N7862" s="514"/>
    </row>
    <row r="7863" spans="11:14" x14ac:dyDescent="0.25">
      <c r="K7863" s="312"/>
      <c r="N7863" s="514"/>
    </row>
    <row r="7864" spans="11:14" x14ac:dyDescent="0.25">
      <c r="K7864" s="312"/>
      <c r="N7864" s="514"/>
    </row>
    <row r="7865" spans="11:14" x14ac:dyDescent="0.25">
      <c r="K7865" s="312"/>
      <c r="N7865" s="514"/>
    </row>
    <row r="7866" spans="11:14" x14ac:dyDescent="0.25">
      <c r="K7866" s="312"/>
      <c r="N7866" s="514"/>
    </row>
    <row r="7867" spans="11:14" x14ac:dyDescent="0.25">
      <c r="K7867" s="312"/>
      <c r="N7867" s="514"/>
    </row>
    <row r="7868" spans="11:14" x14ac:dyDescent="0.25">
      <c r="K7868" s="312"/>
      <c r="N7868" s="514"/>
    </row>
    <row r="7869" spans="11:14" x14ac:dyDescent="0.25">
      <c r="K7869" s="312"/>
      <c r="N7869" s="514"/>
    </row>
    <row r="7870" spans="11:14" x14ac:dyDescent="0.25">
      <c r="K7870" s="312"/>
      <c r="N7870" s="514"/>
    </row>
    <row r="7871" spans="11:14" x14ac:dyDescent="0.25">
      <c r="K7871" s="312"/>
      <c r="N7871" s="514"/>
    </row>
    <row r="7872" spans="11:14" x14ac:dyDescent="0.25">
      <c r="K7872" s="312"/>
      <c r="N7872" s="514"/>
    </row>
    <row r="7873" spans="11:14" x14ac:dyDescent="0.25">
      <c r="K7873" s="312"/>
      <c r="N7873" s="514"/>
    </row>
    <row r="7874" spans="11:14" x14ac:dyDescent="0.25">
      <c r="K7874" s="312"/>
      <c r="N7874" s="514"/>
    </row>
    <row r="7875" spans="11:14" x14ac:dyDescent="0.25">
      <c r="K7875" s="312"/>
      <c r="N7875" s="514"/>
    </row>
    <row r="7876" spans="11:14" x14ac:dyDescent="0.25">
      <c r="K7876" s="312"/>
      <c r="N7876" s="514"/>
    </row>
    <row r="7877" spans="11:14" x14ac:dyDescent="0.25">
      <c r="K7877" s="312"/>
      <c r="N7877" s="514"/>
    </row>
    <row r="7878" spans="11:14" x14ac:dyDescent="0.25">
      <c r="K7878" s="312"/>
      <c r="N7878" s="514"/>
    </row>
    <row r="7879" spans="11:14" x14ac:dyDescent="0.25">
      <c r="K7879" s="312"/>
      <c r="N7879" s="514"/>
    </row>
    <row r="7880" spans="11:14" x14ac:dyDescent="0.25">
      <c r="K7880" s="312"/>
      <c r="N7880" s="514"/>
    </row>
    <row r="7881" spans="11:14" x14ac:dyDescent="0.25">
      <c r="K7881" s="312"/>
      <c r="N7881" s="514"/>
    </row>
    <row r="7882" spans="11:14" x14ac:dyDescent="0.25">
      <c r="K7882" s="312"/>
      <c r="N7882" s="514"/>
    </row>
    <row r="7883" spans="11:14" x14ac:dyDescent="0.25">
      <c r="K7883" s="312"/>
      <c r="N7883" s="514"/>
    </row>
    <row r="7884" spans="11:14" x14ac:dyDescent="0.25">
      <c r="K7884" s="312"/>
      <c r="N7884" s="514"/>
    </row>
    <row r="7885" spans="11:14" x14ac:dyDescent="0.25">
      <c r="K7885" s="312"/>
      <c r="N7885" s="514"/>
    </row>
    <row r="7886" spans="11:14" x14ac:dyDescent="0.25">
      <c r="K7886" s="312"/>
      <c r="N7886" s="514"/>
    </row>
    <row r="7887" spans="11:14" x14ac:dyDescent="0.25">
      <c r="K7887" s="312"/>
      <c r="N7887" s="514"/>
    </row>
    <row r="7888" spans="11:14" x14ac:dyDescent="0.25">
      <c r="K7888" s="312"/>
      <c r="N7888" s="514"/>
    </row>
    <row r="7889" spans="11:14" x14ac:dyDescent="0.25">
      <c r="K7889" s="312"/>
      <c r="N7889" s="514"/>
    </row>
    <row r="7890" spans="11:14" x14ac:dyDescent="0.25">
      <c r="K7890" s="312"/>
      <c r="N7890" s="514"/>
    </row>
    <row r="7891" spans="11:14" x14ac:dyDescent="0.25">
      <c r="K7891" s="312"/>
      <c r="N7891" s="514"/>
    </row>
    <row r="7892" spans="11:14" x14ac:dyDescent="0.25">
      <c r="K7892" s="312"/>
      <c r="N7892" s="514"/>
    </row>
    <row r="7893" spans="11:14" x14ac:dyDescent="0.25">
      <c r="K7893" s="312"/>
      <c r="N7893" s="514"/>
    </row>
    <row r="7894" spans="11:14" x14ac:dyDescent="0.25">
      <c r="K7894" s="312"/>
      <c r="N7894" s="514"/>
    </row>
    <row r="7895" spans="11:14" x14ac:dyDescent="0.25">
      <c r="K7895" s="312"/>
      <c r="N7895" s="514"/>
    </row>
    <row r="7896" spans="11:14" x14ac:dyDescent="0.25">
      <c r="K7896" s="312"/>
      <c r="N7896" s="514"/>
    </row>
    <row r="7897" spans="11:14" x14ac:dyDescent="0.25">
      <c r="K7897" s="312"/>
      <c r="N7897" s="514"/>
    </row>
    <row r="7898" spans="11:14" x14ac:dyDescent="0.25">
      <c r="K7898" s="312"/>
      <c r="N7898" s="514"/>
    </row>
    <row r="7899" spans="11:14" x14ac:dyDescent="0.25">
      <c r="K7899" s="312"/>
      <c r="N7899" s="514"/>
    </row>
    <row r="7900" spans="11:14" x14ac:dyDescent="0.25">
      <c r="K7900" s="312"/>
      <c r="N7900" s="514"/>
    </row>
    <row r="7901" spans="11:14" x14ac:dyDescent="0.25">
      <c r="K7901" s="312"/>
      <c r="N7901" s="514"/>
    </row>
    <row r="7902" spans="11:14" x14ac:dyDescent="0.25">
      <c r="K7902" s="312"/>
      <c r="N7902" s="514"/>
    </row>
    <row r="7903" spans="11:14" x14ac:dyDescent="0.25">
      <c r="K7903" s="312"/>
      <c r="N7903" s="514"/>
    </row>
    <row r="7904" spans="11:14" x14ac:dyDescent="0.25">
      <c r="K7904" s="312"/>
      <c r="N7904" s="514"/>
    </row>
    <row r="7905" spans="11:14" x14ac:dyDescent="0.25">
      <c r="K7905" s="312"/>
      <c r="N7905" s="514"/>
    </row>
    <row r="7906" spans="11:14" x14ac:dyDescent="0.25">
      <c r="K7906" s="312"/>
      <c r="N7906" s="514"/>
    </row>
    <row r="7907" spans="11:14" x14ac:dyDescent="0.25">
      <c r="K7907" s="312"/>
      <c r="N7907" s="514"/>
    </row>
    <row r="7908" spans="11:14" x14ac:dyDescent="0.25">
      <c r="K7908" s="312"/>
      <c r="N7908" s="514"/>
    </row>
    <row r="7909" spans="11:14" x14ac:dyDescent="0.25">
      <c r="K7909" s="312"/>
      <c r="N7909" s="514"/>
    </row>
    <row r="7910" spans="11:14" x14ac:dyDescent="0.25">
      <c r="K7910" s="312"/>
      <c r="N7910" s="514"/>
    </row>
    <row r="7911" spans="11:14" x14ac:dyDescent="0.25">
      <c r="K7911" s="312"/>
      <c r="N7911" s="514"/>
    </row>
    <row r="7912" spans="11:14" x14ac:dyDescent="0.25">
      <c r="K7912" s="312"/>
      <c r="N7912" s="514"/>
    </row>
    <row r="7913" spans="11:14" x14ac:dyDescent="0.25">
      <c r="K7913" s="312"/>
      <c r="N7913" s="514"/>
    </row>
    <row r="7914" spans="11:14" x14ac:dyDescent="0.25">
      <c r="K7914" s="312"/>
      <c r="N7914" s="514"/>
    </row>
    <row r="7915" spans="11:14" x14ac:dyDescent="0.25">
      <c r="K7915" s="312"/>
      <c r="N7915" s="514"/>
    </row>
    <row r="7916" spans="11:14" x14ac:dyDescent="0.25">
      <c r="K7916" s="312"/>
      <c r="N7916" s="514"/>
    </row>
    <row r="7917" spans="11:14" x14ac:dyDescent="0.25">
      <c r="K7917" s="312"/>
      <c r="N7917" s="514"/>
    </row>
    <row r="7918" spans="11:14" x14ac:dyDescent="0.25">
      <c r="K7918" s="312"/>
      <c r="N7918" s="514"/>
    </row>
    <row r="7919" spans="11:14" x14ac:dyDescent="0.25">
      <c r="K7919" s="312"/>
      <c r="N7919" s="514"/>
    </row>
    <row r="7920" spans="11:14" x14ac:dyDescent="0.25">
      <c r="K7920" s="312"/>
      <c r="N7920" s="514"/>
    </row>
    <row r="7921" spans="11:14" x14ac:dyDescent="0.25">
      <c r="K7921" s="312"/>
      <c r="N7921" s="514"/>
    </row>
    <row r="7922" spans="11:14" x14ac:dyDescent="0.25">
      <c r="K7922" s="312"/>
      <c r="N7922" s="514"/>
    </row>
    <row r="7923" spans="11:14" x14ac:dyDescent="0.25">
      <c r="K7923" s="312"/>
      <c r="N7923" s="514"/>
    </row>
    <row r="7924" spans="11:14" x14ac:dyDescent="0.25">
      <c r="K7924" s="312"/>
      <c r="N7924" s="514"/>
    </row>
    <row r="7925" spans="11:14" x14ac:dyDescent="0.25">
      <c r="K7925" s="312"/>
      <c r="N7925" s="514"/>
    </row>
    <row r="7926" spans="11:14" x14ac:dyDescent="0.25">
      <c r="K7926" s="312"/>
      <c r="N7926" s="514"/>
    </row>
    <row r="7927" spans="11:14" x14ac:dyDescent="0.25">
      <c r="K7927" s="312"/>
      <c r="N7927" s="514"/>
    </row>
    <row r="7928" spans="11:14" x14ac:dyDescent="0.25">
      <c r="K7928" s="312"/>
      <c r="N7928" s="514"/>
    </row>
    <row r="7929" spans="11:14" x14ac:dyDescent="0.25">
      <c r="K7929" s="312"/>
      <c r="N7929" s="514"/>
    </row>
    <row r="7930" spans="11:14" x14ac:dyDescent="0.25">
      <c r="K7930" s="312"/>
      <c r="N7930" s="514"/>
    </row>
    <row r="7931" spans="11:14" x14ac:dyDescent="0.25">
      <c r="K7931" s="312"/>
      <c r="N7931" s="514"/>
    </row>
    <row r="7932" spans="11:14" x14ac:dyDescent="0.25">
      <c r="K7932" s="312"/>
      <c r="N7932" s="514"/>
    </row>
    <row r="7933" spans="11:14" x14ac:dyDescent="0.25">
      <c r="K7933" s="312"/>
      <c r="N7933" s="514"/>
    </row>
    <row r="7934" spans="11:14" x14ac:dyDescent="0.25">
      <c r="K7934" s="312"/>
      <c r="N7934" s="514"/>
    </row>
    <row r="7935" spans="11:14" x14ac:dyDescent="0.25">
      <c r="K7935" s="312"/>
      <c r="N7935" s="514"/>
    </row>
    <row r="7936" spans="11:14" x14ac:dyDescent="0.25">
      <c r="K7936" s="312"/>
      <c r="N7936" s="514"/>
    </row>
    <row r="7937" spans="11:14" x14ac:dyDescent="0.25">
      <c r="K7937" s="312"/>
      <c r="N7937" s="514"/>
    </row>
    <row r="7938" spans="11:14" x14ac:dyDescent="0.25">
      <c r="K7938" s="312"/>
      <c r="N7938" s="514"/>
    </row>
    <row r="7939" spans="11:14" x14ac:dyDescent="0.25">
      <c r="K7939" s="312"/>
      <c r="N7939" s="514"/>
    </row>
    <row r="7940" spans="11:14" x14ac:dyDescent="0.25">
      <c r="K7940" s="312"/>
      <c r="N7940" s="514"/>
    </row>
    <row r="7941" spans="11:14" x14ac:dyDescent="0.25">
      <c r="K7941" s="312"/>
      <c r="N7941" s="514"/>
    </row>
    <row r="7942" spans="11:14" x14ac:dyDescent="0.25">
      <c r="K7942" s="312"/>
      <c r="N7942" s="514"/>
    </row>
    <row r="7943" spans="11:14" x14ac:dyDescent="0.25">
      <c r="K7943" s="312"/>
      <c r="N7943" s="514"/>
    </row>
    <row r="7944" spans="11:14" x14ac:dyDescent="0.25">
      <c r="K7944" s="312"/>
      <c r="N7944" s="514"/>
    </row>
    <row r="7945" spans="11:14" x14ac:dyDescent="0.25">
      <c r="K7945" s="312"/>
      <c r="N7945" s="514"/>
    </row>
    <row r="7946" spans="11:14" x14ac:dyDescent="0.25">
      <c r="K7946" s="312"/>
      <c r="N7946" s="514"/>
    </row>
    <row r="7947" spans="11:14" x14ac:dyDescent="0.25">
      <c r="K7947" s="312"/>
      <c r="N7947" s="514"/>
    </row>
    <row r="7948" spans="11:14" x14ac:dyDescent="0.25">
      <c r="K7948" s="312"/>
      <c r="N7948" s="514"/>
    </row>
    <row r="7949" spans="11:14" x14ac:dyDescent="0.25">
      <c r="K7949" s="312"/>
      <c r="N7949" s="514"/>
    </row>
    <row r="7950" spans="11:14" x14ac:dyDescent="0.25">
      <c r="K7950" s="312"/>
      <c r="N7950" s="514"/>
    </row>
    <row r="7951" spans="11:14" x14ac:dyDescent="0.25">
      <c r="K7951" s="312"/>
      <c r="N7951" s="514"/>
    </row>
    <row r="7952" spans="11:14" x14ac:dyDescent="0.25">
      <c r="K7952" s="312"/>
      <c r="N7952" s="514"/>
    </row>
    <row r="7953" spans="11:14" x14ac:dyDescent="0.25">
      <c r="K7953" s="312"/>
      <c r="N7953" s="514"/>
    </row>
    <row r="7954" spans="11:14" x14ac:dyDescent="0.25">
      <c r="K7954" s="312"/>
      <c r="N7954" s="514"/>
    </row>
    <row r="7955" spans="11:14" x14ac:dyDescent="0.25">
      <c r="K7955" s="312"/>
      <c r="N7955" s="514"/>
    </row>
    <row r="7956" spans="11:14" x14ac:dyDescent="0.25">
      <c r="K7956" s="312"/>
      <c r="N7956" s="514"/>
    </row>
    <row r="7957" spans="11:14" x14ac:dyDescent="0.25">
      <c r="K7957" s="312"/>
      <c r="N7957" s="514"/>
    </row>
    <row r="7958" spans="11:14" x14ac:dyDescent="0.25">
      <c r="K7958" s="312"/>
      <c r="N7958" s="514"/>
    </row>
    <row r="7959" spans="11:14" x14ac:dyDescent="0.25">
      <c r="K7959" s="312"/>
      <c r="N7959" s="514"/>
    </row>
    <row r="7960" spans="11:14" x14ac:dyDescent="0.25">
      <c r="K7960" s="312"/>
      <c r="N7960" s="514"/>
    </row>
    <row r="7961" spans="11:14" x14ac:dyDescent="0.25">
      <c r="K7961" s="312"/>
      <c r="N7961" s="514"/>
    </row>
    <row r="7962" spans="11:14" x14ac:dyDescent="0.25">
      <c r="K7962" s="312"/>
      <c r="N7962" s="514"/>
    </row>
    <row r="7963" spans="11:14" x14ac:dyDescent="0.25">
      <c r="K7963" s="312"/>
      <c r="N7963" s="514"/>
    </row>
    <row r="7964" spans="11:14" x14ac:dyDescent="0.25">
      <c r="K7964" s="312"/>
      <c r="N7964" s="514"/>
    </row>
    <row r="7965" spans="11:14" x14ac:dyDescent="0.25">
      <c r="K7965" s="312"/>
      <c r="N7965" s="514"/>
    </row>
    <row r="7966" spans="11:14" x14ac:dyDescent="0.25">
      <c r="K7966" s="312"/>
      <c r="N7966" s="514"/>
    </row>
    <row r="7967" spans="11:14" x14ac:dyDescent="0.25">
      <c r="K7967" s="312"/>
      <c r="N7967" s="514"/>
    </row>
    <row r="7968" spans="11:14" x14ac:dyDescent="0.25">
      <c r="K7968" s="312"/>
      <c r="N7968" s="514"/>
    </row>
    <row r="7969" spans="11:14" x14ac:dyDescent="0.25">
      <c r="K7969" s="312"/>
      <c r="N7969" s="514"/>
    </row>
    <row r="7970" spans="11:14" x14ac:dyDescent="0.25">
      <c r="K7970" s="312"/>
      <c r="N7970" s="514"/>
    </row>
    <row r="7971" spans="11:14" x14ac:dyDescent="0.25">
      <c r="K7971" s="312"/>
      <c r="N7971" s="514"/>
    </row>
    <row r="7972" spans="11:14" x14ac:dyDescent="0.25">
      <c r="K7972" s="312"/>
      <c r="N7972" s="514"/>
    </row>
    <row r="7973" spans="11:14" x14ac:dyDescent="0.25">
      <c r="K7973" s="312"/>
      <c r="N7973" s="514"/>
    </row>
    <row r="7974" spans="11:14" x14ac:dyDescent="0.25">
      <c r="K7974" s="312"/>
      <c r="N7974" s="514"/>
    </row>
    <row r="7975" spans="11:14" x14ac:dyDescent="0.25">
      <c r="K7975" s="312"/>
      <c r="N7975" s="514"/>
    </row>
    <row r="7976" spans="11:14" x14ac:dyDescent="0.25">
      <c r="K7976" s="312"/>
      <c r="N7976" s="514"/>
    </row>
    <row r="7977" spans="11:14" x14ac:dyDescent="0.25">
      <c r="K7977" s="312"/>
      <c r="N7977" s="514"/>
    </row>
    <row r="7978" spans="11:14" x14ac:dyDescent="0.25">
      <c r="K7978" s="312"/>
      <c r="N7978" s="514"/>
    </row>
    <row r="7979" spans="11:14" x14ac:dyDescent="0.25">
      <c r="K7979" s="312"/>
      <c r="N7979" s="514"/>
    </row>
    <row r="7980" spans="11:14" x14ac:dyDescent="0.25">
      <c r="K7980" s="312"/>
      <c r="N7980" s="514"/>
    </row>
    <row r="7981" spans="11:14" x14ac:dyDescent="0.25">
      <c r="K7981" s="312"/>
      <c r="N7981" s="514"/>
    </row>
    <row r="7982" spans="11:14" x14ac:dyDescent="0.25">
      <c r="K7982" s="312"/>
      <c r="N7982" s="514"/>
    </row>
    <row r="7983" spans="11:14" x14ac:dyDescent="0.25">
      <c r="K7983" s="312"/>
      <c r="N7983" s="514"/>
    </row>
    <row r="7984" spans="11:14" x14ac:dyDescent="0.25">
      <c r="K7984" s="312"/>
      <c r="N7984" s="514"/>
    </row>
    <row r="7985" spans="11:14" x14ac:dyDescent="0.25">
      <c r="K7985" s="312"/>
      <c r="N7985" s="514"/>
    </row>
    <row r="7986" spans="11:14" x14ac:dyDescent="0.25">
      <c r="K7986" s="312"/>
      <c r="N7986" s="514"/>
    </row>
    <row r="7987" spans="11:14" x14ac:dyDescent="0.25">
      <c r="K7987" s="312"/>
      <c r="N7987" s="514"/>
    </row>
    <row r="7988" spans="11:14" x14ac:dyDescent="0.25">
      <c r="K7988" s="312"/>
      <c r="N7988" s="514"/>
    </row>
    <row r="7989" spans="11:14" x14ac:dyDescent="0.25">
      <c r="K7989" s="312"/>
      <c r="N7989" s="514"/>
    </row>
    <row r="7990" spans="11:14" x14ac:dyDescent="0.25">
      <c r="K7990" s="312"/>
      <c r="N7990" s="514"/>
    </row>
    <row r="7991" spans="11:14" x14ac:dyDescent="0.25">
      <c r="K7991" s="312"/>
      <c r="N7991" s="514"/>
    </row>
    <row r="7992" spans="11:14" x14ac:dyDescent="0.25">
      <c r="K7992" s="312"/>
      <c r="N7992" s="514"/>
    </row>
    <row r="7993" spans="11:14" x14ac:dyDescent="0.25">
      <c r="K7993" s="312"/>
      <c r="N7993" s="514"/>
    </row>
    <row r="7994" spans="11:14" x14ac:dyDescent="0.25">
      <c r="K7994" s="312"/>
      <c r="N7994" s="514"/>
    </row>
    <row r="7995" spans="11:14" x14ac:dyDescent="0.25">
      <c r="K7995" s="312"/>
      <c r="N7995" s="514"/>
    </row>
    <row r="7996" spans="11:14" x14ac:dyDescent="0.25">
      <c r="K7996" s="312"/>
      <c r="N7996" s="514"/>
    </row>
    <row r="7997" spans="11:14" x14ac:dyDescent="0.25">
      <c r="K7997" s="312"/>
      <c r="N7997" s="514"/>
    </row>
    <row r="7998" spans="11:14" x14ac:dyDescent="0.25">
      <c r="K7998" s="312"/>
      <c r="N7998" s="514"/>
    </row>
    <row r="7999" spans="11:14" x14ac:dyDescent="0.25">
      <c r="K7999" s="312"/>
      <c r="N7999" s="514"/>
    </row>
    <row r="8000" spans="11:14" x14ac:dyDescent="0.25">
      <c r="K8000" s="312"/>
      <c r="N8000" s="514"/>
    </row>
    <row r="8001" spans="11:14" x14ac:dyDescent="0.25">
      <c r="K8001" s="312"/>
      <c r="N8001" s="514"/>
    </row>
    <row r="8002" spans="11:14" x14ac:dyDescent="0.25">
      <c r="K8002" s="312"/>
      <c r="N8002" s="514"/>
    </row>
    <row r="8003" spans="11:14" x14ac:dyDescent="0.25">
      <c r="K8003" s="312"/>
      <c r="N8003" s="514"/>
    </row>
    <row r="8004" spans="11:14" x14ac:dyDescent="0.25">
      <c r="K8004" s="312"/>
      <c r="N8004" s="514"/>
    </row>
    <row r="8005" spans="11:14" x14ac:dyDescent="0.25">
      <c r="K8005" s="312"/>
      <c r="N8005" s="514"/>
    </row>
    <row r="8006" spans="11:14" x14ac:dyDescent="0.25">
      <c r="K8006" s="312"/>
      <c r="N8006" s="514"/>
    </row>
    <row r="8007" spans="11:14" x14ac:dyDescent="0.25">
      <c r="K8007" s="312"/>
      <c r="N8007" s="514"/>
    </row>
    <row r="8008" spans="11:14" x14ac:dyDescent="0.25">
      <c r="K8008" s="312"/>
      <c r="N8008" s="514"/>
    </row>
    <row r="8009" spans="11:14" x14ac:dyDescent="0.25">
      <c r="K8009" s="312"/>
      <c r="N8009" s="514"/>
    </row>
    <row r="8010" spans="11:14" x14ac:dyDescent="0.25">
      <c r="K8010" s="312"/>
      <c r="N8010" s="514"/>
    </row>
    <row r="8011" spans="11:14" x14ac:dyDescent="0.25">
      <c r="K8011" s="312"/>
      <c r="N8011" s="514"/>
    </row>
    <row r="8012" spans="11:14" x14ac:dyDescent="0.25">
      <c r="K8012" s="312"/>
      <c r="N8012" s="514"/>
    </row>
    <row r="8013" spans="11:14" x14ac:dyDescent="0.25">
      <c r="K8013" s="312"/>
      <c r="N8013" s="514"/>
    </row>
    <row r="8014" spans="11:14" x14ac:dyDescent="0.25">
      <c r="K8014" s="312"/>
      <c r="N8014" s="514"/>
    </row>
    <row r="8015" spans="11:14" x14ac:dyDescent="0.25">
      <c r="K8015" s="312"/>
      <c r="N8015" s="514"/>
    </row>
    <row r="8016" spans="11:14" x14ac:dyDescent="0.25">
      <c r="K8016" s="312"/>
      <c r="N8016" s="514"/>
    </row>
    <row r="8017" spans="11:14" x14ac:dyDescent="0.25">
      <c r="K8017" s="312"/>
      <c r="N8017" s="514"/>
    </row>
    <row r="8018" spans="11:14" x14ac:dyDescent="0.25">
      <c r="K8018" s="312"/>
      <c r="N8018" s="514"/>
    </row>
    <row r="8019" spans="11:14" x14ac:dyDescent="0.25">
      <c r="K8019" s="312"/>
      <c r="N8019" s="514"/>
    </row>
    <row r="8020" spans="11:14" x14ac:dyDescent="0.25">
      <c r="K8020" s="312"/>
      <c r="N8020" s="514"/>
    </row>
    <row r="8021" spans="11:14" x14ac:dyDescent="0.25">
      <c r="K8021" s="312"/>
      <c r="N8021" s="514"/>
    </row>
    <row r="8022" spans="11:14" x14ac:dyDescent="0.25">
      <c r="K8022" s="312"/>
      <c r="N8022" s="514"/>
    </row>
    <row r="8023" spans="11:14" x14ac:dyDescent="0.25">
      <c r="K8023" s="312"/>
      <c r="N8023" s="514"/>
    </row>
    <row r="8024" spans="11:14" x14ac:dyDescent="0.25">
      <c r="K8024" s="312"/>
      <c r="N8024" s="514"/>
    </row>
    <row r="8025" spans="11:14" x14ac:dyDescent="0.25">
      <c r="K8025" s="312"/>
      <c r="N8025" s="514"/>
    </row>
    <row r="8026" spans="11:14" x14ac:dyDescent="0.25">
      <c r="K8026" s="312"/>
      <c r="N8026" s="514"/>
    </row>
    <row r="8027" spans="11:14" x14ac:dyDescent="0.25">
      <c r="K8027" s="312"/>
      <c r="N8027" s="514"/>
    </row>
    <row r="8028" spans="11:14" x14ac:dyDescent="0.25">
      <c r="K8028" s="312"/>
      <c r="N8028" s="514"/>
    </row>
    <row r="8029" spans="11:14" x14ac:dyDescent="0.25">
      <c r="K8029" s="312"/>
      <c r="N8029" s="514"/>
    </row>
    <row r="8030" spans="11:14" x14ac:dyDescent="0.25">
      <c r="K8030" s="312"/>
      <c r="N8030" s="514"/>
    </row>
    <row r="8031" spans="11:14" x14ac:dyDescent="0.25">
      <c r="K8031" s="312"/>
      <c r="N8031" s="514"/>
    </row>
    <row r="8032" spans="11:14" x14ac:dyDescent="0.25">
      <c r="K8032" s="312"/>
      <c r="N8032" s="514"/>
    </row>
    <row r="8033" spans="11:14" x14ac:dyDescent="0.25">
      <c r="K8033" s="312"/>
      <c r="N8033" s="514"/>
    </row>
    <row r="8034" spans="11:14" x14ac:dyDescent="0.25">
      <c r="K8034" s="312"/>
      <c r="N8034" s="514"/>
    </row>
    <row r="8035" spans="11:14" x14ac:dyDescent="0.25">
      <c r="K8035" s="312"/>
      <c r="N8035" s="514"/>
    </row>
    <row r="8036" spans="11:14" x14ac:dyDescent="0.25">
      <c r="K8036" s="312"/>
      <c r="N8036" s="514"/>
    </row>
    <row r="8037" spans="11:14" x14ac:dyDescent="0.25">
      <c r="K8037" s="312"/>
      <c r="N8037" s="514"/>
    </row>
    <row r="8038" spans="11:14" x14ac:dyDescent="0.25">
      <c r="K8038" s="312"/>
      <c r="N8038" s="514"/>
    </row>
    <row r="8039" spans="11:14" x14ac:dyDescent="0.25">
      <c r="K8039" s="312"/>
      <c r="N8039" s="514"/>
    </row>
    <row r="8040" spans="11:14" x14ac:dyDescent="0.25">
      <c r="K8040" s="312"/>
      <c r="N8040" s="514"/>
    </row>
    <row r="8041" spans="11:14" x14ac:dyDescent="0.25">
      <c r="K8041" s="312"/>
      <c r="N8041" s="514"/>
    </row>
    <row r="8042" spans="11:14" x14ac:dyDescent="0.25">
      <c r="K8042" s="312"/>
      <c r="N8042" s="514"/>
    </row>
    <row r="8043" spans="11:14" x14ac:dyDescent="0.25">
      <c r="K8043" s="312"/>
      <c r="N8043" s="514"/>
    </row>
    <row r="8044" spans="11:14" x14ac:dyDescent="0.25">
      <c r="K8044" s="312"/>
      <c r="N8044" s="514"/>
    </row>
    <row r="8045" spans="11:14" x14ac:dyDescent="0.25">
      <c r="K8045" s="312"/>
      <c r="N8045" s="514"/>
    </row>
    <row r="8046" spans="11:14" x14ac:dyDescent="0.25">
      <c r="K8046" s="312"/>
      <c r="N8046" s="514"/>
    </row>
    <row r="8047" spans="11:14" x14ac:dyDescent="0.25">
      <c r="K8047" s="312"/>
      <c r="N8047" s="514"/>
    </row>
    <row r="8048" spans="11:14" x14ac:dyDescent="0.25">
      <c r="K8048" s="312"/>
      <c r="N8048" s="514"/>
    </row>
    <row r="8049" spans="11:14" x14ac:dyDescent="0.25">
      <c r="K8049" s="312"/>
      <c r="N8049" s="514"/>
    </row>
    <row r="8050" spans="11:14" x14ac:dyDescent="0.25">
      <c r="K8050" s="312"/>
      <c r="N8050" s="514"/>
    </row>
    <row r="8051" spans="11:14" x14ac:dyDescent="0.25">
      <c r="K8051" s="312"/>
      <c r="N8051" s="514"/>
    </row>
    <row r="8052" spans="11:14" x14ac:dyDescent="0.25">
      <c r="K8052" s="312"/>
      <c r="N8052" s="514"/>
    </row>
    <row r="8053" spans="11:14" x14ac:dyDescent="0.25">
      <c r="K8053" s="312"/>
      <c r="N8053" s="514"/>
    </row>
    <row r="8054" spans="11:14" x14ac:dyDescent="0.25">
      <c r="K8054" s="312"/>
      <c r="N8054" s="514"/>
    </row>
    <row r="8055" spans="11:14" x14ac:dyDescent="0.25">
      <c r="K8055" s="312"/>
      <c r="N8055" s="514"/>
    </row>
    <row r="8056" spans="11:14" x14ac:dyDescent="0.25">
      <c r="K8056" s="312"/>
      <c r="N8056" s="514"/>
    </row>
    <row r="8057" spans="11:14" x14ac:dyDescent="0.25">
      <c r="K8057" s="312"/>
      <c r="N8057" s="514"/>
    </row>
    <row r="8058" spans="11:14" x14ac:dyDescent="0.25">
      <c r="K8058" s="312"/>
      <c r="N8058" s="514"/>
    </row>
    <row r="8059" spans="11:14" x14ac:dyDescent="0.25">
      <c r="K8059" s="312"/>
      <c r="N8059" s="514"/>
    </row>
    <row r="8060" spans="11:14" x14ac:dyDescent="0.25">
      <c r="K8060" s="312"/>
      <c r="N8060" s="514"/>
    </row>
    <row r="8061" spans="11:14" x14ac:dyDescent="0.25">
      <c r="K8061" s="312"/>
      <c r="N8061" s="514"/>
    </row>
    <row r="8062" spans="11:14" x14ac:dyDescent="0.25">
      <c r="K8062" s="312"/>
      <c r="N8062" s="514"/>
    </row>
    <row r="8063" spans="11:14" x14ac:dyDescent="0.25">
      <c r="K8063" s="312"/>
      <c r="N8063" s="514"/>
    </row>
    <row r="8064" spans="11:14" x14ac:dyDescent="0.25">
      <c r="K8064" s="312"/>
      <c r="N8064" s="514"/>
    </row>
    <row r="8065" spans="11:14" x14ac:dyDescent="0.25">
      <c r="K8065" s="312"/>
      <c r="N8065" s="514"/>
    </row>
    <row r="8066" spans="11:14" x14ac:dyDescent="0.25">
      <c r="K8066" s="312"/>
      <c r="N8066" s="514"/>
    </row>
    <row r="8067" spans="11:14" x14ac:dyDescent="0.25">
      <c r="K8067" s="312"/>
      <c r="N8067" s="514"/>
    </row>
    <row r="8068" spans="11:14" x14ac:dyDescent="0.25">
      <c r="K8068" s="312"/>
      <c r="N8068" s="514"/>
    </row>
    <row r="8069" spans="11:14" x14ac:dyDescent="0.25">
      <c r="K8069" s="312"/>
      <c r="N8069" s="514"/>
    </row>
    <row r="8070" spans="11:14" x14ac:dyDescent="0.25">
      <c r="K8070" s="312"/>
      <c r="N8070" s="514"/>
    </row>
    <row r="8071" spans="11:14" x14ac:dyDescent="0.25">
      <c r="K8071" s="312"/>
      <c r="N8071" s="514"/>
    </row>
    <row r="8072" spans="11:14" x14ac:dyDescent="0.25">
      <c r="K8072" s="312"/>
      <c r="N8072" s="514"/>
    </row>
    <row r="8073" spans="11:14" x14ac:dyDescent="0.25">
      <c r="K8073" s="312"/>
      <c r="N8073" s="514"/>
    </row>
    <row r="8074" spans="11:14" x14ac:dyDescent="0.25">
      <c r="K8074" s="312"/>
      <c r="N8074" s="514"/>
    </row>
    <row r="8075" spans="11:14" x14ac:dyDescent="0.25">
      <c r="K8075" s="312"/>
      <c r="N8075" s="514"/>
    </row>
    <row r="8076" spans="11:14" x14ac:dyDescent="0.25">
      <c r="K8076" s="312"/>
      <c r="N8076" s="514"/>
    </row>
    <row r="8077" spans="11:14" x14ac:dyDescent="0.25">
      <c r="K8077" s="312"/>
      <c r="N8077" s="514"/>
    </row>
    <row r="8078" spans="11:14" x14ac:dyDescent="0.25">
      <c r="K8078" s="312"/>
      <c r="N8078" s="514"/>
    </row>
    <row r="8079" spans="11:14" x14ac:dyDescent="0.25">
      <c r="K8079" s="312"/>
      <c r="N8079" s="514"/>
    </row>
    <row r="8080" spans="11:14" x14ac:dyDescent="0.25">
      <c r="K8080" s="312"/>
      <c r="N8080" s="514"/>
    </row>
    <row r="8081" spans="11:14" x14ac:dyDescent="0.25">
      <c r="K8081" s="312"/>
      <c r="N8081" s="514"/>
    </row>
    <row r="8082" spans="11:14" x14ac:dyDescent="0.25">
      <c r="K8082" s="312"/>
      <c r="N8082" s="514"/>
    </row>
    <row r="8083" spans="11:14" x14ac:dyDescent="0.25">
      <c r="K8083" s="312"/>
      <c r="N8083" s="514"/>
    </row>
    <row r="8084" spans="11:14" x14ac:dyDescent="0.25">
      <c r="K8084" s="312"/>
      <c r="N8084" s="514"/>
    </row>
    <row r="8085" spans="11:14" x14ac:dyDescent="0.25">
      <c r="K8085" s="312"/>
      <c r="N8085" s="514"/>
    </row>
    <row r="8086" spans="11:14" x14ac:dyDescent="0.25">
      <c r="K8086" s="312"/>
      <c r="N8086" s="514"/>
    </row>
    <row r="8087" spans="11:14" x14ac:dyDescent="0.25">
      <c r="K8087" s="312"/>
      <c r="N8087" s="514"/>
    </row>
    <row r="8088" spans="11:14" x14ac:dyDescent="0.25">
      <c r="K8088" s="312"/>
      <c r="N8088" s="514"/>
    </row>
    <row r="8089" spans="11:14" x14ac:dyDescent="0.25">
      <c r="K8089" s="312"/>
      <c r="N8089" s="514"/>
    </row>
    <row r="8090" spans="11:14" x14ac:dyDescent="0.25">
      <c r="K8090" s="312"/>
      <c r="N8090" s="514"/>
    </row>
    <row r="8091" spans="11:14" x14ac:dyDescent="0.25">
      <c r="K8091" s="312"/>
      <c r="N8091" s="514"/>
    </row>
    <row r="8092" spans="11:14" x14ac:dyDescent="0.25">
      <c r="K8092" s="312"/>
      <c r="N8092" s="514"/>
    </row>
    <row r="8093" spans="11:14" x14ac:dyDescent="0.25">
      <c r="K8093" s="312"/>
      <c r="N8093" s="514"/>
    </row>
    <row r="8094" spans="11:14" x14ac:dyDescent="0.25">
      <c r="K8094" s="312"/>
      <c r="N8094" s="514"/>
    </row>
    <row r="8095" spans="11:14" x14ac:dyDescent="0.25">
      <c r="K8095" s="312"/>
      <c r="N8095" s="514"/>
    </row>
    <row r="8096" spans="11:14" x14ac:dyDescent="0.25">
      <c r="K8096" s="312"/>
      <c r="N8096" s="514"/>
    </row>
    <row r="8097" spans="11:14" x14ac:dyDescent="0.25">
      <c r="K8097" s="312"/>
      <c r="N8097" s="514"/>
    </row>
    <row r="8098" spans="11:14" x14ac:dyDescent="0.25">
      <c r="K8098" s="312"/>
      <c r="N8098" s="514"/>
    </row>
    <row r="8099" spans="11:14" x14ac:dyDescent="0.25">
      <c r="K8099" s="312"/>
      <c r="N8099" s="514"/>
    </row>
    <row r="8100" spans="11:14" x14ac:dyDescent="0.25">
      <c r="K8100" s="312"/>
      <c r="N8100" s="514"/>
    </row>
    <row r="8101" spans="11:14" x14ac:dyDescent="0.25">
      <c r="K8101" s="312"/>
      <c r="N8101" s="514"/>
    </row>
    <row r="8102" spans="11:14" x14ac:dyDescent="0.25">
      <c r="K8102" s="312"/>
      <c r="N8102" s="514"/>
    </row>
    <row r="8103" spans="11:14" x14ac:dyDescent="0.25">
      <c r="K8103" s="312"/>
      <c r="N8103" s="514"/>
    </row>
    <row r="8104" spans="11:14" x14ac:dyDescent="0.25">
      <c r="K8104" s="312"/>
      <c r="N8104" s="514"/>
    </row>
    <row r="8105" spans="11:14" x14ac:dyDescent="0.25">
      <c r="K8105" s="312"/>
      <c r="N8105" s="514"/>
    </row>
    <row r="8106" spans="11:14" x14ac:dyDescent="0.25">
      <c r="K8106" s="312"/>
      <c r="N8106" s="514"/>
    </row>
    <row r="8107" spans="11:14" x14ac:dyDescent="0.25">
      <c r="K8107" s="312"/>
      <c r="N8107" s="514"/>
    </row>
    <row r="8108" spans="11:14" x14ac:dyDescent="0.25">
      <c r="K8108" s="312"/>
      <c r="N8108" s="514"/>
    </row>
    <row r="8109" spans="11:14" x14ac:dyDescent="0.25">
      <c r="K8109" s="312"/>
      <c r="N8109" s="514"/>
    </row>
    <row r="8110" spans="11:14" x14ac:dyDescent="0.25">
      <c r="K8110" s="312"/>
      <c r="N8110" s="514"/>
    </row>
    <row r="8111" spans="11:14" x14ac:dyDescent="0.25">
      <c r="K8111" s="312"/>
      <c r="N8111" s="514"/>
    </row>
    <row r="8112" spans="11:14" x14ac:dyDescent="0.25">
      <c r="K8112" s="312"/>
      <c r="N8112" s="514"/>
    </row>
    <row r="8113" spans="11:14" x14ac:dyDescent="0.25">
      <c r="K8113" s="312"/>
      <c r="N8113" s="514"/>
    </row>
    <row r="8114" spans="11:14" x14ac:dyDescent="0.25">
      <c r="K8114" s="312"/>
      <c r="N8114" s="514"/>
    </row>
    <row r="8115" spans="11:14" x14ac:dyDescent="0.25">
      <c r="K8115" s="312"/>
      <c r="N8115" s="514"/>
    </row>
    <row r="8116" spans="11:14" x14ac:dyDescent="0.25">
      <c r="K8116" s="312"/>
      <c r="N8116" s="514"/>
    </row>
    <row r="8117" spans="11:14" x14ac:dyDescent="0.25">
      <c r="K8117" s="312"/>
      <c r="N8117" s="514"/>
    </row>
    <row r="8118" spans="11:14" x14ac:dyDescent="0.25">
      <c r="K8118" s="312"/>
      <c r="N8118" s="514"/>
    </row>
    <row r="8119" spans="11:14" x14ac:dyDescent="0.25">
      <c r="K8119" s="312"/>
      <c r="N8119" s="514"/>
    </row>
    <row r="8120" spans="11:14" x14ac:dyDescent="0.25">
      <c r="K8120" s="312"/>
      <c r="N8120" s="514"/>
    </row>
    <row r="8121" spans="11:14" x14ac:dyDescent="0.25">
      <c r="K8121" s="312"/>
      <c r="N8121" s="514"/>
    </row>
    <row r="8122" spans="11:14" x14ac:dyDescent="0.25">
      <c r="K8122" s="312"/>
      <c r="N8122" s="514"/>
    </row>
    <row r="8123" spans="11:14" x14ac:dyDescent="0.25">
      <c r="K8123" s="312"/>
      <c r="N8123" s="514"/>
    </row>
    <row r="8124" spans="11:14" x14ac:dyDescent="0.25">
      <c r="K8124" s="312"/>
      <c r="N8124" s="514"/>
    </row>
    <row r="8125" spans="11:14" x14ac:dyDescent="0.25">
      <c r="K8125" s="312"/>
      <c r="N8125" s="514"/>
    </row>
    <row r="8126" spans="11:14" x14ac:dyDescent="0.25">
      <c r="K8126" s="312"/>
      <c r="N8126" s="514"/>
    </row>
    <row r="8127" spans="11:14" x14ac:dyDescent="0.25">
      <c r="K8127" s="312"/>
      <c r="N8127" s="514"/>
    </row>
    <row r="8128" spans="11:14" x14ac:dyDescent="0.25">
      <c r="K8128" s="312"/>
      <c r="N8128" s="514"/>
    </row>
    <row r="8129" spans="11:14" x14ac:dyDescent="0.25">
      <c r="K8129" s="312"/>
      <c r="N8129" s="514"/>
    </row>
    <row r="8130" spans="11:14" x14ac:dyDescent="0.25">
      <c r="K8130" s="312"/>
      <c r="N8130" s="514"/>
    </row>
    <row r="8131" spans="11:14" x14ac:dyDescent="0.25">
      <c r="K8131" s="312"/>
      <c r="N8131" s="514"/>
    </row>
    <row r="8132" spans="11:14" x14ac:dyDescent="0.25">
      <c r="K8132" s="312"/>
      <c r="N8132" s="514"/>
    </row>
    <row r="8133" spans="11:14" x14ac:dyDescent="0.25">
      <c r="K8133" s="312"/>
      <c r="N8133" s="514"/>
    </row>
    <row r="8134" spans="11:14" x14ac:dyDescent="0.25">
      <c r="K8134" s="312"/>
      <c r="N8134" s="514"/>
    </row>
    <row r="8135" spans="11:14" x14ac:dyDescent="0.25">
      <c r="K8135" s="312"/>
      <c r="N8135" s="514"/>
    </row>
    <row r="8136" spans="11:14" x14ac:dyDescent="0.25">
      <c r="K8136" s="312"/>
      <c r="N8136" s="514"/>
    </row>
    <row r="8137" spans="11:14" x14ac:dyDescent="0.25">
      <c r="K8137" s="312"/>
      <c r="N8137" s="514"/>
    </row>
    <row r="8138" spans="11:14" x14ac:dyDescent="0.25">
      <c r="K8138" s="312"/>
      <c r="N8138" s="514"/>
    </row>
    <row r="8139" spans="11:14" x14ac:dyDescent="0.25">
      <c r="K8139" s="312"/>
      <c r="N8139" s="514"/>
    </row>
    <row r="8140" spans="11:14" x14ac:dyDescent="0.25">
      <c r="K8140" s="312"/>
      <c r="N8140" s="514"/>
    </row>
    <row r="8141" spans="11:14" x14ac:dyDescent="0.25">
      <c r="K8141" s="312"/>
      <c r="N8141" s="514"/>
    </row>
    <row r="8142" spans="11:14" x14ac:dyDescent="0.25">
      <c r="K8142" s="312"/>
      <c r="N8142" s="514"/>
    </row>
    <row r="8143" spans="11:14" x14ac:dyDescent="0.25">
      <c r="K8143" s="312"/>
      <c r="N8143" s="514"/>
    </row>
    <row r="8144" spans="11:14" x14ac:dyDescent="0.25">
      <c r="K8144" s="312"/>
      <c r="N8144" s="514"/>
    </row>
    <row r="8145" spans="11:14" x14ac:dyDescent="0.25">
      <c r="K8145" s="312"/>
      <c r="N8145" s="514"/>
    </row>
    <row r="8146" spans="11:14" x14ac:dyDescent="0.25">
      <c r="K8146" s="312"/>
      <c r="N8146" s="514"/>
    </row>
    <row r="8147" spans="11:14" x14ac:dyDescent="0.25">
      <c r="K8147" s="312"/>
      <c r="N8147" s="514"/>
    </row>
    <row r="8148" spans="11:14" x14ac:dyDescent="0.25">
      <c r="K8148" s="312"/>
      <c r="N8148" s="514"/>
    </row>
    <row r="8149" spans="11:14" x14ac:dyDescent="0.25">
      <c r="K8149" s="312"/>
      <c r="N8149" s="514"/>
    </row>
    <row r="8150" spans="11:14" x14ac:dyDescent="0.25">
      <c r="K8150" s="312"/>
      <c r="N8150" s="514"/>
    </row>
    <row r="8151" spans="11:14" x14ac:dyDescent="0.25">
      <c r="K8151" s="312"/>
      <c r="N8151" s="514"/>
    </row>
    <row r="8152" spans="11:14" x14ac:dyDescent="0.25">
      <c r="K8152" s="312"/>
      <c r="N8152" s="514"/>
    </row>
    <row r="8153" spans="11:14" x14ac:dyDescent="0.25">
      <c r="K8153" s="312"/>
      <c r="N8153" s="514"/>
    </row>
    <row r="8154" spans="11:14" x14ac:dyDescent="0.25">
      <c r="K8154" s="312"/>
      <c r="N8154" s="514"/>
    </row>
    <row r="8155" spans="11:14" x14ac:dyDescent="0.25">
      <c r="K8155" s="312"/>
      <c r="N8155" s="514"/>
    </row>
    <row r="8156" spans="11:14" x14ac:dyDescent="0.25">
      <c r="K8156" s="312"/>
      <c r="N8156" s="514"/>
    </row>
    <row r="8157" spans="11:14" x14ac:dyDescent="0.25">
      <c r="K8157" s="312"/>
      <c r="N8157" s="514"/>
    </row>
    <row r="8158" spans="11:14" x14ac:dyDescent="0.25">
      <c r="K8158" s="312"/>
      <c r="N8158" s="514"/>
    </row>
    <row r="8159" spans="11:14" x14ac:dyDescent="0.25">
      <c r="K8159" s="312"/>
      <c r="N8159" s="514"/>
    </row>
    <row r="8160" spans="11:14" x14ac:dyDescent="0.25">
      <c r="K8160" s="312"/>
      <c r="N8160" s="514"/>
    </row>
    <row r="8161" spans="11:14" x14ac:dyDescent="0.25">
      <c r="K8161" s="312"/>
      <c r="N8161" s="514"/>
    </row>
    <row r="8162" spans="11:14" x14ac:dyDescent="0.25">
      <c r="K8162" s="312"/>
      <c r="N8162" s="514"/>
    </row>
    <row r="8163" spans="11:14" x14ac:dyDescent="0.25">
      <c r="K8163" s="312"/>
      <c r="N8163" s="514"/>
    </row>
    <row r="8164" spans="11:14" x14ac:dyDescent="0.25">
      <c r="K8164" s="312"/>
      <c r="N8164" s="514"/>
    </row>
    <row r="8165" spans="11:14" x14ac:dyDescent="0.25">
      <c r="K8165" s="312"/>
      <c r="N8165" s="514"/>
    </row>
    <row r="8166" spans="11:14" x14ac:dyDescent="0.25">
      <c r="K8166" s="312"/>
      <c r="N8166" s="514"/>
    </row>
    <row r="8167" spans="11:14" x14ac:dyDescent="0.25">
      <c r="K8167" s="312"/>
      <c r="N8167" s="514"/>
    </row>
    <row r="8168" spans="11:14" x14ac:dyDescent="0.25">
      <c r="K8168" s="312"/>
      <c r="N8168" s="514"/>
    </row>
    <row r="8169" spans="11:14" x14ac:dyDescent="0.25">
      <c r="K8169" s="312"/>
      <c r="N8169" s="514"/>
    </row>
    <row r="8170" spans="11:14" x14ac:dyDescent="0.25">
      <c r="K8170" s="312"/>
      <c r="N8170" s="514"/>
    </row>
    <row r="8171" spans="11:14" x14ac:dyDescent="0.25">
      <c r="K8171" s="312"/>
      <c r="N8171" s="514"/>
    </row>
    <row r="8172" spans="11:14" x14ac:dyDescent="0.25">
      <c r="K8172" s="312"/>
      <c r="N8172" s="514"/>
    </row>
    <row r="8173" spans="11:14" x14ac:dyDescent="0.25">
      <c r="K8173" s="312"/>
      <c r="N8173" s="514"/>
    </row>
    <row r="8174" spans="11:14" x14ac:dyDescent="0.25">
      <c r="K8174" s="312"/>
      <c r="N8174" s="514"/>
    </row>
    <row r="8175" spans="11:14" x14ac:dyDescent="0.25">
      <c r="K8175" s="312"/>
      <c r="N8175" s="514"/>
    </row>
    <row r="8176" spans="11:14" x14ac:dyDescent="0.25">
      <c r="K8176" s="312"/>
      <c r="N8176" s="514"/>
    </row>
    <row r="8177" spans="11:14" x14ac:dyDescent="0.25">
      <c r="K8177" s="312"/>
      <c r="N8177" s="514"/>
    </row>
    <row r="8178" spans="11:14" x14ac:dyDescent="0.25">
      <c r="K8178" s="312"/>
      <c r="N8178" s="514"/>
    </row>
    <row r="8179" spans="11:14" x14ac:dyDescent="0.25">
      <c r="K8179" s="312"/>
      <c r="N8179" s="514"/>
    </row>
    <row r="8180" spans="11:14" x14ac:dyDescent="0.25">
      <c r="K8180" s="312"/>
      <c r="N8180" s="514"/>
    </row>
    <row r="8181" spans="11:14" x14ac:dyDescent="0.25">
      <c r="K8181" s="312"/>
      <c r="N8181" s="514"/>
    </row>
    <row r="8182" spans="11:14" x14ac:dyDescent="0.25">
      <c r="K8182" s="312"/>
      <c r="N8182" s="514"/>
    </row>
    <row r="8183" spans="11:14" x14ac:dyDescent="0.25">
      <c r="K8183" s="312"/>
      <c r="N8183" s="514"/>
    </row>
    <row r="8184" spans="11:14" x14ac:dyDescent="0.25">
      <c r="K8184" s="312"/>
      <c r="N8184" s="514"/>
    </row>
    <row r="8185" spans="11:14" x14ac:dyDescent="0.25">
      <c r="K8185" s="312"/>
      <c r="N8185" s="514"/>
    </row>
    <row r="8186" spans="11:14" x14ac:dyDescent="0.25">
      <c r="K8186" s="312"/>
      <c r="N8186" s="514"/>
    </row>
    <row r="8187" spans="11:14" x14ac:dyDescent="0.25">
      <c r="K8187" s="312"/>
      <c r="N8187" s="514"/>
    </row>
    <row r="8188" spans="11:14" x14ac:dyDescent="0.25">
      <c r="K8188" s="312"/>
      <c r="N8188" s="514"/>
    </row>
    <row r="8189" spans="11:14" x14ac:dyDescent="0.25">
      <c r="K8189" s="312"/>
      <c r="N8189" s="514"/>
    </row>
    <row r="8190" spans="11:14" x14ac:dyDescent="0.25">
      <c r="K8190" s="312"/>
      <c r="N8190" s="514"/>
    </row>
    <row r="8191" spans="11:14" x14ac:dyDescent="0.25">
      <c r="K8191" s="312"/>
      <c r="N8191" s="514"/>
    </row>
    <row r="8192" spans="11:14" x14ac:dyDescent="0.25">
      <c r="K8192" s="312"/>
      <c r="N8192" s="514"/>
    </row>
    <row r="8193" spans="11:14" x14ac:dyDescent="0.25">
      <c r="K8193" s="312"/>
      <c r="N8193" s="514"/>
    </row>
    <row r="8194" spans="11:14" x14ac:dyDescent="0.25">
      <c r="K8194" s="312"/>
      <c r="N8194" s="514"/>
    </row>
    <row r="8195" spans="11:14" x14ac:dyDescent="0.25">
      <c r="K8195" s="312"/>
      <c r="N8195" s="514"/>
    </row>
    <row r="8196" spans="11:14" x14ac:dyDescent="0.25">
      <c r="K8196" s="312"/>
      <c r="N8196" s="514"/>
    </row>
    <row r="8197" spans="11:14" x14ac:dyDescent="0.25">
      <c r="K8197" s="312"/>
      <c r="N8197" s="514"/>
    </row>
    <row r="8198" spans="11:14" x14ac:dyDescent="0.25">
      <c r="K8198" s="312"/>
      <c r="N8198" s="514"/>
    </row>
    <row r="8199" spans="11:14" x14ac:dyDescent="0.25">
      <c r="K8199" s="312"/>
      <c r="N8199" s="514"/>
    </row>
    <row r="8200" spans="11:14" x14ac:dyDescent="0.25">
      <c r="K8200" s="312"/>
      <c r="N8200" s="514"/>
    </row>
    <row r="8201" spans="11:14" x14ac:dyDescent="0.25">
      <c r="K8201" s="312"/>
      <c r="N8201" s="514"/>
    </row>
    <row r="8202" spans="11:14" x14ac:dyDescent="0.25">
      <c r="K8202" s="312"/>
      <c r="N8202" s="514"/>
    </row>
    <row r="8203" spans="11:14" x14ac:dyDescent="0.25">
      <c r="K8203" s="312"/>
      <c r="N8203" s="514"/>
    </row>
    <row r="8204" spans="11:14" x14ac:dyDescent="0.25">
      <c r="K8204" s="312"/>
      <c r="N8204" s="514"/>
    </row>
    <row r="8205" spans="11:14" x14ac:dyDescent="0.25">
      <c r="K8205" s="312"/>
      <c r="N8205" s="514"/>
    </row>
    <row r="8206" spans="11:14" x14ac:dyDescent="0.25">
      <c r="K8206" s="312"/>
      <c r="N8206" s="514"/>
    </row>
    <row r="8207" spans="11:14" x14ac:dyDescent="0.25">
      <c r="K8207" s="312"/>
      <c r="N8207" s="514"/>
    </row>
    <row r="8208" spans="11:14" x14ac:dyDescent="0.25">
      <c r="K8208" s="312"/>
      <c r="N8208" s="514"/>
    </row>
    <row r="8209" spans="11:14" x14ac:dyDescent="0.25">
      <c r="K8209" s="312"/>
      <c r="N8209" s="514"/>
    </row>
    <row r="8210" spans="11:14" x14ac:dyDescent="0.25">
      <c r="K8210" s="312"/>
      <c r="N8210" s="514"/>
    </row>
    <row r="8211" spans="11:14" x14ac:dyDescent="0.25">
      <c r="K8211" s="312"/>
      <c r="N8211" s="514"/>
    </row>
    <row r="8212" spans="11:14" x14ac:dyDescent="0.25">
      <c r="K8212" s="312"/>
      <c r="N8212" s="514"/>
    </row>
    <row r="8213" spans="11:14" x14ac:dyDescent="0.25">
      <c r="K8213" s="312"/>
      <c r="N8213" s="514"/>
    </row>
    <row r="8214" spans="11:14" x14ac:dyDescent="0.25">
      <c r="K8214" s="312"/>
      <c r="N8214" s="514"/>
    </row>
    <row r="8215" spans="11:14" x14ac:dyDescent="0.25">
      <c r="K8215" s="312"/>
      <c r="N8215" s="514"/>
    </row>
    <row r="8216" spans="11:14" x14ac:dyDescent="0.25">
      <c r="K8216" s="312"/>
      <c r="N8216" s="514"/>
    </row>
    <row r="8217" spans="11:14" x14ac:dyDescent="0.25">
      <c r="K8217" s="312"/>
      <c r="N8217" s="514"/>
    </row>
    <row r="8218" spans="11:14" x14ac:dyDescent="0.25">
      <c r="K8218" s="312"/>
      <c r="N8218" s="514"/>
    </row>
    <row r="8219" spans="11:14" x14ac:dyDescent="0.25">
      <c r="K8219" s="312"/>
      <c r="N8219" s="514"/>
    </row>
    <row r="8220" spans="11:14" x14ac:dyDescent="0.25">
      <c r="K8220" s="312"/>
      <c r="N8220" s="514"/>
    </row>
    <row r="8221" spans="11:14" x14ac:dyDescent="0.25">
      <c r="K8221" s="312"/>
      <c r="N8221" s="514"/>
    </row>
    <row r="8222" spans="11:14" x14ac:dyDescent="0.25">
      <c r="K8222" s="312"/>
      <c r="N8222" s="514"/>
    </row>
    <row r="8223" spans="11:14" x14ac:dyDescent="0.25">
      <c r="K8223" s="312"/>
      <c r="N8223" s="514"/>
    </row>
    <row r="8224" spans="11:14" x14ac:dyDescent="0.25">
      <c r="K8224" s="312"/>
      <c r="N8224" s="514"/>
    </row>
    <row r="8225" spans="11:14" x14ac:dyDescent="0.25">
      <c r="K8225" s="312"/>
      <c r="N8225" s="514"/>
    </row>
    <row r="8226" spans="11:14" x14ac:dyDescent="0.25">
      <c r="K8226" s="312"/>
      <c r="N8226" s="514"/>
    </row>
    <row r="8227" spans="11:14" x14ac:dyDescent="0.25">
      <c r="K8227" s="312"/>
      <c r="N8227" s="514"/>
    </row>
    <row r="8228" spans="11:14" x14ac:dyDescent="0.25">
      <c r="K8228" s="312"/>
      <c r="N8228" s="514"/>
    </row>
    <row r="8229" spans="11:14" x14ac:dyDescent="0.25">
      <c r="K8229" s="312"/>
      <c r="N8229" s="514"/>
    </row>
    <row r="8230" spans="11:14" x14ac:dyDescent="0.25">
      <c r="K8230" s="312"/>
      <c r="N8230" s="514"/>
    </row>
    <row r="8231" spans="11:14" x14ac:dyDescent="0.25">
      <c r="K8231" s="312"/>
      <c r="N8231" s="514"/>
    </row>
    <row r="8232" spans="11:14" x14ac:dyDescent="0.25">
      <c r="K8232" s="312"/>
      <c r="N8232" s="514"/>
    </row>
    <row r="8233" spans="11:14" x14ac:dyDescent="0.25">
      <c r="K8233" s="312"/>
      <c r="N8233" s="514"/>
    </row>
    <row r="8234" spans="11:14" x14ac:dyDescent="0.25">
      <c r="K8234" s="312"/>
      <c r="N8234" s="514"/>
    </row>
    <row r="8235" spans="11:14" x14ac:dyDescent="0.25">
      <c r="K8235" s="312"/>
      <c r="N8235" s="514"/>
    </row>
    <row r="8236" spans="11:14" x14ac:dyDescent="0.25">
      <c r="K8236" s="312"/>
      <c r="N8236" s="514"/>
    </row>
    <row r="8237" spans="11:14" x14ac:dyDescent="0.25">
      <c r="K8237" s="312"/>
      <c r="N8237" s="514"/>
    </row>
    <row r="8238" spans="11:14" x14ac:dyDescent="0.25">
      <c r="K8238" s="312"/>
      <c r="N8238" s="514"/>
    </row>
    <row r="8239" spans="11:14" x14ac:dyDescent="0.25">
      <c r="K8239" s="312"/>
      <c r="N8239" s="514"/>
    </row>
    <row r="8240" spans="11:14" x14ac:dyDescent="0.25">
      <c r="K8240" s="312"/>
      <c r="N8240" s="514"/>
    </row>
    <row r="8241" spans="11:14" x14ac:dyDescent="0.25">
      <c r="K8241" s="312"/>
      <c r="N8241" s="514"/>
    </row>
    <row r="8242" spans="11:14" x14ac:dyDescent="0.25">
      <c r="K8242" s="312"/>
      <c r="N8242" s="514"/>
    </row>
    <row r="8243" spans="11:14" x14ac:dyDescent="0.25">
      <c r="K8243" s="312"/>
      <c r="N8243" s="514"/>
    </row>
    <row r="8244" spans="11:14" x14ac:dyDescent="0.25">
      <c r="K8244" s="312"/>
      <c r="N8244" s="514"/>
    </row>
    <row r="8245" spans="11:14" x14ac:dyDescent="0.25">
      <c r="K8245" s="312"/>
      <c r="N8245" s="514"/>
    </row>
    <row r="8246" spans="11:14" x14ac:dyDescent="0.25">
      <c r="K8246" s="312"/>
      <c r="N8246" s="514"/>
    </row>
    <row r="8247" spans="11:14" x14ac:dyDescent="0.25">
      <c r="K8247" s="312"/>
      <c r="N8247" s="514"/>
    </row>
    <row r="8248" spans="11:14" x14ac:dyDescent="0.25">
      <c r="K8248" s="312"/>
      <c r="N8248" s="514"/>
    </row>
    <row r="8249" spans="11:14" x14ac:dyDescent="0.25">
      <c r="K8249" s="312"/>
      <c r="N8249" s="514"/>
    </row>
    <row r="8250" spans="11:14" x14ac:dyDescent="0.25">
      <c r="K8250" s="312"/>
      <c r="N8250" s="514"/>
    </row>
    <row r="8251" spans="11:14" x14ac:dyDescent="0.25">
      <c r="K8251" s="312"/>
      <c r="N8251" s="514"/>
    </row>
    <row r="8252" spans="11:14" x14ac:dyDescent="0.25">
      <c r="K8252" s="312"/>
      <c r="N8252" s="514"/>
    </row>
    <row r="8253" spans="11:14" x14ac:dyDescent="0.25">
      <c r="K8253" s="312"/>
      <c r="N8253" s="514"/>
    </row>
    <row r="8254" spans="11:14" x14ac:dyDescent="0.25">
      <c r="K8254" s="312"/>
      <c r="N8254" s="514"/>
    </row>
    <row r="8255" spans="11:14" x14ac:dyDescent="0.25">
      <c r="K8255" s="312"/>
      <c r="N8255" s="514"/>
    </row>
    <row r="8256" spans="11:14" x14ac:dyDescent="0.25">
      <c r="K8256" s="312"/>
      <c r="N8256" s="514"/>
    </row>
    <row r="8257" spans="11:14" x14ac:dyDescent="0.25">
      <c r="K8257" s="312"/>
      <c r="N8257" s="514"/>
    </row>
    <row r="8258" spans="11:14" x14ac:dyDescent="0.25">
      <c r="K8258" s="312"/>
      <c r="N8258" s="514"/>
    </row>
    <row r="8259" spans="11:14" x14ac:dyDescent="0.25">
      <c r="K8259" s="312"/>
      <c r="N8259" s="514"/>
    </row>
    <row r="8260" spans="11:14" x14ac:dyDescent="0.25">
      <c r="K8260" s="312"/>
      <c r="N8260" s="514"/>
    </row>
    <row r="8261" spans="11:14" x14ac:dyDescent="0.25">
      <c r="K8261" s="312"/>
      <c r="N8261" s="514"/>
    </row>
    <row r="8262" spans="11:14" x14ac:dyDescent="0.25">
      <c r="K8262" s="312"/>
      <c r="N8262" s="514"/>
    </row>
    <row r="8263" spans="11:14" x14ac:dyDescent="0.25">
      <c r="K8263" s="312"/>
      <c r="N8263" s="514"/>
    </row>
    <row r="8264" spans="11:14" x14ac:dyDescent="0.25">
      <c r="K8264" s="312"/>
      <c r="N8264" s="514"/>
    </row>
    <row r="8265" spans="11:14" x14ac:dyDescent="0.25">
      <c r="K8265" s="312"/>
      <c r="N8265" s="514"/>
    </row>
    <row r="8266" spans="11:14" x14ac:dyDescent="0.25">
      <c r="K8266" s="312"/>
      <c r="N8266" s="514"/>
    </row>
    <row r="8267" spans="11:14" x14ac:dyDescent="0.25">
      <c r="K8267" s="312"/>
      <c r="N8267" s="514"/>
    </row>
    <row r="8268" spans="11:14" x14ac:dyDescent="0.25">
      <c r="K8268" s="312"/>
      <c r="N8268" s="514"/>
    </row>
    <row r="8269" spans="11:14" x14ac:dyDescent="0.25">
      <c r="K8269" s="312"/>
      <c r="N8269" s="514"/>
    </row>
    <row r="8270" spans="11:14" x14ac:dyDescent="0.25">
      <c r="K8270" s="312"/>
      <c r="N8270" s="514"/>
    </row>
    <row r="8271" spans="11:14" x14ac:dyDescent="0.25">
      <c r="K8271" s="312"/>
      <c r="N8271" s="514"/>
    </row>
    <row r="8272" spans="11:14" x14ac:dyDescent="0.25">
      <c r="K8272" s="312"/>
      <c r="N8272" s="514"/>
    </row>
    <row r="8273" spans="11:14" x14ac:dyDescent="0.25">
      <c r="K8273" s="312"/>
      <c r="N8273" s="514"/>
    </row>
    <row r="8274" spans="11:14" x14ac:dyDescent="0.25">
      <c r="K8274" s="312"/>
      <c r="N8274" s="514"/>
    </row>
    <row r="8275" spans="11:14" x14ac:dyDescent="0.25">
      <c r="K8275" s="312"/>
      <c r="N8275" s="514"/>
    </row>
    <row r="8276" spans="11:14" x14ac:dyDescent="0.25">
      <c r="K8276" s="312"/>
      <c r="N8276" s="514"/>
    </row>
    <row r="8277" spans="11:14" x14ac:dyDescent="0.25">
      <c r="K8277" s="312"/>
      <c r="N8277" s="514"/>
    </row>
    <row r="8278" spans="11:14" x14ac:dyDescent="0.25">
      <c r="K8278" s="312"/>
      <c r="N8278" s="514"/>
    </row>
    <row r="8279" spans="11:14" x14ac:dyDescent="0.25">
      <c r="K8279" s="312"/>
      <c r="N8279" s="514"/>
    </row>
    <row r="8280" spans="11:14" x14ac:dyDescent="0.25">
      <c r="K8280" s="312"/>
      <c r="N8280" s="514"/>
    </row>
    <row r="8281" spans="11:14" x14ac:dyDescent="0.25">
      <c r="K8281" s="312"/>
      <c r="N8281" s="514"/>
    </row>
    <row r="8282" spans="11:14" x14ac:dyDescent="0.25">
      <c r="K8282" s="312"/>
      <c r="N8282" s="514"/>
    </row>
    <row r="8283" spans="11:14" x14ac:dyDescent="0.25">
      <c r="K8283" s="312"/>
      <c r="N8283" s="514"/>
    </row>
    <row r="8284" spans="11:14" x14ac:dyDescent="0.25">
      <c r="K8284" s="312"/>
      <c r="N8284" s="514"/>
    </row>
    <row r="8285" spans="11:14" x14ac:dyDescent="0.25">
      <c r="K8285" s="312"/>
      <c r="N8285" s="514"/>
    </row>
    <row r="8286" spans="11:14" x14ac:dyDescent="0.25">
      <c r="K8286" s="312"/>
      <c r="N8286" s="514"/>
    </row>
    <row r="8287" spans="11:14" x14ac:dyDescent="0.25">
      <c r="K8287" s="312"/>
      <c r="N8287" s="514"/>
    </row>
    <row r="8288" spans="11:14" x14ac:dyDescent="0.25">
      <c r="K8288" s="312"/>
      <c r="N8288" s="514"/>
    </row>
    <row r="8289" spans="11:14" x14ac:dyDescent="0.25">
      <c r="K8289" s="312"/>
      <c r="N8289" s="514"/>
    </row>
    <row r="8290" spans="11:14" x14ac:dyDescent="0.25">
      <c r="K8290" s="312"/>
      <c r="N8290" s="514"/>
    </row>
    <row r="8291" spans="11:14" x14ac:dyDescent="0.25">
      <c r="K8291" s="312"/>
      <c r="N8291" s="514"/>
    </row>
    <row r="8292" spans="11:14" x14ac:dyDescent="0.25">
      <c r="K8292" s="312"/>
      <c r="N8292" s="514"/>
    </row>
    <row r="8293" spans="11:14" x14ac:dyDescent="0.25">
      <c r="K8293" s="312"/>
      <c r="N8293" s="514"/>
    </row>
    <row r="8294" spans="11:14" x14ac:dyDescent="0.25">
      <c r="K8294" s="312"/>
      <c r="N8294" s="514"/>
    </row>
    <row r="8295" spans="11:14" x14ac:dyDescent="0.25">
      <c r="K8295" s="312"/>
      <c r="N8295" s="514"/>
    </row>
    <row r="8296" spans="11:14" x14ac:dyDescent="0.25">
      <c r="K8296" s="312"/>
      <c r="N8296" s="514"/>
    </row>
    <row r="8297" spans="11:14" x14ac:dyDescent="0.25">
      <c r="K8297" s="312"/>
      <c r="N8297" s="514"/>
    </row>
    <row r="8298" spans="11:14" x14ac:dyDescent="0.25">
      <c r="K8298" s="312"/>
      <c r="N8298" s="514"/>
    </row>
    <row r="8299" spans="11:14" x14ac:dyDescent="0.25">
      <c r="K8299" s="312"/>
      <c r="N8299" s="514"/>
    </row>
    <row r="8300" spans="11:14" x14ac:dyDescent="0.25">
      <c r="K8300" s="312"/>
      <c r="N8300" s="514"/>
    </row>
    <row r="8301" spans="11:14" x14ac:dyDescent="0.25">
      <c r="K8301" s="312"/>
      <c r="N8301" s="514"/>
    </row>
    <row r="8302" spans="11:14" x14ac:dyDescent="0.25">
      <c r="K8302" s="312"/>
      <c r="N8302" s="514"/>
    </row>
    <row r="8303" spans="11:14" x14ac:dyDescent="0.25">
      <c r="K8303" s="312"/>
      <c r="N8303" s="514"/>
    </row>
    <row r="8304" spans="11:14" x14ac:dyDescent="0.25">
      <c r="K8304" s="312"/>
      <c r="N8304" s="514"/>
    </row>
    <row r="8305" spans="11:14" x14ac:dyDescent="0.25">
      <c r="K8305" s="312"/>
      <c r="N8305" s="514"/>
    </row>
    <row r="8306" spans="11:14" x14ac:dyDescent="0.25">
      <c r="K8306" s="312"/>
      <c r="N8306" s="514"/>
    </row>
    <row r="8307" spans="11:14" x14ac:dyDescent="0.25">
      <c r="K8307" s="312"/>
      <c r="N8307" s="514"/>
    </row>
    <row r="8308" spans="11:14" x14ac:dyDescent="0.25">
      <c r="K8308" s="312"/>
      <c r="N8308" s="514"/>
    </row>
    <row r="8309" spans="11:14" x14ac:dyDescent="0.25">
      <c r="K8309" s="312"/>
      <c r="N8309" s="514"/>
    </row>
    <row r="8310" spans="11:14" x14ac:dyDescent="0.25">
      <c r="K8310" s="312"/>
      <c r="N8310" s="514"/>
    </row>
    <row r="8311" spans="11:14" x14ac:dyDescent="0.25">
      <c r="K8311" s="312"/>
      <c r="N8311" s="514"/>
    </row>
    <row r="8312" spans="11:14" x14ac:dyDescent="0.25">
      <c r="K8312" s="312"/>
      <c r="N8312" s="514"/>
    </row>
    <row r="8313" spans="11:14" x14ac:dyDescent="0.25">
      <c r="K8313" s="312"/>
      <c r="N8313" s="514"/>
    </row>
    <row r="8314" spans="11:14" x14ac:dyDescent="0.25">
      <c r="K8314" s="312"/>
      <c r="N8314" s="514"/>
    </row>
    <row r="8315" spans="11:14" x14ac:dyDescent="0.25">
      <c r="K8315" s="312"/>
      <c r="N8315" s="514"/>
    </row>
    <row r="8316" spans="11:14" x14ac:dyDescent="0.25">
      <c r="K8316" s="312"/>
      <c r="N8316" s="514"/>
    </row>
    <row r="8317" spans="11:14" x14ac:dyDescent="0.25">
      <c r="K8317" s="312"/>
      <c r="N8317" s="514"/>
    </row>
    <row r="8318" spans="11:14" x14ac:dyDescent="0.25">
      <c r="K8318" s="312"/>
      <c r="N8318" s="514"/>
    </row>
    <row r="8319" spans="11:14" x14ac:dyDescent="0.25">
      <c r="K8319" s="312"/>
      <c r="N8319" s="514"/>
    </row>
    <row r="8320" spans="11:14" x14ac:dyDescent="0.25">
      <c r="K8320" s="312"/>
      <c r="N8320" s="514"/>
    </row>
    <row r="8321" spans="11:14" x14ac:dyDescent="0.25">
      <c r="K8321" s="312"/>
      <c r="N8321" s="514"/>
    </row>
    <row r="8322" spans="11:14" x14ac:dyDescent="0.25">
      <c r="K8322" s="312"/>
      <c r="N8322" s="514"/>
    </row>
    <row r="8323" spans="11:14" x14ac:dyDescent="0.25">
      <c r="K8323" s="312"/>
      <c r="N8323" s="514"/>
    </row>
    <row r="8324" spans="11:14" x14ac:dyDescent="0.25">
      <c r="K8324" s="312"/>
      <c r="N8324" s="514"/>
    </row>
    <row r="8325" spans="11:14" x14ac:dyDescent="0.25">
      <c r="K8325" s="312"/>
      <c r="N8325" s="514"/>
    </row>
    <row r="8326" spans="11:14" x14ac:dyDescent="0.25">
      <c r="K8326" s="312"/>
      <c r="N8326" s="514"/>
    </row>
    <row r="8327" spans="11:14" x14ac:dyDescent="0.25">
      <c r="K8327" s="312"/>
      <c r="N8327" s="514"/>
    </row>
    <row r="8328" spans="11:14" x14ac:dyDescent="0.25">
      <c r="K8328" s="312"/>
      <c r="N8328" s="514"/>
    </row>
    <row r="8329" spans="11:14" x14ac:dyDescent="0.25">
      <c r="K8329" s="312"/>
      <c r="N8329" s="514"/>
    </row>
    <row r="8330" spans="11:14" x14ac:dyDescent="0.25">
      <c r="K8330" s="312"/>
      <c r="N8330" s="514"/>
    </row>
    <row r="8331" spans="11:14" x14ac:dyDescent="0.25">
      <c r="K8331" s="312"/>
      <c r="N8331" s="514"/>
    </row>
    <row r="8332" spans="11:14" x14ac:dyDescent="0.25">
      <c r="K8332" s="312"/>
      <c r="N8332" s="514"/>
    </row>
    <row r="8333" spans="11:14" x14ac:dyDescent="0.25">
      <c r="K8333" s="312"/>
      <c r="N8333" s="514"/>
    </row>
    <row r="8334" spans="11:14" x14ac:dyDescent="0.25">
      <c r="K8334" s="312"/>
      <c r="N8334" s="514"/>
    </row>
    <row r="8335" spans="11:14" x14ac:dyDescent="0.25">
      <c r="K8335" s="312"/>
      <c r="N8335" s="514"/>
    </row>
    <row r="8336" spans="11:14" x14ac:dyDescent="0.25">
      <c r="K8336" s="312"/>
      <c r="N8336" s="514"/>
    </row>
    <row r="8337" spans="11:14" x14ac:dyDescent="0.25">
      <c r="K8337" s="312"/>
      <c r="N8337" s="514"/>
    </row>
    <row r="8338" spans="11:14" x14ac:dyDescent="0.25">
      <c r="K8338" s="312"/>
      <c r="N8338" s="514"/>
    </row>
    <row r="8339" spans="11:14" x14ac:dyDescent="0.25">
      <c r="K8339" s="312"/>
      <c r="N8339" s="514"/>
    </row>
    <row r="8340" spans="11:14" x14ac:dyDescent="0.25">
      <c r="K8340" s="312"/>
      <c r="N8340" s="514"/>
    </row>
    <row r="8341" spans="11:14" x14ac:dyDescent="0.25">
      <c r="K8341" s="312"/>
      <c r="N8341" s="514"/>
    </row>
    <row r="8342" spans="11:14" x14ac:dyDescent="0.25">
      <c r="K8342" s="312"/>
      <c r="N8342" s="514"/>
    </row>
    <row r="8343" spans="11:14" x14ac:dyDescent="0.25">
      <c r="K8343" s="312"/>
      <c r="N8343" s="514"/>
    </row>
    <row r="8344" spans="11:14" x14ac:dyDescent="0.25">
      <c r="K8344" s="312"/>
      <c r="N8344" s="514"/>
    </row>
    <row r="8345" spans="11:14" x14ac:dyDescent="0.25">
      <c r="K8345" s="312"/>
      <c r="N8345" s="514"/>
    </row>
    <row r="8346" spans="11:14" x14ac:dyDescent="0.25">
      <c r="K8346" s="312"/>
      <c r="N8346" s="514"/>
    </row>
    <row r="8347" spans="11:14" x14ac:dyDescent="0.25">
      <c r="K8347" s="312"/>
      <c r="N8347" s="514"/>
    </row>
    <row r="8348" spans="11:14" x14ac:dyDescent="0.25">
      <c r="K8348" s="312"/>
      <c r="N8348" s="514"/>
    </row>
    <row r="8349" spans="11:14" x14ac:dyDescent="0.25">
      <c r="K8349" s="312"/>
      <c r="N8349" s="514"/>
    </row>
    <row r="8350" spans="11:14" x14ac:dyDescent="0.25">
      <c r="K8350" s="312"/>
      <c r="N8350" s="514"/>
    </row>
    <row r="8351" spans="11:14" x14ac:dyDescent="0.25">
      <c r="K8351" s="312"/>
      <c r="N8351" s="514"/>
    </row>
    <row r="8352" spans="11:14" x14ac:dyDescent="0.25">
      <c r="K8352" s="312"/>
      <c r="N8352" s="514"/>
    </row>
    <row r="8353" spans="11:14" x14ac:dyDescent="0.25">
      <c r="K8353" s="312"/>
      <c r="N8353" s="514"/>
    </row>
    <row r="8354" spans="11:14" x14ac:dyDescent="0.25">
      <c r="K8354" s="312"/>
      <c r="N8354" s="514"/>
    </row>
    <row r="8355" spans="11:14" x14ac:dyDescent="0.25">
      <c r="K8355" s="312"/>
      <c r="N8355" s="514"/>
    </row>
    <row r="8356" spans="11:14" x14ac:dyDescent="0.25">
      <c r="K8356" s="312"/>
      <c r="N8356" s="514"/>
    </row>
    <row r="8357" spans="11:14" x14ac:dyDescent="0.25">
      <c r="K8357" s="312"/>
      <c r="N8357" s="514"/>
    </row>
    <row r="8358" spans="11:14" x14ac:dyDescent="0.25">
      <c r="K8358" s="312"/>
      <c r="N8358" s="514"/>
    </row>
    <row r="8359" spans="11:14" x14ac:dyDescent="0.25">
      <c r="K8359" s="312"/>
      <c r="N8359" s="514"/>
    </row>
    <row r="8360" spans="11:14" x14ac:dyDescent="0.25">
      <c r="K8360" s="312"/>
      <c r="N8360" s="514"/>
    </row>
    <row r="8361" spans="11:14" x14ac:dyDescent="0.25">
      <c r="K8361" s="312"/>
      <c r="N8361" s="514"/>
    </row>
    <row r="8362" spans="11:14" x14ac:dyDescent="0.25">
      <c r="K8362" s="312"/>
      <c r="N8362" s="514"/>
    </row>
    <row r="8363" spans="11:14" x14ac:dyDescent="0.25">
      <c r="K8363" s="312"/>
      <c r="N8363" s="514"/>
    </row>
    <row r="8364" spans="11:14" x14ac:dyDescent="0.25">
      <c r="K8364" s="312"/>
      <c r="N8364" s="514"/>
    </row>
    <row r="8365" spans="11:14" x14ac:dyDescent="0.25">
      <c r="K8365" s="312"/>
      <c r="N8365" s="514"/>
    </row>
    <row r="8366" spans="11:14" x14ac:dyDescent="0.25">
      <c r="K8366" s="312"/>
      <c r="N8366" s="514"/>
    </row>
    <row r="8367" spans="11:14" x14ac:dyDescent="0.25">
      <c r="K8367" s="312"/>
      <c r="N8367" s="514"/>
    </row>
    <row r="8368" spans="11:14" x14ac:dyDescent="0.25">
      <c r="K8368" s="312"/>
      <c r="N8368" s="514"/>
    </row>
    <row r="8369" spans="11:14" x14ac:dyDescent="0.25">
      <c r="K8369" s="312"/>
      <c r="N8369" s="514"/>
    </row>
    <row r="8370" spans="11:14" x14ac:dyDescent="0.25">
      <c r="K8370" s="312"/>
      <c r="N8370" s="514"/>
    </row>
    <row r="8371" spans="11:14" x14ac:dyDescent="0.25">
      <c r="K8371" s="312"/>
      <c r="N8371" s="514"/>
    </row>
    <row r="8372" spans="11:14" x14ac:dyDescent="0.25">
      <c r="K8372" s="312"/>
      <c r="N8372" s="514"/>
    </row>
    <row r="8373" spans="11:14" x14ac:dyDescent="0.25">
      <c r="K8373" s="312"/>
      <c r="N8373" s="514"/>
    </row>
    <row r="8374" spans="11:14" x14ac:dyDescent="0.25">
      <c r="K8374" s="312"/>
      <c r="N8374" s="514"/>
    </row>
    <row r="8375" spans="11:14" x14ac:dyDescent="0.25">
      <c r="K8375" s="312"/>
      <c r="N8375" s="514"/>
    </row>
    <row r="8376" spans="11:14" x14ac:dyDescent="0.25">
      <c r="K8376" s="312"/>
      <c r="N8376" s="514"/>
    </row>
    <row r="8377" spans="11:14" x14ac:dyDescent="0.25">
      <c r="K8377" s="312"/>
      <c r="N8377" s="514"/>
    </row>
    <row r="8378" spans="11:14" x14ac:dyDescent="0.25">
      <c r="K8378" s="312"/>
      <c r="N8378" s="514"/>
    </row>
    <row r="8379" spans="11:14" x14ac:dyDescent="0.25">
      <c r="K8379" s="312"/>
      <c r="N8379" s="514"/>
    </row>
    <row r="8380" spans="11:14" x14ac:dyDescent="0.25">
      <c r="K8380" s="312"/>
      <c r="N8380" s="514"/>
    </row>
    <row r="8381" spans="11:14" x14ac:dyDescent="0.25">
      <c r="K8381" s="312"/>
      <c r="N8381" s="514"/>
    </row>
    <row r="8382" spans="11:14" x14ac:dyDescent="0.25">
      <c r="K8382" s="312"/>
      <c r="N8382" s="514"/>
    </row>
    <row r="8383" spans="11:14" x14ac:dyDescent="0.25">
      <c r="K8383" s="312"/>
      <c r="N8383" s="514"/>
    </row>
    <row r="8384" spans="11:14" x14ac:dyDescent="0.25">
      <c r="K8384" s="312"/>
      <c r="N8384" s="514"/>
    </row>
    <row r="8385" spans="11:14" x14ac:dyDescent="0.25">
      <c r="K8385" s="312"/>
      <c r="N8385" s="514"/>
    </row>
    <row r="8386" spans="11:14" x14ac:dyDescent="0.25">
      <c r="K8386" s="312"/>
      <c r="N8386" s="514"/>
    </row>
    <row r="8387" spans="11:14" x14ac:dyDescent="0.25">
      <c r="K8387" s="312"/>
      <c r="N8387" s="514"/>
    </row>
    <row r="8388" spans="11:14" x14ac:dyDescent="0.25">
      <c r="K8388" s="312"/>
      <c r="N8388" s="514"/>
    </row>
    <row r="8389" spans="11:14" x14ac:dyDescent="0.25">
      <c r="K8389" s="312"/>
      <c r="N8389" s="514"/>
    </row>
    <row r="8390" spans="11:14" x14ac:dyDescent="0.25">
      <c r="K8390" s="312"/>
      <c r="N8390" s="514"/>
    </row>
    <row r="8391" spans="11:14" x14ac:dyDescent="0.25">
      <c r="K8391" s="312"/>
      <c r="N8391" s="514"/>
    </row>
    <row r="8392" spans="11:14" x14ac:dyDescent="0.25">
      <c r="K8392" s="312"/>
      <c r="N8392" s="514"/>
    </row>
    <row r="8393" spans="11:14" x14ac:dyDescent="0.25">
      <c r="K8393" s="312"/>
      <c r="N8393" s="514"/>
    </row>
    <row r="8394" spans="11:14" x14ac:dyDescent="0.25">
      <c r="K8394" s="312"/>
      <c r="N8394" s="514"/>
    </row>
    <row r="8395" spans="11:14" x14ac:dyDescent="0.25">
      <c r="K8395" s="312"/>
      <c r="N8395" s="514"/>
    </row>
    <row r="8396" spans="11:14" x14ac:dyDescent="0.25">
      <c r="K8396" s="312"/>
      <c r="N8396" s="514"/>
    </row>
    <row r="8397" spans="11:14" x14ac:dyDescent="0.25">
      <c r="K8397" s="312"/>
      <c r="N8397" s="514"/>
    </row>
    <row r="8398" spans="11:14" x14ac:dyDescent="0.25">
      <c r="K8398" s="312"/>
      <c r="N8398" s="514"/>
    </row>
    <row r="8399" spans="11:14" x14ac:dyDescent="0.25">
      <c r="K8399" s="312"/>
      <c r="N8399" s="514"/>
    </row>
    <row r="8400" spans="11:14" x14ac:dyDescent="0.25">
      <c r="K8400" s="312"/>
      <c r="N8400" s="514"/>
    </row>
    <row r="8401" spans="11:14" x14ac:dyDescent="0.25">
      <c r="K8401" s="312"/>
      <c r="N8401" s="514"/>
    </row>
    <row r="8402" spans="11:14" x14ac:dyDescent="0.25">
      <c r="K8402" s="312"/>
      <c r="N8402" s="514"/>
    </row>
    <row r="8403" spans="11:14" x14ac:dyDescent="0.25">
      <c r="K8403" s="312"/>
      <c r="N8403" s="514"/>
    </row>
    <row r="8404" spans="11:14" x14ac:dyDescent="0.25">
      <c r="K8404" s="312"/>
      <c r="N8404" s="514"/>
    </row>
    <row r="8405" spans="11:14" x14ac:dyDescent="0.25">
      <c r="K8405" s="312"/>
      <c r="N8405" s="514"/>
    </row>
    <row r="8406" spans="11:14" x14ac:dyDescent="0.25">
      <c r="K8406" s="312"/>
      <c r="N8406" s="514"/>
    </row>
    <row r="8407" spans="11:14" x14ac:dyDescent="0.25">
      <c r="K8407" s="312"/>
      <c r="N8407" s="514"/>
    </row>
    <row r="8408" spans="11:14" x14ac:dyDescent="0.25">
      <c r="K8408" s="312"/>
      <c r="N8408" s="514"/>
    </row>
    <row r="8409" spans="11:14" x14ac:dyDescent="0.25">
      <c r="K8409" s="312"/>
      <c r="N8409" s="514"/>
    </row>
    <row r="8410" spans="11:14" x14ac:dyDescent="0.25">
      <c r="K8410" s="312"/>
      <c r="N8410" s="514"/>
    </row>
    <row r="8411" spans="11:14" x14ac:dyDescent="0.25">
      <c r="K8411" s="312"/>
      <c r="N8411" s="514"/>
    </row>
    <row r="8412" spans="11:14" x14ac:dyDescent="0.25">
      <c r="K8412" s="312"/>
      <c r="N8412" s="514"/>
    </row>
    <row r="8413" spans="11:14" x14ac:dyDescent="0.25">
      <c r="K8413" s="312"/>
      <c r="N8413" s="514"/>
    </row>
    <row r="8414" spans="11:14" x14ac:dyDescent="0.25">
      <c r="K8414" s="312"/>
      <c r="N8414" s="514"/>
    </row>
    <row r="8415" spans="11:14" x14ac:dyDescent="0.25">
      <c r="K8415" s="312"/>
      <c r="N8415" s="514"/>
    </row>
    <row r="8416" spans="11:14" x14ac:dyDescent="0.25">
      <c r="K8416" s="312"/>
      <c r="N8416" s="514"/>
    </row>
    <row r="8417" spans="11:14" x14ac:dyDescent="0.25">
      <c r="K8417" s="312"/>
      <c r="N8417" s="514"/>
    </row>
    <row r="8418" spans="11:14" x14ac:dyDescent="0.25">
      <c r="K8418" s="312"/>
      <c r="N8418" s="514"/>
    </row>
    <row r="8419" spans="11:14" x14ac:dyDescent="0.25">
      <c r="K8419" s="312"/>
      <c r="N8419" s="514"/>
    </row>
    <row r="8420" spans="11:14" x14ac:dyDescent="0.25">
      <c r="K8420" s="312"/>
      <c r="N8420" s="514"/>
    </row>
    <row r="8421" spans="11:14" x14ac:dyDescent="0.25">
      <c r="K8421" s="312"/>
      <c r="N8421" s="514"/>
    </row>
    <row r="8422" spans="11:14" x14ac:dyDescent="0.25">
      <c r="K8422" s="312"/>
      <c r="N8422" s="514"/>
    </row>
    <row r="8423" spans="11:14" x14ac:dyDescent="0.25">
      <c r="K8423" s="312"/>
      <c r="N8423" s="514"/>
    </row>
    <row r="8424" spans="11:14" x14ac:dyDescent="0.25">
      <c r="K8424" s="312"/>
      <c r="N8424" s="514"/>
    </row>
    <row r="8425" spans="11:14" x14ac:dyDescent="0.25">
      <c r="K8425" s="312"/>
      <c r="N8425" s="514"/>
    </row>
    <row r="8426" spans="11:14" x14ac:dyDescent="0.25">
      <c r="K8426" s="312"/>
      <c r="N8426" s="514"/>
    </row>
    <row r="8427" spans="11:14" x14ac:dyDescent="0.25">
      <c r="K8427" s="312"/>
      <c r="N8427" s="514"/>
    </row>
    <row r="8428" spans="11:14" x14ac:dyDescent="0.25">
      <c r="K8428" s="312"/>
      <c r="N8428" s="514"/>
    </row>
    <row r="8429" spans="11:14" x14ac:dyDescent="0.25">
      <c r="K8429" s="312"/>
      <c r="N8429" s="514"/>
    </row>
    <row r="8430" spans="11:14" x14ac:dyDescent="0.25">
      <c r="K8430" s="312"/>
      <c r="N8430" s="514"/>
    </row>
    <row r="8431" spans="11:14" x14ac:dyDescent="0.25">
      <c r="K8431" s="312"/>
      <c r="N8431" s="514"/>
    </row>
    <row r="8432" spans="11:14" x14ac:dyDescent="0.25">
      <c r="K8432" s="312"/>
      <c r="N8432" s="514"/>
    </row>
    <row r="8433" spans="11:14" x14ac:dyDescent="0.25">
      <c r="K8433" s="312"/>
      <c r="N8433" s="514"/>
    </row>
    <row r="8434" spans="11:14" x14ac:dyDescent="0.25">
      <c r="K8434" s="312"/>
      <c r="N8434" s="514"/>
    </row>
    <row r="8435" spans="11:14" x14ac:dyDescent="0.25">
      <c r="K8435" s="312"/>
      <c r="N8435" s="514"/>
    </row>
    <row r="8436" spans="11:14" x14ac:dyDescent="0.25">
      <c r="K8436" s="312"/>
      <c r="N8436" s="514"/>
    </row>
    <row r="8437" spans="11:14" x14ac:dyDescent="0.25">
      <c r="K8437" s="312"/>
      <c r="N8437" s="514"/>
    </row>
    <row r="8438" spans="11:14" x14ac:dyDescent="0.25">
      <c r="K8438" s="312"/>
      <c r="N8438" s="514"/>
    </row>
    <row r="8439" spans="11:14" x14ac:dyDescent="0.25">
      <c r="K8439" s="312"/>
      <c r="N8439" s="514"/>
    </row>
    <row r="8440" spans="11:14" x14ac:dyDescent="0.25">
      <c r="K8440" s="312"/>
      <c r="N8440" s="514"/>
    </row>
    <row r="8441" spans="11:14" x14ac:dyDescent="0.25">
      <c r="K8441" s="312"/>
      <c r="N8441" s="514"/>
    </row>
    <row r="8442" spans="11:14" x14ac:dyDescent="0.25">
      <c r="K8442" s="312"/>
      <c r="N8442" s="514"/>
    </row>
    <row r="8443" spans="11:14" x14ac:dyDescent="0.25">
      <c r="K8443" s="312"/>
      <c r="N8443" s="514"/>
    </row>
    <row r="8444" spans="11:14" x14ac:dyDescent="0.25">
      <c r="K8444" s="312"/>
      <c r="N8444" s="514"/>
    </row>
    <row r="8445" spans="11:14" x14ac:dyDescent="0.25">
      <c r="K8445" s="312"/>
      <c r="N8445" s="514"/>
    </row>
    <row r="8446" spans="11:14" x14ac:dyDescent="0.25">
      <c r="K8446" s="312"/>
      <c r="N8446" s="514"/>
    </row>
    <row r="8447" spans="11:14" x14ac:dyDescent="0.25">
      <c r="K8447" s="312"/>
      <c r="N8447" s="514"/>
    </row>
    <row r="8448" spans="11:14" x14ac:dyDescent="0.25">
      <c r="K8448" s="312"/>
      <c r="N8448" s="514"/>
    </row>
    <row r="8449" spans="11:14" x14ac:dyDescent="0.25">
      <c r="K8449" s="312"/>
      <c r="N8449" s="514"/>
    </row>
    <row r="8450" spans="11:14" x14ac:dyDescent="0.25">
      <c r="K8450" s="312"/>
      <c r="N8450" s="514"/>
    </row>
    <row r="8451" spans="11:14" x14ac:dyDescent="0.25">
      <c r="K8451" s="312"/>
      <c r="N8451" s="514"/>
    </row>
    <row r="8452" spans="11:14" x14ac:dyDescent="0.25">
      <c r="K8452" s="312"/>
      <c r="N8452" s="514"/>
    </row>
    <row r="8453" spans="11:14" x14ac:dyDescent="0.25">
      <c r="K8453" s="312"/>
      <c r="N8453" s="514"/>
    </row>
    <row r="8454" spans="11:14" x14ac:dyDescent="0.25">
      <c r="K8454" s="312"/>
      <c r="N8454" s="514"/>
    </row>
    <row r="8455" spans="11:14" x14ac:dyDescent="0.25">
      <c r="K8455" s="312"/>
      <c r="N8455" s="514"/>
    </row>
    <row r="8456" spans="11:14" x14ac:dyDescent="0.25">
      <c r="K8456" s="312"/>
      <c r="N8456" s="514"/>
    </row>
    <row r="8457" spans="11:14" x14ac:dyDescent="0.25">
      <c r="K8457" s="312"/>
      <c r="N8457" s="514"/>
    </row>
    <row r="8458" spans="11:14" x14ac:dyDescent="0.25">
      <c r="K8458" s="312"/>
      <c r="N8458" s="514"/>
    </row>
    <row r="8459" spans="11:14" x14ac:dyDescent="0.25">
      <c r="K8459" s="312"/>
      <c r="N8459" s="514"/>
    </row>
    <row r="8460" spans="11:14" x14ac:dyDescent="0.25">
      <c r="K8460" s="312"/>
      <c r="N8460" s="514"/>
    </row>
    <row r="8461" spans="11:14" x14ac:dyDescent="0.25">
      <c r="K8461" s="312"/>
      <c r="N8461" s="514"/>
    </row>
    <row r="8462" spans="11:14" x14ac:dyDescent="0.25">
      <c r="K8462" s="312"/>
      <c r="N8462" s="514"/>
    </row>
    <row r="8463" spans="11:14" x14ac:dyDescent="0.25">
      <c r="K8463" s="312"/>
      <c r="N8463" s="514"/>
    </row>
    <row r="8464" spans="11:14" x14ac:dyDescent="0.25">
      <c r="K8464" s="312"/>
      <c r="N8464" s="514"/>
    </row>
    <row r="8465" spans="11:14" x14ac:dyDescent="0.25">
      <c r="K8465" s="312"/>
      <c r="N8465" s="514"/>
    </row>
    <row r="8466" spans="11:14" x14ac:dyDescent="0.25">
      <c r="K8466" s="312"/>
      <c r="N8466" s="514"/>
    </row>
    <row r="8467" spans="11:14" x14ac:dyDescent="0.25">
      <c r="K8467" s="312"/>
      <c r="N8467" s="514"/>
    </row>
    <row r="8468" spans="11:14" x14ac:dyDescent="0.25">
      <c r="K8468" s="312"/>
      <c r="N8468" s="514"/>
    </row>
    <row r="8469" spans="11:14" x14ac:dyDescent="0.25">
      <c r="K8469" s="312"/>
      <c r="N8469" s="514"/>
    </row>
    <row r="8470" spans="11:14" x14ac:dyDescent="0.25">
      <c r="K8470" s="312"/>
      <c r="N8470" s="514"/>
    </row>
    <row r="8471" spans="11:14" x14ac:dyDescent="0.25">
      <c r="K8471" s="312"/>
      <c r="N8471" s="514"/>
    </row>
    <row r="8472" spans="11:14" x14ac:dyDescent="0.25">
      <c r="K8472" s="312"/>
      <c r="N8472" s="514"/>
    </row>
    <row r="8473" spans="11:14" x14ac:dyDescent="0.25">
      <c r="K8473" s="312"/>
      <c r="N8473" s="514"/>
    </row>
    <row r="8474" spans="11:14" x14ac:dyDescent="0.25">
      <c r="K8474" s="312"/>
      <c r="N8474" s="514"/>
    </row>
    <row r="8475" spans="11:14" x14ac:dyDescent="0.25">
      <c r="K8475" s="312"/>
      <c r="N8475" s="514"/>
    </row>
    <row r="8476" spans="11:14" x14ac:dyDescent="0.25">
      <c r="K8476" s="312"/>
      <c r="N8476" s="514"/>
    </row>
    <row r="8477" spans="11:14" x14ac:dyDescent="0.25">
      <c r="K8477" s="312"/>
      <c r="N8477" s="514"/>
    </row>
    <row r="8478" spans="11:14" x14ac:dyDescent="0.25">
      <c r="K8478" s="312"/>
      <c r="N8478" s="514"/>
    </row>
    <row r="8479" spans="11:14" x14ac:dyDescent="0.25">
      <c r="K8479" s="312"/>
      <c r="N8479" s="514"/>
    </row>
    <row r="8480" spans="11:14" x14ac:dyDescent="0.25">
      <c r="K8480" s="312"/>
      <c r="N8480" s="514"/>
    </row>
    <row r="8481" spans="11:14" x14ac:dyDescent="0.25">
      <c r="K8481" s="312"/>
      <c r="N8481" s="514"/>
    </row>
    <row r="8482" spans="11:14" x14ac:dyDescent="0.25">
      <c r="K8482" s="312"/>
      <c r="N8482" s="514"/>
    </row>
    <row r="8483" spans="11:14" x14ac:dyDescent="0.25">
      <c r="K8483" s="312"/>
      <c r="N8483" s="514"/>
    </row>
    <row r="8484" spans="11:14" x14ac:dyDescent="0.25">
      <c r="K8484" s="312"/>
      <c r="N8484" s="514"/>
    </row>
    <row r="8485" spans="11:14" x14ac:dyDescent="0.25">
      <c r="K8485" s="312"/>
      <c r="N8485" s="514"/>
    </row>
    <row r="8486" spans="11:14" x14ac:dyDescent="0.25">
      <c r="K8486" s="312"/>
      <c r="N8486" s="514"/>
    </row>
    <row r="8487" spans="11:14" x14ac:dyDescent="0.25">
      <c r="K8487" s="312"/>
      <c r="N8487" s="514"/>
    </row>
    <row r="8488" spans="11:14" x14ac:dyDescent="0.25">
      <c r="K8488" s="312"/>
      <c r="N8488" s="514"/>
    </row>
    <row r="8489" spans="11:14" x14ac:dyDescent="0.25">
      <c r="K8489" s="312"/>
      <c r="N8489" s="514"/>
    </row>
    <row r="8490" spans="11:14" x14ac:dyDescent="0.25">
      <c r="K8490" s="312"/>
      <c r="N8490" s="514"/>
    </row>
    <row r="8491" spans="11:14" x14ac:dyDescent="0.25">
      <c r="K8491" s="312"/>
      <c r="N8491" s="514"/>
    </row>
    <row r="8492" spans="11:14" x14ac:dyDescent="0.25">
      <c r="K8492" s="312"/>
      <c r="N8492" s="514"/>
    </row>
    <row r="8493" spans="11:14" x14ac:dyDescent="0.25">
      <c r="K8493" s="312"/>
      <c r="N8493" s="514"/>
    </row>
    <row r="8494" spans="11:14" x14ac:dyDescent="0.25">
      <c r="K8494" s="312"/>
      <c r="N8494" s="514"/>
    </row>
    <row r="8495" spans="11:14" x14ac:dyDescent="0.25">
      <c r="K8495" s="312"/>
      <c r="N8495" s="514"/>
    </row>
    <row r="8496" spans="11:14" x14ac:dyDescent="0.25">
      <c r="K8496" s="312"/>
      <c r="N8496" s="514"/>
    </row>
    <row r="8497" spans="11:14" x14ac:dyDescent="0.25">
      <c r="K8497" s="312"/>
      <c r="N8497" s="514"/>
    </row>
    <row r="8498" spans="11:14" x14ac:dyDescent="0.25">
      <c r="K8498" s="312"/>
      <c r="N8498" s="514"/>
    </row>
    <row r="8499" spans="11:14" x14ac:dyDescent="0.25">
      <c r="K8499" s="312"/>
      <c r="N8499" s="514"/>
    </row>
    <row r="8500" spans="11:14" x14ac:dyDescent="0.25">
      <c r="K8500" s="312"/>
      <c r="N8500" s="514"/>
    </row>
    <row r="8501" spans="11:14" x14ac:dyDescent="0.25">
      <c r="K8501" s="312"/>
      <c r="N8501" s="514"/>
    </row>
    <row r="8502" spans="11:14" x14ac:dyDescent="0.25">
      <c r="K8502" s="312"/>
      <c r="N8502" s="514"/>
    </row>
    <row r="8503" spans="11:14" x14ac:dyDescent="0.25">
      <c r="K8503" s="312"/>
      <c r="N8503" s="514"/>
    </row>
    <row r="8504" spans="11:14" x14ac:dyDescent="0.25">
      <c r="K8504" s="312"/>
      <c r="N8504" s="514"/>
    </row>
    <row r="8505" spans="11:14" x14ac:dyDescent="0.25">
      <c r="K8505" s="312"/>
      <c r="N8505" s="514"/>
    </row>
    <row r="8506" spans="11:14" x14ac:dyDescent="0.25">
      <c r="K8506" s="312"/>
      <c r="N8506" s="514"/>
    </row>
    <row r="8507" spans="11:14" x14ac:dyDescent="0.25">
      <c r="K8507" s="312"/>
      <c r="N8507" s="514"/>
    </row>
    <row r="8508" spans="11:14" x14ac:dyDescent="0.25">
      <c r="K8508" s="312"/>
      <c r="N8508" s="514"/>
    </row>
    <row r="8509" spans="11:14" x14ac:dyDescent="0.25">
      <c r="K8509" s="312"/>
      <c r="N8509" s="514"/>
    </row>
    <row r="8510" spans="11:14" x14ac:dyDescent="0.25">
      <c r="K8510" s="312"/>
      <c r="N8510" s="514"/>
    </row>
    <row r="8511" spans="11:14" x14ac:dyDescent="0.25">
      <c r="K8511" s="312"/>
      <c r="N8511" s="514"/>
    </row>
    <row r="8512" spans="11:14" x14ac:dyDescent="0.25">
      <c r="K8512" s="312"/>
      <c r="N8512" s="514"/>
    </row>
    <row r="8513" spans="11:14" x14ac:dyDescent="0.25">
      <c r="K8513" s="312"/>
      <c r="N8513" s="514"/>
    </row>
    <row r="8514" spans="11:14" x14ac:dyDescent="0.25">
      <c r="K8514" s="312"/>
      <c r="N8514" s="514"/>
    </row>
    <row r="8515" spans="11:14" x14ac:dyDescent="0.25">
      <c r="K8515" s="312"/>
      <c r="N8515" s="514"/>
    </row>
    <row r="8516" spans="11:14" x14ac:dyDescent="0.25">
      <c r="K8516" s="312"/>
      <c r="N8516" s="514"/>
    </row>
    <row r="8517" spans="11:14" x14ac:dyDescent="0.25">
      <c r="K8517" s="312"/>
      <c r="N8517" s="514"/>
    </row>
    <row r="8518" spans="11:14" x14ac:dyDescent="0.25">
      <c r="K8518" s="312"/>
      <c r="N8518" s="514"/>
    </row>
    <row r="8519" spans="11:14" x14ac:dyDescent="0.25">
      <c r="K8519" s="312"/>
      <c r="N8519" s="514"/>
    </row>
    <row r="8520" spans="11:14" x14ac:dyDescent="0.25">
      <c r="K8520" s="312"/>
      <c r="N8520" s="514"/>
    </row>
    <row r="8521" spans="11:14" x14ac:dyDescent="0.25">
      <c r="K8521" s="312"/>
      <c r="N8521" s="514"/>
    </row>
    <row r="8522" spans="11:14" x14ac:dyDescent="0.25">
      <c r="K8522" s="312"/>
      <c r="N8522" s="514"/>
    </row>
    <row r="8523" spans="11:14" x14ac:dyDescent="0.25">
      <c r="K8523" s="312"/>
      <c r="N8523" s="514"/>
    </row>
    <row r="8524" spans="11:14" x14ac:dyDescent="0.25">
      <c r="K8524" s="312"/>
      <c r="N8524" s="514"/>
    </row>
    <row r="8525" spans="11:14" x14ac:dyDescent="0.25">
      <c r="K8525" s="312"/>
      <c r="N8525" s="514"/>
    </row>
    <row r="8526" spans="11:14" x14ac:dyDescent="0.25">
      <c r="K8526" s="312"/>
      <c r="N8526" s="514"/>
    </row>
    <row r="8527" spans="11:14" x14ac:dyDescent="0.25">
      <c r="K8527" s="312"/>
      <c r="N8527" s="514"/>
    </row>
    <row r="8528" spans="11:14" x14ac:dyDescent="0.25">
      <c r="K8528" s="312"/>
      <c r="N8528" s="514"/>
    </row>
    <row r="8529" spans="11:14" x14ac:dyDescent="0.25">
      <c r="K8529" s="312"/>
      <c r="N8529" s="514"/>
    </row>
    <row r="8530" spans="11:14" x14ac:dyDescent="0.25">
      <c r="K8530" s="312"/>
      <c r="N8530" s="514"/>
    </row>
    <row r="8531" spans="11:14" x14ac:dyDescent="0.25">
      <c r="K8531" s="312"/>
      <c r="N8531" s="514"/>
    </row>
    <row r="8532" spans="11:14" x14ac:dyDescent="0.25">
      <c r="K8532" s="312"/>
      <c r="N8532" s="514"/>
    </row>
    <row r="8533" spans="11:14" x14ac:dyDescent="0.25">
      <c r="K8533" s="312"/>
      <c r="N8533" s="514"/>
    </row>
    <row r="8534" spans="11:14" x14ac:dyDescent="0.25">
      <c r="K8534" s="312"/>
      <c r="N8534" s="514"/>
    </row>
    <row r="8535" spans="11:14" x14ac:dyDescent="0.25">
      <c r="K8535" s="312"/>
      <c r="N8535" s="514"/>
    </row>
    <row r="8536" spans="11:14" x14ac:dyDescent="0.25">
      <c r="K8536" s="312"/>
      <c r="N8536" s="514"/>
    </row>
    <row r="8537" spans="11:14" x14ac:dyDescent="0.25">
      <c r="K8537" s="312"/>
      <c r="N8537" s="514"/>
    </row>
    <row r="8538" spans="11:14" x14ac:dyDescent="0.25">
      <c r="K8538" s="312"/>
      <c r="N8538" s="514"/>
    </row>
    <row r="8539" spans="11:14" x14ac:dyDescent="0.25">
      <c r="K8539" s="312"/>
      <c r="N8539" s="514"/>
    </row>
    <row r="8540" spans="11:14" x14ac:dyDescent="0.25">
      <c r="K8540" s="312"/>
      <c r="N8540" s="514"/>
    </row>
    <row r="8541" spans="11:14" x14ac:dyDescent="0.25">
      <c r="K8541" s="312"/>
      <c r="N8541" s="514"/>
    </row>
    <row r="8542" spans="11:14" x14ac:dyDescent="0.25">
      <c r="K8542" s="312"/>
      <c r="N8542" s="514"/>
    </row>
    <row r="8543" spans="11:14" x14ac:dyDescent="0.25">
      <c r="K8543" s="312"/>
      <c r="N8543" s="514"/>
    </row>
    <row r="8544" spans="11:14" x14ac:dyDescent="0.25">
      <c r="K8544" s="312"/>
      <c r="N8544" s="514"/>
    </row>
    <row r="8545" spans="11:14" x14ac:dyDescent="0.25">
      <c r="K8545" s="312"/>
      <c r="N8545" s="514"/>
    </row>
    <row r="8546" spans="11:14" x14ac:dyDescent="0.25">
      <c r="K8546" s="312"/>
      <c r="N8546" s="514"/>
    </row>
    <row r="8547" spans="11:14" x14ac:dyDescent="0.25">
      <c r="K8547" s="312"/>
      <c r="N8547" s="514"/>
    </row>
    <row r="8548" spans="11:14" x14ac:dyDescent="0.25">
      <c r="K8548" s="312"/>
      <c r="N8548" s="514"/>
    </row>
    <row r="8549" spans="11:14" x14ac:dyDescent="0.25">
      <c r="K8549" s="312"/>
      <c r="N8549" s="514"/>
    </row>
    <row r="8550" spans="11:14" x14ac:dyDescent="0.25">
      <c r="K8550" s="312"/>
      <c r="N8550" s="514"/>
    </row>
    <row r="8551" spans="11:14" x14ac:dyDescent="0.25">
      <c r="K8551" s="312"/>
      <c r="N8551" s="514"/>
    </row>
    <row r="8552" spans="11:14" x14ac:dyDescent="0.25">
      <c r="K8552" s="312"/>
      <c r="N8552" s="514"/>
    </row>
    <row r="8553" spans="11:14" x14ac:dyDescent="0.25">
      <c r="K8553" s="312"/>
      <c r="N8553" s="514"/>
    </row>
    <row r="8554" spans="11:14" x14ac:dyDescent="0.25">
      <c r="K8554" s="312"/>
      <c r="N8554" s="514"/>
    </row>
    <row r="8555" spans="11:14" x14ac:dyDescent="0.25">
      <c r="K8555" s="312"/>
      <c r="N8555" s="514"/>
    </row>
    <row r="8556" spans="11:14" x14ac:dyDescent="0.25">
      <c r="K8556" s="312"/>
      <c r="N8556" s="514"/>
    </row>
    <row r="8557" spans="11:14" x14ac:dyDescent="0.25">
      <c r="K8557" s="312"/>
      <c r="N8557" s="514"/>
    </row>
    <row r="8558" spans="11:14" x14ac:dyDescent="0.25">
      <c r="K8558" s="312"/>
      <c r="N8558" s="514"/>
    </row>
    <row r="8559" spans="11:14" x14ac:dyDescent="0.25">
      <c r="K8559" s="312"/>
      <c r="N8559" s="514"/>
    </row>
    <row r="8560" spans="11:14" x14ac:dyDescent="0.25">
      <c r="K8560" s="312"/>
      <c r="N8560" s="514"/>
    </row>
    <row r="8561" spans="11:14" x14ac:dyDescent="0.25">
      <c r="K8561" s="312"/>
      <c r="N8561" s="514"/>
    </row>
    <row r="8562" spans="11:14" x14ac:dyDescent="0.25">
      <c r="K8562" s="312"/>
      <c r="N8562" s="514"/>
    </row>
    <row r="8563" spans="11:14" x14ac:dyDescent="0.25">
      <c r="K8563" s="312"/>
      <c r="N8563" s="514"/>
    </row>
    <row r="8564" spans="11:14" x14ac:dyDescent="0.25">
      <c r="K8564" s="312"/>
      <c r="N8564" s="514"/>
    </row>
    <row r="8565" spans="11:14" x14ac:dyDescent="0.25">
      <c r="K8565" s="312"/>
      <c r="N8565" s="514"/>
    </row>
    <row r="8566" spans="11:14" x14ac:dyDescent="0.25">
      <c r="K8566" s="312"/>
      <c r="N8566" s="514"/>
    </row>
    <row r="8567" spans="11:14" x14ac:dyDescent="0.25">
      <c r="K8567" s="312"/>
      <c r="N8567" s="514"/>
    </row>
    <row r="8568" spans="11:14" x14ac:dyDescent="0.25">
      <c r="K8568" s="312"/>
      <c r="N8568" s="514"/>
    </row>
    <row r="8569" spans="11:14" x14ac:dyDescent="0.25">
      <c r="K8569" s="312"/>
      <c r="N8569" s="514"/>
    </row>
    <row r="8570" spans="11:14" x14ac:dyDescent="0.25">
      <c r="K8570" s="312"/>
      <c r="N8570" s="514"/>
    </row>
    <row r="8571" spans="11:14" x14ac:dyDescent="0.25">
      <c r="K8571" s="312"/>
      <c r="N8571" s="514"/>
    </row>
    <row r="8572" spans="11:14" x14ac:dyDescent="0.25">
      <c r="K8572" s="312"/>
      <c r="N8572" s="514"/>
    </row>
    <row r="8573" spans="11:14" x14ac:dyDescent="0.25">
      <c r="K8573" s="312"/>
      <c r="N8573" s="514"/>
    </row>
    <row r="8574" spans="11:14" x14ac:dyDescent="0.25">
      <c r="K8574" s="312"/>
      <c r="N8574" s="514"/>
    </row>
    <row r="8575" spans="11:14" x14ac:dyDescent="0.25">
      <c r="K8575" s="312"/>
      <c r="N8575" s="514"/>
    </row>
    <row r="8576" spans="11:14" x14ac:dyDescent="0.25">
      <c r="K8576" s="312"/>
      <c r="N8576" s="514"/>
    </row>
    <row r="8577" spans="11:14" x14ac:dyDescent="0.25">
      <c r="K8577" s="312"/>
      <c r="N8577" s="514"/>
    </row>
    <row r="8578" spans="11:14" x14ac:dyDescent="0.25">
      <c r="K8578" s="312"/>
      <c r="N8578" s="514"/>
    </row>
    <row r="8579" spans="11:14" x14ac:dyDescent="0.25">
      <c r="K8579" s="312"/>
      <c r="N8579" s="514"/>
    </row>
    <row r="8580" spans="11:14" x14ac:dyDescent="0.25">
      <c r="K8580" s="312"/>
      <c r="N8580" s="514"/>
    </row>
    <row r="8581" spans="11:14" x14ac:dyDescent="0.25">
      <c r="K8581" s="312"/>
      <c r="N8581" s="514"/>
    </row>
    <row r="8582" spans="11:14" x14ac:dyDescent="0.25">
      <c r="K8582" s="312"/>
      <c r="N8582" s="514"/>
    </row>
    <row r="8583" spans="11:14" x14ac:dyDescent="0.25">
      <c r="K8583" s="312"/>
      <c r="N8583" s="514"/>
    </row>
    <row r="8584" spans="11:14" x14ac:dyDescent="0.25">
      <c r="K8584" s="312"/>
      <c r="N8584" s="514"/>
    </row>
    <row r="8585" spans="11:14" x14ac:dyDescent="0.25">
      <c r="K8585" s="312"/>
      <c r="N8585" s="514"/>
    </row>
    <row r="8586" spans="11:14" x14ac:dyDescent="0.25">
      <c r="K8586" s="312"/>
      <c r="N8586" s="514"/>
    </row>
    <row r="8587" spans="11:14" x14ac:dyDescent="0.25">
      <c r="K8587" s="312"/>
      <c r="N8587" s="514"/>
    </row>
    <row r="8588" spans="11:14" x14ac:dyDescent="0.25">
      <c r="K8588" s="312"/>
      <c r="N8588" s="514"/>
    </row>
    <row r="8589" spans="11:14" x14ac:dyDescent="0.25">
      <c r="K8589" s="312"/>
      <c r="N8589" s="514"/>
    </row>
    <row r="8590" spans="11:14" x14ac:dyDescent="0.25">
      <c r="K8590" s="312"/>
      <c r="N8590" s="514"/>
    </row>
    <row r="8591" spans="11:14" x14ac:dyDescent="0.25">
      <c r="K8591" s="312"/>
      <c r="N8591" s="514"/>
    </row>
    <row r="8592" spans="11:14" x14ac:dyDescent="0.25">
      <c r="K8592" s="312"/>
      <c r="N8592" s="514"/>
    </row>
    <row r="8593" spans="11:14" x14ac:dyDescent="0.25">
      <c r="K8593" s="312"/>
      <c r="N8593" s="514"/>
    </row>
    <row r="8594" spans="11:14" x14ac:dyDescent="0.25">
      <c r="K8594" s="312"/>
      <c r="N8594" s="514"/>
    </row>
    <row r="8595" spans="11:14" x14ac:dyDescent="0.25">
      <c r="K8595" s="312"/>
      <c r="N8595" s="514"/>
    </row>
    <row r="8596" spans="11:14" x14ac:dyDescent="0.25">
      <c r="K8596" s="312"/>
      <c r="N8596" s="514"/>
    </row>
    <row r="8597" spans="11:14" x14ac:dyDescent="0.25">
      <c r="K8597" s="312"/>
      <c r="N8597" s="514"/>
    </row>
    <row r="8598" spans="11:14" x14ac:dyDescent="0.25">
      <c r="K8598" s="312"/>
      <c r="N8598" s="514"/>
    </row>
    <row r="8599" spans="11:14" x14ac:dyDescent="0.25">
      <c r="K8599" s="312"/>
      <c r="N8599" s="514"/>
    </row>
    <row r="8600" spans="11:14" x14ac:dyDescent="0.25">
      <c r="K8600" s="312"/>
      <c r="N8600" s="514"/>
    </row>
    <row r="8601" spans="11:14" x14ac:dyDescent="0.25">
      <c r="K8601" s="312"/>
      <c r="N8601" s="514"/>
    </row>
    <row r="8602" spans="11:14" x14ac:dyDescent="0.25">
      <c r="K8602" s="312"/>
      <c r="N8602" s="514"/>
    </row>
    <row r="8603" spans="11:14" x14ac:dyDescent="0.25">
      <c r="K8603" s="312"/>
      <c r="N8603" s="514"/>
    </row>
    <row r="8604" spans="11:14" x14ac:dyDescent="0.25">
      <c r="K8604" s="312"/>
      <c r="N8604" s="514"/>
    </row>
    <row r="8605" spans="11:14" x14ac:dyDescent="0.25">
      <c r="K8605" s="312"/>
      <c r="N8605" s="514"/>
    </row>
    <row r="8606" spans="11:14" x14ac:dyDescent="0.25">
      <c r="K8606" s="312"/>
      <c r="N8606" s="514"/>
    </row>
    <row r="8607" spans="11:14" x14ac:dyDescent="0.25">
      <c r="K8607" s="312"/>
      <c r="N8607" s="514"/>
    </row>
    <row r="8608" spans="11:14" x14ac:dyDescent="0.25">
      <c r="K8608" s="312"/>
      <c r="N8608" s="514"/>
    </row>
    <row r="8609" spans="11:14" x14ac:dyDescent="0.25">
      <c r="K8609" s="312"/>
      <c r="N8609" s="514"/>
    </row>
    <row r="8610" spans="11:14" x14ac:dyDescent="0.25">
      <c r="K8610" s="312"/>
      <c r="N8610" s="514"/>
    </row>
    <row r="8611" spans="11:14" x14ac:dyDescent="0.25">
      <c r="K8611" s="312"/>
      <c r="N8611" s="514"/>
    </row>
    <row r="8612" spans="11:14" x14ac:dyDescent="0.25">
      <c r="K8612" s="312"/>
      <c r="N8612" s="514"/>
    </row>
    <row r="8613" spans="11:14" x14ac:dyDescent="0.25">
      <c r="K8613" s="312"/>
      <c r="N8613" s="514"/>
    </row>
    <row r="8614" spans="11:14" x14ac:dyDescent="0.25">
      <c r="K8614" s="312"/>
      <c r="N8614" s="514"/>
    </row>
    <row r="8615" spans="11:14" x14ac:dyDescent="0.25">
      <c r="K8615" s="312"/>
      <c r="N8615" s="514"/>
    </row>
    <row r="8616" spans="11:14" x14ac:dyDescent="0.25">
      <c r="K8616" s="312"/>
      <c r="N8616" s="514"/>
    </row>
    <row r="8617" spans="11:14" x14ac:dyDescent="0.25">
      <c r="K8617" s="312"/>
      <c r="N8617" s="514"/>
    </row>
    <row r="8618" spans="11:14" x14ac:dyDescent="0.25">
      <c r="K8618" s="312"/>
      <c r="N8618" s="514"/>
    </row>
    <row r="8619" spans="11:14" x14ac:dyDescent="0.25">
      <c r="K8619" s="312"/>
      <c r="N8619" s="514"/>
    </row>
    <row r="8620" spans="11:14" x14ac:dyDescent="0.25">
      <c r="K8620" s="312"/>
      <c r="N8620" s="514"/>
    </row>
    <row r="8621" spans="11:14" x14ac:dyDescent="0.25">
      <c r="K8621" s="312"/>
      <c r="N8621" s="514"/>
    </row>
    <row r="8622" spans="11:14" x14ac:dyDescent="0.25">
      <c r="K8622" s="312"/>
      <c r="N8622" s="514"/>
    </row>
    <row r="8623" spans="11:14" x14ac:dyDescent="0.25">
      <c r="K8623" s="312"/>
      <c r="N8623" s="514"/>
    </row>
    <row r="8624" spans="11:14" x14ac:dyDescent="0.25">
      <c r="K8624" s="312"/>
      <c r="N8624" s="514"/>
    </row>
    <row r="8625" spans="11:14" x14ac:dyDescent="0.25">
      <c r="K8625" s="312"/>
      <c r="N8625" s="514"/>
    </row>
    <row r="8626" spans="11:14" x14ac:dyDescent="0.25">
      <c r="K8626" s="312"/>
      <c r="N8626" s="514"/>
    </row>
    <row r="8627" spans="11:14" x14ac:dyDescent="0.25">
      <c r="K8627" s="312"/>
      <c r="N8627" s="514"/>
    </row>
    <row r="8628" spans="11:14" x14ac:dyDescent="0.25">
      <c r="K8628" s="312"/>
      <c r="N8628" s="514"/>
    </row>
    <row r="8629" spans="11:14" x14ac:dyDescent="0.25">
      <c r="K8629" s="312"/>
      <c r="N8629" s="514"/>
    </row>
    <row r="8630" spans="11:14" x14ac:dyDescent="0.25">
      <c r="K8630" s="312"/>
      <c r="N8630" s="514"/>
    </row>
    <row r="8631" spans="11:14" x14ac:dyDescent="0.25">
      <c r="K8631" s="312"/>
      <c r="N8631" s="514"/>
    </row>
    <row r="8632" spans="11:14" x14ac:dyDescent="0.25">
      <c r="K8632" s="312"/>
      <c r="N8632" s="514"/>
    </row>
    <row r="8633" spans="11:14" x14ac:dyDescent="0.25">
      <c r="K8633" s="312"/>
      <c r="N8633" s="514"/>
    </row>
    <row r="8634" spans="11:14" x14ac:dyDescent="0.25">
      <c r="K8634" s="312"/>
      <c r="N8634" s="514"/>
    </row>
    <row r="8635" spans="11:14" x14ac:dyDescent="0.25">
      <c r="K8635" s="312"/>
      <c r="N8635" s="514"/>
    </row>
    <row r="8636" spans="11:14" x14ac:dyDescent="0.25">
      <c r="K8636" s="312"/>
      <c r="N8636" s="514"/>
    </row>
    <row r="8637" spans="11:14" x14ac:dyDescent="0.25">
      <c r="K8637" s="312"/>
      <c r="N8637" s="514"/>
    </row>
    <row r="8638" spans="11:14" x14ac:dyDescent="0.25">
      <c r="K8638" s="312"/>
      <c r="N8638" s="514"/>
    </row>
    <row r="8639" spans="11:14" x14ac:dyDescent="0.25">
      <c r="K8639" s="312"/>
      <c r="N8639" s="514"/>
    </row>
    <row r="8640" spans="11:14" x14ac:dyDescent="0.25">
      <c r="K8640" s="312"/>
      <c r="N8640" s="514"/>
    </row>
    <row r="8641" spans="11:14" x14ac:dyDescent="0.25">
      <c r="K8641" s="312"/>
      <c r="N8641" s="514"/>
    </row>
    <row r="8642" spans="11:14" x14ac:dyDescent="0.25">
      <c r="K8642" s="312"/>
      <c r="N8642" s="514"/>
    </row>
    <row r="8643" spans="11:14" x14ac:dyDescent="0.25">
      <c r="K8643" s="312"/>
      <c r="N8643" s="514"/>
    </row>
    <row r="8644" spans="11:14" x14ac:dyDescent="0.25">
      <c r="K8644" s="312"/>
      <c r="N8644" s="514"/>
    </row>
    <row r="8645" spans="11:14" x14ac:dyDescent="0.25">
      <c r="K8645" s="312"/>
      <c r="N8645" s="514"/>
    </row>
    <row r="8646" spans="11:14" x14ac:dyDescent="0.25">
      <c r="K8646" s="312"/>
      <c r="N8646" s="514"/>
    </row>
    <row r="8647" spans="11:14" x14ac:dyDescent="0.25">
      <c r="K8647" s="312"/>
      <c r="N8647" s="514"/>
    </row>
    <row r="8648" spans="11:14" x14ac:dyDescent="0.25">
      <c r="K8648" s="312"/>
      <c r="N8648" s="514"/>
    </row>
    <row r="8649" spans="11:14" x14ac:dyDescent="0.25">
      <c r="K8649" s="312"/>
      <c r="N8649" s="514"/>
    </row>
    <row r="8650" spans="11:14" x14ac:dyDescent="0.25">
      <c r="K8650" s="312"/>
      <c r="N8650" s="514"/>
    </row>
    <row r="8651" spans="11:14" x14ac:dyDescent="0.25">
      <c r="K8651" s="312"/>
      <c r="N8651" s="514"/>
    </row>
    <row r="8652" spans="11:14" x14ac:dyDescent="0.25">
      <c r="K8652" s="312"/>
      <c r="N8652" s="514"/>
    </row>
    <row r="8653" spans="11:14" x14ac:dyDescent="0.25">
      <c r="K8653" s="312"/>
      <c r="N8653" s="514"/>
    </row>
    <row r="8654" spans="11:14" x14ac:dyDescent="0.25">
      <c r="K8654" s="312"/>
      <c r="N8654" s="514"/>
    </row>
    <row r="8655" spans="11:14" x14ac:dyDescent="0.25">
      <c r="K8655" s="312"/>
      <c r="N8655" s="514"/>
    </row>
    <row r="8656" spans="11:14" x14ac:dyDescent="0.25">
      <c r="K8656" s="312"/>
      <c r="N8656" s="514"/>
    </row>
    <row r="8657" spans="11:14" x14ac:dyDescent="0.25">
      <c r="K8657" s="312"/>
      <c r="N8657" s="514"/>
    </row>
    <row r="8658" spans="11:14" x14ac:dyDescent="0.25">
      <c r="K8658" s="312"/>
      <c r="N8658" s="514"/>
    </row>
    <row r="8659" spans="11:14" x14ac:dyDescent="0.25">
      <c r="K8659" s="312"/>
      <c r="N8659" s="514"/>
    </row>
    <row r="8660" spans="11:14" x14ac:dyDescent="0.25">
      <c r="K8660" s="312"/>
      <c r="N8660" s="514"/>
    </row>
    <row r="8661" spans="11:14" x14ac:dyDescent="0.25">
      <c r="K8661" s="312"/>
      <c r="N8661" s="514"/>
    </row>
    <row r="8662" spans="11:14" x14ac:dyDescent="0.25">
      <c r="K8662" s="312"/>
      <c r="N8662" s="514"/>
    </row>
    <row r="8663" spans="11:14" x14ac:dyDescent="0.25">
      <c r="K8663" s="312"/>
      <c r="N8663" s="514"/>
    </row>
    <row r="8664" spans="11:14" x14ac:dyDescent="0.25">
      <c r="K8664" s="312"/>
      <c r="N8664" s="514"/>
    </row>
    <row r="8665" spans="11:14" x14ac:dyDescent="0.25">
      <c r="K8665" s="312"/>
      <c r="N8665" s="514"/>
    </row>
    <row r="8666" spans="11:14" x14ac:dyDescent="0.25">
      <c r="K8666" s="312"/>
      <c r="N8666" s="514"/>
    </row>
    <row r="8667" spans="11:14" x14ac:dyDescent="0.25">
      <c r="K8667" s="312"/>
      <c r="N8667" s="514"/>
    </row>
    <row r="8668" spans="11:14" x14ac:dyDescent="0.25">
      <c r="K8668" s="312"/>
      <c r="N8668" s="514"/>
    </row>
    <row r="8669" spans="11:14" x14ac:dyDescent="0.25">
      <c r="K8669" s="312"/>
      <c r="N8669" s="514"/>
    </row>
    <row r="8670" spans="11:14" x14ac:dyDescent="0.25">
      <c r="K8670" s="312"/>
      <c r="N8670" s="514"/>
    </row>
    <row r="8671" spans="11:14" x14ac:dyDescent="0.25">
      <c r="K8671" s="312"/>
      <c r="N8671" s="514"/>
    </row>
    <row r="8672" spans="11:14" x14ac:dyDescent="0.25">
      <c r="K8672" s="312"/>
      <c r="N8672" s="514"/>
    </row>
    <row r="8673" spans="11:14" x14ac:dyDescent="0.25">
      <c r="K8673" s="312"/>
      <c r="N8673" s="514"/>
    </row>
    <row r="8674" spans="11:14" x14ac:dyDescent="0.25">
      <c r="K8674" s="312"/>
      <c r="N8674" s="514"/>
    </row>
    <row r="8675" spans="11:14" x14ac:dyDescent="0.25">
      <c r="K8675" s="312"/>
      <c r="N8675" s="514"/>
    </row>
    <row r="8676" spans="11:14" x14ac:dyDescent="0.25">
      <c r="K8676" s="312"/>
      <c r="N8676" s="514"/>
    </row>
    <row r="8677" spans="11:14" x14ac:dyDescent="0.25">
      <c r="K8677" s="312"/>
      <c r="N8677" s="514"/>
    </row>
    <row r="8678" spans="11:14" x14ac:dyDescent="0.25">
      <c r="K8678" s="312"/>
      <c r="N8678" s="514"/>
    </row>
    <row r="8679" spans="11:14" x14ac:dyDescent="0.25">
      <c r="K8679" s="312"/>
      <c r="N8679" s="514"/>
    </row>
    <row r="8680" spans="11:14" x14ac:dyDescent="0.25">
      <c r="K8680" s="312"/>
      <c r="N8680" s="514"/>
    </row>
    <row r="8681" spans="11:14" x14ac:dyDescent="0.25">
      <c r="K8681" s="312"/>
      <c r="N8681" s="514"/>
    </row>
    <row r="8682" spans="11:14" x14ac:dyDescent="0.25">
      <c r="K8682" s="312"/>
      <c r="N8682" s="514"/>
    </row>
    <row r="8683" spans="11:14" x14ac:dyDescent="0.25">
      <c r="K8683" s="312"/>
      <c r="N8683" s="514"/>
    </row>
    <row r="8684" spans="11:14" x14ac:dyDescent="0.25">
      <c r="K8684" s="312"/>
      <c r="N8684" s="514"/>
    </row>
    <row r="8685" spans="11:14" x14ac:dyDescent="0.25">
      <c r="K8685" s="312"/>
      <c r="N8685" s="514"/>
    </row>
    <row r="8686" spans="11:14" x14ac:dyDescent="0.25">
      <c r="K8686" s="312"/>
      <c r="N8686" s="514"/>
    </row>
    <row r="8687" spans="11:14" x14ac:dyDescent="0.25">
      <c r="K8687" s="312"/>
      <c r="N8687" s="514"/>
    </row>
    <row r="8688" spans="11:14" x14ac:dyDescent="0.25">
      <c r="K8688" s="312"/>
      <c r="N8688" s="514"/>
    </row>
    <row r="8689" spans="11:14" x14ac:dyDescent="0.25">
      <c r="K8689" s="312"/>
      <c r="N8689" s="514"/>
    </row>
    <row r="8690" spans="11:14" x14ac:dyDescent="0.25">
      <c r="K8690" s="312"/>
      <c r="N8690" s="514"/>
    </row>
    <row r="8691" spans="11:14" x14ac:dyDescent="0.25">
      <c r="K8691" s="312"/>
      <c r="N8691" s="514"/>
    </row>
    <row r="8692" spans="11:14" x14ac:dyDescent="0.25">
      <c r="K8692" s="312"/>
      <c r="N8692" s="514"/>
    </row>
    <row r="8693" spans="11:14" x14ac:dyDescent="0.25">
      <c r="K8693" s="312"/>
      <c r="N8693" s="514"/>
    </row>
    <row r="8694" spans="11:14" x14ac:dyDescent="0.25">
      <c r="K8694" s="312"/>
      <c r="N8694" s="514"/>
    </row>
    <row r="8695" spans="11:14" x14ac:dyDescent="0.25">
      <c r="K8695" s="312"/>
      <c r="N8695" s="514"/>
    </row>
    <row r="8696" spans="11:14" x14ac:dyDescent="0.25">
      <c r="K8696" s="312"/>
      <c r="N8696" s="514"/>
    </row>
    <row r="8697" spans="11:14" x14ac:dyDescent="0.25">
      <c r="K8697" s="312"/>
      <c r="N8697" s="514"/>
    </row>
    <row r="8698" spans="11:14" x14ac:dyDescent="0.25">
      <c r="K8698" s="312"/>
      <c r="N8698" s="514"/>
    </row>
    <row r="8699" spans="11:14" x14ac:dyDescent="0.25">
      <c r="K8699" s="312"/>
      <c r="N8699" s="514"/>
    </row>
    <row r="8700" spans="11:14" x14ac:dyDescent="0.25">
      <c r="K8700" s="312"/>
      <c r="N8700" s="514"/>
    </row>
    <row r="8701" spans="11:14" x14ac:dyDescent="0.25">
      <c r="K8701" s="312"/>
      <c r="N8701" s="514"/>
    </row>
    <row r="8702" spans="11:14" x14ac:dyDescent="0.25">
      <c r="K8702" s="312"/>
      <c r="N8702" s="514"/>
    </row>
    <row r="8703" spans="11:14" x14ac:dyDescent="0.25">
      <c r="K8703" s="312"/>
      <c r="N8703" s="514"/>
    </row>
    <row r="8704" spans="11:14" x14ac:dyDescent="0.25">
      <c r="K8704" s="312"/>
      <c r="N8704" s="514"/>
    </row>
    <row r="8705" spans="11:14" x14ac:dyDescent="0.25">
      <c r="K8705" s="312"/>
      <c r="N8705" s="514"/>
    </row>
    <row r="8706" spans="11:14" x14ac:dyDescent="0.25">
      <c r="K8706" s="312"/>
      <c r="N8706" s="514"/>
    </row>
    <row r="8707" spans="11:14" x14ac:dyDescent="0.25">
      <c r="K8707" s="312"/>
      <c r="N8707" s="514"/>
    </row>
    <row r="8708" spans="11:14" x14ac:dyDescent="0.25">
      <c r="K8708" s="312"/>
      <c r="N8708" s="514"/>
    </row>
    <row r="8709" spans="11:14" x14ac:dyDescent="0.25">
      <c r="K8709" s="312"/>
      <c r="N8709" s="514"/>
    </row>
    <row r="8710" spans="11:14" x14ac:dyDescent="0.25">
      <c r="K8710" s="312"/>
      <c r="N8710" s="514"/>
    </row>
    <row r="8711" spans="11:14" x14ac:dyDescent="0.25">
      <c r="K8711" s="312"/>
      <c r="N8711" s="514"/>
    </row>
    <row r="8712" spans="11:14" x14ac:dyDescent="0.25">
      <c r="K8712" s="312"/>
      <c r="N8712" s="514"/>
    </row>
    <row r="8713" spans="11:14" x14ac:dyDescent="0.25">
      <c r="K8713" s="312"/>
      <c r="N8713" s="514"/>
    </row>
    <row r="8714" spans="11:14" x14ac:dyDescent="0.25">
      <c r="K8714" s="312"/>
      <c r="N8714" s="514"/>
    </row>
    <row r="8715" spans="11:14" x14ac:dyDescent="0.25">
      <c r="K8715" s="312"/>
      <c r="N8715" s="514"/>
    </row>
    <row r="8716" spans="11:14" x14ac:dyDescent="0.25">
      <c r="K8716" s="312"/>
      <c r="N8716" s="514"/>
    </row>
    <row r="8717" spans="11:14" x14ac:dyDescent="0.25">
      <c r="K8717" s="312"/>
      <c r="N8717" s="514"/>
    </row>
    <row r="8718" spans="11:14" x14ac:dyDescent="0.25">
      <c r="K8718" s="312"/>
      <c r="N8718" s="514"/>
    </row>
    <row r="8719" spans="11:14" x14ac:dyDescent="0.25">
      <c r="K8719" s="312"/>
      <c r="N8719" s="514"/>
    </row>
    <row r="8720" spans="11:14" x14ac:dyDescent="0.25">
      <c r="K8720" s="312"/>
      <c r="N8720" s="514"/>
    </row>
    <row r="8721" spans="11:14" x14ac:dyDescent="0.25">
      <c r="K8721" s="312"/>
      <c r="N8721" s="514"/>
    </row>
    <row r="8722" spans="11:14" x14ac:dyDescent="0.25">
      <c r="K8722" s="312"/>
      <c r="N8722" s="514"/>
    </row>
    <row r="8723" spans="11:14" x14ac:dyDescent="0.25">
      <c r="K8723" s="312"/>
      <c r="N8723" s="514"/>
    </row>
    <row r="8724" spans="11:14" x14ac:dyDescent="0.25">
      <c r="K8724" s="312"/>
      <c r="N8724" s="514"/>
    </row>
    <row r="8725" spans="11:14" x14ac:dyDescent="0.25">
      <c r="K8725" s="312"/>
      <c r="N8725" s="514"/>
    </row>
    <row r="8726" spans="11:14" x14ac:dyDescent="0.25">
      <c r="K8726" s="312"/>
      <c r="N8726" s="514"/>
    </row>
    <row r="8727" spans="11:14" x14ac:dyDescent="0.25">
      <c r="K8727" s="312"/>
      <c r="N8727" s="514"/>
    </row>
    <row r="8728" spans="11:14" x14ac:dyDescent="0.25">
      <c r="K8728" s="312"/>
      <c r="N8728" s="514"/>
    </row>
    <row r="8729" spans="11:14" x14ac:dyDescent="0.25">
      <c r="K8729" s="312"/>
      <c r="N8729" s="514"/>
    </row>
    <row r="8730" spans="11:14" x14ac:dyDescent="0.25">
      <c r="K8730" s="312"/>
      <c r="N8730" s="514"/>
    </row>
    <row r="8731" spans="11:14" x14ac:dyDescent="0.25">
      <c r="K8731" s="312"/>
      <c r="N8731" s="514"/>
    </row>
    <row r="8732" spans="11:14" x14ac:dyDescent="0.25">
      <c r="K8732" s="312"/>
      <c r="N8732" s="514"/>
    </row>
    <row r="8733" spans="11:14" x14ac:dyDescent="0.25">
      <c r="K8733" s="312"/>
      <c r="N8733" s="514"/>
    </row>
    <row r="8734" spans="11:14" x14ac:dyDescent="0.25">
      <c r="K8734" s="312"/>
      <c r="N8734" s="514"/>
    </row>
    <row r="8735" spans="11:14" x14ac:dyDescent="0.25">
      <c r="K8735" s="312"/>
      <c r="N8735" s="514"/>
    </row>
    <row r="8736" spans="11:14" x14ac:dyDescent="0.25">
      <c r="K8736" s="312"/>
      <c r="N8736" s="514"/>
    </row>
    <row r="8737" spans="11:14" x14ac:dyDescent="0.25">
      <c r="K8737" s="312"/>
      <c r="N8737" s="514"/>
    </row>
    <row r="8738" spans="11:14" x14ac:dyDescent="0.25">
      <c r="K8738" s="312"/>
      <c r="N8738" s="514"/>
    </row>
    <row r="8739" spans="11:14" x14ac:dyDescent="0.25">
      <c r="K8739" s="312"/>
      <c r="N8739" s="514"/>
    </row>
    <row r="8740" spans="11:14" x14ac:dyDescent="0.25">
      <c r="K8740" s="312"/>
      <c r="N8740" s="514"/>
    </row>
    <row r="8741" spans="11:14" x14ac:dyDescent="0.25">
      <c r="K8741" s="312"/>
      <c r="N8741" s="514"/>
    </row>
    <row r="8742" spans="11:14" x14ac:dyDescent="0.25">
      <c r="K8742" s="312"/>
      <c r="N8742" s="514"/>
    </row>
    <row r="8743" spans="11:14" x14ac:dyDescent="0.25">
      <c r="K8743" s="312"/>
      <c r="N8743" s="514"/>
    </row>
    <row r="8744" spans="11:14" x14ac:dyDescent="0.25">
      <c r="K8744" s="312"/>
      <c r="N8744" s="514"/>
    </row>
    <row r="8745" spans="11:14" x14ac:dyDescent="0.25">
      <c r="K8745" s="312"/>
      <c r="N8745" s="514"/>
    </row>
    <row r="8746" spans="11:14" x14ac:dyDescent="0.25">
      <c r="K8746" s="312"/>
      <c r="N8746" s="514"/>
    </row>
    <row r="8747" spans="11:14" x14ac:dyDescent="0.25">
      <c r="K8747" s="312"/>
      <c r="N8747" s="514"/>
    </row>
    <row r="8748" spans="11:14" x14ac:dyDescent="0.25">
      <c r="K8748" s="312"/>
      <c r="N8748" s="514"/>
    </row>
    <row r="8749" spans="11:14" x14ac:dyDescent="0.25">
      <c r="K8749" s="312"/>
      <c r="N8749" s="514"/>
    </row>
    <row r="8750" spans="11:14" x14ac:dyDescent="0.25">
      <c r="K8750" s="312"/>
      <c r="N8750" s="514"/>
    </row>
    <row r="8751" spans="11:14" x14ac:dyDescent="0.25">
      <c r="K8751" s="312"/>
      <c r="N8751" s="514"/>
    </row>
    <row r="8752" spans="11:14" x14ac:dyDescent="0.25">
      <c r="K8752" s="312"/>
      <c r="N8752" s="514"/>
    </row>
    <row r="8753" spans="11:14" x14ac:dyDescent="0.25">
      <c r="K8753" s="312"/>
      <c r="N8753" s="514"/>
    </row>
    <row r="8754" spans="11:14" x14ac:dyDescent="0.25">
      <c r="K8754" s="312"/>
      <c r="N8754" s="514"/>
    </row>
    <row r="8755" spans="11:14" x14ac:dyDescent="0.25">
      <c r="K8755" s="312"/>
      <c r="N8755" s="514"/>
    </row>
    <row r="8756" spans="11:14" x14ac:dyDescent="0.25">
      <c r="K8756" s="312"/>
      <c r="N8756" s="514"/>
    </row>
    <row r="8757" spans="11:14" x14ac:dyDescent="0.25">
      <c r="K8757" s="312"/>
      <c r="N8757" s="514"/>
    </row>
    <row r="8758" spans="11:14" x14ac:dyDescent="0.25">
      <c r="K8758" s="312"/>
      <c r="N8758" s="514"/>
    </row>
    <row r="8759" spans="11:14" x14ac:dyDescent="0.25">
      <c r="K8759" s="312"/>
      <c r="N8759" s="514"/>
    </row>
    <row r="8760" spans="11:14" x14ac:dyDescent="0.25">
      <c r="K8760" s="312"/>
      <c r="N8760" s="514"/>
    </row>
    <row r="8761" spans="11:14" x14ac:dyDescent="0.25">
      <c r="K8761" s="312"/>
      <c r="N8761" s="514"/>
    </row>
    <row r="8762" spans="11:14" x14ac:dyDescent="0.25">
      <c r="K8762" s="312"/>
      <c r="N8762" s="514"/>
    </row>
    <row r="8763" spans="11:14" x14ac:dyDescent="0.25">
      <c r="K8763" s="312"/>
      <c r="N8763" s="514"/>
    </row>
    <row r="8764" spans="11:14" x14ac:dyDescent="0.25">
      <c r="K8764" s="312"/>
      <c r="N8764" s="514"/>
    </row>
    <row r="8765" spans="11:14" x14ac:dyDescent="0.25">
      <c r="K8765" s="312"/>
      <c r="N8765" s="514"/>
    </row>
    <row r="8766" spans="11:14" x14ac:dyDescent="0.25">
      <c r="K8766" s="312"/>
      <c r="N8766" s="514"/>
    </row>
    <row r="8767" spans="11:14" x14ac:dyDescent="0.25">
      <c r="K8767" s="312"/>
      <c r="N8767" s="514"/>
    </row>
    <row r="8768" spans="11:14" x14ac:dyDescent="0.25">
      <c r="K8768" s="312"/>
      <c r="N8768" s="514"/>
    </row>
    <row r="8769" spans="11:14" x14ac:dyDescent="0.25">
      <c r="K8769" s="312"/>
      <c r="N8769" s="514"/>
    </row>
    <row r="8770" spans="11:14" x14ac:dyDescent="0.25">
      <c r="K8770" s="312"/>
      <c r="N8770" s="514"/>
    </row>
    <row r="8771" spans="11:14" x14ac:dyDescent="0.25">
      <c r="K8771" s="312"/>
      <c r="N8771" s="514"/>
    </row>
    <row r="8772" spans="11:14" x14ac:dyDescent="0.25">
      <c r="K8772" s="312"/>
      <c r="N8772" s="514"/>
    </row>
    <row r="8773" spans="11:14" x14ac:dyDescent="0.25">
      <c r="K8773" s="312"/>
      <c r="N8773" s="514"/>
    </row>
    <row r="8774" spans="11:14" x14ac:dyDescent="0.25">
      <c r="K8774" s="312"/>
      <c r="N8774" s="514"/>
    </row>
    <row r="8775" spans="11:14" x14ac:dyDescent="0.25">
      <c r="K8775" s="312"/>
      <c r="N8775" s="514"/>
    </row>
    <row r="8776" spans="11:14" x14ac:dyDescent="0.25">
      <c r="K8776" s="312"/>
      <c r="N8776" s="514"/>
    </row>
    <row r="8777" spans="11:14" x14ac:dyDescent="0.25">
      <c r="K8777" s="312"/>
      <c r="N8777" s="514"/>
    </row>
    <row r="8778" spans="11:14" x14ac:dyDescent="0.25">
      <c r="K8778" s="312"/>
      <c r="N8778" s="514"/>
    </row>
    <row r="8779" spans="11:14" x14ac:dyDescent="0.25">
      <c r="K8779" s="312"/>
      <c r="N8779" s="514"/>
    </row>
    <row r="8780" spans="11:14" x14ac:dyDescent="0.25">
      <c r="K8780" s="312"/>
      <c r="N8780" s="514"/>
    </row>
    <row r="8781" spans="11:14" x14ac:dyDescent="0.25">
      <c r="K8781" s="312"/>
      <c r="N8781" s="514"/>
    </row>
    <row r="8782" spans="11:14" x14ac:dyDescent="0.25">
      <c r="K8782" s="312"/>
      <c r="N8782" s="514"/>
    </row>
    <row r="8783" spans="11:14" x14ac:dyDescent="0.25">
      <c r="K8783" s="312"/>
      <c r="N8783" s="514"/>
    </row>
    <row r="8784" spans="11:14" x14ac:dyDescent="0.25">
      <c r="K8784" s="312"/>
      <c r="N8784" s="514"/>
    </row>
    <row r="8785" spans="11:14" x14ac:dyDescent="0.25">
      <c r="K8785" s="312"/>
      <c r="N8785" s="514"/>
    </row>
    <row r="8786" spans="11:14" x14ac:dyDescent="0.25">
      <c r="K8786" s="312"/>
      <c r="N8786" s="514"/>
    </row>
    <row r="8787" spans="11:14" x14ac:dyDescent="0.25">
      <c r="K8787" s="312"/>
      <c r="N8787" s="514"/>
    </row>
    <row r="8788" spans="11:14" x14ac:dyDescent="0.25">
      <c r="K8788" s="312"/>
      <c r="N8788" s="514"/>
    </row>
    <row r="8789" spans="11:14" x14ac:dyDescent="0.25">
      <c r="K8789" s="312"/>
      <c r="N8789" s="514"/>
    </row>
    <row r="8790" spans="11:14" x14ac:dyDescent="0.25">
      <c r="K8790" s="312"/>
      <c r="N8790" s="514"/>
    </row>
    <row r="8791" spans="11:14" x14ac:dyDescent="0.25">
      <c r="K8791" s="312"/>
      <c r="N8791" s="514"/>
    </row>
    <row r="8792" spans="11:14" x14ac:dyDescent="0.25">
      <c r="K8792" s="312"/>
      <c r="N8792" s="514"/>
    </row>
    <row r="8793" spans="11:14" x14ac:dyDescent="0.25">
      <c r="K8793" s="312"/>
      <c r="N8793" s="514"/>
    </row>
    <row r="8794" spans="11:14" x14ac:dyDescent="0.25">
      <c r="K8794" s="312"/>
      <c r="N8794" s="514"/>
    </row>
    <row r="8795" spans="11:14" x14ac:dyDescent="0.25">
      <c r="K8795" s="312"/>
      <c r="N8795" s="514"/>
    </row>
    <row r="8796" spans="11:14" x14ac:dyDescent="0.25">
      <c r="K8796" s="312"/>
      <c r="N8796" s="514"/>
    </row>
    <row r="8797" spans="11:14" x14ac:dyDescent="0.25">
      <c r="K8797" s="312"/>
      <c r="N8797" s="514"/>
    </row>
    <row r="8798" spans="11:14" x14ac:dyDescent="0.25">
      <c r="K8798" s="312"/>
      <c r="N8798" s="514"/>
    </row>
    <row r="8799" spans="11:14" x14ac:dyDescent="0.25">
      <c r="K8799" s="312"/>
      <c r="N8799" s="514"/>
    </row>
    <row r="8800" spans="11:14" x14ac:dyDescent="0.25">
      <c r="K8800" s="312"/>
      <c r="N8800" s="514"/>
    </row>
    <row r="8801" spans="11:14" x14ac:dyDescent="0.25">
      <c r="K8801" s="312"/>
      <c r="N8801" s="514"/>
    </row>
    <row r="8802" spans="11:14" x14ac:dyDescent="0.25">
      <c r="K8802" s="312"/>
      <c r="N8802" s="514"/>
    </row>
    <row r="8803" spans="11:14" x14ac:dyDescent="0.25">
      <c r="K8803" s="312"/>
      <c r="N8803" s="514"/>
    </row>
    <row r="8804" spans="11:14" x14ac:dyDescent="0.25">
      <c r="K8804" s="312"/>
      <c r="N8804" s="514"/>
    </row>
    <row r="8805" spans="11:14" x14ac:dyDescent="0.25">
      <c r="K8805" s="312"/>
      <c r="N8805" s="514"/>
    </row>
    <row r="8806" spans="11:14" x14ac:dyDescent="0.25">
      <c r="K8806" s="312"/>
      <c r="N8806" s="514"/>
    </row>
    <row r="8807" spans="11:14" x14ac:dyDescent="0.25">
      <c r="K8807" s="312"/>
      <c r="N8807" s="514"/>
    </row>
    <row r="8808" spans="11:14" x14ac:dyDescent="0.25">
      <c r="K8808" s="312"/>
      <c r="N8808" s="514"/>
    </row>
    <row r="8809" spans="11:14" x14ac:dyDescent="0.25">
      <c r="K8809" s="312"/>
      <c r="N8809" s="514"/>
    </row>
    <row r="8810" spans="11:14" x14ac:dyDescent="0.25">
      <c r="K8810" s="312"/>
      <c r="N8810" s="514"/>
    </row>
    <row r="8811" spans="11:14" x14ac:dyDescent="0.25">
      <c r="K8811" s="312"/>
      <c r="N8811" s="514"/>
    </row>
    <row r="8812" spans="11:14" x14ac:dyDescent="0.25">
      <c r="K8812" s="312"/>
      <c r="N8812" s="514"/>
    </row>
    <row r="8813" spans="11:14" x14ac:dyDescent="0.25">
      <c r="K8813" s="312"/>
      <c r="N8813" s="514"/>
    </row>
    <row r="8814" spans="11:14" x14ac:dyDescent="0.25">
      <c r="K8814" s="312"/>
      <c r="N8814" s="514"/>
    </row>
    <row r="8815" spans="11:14" x14ac:dyDescent="0.25">
      <c r="K8815" s="312"/>
      <c r="N8815" s="514"/>
    </row>
    <row r="8816" spans="11:14" x14ac:dyDescent="0.25">
      <c r="K8816" s="312"/>
      <c r="N8816" s="514"/>
    </row>
    <row r="8817" spans="11:14" x14ac:dyDescent="0.25">
      <c r="K8817" s="312"/>
      <c r="N8817" s="514"/>
    </row>
    <row r="8818" spans="11:14" x14ac:dyDescent="0.25">
      <c r="K8818" s="312"/>
      <c r="N8818" s="514"/>
    </row>
    <row r="8819" spans="11:14" x14ac:dyDescent="0.25">
      <c r="K8819" s="312"/>
      <c r="N8819" s="514"/>
    </row>
    <row r="8820" spans="11:14" x14ac:dyDescent="0.25">
      <c r="K8820" s="312"/>
      <c r="N8820" s="514"/>
    </row>
    <row r="8821" spans="11:14" x14ac:dyDescent="0.25">
      <c r="K8821" s="312"/>
      <c r="N8821" s="514"/>
    </row>
    <row r="8822" spans="11:14" x14ac:dyDescent="0.25">
      <c r="K8822" s="312"/>
      <c r="N8822" s="514"/>
    </row>
    <row r="8823" spans="11:14" x14ac:dyDescent="0.25">
      <c r="K8823" s="312"/>
      <c r="N8823" s="514"/>
    </row>
    <row r="8824" spans="11:14" x14ac:dyDescent="0.25">
      <c r="K8824" s="312"/>
      <c r="N8824" s="514"/>
    </row>
    <row r="8825" spans="11:14" x14ac:dyDescent="0.25">
      <c r="K8825" s="312"/>
      <c r="N8825" s="514"/>
    </row>
    <row r="8826" spans="11:14" x14ac:dyDescent="0.25">
      <c r="K8826" s="312"/>
      <c r="N8826" s="514"/>
    </row>
    <row r="8827" spans="11:14" x14ac:dyDescent="0.25">
      <c r="K8827" s="312"/>
      <c r="N8827" s="514"/>
    </row>
    <row r="8828" spans="11:14" x14ac:dyDescent="0.25">
      <c r="K8828" s="312"/>
      <c r="N8828" s="514"/>
    </row>
    <row r="8829" spans="11:14" x14ac:dyDescent="0.25">
      <c r="K8829" s="312"/>
      <c r="N8829" s="514"/>
    </row>
    <row r="8830" spans="11:14" x14ac:dyDescent="0.25">
      <c r="K8830" s="312"/>
      <c r="N8830" s="514"/>
    </row>
    <row r="8831" spans="11:14" x14ac:dyDescent="0.25">
      <c r="K8831" s="312"/>
      <c r="N8831" s="514"/>
    </row>
    <row r="8832" spans="11:14" x14ac:dyDescent="0.25">
      <c r="K8832" s="312"/>
      <c r="N8832" s="514"/>
    </row>
    <row r="8833" spans="11:14" x14ac:dyDescent="0.25">
      <c r="K8833" s="312"/>
      <c r="N8833" s="514"/>
    </row>
    <row r="8834" spans="11:14" x14ac:dyDescent="0.25">
      <c r="K8834" s="312"/>
      <c r="N8834" s="514"/>
    </row>
    <row r="8835" spans="11:14" x14ac:dyDescent="0.25">
      <c r="K8835" s="312"/>
      <c r="N8835" s="514"/>
    </row>
    <row r="8836" spans="11:14" x14ac:dyDescent="0.25">
      <c r="K8836" s="312"/>
      <c r="N8836" s="514"/>
    </row>
    <row r="8837" spans="11:14" x14ac:dyDescent="0.25">
      <c r="K8837" s="312"/>
      <c r="N8837" s="514"/>
    </row>
    <row r="8838" spans="11:14" x14ac:dyDescent="0.25">
      <c r="K8838" s="312"/>
      <c r="N8838" s="514"/>
    </row>
    <row r="8839" spans="11:14" x14ac:dyDescent="0.25">
      <c r="K8839" s="312"/>
      <c r="N8839" s="514"/>
    </row>
    <row r="8840" spans="11:14" x14ac:dyDescent="0.25">
      <c r="K8840" s="312"/>
      <c r="N8840" s="514"/>
    </row>
    <row r="8841" spans="11:14" x14ac:dyDescent="0.25">
      <c r="K8841" s="312"/>
      <c r="N8841" s="514"/>
    </row>
    <row r="8842" spans="11:14" x14ac:dyDescent="0.25">
      <c r="K8842" s="312"/>
      <c r="N8842" s="514"/>
    </row>
    <row r="8843" spans="11:14" x14ac:dyDescent="0.25">
      <c r="K8843" s="312"/>
      <c r="N8843" s="514"/>
    </row>
    <row r="8844" spans="11:14" x14ac:dyDescent="0.25">
      <c r="K8844" s="312"/>
      <c r="N8844" s="514"/>
    </row>
    <row r="8845" spans="11:14" x14ac:dyDescent="0.25">
      <c r="K8845" s="312"/>
      <c r="N8845" s="514"/>
    </row>
    <row r="8846" spans="11:14" x14ac:dyDescent="0.25">
      <c r="K8846" s="312"/>
      <c r="N8846" s="514"/>
    </row>
    <row r="8847" spans="11:14" x14ac:dyDescent="0.25">
      <c r="K8847" s="312"/>
      <c r="N8847" s="514"/>
    </row>
    <row r="8848" spans="11:14" x14ac:dyDescent="0.25">
      <c r="K8848" s="312"/>
      <c r="N8848" s="514"/>
    </row>
    <row r="8849" spans="11:14" x14ac:dyDescent="0.25">
      <c r="K8849" s="312"/>
      <c r="N8849" s="514"/>
    </row>
    <row r="8850" spans="11:14" x14ac:dyDescent="0.25">
      <c r="K8850" s="312"/>
      <c r="N8850" s="514"/>
    </row>
    <row r="8851" spans="11:14" x14ac:dyDescent="0.25">
      <c r="K8851" s="312"/>
      <c r="N8851" s="514"/>
    </row>
    <row r="8852" spans="11:14" x14ac:dyDescent="0.25">
      <c r="K8852" s="312"/>
      <c r="N8852" s="514"/>
    </row>
    <row r="8853" spans="11:14" x14ac:dyDescent="0.25">
      <c r="K8853" s="312"/>
      <c r="N8853" s="514"/>
    </row>
    <row r="8854" spans="11:14" x14ac:dyDescent="0.25">
      <c r="K8854" s="312"/>
      <c r="N8854" s="514"/>
    </row>
    <row r="8855" spans="11:14" x14ac:dyDescent="0.25">
      <c r="K8855" s="312"/>
      <c r="N8855" s="514"/>
    </row>
    <row r="8856" spans="11:14" x14ac:dyDescent="0.25">
      <c r="K8856" s="312"/>
      <c r="N8856" s="514"/>
    </row>
    <row r="8857" spans="11:14" x14ac:dyDescent="0.25">
      <c r="K8857" s="312"/>
      <c r="N8857" s="514"/>
    </row>
    <row r="8858" spans="11:14" x14ac:dyDescent="0.25">
      <c r="K8858" s="312"/>
      <c r="N8858" s="514"/>
    </row>
    <row r="8859" spans="11:14" x14ac:dyDescent="0.25">
      <c r="K8859" s="312"/>
      <c r="N8859" s="514"/>
    </row>
    <row r="8860" spans="11:14" x14ac:dyDescent="0.25">
      <c r="K8860" s="312"/>
      <c r="N8860" s="514"/>
    </row>
    <row r="8861" spans="11:14" x14ac:dyDescent="0.25">
      <c r="K8861" s="312"/>
      <c r="N8861" s="514"/>
    </row>
    <row r="8862" spans="11:14" x14ac:dyDescent="0.25">
      <c r="K8862" s="312"/>
      <c r="N8862" s="514"/>
    </row>
    <row r="8863" spans="11:14" x14ac:dyDescent="0.25">
      <c r="K8863" s="312"/>
      <c r="N8863" s="514"/>
    </row>
    <row r="8864" spans="11:14" x14ac:dyDescent="0.25">
      <c r="K8864" s="312"/>
      <c r="N8864" s="514"/>
    </row>
    <row r="8865" spans="11:14" x14ac:dyDescent="0.25">
      <c r="K8865" s="312"/>
      <c r="N8865" s="514"/>
    </row>
    <row r="8866" spans="11:14" x14ac:dyDescent="0.25">
      <c r="K8866" s="312"/>
      <c r="N8866" s="514"/>
    </row>
    <row r="8867" spans="11:14" x14ac:dyDescent="0.25">
      <c r="K8867" s="312"/>
      <c r="N8867" s="514"/>
    </row>
    <row r="8868" spans="11:14" x14ac:dyDescent="0.25">
      <c r="K8868" s="312"/>
      <c r="N8868" s="514"/>
    </row>
    <row r="8869" spans="11:14" x14ac:dyDescent="0.25">
      <c r="K8869" s="312"/>
      <c r="N8869" s="514"/>
    </row>
    <row r="8870" spans="11:14" x14ac:dyDescent="0.25">
      <c r="K8870" s="312"/>
      <c r="N8870" s="514"/>
    </row>
    <row r="8871" spans="11:14" x14ac:dyDescent="0.25">
      <c r="K8871" s="312"/>
      <c r="N8871" s="514"/>
    </row>
    <row r="8872" spans="11:14" x14ac:dyDescent="0.25">
      <c r="K8872" s="312"/>
      <c r="N8872" s="514"/>
    </row>
    <row r="8873" spans="11:14" x14ac:dyDescent="0.25">
      <c r="K8873" s="312"/>
      <c r="N8873" s="514"/>
    </row>
    <row r="8874" spans="11:14" x14ac:dyDescent="0.25">
      <c r="K8874" s="312"/>
      <c r="N8874" s="514"/>
    </row>
    <row r="8875" spans="11:14" x14ac:dyDescent="0.25">
      <c r="K8875" s="312"/>
      <c r="N8875" s="514"/>
    </row>
    <row r="8876" spans="11:14" x14ac:dyDescent="0.25">
      <c r="K8876" s="312"/>
      <c r="N8876" s="514"/>
    </row>
    <row r="8877" spans="11:14" x14ac:dyDescent="0.25">
      <c r="K8877" s="312"/>
      <c r="N8877" s="514"/>
    </row>
    <row r="8878" spans="11:14" x14ac:dyDescent="0.25">
      <c r="K8878" s="312"/>
      <c r="N8878" s="514"/>
    </row>
    <row r="8879" spans="11:14" x14ac:dyDescent="0.25">
      <c r="K8879" s="312"/>
      <c r="N8879" s="514"/>
    </row>
    <row r="8880" spans="11:14" x14ac:dyDescent="0.25">
      <c r="K8880" s="312"/>
      <c r="N8880" s="514"/>
    </row>
    <row r="8881" spans="11:14" x14ac:dyDescent="0.25">
      <c r="K8881" s="312"/>
      <c r="N8881" s="514"/>
    </row>
    <row r="8882" spans="11:14" x14ac:dyDescent="0.25">
      <c r="K8882" s="312"/>
      <c r="N8882" s="514"/>
    </row>
    <row r="8883" spans="11:14" x14ac:dyDescent="0.25">
      <c r="K8883" s="312"/>
      <c r="N8883" s="514"/>
    </row>
    <row r="8884" spans="11:14" x14ac:dyDescent="0.25">
      <c r="K8884" s="312"/>
      <c r="N8884" s="514"/>
    </row>
    <row r="8885" spans="11:14" x14ac:dyDescent="0.25">
      <c r="K8885" s="312"/>
      <c r="N8885" s="514"/>
    </row>
    <row r="8886" spans="11:14" x14ac:dyDescent="0.25">
      <c r="K8886" s="312"/>
      <c r="N8886" s="514"/>
    </row>
    <row r="8887" spans="11:14" x14ac:dyDescent="0.25">
      <c r="K8887" s="312"/>
      <c r="N8887" s="514"/>
    </row>
    <row r="8888" spans="11:14" x14ac:dyDescent="0.25">
      <c r="K8888" s="312"/>
      <c r="N8888" s="514"/>
    </row>
    <row r="8889" spans="11:14" x14ac:dyDescent="0.25">
      <c r="K8889" s="312"/>
      <c r="N8889" s="514"/>
    </row>
    <row r="8890" spans="11:14" x14ac:dyDescent="0.25">
      <c r="K8890" s="312"/>
      <c r="N8890" s="514"/>
    </row>
    <row r="8891" spans="11:14" x14ac:dyDescent="0.25">
      <c r="K8891" s="312"/>
      <c r="N8891" s="514"/>
    </row>
    <row r="8892" spans="11:14" x14ac:dyDescent="0.25">
      <c r="K8892" s="312"/>
      <c r="N8892" s="514"/>
    </row>
    <row r="8893" spans="11:14" x14ac:dyDescent="0.25">
      <c r="K8893" s="312"/>
      <c r="N8893" s="514"/>
    </row>
    <row r="8894" spans="11:14" x14ac:dyDescent="0.25">
      <c r="K8894" s="312"/>
      <c r="N8894" s="514"/>
    </row>
    <row r="8895" spans="11:14" x14ac:dyDescent="0.25">
      <c r="K8895" s="312"/>
      <c r="N8895" s="514"/>
    </row>
    <row r="8896" spans="11:14" x14ac:dyDescent="0.25">
      <c r="K8896" s="312"/>
      <c r="N8896" s="514"/>
    </row>
    <row r="8897" spans="11:14" x14ac:dyDescent="0.25">
      <c r="K8897" s="312"/>
      <c r="N8897" s="514"/>
    </row>
    <row r="8898" spans="11:14" x14ac:dyDescent="0.25">
      <c r="K8898" s="312"/>
      <c r="N8898" s="514"/>
    </row>
    <row r="8899" spans="11:14" x14ac:dyDescent="0.25">
      <c r="K8899" s="312"/>
      <c r="N8899" s="514"/>
    </row>
    <row r="8900" spans="11:14" x14ac:dyDescent="0.25">
      <c r="K8900" s="312"/>
      <c r="N8900" s="514"/>
    </row>
    <row r="8901" spans="11:14" x14ac:dyDescent="0.25">
      <c r="K8901" s="312"/>
      <c r="N8901" s="514"/>
    </row>
    <row r="8902" spans="11:14" x14ac:dyDescent="0.25">
      <c r="K8902" s="312"/>
      <c r="N8902" s="514"/>
    </row>
    <row r="8903" spans="11:14" x14ac:dyDescent="0.25">
      <c r="K8903" s="312"/>
      <c r="N8903" s="514"/>
    </row>
    <row r="8904" spans="11:14" x14ac:dyDescent="0.25">
      <c r="K8904" s="312"/>
      <c r="N8904" s="514"/>
    </row>
    <row r="8905" spans="11:14" x14ac:dyDescent="0.25">
      <c r="K8905" s="312"/>
      <c r="N8905" s="514"/>
    </row>
    <row r="8906" spans="11:14" x14ac:dyDescent="0.25">
      <c r="K8906" s="312"/>
      <c r="N8906" s="514"/>
    </row>
    <row r="8907" spans="11:14" x14ac:dyDescent="0.25">
      <c r="K8907" s="312"/>
      <c r="N8907" s="514"/>
    </row>
    <row r="8908" spans="11:14" x14ac:dyDescent="0.25">
      <c r="K8908" s="312"/>
      <c r="N8908" s="514"/>
    </row>
    <row r="8909" spans="11:14" x14ac:dyDescent="0.25">
      <c r="K8909" s="312"/>
      <c r="N8909" s="514"/>
    </row>
    <row r="8910" spans="11:14" x14ac:dyDescent="0.25">
      <c r="K8910" s="312"/>
      <c r="N8910" s="514"/>
    </row>
    <row r="8911" spans="11:14" x14ac:dyDescent="0.25">
      <c r="K8911" s="312"/>
      <c r="N8911" s="514"/>
    </row>
    <row r="8912" spans="11:14" x14ac:dyDescent="0.25">
      <c r="K8912" s="312"/>
      <c r="N8912" s="514"/>
    </row>
    <row r="8913" spans="11:14" x14ac:dyDescent="0.25">
      <c r="K8913" s="312"/>
      <c r="N8913" s="514"/>
    </row>
    <row r="8914" spans="11:14" x14ac:dyDescent="0.25">
      <c r="K8914" s="312"/>
      <c r="N8914" s="514"/>
    </row>
    <row r="8915" spans="11:14" x14ac:dyDescent="0.25">
      <c r="K8915" s="312"/>
      <c r="N8915" s="514"/>
    </row>
    <row r="8916" spans="11:14" x14ac:dyDescent="0.25">
      <c r="K8916" s="312"/>
      <c r="N8916" s="514"/>
    </row>
    <row r="8917" spans="11:14" x14ac:dyDescent="0.25">
      <c r="K8917" s="312"/>
      <c r="N8917" s="514"/>
    </row>
    <row r="8918" spans="11:14" x14ac:dyDescent="0.25">
      <c r="K8918" s="312"/>
      <c r="N8918" s="514"/>
    </row>
    <row r="8919" spans="11:14" x14ac:dyDescent="0.25">
      <c r="K8919" s="312"/>
      <c r="N8919" s="514"/>
    </row>
    <row r="8920" spans="11:14" x14ac:dyDescent="0.25">
      <c r="K8920" s="312"/>
      <c r="N8920" s="514"/>
    </row>
    <row r="8921" spans="11:14" x14ac:dyDescent="0.25">
      <c r="K8921" s="312"/>
      <c r="N8921" s="514"/>
    </row>
    <row r="8922" spans="11:14" x14ac:dyDescent="0.25">
      <c r="K8922" s="312"/>
      <c r="N8922" s="514"/>
    </row>
    <row r="8923" spans="11:14" x14ac:dyDescent="0.25">
      <c r="K8923" s="312"/>
      <c r="N8923" s="514"/>
    </row>
    <row r="8924" spans="11:14" x14ac:dyDescent="0.25">
      <c r="K8924" s="312"/>
      <c r="N8924" s="514"/>
    </row>
    <row r="8925" spans="11:14" x14ac:dyDescent="0.25">
      <c r="K8925" s="312"/>
      <c r="N8925" s="514"/>
    </row>
    <row r="8926" spans="11:14" x14ac:dyDescent="0.25">
      <c r="K8926" s="312"/>
      <c r="N8926" s="514"/>
    </row>
    <row r="8927" spans="11:14" x14ac:dyDescent="0.25">
      <c r="K8927" s="312"/>
      <c r="N8927" s="514"/>
    </row>
    <row r="8928" spans="11:14" x14ac:dyDescent="0.25">
      <c r="K8928" s="312"/>
      <c r="N8928" s="514"/>
    </row>
    <row r="8929" spans="11:14" x14ac:dyDescent="0.25">
      <c r="K8929" s="312"/>
      <c r="N8929" s="514"/>
    </row>
    <row r="8930" spans="11:14" x14ac:dyDescent="0.25">
      <c r="K8930" s="312"/>
      <c r="N8930" s="514"/>
    </row>
    <row r="8931" spans="11:14" x14ac:dyDescent="0.25">
      <c r="K8931" s="312"/>
      <c r="N8931" s="514"/>
    </row>
    <row r="8932" spans="11:14" x14ac:dyDescent="0.25">
      <c r="K8932" s="312"/>
      <c r="N8932" s="514"/>
    </row>
    <row r="8933" spans="11:14" x14ac:dyDescent="0.25">
      <c r="K8933" s="312"/>
      <c r="N8933" s="514"/>
    </row>
    <row r="8934" spans="11:14" x14ac:dyDescent="0.25">
      <c r="K8934" s="312"/>
      <c r="N8934" s="514"/>
    </row>
    <row r="8935" spans="11:14" x14ac:dyDescent="0.25">
      <c r="K8935" s="312"/>
      <c r="N8935" s="514"/>
    </row>
    <row r="8936" spans="11:14" x14ac:dyDescent="0.25">
      <c r="K8936" s="312"/>
      <c r="N8936" s="514"/>
    </row>
    <row r="8937" spans="11:14" x14ac:dyDescent="0.25">
      <c r="K8937" s="312"/>
      <c r="N8937" s="514"/>
    </row>
    <row r="8938" spans="11:14" x14ac:dyDescent="0.25">
      <c r="K8938" s="312"/>
      <c r="N8938" s="514"/>
    </row>
    <row r="8939" spans="11:14" x14ac:dyDescent="0.25">
      <c r="K8939" s="312"/>
      <c r="N8939" s="514"/>
    </row>
    <row r="8940" spans="11:14" x14ac:dyDescent="0.25">
      <c r="K8940" s="312"/>
      <c r="N8940" s="514"/>
    </row>
    <row r="8941" spans="11:14" x14ac:dyDescent="0.25">
      <c r="K8941" s="312"/>
      <c r="N8941" s="514"/>
    </row>
    <row r="8942" spans="11:14" x14ac:dyDescent="0.25">
      <c r="K8942" s="312"/>
      <c r="N8942" s="514"/>
    </row>
    <row r="8943" spans="11:14" x14ac:dyDescent="0.25">
      <c r="K8943" s="312"/>
      <c r="N8943" s="514"/>
    </row>
    <row r="8944" spans="11:14" x14ac:dyDescent="0.25">
      <c r="K8944" s="312"/>
      <c r="N8944" s="514"/>
    </row>
    <row r="8945" spans="11:14" x14ac:dyDescent="0.25">
      <c r="K8945" s="312"/>
      <c r="N8945" s="514"/>
    </row>
    <row r="8946" spans="11:14" x14ac:dyDescent="0.25">
      <c r="K8946" s="312"/>
      <c r="N8946" s="514"/>
    </row>
    <row r="8947" spans="11:14" x14ac:dyDescent="0.25">
      <c r="K8947" s="312"/>
      <c r="N8947" s="514"/>
    </row>
    <row r="8948" spans="11:14" x14ac:dyDescent="0.25">
      <c r="K8948" s="312"/>
      <c r="N8948" s="514"/>
    </row>
    <row r="8949" spans="11:14" x14ac:dyDescent="0.25">
      <c r="K8949" s="312"/>
      <c r="N8949" s="514"/>
    </row>
    <row r="8950" spans="11:14" x14ac:dyDescent="0.25">
      <c r="K8950" s="312"/>
      <c r="N8950" s="514"/>
    </row>
    <row r="8951" spans="11:14" x14ac:dyDescent="0.25">
      <c r="K8951" s="312"/>
      <c r="N8951" s="514"/>
    </row>
    <row r="8952" spans="11:14" x14ac:dyDescent="0.25">
      <c r="K8952" s="312"/>
      <c r="N8952" s="514"/>
    </row>
    <row r="8953" spans="11:14" x14ac:dyDescent="0.25">
      <c r="K8953" s="312"/>
      <c r="N8953" s="514"/>
    </row>
    <row r="8954" spans="11:14" x14ac:dyDescent="0.25">
      <c r="K8954" s="312"/>
      <c r="N8954" s="514"/>
    </row>
    <row r="8955" spans="11:14" x14ac:dyDescent="0.25">
      <c r="K8955" s="312"/>
      <c r="N8955" s="514"/>
    </row>
    <row r="8956" spans="11:14" x14ac:dyDescent="0.25">
      <c r="K8956" s="312"/>
      <c r="N8956" s="514"/>
    </row>
    <row r="8957" spans="11:14" x14ac:dyDescent="0.25">
      <c r="K8957" s="312"/>
      <c r="N8957" s="514"/>
    </row>
    <row r="8958" spans="11:14" x14ac:dyDescent="0.25">
      <c r="K8958" s="312"/>
      <c r="N8958" s="514"/>
    </row>
    <row r="8959" spans="11:14" x14ac:dyDescent="0.25">
      <c r="K8959" s="312"/>
      <c r="N8959" s="514"/>
    </row>
    <row r="8960" spans="11:14" x14ac:dyDescent="0.25">
      <c r="K8960" s="312"/>
      <c r="N8960" s="514"/>
    </row>
    <row r="8961" spans="11:14" x14ac:dyDescent="0.25">
      <c r="K8961" s="312"/>
      <c r="N8961" s="514"/>
    </row>
    <row r="8962" spans="11:14" x14ac:dyDescent="0.25">
      <c r="K8962" s="312"/>
      <c r="N8962" s="514"/>
    </row>
    <row r="8963" spans="11:14" x14ac:dyDescent="0.25">
      <c r="K8963" s="312"/>
      <c r="N8963" s="514"/>
    </row>
    <row r="8964" spans="11:14" x14ac:dyDescent="0.25">
      <c r="K8964" s="312"/>
      <c r="N8964" s="514"/>
    </row>
    <row r="8965" spans="11:14" x14ac:dyDescent="0.25">
      <c r="K8965" s="312"/>
      <c r="N8965" s="514"/>
    </row>
    <row r="8966" spans="11:14" x14ac:dyDescent="0.25">
      <c r="K8966" s="312"/>
      <c r="N8966" s="514"/>
    </row>
    <row r="8967" spans="11:14" x14ac:dyDescent="0.25">
      <c r="K8967" s="312"/>
      <c r="N8967" s="514"/>
    </row>
    <row r="8968" spans="11:14" x14ac:dyDescent="0.25">
      <c r="K8968" s="312"/>
      <c r="N8968" s="514"/>
    </row>
    <row r="8969" spans="11:14" x14ac:dyDescent="0.25">
      <c r="K8969" s="312"/>
      <c r="N8969" s="514"/>
    </row>
    <row r="8970" spans="11:14" x14ac:dyDescent="0.25">
      <c r="K8970" s="312"/>
      <c r="N8970" s="514"/>
    </row>
    <row r="8971" spans="11:14" x14ac:dyDescent="0.25">
      <c r="K8971" s="312"/>
      <c r="N8971" s="514"/>
    </row>
    <row r="8972" spans="11:14" x14ac:dyDescent="0.25">
      <c r="K8972" s="312"/>
      <c r="N8972" s="514"/>
    </row>
    <row r="8973" spans="11:14" x14ac:dyDescent="0.25">
      <c r="K8973" s="312"/>
      <c r="N8973" s="514"/>
    </row>
    <row r="8974" spans="11:14" x14ac:dyDescent="0.25">
      <c r="K8974" s="312"/>
      <c r="N8974" s="514"/>
    </row>
    <row r="8975" spans="11:14" x14ac:dyDescent="0.25">
      <c r="K8975" s="312"/>
      <c r="N8975" s="514"/>
    </row>
    <row r="8976" spans="11:14" x14ac:dyDescent="0.25">
      <c r="K8976" s="312"/>
      <c r="N8976" s="514"/>
    </row>
    <row r="8977" spans="11:14" x14ac:dyDescent="0.25">
      <c r="K8977" s="312"/>
      <c r="N8977" s="514"/>
    </row>
    <row r="8978" spans="11:14" x14ac:dyDescent="0.25">
      <c r="K8978" s="312"/>
      <c r="N8978" s="514"/>
    </row>
    <row r="8979" spans="11:14" x14ac:dyDescent="0.25">
      <c r="K8979" s="312"/>
      <c r="N8979" s="514"/>
    </row>
    <row r="8980" spans="11:14" x14ac:dyDescent="0.25">
      <c r="K8980" s="312"/>
      <c r="N8980" s="514"/>
    </row>
    <row r="8981" spans="11:14" x14ac:dyDescent="0.25">
      <c r="K8981" s="312"/>
      <c r="N8981" s="514"/>
    </row>
    <row r="8982" spans="11:14" x14ac:dyDescent="0.25">
      <c r="K8982" s="312"/>
      <c r="N8982" s="514"/>
    </row>
    <row r="8983" spans="11:14" x14ac:dyDescent="0.25">
      <c r="K8983" s="312"/>
      <c r="N8983" s="514"/>
    </row>
    <row r="8984" spans="11:14" x14ac:dyDescent="0.25">
      <c r="K8984" s="312"/>
      <c r="N8984" s="514"/>
    </row>
    <row r="8985" spans="11:14" x14ac:dyDescent="0.25">
      <c r="K8985" s="312"/>
      <c r="N8985" s="514"/>
    </row>
    <row r="8986" spans="11:14" x14ac:dyDescent="0.25">
      <c r="K8986" s="312"/>
      <c r="N8986" s="514"/>
    </row>
    <row r="8987" spans="11:14" x14ac:dyDescent="0.25">
      <c r="K8987" s="312"/>
      <c r="N8987" s="514"/>
    </row>
    <row r="8988" spans="11:14" x14ac:dyDescent="0.25">
      <c r="K8988" s="312"/>
      <c r="N8988" s="514"/>
    </row>
    <row r="8989" spans="11:14" x14ac:dyDescent="0.25">
      <c r="K8989" s="312"/>
      <c r="N8989" s="514"/>
    </row>
    <row r="8990" spans="11:14" x14ac:dyDescent="0.25">
      <c r="K8990" s="312"/>
      <c r="N8990" s="514"/>
    </row>
    <row r="8991" spans="11:14" x14ac:dyDescent="0.25">
      <c r="K8991" s="312"/>
      <c r="N8991" s="514"/>
    </row>
    <row r="8992" spans="11:14" x14ac:dyDescent="0.25">
      <c r="K8992" s="312"/>
      <c r="N8992" s="514"/>
    </row>
    <row r="8993" spans="11:14" x14ac:dyDescent="0.25">
      <c r="K8993" s="312"/>
      <c r="N8993" s="514"/>
    </row>
    <row r="8994" spans="11:14" x14ac:dyDescent="0.25">
      <c r="K8994" s="312"/>
      <c r="N8994" s="514"/>
    </row>
    <row r="8995" spans="11:14" x14ac:dyDescent="0.25">
      <c r="K8995" s="312"/>
      <c r="N8995" s="514"/>
    </row>
    <row r="8996" spans="11:14" x14ac:dyDescent="0.25">
      <c r="K8996" s="312"/>
      <c r="N8996" s="514"/>
    </row>
    <row r="8997" spans="11:14" x14ac:dyDescent="0.25">
      <c r="K8997" s="312"/>
      <c r="N8997" s="514"/>
    </row>
    <row r="8998" spans="11:14" x14ac:dyDescent="0.25">
      <c r="K8998" s="312"/>
      <c r="N8998" s="514"/>
    </row>
    <row r="8999" spans="11:14" x14ac:dyDescent="0.25">
      <c r="K8999" s="312"/>
      <c r="N8999" s="514"/>
    </row>
    <row r="9000" spans="11:14" x14ac:dyDescent="0.25">
      <c r="K9000" s="312"/>
      <c r="N9000" s="514"/>
    </row>
    <row r="9001" spans="11:14" x14ac:dyDescent="0.25">
      <c r="K9001" s="312"/>
      <c r="N9001" s="514"/>
    </row>
    <row r="9002" spans="11:14" x14ac:dyDescent="0.25">
      <c r="K9002" s="312"/>
      <c r="N9002" s="514"/>
    </row>
    <row r="9003" spans="11:14" x14ac:dyDescent="0.25">
      <c r="K9003" s="312"/>
      <c r="N9003" s="514"/>
    </row>
    <row r="9004" spans="11:14" x14ac:dyDescent="0.25">
      <c r="K9004" s="312"/>
      <c r="N9004" s="514"/>
    </row>
    <row r="9005" spans="11:14" x14ac:dyDescent="0.25">
      <c r="K9005" s="312"/>
      <c r="N9005" s="514"/>
    </row>
    <row r="9006" spans="11:14" x14ac:dyDescent="0.25">
      <c r="K9006" s="312"/>
      <c r="N9006" s="514"/>
    </row>
    <row r="9007" spans="11:14" x14ac:dyDescent="0.25">
      <c r="K9007" s="312"/>
      <c r="N9007" s="514"/>
    </row>
    <row r="9008" spans="11:14" x14ac:dyDescent="0.25">
      <c r="K9008" s="312"/>
      <c r="N9008" s="514"/>
    </row>
    <row r="9009" spans="11:14" x14ac:dyDescent="0.25">
      <c r="K9009" s="312"/>
      <c r="N9009" s="514"/>
    </row>
    <row r="9010" spans="11:14" x14ac:dyDescent="0.25">
      <c r="K9010" s="312"/>
      <c r="N9010" s="514"/>
    </row>
    <row r="9011" spans="11:14" x14ac:dyDescent="0.25">
      <c r="K9011" s="312"/>
      <c r="N9011" s="514"/>
    </row>
    <row r="9012" spans="11:14" x14ac:dyDescent="0.25">
      <c r="K9012" s="312"/>
      <c r="N9012" s="514"/>
    </row>
    <row r="9013" spans="11:14" x14ac:dyDescent="0.25">
      <c r="K9013" s="312"/>
      <c r="N9013" s="514"/>
    </row>
    <row r="9014" spans="11:14" x14ac:dyDescent="0.25">
      <c r="K9014" s="312"/>
      <c r="N9014" s="514"/>
    </row>
    <row r="9015" spans="11:14" x14ac:dyDescent="0.25">
      <c r="K9015" s="312"/>
      <c r="N9015" s="514"/>
    </row>
    <row r="9016" spans="11:14" x14ac:dyDescent="0.25">
      <c r="K9016" s="312"/>
      <c r="N9016" s="514"/>
    </row>
    <row r="9017" spans="11:14" x14ac:dyDescent="0.25">
      <c r="K9017" s="312"/>
      <c r="N9017" s="514"/>
    </row>
    <row r="9018" spans="11:14" x14ac:dyDescent="0.25">
      <c r="K9018" s="312"/>
      <c r="N9018" s="514"/>
    </row>
    <row r="9019" spans="11:14" x14ac:dyDescent="0.25">
      <c r="K9019" s="312"/>
      <c r="N9019" s="514"/>
    </row>
    <row r="9020" spans="11:14" x14ac:dyDescent="0.25">
      <c r="K9020" s="312"/>
      <c r="N9020" s="514"/>
    </row>
    <row r="9021" spans="11:14" x14ac:dyDescent="0.25">
      <c r="K9021" s="312"/>
      <c r="N9021" s="514"/>
    </row>
    <row r="9022" spans="11:14" x14ac:dyDescent="0.25">
      <c r="K9022" s="312"/>
      <c r="N9022" s="514"/>
    </row>
    <row r="9023" spans="11:14" x14ac:dyDescent="0.25">
      <c r="K9023" s="312"/>
      <c r="N9023" s="514"/>
    </row>
    <row r="9024" spans="11:14" x14ac:dyDescent="0.25">
      <c r="K9024" s="312"/>
      <c r="N9024" s="514"/>
    </row>
    <row r="9025" spans="11:14" x14ac:dyDescent="0.25">
      <c r="K9025" s="312"/>
      <c r="N9025" s="514"/>
    </row>
    <row r="9026" spans="11:14" x14ac:dyDescent="0.25">
      <c r="K9026" s="312"/>
      <c r="N9026" s="514"/>
    </row>
    <row r="9027" spans="11:14" x14ac:dyDescent="0.25">
      <c r="K9027" s="312"/>
      <c r="N9027" s="514"/>
    </row>
    <row r="9028" spans="11:14" x14ac:dyDescent="0.25">
      <c r="K9028" s="312"/>
      <c r="N9028" s="514"/>
    </row>
    <row r="9029" spans="11:14" x14ac:dyDescent="0.25">
      <c r="K9029" s="312"/>
      <c r="N9029" s="514"/>
    </row>
    <row r="9030" spans="11:14" x14ac:dyDescent="0.25">
      <c r="K9030" s="312"/>
      <c r="N9030" s="514"/>
    </row>
    <row r="9031" spans="11:14" x14ac:dyDescent="0.25">
      <c r="K9031" s="312"/>
      <c r="N9031" s="514"/>
    </row>
    <row r="9032" spans="11:14" x14ac:dyDescent="0.25">
      <c r="K9032" s="312"/>
      <c r="N9032" s="514"/>
    </row>
    <row r="9033" spans="11:14" x14ac:dyDescent="0.25">
      <c r="K9033" s="312"/>
      <c r="N9033" s="514"/>
    </row>
    <row r="9034" spans="11:14" x14ac:dyDescent="0.25">
      <c r="K9034" s="312"/>
      <c r="N9034" s="514"/>
    </row>
    <row r="9035" spans="11:14" x14ac:dyDescent="0.25">
      <c r="K9035" s="312"/>
      <c r="N9035" s="514"/>
    </row>
    <row r="9036" spans="11:14" x14ac:dyDescent="0.25">
      <c r="K9036" s="312"/>
      <c r="N9036" s="514"/>
    </row>
    <row r="9037" spans="11:14" x14ac:dyDescent="0.25">
      <c r="K9037" s="312"/>
      <c r="N9037" s="514"/>
    </row>
    <row r="9038" spans="11:14" x14ac:dyDescent="0.25">
      <c r="K9038" s="312"/>
      <c r="N9038" s="514"/>
    </row>
    <row r="9039" spans="11:14" x14ac:dyDescent="0.25">
      <c r="K9039" s="312"/>
      <c r="N9039" s="514"/>
    </row>
    <row r="9040" spans="11:14" x14ac:dyDescent="0.25">
      <c r="K9040" s="312"/>
      <c r="N9040" s="514"/>
    </row>
    <row r="9041" spans="11:14" x14ac:dyDescent="0.25">
      <c r="K9041" s="312"/>
      <c r="N9041" s="514"/>
    </row>
    <row r="9042" spans="11:14" x14ac:dyDescent="0.25">
      <c r="K9042" s="312"/>
      <c r="N9042" s="514"/>
    </row>
    <row r="9043" spans="11:14" x14ac:dyDescent="0.25">
      <c r="K9043" s="312"/>
      <c r="N9043" s="514"/>
    </row>
    <row r="9044" spans="11:14" x14ac:dyDescent="0.25">
      <c r="K9044" s="312"/>
      <c r="N9044" s="514"/>
    </row>
    <row r="9045" spans="11:14" x14ac:dyDescent="0.25">
      <c r="K9045" s="312"/>
      <c r="N9045" s="514"/>
    </row>
    <row r="9046" spans="11:14" x14ac:dyDescent="0.25">
      <c r="K9046" s="312"/>
      <c r="N9046" s="514"/>
    </row>
    <row r="9047" spans="11:14" x14ac:dyDescent="0.25">
      <c r="K9047" s="312"/>
      <c r="N9047" s="514"/>
    </row>
    <row r="9048" spans="11:14" x14ac:dyDescent="0.25">
      <c r="K9048" s="312"/>
      <c r="N9048" s="514"/>
    </row>
    <row r="9049" spans="11:14" x14ac:dyDescent="0.25">
      <c r="K9049" s="312"/>
      <c r="N9049" s="514"/>
    </row>
    <row r="9050" spans="11:14" x14ac:dyDescent="0.25">
      <c r="K9050" s="312"/>
      <c r="N9050" s="514"/>
    </row>
    <row r="9051" spans="11:14" x14ac:dyDescent="0.25">
      <c r="K9051" s="312"/>
      <c r="N9051" s="514"/>
    </row>
    <row r="9052" spans="11:14" x14ac:dyDescent="0.25">
      <c r="K9052" s="312"/>
      <c r="N9052" s="514"/>
    </row>
    <row r="9053" spans="11:14" x14ac:dyDescent="0.25">
      <c r="K9053" s="312"/>
      <c r="N9053" s="514"/>
    </row>
    <row r="9054" spans="11:14" x14ac:dyDescent="0.25">
      <c r="K9054" s="312"/>
      <c r="N9054" s="514"/>
    </row>
    <row r="9055" spans="11:14" x14ac:dyDescent="0.25">
      <c r="K9055" s="312"/>
      <c r="N9055" s="514"/>
    </row>
    <row r="9056" spans="11:14" x14ac:dyDescent="0.25">
      <c r="K9056" s="312"/>
      <c r="N9056" s="514"/>
    </row>
    <row r="9057" spans="11:14" x14ac:dyDescent="0.25">
      <c r="K9057" s="312"/>
      <c r="N9057" s="514"/>
    </row>
    <row r="9058" spans="11:14" x14ac:dyDescent="0.25">
      <c r="K9058" s="312"/>
      <c r="N9058" s="514"/>
    </row>
    <row r="9059" spans="11:14" x14ac:dyDescent="0.25">
      <c r="K9059" s="312"/>
      <c r="N9059" s="514"/>
    </row>
    <row r="9060" spans="11:14" x14ac:dyDescent="0.25">
      <c r="K9060" s="312"/>
      <c r="N9060" s="514"/>
    </row>
    <row r="9061" spans="11:14" x14ac:dyDescent="0.25">
      <c r="K9061" s="312"/>
      <c r="N9061" s="514"/>
    </row>
    <row r="9062" spans="11:14" x14ac:dyDescent="0.25">
      <c r="K9062" s="312"/>
      <c r="N9062" s="514"/>
    </row>
    <row r="9063" spans="11:14" x14ac:dyDescent="0.25">
      <c r="K9063" s="312"/>
      <c r="N9063" s="514"/>
    </row>
    <row r="9064" spans="11:14" x14ac:dyDescent="0.25">
      <c r="K9064" s="312"/>
      <c r="N9064" s="514"/>
    </row>
    <row r="9065" spans="11:14" x14ac:dyDescent="0.25">
      <c r="K9065" s="312"/>
      <c r="N9065" s="514"/>
    </row>
    <row r="9066" spans="11:14" x14ac:dyDescent="0.25">
      <c r="K9066" s="312"/>
      <c r="N9066" s="514"/>
    </row>
    <row r="9067" spans="11:14" x14ac:dyDescent="0.25">
      <c r="K9067" s="312"/>
      <c r="N9067" s="514"/>
    </row>
    <row r="9068" spans="11:14" x14ac:dyDescent="0.25">
      <c r="K9068" s="312"/>
      <c r="N9068" s="514"/>
    </row>
    <row r="9069" spans="11:14" x14ac:dyDescent="0.25">
      <c r="K9069" s="312"/>
      <c r="N9069" s="514"/>
    </row>
    <row r="9070" spans="11:14" x14ac:dyDescent="0.25">
      <c r="K9070" s="312"/>
      <c r="N9070" s="514"/>
    </row>
    <row r="9071" spans="11:14" x14ac:dyDescent="0.25">
      <c r="K9071" s="312"/>
      <c r="N9071" s="514"/>
    </row>
    <row r="9072" spans="11:14" x14ac:dyDescent="0.25">
      <c r="K9072" s="312"/>
      <c r="N9072" s="514"/>
    </row>
    <row r="9073" spans="11:14" x14ac:dyDescent="0.25">
      <c r="K9073" s="312"/>
      <c r="N9073" s="514"/>
    </row>
    <row r="9074" spans="11:14" x14ac:dyDescent="0.25">
      <c r="K9074" s="312"/>
      <c r="N9074" s="514"/>
    </row>
    <row r="9075" spans="11:14" x14ac:dyDescent="0.25">
      <c r="K9075" s="312"/>
      <c r="N9075" s="514"/>
    </row>
    <row r="9076" spans="11:14" x14ac:dyDescent="0.25">
      <c r="K9076" s="312"/>
      <c r="N9076" s="514"/>
    </row>
    <row r="9077" spans="11:14" x14ac:dyDescent="0.25">
      <c r="K9077" s="312"/>
      <c r="N9077" s="514"/>
    </row>
    <row r="9078" spans="11:14" x14ac:dyDescent="0.25">
      <c r="K9078" s="312"/>
      <c r="N9078" s="514"/>
    </row>
    <row r="9079" spans="11:14" x14ac:dyDescent="0.25">
      <c r="K9079" s="312"/>
      <c r="N9079" s="514"/>
    </row>
    <row r="9080" spans="11:14" x14ac:dyDescent="0.25">
      <c r="K9080" s="312"/>
      <c r="N9080" s="514"/>
    </row>
    <row r="9081" spans="11:14" x14ac:dyDescent="0.25">
      <c r="K9081" s="312"/>
      <c r="N9081" s="514"/>
    </row>
    <row r="9082" spans="11:14" x14ac:dyDescent="0.25">
      <c r="K9082" s="312"/>
      <c r="N9082" s="514"/>
    </row>
    <row r="9083" spans="11:14" x14ac:dyDescent="0.25">
      <c r="K9083" s="312"/>
      <c r="N9083" s="514"/>
    </row>
    <row r="9084" spans="11:14" x14ac:dyDescent="0.25">
      <c r="K9084" s="312"/>
      <c r="N9084" s="514"/>
    </row>
    <row r="9085" spans="11:14" x14ac:dyDescent="0.25">
      <c r="K9085" s="312"/>
      <c r="N9085" s="514"/>
    </row>
    <row r="9086" spans="11:14" x14ac:dyDescent="0.25">
      <c r="K9086" s="312"/>
      <c r="N9086" s="514"/>
    </row>
    <row r="9087" spans="11:14" x14ac:dyDescent="0.25">
      <c r="K9087" s="312"/>
      <c r="N9087" s="514"/>
    </row>
    <row r="9088" spans="11:14" x14ac:dyDescent="0.25">
      <c r="K9088" s="312"/>
      <c r="N9088" s="514"/>
    </row>
    <row r="9089" spans="11:14" x14ac:dyDescent="0.25">
      <c r="K9089" s="312"/>
      <c r="N9089" s="514"/>
    </row>
    <row r="9090" spans="11:14" x14ac:dyDescent="0.25">
      <c r="K9090" s="312"/>
      <c r="N9090" s="514"/>
    </row>
    <row r="9091" spans="11:14" x14ac:dyDescent="0.25">
      <c r="K9091" s="312"/>
      <c r="N9091" s="514"/>
    </row>
    <row r="9092" spans="11:14" x14ac:dyDescent="0.25">
      <c r="K9092" s="312"/>
      <c r="N9092" s="514"/>
    </row>
    <row r="9093" spans="11:14" x14ac:dyDescent="0.25">
      <c r="K9093" s="312"/>
      <c r="N9093" s="514"/>
    </row>
    <row r="9094" spans="11:14" x14ac:dyDescent="0.25">
      <c r="K9094" s="312"/>
      <c r="N9094" s="514"/>
    </row>
    <row r="9095" spans="11:14" x14ac:dyDescent="0.25">
      <c r="K9095" s="312"/>
      <c r="N9095" s="514"/>
    </row>
    <row r="9096" spans="11:14" x14ac:dyDescent="0.25">
      <c r="K9096" s="312"/>
      <c r="N9096" s="514"/>
    </row>
    <row r="9097" spans="11:14" x14ac:dyDescent="0.25">
      <c r="K9097" s="312"/>
      <c r="N9097" s="514"/>
    </row>
    <row r="9098" spans="11:14" x14ac:dyDescent="0.25">
      <c r="K9098" s="312"/>
      <c r="N9098" s="514"/>
    </row>
    <row r="9099" spans="11:14" x14ac:dyDescent="0.25">
      <c r="K9099" s="312"/>
      <c r="N9099" s="514"/>
    </row>
    <row r="9100" spans="11:14" x14ac:dyDescent="0.25">
      <c r="K9100" s="312"/>
      <c r="N9100" s="514"/>
    </row>
    <row r="9101" spans="11:14" x14ac:dyDescent="0.25">
      <c r="K9101" s="312"/>
      <c r="N9101" s="514"/>
    </row>
    <row r="9102" spans="11:14" x14ac:dyDescent="0.25">
      <c r="K9102" s="312"/>
      <c r="N9102" s="514"/>
    </row>
    <row r="9103" spans="11:14" x14ac:dyDescent="0.25">
      <c r="K9103" s="312"/>
      <c r="N9103" s="514"/>
    </row>
    <row r="9104" spans="11:14" x14ac:dyDescent="0.25">
      <c r="K9104" s="312"/>
      <c r="N9104" s="514"/>
    </row>
    <row r="9105" spans="11:14" x14ac:dyDescent="0.25">
      <c r="K9105" s="312"/>
      <c r="N9105" s="514"/>
    </row>
    <row r="9106" spans="11:14" x14ac:dyDescent="0.25">
      <c r="K9106" s="312"/>
      <c r="N9106" s="514"/>
    </row>
    <row r="9107" spans="11:14" x14ac:dyDescent="0.25">
      <c r="K9107" s="312"/>
      <c r="N9107" s="514"/>
    </row>
    <row r="9108" spans="11:14" x14ac:dyDescent="0.25">
      <c r="K9108" s="312"/>
      <c r="N9108" s="514"/>
    </row>
    <row r="9109" spans="11:14" x14ac:dyDescent="0.25">
      <c r="K9109" s="312"/>
      <c r="N9109" s="514"/>
    </row>
    <row r="9110" spans="11:14" x14ac:dyDescent="0.25">
      <c r="K9110" s="312"/>
      <c r="N9110" s="514"/>
    </row>
    <row r="9111" spans="11:14" x14ac:dyDescent="0.25">
      <c r="K9111" s="312"/>
      <c r="N9111" s="514"/>
    </row>
    <row r="9112" spans="11:14" x14ac:dyDescent="0.25">
      <c r="K9112" s="312"/>
      <c r="N9112" s="514"/>
    </row>
    <row r="9113" spans="11:14" x14ac:dyDescent="0.25">
      <c r="K9113" s="312"/>
      <c r="N9113" s="514"/>
    </row>
    <row r="9114" spans="11:14" x14ac:dyDescent="0.25">
      <c r="K9114" s="312"/>
      <c r="N9114" s="514"/>
    </row>
    <row r="9115" spans="11:14" x14ac:dyDescent="0.25">
      <c r="K9115" s="312"/>
      <c r="N9115" s="514"/>
    </row>
    <row r="9116" spans="11:14" x14ac:dyDescent="0.25">
      <c r="K9116" s="312"/>
      <c r="N9116" s="514"/>
    </row>
    <row r="9117" spans="11:14" x14ac:dyDescent="0.25">
      <c r="K9117" s="312"/>
      <c r="N9117" s="514"/>
    </row>
    <row r="9118" spans="11:14" x14ac:dyDescent="0.25">
      <c r="K9118" s="312"/>
      <c r="N9118" s="514"/>
    </row>
    <row r="9119" spans="11:14" x14ac:dyDescent="0.25">
      <c r="K9119" s="312"/>
      <c r="N9119" s="514"/>
    </row>
    <row r="9120" spans="11:14" x14ac:dyDescent="0.25">
      <c r="K9120" s="312"/>
      <c r="N9120" s="514"/>
    </row>
    <row r="9121" spans="11:14" x14ac:dyDescent="0.25">
      <c r="K9121" s="312"/>
      <c r="N9121" s="514"/>
    </row>
    <row r="9122" spans="11:14" x14ac:dyDescent="0.25">
      <c r="K9122" s="312"/>
      <c r="N9122" s="514"/>
    </row>
    <row r="9123" spans="11:14" x14ac:dyDescent="0.25">
      <c r="K9123" s="312"/>
      <c r="N9123" s="514"/>
    </row>
    <row r="9124" spans="11:14" x14ac:dyDescent="0.25">
      <c r="K9124" s="312"/>
      <c r="N9124" s="514"/>
    </row>
    <row r="9125" spans="11:14" x14ac:dyDescent="0.25">
      <c r="K9125" s="312"/>
      <c r="N9125" s="514"/>
    </row>
    <row r="9126" spans="11:14" x14ac:dyDescent="0.25">
      <c r="K9126" s="312"/>
      <c r="N9126" s="514"/>
    </row>
    <row r="9127" spans="11:14" x14ac:dyDescent="0.25">
      <c r="K9127" s="312"/>
      <c r="N9127" s="514"/>
    </row>
    <row r="9128" spans="11:14" x14ac:dyDescent="0.25">
      <c r="K9128" s="312"/>
      <c r="N9128" s="514"/>
    </row>
    <row r="9129" spans="11:14" x14ac:dyDescent="0.25">
      <c r="K9129" s="312"/>
      <c r="N9129" s="514"/>
    </row>
    <row r="9130" spans="11:14" x14ac:dyDescent="0.25">
      <c r="K9130" s="312"/>
      <c r="N9130" s="514"/>
    </row>
    <row r="9131" spans="11:14" x14ac:dyDescent="0.25">
      <c r="K9131" s="312"/>
      <c r="N9131" s="514"/>
    </row>
    <row r="9132" spans="11:14" x14ac:dyDescent="0.25">
      <c r="K9132" s="312"/>
      <c r="N9132" s="514"/>
    </row>
    <row r="9133" spans="11:14" x14ac:dyDescent="0.25">
      <c r="K9133" s="312"/>
      <c r="N9133" s="514"/>
    </row>
    <row r="9134" spans="11:14" x14ac:dyDescent="0.25">
      <c r="K9134" s="312"/>
      <c r="N9134" s="514"/>
    </row>
    <row r="9135" spans="11:14" x14ac:dyDescent="0.25">
      <c r="K9135" s="312"/>
      <c r="N9135" s="514"/>
    </row>
    <row r="9136" spans="11:14" x14ac:dyDescent="0.25">
      <c r="K9136" s="312"/>
      <c r="N9136" s="514"/>
    </row>
    <row r="9137" spans="11:14" x14ac:dyDescent="0.25">
      <c r="K9137" s="312"/>
      <c r="N9137" s="514"/>
    </row>
    <row r="9138" spans="11:14" x14ac:dyDescent="0.25">
      <c r="K9138" s="312"/>
      <c r="N9138" s="514"/>
    </row>
    <row r="9139" spans="11:14" x14ac:dyDescent="0.25">
      <c r="K9139" s="312"/>
      <c r="N9139" s="514"/>
    </row>
    <row r="9140" spans="11:14" x14ac:dyDescent="0.25">
      <c r="K9140" s="312"/>
      <c r="N9140" s="514"/>
    </row>
    <row r="9141" spans="11:14" x14ac:dyDescent="0.25">
      <c r="K9141" s="312"/>
      <c r="N9141" s="514"/>
    </row>
    <row r="9142" spans="11:14" x14ac:dyDescent="0.25">
      <c r="K9142" s="312"/>
      <c r="N9142" s="514"/>
    </row>
    <row r="9143" spans="11:14" x14ac:dyDescent="0.25">
      <c r="K9143" s="312"/>
      <c r="N9143" s="514"/>
    </row>
    <row r="9144" spans="11:14" x14ac:dyDescent="0.25">
      <c r="K9144" s="312"/>
      <c r="N9144" s="514"/>
    </row>
    <row r="9145" spans="11:14" x14ac:dyDescent="0.25">
      <c r="K9145" s="312"/>
      <c r="N9145" s="514"/>
    </row>
    <row r="9146" spans="11:14" x14ac:dyDescent="0.25">
      <c r="K9146" s="312"/>
      <c r="N9146" s="514"/>
    </row>
    <row r="9147" spans="11:14" x14ac:dyDescent="0.25">
      <c r="K9147" s="312"/>
      <c r="N9147" s="514"/>
    </row>
    <row r="9148" spans="11:14" x14ac:dyDescent="0.25">
      <c r="K9148" s="312"/>
      <c r="N9148" s="514"/>
    </row>
    <row r="9149" spans="11:14" x14ac:dyDescent="0.25">
      <c r="K9149" s="312"/>
      <c r="N9149" s="514"/>
    </row>
    <row r="9150" spans="11:14" x14ac:dyDescent="0.25">
      <c r="K9150" s="312"/>
      <c r="N9150" s="514"/>
    </row>
    <row r="9151" spans="11:14" x14ac:dyDescent="0.25">
      <c r="K9151" s="312"/>
      <c r="N9151" s="514"/>
    </row>
    <row r="9152" spans="11:14" x14ac:dyDescent="0.25">
      <c r="K9152" s="312"/>
      <c r="N9152" s="514"/>
    </row>
    <row r="9153" spans="11:14" x14ac:dyDescent="0.25">
      <c r="K9153" s="312"/>
      <c r="N9153" s="514"/>
    </row>
    <row r="9154" spans="11:14" x14ac:dyDescent="0.25">
      <c r="K9154" s="312"/>
      <c r="N9154" s="514"/>
    </row>
    <row r="9155" spans="11:14" x14ac:dyDescent="0.25">
      <c r="K9155" s="312"/>
      <c r="N9155" s="514"/>
    </row>
    <row r="9156" spans="11:14" x14ac:dyDescent="0.25">
      <c r="K9156" s="312"/>
      <c r="N9156" s="514"/>
    </row>
    <row r="9157" spans="11:14" x14ac:dyDescent="0.25">
      <c r="K9157" s="312"/>
      <c r="N9157" s="514"/>
    </row>
    <row r="9158" spans="11:14" x14ac:dyDescent="0.25">
      <c r="K9158" s="312"/>
      <c r="N9158" s="514"/>
    </row>
    <row r="9159" spans="11:14" x14ac:dyDescent="0.25">
      <c r="K9159" s="312"/>
      <c r="N9159" s="514"/>
    </row>
    <row r="9160" spans="11:14" x14ac:dyDescent="0.25">
      <c r="K9160" s="312"/>
      <c r="N9160" s="514"/>
    </row>
    <row r="9161" spans="11:14" x14ac:dyDescent="0.25">
      <c r="K9161" s="312"/>
      <c r="N9161" s="514"/>
    </row>
    <row r="9162" spans="11:14" x14ac:dyDescent="0.25">
      <c r="K9162" s="312"/>
      <c r="N9162" s="514"/>
    </row>
    <row r="9163" spans="11:14" x14ac:dyDescent="0.25">
      <c r="K9163" s="312"/>
      <c r="N9163" s="514"/>
    </row>
    <row r="9164" spans="11:14" x14ac:dyDescent="0.25">
      <c r="K9164" s="312"/>
      <c r="N9164" s="514"/>
    </row>
    <row r="9165" spans="11:14" x14ac:dyDescent="0.25">
      <c r="K9165" s="312"/>
      <c r="N9165" s="514"/>
    </row>
    <row r="9166" spans="11:14" x14ac:dyDescent="0.25">
      <c r="K9166" s="312"/>
      <c r="N9166" s="514"/>
    </row>
    <row r="9167" spans="11:14" x14ac:dyDescent="0.25">
      <c r="K9167" s="312"/>
      <c r="N9167" s="514"/>
    </row>
    <row r="9168" spans="11:14" x14ac:dyDescent="0.25">
      <c r="K9168" s="312"/>
      <c r="N9168" s="514"/>
    </row>
    <row r="9169" spans="11:14" x14ac:dyDescent="0.25">
      <c r="K9169" s="312"/>
      <c r="N9169" s="514"/>
    </row>
    <row r="9170" spans="11:14" x14ac:dyDescent="0.25">
      <c r="K9170" s="312"/>
      <c r="N9170" s="514"/>
    </row>
    <row r="9171" spans="11:14" x14ac:dyDescent="0.25">
      <c r="K9171" s="312"/>
      <c r="N9171" s="514"/>
    </row>
    <row r="9172" spans="11:14" x14ac:dyDescent="0.25">
      <c r="K9172" s="312"/>
      <c r="N9172" s="514"/>
    </row>
    <row r="9173" spans="11:14" x14ac:dyDescent="0.25">
      <c r="K9173" s="312"/>
      <c r="N9173" s="514"/>
    </row>
    <row r="9174" spans="11:14" x14ac:dyDescent="0.25">
      <c r="K9174" s="312"/>
      <c r="N9174" s="514"/>
    </row>
    <row r="9175" spans="11:14" x14ac:dyDescent="0.25">
      <c r="K9175" s="312"/>
      <c r="N9175" s="514"/>
    </row>
    <row r="9176" spans="11:14" x14ac:dyDescent="0.25">
      <c r="K9176" s="312"/>
      <c r="N9176" s="514"/>
    </row>
    <row r="9177" spans="11:14" x14ac:dyDescent="0.25">
      <c r="K9177" s="312"/>
      <c r="N9177" s="514"/>
    </row>
    <row r="9178" spans="11:14" x14ac:dyDescent="0.25">
      <c r="K9178" s="312"/>
      <c r="N9178" s="514"/>
    </row>
    <row r="9179" spans="11:14" x14ac:dyDescent="0.25">
      <c r="K9179" s="312"/>
      <c r="N9179" s="514"/>
    </row>
    <row r="9180" spans="11:14" x14ac:dyDescent="0.25">
      <c r="K9180" s="312"/>
      <c r="N9180" s="514"/>
    </row>
    <row r="9181" spans="11:14" x14ac:dyDescent="0.25">
      <c r="K9181" s="312"/>
      <c r="N9181" s="514"/>
    </row>
    <row r="9182" spans="11:14" x14ac:dyDescent="0.25">
      <c r="K9182" s="312"/>
      <c r="N9182" s="514"/>
    </row>
    <row r="9183" spans="11:14" x14ac:dyDescent="0.25">
      <c r="K9183" s="312"/>
      <c r="N9183" s="514"/>
    </row>
    <row r="9184" spans="11:14" x14ac:dyDescent="0.25">
      <c r="K9184" s="312"/>
      <c r="N9184" s="514"/>
    </row>
    <row r="9185" spans="11:14" x14ac:dyDescent="0.25">
      <c r="K9185" s="312"/>
      <c r="N9185" s="514"/>
    </row>
    <row r="9186" spans="11:14" x14ac:dyDescent="0.25">
      <c r="K9186" s="312"/>
      <c r="N9186" s="514"/>
    </row>
    <row r="9187" spans="11:14" x14ac:dyDescent="0.25">
      <c r="K9187" s="312"/>
      <c r="N9187" s="514"/>
    </row>
    <row r="9188" spans="11:14" x14ac:dyDescent="0.25">
      <c r="K9188" s="312"/>
      <c r="N9188" s="514"/>
    </row>
    <row r="9189" spans="11:14" x14ac:dyDescent="0.25">
      <c r="K9189" s="312"/>
      <c r="N9189" s="514"/>
    </row>
    <row r="9190" spans="11:14" x14ac:dyDescent="0.25">
      <c r="K9190" s="312"/>
      <c r="N9190" s="514"/>
    </row>
    <row r="9191" spans="11:14" x14ac:dyDescent="0.25">
      <c r="K9191" s="312"/>
      <c r="N9191" s="514"/>
    </row>
    <row r="9192" spans="11:14" x14ac:dyDescent="0.25">
      <c r="K9192" s="312"/>
      <c r="N9192" s="514"/>
    </row>
    <row r="9193" spans="11:14" x14ac:dyDescent="0.25">
      <c r="K9193" s="312"/>
      <c r="N9193" s="514"/>
    </row>
    <row r="9194" spans="11:14" x14ac:dyDescent="0.25">
      <c r="K9194" s="312"/>
      <c r="N9194" s="514"/>
    </row>
    <row r="9195" spans="11:14" x14ac:dyDescent="0.25">
      <c r="K9195" s="312"/>
      <c r="N9195" s="514"/>
    </row>
    <row r="9196" spans="11:14" x14ac:dyDescent="0.25">
      <c r="K9196" s="312"/>
      <c r="N9196" s="514"/>
    </row>
    <row r="9197" spans="11:14" x14ac:dyDescent="0.25">
      <c r="K9197" s="312"/>
      <c r="N9197" s="514"/>
    </row>
    <row r="9198" spans="11:14" x14ac:dyDescent="0.25">
      <c r="K9198" s="312"/>
      <c r="N9198" s="514"/>
    </row>
    <row r="9199" spans="11:14" x14ac:dyDescent="0.25">
      <c r="K9199" s="312"/>
      <c r="N9199" s="514"/>
    </row>
    <row r="9200" spans="11:14" x14ac:dyDescent="0.25">
      <c r="K9200" s="312"/>
      <c r="N9200" s="514"/>
    </row>
    <row r="9201" spans="11:14" x14ac:dyDescent="0.25">
      <c r="K9201" s="312"/>
      <c r="N9201" s="514"/>
    </row>
    <row r="9202" spans="11:14" x14ac:dyDescent="0.25">
      <c r="K9202" s="312"/>
      <c r="N9202" s="514"/>
    </row>
    <row r="9203" spans="11:14" x14ac:dyDescent="0.25">
      <c r="K9203" s="312"/>
      <c r="N9203" s="514"/>
    </row>
    <row r="9204" spans="11:14" x14ac:dyDescent="0.25">
      <c r="K9204" s="312"/>
      <c r="N9204" s="514"/>
    </row>
    <row r="9205" spans="11:14" x14ac:dyDescent="0.25">
      <c r="K9205" s="312"/>
      <c r="N9205" s="514"/>
    </row>
    <row r="9206" spans="11:14" x14ac:dyDescent="0.25">
      <c r="K9206" s="312"/>
      <c r="N9206" s="514"/>
    </row>
    <row r="9207" spans="11:14" x14ac:dyDescent="0.25">
      <c r="K9207" s="312"/>
      <c r="N9207" s="514"/>
    </row>
    <row r="9208" spans="11:14" x14ac:dyDescent="0.25">
      <c r="K9208" s="312"/>
      <c r="N9208" s="514"/>
    </row>
    <row r="9209" spans="11:14" x14ac:dyDescent="0.25">
      <c r="K9209" s="312"/>
      <c r="N9209" s="514"/>
    </row>
    <row r="9210" spans="11:14" x14ac:dyDescent="0.25">
      <c r="K9210" s="312"/>
      <c r="N9210" s="514"/>
    </row>
    <row r="9211" spans="11:14" x14ac:dyDescent="0.25">
      <c r="K9211" s="312"/>
      <c r="N9211" s="514"/>
    </row>
    <row r="9212" spans="11:14" x14ac:dyDescent="0.25">
      <c r="K9212" s="312"/>
      <c r="N9212" s="514"/>
    </row>
    <row r="9213" spans="11:14" x14ac:dyDescent="0.25">
      <c r="K9213" s="312"/>
      <c r="N9213" s="514"/>
    </row>
    <row r="9214" spans="11:14" x14ac:dyDescent="0.25">
      <c r="K9214" s="312"/>
      <c r="N9214" s="514"/>
    </row>
    <row r="9215" spans="11:14" x14ac:dyDescent="0.25">
      <c r="K9215" s="312"/>
      <c r="N9215" s="514"/>
    </row>
    <row r="9216" spans="11:14" x14ac:dyDescent="0.25">
      <c r="K9216" s="312"/>
      <c r="N9216" s="514"/>
    </row>
    <row r="9217" spans="11:14" x14ac:dyDescent="0.25">
      <c r="K9217" s="312"/>
      <c r="N9217" s="514"/>
    </row>
    <row r="9218" spans="11:14" x14ac:dyDescent="0.25">
      <c r="K9218" s="312"/>
      <c r="N9218" s="514"/>
    </row>
    <row r="9219" spans="11:14" x14ac:dyDescent="0.25">
      <c r="K9219" s="312"/>
      <c r="N9219" s="514"/>
    </row>
    <row r="9220" spans="11:14" x14ac:dyDescent="0.25">
      <c r="K9220" s="312"/>
      <c r="N9220" s="514"/>
    </row>
    <row r="9221" spans="11:14" x14ac:dyDescent="0.25">
      <c r="K9221" s="312"/>
      <c r="N9221" s="514"/>
    </row>
    <row r="9222" spans="11:14" x14ac:dyDescent="0.25">
      <c r="K9222" s="312"/>
      <c r="N9222" s="514"/>
    </row>
    <row r="9223" spans="11:14" x14ac:dyDescent="0.25">
      <c r="K9223" s="312"/>
      <c r="N9223" s="514"/>
    </row>
    <row r="9224" spans="11:14" x14ac:dyDescent="0.25">
      <c r="K9224" s="312"/>
      <c r="N9224" s="514"/>
    </row>
    <row r="9225" spans="11:14" x14ac:dyDescent="0.25">
      <c r="K9225" s="312"/>
      <c r="N9225" s="514"/>
    </row>
    <row r="9226" spans="11:14" x14ac:dyDescent="0.25">
      <c r="K9226" s="312"/>
      <c r="N9226" s="514"/>
    </row>
    <row r="9227" spans="11:14" x14ac:dyDescent="0.25">
      <c r="K9227" s="312"/>
      <c r="N9227" s="514"/>
    </row>
    <row r="9228" spans="11:14" x14ac:dyDescent="0.25">
      <c r="K9228" s="312"/>
      <c r="N9228" s="514"/>
    </row>
    <row r="9229" spans="11:14" x14ac:dyDescent="0.25">
      <c r="K9229" s="312"/>
      <c r="N9229" s="514"/>
    </row>
    <row r="9230" spans="11:14" x14ac:dyDescent="0.25">
      <c r="K9230" s="312"/>
      <c r="N9230" s="514"/>
    </row>
    <row r="9231" spans="11:14" x14ac:dyDescent="0.25">
      <c r="K9231" s="312"/>
      <c r="N9231" s="514"/>
    </row>
    <row r="9232" spans="11:14" x14ac:dyDescent="0.25">
      <c r="K9232" s="312"/>
      <c r="N9232" s="514"/>
    </row>
    <row r="9233" spans="11:14" x14ac:dyDescent="0.25">
      <c r="K9233" s="312"/>
      <c r="N9233" s="514"/>
    </row>
    <row r="9234" spans="11:14" x14ac:dyDescent="0.25">
      <c r="K9234" s="312"/>
      <c r="N9234" s="514"/>
    </row>
    <row r="9235" spans="11:14" x14ac:dyDescent="0.25">
      <c r="K9235" s="312"/>
      <c r="N9235" s="514"/>
    </row>
    <row r="9236" spans="11:14" x14ac:dyDescent="0.25">
      <c r="K9236" s="312"/>
      <c r="N9236" s="514"/>
    </row>
    <row r="9237" spans="11:14" x14ac:dyDescent="0.25">
      <c r="K9237" s="312"/>
      <c r="N9237" s="514"/>
    </row>
    <row r="9238" spans="11:14" x14ac:dyDescent="0.25">
      <c r="K9238" s="312"/>
      <c r="N9238" s="514"/>
    </row>
    <row r="9239" spans="11:14" x14ac:dyDescent="0.25">
      <c r="K9239" s="312"/>
      <c r="N9239" s="514"/>
    </row>
    <row r="9240" spans="11:14" x14ac:dyDescent="0.25">
      <c r="K9240" s="312"/>
      <c r="N9240" s="514"/>
    </row>
    <row r="9241" spans="11:14" x14ac:dyDescent="0.25">
      <c r="K9241" s="312"/>
      <c r="N9241" s="514"/>
    </row>
    <row r="9242" spans="11:14" x14ac:dyDescent="0.25">
      <c r="K9242" s="312"/>
      <c r="N9242" s="514"/>
    </row>
    <row r="9243" spans="11:14" x14ac:dyDescent="0.25">
      <c r="K9243" s="312"/>
      <c r="N9243" s="514"/>
    </row>
    <row r="9244" spans="11:14" x14ac:dyDescent="0.25">
      <c r="K9244" s="312"/>
      <c r="N9244" s="514"/>
    </row>
    <row r="9245" spans="11:14" x14ac:dyDescent="0.25">
      <c r="K9245" s="312"/>
      <c r="N9245" s="514"/>
    </row>
    <row r="9246" spans="11:14" x14ac:dyDescent="0.25">
      <c r="K9246" s="312"/>
      <c r="N9246" s="514"/>
    </row>
    <row r="9247" spans="11:14" x14ac:dyDescent="0.25">
      <c r="K9247" s="312"/>
      <c r="N9247" s="514"/>
    </row>
    <row r="9248" spans="11:14" x14ac:dyDescent="0.25">
      <c r="K9248" s="312"/>
      <c r="N9248" s="514"/>
    </row>
    <row r="9249" spans="11:14" x14ac:dyDescent="0.25">
      <c r="K9249" s="312"/>
      <c r="N9249" s="514"/>
    </row>
    <row r="9250" spans="11:14" x14ac:dyDescent="0.25">
      <c r="K9250" s="312"/>
      <c r="N9250" s="514"/>
    </row>
    <row r="9251" spans="11:14" x14ac:dyDescent="0.25">
      <c r="K9251" s="312"/>
      <c r="N9251" s="514"/>
    </row>
    <row r="9252" spans="11:14" x14ac:dyDescent="0.25">
      <c r="K9252" s="312"/>
      <c r="N9252" s="514"/>
    </row>
    <row r="9253" spans="11:14" x14ac:dyDescent="0.25">
      <c r="K9253" s="312"/>
      <c r="N9253" s="514"/>
    </row>
    <row r="9254" spans="11:14" x14ac:dyDescent="0.25">
      <c r="K9254" s="312"/>
      <c r="N9254" s="514"/>
    </row>
    <row r="9255" spans="11:14" x14ac:dyDescent="0.25">
      <c r="K9255" s="312"/>
      <c r="N9255" s="514"/>
    </row>
    <row r="9256" spans="11:14" x14ac:dyDescent="0.25">
      <c r="K9256" s="312"/>
      <c r="N9256" s="514"/>
    </row>
    <row r="9257" spans="11:14" x14ac:dyDescent="0.25">
      <c r="K9257" s="312"/>
      <c r="N9257" s="514"/>
    </row>
    <row r="9258" spans="11:14" x14ac:dyDescent="0.25">
      <c r="K9258" s="312"/>
      <c r="N9258" s="514"/>
    </row>
    <row r="9259" spans="11:14" x14ac:dyDescent="0.25">
      <c r="K9259" s="312"/>
      <c r="N9259" s="514"/>
    </row>
    <row r="9260" spans="11:14" x14ac:dyDescent="0.25">
      <c r="K9260" s="312"/>
      <c r="N9260" s="514"/>
    </row>
    <row r="9261" spans="11:14" x14ac:dyDescent="0.25">
      <c r="K9261" s="312"/>
      <c r="N9261" s="514"/>
    </row>
    <row r="9262" spans="11:14" x14ac:dyDescent="0.25">
      <c r="K9262" s="312"/>
      <c r="N9262" s="514"/>
    </row>
    <row r="9263" spans="11:14" x14ac:dyDescent="0.25">
      <c r="K9263" s="312"/>
      <c r="N9263" s="514"/>
    </row>
    <row r="9264" spans="11:14" x14ac:dyDescent="0.25">
      <c r="K9264" s="312"/>
      <c r="N9264" s="514"/>
    </row>
    <row r="9265" spans="11:14" x14ac:dyDescent="0.25">
      <c r="K9265" s="312"/>
      <c r="N9265" s="514"/>
    </row>
    <row r="9266" spans="11:14" x14ac:dyDescent="0.25">
      <c r="K9266" s="312"/>
      <c r="N9266" s="514"/>
    </row>
    <row r="9267" spans="11:14" x14ac:dyDescent="0.25">
      <c r="K9267" s="312"/>
      <c r="N9267" s="514"/>
    </row>
    <row r="9268" spans="11:14" x14ac:dyDescent="0.25">
      <c r="K9268" s="312"/>
      <c r="N9268" s="514"/>
    </row>
    <row r="9269" spans="11:14" x14ac:dyDescent="0.25">
      <c r="K9269" s="312"/>
      <c r="N9269" s="514"/>
    </row>
    <row r="9270" spans="11:14" x14ac:dyDescent="0.25">
      <c r="K9270" s="312"/>
      <c r="N9270" s="514"/>
    </row>
    <row r="9271" spans="11:14" x14ac:dyDescent="0.25">
      <c r="K9271" s="312"/>
      <c r="N9271" s="514"/>
    </row>
    <row r="9272" spans="11:14" x14ac:dyDescent="0.25">
      <c r="K9272" s="312"/>
      <c r="N9272" s="514"/>
    </row>
    <row r="9273" spans="11:14" x14ac:dyDescent="0.25">
      <c r="K9273" s="312"/>
      <c r="N9273" s="514"/>
    </row>
    <row r="9274" spans="11:14" x14ac:dyDescent="0.25">
      <c r="K9274" s="312"/>
      <c r="N9274" s="514"/>
    </row>
    <row r="9275" spans="11:14" x14ac:dyDescent="0.25">
      <c r="K9275" s="312"/>
      <c r="N9275" s="514"/>
    </row>
    <row r="9276" spans="11:14" x14ac:dyDescent="0.25">
      <c r="K9276" s="312"/>
      <c r="N9276" s="514"/>
    </row>
    <row r="9277" spans="11:14" x14ac:dyDescent="0.25">
      <c r="K9277" s="312"/>
      <c r="N9277" s="514"/>
    </row>
    <row r="9278" spans="11:14" x14ac:dyDescent="0.25">
      <c r="K9278" s="312"/>
      <c r="N9278" s="514"/>
    </row>
    <row r="9279" spans="11:14" x14ac:dyDescent="0.25">
      <c r="K9279" s="312"/>
      <c r="N9279" s="514"/>
    </row>
    <row r="9280" spans="11:14" x14ac:dyDescent="0.25">
      <c r="K9280" s="312"/>
      <c r="N9280" s="514"/>
    </row>
    <row r="9281" spans="11:14" x14ac:dyDescent="0.25">
      <c r="K9281" s="312"/>
      <c r="N9281" s="514"/>
    </row>
    <row r="9282" spans="11:14" x14ac:dyDescent="0.25">
      <c r="K9282" s="312"/>
      <c r="N9282" s="514"/>
    </row>
    <row r="9283" spans="11:14" x14ac:dyDescent="0.25">
      <c r="K9283" s="312"/>
      <c r="N9283" s="514"/>
    </row>
    <row r="9284" spans="11:14" x14ac:dyDescent="0.25">
      <c r="K9284" s="312"/>
      <c r="N9284" s="514"/>
    </row>
    <row r="9285" spans="11:14" x14ac:dyDescent="0.25">
      <c r="K9285" s="312"/>
      <c r="N9285" s="514"/>
    </row>
    <row r="9286" spans="11:14" x14ac:dyDescent="0.25">
      <c r="K9286" s="312"/>
      <c r="N9286" s="514"/>
    </row>
    <row r="9287" spans="11:14" x14ac:dyDescent="0.25">
      <c r="K9287" s="312"/>
      <c r="N9287" s="514"/>
    </row>
    <row r="9288" spans="11:14" x14ac:dyDescent="0.25">
      <c r="K9288" s="312"/>
      <c r="N9288" s="514"/>
    </row>
    <row r="9289" spans="11:14" x14ac:dyDescent="0.25">
      <c r="K9289" s="312"/>
      <c r="N9289" s="514"/>
    </row>
    <row r="9290" spans="11:14" x14ac:dyDescent="0.25">
      <c r="K9290" s="312"/>
      <c r="N9290" s="514"/>
    </row>
    <row r="9291" spans="11:14" x14ac:dyDescent="0.25">
      <c r="K9291" s="312"/>
      <c r="N9291" s="514"/>
    </row>
    <row r="9292" spans="11:14" x14ac:dyDescent="0.25">
      <c r="K9292" s="312"/>
      <c r="N9292" s="514"/>
    </row>
    <row r="9293" spans="11:14" x14ac:dyDescent="0.25">
      <c r="K9293" s="312"/>
      <c r="N9293" s="514"/>
    </row>
    <row r="9294" spans="11:14" x14ac:dyDescent="0.25">
      <c r="K9294" s="312"/>
      <c r="N9294" s="514"/>
    </row>
    <row r="9295" spans="11:14" x14ac:dyDescent="0.25">
      <c r="K9295" s="312"/>
      <c r="N9295" s="514"/>
    </row>
    <row r="9296" spans="11:14" x14ac:dyDescent="0.25">
      <c r="K9296" s="312"/>
      <c r="N9296" s="514"/>
    </row>
    <row r="9297" spans="11:14" x14ac:dyDescent="0.25">
      <c r="K9297" s="312"/>
      <c r="N9297" s="514"/>
    </row>
    <row r="9298" spans="11:14" x14ac:dyDescent="0.25">
      <c r="K9298" s="312"/>
      <c r="N9298" s="514"/>
    </row>
    <row r="9299" spans="11:14" x14ac:dyDescent="0.25">
      <c r="K9299" s="312"/>
      <c r="N9299" s="514"/>
    </row>
    <row r="9300" spans="11:14" x14ac:dyDescent="0.25">
      <c r="K9300" s="312"/>
      <c r="N9300" s="514"/>
    </row>
    <row r="9301" spans="11:14" x14ac:dyDescent="0.25">
      <c r="K9301" s="312"/>
      <c r="N9301" s="514"/>
    </row>
    <row r="9302" spans="11:14" x14ac:dyDescent="0.25">
      <c r="K9302" s="312"/>
      <c r="N9302" s="514"/>
    </row>
    <row r="9303" spans="11:14" x14ac:dyDescent="0.25">
      <c r="K9303" s="312"/>
      <c r="N9303" s="514"/>
    </row>
    <row r="9304" spans="11:14" x14ac:dyDescent="0.25">
      <c r="K9304" s="312"/>
      <c r="N9304" s="514"/>
    </row>
    <row r="9305" spans="11:14" x14ac:dyDescent="0.25">
      <c r="K9305" s="312"/>
      <c r="N9305" s="514"/>
    </row>
    <row r="9306" spans="11:14" x14ac:dyDescent="0.25">
      <c r="K9306" s="312"/>
      <c r="N9306" s="514"/>
    </row>
    <row r="9307" spans="11:14" x14ac:dyDescent="0.25">
      <c r="K9307" s="312"/>
      <c r="N9307" s="514"/>
    </row>
    <row r="9308" spans="11:14" x14ac:dyDescent="0.25">
      <c r="K9308" s="312"/>
      <c r="N9308" s="514"/>
    </row>
    <row r="9309" spans="11:14" x14ac:dyDescent="0.25">
      <c r="K9309" s="312"/>
      <c r="N9309" s="514"/>
    </row>
    <row r="9310" spans="11:14" x14ac:dyDescent="0.25">
      <c r="K9310" s="312"/>
      <c r="N9310" s="514"/>
    </row>
    <row r="9311" spans="11:14" x14ac:dyDescent="0.25">
      <c r="K9311" s="312"/>
      <c r="N9311" s="514"/>
    </row>
    <row r="9312" spans="11:14" x14ac:dyDescent="0.25">
      <c r="K9312" s="312"/>
      <c r="N9312" s="514"/>
    </row>
    <row r="9313" spans="11:14" x14ac:dyDescent="0.25">
      <c r="K9313" s="312"/>
      <c r="N9313" s="514"/>
    </row>
    <row r="9314" spans="11:14" x14ac:dyDescent="0.25">
      <c r="K9314" s="312"/>
      <c r="N9314" s="514"/>
    </row>
    <row r="9315" spans="11:14" x14ac:dyDescent="0.25">
      <c r="K9315" s="312"/>
      <c r="N9315" s="514"/>
    </row>
    <row r="9316" spans="11:14" x14ac:dyDescent="0.25">
      <c r="K9316" s="312"/>
      <c r="N9316" s="514"/>
    </row>
    <row r="9317" spans="11:14" x14ac:dyDescent="0.25">
      <c r="K9317" s="312"/>
      <c r="N9317" s="514"/>
    </row>
    <row r="9318" spans="11:14" x14ac:dyDescent="0.25">
      <c r="K9318" s="312"/>
      <c r="N9318" s="514"/>
    </row>
    <row r="9319" spans="11:14" x14ac:dyDescent="0.25">
      <c r="K9319" s="312"/>
      <c r="N9319" s="514"/>
    </row>
    <row r="9320" spans="11:14" x14ac:dyDescent="0.25">
      <c r="K9320" s="312"/>
      <c r="N9320" s="514"/>
    </row>
    <row r="9321" spans="11:14" x14ac:dyDescent="0.25">
      <c r="K9321" s="312"/>
      <c r="N9321" s="514"/>
    </row>
    <row r="9322" spans="11:14" x14ac:dyDescent="0.25">
      <c r="K9322" s="312"/>
      <c r="N9322" s="514"/>
    </row>
    <row r="9323" spans="11:14" x14ac:dyDescent="0.25">
      <c r="K9323" s="312"/>
      <c r="N9323" s="514"/>
    </row>
    <row r="9324" spans="11:14" x14ac:dyDescent="0.25">
      <c r="K9324" s="312"/>
      <c r="N9324" s="514"/>
    </row>
    <row r="9325" spans="11:14" x14ac:dyDescent="0.25">
      <c r="K9325" s="312"/>
      <c r="N9325" s="514"/>
    </row>
    <row r="9326" spans="11:14" x14ac:dyDescent="0.25">
      <c r="K9326" s="312"/>
      <c r="N9326" s="514"/>
    </row>
    <row r="9327" spans="11:14" x14ac:dyDescent="0.25">
      <c r="K9327" s="312"/>
      <c r="N9327" s="514"/>
    </row>
    <row r="9328" spans="11:14" x14ac:dyDescent="0.25">
      <c r="K9328" s="312"/>
      <c r="N9328" s="514"/>
    </row>
    <row r="9329" spans="11:14" x14ac:dyDescent="0.25">
      <c r="K9329" s="312"/>
      <c r="N9329" s="514"/>
    </row>
    <row r="9330" spans="11:14" x14ac:dyDescent="0.25">
      <c r="K9330" s="312"/>
      <c r="N9330" s="514"/>
    </row>
    <row r="9331" spans="11:14" x14ac:dyDescent="0.25">
      <c r="K9331" s="312"/>
      <c r="N9331" s="514"/>
    </row>
    <row r="9332" spans="11:14" x14ac:dyDescent="0.25">
      <c r="K9332" s="312"/>
      <c r="N9332" s="514"/>
    </row>
    <row r="9333" spans="11:14" x14ac:dyDescent="0.25">
      <c r="K9333" s="312"/>
      <c r="N9333" s="514"/>
    </row>
    <row r="9334" spans="11:14" x14ac:dyDescent="0.25">
      <c r="K9334" s="312"/>
      <c r="N9334" s="514"/>
    </row>
    <row r="9335" spans="11:14" x14ac:dyDescent="0.25">
      <c r="K9335" s="312"/>
      <c r="N9335" s="514"/>
    </row>
    <row r="9336" spans="11:14" x14ac:dyDescent="0.25">
      <c r="K9336" s="312"/>
      <c r="N9336" s="514"/>
    </row>
    <row r="9337" spans="11:14" x14ac:dyDescent="0.25">
      <c r="K9337" s="312"/>
      <c r="N9337" s="514"/>
    </row>
    <row r="9338" spans="11:14" x14ac:dyDescent="0.25">
      <c r="K9338" s="312"/>
      <c r="N9338" s="514"/>
    </row>
    <row r="9339" spans="11:14" x14ac:dyDescent="0.25">
      <c r="K9339" s="312"/>
      <c r="N9339" s="514"/>
    </row>
    <row r="9340" spans="11:14" x14ac:dyDescent="0.25">
      <c r="K9340" s="312"/>
      <c r="N9340" s="514"/>
    </row>
    <row r="9341" spans="11:14" x14ac:dyDescent="0.25">
      <c r="K9341" s="312"/>
      <c r="N9341" s="514"/>
    </row>
    <row r="9342" spans="11:14" x14ac:dyDescent="0.25">
      <c r="K9342" s="312"/>
      <c r="N9342" s="514"/>
    </row>
    <row r="9343" spans="11:14" x14ac:dyDescent="0.25">
      <c r="K9343" s="312"/>
      <c r="N9343" s="514"/>
    </row>
    <row r="9344" spans="11:14" x14ac:dyDescent="0.25">
      <c r="K9344" s="312"/>
      <c r="N9344" s="514"/>
    </row>
    <row r="9345" spans="11:14" x14ac:dyDescent="0.25">
      <c r="K9345" s="312"/>
      <c r="N9345" s="514"/>
    </row>
    <row r="9346" spans="11:14" x14ac:dyDescent="0.25">
      <c r="K9346" s="312"/>
      <c r="N9346" s="514"/>
    </row>
    <row r="9347" spans="11:14" x14ac:dyDescent="0.25">
      <c r="K9347" s="312"/>
      <c r="N9347" s="514"/>
    </row>
    <row r="9348" spans="11:14" x14ac:dyDescent="0.25">
      <c r="K9348" s="312"/>
      <c r="N9348" s="514"/>
    </row>
    <row r="9349" spans="11:14" x14ac:dyDescent="0.25">
      <c r="K9349" s="312"/>
      <c r="N9349" s="514"/>
    </row>
    <row r="9350" spans="11:14" x14ac:dyDescent="0.25">
      <c r="K9350" s="312"/>
      <c r="N9350" s="514"/>
    </row>
    <row r="9351" spans="11:14" x14ac:dyDescent="0.25">
      <c r="K9351" s="312"/>
      <c r="N9351" s="514"/>
    </row>
    <row r="9352" spans="11:14" x14ac:dyDescent="0.25">
      <c r="K9352" s="312"/>
      <c r="N9352" s="514"/>
    </row>
    <row r="9353" spans="11:14" x14ac:dyDescent="0.25">
      <c r="K9353" s="312"/>
      <c r="N9353" s="514"/>
    </row>
    <row r="9354" spans="11:14" x14ac:dyDescent="0.25">
      <c r="K9354" s="312"/>
      <c r="N9354" s="514"/>
    </row>
    <row r="9355" spans="11:14" x14ac:dyDescent="0.25">
      <c r="K9355" s="312"/>
      <c r="N9355" s="514"/>
    </row>
    <row r="9356" spans="11:14" x14ac:dyDescent="0.25">
      <c r="K9356" s="312"/>
      <c r="N9356" s="514"/>
    </row>
    <row r="9357" spans="11:14" x14ac:dyDescent="0.25">
      <c r="K9357" s="312"/>
      <c r="N9357" s="514"/>
    </row>
    <row r="9358" spans="11:14" x14ac:dyDescent="0.25">
      <c r="K9358" s="312"/>
      <c r="N9358" s="514"/>
    </row>
    <row r="9359" spans="11:14" x14ac:dyDescent="0.25">
      <c r="K9359" s="312"/>
      <c r="N9359" s="514"/>
    </row>
    <row r="9360" spans="11:14" x14ac:dyDescent="0.25">
      <c r="K9360" s="312"/>
      <c r="N9360" s="514"/>
    </row>
    <row r="9361" spans="11:14" x14ac:dyDescent="0.25">
      <c r="K9361" s="312"/>
      <c r="N9361" s="514"/>
    </row>
    <row r="9362" spans="11:14" x14ac:dyDescent="0.25">
      <c r="K9362" s="312"/>
      <c r="N9362" s="514"/>
    </row>
    <row r="9363" spans="11:14" x14ac:dyDescent="0.25">
      <c r="K9363" s="312"/>
      <c r="N9363" s="514"/>
    </row>
    <row r="9364" spans="11:14" x14ac:dyDescent="0.25">
      <c r="K9364" s="312"/>
      <c r="N9364" s="514"/>
    </row>
    <row r="9365" spans="11:14" x14ac:dyDescent="0.25">
      <c r="K9365" s="312"/>
      <c r="N9365" s="514"/>
    </row>
    <row r="9366" spans="11:14" x14ac:dyDescent="0.25">
      <c r="K9366" s="312"/>
      <c r="N9366" s="514"/>
    </row>
    <row r="9367" spans="11:14" x14ac:dyDescent="0.25">
      <c r="K9367" s="312"/>
      <c r="N9367" s="514"/>
    </row>
    <row r="9368" spans="11:14" x14ac:dyDescent="0.25">
      <c r="K9368" s="312"/>
      <c r="N9368" s="514"/>
    </row>
    <row r="9369" spans="11:14" x14ac:dyDescent="0.25">
      <c r="K9369" s="312"/>
      <c r="N9369" s="514"/>
    </row>
    <row r="9370" spans="11:14" x14ac:dyDescent="0.25">
      <c r="K9370" s="312"/>
      <c r="N9370" s="514"/>
    </row>
    <row r="9371" spans="11:14" x14ac:dyDescent="0.25">
      <c r="K9371" s="312"/>
      <c r="N9371" s="514"/>
    </row>
    <row r="9372" spans="11:14" x14ac:dyDescent="0.25">
      <c r="K9372" s="312"/>
      <c r="N9372" s="514"/>
    </row>
    <row r="9373" spans="11:14" x14ac:dyDescent="0.25">
      <c r="K9373" s="312"/>
      <c r="N9373" s="514"/>
    </row>
    <row r="9374" spans="11:14" x14ac:dyDescent="0.25">
      <c r="K9374" s="312"/>
      <c r="N9374" s="514"/>
    </row>
    <row r="9375" spans="11:14" x14ac:dyDescent="0.25">
      <c r="K9375" s="312"/>
      <c r="N9375" s="514"/>
    </row>
    <row r="9376" spans="11:14" x14ac:dyDescent="0.25">
      <c r="K9376" s="312"/>
      <c r="N9376" s="514"/>
    </row>
    <row r="9377" spans="11:14" x14ac:dyDescent="0.25">
      <c r="K9377" s="312"/>
      <c r="N9377" s="514"/>
    </row>
    <row r="9378" spans="11:14" x14ac:dyDescent="0.25">
      <c r="K9378" s="312"/>
      <c r="N9378" s="514"/>
    </row>
    <row r="9379" spans="11:14" x14ac:dyDescent="0.25">
      <c r="K9379" s="312"/>
      <c r="N9379" s="514"/>
    </row>
    <row r="9380" spans="11:14" x14ac:dyDescent="0.25">
      <c r="K9380" s="312"/>
      <c r="N9380" s="514"/>
    </row>
    <row r="9381" spans="11:14" x14ac:dyDescent="0.25">
      <c r="K9381" s="312"/>
      <c r="N9381" s="514"/>
    </row>
    <row r="9382" spans="11:14" x14ac:dyDescent="0.25">
      <c r="K9382" s="312"/>
      <c r="N9382" s="514"/>
    </row>
    <row r="9383" spans="11:14" x14ac:dyDescent="0.25">
      <c r="K9383" s="312"/>
      <c r="N9383" s="514"/>
    </row>
    <row r="9384" spans="11:14" x14ac:dyDescent="0.25">
      <c r="K9384" s="312"/>
      <c r="N9384" s="514"/>
    </row>
    <row r="9385" spans="11:14" x14ac:dyDescent="0.25">
      <c r="K9385" s="312"/>
      <c r="N9385" s="514"/>
    </row>
    <row r="9386" spans="11:14" x14ac:dyDescent="0.25">
      <c r="K9386" s="312"/>
      <c r="N9386" s="514"/>
    </row>
    <row r="9387" spans="11:14" x14ac:dyDescent="0.25">
      <c r="K9387" s="312"/>
      <c r="N9387" s="514"/>
    </row>
    <row r="9388" spans="11:14" x14ac:dyDescent="0.25">
      <c r="K9388" s="312"/>
      <c r="N9388" s="514"/>
    </row>
    <row r="9389" spans="11:14" x14ac:dyDescent="0.25">
      <c r="K9389" s="312"/>
      <c r="N9389" s="514"/>
    </row>
    <row r="9390" spans="11:14" x14ac:dyDescent="0.25">
      <c r="K9390" s="312"/>
      <c r="N9390" s="514"/>
    </row>
    <row r="9391" spans="11:14" x14ac:dyDescent="0.25">
      <c r="K9391" s="312"/>
      <c r="N9391" s="514"/>
    </row>
    <row r="9392" spans="11:14" x14ac:dyDescent="0.25">
      <c r="K9392" s="312"/>
      <c r="N9392" s="514"/>
    </row>
    <row r="9393" spans="11:14" x14ac:dyDescent="0.25">
      <c r="K9393" s="312"/>
      <c r="N9393" s="514"/>
    </row>
    <row r="9394" spans="11:14" x14ac:dyDescent="0.25">
      <c r="K9394" s="312"/>
      <c r="N9394" s="514"/>
    </row>
    <row r="9395" spans="11:14" x14ac:dyDescent="0.25">
      <c r="K9395" s="312"/>
      <c r="N9395" s="514"/>
    </row>
    <row r="9396" spans="11:14" x14ac:dyDescent="0.25">
      <c r="K9396" s="312"/>
      <c r="N9396" s="514"/>
    </row>
    <row r="9397" spans="11:14" x14ac:dyDescent="0.25">
      <c r="K9397" s="312"/>
      <c r="N9397" s="514"/>
    </row>
    <row r="9398" spans="11:14" x14ac:dyDescent="0.25">
      <c r="K9398" s="312"/>
      <c r="N9398" s="514"/>
    </row>
    <row r="9399" spans="11:14" x14ac:dyDescent="0.25">
      <c r="K9399" s="312"/>
      <c r="N9399" s="514"/>
    </row>
    <row r="9400" spans="11:14" x14ac:dyDescent="0.25">
      <c r="K9400" s="312"/>
      <c r="N9400" s="514"/>
    </row>
    <row r="9401" spans="11:14" x14ac:dyDescent="0.25">
      <c r="K9401" s="312"/>
      <c r="N9401" s="514"/>
    </row>
    <row r="9402" spans="11:14" x14ac:dyDescent="0.25">
      <c r="K9402" s="312"/>
      <c r="N9402" s="514"/>
    </row>
    <row r="9403" spans="11:14" x14ac:dyDescent="0.25">
      <c r="K9403" s="312"/>
      <c r="N9403" s="514"/>
    </row>
    <row r="9404" spans="11:14" x14ac:dyDescent="0.25">
      <c r="K9404" s="312"/>
      <c r="N9404" s="514"/>
    </row>
    <row r="9405" spans="11:14" x14ac:dyDescent="0.25">
      <c r="K9405" s="312"/>
      <c r="N9405" s="514"/>
    </row>
    <row r="9406" spans="11:14" x14ac:dyDescent="0.25">
      <c r="K9406" s="312"/>
      <c r="N9406" s="514"/>
    </row>
    <row r="9407" spans="11:14" x14ac:dyDescent="0.25">
      <c r="K9407" s="312"/>
      <c r="N9407" s="514"/>
    </row>
    <row r="9408" spans="11:14" x14ac:dyDescent="0.25">
      <c r="K9408" s="312"/>
      <c r="N9408" s="514"/>
    </row>
    <row r="9409" spans="11:14" x14ac:dyDescent="0.25">
      <c r="K9409" s="312"/>
      <c r="N9409" s="514"/>
    </row>
    <row r="9410" spans="11:14" x14ac:dyDescent="0.25">
      <c r="K9410" s="312"/>
      <c r="N9410" s="514"/>
    </row>
    <row r="9411" spans="11:14" x14ac:dyDescent="0.25">
      <c r="K9411" s="312"/>
      <c r="N9411" s="514"/>
    </row>
    <row r="9412" spans="11:14" x14ac:dyDescent="0.25">
      <c r="K9412" s="312"/>
      <c r="N9412" s="514"/>
    </row>
    <row r="9413" spans="11:14" x14ac:dyDescent="0.25">
      <c r="K9413" s="312"/>
      <c r="N9413" s="514"/>
    </row>
    <row r="9414" spans="11:14" x14ac:dyDescent="0.25">
      <c r="K9414" s="312"/>
      <c r="N9414" s="514"/>
    </row>
    <row r="9415" spans="11:14" x14ac:dyDescent="0.25">
      <c r="K9415" s="312"/>
      <c r="N9415" s="514"/>
    </row>
    <row r="9416" spans="11:14" x14ac:dyDescent="0.25">
      <c r="K9416" s="312"/>
      <c r="N9416" s="514"/>
    </row>
    <row r="9417" spans="11:14" x14ac:dyDescent="0.25">
      <c r="K9417" s="312"/>
      <c r="N9417" s="514"/>
    </row>
    <row r="9418" spans="11:14" x14ac:dyDescent="0.25">
      <c r="K9418" s="312"/>
      <c r="N9418" s="514"/>
    </row>
    <row r="9419" spans="11:14" x14ac:dyDescent="0.25">
      <c r="K9419" s="312"/>
      <c r="N9419" s="514"/>
    </row>
    <row r="9420" spans="11:14" x14ac:dyDescent="0.25">
      <c r="K9420" s="312"/>
      <c r="N9420" s="514"/>
    </row>
    <row r="9421" spans="11:14" x14ac:dyDescent="0.25">
      <c r="K9421" s="312"/>
      <c r="N9421" s="514"/>
    </row>
    <row r="9422" spans="11:14" x14ac:dyDescent="0.25">
      <c r="K9422" s="312"/>
      <c r="N9422" s="514"/>
    </row>
    <row r="9423" spans="11:14" x14ac:dyDescent="0.25">
      <c r="K9423" s="312"/>
      <c r="N9423" s="514"/>
    </row>
    <row r="9424" spans="11:14" x14ac:dyDescent="0.25">
      <c r="K9424" s="312"/>
      <c r="N9424" s="514"/>
    </row>
    <row r="9425" spans="11:14" x14ac:dyDescent="0.25">
      <c r="K9425" s="312"/>
      <c r="N9425" s="514"/>
    </row>
    <row r="9426" spans="11:14" x14ac:dyDescent="0.25">
      <c r="K9426" s="312"/>
      <c r="N9426" s="514"/>
    </row>
    <row r="9427" spans="11:14" x14ac:dyDescent="0.25">
      <c r="K9427" s="312"/>
      <c r="N9427" s="514"/>
    </row>
    <row r="9428" spans="11:14" x14ac:dyDescent="0.25">
      <c r="K9428" s="312"/>
      <c r="N9428" s="514"/>
    </row>
    <row r="9429" spans="11:14" x14ac:dyDescent="0.25">
      <c r="K9429" s="312"/>
      <c r="N9429" s="514"/>
    </row>
    <row r="9430" spans="11:14" x14ac:dyDescent="0.25">
      <c r="K9430" s="312"/>
      <c r="N9430" s="514"/>
    </row>
    <row r="9431" spans="11:14" x14ac:dyDescent="0.25">
      <c r="K9431" s="312"/>
      <c r="N9431" s="514"/>
    </row>
    <row r="9432" spans="11:14" x14ac:dyDescent="0.25">
      <c r="K9432" s="312"/>
      <c r="N9432" s="514"/>
    </row>
    <row r="9433" spans="11:14" x14ac:dyDescent="0.25">
      <c r="K9433" s="312"/>
      <c r="N9433" s="514"/>
    </row>
    <row r="9434" spans="11:14" x14ac:dyDescent="0.25">
      <c r="K9434" s="312"/>
      <c r="N9434" s="514"/>
    </row>
    <row r="9435" spans="11:14" x14ac:dyDescent="0.25">
      <c r="K9435" s="312"/>
      <c r="N9435" s="514"/>
    </row>
    <row r="9436" spans="11:14" x14ac:dyDescent="0.25">
      <c r="K9436" s="312"/>
      <c r="N9436" s="514"/>
    </row>
    <row r="9437" spans="11:14" x14ac:dyDescent="0.25">
      <c r="K9437" s="312"/>
      <c r="N9437" s="514"/>
    </row>
    <row r="9438" spans="11:14" x14ac:dyDescent="0.25">
      <c r="K9438" s="312"/>
      <c r="N9438" s="514"/>
    </row>
    <row r="9439" spans="11:14" x14ac:dyDescent="0.25">
      <c r="K9439" s="312"/>
      <c r="N9439" s="514"/>
    </row>
    <row r="9440" spans="11:14" x14ac:dyDescent="0.25">
      <c r="K9440" s="312"/>
      <c r="N9440" s="514"/>
    </row>
    <row r="9441" spans="11:14" x14ac:dyDescent="0.25">
      <c r="K9441" s="312"/>
      <c r="N9441" s="514"/>
    </row>
    <row r="9442" spans="11:14" x14ac:dyDescent="0.25">
      <c r="K9442" s="312"/>
      <c r="N9442" s="514"/>
    </row>
    <row r="9443" spans="11:14" x14ac:dyDescent="0.25">
      <c r="K9443" s="312"/>
      <c r="N9443" s="514"/>
    </row>
    <row r="9444" spans="11:14" x14ac:dyDescent="0.25">
      <c r="K9444" s="312"/>
      <c r="N9444" s="514"/>
    </row>
    <row r="9445" spans="11:14" x14ac:dyDescent="0.25">
      <c r="K9445" s="312"/>
      <c r="N9445" s="514"/>
    </row>
    <row r="9446" spans="11:14" x14ac:dyDescent="0.25">
      <c r="K9446" s="312"/>
      <c r="N9446" s="514"/>
    </row>
    <row r="9447" spans="11:14" x14ac:dyDescent="0.25">
      <c r="K9447" s="312"/>
      <c r="N9447" s="514"/>
    </row>
    <row r="9448" spans="11:14" x14ac:dyDescent="0.25">
      <c r="K9448" s="312"/>
      <c r="N9448" s="514"/>
    </row>
    <row r="9449" spans="11:14" x14ac:dyDescent="0.25">
      <c r="K9449" s="312"/>
      <c r="N9449" s="514"/>
    </row>
    <row r="9450" spans="11:14" x14ac:dyDescent="0.25">
      <c r="K9450" s="312"/>
      <c r="N9450" s="514"/>
    </row>
    <row r="9451" spans="11:14" x14ac:dyDescent="0.25">
      <c r="K9451" s="312"/>
      <c r="N9451" s="514"/>
    </row>
    <row r="9452" spans="11:14" x14ac:dyDescent="0.25">
      <c r="K9452" s="312"/>
      <c r="N9452" s="514"/>
    </row>
    <row r="9453" spans="11:14" x14ac:dyDescent="0.25">
      <c r="K9453" s="312"/>
      <c r="N9453" s="514"/>
    </row>
    <row r="9454" spans="11:14" x14ac:dyDescent="0.25">
      <c r="K9454" s="312"/>
      <c r="N9454" s="514"/>
    </row>
    <row r="9455" spans="11:14" x14ac:dyDescent="0.25">
      <c r="K9455" s="312"/>
      <c r="N9455" s="514"/>
    </row>
    <row r="9456" spans="11:14" x14ac:dyDescent="0.25">
      <c r="K9456" s="312"/>
      <c r="N9456" s="514"/>
    </row>
    <row r="9457" spans="11:14" x14ac:dyDescent="0.25">
      <c r="K9457" s="312"/>
      <c r="N9457" s="514"/>
    </row>
    <row r="9458" spans="11:14" x14ac:dyDescent="0.25">
      <c r="K9458" s="312"/>
      <c r="N9458" s="514"/>
    </row>
    <row r="9459" spans="11:14" x14ac:dyDescent="0.25">
      <c r="K9459" s="312"/>
      <c r="N9459" s="514"/>
    </row>
    <row r="9460" spans="11:14" x14ac:dyDescent="0.25">
      <c r="K9460" s="312"/>
      <c r="N9460" s="514"/>
    </row>
    <row r="9461" spans="11:14" x14ac:dyDescent="0.25">
      <c r="K9461" s="312"/>
      <c r="N9461" s="514"/>
    </row>
    <row r="9462" spans="11:14" x14ac:dyDescent="0.25">
      <c r="K9462" s="312"/>
      <c r="N9462" s="514"/>
    </row>
    <row r="9463" spans="11:14" x14ac:dyDescent="0.25">
      <c r="K9463" s="312"/>
      <c r="N9463" s="514"/>
    </row>
    <row r="9464" spans="11:14" x14ac:dyDescent="0.25">
      <c r="K9464" s="312"/>
      <c r="N9464" s="514"/>
    </row>
    <row r="9465" spans="11:14" x14ac:dyDescent="0.25">
      <c r="K9465" s="312"/>
      <c r="N9465" s="514"/>
    </row>
    <row r="9466" spans="11:14" x14ac:dyDescent="0.25">
      <c r="K9466" s="312"/>
      <c r="N9466" s="514"/>
    </row>
    <row r="9467" spans="11:14" x14ac:dyDescent="0.25">
      <c r="K9467" s="312"/>
      <c r="N9467" s="514"/>
    </row>
    <row r="9468" spans="11:14" x14ac:dyDescent="0.25">
      <c r="K9468" s="312"/>
      <c r="N9468" s="514"/>
    </row>
    <row r="9469" spans="11:14" x14ac:dyDescent="0.25">
      <c r="K9469" s="312"/>
      <c r="N9469" s="514"/>
    </row>
    <row r="9470" spans="11:14" x14ac:dyDescent="0.25">
      <c r="K9470" s="312"/>
      <c r="N9470" s="514"/>
    </row>
    <row r="9471" spans="11:14" x14ac:dyDescent="0.25">
      <c r="K9471" s="312"/>
      <c r="N9471" s="514"/>
    </row>
    <row r="9472" spans="11:14" x14ac:dyDescent="0.25">
      <c r="K9472" s="312"/>
      <c r="N9472" s="514"/>
    </row>
    <row r="9473" spans="11:14" x14ac:dyDescent="0.25">
      <c r="K9473" s="312"/>
      <c r="N9473" s="514"/>
    </row>
    <row r="9474" spans="11:14" x14ac:dyDescent="0.25">
      <c r="K9474" s="312"/>
      <c r="N9474" s="514"/>
    </row>
    <row r="9475" spans="11:14" x14ac:dyDescent="0.25">
      <c r="K9475" s="312"/>
      <c r="N9475" s="514"/>
    </row>
    <row r="9476" spans="11:14" x14ac:dyDescent="0.25">
      <c r="K9476" s="312"/>
      <c r="N9476" s="514"/>
    </row>
    <row r="9477" spans="11:14" x14ac:dyDescent="0.25">
      <c r="K9477" s="312"/>
      <c r="N9477" s="514"/>
    </row>
    <row r="9478" spans="11:14" x14ac:dyDescent="0.25">
      <c r="K9478" s="312"/>
      <c r="N9478" s="514"/>
    </row>
    <row r="9479" spans="11:14" x14ac:dyDescent="0.25">
      <c r="K9479" s="312"/>
      <c r="N9479" s="514"/>
    </row>
    <row r="9480" spans="11:14" x14ac:dyDescent="0.25">
      <c r="K9480" s="312"/>
      <c r="N9480" s="514"/>
    </row>
    <row r="9481" spans="11:14" x14ac:dyDescent="0.25">
      <c r="K9481" s="312"/>
      <c r="N9481" s="514"/>
    </row>
    <row r="9482" spans="11:14" x14ac:dyDescent="0.25">
      <c r="K9482" s="312"/>
      <c r="N9482" s="514"/>
    </row>
    <row r="9483" spans="11:14" x14ac:dyDescent="0.25">
      <c r="K9483" s="312"/>
      <c r="N9483" s="514"/>
    </row>
    <row r="9484" spans="11:14" x14ac:dyDescent="0.25">
      <c r="K9484" s="312"/>
      <c r="N9484" s="514"/>
    </row>
    <row r="9485" spans="11:14" x14ac:dyDescent="0.25">
      <c r="K9485" s="312"/>
      <c r="N9485" s="514"/>
    </row>
    <row r="9486" spans="11:14" x14ac:dyDescent="0.25">
      <c r="K9486" s="312"/>
      <c r="N9486" s="514"/>
    </row>
    <row r="9487" spans="11:14" x14ac:dyDescent="0.25">
      <c r="K9487" s="312"/>
      <c r="N9487" s="514"/>
    </row>
    <row r="9488" spans="11:14" x14ac:dyDescent="0.25">
      <c r="K9488" s="312"/>
      <c r="N9488" s="514"/>
    </row>
    <row r="9489" spans="11:14" x14ac:dyDescent="0.25">
      <c r="K9489" s="312"/>
      <c r="N9489" s="514"/>
    </row>
    <row r="9490" spans="11:14" x14ac:dyDescent="0.25">
      <c r="K9490" s="312"/>
      <c r="N9490" s="514"/>
    </row>
    <row r="9491" spans="11:14" x14ac:dyDescent="0.25">
      <c r="K9491" s="312"/>
      <c r="N9491" s="514"/>
    </row>
    <row r="9492" spans="11:14" x14ac:dyDescent="0.25">
      <c r="K9492" s="312"/>
      <c r="N9492" s="514"/>
    </row>
    <row r="9493" spans="11:14" x14ac:dyDescent="0.25">
      <c r="K9493" s="312"/>
      <c r="N9493" s="514"/>
    </row>
    <row r="9494" spans="11:14" x14ac:dyDescent="0.25">
      <c r="K9494" s="312"/>
      <c r="N9494" s="514"/>
    </row>
    <row r="9495" spans="11:14" x14ac:dyDescent="0.25">
      <c r="K9495" s="312"/>
      <c r="N9495" s="514"/>
    </row>
    <row r="9496" spans="11:14" x14ac:dyDescent="0.25">
      <c r="K9496" s="312"/>
      <c r="N9496" s="514"/>
    </row>
    <row r="9497" spans="11:14" x14ac:dyDescent="0.25">
      <c r="K9497" s="312"/>
      <c r="N9497" s="514"/>
    </row>
    <row r="9498" spans="11:14" x14ac:dyDescent="0.25">
      <c r="K9498" s="312"/>
      <c r="N9498" s="514"/>
    </row>
    <row r="9499" spans="11:14" x14ac:dyDescent="0.25">
      <c r="K9499" s="312"/>
      <c r="N9499" s="514"/>
    </row>
    <row r="9500" spans="11:14" x14ac:dyDescent="0.25">
      <c r="K9500" s="312"/>
      <c r="N9500" s="514"/>
    </row>
    <row r="9501" spans="11:14" x14ac:dyDescent="0.25">
      <c r="K9501" s="312"/>
      <c r="N9501" s="514"/>
    </row>
    <row r="9502" spans="11:14" x14ac:dyDescent="0.25">
      <c r="K9502" s="312"/>
      <c r="N9502" s="514"/>
    </row>
    <row r="9503" spans="11:14" x14ac:dyDescent="0.25">
      <c r="K9503" s="312"/>
      <c r="N9503" s="514"/>
    </row>
    <row r="9504" spans="11:14" x14ac:dyDescent="0.25">
      <c r="K9504" s="312"/>
      <c r="N9504" s="514"/>
    </row>
    <row r="9505" spans="11:14" x14ac:dyDescent="0.25">
      <c r="K9505" s="312"/>
      <c r="N9505" s="514"/>
    </row>
    <row r="9506" spans="11:14" x14ac:dyDescent="0.25">
      <c r="K9506" s="312"/>
      <c r="N9506" s="514"/>
    </row>
    <row r="9507" spans="11:14" x14ac:dyDescent="0.25">
      <c r="K9507" s="312"/>
      <c r="N9507" s="514"/>
    </row>
    <row r="9508" spans="11:14" x14ac:dyDescent="0.25">
      <c r="K9508" s="312"/>
      <c r="N9508" s="514"/>
    </row>
    <row r="9509" spans="11:14" x14ac:dyDescent="0.25">
      <c r="K9509" s="312"/>
      <c r="N9509" s="514"/>
    </row>
    <row r="9510" spans="11:14" x14ac:dyDescent="0.25">
      <c r="K9510" s="312"/>
      <c r="N9510" s="514"/>
    </row>
    <row r="9511" spans="11:14" x14ac:dyDescent="0.25">
      <c r="K9511" s="312"/>
      <c r="N9511" s="514"/>
    </row>
    <row r="9512" spans="11:14" x14ac:dyDescent="0.25">
      <c r="K9512" s="312"/>
      <c r="N9512" s="514"/>
    </row>
    <row r="9513" spans="11:14" x14ac:dyDescent="0.25">
      <c r="K9513" s="312"/>
      <c r="N9513" s="514"/>
    </row>
    <row r="9514" spans="11:14" x14ac:dyDescent="0.25">
      <c r="K9514" s="312"/>
      <c r="N9514" s="514"/>
    </row>
    <row r="9515" spans="11:14" x14ac:dyDescent="0.25">
      <c r="K9515" s="312"/>
      <c r="N9515" s="514"/>
    </row>
    <row r="9516" spans="11:14" x14ac:dyDescent="0.25">
      <c r="K9516" s="312"/>
      <c r="N9516" s="514"/>
    </row>
    <row r="9517" spans="11:14" x14ac:dyDescent="0.25">
      <c r="K9517" s="312"/>
      <c r="N9517" s="514"/>
    </row>
    <row r="9518" spans="11:14" x14ac:dyDescent="0.25">
      <c r="K9518" s="312"/>
      <c r="N9518" s="514"/>
    </row>
    <row r="9519" spans="11:14" x14ac:dyDescent="0.25">
      <c r="K9519" s="312"/>
      <c r="N9519" s="514"/>
    </row>
    <row r="9520" spans="11:14" x14ac:dyDescent="0.25">
      <c r="K9520" s="312"/>
      <c r="N9520" s="514"/>
    </row>
    <row r="9521" spans="11:14" x14ac:dyDescent="0.25">
      <c r="K9521" s="312"/>
      <c r="N9521" s="514"/>
    </row>
    <row r="9522" spans="11:14" x14ac:dyDescent="0.25">
      <c r="K9522" s="312"/>
      <c r="N9522" s="514"/>
    </row>
    <row r="9523" spans="11:14" x14ac:dyDescent="0.25">
      <c r="K9523" s="312"/>
      <c r="N9523" s="514"/>
    </row>
    <row r="9524" spans="11:14" x14ac:dyDescent="0.25">
      <c r="K9524" s="312"/>
      <c r="N9524" s="514"/>
    </row>
    <row r="9525" spans="11:14" x14ac:dyDescent="0.25">
      <c r="K9525" s="312"/>
      <c r="N9525" s="514"/>
    </row>
    <row r="9526" spans="11:14" x14ac:dyDescent="0.25">
      <c r="K9526" s="312"/>
      <c r="N9526" s="514"/>
    </row>
    <row r="9527" spans="11:14" x14ac:dyDescent="0.25">
      <c r="K9527" s="312"/>
      <c r="N9527" s="514"/>
    </row>
    <row r="9528" spans="11:14" x14ac:dyDescent="0.25">
      <c r="K9528" s="312"/>
      <c r="N9528" s="514"/>
    </row>
    <row r="9529" spans="11:14" x14ac:dyDescent="0.25">
      <c r="K9529" s="312"/>
      <c r="N9529" s="514"/>
    </row>
    <row r="9530" spans="11:14" x14ac:dyDescent="0.25">
      <c r="K9530" s="312"/>
      <c r="N9530" s="514"/>
    </row>
    <row r="9531" spans="11:14" x14ac:dyDescent="0.25">
      <c r="K9531" s="312"/>
      <c r="N9531" s="514"/>
    </row>
    <row r="9532" spans="11:14" x14ac:dyDescent="0.25">
      <c r="K9532" s="312"/>
      <c r="N9532" s="514"/>
    </row>
    <row r="9533" spans="11:14" x14ac:dyDescent="0.25">
      <c r="K9533" s="312"/>
      <c r="N9533" s="514"/>
    </row>
    <row r="9534" spans="11:14" x14ac:dyDescent="0.25">
      <c r="K9534" s="312"/>
      <c r="N9534" s="514"/>
    </row>
    <row r="9535" spans="11:14" x14ac:dyDescent="0.25">
      <c r="K9535" s="312"/>
      <c r="N9535" s="514"/>
    </row>
    <row r="9536" spans="11:14" x14ac:dyDescent="0.25">
      <c r="K9536" s="312"/>
      <c r="N9536" s="514"/>
    </row>
    <row r="9537" spans="11:14" x14ac:dyDescent="0.25">
      <c r="K9537" s="312"/>
      <c r="N9537" s="514"/>
    </row>
    <row r="9538" spans="11:14" x14ac:dyDescent="0.25">
      <c r="K9538" s="312"/>
      <c r="N9538" s="514"/>
    </row>
    <row r="9539" spans="11:14" x14ac:dyDescent="0.25">
      <c r="K9539" s="312"/>
      <c r="N9539" s="514"/>
    </row>
    <row r="9540" spans="11:14" x14ac:dyDescent="0.25">
      <c r="K9540" s="312"/>
      <c r="N9540" s="514"/>
    </row>
    <row r="9541" spans="11:14" x14ac:dyDescent="0.25">
      <c r="K9541" s="312"/>
      <c r="N9541" s="514"/>
    </row>
    <row r="9542" spans="11:14" x14ac:dyDescent="0.25">
      <c r="K9542" s="312"/>
      <c r="N9542" s="514"/>
    </row>
    <row r="9543" spans="11:14" x14ac:dyDescent="0.25">
      <c r="K9543" s="312"/>
      <c r="N9543" s="514"/>
    </row>
    <row r="9544" spans="11:14" x14ac:dyDescent="0.25">
      <c r="K9544" s="312"/>
      <c r="N9544" s="514"/>
    </row>
    <row r="9545" spans="11:14" x14ac:dyDescent="0.25">
      <c r="K9545" s="312"/>
      <c r="N9545" s="514"/>
    </row>
    <row r="9546" spans="11:14" x14ac:dyDescent="0.25">
      <c r="K9546" s="312"/>
      <c r="N9546" s="514"/>
    </row>
    <row r="9547" spans="11:14" x14ac:dyDescent="0.25">
      <c r="K9547" s="312"/>
      <c r="N9547" s="514"/>
    </row>
    <row r="9548" spans="11:14" x14ac:dyDescent="0.25">
      <c r="K9548" s="312"/>
      <c r="N9548" s="514"/>
    </row>
    <row r="9549" spans="11:14" x14ac:dyDescent="0.25">
      <c r="K9549" s="312"/>
      <c r="N9549" s="514"/>
    </row>
    <row r="9550" spans="11:14" x14ac:dyDescent="0.25">
      <c r="K9550" s="312"/>
      <c r="N9550" s="514"/>
    </row>
    <row r="9551" spans="11:14" x14ac:dyDescent="0.25">
      <c r="K9551" s="312"/>
      <c r="N9551" s="514"/>
    </row>
    <row r="9552" spans="11:14" x14ac:dyDescent="0.25">
      <c r="K9552" s="312"/>
      <c r="N9552" s="514"/>
    </row>
    <row r="9553" spans="11:14" x14ac:dyDescent="0.25">
      <c r="K9553" s="312"/>
      <c r="N9553" s="514"/>
    </row>
    <row r="9554" spans="11:14" x14ac:dyDescent="0.25">
      <c r="K9554" s="312"/>
      <c r="N9554" s="514"/>
    </row>
    <row r="9555" spans="11:14" x14ac:dyDescent="0.25">
      <c r="K9555" s="312"/>
      <c r="N9555" s="514"/>
    </row>
    <row r="9556" spans="11:14" x14ac:dyDescent="0.25">
      <c r="K9556" s="312"/>
      <c r="N9556" s="514"/>
    </row>
    <row r="9557" spans="11:14" x14ac:dyDescent="0.25">
      <c r="K9557" s="312"/>
      <c r="N9557" s="514"/>
    </row>
    <row r="9558" spans="11:14" x14ac:dyDescent="0.25">
      <c r="K9558" s="312"/>
      <c r="N9558" s="514"/>
    </row>
    <row r="9559" spans="11:14" x14ac:dyDescent="0.25">
      <c r="K9559" s="312"/>
      <c r="N9559" s="514"/>
    </row>
    <row r="9560" spans="11:14" x14ac:dyDescent="0.25">
      <c r="K9560" s="312"/>
      <c r="N9560" s="514"/>
    </row>
    <row r="9561" spans="11:14" x14ac:dyDescent="0.25">
      <c r="K9561" s="312"/>
      <c r="N9561" s="514"/>
    </row>
    <row r="9562" spans="11:14" x14ac:dyDescent="0.25">
      <c r="K9562" s="312"/>
      <c r="N9562" s="514"/>
    </row>
    <row r="9563" spans="11:14" x14ac:dyDescent="0.25">
      <c r="K9563" s="312"/>
      <c r="N9563" s="514"/>
    </row>
    <row r="9564" spans="11:14" x14ac:dyDescent="0.25">
      <c r="K9564" s="312"/>
      <c r="N9564" s="514"/>
    </row>
    <row r="9565" spans="11:14" x14ac:dyDescent="0.25">
      <c r="K9565" s="312"/>
      <c r="N9565" s="514"/>
    </row>
    <row r="9566" spans="11:14" x14ac:dyDescent="0.25">
      <c r="K9566" s="312"/>
      <c r="N9566" s="514"/>
    </row>
    <row r="9567" spans="11:14" x14ac:dyDescent="0.25">
      <c r="K9567" s="312"/>
      <c r="N9567" s="514"/>
    </row>
    <row r="9568" spans="11:14" x14ac:dyDescent="0.25">
      <c r="K9568" s="312"/>
      <c r="N9568" s="514"/>
    </row>
    <row r="9569" spans="11:14" x14ac:dyDescent="0.25">
      <c r="K9569" s="312"/>
      <c r="N9569" s="514"/>
    </row>
    <row r="9570" spans="11:14" x14ac:dyDescent="0.25">
      <c r="K9570" s="312"/>
      <c r="N9570" s="514"/>
    </row>
    <row r="9571" spans="11:14" x14ac:dyDescent="0.25">
      <c r="K9571" s="312"/>
      <c r="N9571" s="514"/>
    </row>
    <row r="9572" spans="11:14" x14ac:dyDescent="0.25">
      <c r="K9572" s="312"/>
      <c r="N9572" s="514"/>
    </row>
    <row r="9573" spans="11:14" x14ac:dyDescent="0.25">
      <c r="K9573" s="312"/>
      <c r="N9573" s="514"/>
    </row>
    <row r="9574" spans="11:14" x14ac:dyDescent="0.25">
      <c r="K9574" s="312"/>
      <c r="N9574" s="514"/>
    </row>
    <row r="9575" spans="11:14" x14ac:dyDescent="0.25">
      <c r="K9575" s="312"/>
      <c r="N9575" s="514"/>
    </row>
    <row r="9576" spans="11:14" x14ac:dyDescent="0.25">
      <c r="K9576" s="312"/>
      <c r="N9576" s="514"/>
    </row>
    <row r="9577" spans="11:14" x14ac:dyDescent="0.25">
      <c r="K9577" s="312"/>
      <c r="N9577" s="514"/>
    </row>
    <row r="9578" spans="11:14" x14ac:dyDescent="0.25">
      <c r="K9578" s="312"/>
      <c r="N9578" s="514"/>
    </row>
    <row r="9579" spans="11:14" x14ac:dyDescent="0.25">
      <c r="K9579" s="312"/>
      <c r="N9579" s="514"/>
    </row>
    <row r="9580" spans="11:14" x14ac:dyDescent="0.25">
      <c r="K9580" s="312"/>
      <c r="N9580" s="514"/>
    </row>
    <row r="9581" spans="11:14" x14ac:dyDescent="0.25">
      <c r="K9581" s="312"/>
      <c r="N9581" s="514"/>
    </row>
    <row r="9582" spans="11:14" x14ac:dyDescent="0.25">
      <c r="K9582" s="312"/>
      <c r="N9582" s="514"/>
    </row>
    <row r="9583" spans="11:14" x14ac:dyDescent="0.25">
      <c r="K9583" s="312"/>
      <c r="N9583" s="514"/>
    </row>
    <row r="9584" spans="11:14" x14ac:dyDescent="0.25">
      <c r="K9584" s="312"/>
      <c r="N9584" s="514"/>
    </row>
    <row r="9585" spans="11:14" x14ac:dyDescent="0.25">
      <c r="K9585" s="312"/>
      <c r="N9585" s="514"/>
    </row>
    <row r="9586" spans="11:14" x14ac:dyDescent="0.25">
      <c r="K9586" s="312"/>
      <c r="N9586" s="514"/>
    </row>
    <row r="9587" spans="11:14" x14ac:dyDescent="0.25">
      <c r="K9587" s="312"/>
      <c r="N9587" s="514"/>
    </row>
    <row r="9588" spans="11:14" x14ac:dyDescent="0.25">
      <c r="K9588" s="312"/>
      <c r="N9588" s="514"/>
    </row>
    <row r="9589" spans="11:14" x14ac:dyDescent="0.25">
      <c r="K9589" s="312"/>
      <c r="N9589" s="514"/>
    </row>
    <row r="9590" spans="11:14" x14ac:dyDescent="0.25">
      <c r="K9590" s="312"/>
      <c r="N9590" s="514"/>
    </row>
    <row r="9591" spans="11:14" x14ac:dyDescent="0.25">
      <c r="K9591" s="312"/>
      <c r="N9591" s="514"/>
    </row>
    <row r="9592" spans="11:14" x14ac:dyDescent="0.25">
      <c r="K9592" s="312"/>
      <c r="N9592" s="514"/>
    </row>
    <row r="9593" spans="11:14" x14ac:dyDescent="0.25">
      <c r="K9593" s="312"/>
      <c r="N9593" s="514"/>
    </row>
    <row r="9594" spans="11:14" x14ac:dyDescent="0.25">
      <c r="K9594" s="312"/>
      <c r="N9594" s="514"/>
    </row>
    <row r="9595" spans="11:14" x14ac:dyDescent="0.25">
      <c r="K9595" s="312"/>
      <c r="N9595" s="514"/>
    </row>
    <row r="9596" spans="11:14" x14ac:dyDescent="0.25">
      <c r="K9596" s="312"/>
      <c r="N9596" s="514"/>
    </row>
    <row r="9597" spans="11:14" x14ac:dyDescent="0.25">
      <c r="K9597" s="312"/>
      <c r="N9597" s="514"/>
    </row>
    <row r="9598" spans="11:14" x14ac:dyDescent="0.25">
      <c r="K9598" s="312"/>
      <c r="N9598" s="514"/>
    </row>
    <row r="9599" spans="11:14" x14ac:dyDescent="0.25">
      <c r="K9599" s="312"/>
      <c r="N9599" s="514"/>
    </row>
    <row r="9600" spans="11:14" x14ac:dyDescent="0.25">
      <c r="K9600" s="312"/>
      <c r="N9600" s="514"/>
    </row>
    <row r="9601" spans="11:14" x14ac:dyDescent="0.25">
      <c r="K9601" s="312"/>
      <c r="N9601" s="514"/>
    </row>
    <row r="9602" spans="11:14" x14ac:dyDescent="0.25">
      <c r="K9602" s="312"/>
      <c r="N9602" s="514"/>
    </row>
    <row r="9603" spans="11:14" x14ac:dyDescent="0.25">
      <c r="K9603" s="312"/>
      <c r="N9603" s="514"/>
    </row>
    <row r="9604" spans="11:14" x14ac:dyDescent="0.25">
      <c r="K9604" s="312"/>
      <c r="N9604" s="514"/>
    </row>
    <row r="9605" spans="11:14" x14ac:dyDescent="0.25">
      <c r="K9605" s="312"/>
      <c r="N9605" s="514"/>
    </row>
    <row r="9606" spans="11:14" x14ac:dyDescent="0.25">
      <c r="K9606" s="312"/>
      <c r="N9606" s="514"/>
    </row>
    <row r="9607" spans="11:14" x14ac:dyDescent="0.25">
      <c r="K9607" s="312"/>
      <c r="N9607" s="514"/>
    </row>
    <row r="9608" spans="11:14" x14ac:dyDescent="0.25">
      <c r="K9608" s="312"/>
      <c r="N9608" s="514"/>
    </row>
    <row r="9609" spans="11:14" x14ac:dyDescent="0.25">
      <c r="K9609" s="312"/>
      <c r="N9609" s="514"/>
    </row>
    <row r="9610" spans="11:14" x14ac:dyDescent="0.25">
      <c r="K9610" s="312"/>
      <c r="N9610" s="514"/>
    </row>
    <row r="9611" spans="11:14" x14ac:dyDescent="0.25">
      <c r="K9611" s="312"/>
      <c r="N9611" s="514"/>
    </row>
    <row r="9612" spans="11:14" x14ac:dyDescent="0.25">
      <c r="K9612" s="312"/>
      <c r="N9612" s="514"/>
    </row>
    <row r="9613" spans="11:14" x14ac:dyDescent="0.25">
      <c r="K9613" s="312"/>
      <c r="N9613" s="514"/>
    </row>
    <row r="9614" spans="11:14" x14ac:dyDescent="0.25">
      <c r="K9614" s="312"/>
      <c r="N9614" s="514"/>
    </row>
    <row r="9615" spans="11:14" x14ac:dyDescent="0.25">
      <c r="K9615" s="312"/>
      <c r="N9615" s="514"/>
    </row>
    <row r="9616" spans="11:14" x14ac:dyDescent="0.25">
      <c r="K9616" s="312"/>
      <c r="N9616" s="514"/>
    </row>
    <row r="9617" spans="11:14" x14ac:dyDescent="0.25">
      <c r="K9617" s="312"/>
      <c r="N9617" s="514"/>
    </row>
    <row r="9618" spans="11:14" x14ac:dyDescent="0.25">
      <c r="K9618" s="312"/>
      <c r="N9618" s="514"/>
    </row>
    <row r="9619" spans="11:14" x14ac:dyDescent="0.25">
      <c r="K9619" s="312"/>
      <c r="N9619" s="514"/>
    </row>
    <row r="9620" spans="11:14" x14ac:dyDescent="0.25">
      <c r="K9620" s="312"/>
      <c r="N9620" s="514"/>
    </row>
    <row r="9621" spans="11:14" x14ac:dyDescent="0.25">
      <c r="K9621" s="312"/>
      <c r="N9621" s="514"/>
    </row>
    <row r="9622" spans="11:14" x14ac:dyDescent="0.25">
      <c r="K9622" s="312"/>
      <c r="N9622" s="514"/>
    </row>
    <row r="9623" spans="11:14" x14ac:dyDescent="0.25">
      <c r="K9623" s="312"/>
      <c r="N9623" s="514"/>
    </row>
    <row r="9624" spans="11:14" x14ac:dyDescent="0.25">
      <c r="K9624" s="312"/>
      <c r="N9624" s="514"/>
    </row>
    <row r="9625" spans="11:14" x14ac:dyDescent="0.25">
      <c r="K9625" s="312"/>
      <c r="N9625" s="514"/>
    </row>
    <row r="9626" spans="11:14" x14ac:dyDescent="0.25">
      <c r="K9626" s="312"/>
      <c r="N9626" s="514"/>
    </row>
    <row r="9627" spans="11:14" x14ac:dyDescent="0.25">
      <c r="K9627" s="312"/>
      <c r="N9627" s="514"/>
    </row>
    <row r="9628" spans="11:14" x14ac:dyDescent="0.25">
      <c r="K9628" s="312"/>
      <c r="N9628" s="514"/>
    </row>
    <row r="9629" spans="11:14" x14ac:dyDescent="0.25">
      <c r="K9629" s="312"/>
      <c r="N9629" s="514"/>
    </row>
    <row r="9630" spans="11:14" x14ac:dyDescent="0.25">
      <c r="K9630" s="312"/>
      <c r="N9630" s="514"/>
    </row>
    <row r="9631" spans="11:14" x14ac:dyDescent="0.25">
      <c r="K9631" s="312"/>
      <c r="N9631" s="514"/>
    </row>
    <row r="9632" spans="11:14" x14ac:dyDescent="0.25">
      <c r="K9632" s="312"/>
      <c r="N9632" s="514"/>
    </row>
    <row r="9633" spans="11:14" x14ac:dyDescent="0.25">
      <c r="K9633" s="312"/>
      <c r="N9633" s="514"/>
    </row>
    <row r="9634" spans="11:14" x14ac:dyDescent="0.25">
      <c r="K9634" s="312"/>
      <c r="N9634" s="514"/>
    </row>
    <row r="9635" spans="11:14" x14ac:dyDescent="0.25">
      <c r="K9635" s="312"/>
      <c r="N9635" s="514"/>
    </row>
    <row r="9636" spans="11:14" x14ac:dyDescent="0.25">
      <c r="K9636" s="312"/>
      <c r="N9636" s="514"/>
    </row>
    <row r="9637" spans="11:14" x14ac:dyDescent="0.25">
      <c r="K9637" s="312"/>
      <c r="N9637" s="514"/>
    </row>
    <row r="9638" spans="11:14" x14ac:dyDescent="0.25">
      <c r="K9638" s="312"/>
      <c r="N9638" s="514"/>
    </row>
    <row r="9639" spans="11:14" x14ac:dyDescent="0.25">
      <c r="K9639" s="312"/>
      <c r="N9639" s="514"/>
    </row>
    <row r="9640" spans="11:14" x14ac:dyDescent="0.25">
      <c r="K9640" s="312"/>
      <c r="N9640" s="514"/>
    </row>
    <row r="9641" spans="11:14" x14ac:dyDescent="0.25">
      <c r="K9641" s="312"/>
      <c r="N9641" s="514"/>
    </row>
    <row r="9642" spans="11:14" x14ac:dyDescent="0.25">
      <c r="K9642" s="312"/>
      <c r="N9642" s="514"/>
    </row>
    <row r="9643" spans="11:14" x14ac:dyDescent="0.25">
      <c r="K9643" s="312"/>
      <c r="N9643" s="514"/>
    </row>
    <row r="9644" spans="11:14" x14ac:dyDescent="0.25">
      <c r="K9644" s="312"/>
      <c r="N9644" s="514"/>
    </row>
    <row r="9645" spans="11:14" x14ac:dyDescent="0.25">
      <c r="K9645" s="312"/>
      <c r="N9645" s="514"/>
    </row>
    <row r="9646" spans="11:14" x14ac:dyDescent="0.25">
      <c r="K9646" s="312"/>
      <c r="N9646" s="514"/>
    </row>
    <row r="9647" spans="11:14" x14ac:dyDescent="0.25">
      <c r="K9647" s="312"/>
      <c r="N9647" s="514"/>
    </row>
    <row r="9648" spans="11:14" x14ac:dyDescent="0.25">
      <c r="K9648" s="312"/>
      <c r="N9648" s="514"/>
    </row>
    <row r="9649" spans="11:14" x14ac:dyDescent="0.25">
      <c r="K9649" s="312"/>
      <c r="N9649" s="514"/>
    </row>
    <row r="9650" spans="11:14" x14ac:dyDescent="0.25">
      <c r="K9650" s="312"/>
      <c r="N9650" s="514"/>
    </row>
    <row r="9651" spans="11:14" x14ac:dyDescent="0.25">
      <c r="K9651" s="312"/>
      <c r="N9651" s="514"/>
    </row>
    <row r="9652" spans="11:14" x14ac:dyDescent="0.25">
      <c r="K9652" s="312"/>
      <c r="N9652" s="514"/>
    </row>
    <row r="9653" spans="11:14" x14ac:dyDescent="0.25">
      <c r="K9653" s="312"/>
      <c r="N9653" s="514"/>
    </row>
    <row r="9654" spans="11:14" x14ac:dyDescent="0.25">
      <c r="K9654" s="312"/>
      <c r="N9654" s="514"/>
    </row>
    <row r="9655" spans="11:14" x14ac:dyDescent="0.25">
      <c r="K9655" s="312"/>
      <c r="N9655" s="514"/>
    </row>
    <row r="9656" spans="11:14" x14ac:dyDescent="0.25">
      <c r="K9656" s="312"/>
      <c r="N9656" s="514"/>
    </row>
    <row r="9657" spans="11:14" x14ac:dyDescent="0.25">
      <c r="K9657" s="312"/>
      <c r="N9657" s="514"/>
    </row>
    <row r="9658" spans="11:14" x14ac:dyDescent="0.25">
      <c r="K9658" s="312"/>
      <c r="N9658" s="514"/>
    </row>
    <row r="9659" spans="11:14" x14ac:dyDescent="0.25">
      <c r="K9659" s="312"/>
      <c r="N9659" s="514"/>
    </row>
    <row r="9660" spans="11:14" x14ac:dyDescent="0.25">
      <c r="K9660" s="312"/>
      <c r="N9660" s="514"/>
    </row>
    <row r="9661" spans="11:14" x14ac:dyDescent="0.25">
      <c r="K9661" s="312"/>
      <c r="N9661" s="514"/>
    </row>
    <row r="9662" spans="11:14" x14ac:dyDescent="0.25">
      <c r="K9662" s="312"/>
      <c r="N9662" s="514"/>
    </row>
    <row r="9663" spans="11:14" x14ac:dyDescent="0.25">
      <c r="K9663" s="312"/>
      <c r="N9663" s="514"/>
    </row>
    <row r="9664" spans="11:14" x14ac:dyDescent="0.25">
      <c r="K9664" s="312"/>
      <c r="N9664" s="514"/>
    </row>
    <row r="9665" spans="11:14" x14ac:dyDescent="0.25">
      <c r="K9665" s="312"/>
      <c r="N9665" s="514"/>
    </row>
    <row r="9666" spans="11:14" x14ac:dyDescent="0.25">
      <c r="K9666" s="312"/>
      <c r="N9666" s="514"/>
    </row>
    <row r="9667" spans="11:14" x14ac:dyDescent="0.25">
      <c r="K9667" s="312"/>
      <c r="N9667" s="514"/>
    </row>
    <row r="9668" spans="11:14" x14ac:dyDescent="0.25">
      <c r="K9668" s="312"/>
      <c r="N9668" s="514"/>
    </row>
    <row r="9669" spans="11:14" x14ac:dyDescent="0.25">
      <c r="K9669" s="312"/>
      <c r="N9669" s="514"/>
    </row>
    <row r="9670" spans="11:14" x14ac:dyDescent="0.25">
      <c r="K9670" s="312"/>
      <c r="N9670" s="514"/>
    </row>
    <row r="9671" spans="11:14" x14ac:dyDescent="0.25">
      <c r="K9671" s="312"/>
      <c r="N9671" s="514"/>
    </row>
    <row r="9672" spans="11:14" x14ac:dyDescent="0.25">
      <c r="K9672" s="312"/>
      <c r="N9672" s="514"/>
    </row>
    <row r="9673" spans="11:14" x14ac:dyDescent="0.25">
      <c r="K9673" s="312"/>
      <c r="N9673" s="514"/>
    </row>
    <row r="9674" spans="11:14" x14ac:dyDescent="0.25">
      <c r="K9674" s="312"/>
      <c r="N9674" s="514"/>
    </row>
    <row r="9675" spans="11:14" x14ac:dyDescent="0.25">
      <c r="K9675" s="312"/>
      <c r="N9675" s="514"/>
    </row>
    <row r="9676" spans="11:14" x14ac:dyDescent="0.25">
      <c r="K9676" s="312"/>
      <c r="N9676" s="514"/>
    </row>
    <row r="9677" spans="11:14" x14ac:dyDescent="0.25">
      <c r="K9677" s="312"/>
      <c r="N9677" s="514"/>
    </row>
    <row r="9678" spans="11:14" x14ac:dyDescent="0.25">
      <c r="K9678" s="312"/>
      <c r="N9678" s="514"/>
    </row>
    <row r="9679" spans="11:14" x14ac:dyDescent="0.25">
      <c r="K9679" s="312"/>
      <c r="N9679" s="514"/>
    </row>
    <row r="9680" spans="11:14" x14ac:dyDescent="0.25">
      <c r="K9680" s="312"/>
      <c r="N9680" s="514"/>
    </row>
    <row r="9681" spans="11:14" x14ac:dyDescent="0.25">
      <c r="K9681" s="312"/>
      <c r="N9681" s="514"/>
    </row>
    <row r="9682" spans="11:14" x14ac:dyDescent="0.25">
      <c r="K9682" s="312"/>
      <c r="N9682" s="514"/>
    </row>
    <row r="9683" spans="11:14" x14ac:dyDescent="0.25">
      <c r="K9683" s="312"/>
      <c r="N9683" s="514"/>
    </row>
    <row r="9684" spans="11:14" x14ac:dyDescent="0.25">
      <c r="K9684" s="312"/>
      <c r="N9684" s="514"/>
    </row>
    <row r="9685" spans="11:14" x14ac:dyDescent="0.25">
      <c r="K9685" s="312"/>
      <c r="N9685" s="514"/>
    </row>
    <row r="9686" spans="11:14" x14ac:dyDescent="0.25">
      <c r="K9686" s="312"/>
      <c r="N9686" s="514"/>
    </row>
    <row r="9687" spans="11:14" x14ac:dyDescent="0.25">
      <c r="K9687" s="312"/>
      <c r="N9687" s="514"/>
    </row>
    <row r="9688" spans="11:14" x14ac:dyDescent="0.25">
      <c r="K9688" s="312"/>
      <c r="N9688" s="514"/>
    </row>
    <row r="9689" spans="11:14" x14ac:dyDescent="0.25">
      <c r="K9689" s="312"/>
      <c r="N9689" s="514"/>
    </row>
    <row r="9690" spans="11:14" x14ac:dyDescent="0.25">
      <c r="K9690" s="312"/>
      <c r="N9690" s="514"/>
    </row>
    <row r="9691" spans="11:14" x14ac:dyDescent="0.25">
      <c r="K9691" s="312"/>
      <c r="N9691" s="514"/>
    </row>
    <row r="9692" spans="11:14" x14ac:dyDescent="0.25">
      <c r="K9692" s="312"/>
      <c r="N9692" s="514"/>
    </row>
    <row r="9693" spans="11:14" x14ac:dyDescent="0.25">
      <c r="K9693" s="312"/>
      <c r="N9693" s="514"/>
    </row>
    <row r="9694" spans="11:14" x14ac:dyDescent="0.25">
      <c r="K9694" s="312"/>
      <c r="N9694" s="514"/>
    </row>
    <row r="9695" spans="11:14" x14ac:dyDescent="0.25">
      <c r="K9695" s="312"/>
      <c r="N9695" s="514"/>
    </row>
    <row r="9696" spans="11:14" x14ac:dyDescent="0.25">
      <c r="K9696" s="312"/>
      <c r="N9696" s="514"/>
    </row>
    <row r="9697" spans="11:14" x14ac:dyDescent="0.25">
      <c r="K9697" s="312"/>
      <c r="N9697" s="514"/>
    </row>
    <row r="9698" spans="11:14" x14ac:dyDescent="0.25">
      <c r="K9698" s="312"/>
      <c r="N9698" s="514"/>
    </row>
    <row r="9699" spans="11:14" x14ac:dyDescent="0.25">
      <c r="K9699" s="312"/>
      <c r="N9699" s="514"/>
    </row>
    <row r="9700" spans="11:14" x14ac:dyDescent="0.25">
      <c r="K9700" s="312"/>
      <c r="N9700" s="514"/>
    </row>
    <row r="9701" spans="11:14" x14ac:dyDescent="0.25">
      <c r="K9701" s="312"/>
      <c r="N9701" s="514"/>
    </row>
    <row r="9702" spans="11:14" x14ac:dyDescent="0.25">
      <c r="K9702" s="312"/>
      <c r="N9702" s="514"/>
    </row>
    <row r="9703" spans="11:14" x14ac:dyDescent="0.25">
      <c r="K9703" s="312"/>
      <c r="N9703" s="514"/>
    </row>
    <row r="9704" spans="11:14" x14ac:dyDescent="0.25">
      <c r="K9704" s="312"/>
      <c r="N9704" s="514"/>
    </row>
    <row r="9705" spans="11:14" x14ac:dyDescent="0.25">
      <c r="K9705" s="312"/>
      <c r="N9705" s="514"/>
    </row>
    <row r="9706" spans="11:14" x14ac:dyDescent="0.25">
      <c r="K9706" s="312"/>
      <c r="N9706" s="514"/>
    </row>
    <row r="9707" spans="11:14" x14ac:dyDescent="0.25">
      <c r="K9707" s="312"/>
      <c r="N9707" s="514"/>
    </row>
    <row r="9708" spans="11:14" x14ac:dyDescent="0.25">
      <c r="K9708" s="312"/>
      <c r="N9708" s="514"/>
    </row>
    <row r="9709" spans="11:14" x14ac:dyDescent="0.25">
      <c r="K9709" s="312"/>
      <c r="N9709" s="514"/>
    </row>
    <row r="9710" spans="11:14" x14ac:dyDescent="0.25">
      <c r="K9710" s="312"/>
      <c r="N9710" s="514"/>
    </row>
    <row r="9711" spans="11:14" x14ac:dyDescent="0.25">
      <c r="K9711" s="312"/>
      <c r="N9711" s="514"/>
    </row>
    <row r="9712" spans="11:14" x14ac:dyDescent="0.25">
      <c r="K9712" s="312"/>
      <c r="N9712" s="514"/>
    </row>
    <row r="9713" spans="11:14" x14ac:dyDescent="0.25">
      <c r="K9713" s="312"/>
      <c r="N9713" s="514"/>
    </row>
    <row r="9714" spans="11:14" x14ac:dyDescent="0.25">
      <c r="K9714" s="312"/>
      <c r="N9714" s="514"/>
    </row>
    <row r="9715" spans="11:14" x14ac:dyDescent="0.25">
      <c r="K9715" s="312"/>
      <c r="N9715" s="514"/>
    </row>
    <row r="9716" spans="11:14" x14ac:dyDescent="0.25">
      <c r="K9716" s="312"/>
      <c r="N9716" s="514"/>
    </row>
    <row r="9717" spans="11:14" x14ac:dyDescent="0.25">
      <c r="K9717" s="312"/>
      <c r="N9717" s="514"/>
    </row>
    <row r="9718" spans="11:14" x14ac:dyDescent="0.25">
      <c r="K9718" s="312"/>
      <c r="N9718" s="514"/>
    </row>
    <row r="9719" spans="11:14" x14ac:dyDescent="0.25">
      <c r="K9719" s="312"/>
      <c r="N9719" s="514"/>
    </row>
    <row r="9720" spans="11:14" x14ac:dyDescent="0.25">
      <c r="K9720" s="312"/>
      <c r="N9720" s="514"/>
    </row>
    <row r="9721" spans="11:14" x14ac:dyDescent="0.25">
      <c r="K9721" s="312"/>
      <c r="N9721" s="514"/>
    </row>
    <row r="9722" spans="11:14" x14ac:dyDescent="0.25">
      <c r="K9722" s="312"/>
      <c r="N9722" s="514"/>
    </row>
    <row r="9723" spans="11:14" x14ac:dyDescent="0.25">
      <c r="K9723" s="312"/>
      <c r="N9723" s="514"/>
    </row>
    <row r="9724" spans="11:14" x14ac:dyDescent="0.25">
      <c r="K9724" s="312"/>
      <c r="N9724" s="514"/>
    </row>
    <row r="9725" spans="11:14" x14ac:dyDescent="0.25">
      <c r="K9725" s="312"/>
      <c r="N9725" s="514"/>
    </row>
    <row r="9726" spans="11:14" x14ac:dyDescent="0.25">
      <c r="K9726" s="312"/>
      <c r="N9726" s="514"/>
    </row>
    <row r="9727" spans="11:14" x14ac:dyDescent="0.25">
      <c r="K9727" s="312"/>
      <c r="N9727" s="514"/>
    </row>
    <row r="9728" spans="11:14" x14ac:dyDescent="0.25">
      <c r="K9728" s="312"/>
      <c r="N9728" s="514"/>
    </row>
    <row r="9729" spans="11:14" x14ac:dyDescent="0.25">
      <c r="K9729" s="312"/>
      <c r="N9729" s="514"/>
    </row>
    <row r="9730" spans="11:14" x14ac:dyDescent="0.25">
      <c r="K9730" s="312"/>
      <c r="N9730" s="514"/>
    </row>
    <row r="9731" spans="11:14" x14ac:dyDescent="0.25">
      <c r="K9731" s="312"/>
      <c r="N9731" s="514"/>
    </row>
    <row r="9732" spans="11:14" x14ac:dyDescent="0.25">
      <c r="K9732" s="312"/>
      <c r="N9732" s="514"/>
    </row>
    <row r="9733" spans="11:14" x14ac:dyDescent="0.25">
      <c r="K9733" s="312"/>
      <c r="N9733" s="514"/>
    </row>
    <row r="9734" spans="11:14" x14ac:dyDescent="0.25">
      <c r="K9734" s="312"/>
      <c r="N9734" s="514"/>
    </row>
    <row r="9735" spans="11:14" x14ac:dyDescent="0.25">
      <c r="K9735" s="312"/>
      <c r="N9735" s="514"/>
    </row>
    <row r="9736" spans="11:14" x14ac:dyDescent="0.25">
      <c r="K9736" s="312"/>
      <c r="N9736" s="514"/>
    </row>
    <row r="9737" spans="11:14" x14ac:dyDescent="0.25">
      <c r="K9737" s="312"/>
      <c r="N9737" s="514"/>
    </row>
    <row r="9738" spans="11:14" x14ac:dyDescent="0.25">
      <c r="K9738" s="312"/>
      <c r="N9738" s="514"/>
    </row>
    <row r="9739" spans="11:14" x14ac:dyDescent="0.25">
      <c r="K9739" s="312"/>
      <c r="N9739" s="514"/>
    </row>
    <row r="9740" spans="11:14" x14ac:dyDescent="0.25">
      <c r="K9740" s="312"/>
      <c r="N9740" s="514"/>
    </row>
    <row r="9741" spans="11:14" x14ac:dyDescent="0.25">
      <c r="K9741" s="312"/>
      <c r="N9741" s="514"/>
    </row>
    <row r="9742" spans="11:14" x14ac:dyDescent="0.25">
      <c r="K9742" s="312"/>
      <c r="N9742" s="514"/>
    </row>
    <row r="9743" spans="11:14" x14ac:dyDescent="0.25">
      <c r="K9743" s="312"/>
      <c r="N9743" s="514"/>
    </row>
    <row r="9744" spans="11:14" x14ac:dyDescent="0.25">
      <c r="K9744" s="312"/>
      <c r="N9744" s="514"/>
    </row>
    <row r="9745" spans="11:14" x14ac:dyDescent="0.25">
      <c r="K9745" s="312"/>
      <c r="N9745" s="514"/>
    </row>
    <row r="9746" spans="11:14" x14ac:dyDescent="0.25">
      <c r="K9746" s="312"/>
      <c r="N9746" s="514"/>
    </row>
    <row r="9747" spans="11:14" x14ac:dyDescent="0.25">
      <c r="K9747" s="312"/>
      <c r="N9747" s="514"/>
    </row>
    <row r="9748" spans="11:14" x14ac:dyDescent="0.25">
      <c r="K9748" s="312"/>
      <c r="N9748" s="514"/>
    </row>
    <row r="9749" spans="11:14" x14ac:dyDescent="0.25">
      <c r="K9749" s="312"/>
      <c r="N9749" s="514"/>
    </row>
    <row r="9750" spans="11:14" x14ac:dyDescent="0.25">
      <c r="K9750" s="312"/>
      <c r="N9750" s="514"/>
    </row>
    <row r="9751" spans="11:14" x14ac:dyDescent="0.25">
      <c r="K9751" s="312"/>
      <c r="N9751" s="514"/>
    </row>
    <row r="9752" spans="11:14" x14ac:dyDescent="0.25">
      <c r="K9752" s="312"/>
      <c r="N9752" s="514"/>
    </row>
    <row r="9753" spans="11:14" x14ac:dyDescent="0.25">
      <c r="K9753" s="312"/>
      <c r="N9753" s="514"/>
    </row>
    <row r="9754" spans="11:14" x14ac:dyDescent="0.25">
      <c r="K9754" s="312"/>
      <c r="N9754" s="514"/>
    </row>
    <row r="9755" spans="11:14" x14ac:dyDescent="0.25">
      <c r="K9755" s="312"/>
      <c r="N9755" s="514"/>
    </row>
    <row r="9756" spans="11:14" x14ac:dyDescent="0.25">
      <c r="K9756" s="312"/>
      <c r="N9756" s="514"/>
    </row>
    <row r="9757" spans="11:14" x14ac:dyDescent="0.25">
      <c r="K9757" s="312"/>
      <c r="N9757" s="514"/>
    </row>
    <row r="9758" spans="11:14" x14ac:dyDescent="0.25">
      <c r="K9758" s="312"/>
      <c r="N9758" s="514"/>
    </row>
    <row r="9759" spans="11:14" x14ac:dyDescent="0.25">
      <c r="K9759" s="312"/>
      <c r="N9759" s="514"/>
    </row>
    <row r="9760" spans="11:14" x14ac:dyDescent="0.25">
      <c r="K9760" s="312"/>
      <c r="N9760" s="514"/>
    </row>
    <row r="9761" spans="11:14" x14ac:dyDescent="0.25">
      <c r="K9761" s="312"/>
      <c r="N9761" s="514"/>
    </row>
    <row r="9762" spans="11:14" x14ac:dyDescent="0.25">
      <c r="K9762" s="312"/>
      <c r="N9762" s="514"/>
    </row>
    <row r="9763" spans="11:14" x14ac:dyDescent="0.25">
      <c r="K9763" s="312"/>
      <c r="N9763" s="514"/>
    </row>
    <row r="9764" spans="11:14" x14ac:dyDescent="0.25">
      <c r="K9764" s="312"/>
      <c r="N9764" s="514"/>
    </row>
    <row r="9765" spans="11:14" x14ac:dyDescent="0.25">
      <c r="K9765" s="312"/>
      <c r="N9765" s="514"/>
    </row>
    <row r="9766" spans="11:14" x14ac:dyDescent="0.25">
      <c r="K9766" s="312"/>
      <c r="N9766" s="514"/>
    </row>
    <row r="9767" spans="11:14" x14ac:dyDescent="0.25">
      <c r="K9767" s="312"/>
      <c r="N9767" s="514"/>
    </row>
    <row r="9768" spans="11:14" x14ac:dyDescent="0.25">
      <c r="K9768" s="312"/>
      <c r="N9768" s="514"/>
    </row>
    <row r="9769" spans="11:14" x14ac:dyDescent="0.25">
      <c r="K9769" s="312"/>
      <c r="N9769" s="514"/>
    </row>
    <row r="9770" spans="11:14" x14ac:dyDescent="0.25">
      <c r="K9770" s="312"/>
      <c r="N9770" s="514"/>
    </row>
    <row r="9771" spans="11:14" x14ac:dyDescent="0.25">
      <c r="K9771" s="312"/>
      <c r="N9771" s="514"/>
    </row>
    <row r="9772" spans="11:14" x14ac:dyDescent="0.25">
      <c r="K9772" s="312"/>
      <c r="N9772" s="514"/>
    </row>
    <row r="9773" spans="11:14" x14ac:dyDescent="0.25">
      <c r="K9773" s="312"/>
      <c r="N9773" s="514"/>
    </row>
    <row r="9774" spans="11:14" x14ac:dyDescent="0.25">
      <c r="K9774" s="312"/>
      <c r="N9774" s="514"/>
    </row>
    <row r="9775" spans="11:14" x14ac:dyDescent="0.25">
      <c r="K9775" s="312"/>
      <c r="N9775" s="514"/>
    </row>
    <row r="9776" spans="11:14" x14ac:dyDescent="0.25">
      <c r="K9776" s="312"/>
      <c r="N9776" s="514"/>
    </row>
    <row r="9777" spans="11:14" x14ac:dyDescent="0.25">
      <c r="K9777" s="312"/>
      <c r="N9777" s="514"/>
    </row>
    <row r="9778" spans="11:14" x14ac:dyDescent="0.25">
      <c r="K9778" s="312"/>
      <c r="N9778" s="514"/>
    </row>
    <row r="9779" spans="11:14" x14ac:dyDescent="0.25">
      <c r="K9779" s="312"/>
      <c r="N9779" s="514"/>
    </row>
    <row r="9780" spans="11:14" x14ac:dyDescent="0.25">
      <c r="K9780" s="312"/>
      <c r="N9780" s="514"/>
    </row>
    <row r="9781" spans="11:14" x14ac:dyDescent="0.25">
      <c r="K9781" s="312"/>
      <c r="N9781" s="514"/>
    </row>
    <row r="9782" spans="11:14" x14ac:dyDescent="0.25">
      <c r="K9782" s="312"/>
      <c r="N9782" s="514"/>
    </row>
    <row r="9783" spans="11:14" x14ac:dyDescent="0.25">
      <c r="K9783" s="312"/>
      <c r="N9783" s="514"/>
    </row>
    <row r="9784" spans="11:14" x14ac:dyDescent="0.25">
      <c r="K9784" s="312"/>
      <c r="N9784" s="514"/>
    </row>
    <row r="9785" spans="11:14" x14ac:dyDescent="0.25">
      <c r="K9785" s="312"/>
      <c r="N9785" s="514"/>
    </row>
    <row r="9786" spans="11:14" x14ac:dyDescent="0.25">
      <c r="K9786" s="312"/>
      <c r="N9786" s="514"/>
    </row>
    <row r="9787" spans="11:14" x14ac:dyDescent="0.25">
      <c r="K9787" s="312"/>
      <c r="N9787" s="514"/>
    </row>
    <row r="9788" spans="11:14" x14ac:dyDescent="0.25">
      <c r="K9788" s="312"/>
      <c r="N9788" s="514"/>
    </row>
    <row r="9789" spans="11:14" x14ac:dyDescent="0.25">
      <c r="K9789" s="312"/>
      <c r="N9789" s="514"/>
    </row>
    <row r="9790" spans="11:14" x14ac:dyDescent="0.25">
      <c r="K9790" s="312"/>
      <c r="N9790" s="514"/>
    </row>
    <row r="9791" spans="11:14" x14ac:dyDescent="0.25">
      <c r="K9791" s="312"/>
      <c r="N9791" s="514"/>
    </row>
    <row r="9792" spans="11:14" x14ac:dyDescent="0.25">
      <c r="K9792" s="312"/>
      <c r="N9792" s="514"/>
    </row>
    <row r="9793" spans="11:14" x14ac:dyDescent="0.25">
      <c r="K9793" s="312"/>
      <c r="N9793" s="514"/>
    </row>
    <row r="9794" spans="11:14" x14ac:dyDescent="0.25">
      <c r="K9794" s="312"/>
      <c r="N9794" s="514"/>
    </row>
    <row r="9795" spans="11:14" x14ac:dyDescent="0.25">
      <c r="K9795" s="312"/>
      <c r="N9795" s="514"/>
    </row>
    <row r="9796" spans="11:14" x14ac:dyDescent="0.25">
      <c r="K9796" s="312"/>
      <c r="N9796" s="514"/>
    </row>
    <row r="9797" spans="11:14" x14ac:dyDescent="0.25">
      <c r="K9797" s="312"/>
      <c r="N9797" s="514"/>
    </row>
    <row r="9798" spans="11:14" x14ac:dyDescent="0.25">
      <c r="K9798" s="312"/>
      <c r="N9798" s="514"/>
    </row>
    <row r="9799" spans="11:14" x14ac:dyDescent="0.25">
      <c r="K9799" s="312"/>
      <c r="N9799" s="514"/>
    </row>
    <row r="9800" spans="11:14" x14ac:dyDescent="0.25">
      <c r="K9800" s="312"/>
      <c r="N9800" s="514"/>
    </row>
    <row r="9801" spans="11:14" x14ac:dyDescent="0.25">
      <c r="K9801" s="312"/>
      <c r="N9801" s="514"/>
    </row>
    <row r="9802" spans="11:14" x14ac:dyDescent="0.25">
      <c r="K9802" s="312"/>
      <c r="N9802" s="514"/>
    </row>
    <row r="9803" spans="11:14" x14ac:dyDescent="0.25">
      <c r="K9803" s="312"/>
      <c r="N9803" s="514"/>
    </row>
    <row r="9804" spans="11:14" x14ac:dyDescent="0.25">
      <c r="K9804" s="312"/>
      <c r="N9804" s="514"/>
    </row>
    <row r="9805" spans="11:14" x14ac:dyDescent="0.25">
      <c r="K9805" s="312"/>
      <c r="N9805" s="514"/>
    </row>
    <row r="9806" spans="11:14" x14ac:dyDescent="0.25">
      <c r="K9806" s="312"/>
      <c r="N9806" s="514"/>
    </row>
    <row r="9807" spans="11:14" x14ac:dyDescent="0.25">
      <c r="K9807" s="312"/>
      <c r="N9807" s="514"/>
    </row>
    <row r="9808" spans="11:14" x14ac:dyDescent="0.25">
      <c r="K9808" s="312"/>
      <c r="N9808" s="514"/>
    </row>
    <row r="9809" spans="11:14" x14ac:dyDescent="0.25">
      <c r="K9809" s="312"/>
      <c r="N9809" s="514"/>
    </row>
    <row r="9810" spans="11:14" x14ac:dyDescent="0.25">
      <c r="K9810" s="312"/>
      <c r="N9810" s="514"/>
    </row>
    <row r="9811" spans="11:14" x14ac:dyDescent="0.25">
      <c r="K9811" s="312"/>
      <c r="N9811" s="514"/>
    </row>
    <row r="9812" spans="11:14" x14ac:dyDescent="0.25">
      <c r="K9812" s="312"/>
      <c r="N9812" s="514"/>
    </row>
    <row r="9813" spans="11:14" x14ac:dyDescent="0.25">
      <c r="K9813" s="312"/>
      <c r="N9813" s="514"/>
    </row>
    <row r="9814" spans="11:14" x14ac:dyDescent="0.25">
      <c r="K9814" s="312"/>
      <c r="N9814" s="514"/>
    </row>
    <row r="9815" spans="11:14" x14ac:dyDescent="0.25">
      <c r="K9815" s="312"/>
      <c r="N9815" s="514"/>
    </row>
    <row r="9816" spans="11:14" x14ac:dyDescent="0.25">
      <c r="K9816" s="312"/>
      <c r="N9816" s="514"/>
    </row>
    <row r="9817" spans="11:14" x14ac:dyDescent="0.25">
      <c r="K9817" s="312"/>
      <c r="N9817" s="514"/>
    </row>
    <row r="9818" spans="11:14" x14ac:dyDescent="0.25">
      <c r="K9818" s="312"/>
      <c r="N9818" s="514"/>
    </row>
    <row r="9819" spans="11:14" x14ac:dyDescent="0.25">
      <c r="K9819" s="312"/>
      <c r="N9819" s="514"/>
    </row>
    <row r="9820" spans="11:14" x14ac:dyDescent="0.25">
      <c r="K9820" s="312"/>
      <c r="N9820" s="514"/>
    </row>
    <row r="9821" spans="11:14" x14ac:dyDescent="0.25">
      <c r="K9821" s="312"/>
      <c r="N9821" s="514"/>
    </row>
    <row r="9822" spans="11:14" x14ac:dyDescent="0.25">
      <c r="K9822" s="312"/>
      <c r="N9822" s="514"/>
    </row>
    <row r="9823" spans="11:14" x14ac:dyDescent="0.25">
      <c r="K9823" s="312"/>
      <c r="N9823" s="514"/>
    </row>
    <row r="9824" spans="11:14" x14ac:dyDescent="0.25">
      <c r="K9824" s="312"/>
      <c r="N9824" s="514"/>
    </row>
    <row r="9825" spans="11:14" x14ac:dyDescent="0.25">
      <c r="K9825" s="312"/>
      <c r="N9825" s="514"/>
    </row>
    <row r="9826" spans="11:14" x14ac:dyDescent="0.25">
      <c r="K9826" s="312"/>
      <c r="N9826" s="514"/>
    </row>
    <row r="9827" spans="11:14" x14ac:dyDescent="0.25">
      <c r="K9827" s="312"/>
      <c r="N9827" s="514"/>
    </row>
    <row r="9828" spans="11:14" x14ac:dyDescent="0.25">
      <c r="K9828" s="312"/>
      <c r="N9828" s="514"/>
    </row>
    <row r="9829" spans="11:14" x14ac:dyDescent="0.25">
      <c r="K9829" s="312"/>
      <c r="N9829" s="514"/>
    </row>
    <row r="9830" spans="11:14" x14ac:dyDescent="0.25">
      <c r="K9830" s="312"/>
      <c r="N9830" s="514"/>
    </row>
    <row r="9831" spans="11:14" x14ac:dyDescent="0.25">
      <c r="K9831" s="312"/>
      <c r="N9831" s="514"/>
    </row>
    <row r="9832" spans="11:14" x14ac:dyDescent="0.25">
      <c r="K9832" s="312"/>
      <c r="N9832" s="514"/>
    </row>
    <row r="9833" spans="11:14" x14ac:dyDescent="0.25">
      <c r="K9833" s="312"/>
      <c r="N9833" s="514"/>
    </row>
    <row r="9834" spans="11:14" x14ac:dyDescent="0.25">
      <c r="K9834" s="312"/>
      <c r="N9834" s="514"/>
    </row>
    <row r="9835" spans="11:14" x14ac:dyDescent="0.25">
      <c r="K9835" s="312"/>
      <c r="N9835" s="514"/>
    </row>
    <row r="9836" spans="11:14" x14ac:dyDescent="0.25">
      <c r="K9836" s="312"/>
      <c r="N9836" s="514"/>
    </row>
    <row r="9837" spans="11:14" x14ac:dyDescent="0.25">
      <c r="K9837" s="312"/>
      <c r="N9837" s="514"/>
    </row>
    <row r="9838" spans="11:14" x14ac:dyDescent="0.25">
      <c r="K9838" s="312"/>
      <c r="N9838" s="514"/>
    </row>
    <row r="9839" spans="11:14" x14ac:dyDescent="0.25">
      <c r="K9839" s="312"/>
      <c r="N9839" s="514"/>
    </row>
    <row r="9840" spans="11:14" x14ac:dyDescent="0.25">
      <c r="K9840" s="312"/>
      <c r="N9840" s="514"/>
    </row>
    <row r="9841" spans="11:14" x14ac:dyDescent="0.25">
      <c r="K9841" s="312"/>
      <c r="N9841" s="514"/>
    </row>
    <row r="9842" spans="11:14" x14ac:dyDescent="0.25">
      <c r="K9842" s="312"/>
      <c r="N9842" s="514"/>
    </row>
    <row r="9843" spans="11:14" x14ac:dyDescent="0.25">
      <c r="K9843" s="312"/>
      <c r="N9843" s="514"/>
    </row>
    <row r="9844" spans="11:14" x14ac:dyDescent="0.25">
      <c r="K9844" s="312"/>
      <c r="N9844" s="514"/>
    </row>
    <row r="9845" spans="11:14" x14ac:dyDescent="0.25">
      <c r="K9845" s="312"/>
      <c r="N9845" s="514"/>
    </row>
    <row r="9846" spans="11:14" x14ac:dyDescent="0.25">
      <c r="K9846" s="312"/>
      <c r="N9846" s="514"/>
    </row>
    <row r="9847" spans="11:14" x14ac:dyDescent="0.25">
      <c r="K9847" s="312"/>
      <c r="N9847" s="514"/>
    </row>
    <row r="9848" spans="11:14" x14ac:dyDescent="0.25">
      <c r="K9848" s="312"/>
      <c r="N9848" s="514"/>
    </row>
    <row r="9849" spans="11:14" x14ac:dyDescent="0.25">
      <c r="K9849" s="312"/>
      <c r="N9849" s="514"/>
    </row>
    <row r="9850" spans="11:14" x14ac:dyDescent="0.25">
      <c r="K9850" s="312"/>
      <c r="N9850" s="514"/>
    </row>
    <row r="9851" spans="11:14" x14ac:dyDescent="0.25">
      <c r="K9851" s="312"/>
      <c r="N9851" s="514"/>
    </row>
    <row r="9852" spans="11:14" x14ac:dyDescent="0.25">
      <c r="K9852" s="312"/>
      <c r="N9852" s="514"/>
    </row>
    <row r="9853" spans="11:14" x14ac:dyDescent="0.25">
      <c r="K9853" s="312"/>
      <c r="N9853" s="514"/>
    </row>
    <row r="9854" spans="11:14" x14ac:dyDescent="0.25">
      <c r="K9854" s="312"/>
      <c r="N9854" s="514"/>
    </row>
    <row r="9855" spans="11:14" x14ac:dyDescent="0.25">
      <c r="K9855" s="312"/>
      <c r="N9855" s="514"/>
    </row>
    <row r="9856" spans="11:14" x14ac:dyDescent="0.25">
      <c r="K9856" s="312"/>
      <c r="N9856" s="514"/>
    </row>
    <row r="9857" spans="11:14" x14ac:dyDescent="0.25">
      <c r="K9857" s="312"/>
      <c r="N9857" s="514"/>
    </row>
    <row r="9858" spans="11:14" x14ac:dyDescent="0.25">
      <c r="K9858" s="312"/>
      <c r="N9858" s="514"/>
    </row>
    <row r="9859" spans="11:14" x14ac:dyDescent="0.25">
      <c r="K9859" s="312"/>
      <c r="N9859" s="514"/>
    </row>
    <row r="9860" spans="11:14" x14ac:dyDescent="0.25">
      <c r="K9860" s="312"/>
      <c r="N9860" s="514"/>
    </row>
    <row r="9861" spans="11:14" x14ac:dyDescent="0.25">
      <c r="K9861" s="312"/>
      <c r="N9861" s="514"/>
    </row>
    <row r="9862" spans="11:14" x14ac:dyDescent="0.25">
      <c r="K9862" s="312"/>
      <c r="N9862" s="514"/>
    </row>
    <row r="9863" spans="11:14" x14ac:dyDescent="0.25">
      <c r="K9863" s="312"/>
      <c r="N9863" s="514"/>
    </row>
    <row r="9864" spans="11:14" x14ac:dyDescent="0.25">
      <c r="K9864" s="312"/>
      <c r="N9864" s="514"/>
    </row>
    <row r="9865" spans="11:14" x14ac:dyDescent="0.25">
      <c r="K9865" s="312"/>
      <c r="N9865" s="514"/>
    </row>
    <row r="9866" spans="11:14" x14ac:dyDescent="0.25">
      <c r="K9866" s="312"/>
      <c r="N9866" s="514"/>
    </row>
    <row r="9867" spans="11:14" x14ac:dyDescent="0.25">
      <c r="K9867" s="312"/>
      <c r="N9867" s="514"/>
    </row>
    <row r="9868" spans="11:14" x14ac:dyDescent="0.25">
      <c r="K9868" s="312"/>
      <c r="N9868" s="514"/>
    </row>
    <row r="9869" spans="11:14" x14ac:dyDescent="0.25">
      <c r="K9869" s="312"/>
      <c r="N9869" s="514"/>
    </row>
    <row r="9870" spans="11:14" x14ac:dyDescent="0.25">
      <c r="K9870" s="312"/>
      <c r="N9870" s="514"/>
    </row>
    <row r="9871" spans="11:14" x14ac:dyDescent="0.25">
      <c r="K9871" s="312"/>
      <c r="N9871" s="514"/>
    </row>
    <row r="9872" spans="11:14" x14ac:dyDescent="0.25">
      <c r="K9872" s="312"/>
      <c r="N9872" s="514"/>
    </row>
    <row r="9873" spans="11:14" x14ac:dyDescent="0.25">
      <c r="K9873" s="312"/>
      <c r="N9873" s="514"/>
    </row>
    <row r="9874" spans="11:14" x14ac:dyDescent="0.25">
      <c r="K9874" s="312"/>
      <c r="N9874" s="514"/>
    </row>
    <row r="9875" spans="11:14" x14ac:dyDescent="0.25">
      <c r="K9875" s="312"/>
      <c r="N9875" s="514"/>
    </row>
    <row r="9876" spans="11:14" x14ac:dyDescent="0.25">
      <c r="K9876" s="312"/>
      <c r="N9876" s="514"/>
    </row>
    <row r="9877" spans="11:14" x14ac:dyDescent="0.25">
      <c r="K9877" s="312"/>
      <c r="N9877" s="514"/>
    </row>
    <row r="9878" spans="11:14" x14ac:dyDescent="0.25">
      <c r="K9878" s="312"/>
      <c r="N9878" s="514"/>
    </row>
    <row r="9879" spans="11:14" x14ac:dyDescent="0.25">
      <c r="K9879" s="312"/>
      <c r="N9879" s="514"/>
    </row>
    <row r="9880" spans="11:14" x14ac:dyDescent="0.25">
      <c r="K9880" s="312"/>
      <c r="N9880" s="514"/>
    </row>
    <row r="9881" spans="11:14" x14ac:dyDescent="0.25">
      <c r="K9881" s="312"/>
      <c r="N9881" s="514"/>
    </row>
    <row r="9882" spans="11:14" x14ac:dyDescent="0.25">
      <c r="K9882" s="312"/>
      <c r="N9882" s="514"/>
    </row>
    <row r="9883" spans="11:14" x14ac:dyDescent="0.25">
      <c r="K9883" s="312"/>
      <c r="N9883" s="514"/>
    </row>
    <row r="9884" spans="11:14" x14ac:dyDescent="0.25">
      <c r="K9884" s="312"/>
      <c r="N9884" s="514"/>
    </row>
    <row r="9885" spans="11:14" x14ac:dyDescent="0.25">
      <c r="K9885" s="312"/>
      <c r="N9885" s="514"/>
    </row>
    <row r="9886" spans="11:14" x14ac:dyDescent="0.25">
      <c r="K9886" s="312"/>
      <c r="N9886" s="514"/>
    </row>
    <row r="9887" spans="11:14" x14ac:dyDescent="0.25">
      <c r="K9887" s="312"/>
      <c r="N9887" s="514"/>
    </row>
    <row r="9888" spans="11:14" x14ac:dyDescent="0.25">
      <c r="K9888" s="312"/>
      <c r="N9888" s="514"/>
    </row>
    <row r="9889" spans="11:14" x14ac:dyDescent="0.25">
      <c r="K9889" s="312"/>
      <c r="N9889" s="514"/>
    </row>
    <row r="9890" spans="11:14" x14ac:dyDescent="0.25">
      <c r="K9890" s="312"/>
      <c r="N9890" s="514"/>
    </row>
    <row r="9891" spans="11:14" x14ac:dyDescent="0.25">
      <c r="K9891" s="312"/>
      <c r="N9891" s="514"/>
    </row>
    <row r="9892" spans="11:14" x14ac:dyDescent="0.25">
      <c r="K9892" s="312"/>
      <c r="N9892" s="514"/>
    </row>
    <row r="9893" spans="11:14" x14ac:dyDescent="0.25">
      <c r="K9893" s="312"/>
      <c r="N9893" s="514"/>
    </row>
    <row r="9894" spans="11:14" x14ac:dyDescent="0.25">
      <c r="K9894" s="312"/>
      <c r="N9894" s="514"/>
    </row>
    <row r="9895" spans="11:14" x14ac:dyDescent="0.25">
      <c r="K9895" s="312"/>
      <c r="N9895" s="514"/>
    </row>
    <row r="9896" spans="11:14" x14ac:dyDescent="0.25">
      <c r="K9896" s="312"/>
      <c r="N9896" s="514"/>
    </row>
    <row r="9897" spans="11:14" x14ac:dyDescent="0.25">
      <c r="K9897" s="312"/>
      <c r="N9897" s="514"/>
    </row>
    <row r="9898" spans="11:14" x14ac:dyDescent="0.25">
      <c r="K9898" s="312"/>
      <c r="N9898" s="514"/>
    </row>
    <row r="9899" spans="11:14" x14ac:dyDescent="0.25">
      <c r="K9899" s="312"/>
      <c r="N9899" s="514"/>
    </row>
    <row r="9900" spans="11:14" x14ac:dyDescent="0.25">
      <c r="K9900" s="312"/>
      <c r="N9900" s="514"/>
    </row>
    <row r="9901" spans="11:14" x14ac:dyDescent="0.25">
      <c r="K9901" s="312"/>
      <c r="N9901" s="514"/>
    </row>
    <row r="9902" spans="11:14" x14ac:dyDescent="0.25">
      <c r="K9902" s="312"/>
      <c r="N9902" s="514"/>
    </row>
    <row r="9903" spans="11:14" x14ac:dyDescent="0.25">
      <c r="K9903" s="312"/>
      <c r="N9903" s="514"/>
    </row>
    <row r="9904" spans="11:14" x14ac:dyDescent="0.25">
      <c r="K9904" s="312"/>
      <c r="N9904" s="514"/>
    </row>
    <row r="9905" spans="11:14" x14ac:dyDescent="0.25">
      <c r="K9905" s="312"/>
      <c r="N9905" s="514"/>
    </row>
    <row r="9906" spans="11:14" x14ac:dyDescent="0.25">
      <c r="K9906" s="312"/>
      <c r="N9906" s="514"/>
    </row>
    <row r="9907" spans="11:14" x14ac:dyDescent="0.25">
      <c r="K9907" s="312"/>
      <c r="N9907" s="514"/>
    </row>
    <row r="9908" spans="11:14" x14ac:dyDescent="0.25">
      <c r="K9908" s="312"/>
      <c r="N9908" s="514"/>
    </row>
    <row r="9909" spans="11:14" x14ac:dyDescent="0.25">
      <c r="K9909" s="312"/>
      <c r="N9909" s="514"/>
    </row>
    <row r="9910" spans="11:14" x14ac:dyDescent="0.25">
      <c r="K9910" s="312"/>
      <c r="N9910" s="514"/>
    </row>
    <row r="9911" spans="11:14" x14ac:dyDescent="0.25">
      <c r="K9911" s="312"/>
      <c r="N9911" s="514"/>
    </row>
    <row r="9912" spans="11:14" x14ac:dyDescent="0.25">
      <c r="K9912" s="312"/>
      <c r="N9912" s="514"/>
    </row>
    <row r="9913" spans="11:14" x14ac:dyDescent="0.25">
      <c r="K9913" s="312"/>
      <c r="N9913" s="514"/>
    </row>
    <row r="9914" spans="11:14" x14ac:dyDescent="0.25">
      <c r="K9914" s="312"/>
      <c r="N9914" s="514"/>
    </row>
    <row r="9915" spans="11:14" x14ac:dyDescent="0.25">
      <c r="K9915" s="312"/>
      <c r="N9915" s="514"/>
    </row>
    <row r="9916" spans="11:14" x14ac:dyDescent="0.25">
      <c r="K9916" s="312"/>
      <c r="N9916" s="514"/>
    </row>
    <row r="9917" spans="11:14" x14ac:dyDescent="0.25">
      <c r="K9917" s="312"/>
      <c r="N9917" s="514"/>
    </row>
    <row r="9918" spans="11:14" x14ac:dyDescent="0.25">
      <c r="K9918" s="312"/>
      <c r="N9918" s="514"/>
    </row>
    <row r="9919" spans="11:14" x14ac:dyDescent="0.25">
      <c r="K9919" s="312"/>
      <c r="N9919" s="514"/>
    </row>
    <row r="9920" spans="11:14" x14ac:dyDescent="0.25">
      <c r="K9920" s="312"/>
      <c r="N9920" s="514"/>
    </row>
    <row r="9921" spans="11:14" x14ac:dyDescent="0.25">
      <c r="K9921" s="312"/>
      <c r="N9921" s="514"/>
    </row>
    <row r="9922" spans="11:14" x14ac:dyDescent="0.25">
      <c r="K9922" s="312"/>
      <c r="N9922" s="514"/>
    </row>
    <row r="9923" spans="11:14" x14ac:dyDescent="0.25">
      <c r="K9923" s="312"/>
      <c r="N9923" s="514"/>
    </row>
    <row r="9924" spans="11:14" x14ac:dyDescent="0.25">
      <c r="K9924" s="312"/>
      <c r="N9924" s="514"/>
    </row>
    <row r="9925" spans="11:14" x14ac:dyDescent="0.25">
      <c r="K9925" s="312"/>
      <c r="N9925" s="514"/>
    </row>
    <row r="9926" spans="11:14" x14ac:dyDescent="0.25">
      <c r="K9926" s="312"/>
      <c r="N9926" s="514"/>
    </row>
    <row r="9927" spans="11:14" x14ac:dyDescent="0.25">
      <c r="K9927" s="312"/>
      <c r="N9927" s="514"/>
    </row>
    <row r="9928" spans="11:14" x14ac:dyDescent="0.25">
      <c r="K9928" s="312"/>
      <c r="N9928" s="514"/>
    </row>
    <row r="9929" spans="11:14" x14ac:dyDescent="0.25">
      <c r="K9929" s="312"/>
      <c r="N9929" s="514"/>
    </row>
    <row r="9930" spans="11:14" x14ac:dyDescent="0.25">
      <c r="K9930" s="312"/>
      <c r="N9930" s="514"/>
    </row>
    <row r="9931" spans="11:14" x14ac:dyDescent="0.25">
      <c r="K9931" s="312"/>
      <c r="N9931" s="514"/>
    </row>
    <row r="9932" spans="11:14" x14ac:dyDescent="0.25">
      <c r="K9932" s="312"/>
      <c r="N9932" s="514"/>
    </row>
    <row r="9933" spans="11:14" x14ac:dyDescent="0.25">
      <c r="K9933" s="312"/>
      <c r="N9933" s="514"/>
    </row>
    <row r="9934" spans="11:14" x14ac:dyDescent="0.25">
      <c r="K9934" s="312"/>
      <c r="N9934" s="514"/>
    </row>
    <row r="9935" spans="11:14" x14ac:dyDescent="0.25">
      <c r="K9935" s="312"/>
      <c r="N9935" s="514"/>
    </row>
    <row r="9936" spans="11:14" x14ac:dyDescent="0.25">
      <c r="K9936" s="312"/>
      <c r="N9936" s="514"/>
    </row>
    <row r="9937" spans="11:14" x14ac:dyDescent="0.25">
      <c r="K9937" s="312"/>
      <c r="N9937" s="514"/>
    </row>
    <row r="9938" spans="11:14" x14ac:dyDescent="0.25">
      <c r="K9938" s="312"/>
      <c r="N9938" s="514"/>
    </row>
    <row r="9939" spans="11:14" x14ac:dyDescent="0.25">
      <c r="K9939" s="312"/>
      <c r="N9939" s="514"/>
    </row>
    <row r="9940" spans="11:14" x14ac:dyDescent="0.25">
      <c r="K9940" s="312"/>
      <c r="N9940" s="514"/>
    </row>
    <row r="9941" spans="11:14" x14ac:dyDescent="0.25">
      <c r="K9941" s="312"/>
      <c r="N9941" s="514"/>
    </row>
    <row r="9942" spans="11:14" x14ac:dyDescent="0.25">
      <c r="K9942" s="312"/>
      <c r="N9942" s="514"/>
    </row>
    <row r="9943" spans="11:14" x14ac:dyDescent="0.25">
      <c r="K9943" s="312"/>
      <c r="N9943" s="514"/>
    </row>
    <row r="9944" spans="11:14" x14ac:dyDescent="0.25">
      <c r="K9944" s="312"/>
      <c r="N9944" s="514"/>
    </row>
    <row r="9945" spans="11:14" x14ac:dyDescent="0.25">
      <c r="K9945" s="312"/>
      <c r="N9945" s="514"/>
    </row>
    <row r="9946" spans="11:14" x14ac:dyDescent="0.25">
      <c r="K9946" s="312"/>
      <c r="N9946" s="514"/>
    </row>
    <row r="9947" spans="11:14" x14ac:dyDescent="0.25">
      <c r="K9947" s="312"/>
      <c r="N9947" s="514"/>
    </row>
    <row r="9948" spans="11:14" x14ac:dyDescent="0.25">
      <c r="K9948" s="312"/>
      <c r="N9948" s="514"/>
    </row>
    <row r="9949" spans="11:14" x14ac:dyDescent="0.25">
      <c r="K9949" s="312"/>
      <c r="N9949" s="514"/>
    </row>
    <row r="9950" spans="11:14" x14ac:dyDescent="0.25">
      <c r="K9950" s="312"/>
      <c r="N9950" s="514"/>
    </row>
    <row r="9951" spans="11:14" x14ac:dyDescent="0.25">
      <c r="K9951" s="312"/>
      <c r="N9951" s="514"/>
    </row>
    <row r="9952" spans="11:14" x14ac:dyDescent="0.25">
      <c r="K9952" s="312"/>
      <c r="N9952" s="514"/>
    </row>
    <row r="9953" spans="11:14" x14ac:dyDescent="0.25">
      <c r="K9953" s="312"/>
      <c r="N9953" s="514"/>
    </row>
    <row r="9954" spans="11:14" x14ac:dyDescent="0.25">
      <c r="K9954" s="312"/>
      <c r="N9954" s="514"/>
    </row>
    <row r="9955" spans="11:14" x14ac:dyDescent="0.25">
      <c r="K9955" s="312"/>
      <c r="N9955" s="514"/>
    </row>
    <row r="9956" spans="11:14" x14ac:dyDescent="0.25">
      <c r="K9956" s="312"/>
      <c r="N9956" s="514"/>
    </row>
    <row r="9957" spans="11:14" x14ac:dyDescent="0.25">
      <c r="K9957" s="312"/>
      <c r="N9957" s="514"/>
    </row>
    <row r="9958" spans="11:14" x14ac:dyDescent="0.25">
      <c r="K9958" s="312"/>
      <c r="N9958" s="514"/>
    </row>
    <row r="9959" spans="11:14" x14ac:dyDescent="0.25">
      <c r="K9959" s="312"/>
      <c r="N9959" s="514"/>
    </row>
    <row r="9960" spans="11:14" x14ac:dyDescent="0.25">
      <c r="K9960" s="312"/>
      <c r="N9960" s="514"/>
    </row>
    <row r="9961" spans="11:14" x14ac:dyDescent="0.25">
      <c r="K9961" s="312"/>
      <c r="N9961" s="514"/>
    </row>
    <row r="9962" spans="11:14" x14ac:dyDescent="0.25">
      <c r="K9962" s="312"/>
      <c r="N9962" s="514"/>
    </row>
    <row r="9963" spans="11:14" x14ac:dyDescent="0.25">
      <c r="K9963" s="312"/>
      <c r="N9963" s="514"/>
    </row>
    <row r="9964" spans="11:14" x14ac:dyDescent="0.25">
      <c r="K9964" s="312"/>
      <c r="N9964" s="514"/>
    </row>
    <row r="9965" spans="11:14" x14ac:dyDescent="0.25">
      <c r="K9965" s="312"/>
      <c r="N9965" s="514"/>
    </row>
    <row r="9966" spans="11:14" x14ac:dyDescent="0.25">
      <c r="K9966" s="312"/>
      <c r="N9966" s="514"/>
    </row>
    <row r="9967" spans="11:14" x14ac:dyDescent="0.25">
      <c r="K9967" s="312"/>
      <c r="N9967" s="514"/>
    </row>
    <row r="9968" spans="11:14" x14ac:dyDescent="0.25">
      <c r="K9968" s="312"/>
      <c r="N9968" s="514"/>
    </row>
    <row r="9969" spans="11:14" x14ac:dyDescent="0.25">
      <c r="K9969" s="312"/>
      <c r="N9969" s="514"/>
    </row>
    <row r="9970" spans="11:14" x14ac:dyDescent="0.25">
      <c r="K9970" s="312"/>
      <c r="N9970" s="514"/>
    </row>
    <row r="9971" spans="11:14" x14ac:dyDescent="0.25">
      <c r="K9971" s="312"/>
      <c r="N9971" s="514"/>
    </row>
    <row r="9972" spans="11:14" x14ac:dyDescent="0.25">
      <c r="K9972" s="312"/>
      <c r="N9972" s="514"/>
    </row>
    <row r="9973" spans="11:14" x14ac:dyDescent="0.25">
      <c r="K9973" s="312"/>
      <c r="N9973" s="514"/>
    </row>
    <row r="9974" spans="11:14" x14ac:dyDescent="0.25">
      <c r="K9974" s="312"/>
      <c r="N9974" s="514"/>
    </row>
    <row r="9975" spans="11:14" x14ac:dyDescent="0.25">
      <c r="K9975" s="312"/>
      <c r="N9975" s="514"/>
    </row>
    <row r="9976" spans="11:14" x14ac:dyDescent="0.25">
      <c r="K9976" s="312"/>
      <c r="N9976" s="514"/>
    </row>
    <row r="9977" spans="11:14" x14ac:dyDescent="0.25">
      <c r="K9977" s="312"/>
      <c r="N9977" s="514"/>
    </row>
    <row r="9978" spans="11:14" x14ac:dyDescent="0.25">
      <c r="K9978" s="312"/>
      <c r="N9978" s="514"/>
    </row>
    <row r="9979" spans="11:14" x14ac:dyDescent="0.25">
      <c r="K9979" s="312"/>
      <c r="N9979" s="514"/>
    </row>
    <row r="9980" spans="11:14" x14ac:dyDescent="0.25">
      <c r="K9980" s="312"/>
      <c r="N9980" s="514"/>
    </row>
    <row r="9981" spans="11:14" x14ac:dyDescent="0.25">
      <c r="K9981" s="312"/>
      <c r="N9981" s="514"/>
    </row>
    <row r="9982" spans="11:14" x14ac:dyDescent="0.25">
      <c r="K9982" s="312"/>
      <c r="N9982" s="514"/>
    </row>
    <row r="9983" spans="11:14" x14ac:dyDescent="0.25">
      <c r="K9983" s="312"/>
      <c r="N9983" s="514"/>
    </row>
    <row r="9984" spans="11:14" x14ac:dyDescent="0.25">
      <c r="K9984" s="312"/>
      <c r="N9984" s="514"/>
    </row>
    <row r="9985" spans="11:14" x14ac:dyDescent="0.25">
      <c r="K9985" s="312"/>
      <c r="N9985" s="514"/>
    </row>
    <row r="9986" spans="11:14" x14ac:dyDescent="0.25">
      <c r="K9986" s="312"/>
      <c r="N9986" s="514"/>
    </row>
    <row r="9987" spans="11:14" x14ac:dyDescent="0.25">
      <c r="K9987" s="312"/>
      <c r="N9987" s="514"/>
    </row>
    <row r="9988" spans="11:14" x14ac:dyDescent="0.25">
      <c r="K9988" s="312"/>
      <c r="N9988" s="514"/>
    </row>
    <row r="9989" spans="11:14" x14ac:dyDescent="0.25">
      <c r="K9989" s="312"/>
      <c r="N9989" s="514"/>
    </row>
    <row r="9990" spans="11:14" x14ac:dyDescent="0.25">
      <c r="K9990" s="312"/>
      <c r="N9990" s="514"/>
    </row>
    <row r="9991" spans="11:14" x14ac:dyDescent="0.25">
      <c r="K9991" s="312"/>
      <c r="N9991" s="514"/>
    </row>
    <row r="9992" spans="11:14" x14ac:dyDescent="0.25">
      <c r="K9992" s="312"/>
      <c r="N9992" s="514"/>
    </row>
    <row r="9993" spans="11:14" x14ac:dyDescent="0.25">
      <c r="K9993" s="312"/>
      <c r="N9993" s="514"/>
    </row>
    <row r="9994" spans="11:14" x14ac:dyDescent="0.25">
      <c r="K9994" s="312"/>
      <c r="N9994" s="514"/>
    </row>
    <row r="9995" spans="11:14" x14ac:dyDescent="0.25">
      <c r="K9995" s="312"/>
      <c r="N9995" s="514"/>
    </row>
    <row r="9996" spans="11:14" x14ac:dyDescent="0.25">
      <c r="K9996" s="312"/>
      <c r="N9996" s="514"/>
    </row>
    <row r="9997" spans="11:14" x14ac:dyDescent="0.25">
      <c r="K9997" s="312"/>
      <c r="N9997" s="514"/>
    </row>
    <row r="9998" spans="11:14" x14ac:dyDescent="0.25">
      <c r="K9998" s="312"/>
      <c r="N9998" s="514"/>
    </row>
    <row r="9999" spans="11:14" x14ac:dyDescent="0.25">
      <c r="K9999" s="312"/>
      <c r="N9999" s="514"/>
    </row>
    <row r="10000" spans="11:14" x14ac:dyDescent="0.25">
      <c r="K10000" s="312"/>
      <c r="N10000" s="514"/>
    </row>
    <row r="10001" spans="11:14" x14ac:dyDescent="0.25">
      <c r="K10001" s="312"/>
      <c r="N10001" s="514"/>
    </row>
    <row r="10002" spans="11:14" x14ac:dyDescent="0.25">
      <c r="K10002" s="312"/>
      <c r="N10002" s="514"/>
    </row>
    <row r="10003" spans="11:14" x14ac:dyDescent="0.25">
      <c r="K10003" s="312"/>
      <c r="N10003" s="514"/>
    </row>
    <row r="10004" spans="11:14" x14ac:dyDescent="0.25">
      <c r="K10004" s="312"/>
      <c r="N10004" s="514"/>
    </row>
    <row r="10005" spans="11:14" x14ac:dyDescent="0.25">
      <c r="K10005" s="312"/>
      <c r="N10005" s="514"/>
    </row>
    <row r="10006" spans="11:14" x14ac:dyDescent="0.25">
      <c r="K10006" s="312"/>
      <c r="N10006" s="514"/>
    </row>
    <row r="10007" spans="11:14" x14ac:dyDescent="0.25">
      <c r="K10007" s="312"/>
      <c r="N10007" s="514"/>
    </row>
    <row r="10008" spans="11:14" x14ac:dyDescent="0.25">
      <c r="K10008" s="312"/>
      <c r="N10008" s="514"/>
    </row>
    <row r="10009" spans="11:14" x14ac:dyDescent="0.25">
      <c r="K10009" s="312"/>
      <c r="N10009" s="514"/>
    </row>
    <row r="10010" spans="11:14" x14ac:dyDescent="0.25">
      <c r="K10010" s="312"/>
      <c r="N10010" s="514"/>
    </row>
    <row r="10011" spans="11:14" x14ac:dyDescent="0.25">
      <c r="K10011" s="312"/>
      <c r="N10011" s="514"/>
    </row>
    <row r="10012" spans="11:14" x14ac:dyDescent="0.25">
      <c r="K10012" s="312"/>
      <c r="N10012" s="514"/>
    </row>
    <row r="10013" spans="11:14" x14ac:dyDescent="0.25">
      <c r="K10013" s="312"/>
      <c r="N10013" s="514"/>
    </row>
    <row r="10014" spans="11:14" x14ac:dyDescent="0.25">
      <c r="K10014" s="312"/>
      <c r="N10014" s="514"/>
    </row>
    <row r="10015" spans="11:14" x14ac:dyDescent="0.25">
      <c r="K10015" s="312"/>
      <c r="N10015" s="514"/>
    </row>
    <row r="10016" spans="11:14" x14ac:dyDescent="0.25">
      <c r="K10016" s="312"/>
      <c r="N10016" s="514"/>
    </row>
    <row r="10017" spans="11:14" x14ac:dyDescent="0.25">
      <c r="K10017" s="312"/>
      <c r="N10017" s="514"/>
    </row>
    <row r="10018" spans="11:14" x14ac:dyDescent="0.25">
      <c r="K10018" s="312"/>
      <c r="N10018" s="514"/>
    </row>
    <row r="10019" spans="11:14" x14ac:dyDescent="0.25">
      <c r="K10019" s="312"/>
      <c r="N10019" s="514"/>
    </row>
    <row r="10020" spans="11:14" x14ac:dyDescent="0.25">
      <c r="K10020" s="312"/>
      <c r="N10020" s="514"/>
    </row>
    <row r="10021" spans="11:14" x14ac:dyDescent="0.25">
      <c r="K10021" s="312"/>
      <c r="N10021" s="514"/>
    </row>
    <row r="10022" spans="11:14" x14ac:dyDescent="0.25">
      <c r="K10022" s="312"/>
      <c r="N10022" s="514"/>
    </row>
    <row r="10023" spans="11:14" x14ac:dyDescent="0.25">
      <c r="K10023" s="312"/>
      <c r="N10023" s="514"/>
    </row>
    <row r="10024" spans="11:14" x14ac:dyDescent="0.25">
      <c r="K10024" s="312"/>
      <c r="N10024" s="514"/>
    </row>
    <row r="10025" spans="11:14" x14ac:dyDescent="0.25">
      <c r="K10025" s="312"/>
      <c r="N10025" s="514"/>
    </row>
    <row r="10026" spans="11:14" x14ac:dyDescent="0.25">
      <c r="K10026" s="312"/>
      <c r="N10026" s="514"/>
    </row>
    <row r="10027" spans="11:14" x14ac:dyDescent="0.25">
      <c r="K10027" s="312"/>
      <c r="N10027" s="514"/>
    </row>
    <row r="10028" spans="11:14" x14ac:dyDescent="0.25">
      <c r="K10028" s="312"/>
      <c r="N10028" s="514"/>
    </row>
    <row r="10029" spans="11:14" x14ac:dyDescent="0.25">
      <c r="K10029" s="312"/>
      <c r="N10029" s="514"/>
    </row>
    <row r="10030" spans="11:14" x14ac:dyDescent="0.25">
      <c r="K10030" s="312"/>
      <c r="N10030" s="514"/>
    </row>
    <row r="10031" spans="11:14" x14ac:dyDescent="0.25">
      <c r="K10031" s="312"/>
      <c r="N10031" s="514"/>
    </row>
    <row r="10032" spans="11:14" x14ac:dyDescent="0.25">
      <c r="K10032" s="312"/>
      <c r="N10032" s="514"/>
    </row>
    <row r="10033" spans="11:14" x14ac:dyDescent="0.25">
      <c r="K10033" s="312"/>
      <c r="N10033" s="514"/>
    </row>
    <row r="10034" spans="11:14" x14ac:dyDescent="0.25">
      <c r="K10034" s="312"/>
      <c r="N10034" s="514"/>
    </row>
    <row r="10035" spans="11:14" x14ac:dyDescent="0.25">
      <c r="K10035" s="312"/>
      <c r="N10035" s="514"/>
    </row>
    <row r="10036" spans="11:14" x14ac:dyDescent="0.25">
      <c r="K10036" s="312"/>
      <c r="N10036" s="514"/>
    </row>
    <row r="10037" spans="11:14" x14ac:dyDescent="0.25">
      <c r="K10037" s="312"/>
      <c r="N10037" s="514"/>
    </row>
    <row r="10038" spans="11:14" x14ac:dyDescent="0.25">
      <c r="K10038" s="312"/>
      <c r="N10038" s="514"/>
    </row>
    <row r="10039" spans="11:14" x14ac:dyDescent="0.25">
      <c r="K10039" s="312"/>
      <c r="N10039" s="514"/>
    </row>
    <row r="10040" spans="11:14" x14ac:dyDescent="0.25">
      <c r="K10040" s="312"/>
      <c r="N10040" s="514"/>
    </row>
    <row r="10041" spans="11:14" x14ac:dyDescent="0.25">
      <c r="K10041" s="312"/>
      <c r="N10041" s="514"/>
    </row>
    <row r="10042" spans="11:14" x14ac:dyDescent="0.25">
      <c r="K10042" s="312"/>
      <c r="N10042" s="514"/>
    </row>
    <row r="10043" spans="11:14" x14ac:dyDescent="0.25">
      <c r="K10043" s="312"/>
      <c r="N10043" s="514"/>
    </row>
    <row r="10044" spans="11:14" x14ac:dyDescent="0.25">
      <c r="K10044" s="312"/>
      <c r="N10044" s="514"/>
    </row>
    <row r="10045" spans="11:14" x14ac:dyDescent="0.25">
      <c r="K10045" s="312"/>
      <c r="N10045" s="514"/>
    </row>
    <row r="10046" spans="11:14" x14ac:dyDescent="0.25">
      <c r="K10046" s="312"/>
      <c r="N10046" s="514"/>
    </row>
    <row r="10047" spans="11:14" x14ac:dyDescent="0.25">
      <c r="K10047" s="312"/>
      <c r="N10047" s="514"/>
    </row>
    <row r="10048" spans="11:14" x14ac:dyDescent="0.25">
      <c r="K10048" s="312"/>
      <c r="N10048" s="514"/>
    </row>
    <row r="10049" spans="11:14" x14ac:dyDescent="0.25">
      <c r="K10049" s="312"/>
      <c r="N10049" s="514"/>
    </row>
    <row r="10050" spans="11:14" x14ac:dyDescent="0.25">
      <c r="K10050" s="312"/>
      <c r="N10050" s="514"/>
    </row>
    <row r="10051" spans="11:14" x14ac:dyDescent="0.25">
      <c r="K10051" s="312"/>
      <c r="N10051" s="514"/>
    </row>
    <row r="10052" spans="11:14" x14ac:dyDescent="0.25">
      <c r="K10052" s="312"/>
      <c r="N10052" s="514"/>
    </row>
    <row r="10053" spans="11:14" x14ac:dyDescent="0.25">
      <c r="K10053" s="312"/>
      <c r="N10053" s="514"/>
    </row>
    <row r="10054" spans="11:14" x14ac:dyDescent="0.25">
      <c r="K10054" s="312"/>
      <c r="N10054" s="514"/>
    </row>
    <row r="10055" spans="11:14" x14ac:dyDescent="0.25">
      <c r="K10055" s="312"/>
      <c r="N10055" s="514"/>
    </row>
    <row r="10056" spans="11:14" x14ac:dyDescent="0.25">
      <c r="K10056" s="312"/>
      <c r="N10056" s="514"/>
    </row>
    <row r="10057" spans="11:14" x14ac:dyDescent="0.25">
      <c r="K10057" s="312"/>
      <c r="N10057" s="514"/>
    </row>
    <row r="10058" spans="11:14" x14ac:dyDescent="0.25">
      <c r="K10058" s="312"/>
      <c r="N10058" s="514"/>
    </row>
    <row r="10059" spans="11:14" x14ac:dyDescent="0.25">
      <c r="K10059" s="312"/>
      <c r="N10059" s="514"/>
    </row>
    <row r="10060" spans="11:14" x14ac:dyDescent="0.25">
      <c r="K10060" s="312"/>
      <c r="N10060" s="514"/>
    </row>
    <row r="10061" spans="11:14" x14ac:dyDescent="0.25">
      <c r="K10061" s="312"/>
      <c r="N10061" s="514"/>
    </row>
    <row r="10062" spans="11:14" x14ac:dyDescent="0.25">
      <c r="K10062" s="312"/>
      <c r="N10062" s="514"/>
    </row>
    <row r="10063" spans="11:14" x14ac:dyDescent="0.25">
      <c r="K10063" s="312"/>
      <c r="N10063" s="514"/>
    </row>
    <row r="10064" spans="11:14" x14ac:dyDescent="0.25">
      <c r="K10064" s="312"/>
      <c r="N10064" s="514"/>
    </row>
    <row r="10065" spans="11:14" x14ac:dyDescent="0.25">
      <c r="K10065" s="312"/>
      <c r="N10065" s="514"/>
    </row>
    <row r="10066" spans="11:14" x14ac:dyDescent="0.25">
      <c r="K10066" s="312"/>
      <c r="N10066" s="514"/>
    </row>
    <row r="10067" spans="11:14" x14ac:dyDescent="0.25">
      <c r="K10067" s="312"/>
      <c r="N10067" s="514"/>
    </row>
    <row r="10068" spans="11:14" x14ac:dyDescent="0.25">
      <c r="K10068" s="312"/>
      <c r="N10068" s="514"/>
    </row>
    <row r="10069" spans="11:14" x14ac:dyDescent="0.25">
      <c r="K10069" s="312"/>
      <c r="N10069" s="514"/>
    </row>
    <row r="10070" spans="11:14" x14ac:dyDescent="0.25">
      <c r="K10070" s="312"/>
      <c r="N10070" s="514"/>
    </row>
    <row r="10071" spans="11:14" x14ac:dyDescent="0.25">
      <c r="K10071" s="312"/>
      <c r="N10071" s="514"/>
    </row>
    <row r="10072" spans="11:14" x14ac:dyDescent="0.25">
      <c r="K10072" s="312"/>
      <c r="N10072" s="514"/>
    </row>
    <row r="10073" spans="11:14" x14ac:dyDescent="0.25">
      <c r="K10073" s="312"/>
      <c r="N10073" s="514"/>
    </row>
    <row r="10074" spans="11:14" x14ac:dyDescent="0.25">
      <c r="K10074" s="312"/>
      <c r="N10074" s="514"/>
    </row>
    <row r="10075" spans="11:14" x14ac:dyDescent="0.25">
      <c r="K10075" s="312"/>
      <c r="N10075" s="514"/>
    </row>
    <row r="10076" spans="11:14" x14ac:dyDescent="0.25">
      <c r="K10076" s="312"/>
      <c r="N10076" s="514"/>
    </row>
    <row r="10077" spans="11:14" x14ac:dyDescent="0.25">
      <c r="K10077" s="312"/>
      <c r="N10077" s="514"/>
    </row>
    <row r="10078" spans="11:14" x14ac:dyDescent="0.25">
      <c r="K10078" s="312"/>
      <c r="N10078" s="514"/>
    </row>
    <row r="10079" spans="11:14" x14ac:dyDescent="0.25">
      <c r="K10079" s="312"/>
      <c r="N10079" s="514"/>
    </row>
    <row r="10080" spans="11:14" x14ac:dyDescent="0.25">
      <c r="K10080" s="312"/>
      <c r="N10080" s="514"/>
    </row>
    <row r="10081" spans="11:14" x14ac:dyDescent="0.25">
      <c r="K10081" s="312"/>
      <c r="N10081" s="514"/>
    </row>
    <row r="10082" spans="11:14" x14ac:dyDescent="0.25">
      <c r="K10082" s="312"/>
      <c r="N10082" s="514"/>
    </row>
    <row r="10083" spans="11:14" x14ac:dyDescent="0.25">
      <c r="K10083" s="312"/>
      <c r="N10083" s="514"/>
    </row>
    <row r="10084" spans="11:14" x14ac:dyDescent="0.25">
      <c r="K10084" s="312"/>
      <c r="N10084" s="514"/>
    </row>
    <row r="10085" spans="11:14" x14ac:dyDescent="0.25">
      <c r="K10085" s="312"/>
      <c r="N10085" s="514"/>
    </row>
    <row r="10086" spans="11:14" x14ac:dyDescent="0.25">
      <c r="K10086" s="312"/>
      <c r="N10086" s="514"/>
    </row>
    <row r="10087" spans="11:14" x14ac:dyDescent="0.25">
      <c r="K10087" s="312"/>
      <c r="N10087" s="514"/>
    </row>
    <row r="10088" spans="11:14" x14ac:dyDescent="0.25">
      <c r="K10088" s="312"/>
      <c r="N10088" s="514"/>
    </row>
    <row r="10089" spans="11:14" x14ac:dyDescent="0.25">
      <c r="K10089" s="312"/>
      <c r="N10089" s="514"/>
    </row>
    <row r="10090" spans="11:14" x14ac:dyDescent="0.25">
      <c r="K10090" s="312"/>
      <c r="N10090" s="514"/>
    </row>
    <row r="10091" spans="11:14" x14ac:dyDescent="0.25">
      <c r="K10091" s="312"/>
      <c r="N10091" s="514"/>
    </row>
    <row r="10092" spans="11:14" x14ac:dyDescent="0.25">
      <c r="K10092" s="312"/>
      <c r="N10092" s="514"/>
    </row>
    <row r="10093" spans="11:14" x14ac:dyDescent="0.25">
      <c r="K10093" s="312"/>
      <c r="N10093" s="514"/>
    </row>
    <row r="10094" spans="11:14" x14ac:dyDescent="0.25">
      <c r="K10094" s="312"/>
      <c r="N10094" s="514"/>
    </row>
    <row r="10095" spans="11:14" x14ac:dyDescent="0.25">
      <c r="K10095" s="312"/>
      <c r="N10095" s="514"/>
    </row>
    <row r="10096" spans="11:14" x14ac:dyDescent="0.25">
      <c r="K10096" s="312"/>
      <c r="N10096" s="514"/>
    </row>
    <row r="10097" spans="11:14" x14ac:dyDescent="0.25">
      <c r="K10097" s="312"/>
      <c r="N10097" s="514"/>
    </row>
    <row r="10098" spans="11:14" x14ac:dyDescent="0.25">
      <c r="K10098" s="312"/>
      <c r="N10098" s="514"/>
    </row>
    <row r="10099" spans="11:14" x14ac:dyDescent="0.25">
      <c r="K10099" s="312"/>
      <c r="N10099" s="514"/>
    </row>
    <row r="10100" spans="11:14" x14ac:dyDescent="0.25">
      <c r="K10100" s="312"/>
      <c r="N10100" s="514"/>
    </row>
    <row r="10101" spans="11:14" x14ac:dyDescent="0.25">
      <c r="K10101" s="312"/>
      <c r="N10101" s="514"/>
    </row>
    <row r="10102" spans="11:14" x14ac:dyDescent="0.25">
      <c r="K10102" s="312"/>
      <c r="N10102" s="514"/>
    </row>
    <row r="10103" spans="11:14" x14ac:dyDescent="0.25">
      <c r="K10103" s="312"/>
      <c r="N10103" s="514"/>
    </row>
    <row r="10104" spans="11:14" x14ac:dyDescent="0.25">
      <c r="K10104" s="312"/>
      <c r="N10104" s="514"/>
    </row>
    <row r="10105" spans="11:14" x14ac:dyDescent="0.25">
      <c r="K10105" s="312"/>
      <c r="N10105" s="514"/>
    </row>
    <row r="10106" spans="11:14" x14ac:dyDescent="0.25">
      <c r="K10106" s="312"/>
      <c r="N10106" s="514"/>
    </row>
    <row r="10107" spans="11:14" x14ac:dyDescent="0.25">
      <c r="K10107" s="312"/>
      <c r="N10107" s="514"/>
    </row>
    <row r="10108" spans="11:14" x14ac:dyDescent="0.25">
      <c r="K10108" s="312"/>
      <c r="N10108" s="514"/>
    </row>
    <row r="10109" spans="11:14" x14ac:dyDescent="0.25">
      <c r="K10109" s="312"/>
      <c r="N10109" s="514"/>
    </row>
    <row r="10110" spans="11:14" x14ac:dyDescent="0.25">
      <c r="K10110" s="312"/>
      <c r="N10110" s="514"/>
    </row>
    <row r="10111" spans="11:14" x14ac:dyDescent="0.25">
      <c r="K10111" s="312"/>
      <c r="N10111" s="514"/>
    </row>
    <row r="10112" spans="11:14" x14ac:dyDescent="0.25">
      <c r="K10112" s="312"/>
      <c r="N10112" s="514"/>
    </row>
    <row r="10113" spans="11:14" x14ac:dyDescent="0.25">
      <c r="K10113" s="312"/>
      <c r="N10113" s="514"/>
    </row>
    <row r="10114" spans="11:14" x14ac:dyDescent="0.25">
      <c r="K10114" s="312"/>
      <c r="N10114" s="514"/>
    </row>
    <row r="10115" spans="11:14" x14ac:dyDescent="0.25">
      <c r="K10115" s="312"/>
      <c r="N10115" s="514"/>
    </row>
    <row r="10116" spans="11:14" x14ac:dyDescent="0.25">
      <c r="K10116" s="312"/>
      <c r="N10116" s="514"/>
    </row>
    <row r="10117" spans="11:14" x14ac:dyDescent="0.25">
      <c r="K10117" s="312"/>
      <c r="N10117" s="514"/>
    </row>
    <row r="10118" spans="11:14" x14ac:dyDescent="0.25">
      <c r="K10118" s="312"/>
      <c r="N10118" s="514"/>
    </row>
    <row r="10119" spans="11:14" x14ac:dyDescent="0.25">
      <c r="K10119" s="312"/>
      <c r="N10119" s="514"/>
    </row>
    <row r="10120" spans="11:14" x14ac:dyDescent="0.25">
      <c r="K10120" s="312"/>
      <c r="N10120" s="514"/>
    </row>
    <row r="10121" spans="11:14" x14ac:dyDescent="0.25">
      <c r="K10121" s="312"/>
      <c r="N10121" s="514"/>
    </row>
    <row r="10122" spans="11:14" x14ac:dyDescent="0.25">
      <c r="K10122" s="312"/>
      <c r="N10122" s="514"/>
    </row>
    <row r="10123" spans="11:14" x14ac:dyDescent="0.25">
      <c r="K10123" s="312"/>
      <c r="N10123" s="514"/>
    </row>
    <row r="10124" spans="11:14" x14ac:dyDescent="0.25">
      <c r="K10124" s="312"/>
      <c r="N10124" s="514"/>
    </row>
    <row r="10125" spans="11:14" x14ac:dyDescent="0.25">
      <c r="K10125" s="312"/>
      <c r="N10125" s="514"/>
    </row>
    <row r="10126" spans="11:14" x14ac:dyDescent="0.25">
      <c r="K10126" s="312"/>
      <c r="N10126" s="514"/>
    </row>
    <row r="10127" spans="11:14" x14ac:dyDescent="0.25">
      <c r="K10127" s="312"/>
      <c r="N10127" s="514"/>
    </row>
    <row r="10128" spans="11:14" x14ac:dyDescent="0.25">
      <c r="K10128" s="312"/>
      <c r="N10128" s="514"/>
    </row>
    <row r="10129" spans="11:14" x14ac:dyDescent="0.25">
      <c r="K10129" s="312"/>
      <c r="N10129" s="514"/>
    </row>
    <row r="10130" spans="11:14" x14ac:dyDescent="0.25">
      <c r="K10130" s="312"/>
      <c r="N10130" s="514"/>
    </row>
    <row r="10131" spans="11:14" x14ac:dyDescent="0.25">
      <c r="K10131" s="312"/>
      <c r="N10131" s="514"/>
    </row>
    <row r="10132" spans="11:14" x14ac:dyDescent="0.25">
      <c r="K10132" s="312"/>
      <c r="N10132" s="514"/>
    </row>
    <row r="10133" spans="11:14" x14ac:dyDescent="0.25">
      <c r="K10133" s="312"/>
      <c r="N10133" s="514"/>
    </row>
    <row r="10134" spans="11:14" x14ac:dyDescent="0.25">
      <c r="K10134" s="312"/>
      <c r="N10134" s="514"/>
    </row>
    <row r="10135" spans="11:14" x14ac:dyDescent="0.25">
      <c r="K10135" s="312"/>
      <c r="N10135" s="514"/>
    </row>
    <row r="10136" spans="11:14" x14ac:dyDescent="0.25">
      <c r="K10136" s="312"/>
      <c r="N10136" s="514"/>
    </row>
    <row r="10137" spans="11:14" x14ac:dyDescent="0.25">
      <c r="K10137" s="312"/>
      <c r="N10137" s="514"/>
    </row>
    <row r="10138" spans="11:14" x14ac:dyDescent="0.25">
      <c r="K10138" s="312"/>
      <c r="N10138" s="514"/>
    </row>
    <row r="10139" spans="11:14" x14ac:dyDescent="0.25">
      <c r="K10139" s="312"/>
      <c r="N10139" s="514"/>
    </row>
    <row r="10140" spans="11:14" x14ac:dyDescent="0.25">
      <c r="K10140" s="312"/>
      <c r="N10140" s="514"/>
    </row>
    <row r="10141" spans="11:14" x14ac:dyDescent="0.25">
      <c r="K10141" s="312"/>
      <c r="N10141" s="514"/>
    </row>
    <row r="10142" spans="11:14" x14ac:dyDescent="0.25">
      <c r="K10142" s="312"/>
      <c r="N10142" s="514"/>
    </row>
    <row r="10143" spans="11:14" x14ac:dyDescent="0.25">
      <c r="K10143" s="312"/>
      <c r="N10143" s="514"/>
    </row>
    <row r="10144" spans="11:14" x14ac:dyDescent="0.25">
      <c r="K10144" s="312"/>
      <c r="N10144" s="514"/>
    </row>
    <row r="10145" spans="11:14" x14ac:dyDescent="0.25">
      <c r="K10145" s="312"/>
      <c r="N10145" s="514"/>
    </row>
    <row r="10146" spans="11:14" x14ac:dyDescent="0.25">
      <c r="K10146" s="312"/>
      <c r="N10146" s="514"/>
    </row>
    <row r="10147" spans="11:14" x14ac:dyDescent="0.25">
      <c r="K10147" s="312"/>
      <c r="N10147" s="514"/>
    </row>
    <row r="10148" spans="11:14" x14ac:dyDescent="0.25">
      <c r="K10148" s="312"/>
      <c r="N10148" s="514"/>
    </row>
    <row r="10149" spans="11:14" x14ac:dyDescent="0.25">
      <c r="K10149" s="312"/>
      <c r="N10149" s="514"/>
    </row>
    <row r="10150" spans="11:14" x14ac:dyDescent="0.25">
      <c r="K10150" s="312"/>
      <c r="N10150" s="514"/>
    </row>
    <row r="10151" spans="11:14" x14ac:dyDescent="0.25">
      <c r="K10151" s="312"/>
      <c r="N10151" s="514"/>
    </row>
    <row r="10152" spans="11:14" x14ac:dyDescent="0.25">
      <c r="K10152" s="312"/>
      <c r="N10152" s="514"/>
    </row>
    <row r="10153" spans="11:14" x14ac:dyDescent="0.25">
      <c r="K10153" s="312"/>
      <c r="N10153" s="514"/>
    </row>
    <row r="10154" spans="11:14" x14ac:dyDescent="0.25">
      <c r="K10154" s="312"/>
      <c r="N10154" s="514"/>
    </row>
    <row r="10155" spans="11:14" x14ac:dyDescent="0.25">
      <c r="K10155" s="312"/>
      <c r="N10155" s="514"/>
    </row>
    <row r="10156" spans="11:14" x14ac:dyDescent="0.25">
      <c r="K10156" s="312"/>
      <c r="N10156" s="514"/>
    </row>
    <row r="10157" spans="11:14" x14ac:dyDescent="0.25">
      <c r="K10157" s="312"/>
      <c r="N10157" s="514"/>
    </row>
    <row r="10158" spans="11:14" x14ac:dyDescent="0.25">
      <c r="K10158" s="312"/>
      <c r="N10158" s="514"/>
    </row>
    <row r="10159" spans="11:14" x14ac:dyDescent="0.25">
      <c r="K10159" s="312"/>
      <c r="N10159" s="514"/>
    </row>
    <row r="10160" spans="11:14" x14ac:dyDescent="0.25">
      <c r="K10160" s="312"/>
      <c r="N10160" s="514"/>
    </row>
    <row r="10161" spans="11:14" x14ac:dyDescent="0.25">
      <c r="K10161" s="312"/>
      <c r="N10161" s="514"/>
    </row>
    <row r="10162" spans="11:14" x14ac:dyDescent="0.25">
      <c r="K10162" s="312"/>
      <c r="N10162" s="514"/>
    </row>
    <row r="10163" spans="11:14" x14ac:dyDescent="0.25">
      <c r="K10163" s="312"/>
      <c r="N10163" s="514"/>
    </row>
    <row r="10164" spans="11:14" x14ac:dyDescent="0.25">
      <c r="K10164" s="312"/>
      <c r="N10164" s="514"/>
    </row>
    <row r="10165" spans="11:14" x14ac:dyDescent="0.25">
      <c r="K10165" s="312"/>
      <c r="N10165" s="514"/>
    </row>
    <row r="10166" spans="11:14" x14ac:dyDescent="0.25">
      <c r="K10166" s="312"/>
      <c r="N10166" s="514"/>
    </row>
    <row r="10167" spans="11:14" x14ac:dyDescent="0.25">
      <c r="K10167" s="312"/>
      <c r="N10167" s="514"/>
    </row>
    <row r="10168" spans="11:14" x14ac:dyDescent="0.25">
      <c r="K10168" s="312"/>
      <c r="N10168" s="514"/>
    </row>
    <row r="10169" spans="11:14" x14ac:dyDescent="0.25">
      <c r="K10169" s="312"/>
      <c r="N10169" s="514"/>
    </row>
    <row r="10170" spans="11:14" x14ac:dyDescent="0.25">
      <c r="K10170" s="312"/>
      <c r="N10170" s="514"/>
    </row>
    <row r="10171" spans="11:14" x14ac:dyDescent="0.25">
      <c r="K10171" s="312"/>
      <c r="N10171" s="514"/>
    </row>
    <row r="10172" spans="11:14" x14ac:dyDescent="0.25">
      <c r="K10172" s="312"/>
      <c r="N10172" s="514"/>
    </row>
    <row r="10173" spans="11:14" x14ac:dyDescent="0.25">
      <c r="K10173" s="312"/>
      <c r="N10173" s="514"/>
    </row>
    <row r="10174" spans="11:14" x14ac:dyDescent="0.25">
      <c r="K10174" s="312"/>
      <c r="N10174" s="514"/>
    </row>
    <row r="10175" spans="11:14" x14ac:dyDescent="0.25">
      <c r="K10175" s="312"/>
      <c r="N10175" s="514"/>
    </row>
    <row r="10176" spans="11:14" x14ac:dyDescent="0.25">
      <c r="K10176" s="312"/>
      <c r="N10176" s="514"/>
    </row>
    <row r="10177" spans="11:14" x14ac:dyDescent="0.25">
      <c r="K10177" s="312"/>
      <c r="N10177" s="514"/>
    </row>
    <row r="10178" spans="11:14" x14ac:dyDescent="0.25">
      <c r="K10178" s="312"/>
      <c r="N10178" s="514"/>
    </row>
    <row r="10179" spans="11:14" x14ac:dyDescent="0.25">
      <c r="K10179" s="312"/>
      <c r="N10179" s="514"/>
    </row>
    <row r="10180" spans="11:14" x14ac:dyDescent="0.25">
      <c r="K10180" s="312"/>
      <c r="N10180" s="514"/>
    </row>
    <row r="10181" spans="11:14" x14ac:dyDescent="0.25">
      <c r="K10181" s="312"/>
      <c r="N10181" s="514"/>
    </row>
    <row r="10182" spans="11:14" x14ac:dyDescent="0.25">
      <c r="K10182" s="312"/>
      <c r="N10182" s="514"/>
    </row>
    <row r="10183" spans="11:14" x14ac:dyDescent="0.25">
      <c r="K10183" s="312"/>
      <c r="N10183" s="514"/>
    </row>
    <row r="10184" spans="11:14" x14ac:dyDescent="0.25">
      <c r="K10184" s="312"/>
      <c r="N10184" s="514"/>
    </row>
    <row r="10185" spans="11:14" x14ac:dyDescent="0.25">
      <c r="K10185" s="312"/>
      <c r="N10185" s="514"/>
    </row>
    <row r="10186" spans="11:14" x14ac:dyDescent="0.25">
      <c r="K10186" s="312"/>
      <c r="N10186" s="514"/>
    </row>
    <row r="10187" spans="11:14" x14ac:dyDescent="0.25">
      <c r="K10187" s="312"/>
      <c r="N10187" s="514"/>
    </row>
    <row r="10188" spans="11:14" x14ac:dyDescent="0.25">
      <c r="K10188" s="312"/>
      <c r="N10188" s="514"/>
    </row>
    <row r="10189" spans="11:14" x14ac:dyDescent="0.25">
      <c r="K10189" s="312"/>
      <c r="N10189" s="514"/>
    </row>
    <row r="10190" spans="11:14" x14ac:dyDescent="0.25">
      <c r="K10190" s="312"/>
      <c r="N10190" s="514"/>
    </row>
    <row r="10191" spans="11:14" x14ac:dyDescent="0.25">
      <c r="K10191" s="312"/>
      <c r="N10191" s="514"/>
    </row>
    <row r="10192" spans="11:14" x14ac:dyDescent="0.25">
      <c r="K10192" s="312"/>
      <c r="N10192" s="514"/>
    </row>
    <row r="10193" spans="11:14" x14ac:dyDescent="0.25">
      <c r="K10193" s="312"/>
      <c r="N10193" s="514"/>
    </row>
    <row r="10194" spans="11:14" x14ac:dyDescent="0.25">
      <c r="K10194" s="312"/>
      <c r="N10194" s="514"/>
    </row>
    <row r="10195" spans="11:14" x14ac:dyDescent="0.25">
      <c r="K10195" s="312"/>
      <c r="N10195" s="514"/>
    </row>
    <row r="10196" spans="11:14" x14ac:dyDescent="0.25">
      <c r="K10196" s="312"/>
      <c r="N10196" s="514"/>
    </row>
    <row r="10197" spans="11:14" x14ac:dyDescent="0.25">
      <c r="K10197" s="312"/>
      <c r="N10197" s="514"/>
    </row>
    <row r="10198" spans="11:14" x14ac:dyDescent="0.25">
      <c r="K10198" s="312"/>
      <c r="N10198" s="514"/>
    </row>
    <row r="10199" spans="11:14" x14ac:dyDescent="0.25">
      <c r="K10199" s="312"/>
      <c r="N10199" s="514"/>
    </row>
    <row r="10200" spans="11:14" x14ac:dyDescent="0.25">
      <c r="K10200" s="312"/>
      <c r="N10200" s="514"/>
    </row>
    <row r="10201" spans="11:14" x14ac:dyDescent="0.25">
      <c r="K10201" s="312"/>
      <c r="N10201" s="514"/>
    </row>
    <row r="10202" spans="11:14" x14ac:dyDescent="0.25">
      <c r="K10202" s="312"/>
      <c r="N10202" s="514"/>
    </row>
    <row r="10203" spans="11:14" x14ac:dyDescent="0.25">
      <c r="K10203" s="312"/>
      <c r="N10203" s="514"/>
    </row>
    <row r="10204" spans="11:14" x14ac:dyDescent="0.25">
      <c r="K10204" s="312"/>
      <c r="N10204" s="514"/>
    </row>
    <row r="10205" spans="11:14" x14ac:dyDescent="0.25">
      <c r="K10205" s="312"/>
      <c r="N10205" s="514"/>
    </row>
    <row r="10206" spans="11:14" x14ac:dyDescent="0.25">
      <c r="K10206" s="312"/>
      <c r="N10206" s="514"/>
    </row>
    <row r="10207" spans="11:14" x14ac:dyDescent="0.25">
      <c r="K10207" s="312"/>
      <c r="N10207" s="514"/>
    </row>
    <row r="10208" spans="11:14" x14ac:dyDescent="0.25">
      <c r="K10208" s="312"/>
      <c r="N10208" s="514"/>
    </row>
    <row r="10209" spans="11:14" x14ac:dyDescent="0.25">
      <c r="K10209" s="312"/>
      <c r="N10209" s="514"/>
    </row>
    <row r="10210" spans="11:14" x14ac:dyDescent="0.25">
      <c r="K10210" s="312"/>
      <c r="N10210" s="514"/>
    </row>
    <row r="10211" spans="11:14" x14ac:dyDescent="0.25">
      <c r="K10211" s="312"/>
      <c r="N10211" s="514"/>
    </row>
    <row r="10212" spans="11:14" x14ac:dyDescent="0.25">
      <c r="K10212" s="312"/>
      <c r="N10212" s="514"/>
    </row>
    <row r="10213" spans="11:14" x14ac:dyDescent="0.25">
      <c r="K10213" s="312"/>
      <c r="N10213" s="514"/>
    </row>
    <row r="10214" spans="11:14" x14ac:dyDescent="0.25">
      <c r="K10214" s="312"/>
      <c r="N10214" s="514"/>
    </row>
    <row r="10215" spans="11:14" x14ac:dyDescent="0.25">
      <c r="K10215" s="312"/>
      <c r="N10215" s="514"/>
    </row>
    <row r="10216" spans="11:14" x14ac:dyDescent="0.25">
      <c r="K10216" s="312"/>
      <c r="N10216" s="514"/>
    </row>
    <row r="10217" spans="11:14" x14ac:dyDescent="0.25">
      <c r="K10217" s="312"/>
      <c r="N10217" s="514"/>
    </row>
    <row r="10218" spans="11:14" x14ac:dyDescent="0.25">
      <c r="K10218" s="312"/>
      <c r="N10218" s="514"/>
    </row>
    <row r="10219" spans="11:14" x14ac:dyDescent="0.25">
      <c r="K10219" s="312"/>
      <c r="N10219" s="514"/>
    </row>
    <row r="10220" spans="11:14" x14ac:dyDescent="0.25">
      <c r="K10220" s="312"/>
      <c r="N10220" s="514"/>
    </row>
    <row r="10221" spans="11:14" x14ac:dyDescent="0.25">
      <c r="K10221" s="312"/>
      <c r="N10221" s="514"/>
    </row>
    <row r="10222" spans="11:14" x14ac:dyDescent="0.25">
      <c r="K10222" s="312"/>
      <c r="N10222" s="514"/>
    </row>
    <row r="10223" spans="11:14" x14ac:dyDescent="0.25">
      <c r="K10223" s="312"/>
      <c r="N10223" s="514"/>
    </row>
    <row r="10224" spans="11:14" x14ac:dyDescent="0.25">
      <c r="K10224" s="312"/>
      <c r="N10224" s="514"/>
    </row>
    <row r="10225" spans="11:14" x14ac:dyDescent="0.25">
      <c r="K10225" s="312"/>
      <c r="N10225" s="514"/>
    </row>
    <row r="10226" spans="11:14" x14ac:dyDescent="0.25">
      <c r="K10226" s="312"/>
      <c r="N10226" s="514"/>
    </row>
    <row r="10227" spans="11:14" x14ac:dyDescent="0.25">
      <c r="K10227" s="312"/>
      <c r="N10227" s="514"/>
    </row>
    <row r="10228" spans="11:14" x14ac:dyDescent="0.25">
      <c r="K10228" s="312"/>
      <c r="N10228" s="514"/>
    </row>
    <row r="10229" spans="11:14" x14ac:dyDescent="0.25">
      <c r="K10229" s="312"/>
      <c r="N10229" s="514"/>
    </row>
    <row r="10230" spans="11:14" x14ac:dyDescent="0.25">
      <c r="K10230" s="312"/>
      <c r="N10230" s="514"/>
    </row>
    <row r="10231" spans="11:14" x14ac:dyDescent="0.25">
      <c r="K10231" s="312"/>
      <c r="N10231" s="514"/>
    </row>
    <row r="10232" spans="11:14" x14ac:dyDescent="0.25">
      <c r="K10232" s="312"/>
      <c r="N10232" s="514"/>
    </row>
    <row r="10233" spans="11:14" x14ac:dyDescent="0.25">
      <c r="K10233" s="312"/>
      <c r="N10233" s="514"/>
    </row>
    <row r="10234" spans="11:14" x14ac:dyDescent="0.25">
      <c r="K10234" s="312"/>
      <c r="N10234" s="514"/>
    </row>
    <row r="10235" spans="11:14" x14ac:dyDescent="0.25">
      <c r="K10235" s="312"/>
      <c r="N10235" s="514"/>
    </row>
    <row r="10236" spans="11:14" x14ac:dyDescent="0.25">
      <c r="K10236" s="312"/>
      <c r="N10236" s="514"/>
    </row>
    <row r="10237" spans="11:14" x14ac:dyDescent="0.25">
      <c r="K10237" s="312"/>
      <c r="N10237" s="514"/>
    </row>
    <row r="10238" spans="11:14" x14ac:dyDescent="0.25">
      <c r="K10238" s="312"/>
      <c r="N10238" s="514"/>
    </row>
    <row r="10239" spans="11:14" x14ac:dyDescent="0.25">
      <c r="K10239" s="312"/>
      <c r="N10239" s="514"/>
    </row>
    <row r="10240" spans="11:14" x14ac:dyDescent="0.25">
      <c r="K10240" s="312"/>
      <c r="N10240" s="514"/>
    </row>
    <row r="10241" spans="11:14" x14ac:dyDescent="0.25">
      <c r="K10241" s="312"/>
      <c r="N10241" s="514"/>
    </row>
    <row r="10242" spans="11:14" x14ac:dyDescent="0.25">
      <c r="K10242" s="312"/>
      <c r="N10242" s="514"/>
    </row>
    <row r="10243" spans="11:14" x14ac:dyDescent="0.25">
      <c r="K10243" s="312"/>
      <c r="N10243" s="514"/>
    </row>
    <row r="10244" spans="11:14" x14ac:dyDescent="0.25">
      <c r="K10244" s="312"/>
      <c r="N10244" s="514"/>
    </row>
    <row r="10245" spans="11:14" x14ac:dyDescent="0.25">
      <c r="K10245" s="312"/>
      <c r="N10245" s="514"/>
    </row>
    <row r="10246" spans="11:14" x14ac:dyDescent="0.25">
      <c r="K10246" s="312"/>
      <c r="N10246" s="514"/>
    </row>
    <row r="10247" spans="11:14" x14ac:dyDescent="0.25">
      <c r="K10247" s="312"/>
      <c r="N10247" s="514"/>
    </row>
    <row r="10248" spans="11:14" x14ac:dyDescent="0.25">
      <c r="K10248" s="312"/>
      <c r="N10248" s="514"/>
    </row>
    <row r="10249" spans="11:14" x14ac:dyDescent="0.25">
      <c r="K10249" s="312"/>
      <c r="N10249" s="514"/>
    </row>
    <row r="10250" spans="11:14" x14ac:dyDescent="0.25">
      <c r="K10250" s="312"/>
      <c r="N10250" s="514"/>
    </row>
    <row r="10251" spans="11:14" x14ac:dyDescent="0.25">
      <c r="K10251" s="312"/>
      <c r="N10251" s="514"/>
    </row>
    <row r="10252" spans="11:14" x14ac:dyDescent="0.25">
      <c r="K10252" s="312"/>
      <c r="N10252" s="514"/>
    </row>
    <row r="10253" spans="11:14" x14ac:dyDescent="0.25">
      <c r="K10253" s="312"/>
      <c r="N10253" s="514"/>
    </row>
    <row r="10254" spans="11:14" x14ac:dyDescent="0.25">
      <c r="K10254" s="312"/>
      <c r="N10254" s="514"/>
    </row>
    <row r="10255" spans="11:14" x14ac:dyDescent="0.25">
      <c r="K10255" s="312"/>
      <c r="N10255" s="514"/>
    </row>
    <row r="10256" spans="11:14" x14ac:dyDescent="0.25">
      <c r="K10256" s="312"/>
      <c r="N10256" s="514"/>
    </row>
    <row r="10257" spans="11:14" x14ac:dyDescent="0.25">
      <c r="K10257" s="312"/>
      <c r="N10257" s="514"/>
    </row>
    <row r="10258" spans="11:14" x14ac:dyDescent="0.25">
      <c r="K10258" s="312"/>
      <c r="N10258" s="514"/>
    </row>
    <row r="10259" spans="11:14" x14ac:dyDescent="0.25">
      <c r="K10259" s="312"/>
      <c r="N10259" s="514"/>
    </row>
    <row r="10260" spans="11:14" x14ac:dyDescent="0.25">
      <c r="K10260" s="312"/>
      <c r="N10260" s="514"/>
    </row>
    <row r="10261" spans="11:14" x14ac:dyDescent="0.25">
      <c r="K10261" s="312"/>
      <c r="N10261" s="514"/>
    </row>
    <row r="10262" spans="11:14" x14ac:dyDescent="0.25">
      <c r="K10262" s="312"/>
      <c r="N10262" s="514"/>
    </row>
    <row r="10263" spans="11:14" x14ac:dyDescent="0.25">
      <c r="K10263" s="312"/>
      <c r="N10263" s="514"/>
    </row>
    <row r="10264" spans="11:14" x14ac:dyDescent="0.25">
      <c r="K10264" s="312"/>
      <c r="N10264" s="514"/>
    </row>
    <row r="10265" spans="11:14" x14ac:dyDescent="0.25">
      <c r="K10265" s="312"/>
      <c r="N10265" s="514"/>
    </row>
    <row r="10266" spans="11:14" x14ac:dyDescent="0.25">
      <c r="K10266" s="312"/>
      <c r="N10266" s="514"/>
    </row>
    <row r="10267" spans="11:14" x14ac:dyDescent="0.25">
      <c r="K10267" s="312"/>
      <c r="N10267" s="514"/>
    </row>
    <row r="10268" spans="11:14" x14ac:dyDescent="0.25">
      <c r="K10268" s="312"/>
      <c r="N10268" s="514"/>
    </row>
    <row r="10269" spans="11:14" x14ac:dyDescent="0.25">
      <c r="K10269" s="312"/>
      <c r="N10269" s="514"/>
    </row>
    <row r="10270" spans="11:14" x14ac:dyDescent="0.25">
      <c r="K10270" s="312"/>
      <c r="N10270" s="514"/>
    </row>
    <row r="10271" spans="11:14" x14ac:dyDescent="0.25">
      <c r="K10271" s="312"/>
      <c r="N10271" s="514"/>
    </row>
    <row r="10272" spans="11:14" x14ac:dyDescent="0.25">
      <c r="K10272" s="312"/>
      <c r="N10272" s="514"/>
    </row>
    <row r="10273" spans="11:14" x14ac:dyDescent="0.25">
      <c r="K10273" s="312"/>
      <c r="N10273" s="514"/>
    </row>
    <row r="10274" spans="11:14" x14ac:dyDescent="0.25">
      <c r="K10274" s="312"/>
      <c r="N10274" s="514"/>
    </row>
    <row r="10275" spans="11:14" x14ac:dyDescent="0.25">
      <c r="K10275" s="312"/>
      <c r="N10275" s="514"/>
    </row>
    <row r="10276" spans="11:14" x14ac:dyDescent="0.25">
      <c r="K10276" s="312"/>
      <c r="N10276" s="514"/>
    </row>
    <row r="10277" spans="11:14" x14ac:dyDescent="0.25">
      <c r="K10277" s="312"/>
      <c r="N10277" s="514"/>
    </row>
    <row r="10278" spans="11:14" x14ac:dyDescent="0.25">
      <c r="K10278" s="312"/>
      <c r="N10278" s="514"/>
    </row>
    <row r="10279" spans="11:14" x14ac:dyDescent="0.25">
      <c r="K10279" s="312"/>
      <c r="N10279" s="514"/>
    </row>
    <row r="10280" spans="11:14" x14ac:dyDescent="0.25">
      <c r="K10280" s="312"/>
      <c r="N10280" s="514"/>
    </row>
    <row r="10281" spans="11:14" x14ac:dyDescent="0.25">
      <c r="K10281" s="312"/>
      <c r="N10281" s="514"/>
    </row>
    <row r="10282" spans="11:14" x14ac:dyDescent="0.25">
      <c r="K10282" s="312"/>
      <c r="N10282" s="514"/>
    </row>
    <row r="10283" spans="11:14" x14ac:dyDescent="0.25">
      <c r="K10283" s="312"/>
      <c r="N10283" s="514"/>
    </row>
    <row r="10284" spans="11:14" x14ac:dyDescent="0.25">
      <c r="K10284" s="312"/>
      <c r="N10284" s="514"/>
    </row>
    <row r="10285" spans="11:14" x14ac:dyDescent="0.25">
      <c r="K10285" s="312"/>
      <c r="N10285" s="514"/>
    </row>
    <row r="10286" spans="11:14" x14ac:dyDescent="0.25">
      <c r="K10286" s="312"/>
      <c r="N10286" s="514"/>
    </row>
    <row r="10287" spans="11:14" x14ac:dyDescent="0.25">
      <c r="K10287" s="312"/>
      <c r="N10287" s="514"/>
    </row>
    <row r="10288" spans="11:14" x14ac:dyDescent="0.25">
      <c r="K10288" s="312"/>
      <c r="N10288" s="514"/>
    </row>
    <row r="10289" spans="11:14" x14ac:dyDescent="0.25">
      <c r="K10289" s="312"/>
      <c r="N10289" s="514"/>
    </row>
    <row r="10290" spans="11:14" x14ac:dyDescent="0.25">
      <c r="K10290" s="312"/>
      <c r="N10290" s="514"/>
    </row>
    <row r="10291" spans="11:14" x14ac:dyDescent="0.25">
      <c r="K10291" s="312"/>
      <c r="N10291" s="514"/>
    </row>
    <row r="10292" spans="11:14" x14ac:dyDescent="0.25">
      <c r="K10292" s="312"/>
      <c r="N10292" s="514"/>
    </row>
    <row r="10293" spans="11:14" x14ac:dyDescent="0.25">
      <c r="K10293" s="312"/>
      <c r="N10293" s="514"/>
    </row>
    <row r="10294" spans="11:14" x14ac:dyDescent="0.25">
      <c r="K10294" s="312"/>
      <c r="N10294" s="514"/>
    </row>
    <row r="10295" spans="11:14" x14ac:dyDescent="0.25">
      <c r="K10295" s="312"/>
      <c r="N10295" s="514"/>
    </row>
    <row r="10296" spans="11:14" x14ac:dyDescent="0.25">
      <c r="K10296" s="312"/>
      <c r="N10296" s="514"/>
    </row>
    <row r="10297" spans="11:14" x14ac:dyDescent="0.25">
      <c r="K10297" s="312"/>
      <c r="N10297" s="514"/>
    </row>
    <row r="10298" spans="11:14" x14ac:dyDescent="0.25">
      <c r="K10298" s="312"/>
      <c r="N10298" s="514"/>
    </row>
    <row r="10299" spans="11:14" x14ac:dyDescent="0.25">
      <c r="K10299" s="312"/>
      <c r="N10299" s="514"/>
    </row>
    <row r="10300" spans="11:14" x14ac:dyDescent="0.25">
      <c r="K10300" s="312"/>
      <c r="N10300" s="514"/>
    </row>
    <row r="10301" spans="11:14" x14ac:dyDescent="0.25">
      <c r="K10301" s="312"/>
      <c r="N10301" s="514"/>
    </row>
    <row r="10302" spans="11:14" x14ac:dyDescent="0.25">
      <c r="K10302" s="312"/>
      <c r="N10302" s="514"/>
    </row>
    <row r="10303" spans="11:14" x14ac:dyDescent="0.25">
      <c r="K10303" s="312"/>
      <c r="N10303" s="514"/>
    </row>
    <row r="10304" spans="11:14" x14ac:dyDescent="0.25">
      <c r="K10304" s="312"/>
      <c r="N10304" s="514"/>
    </row>
    <row r="10305" spans="11:14" x14ac:dyDescent="0.25">
      <c r="K10305" s="312"/>
      <c r="N10305" s="514"/>
    </row>
    <row r="10306" spans="11:14" x14ac:dyDescent="0.25">
      <c r="K10306" s="312"/>
      <c r="N10306" s="514"/>
    </row>
    <row r="10307" spans="11:14" x14ac:dyDescent="0.25">
      <c r="K10307" s="312"/>
      <c r="N10307" s="514"/>
    </row>
    <row r="10308" spans="11:14" x14ac:dyDescent="0.25">
      <c r="K10308" s="312"/>
      <c r="N10308" s="514"/>
    </row>
    <row r="10309" spans="11:14" x14ac:dyDescent="0.25">
      <c r="K10309" s="312"/>
      <c r="N10309" s="514"/>
    </row>
    <row r="10310" spans="11:14" x14ac:dyDescent="0.25">
      <c r="K10310" s="312"/>
      <c r="N10310" s="514"/>
    </row>
    <row r="10311" spans="11:14" x14ac:dyDescent="0.25">
      <c r="K10311" s="312"/>
      <c r="N10311" s="514"/>
    </row>
    <row r="10312" spans="11:14" x14ac:dyDescent="0.25">
      <c r="K10312" s="312"/>
      <c r="N10312" s="514"/>
    </row>
    <row r="10313" spans="11:14" x14ac:dyDescent="0.25">
      <c r="K10313" s="312"/>
      <c r="N10313" s="514"/>
    </row>
    <row r="10314" spans="11:14" x14ac:dyDescent="0.25">
      <c r="K10314" s="312"/>
      <c r="N10314" s="514"/>
    </row>
    <row r="10315" spans="11:14" x14ac:dyDescent="0.25">
      <c r="K10315" s="312"/>
      <c r="N10315" s="514"/>
    </row>
    <row r="10316" spans="11:14" x14ac:dyDescent="0.25">
      <c r="K10316" s="312"/>
      <c r="N10316" s="514"/>
    </row>
    <row r="10317" spans="11:14" x14ac:dyDescent="0.25">
      <c r="K10317" s="312"/>
      <c r="N10317" s="514"/>
    </row>
    <row r="10318" spans="11:14" x14ac:dyDescent="0.25">
      <c r="K10318" s="312"/>
      <c r="N10318" s="514"/>
    </row>
    <row r="10319" spans="11:14" x14ac:dyDescent="0.25">
      <c r="K10319" s="312"/>
      <c r="N10319" s="514"/>
    </row>
    <row r="10320" spans="11:14" x14ac:dyDescent="0.25">
      <c r="K10320" s="312"/>
      <c r="N10320" s="514"/>
    </row>
    <row r="10321" spans="11:14" x14ac:dyDescent="0.25">
      <c r="K10321" s="312"/>
      <c r="N10321" s="514"/>
    </row>
    <row r="10322" spans="11:14" x14ac:dyDescent="0.25">
      <c r="K10322" s="312"/>
      <c r="N10322" s="514"/>
    </row>
    <row r="10323" spans="11:14" x14ac:dyDescent="0.25">
      <c r="K10323" s="312"/>
      <c r="N10323" s="514"/>
    </row>
    <row r="10324" spans="11:14" x14ac:dyDescent="0.25">
      <c r="K10324" s="312"/>
      <c r="N10324" s="514"/>
    </row>
    <row r="10325" spans="11:14" x14ac:dyDescent="0.25">
      <c r="K10325" s="312"/>
      <c r="N10325" s="514"/>
    </row>
    <row r="10326" spans="11:14" x14ac:dyDescent="0.25">
      <c r="K10326" s="312"/>
      <c r="N10326" s="514"/>
    </row>
    <row r="10327" spans="11:14" x14ac:dyDescent="0.25">
      <c r="K10327" s="312"/>
      <c r="N10327" s="514"/>
    </row>
    <row r="10328" spans="11:14" x14ac:dyDescent="0.25">
      <c r="K10328" s="312"/>
      <c r="N10328" s="514"/>
    </row>
    <row r="10329" spans="11:14" x14ac:dyDescent="0.25">
      <c r="K10329" s="312"/>
      <c r="N10329" s="514"/>
    </row>
    <row r="10330" spans="11:14" x14ac:dyDescent="0.25">
      <c r="K10330" s="312"/>
      <c r="N10330" s="514"/>
    </row>
    <row r="10331" spans="11:14" x14ac:dyDescent="0.25">
      <c r="K10331" s="312"/>
      <c r="N10331" s="514"/>
    </row>
    <row r="10332" spans="11:14" x14ac:dyDescent="0.25">
      <c r="K10332" s="312"/>
      <c r="N10332" s="514"/>
    </row>
    <row r="10333" spans="11:14" x14ac:dyDescent="0.25">
      <c r="K10333" s="312"/>
      <c r="N10333" s="514"/>
    </row>
    <row r="10334" spans="11:14" x14ac:dyDescent="0.25">
      <c r="K10334" s="312"/>
      <c r="N10334" s="514"/>
    </row>
    <row r="10335" spans="11:14" x14ac:dyDescent="0.25">
      <c r="K10335" s="312"/>
      <c r="N10335" s="514"/>
    </row>
    <row r="10336" spans="11:14" x14ac:dyDescent="0.25">
      <c r="K10336" s="312"/>
      <c r="N10336" s="514"/>
    </row>
    <row r="10337" spans="11:14" x14ac:dyDescent="0.25">
      <c r="K10337" s="312"/>
      <c r="N10337" s="514"/>
    </row>
    <row r="10338" spans="11:14" x14ac:dyDescent="0.25">
      <c r="K10338" s="312"/>
      <c r="N10338" s="514"/>
    </row>
    <row r="10339" spans="11:14" x14ac:dyDescent="0.25">
      <c r="K10339" s="312"/>
      <c r="N10339" s="514"/>
    </row>
    <row r="10340" spans="11:14" x14ac:dyDescent="0.25">
      <c r="K10340" s="312"/>
      <c r="N10340" s="514"/>
    </row>
    <row r="10341" spans="11:14" x14ac:dyDescent="0.25">
      <c r="K10341" s="312"/>
      <c r="N10341" s="514"/>
    </row>
    <row r="10342" spans="11:14" x14ac:dyDescent="0.25">
      <c r="K10342" s="312"/>
      <c r="N10342" s="514"/>
    </row>
    <row r="10343" spans="11:14" x14ac:dyDescent="0.25">
      <c r="K10343" s="312"/>
      <c r="N10343" s="514"/>
    </row>
    <row r="10344" spans="11:14" x14ac:dyDescent="0.25">
      <c r="K10344" s="312"/>
      <c r="N10344" s="514"/>
    </row>
    <row r="10345" spans="11:14" x14ac:dyDescent="0.25">
      <c r="K10345" s="312"/>
      <c r="N10345" s="514"/>
    </row>
    <row r="10346" spans="11:14" x14ac:dyDescent="0.25">
      <c r="K10346" s="312"/>
      <c r="N10346" s="514"/>
    </row>
    <row r="10347" spans="11:14" x14ac:dyDescent="0.25">
      <c r="K10347" s="312"/>
      <c r="N10347" s="514"/>
    </row>
    <row r="10348" spans="11:14" x14ac:dyDescent="0.25">
      <c r="K10348" s="312"/>
      <c r="N10348" s="514"/>
    </row>
    <row r="10349" spans="11:14" x14ac:dyDescent="0.25">
      <c r="K10349" s="312"/>
      <c r="N10349" s="514"/>
    </row>
    <row r="10350" spans="11:14" x14ac:dyDescent="0.25">
      <c r="K10350" s="312"/>
      <c r="N10350" s="514"/>
    </row>
    <row r="10351" spans="11:14" x14ac:dyDescent="0.25">
      <c r="K10351" s="312"/>
      <c r="N10351" s="514"/>
    </row>
    <row r="10352" spans="11:14" x14ac:dyDescent="0.25">
      <c r="K10352" s="312"/>
      <c r="N10352" s="514"/>
    </row>
    <row r="10353" spans="11:14" x14ac:dyDescent="0.25">
      <c r="K10353" s="312"/>
      <c r="N10353" s="514"/>
    </row>
    <row r="10354" spans="11:14" x14ac:dyDescent="0.25">
      <c r="K10354" s="312"/>
      <c r="N10354" s="514"/>
    </row>
    <row r="10355" spans="11:14" x14ac:dyDescent="0.25">
      <c r="K10355" s="312"/>
      <c r="N10355" s="514"/>
    </row>
    <row r="10356" spans="11:14" x14ac:dyDescent="0.25">
      <c r="K10356" s="312"/>
      <c r="N10356" s="514"/>
    </row>
    <row r="10357" spans="11:14" x14ac:dyDescent="0.25">
      <c r="K10357" s="312"/>
      <c r="N10357" s="514"/>
    </row>
    <row r="10358" spans="11:14" x14ac:dyDescent="0.25">
      <c r="K10358" s="312"/>
      <c r="N10358" s="514"/>
    </row>
    <row r="10359" spans="11:14" x14ac:dyDescent="0.25">
      <c r="K10359" s="312"/>
      <c r="N10359" s="514"/>
    </row>
    <row r="10360" spans="11:14" x14ac:dyDescent="0.25">
      <c r="K10360" s="312"/>
      <c r="N10360" s="514"/>
    </row>
    <row r="10361" spans="11:14" x14ac:dyDescent="0.25">
      <c r="K10361" s="312"/>
      <c r="N10361" s="514"/>
    </row>
    <row r="10362" spans="11:14" x14ac:dyDescent="0.25">
      <c r="K10362" s="312"/>
      <c r="N10362" s="514"/>
    </row>
    <row r="10363" spans="11:14" x14ac:dyDescent="0.25">
      <c r="K10363" s="312"/>
      <c r="N10363" s="514"/>
    </row>
    <row r="10364" spans="11:14" x14ac:dyDescent="0.25">
      <c r="K10364" s="312"/>
      <c r="N10364" s="514"/>
    </row>
    <row r="10365" spans="11:14" x14ac:dyDescent="0.25">
      <c r="K10365" s="312"/>
      <c r="N10365" s="514"/>
    </row>
    <row r="10366" spans="11:14" x14ac:dyDescent="0.25">
      <c r="K10366" s="312"/>
      <c r="N10366" s="514"/>
    </row>
    <row r="10367" spans="11:14" x14ac:dyDescent="0.25">
      <c r="K10367" s="312"/>
      <c r="N10367" s="514"/>
    </row>
    <row r="10368" spans="11:14" x14ac:dyDescent="0.25">
      <c r="K10368" s="312"/>
      <c r="N10368" s="514"/>
    </row>
    <row r="10369" spans="11:14" x14ac:dyDescent="0.25">
      <c r="K10369" s="312"/>
      <c r="N10369" s="514"/>
    </row>
    <row r="10370" spans="11:14" x14ac:dyDescent="0.25">
      <c r="K10370" s="312"/>
      <c r="N10370" s="514"/>
    </row>
    <row r="10371" spans="11:14" x14ac:dyDescent="0.25">
      <c r="K10371" s="312"/>
      <c r="N10371" s="514"/>
    </row>
    <row r="10372" spans="11:14" x14ac:dyDescent="0.25">
      <c r="K10372" s="312"/>
      <c r="N10372" s="514"/>
    </row>
    <row r="10373" spans="11:14" x14ac:dyDescent="0.25">
      <c r="K10373" s="312"/>
      <c r="N10373" s="514"/>
    </row>
    <row r="10374" spans="11:14" x14ac:dyDescent="0.25">
      <c r="K10374" s="312"/>
      <c r="N10374" s="514"/>
    </row>
    <row r="10375" spans="11:14" x14ac:dyDescent="0.25">
      <c r="K10375" s="312"/>
      <c r="N10375" s="514"/>
    </row>
    <row r="10376" spans="11:14" x14ac:dyDescent="0.25">
      <c r="K10376" s="312"/>
      <c r="N10376" s="514"/>
    </row>
    <row r="10377" spans="11:14" x14ac:dyDescent="0.25">
      <c r="K10377" s="312"/>
      <c r="N10377" s="514"/>
    </row>
    <row r="10378" spans="11:14" x14ac:dyDescent="0.25">
      <c r="K10378" s="312"/>
      <c r="N10378" s="514"/>
    </row>
    <row r="10379" spans="11:14" x14ac:dyDescent="0.25">
      <c r="K10379" s="312"/>
      <c r="N10379" s="514"/>
    </row>
    <row r="10380" spans="11:14" x14ac:dyDescent="0.25">
      <c r="K10380" s="312"/>
      <c r="N10380" s="514"/>
    </row>
    <row r="10381" spans="11:14" x14ac:dyDescent="0.25">
      <c r="K10381" s="312"/>
      <c r="N10381" s="514"/>
    </row>
    <row r="10382" spans="11:14" x14ac:dyDescent="0.25">
      <c r="K10382" s="312"/>
      <c r="N10382" s="514"/>
    </row>
    <row r="10383" spans="11:14" x14ac:dyDescent="0.25">
      <c r="K10383" s="312"/>
      <c r="N10383" s="514"/>
    </row>
    <row r="10384" spans="11:14" x14ac:dyDescent="0.25">
      <c r="K10384" s="312"/>
      <c r="N10384" s="514"/>
    </row>
    <row r="10385" spans="11:14" x14ac:dyDescent="0.25">
      <c r="K10385" s="312"/>
      <c r="N10385" s="514"/>
    </row>
    <row r="10386" spans="11:14" x14ac:dyDescent="0.25">
      <c r="K10386" s="312"/>
      <c r="N10386" s="514"/>
    </row>
    <row r="10387" spans="11:14" x14ac:dyDescent="0.25">
      <c r="K10387" s="312"/>
      <c r="N10387" s="514"/>
    </row>
    <row r="10388" spans="11:14" x14ac:dyDescent="0.25">
      <c r="K10388" s="312"/>
      <c r="N10388" s="514"/>
    </row>
    <row r="10389" spans="11:14" x14ac:dyDescent="0.25">
      <c r="K10389" s="312"/>
      <c r="N10389" s="514"/>
    </row>
    <row r="10390" spans="11:14" x14ac:dyDescent="0.25">
      <c r="K10390" s="312"/>
      <c r="N10390" s="514"/>
    </row>
    <row r="10391" spans="11:14" x14ac:dyDescent="0.25">
      <c r="K10391" s="312"/>
      <c r="N10391" s="514"/>
    </row>
    <row r="10392" spans="11:14" x14ac:dyDescent="0.25">
      <c r="K10392" s="312"/>
      <c r="N10392" s="514"/>
    </row>
    <row r="10393" spans="11:14" x14ac:dyDescent="0.25">
      <c r="K10393" s="312"/>
      <c r="N10393" s="514"/>
    </row>
    <row r="10394" spans="11:14" x14ac:dyDescent="0.25">
      <c r="K10394" s="312"/>
      <c r="N10394" s="514"/>
    </row>
    <row r="10395" spans="11:14" x14ac:dyDescent="0.25">
      <c r="K10395" s="312"/>
      <c r="N10395" s="514"/>
    </row>
    <row r="10396" spans="11:14" x14ac:dyDescent="0.25">
      <c r="K10396" s="312"/>
      <c r="N10396" s="514"/>
    </row>
    <row r="10397" spans="11:14" x14ac:dyDescent="0.25">
      <c r="K10397" s="312"/>
      <c r="N10397" s="514"/>
    </row>
    <row r="10398" spans="11:14" x14ac:dyDescent="0.25">
      <c r="K10398" s="312"/>
      <c r="N10398" s="514"/>
    </row>
    <row r="10399" spans="11:14" x14ac:dyDescent="0.25">
      <c r="K10399" s="312"/>
      <c r="N10399" s="514"/>
    </row>
    <row r="10400" spans="11:14" x14ac:dyDescent="0.25">
      <c r="K10400" s="312"/>
      <c r="N10400" s="514"/>
    </row>
    <row r="10401" spans="11:14" x14ac:dyDescent="0.25">
      <c r="K10401" s="312"/>
      <c r="N10401" s="514"/>
    </row>
    <row r="10402" spans="11:14" x14ac:dyDescent="0.25">
      <c r="K10402" s="312"/>
      <c r="N10402" s="514"/>
    </row>
    <row r="10403" spans="11:14" x14ac:dyDescent="0.25">
      <c r="K10403" s="312"/>
      <c r="N10403" s="514"/>
    </row>
    <row r="10404" spans="11:14" x14ac:dyDescent="0.25">
      <c r="K10404" s="312"/>
      <c r="N10404" s="514"/>
    </row>
    <row r="10405" spans="11:14" x14ac:dyDescent="0.25">
      <c r="K10405" s="312"/>
      <c r="N10405" s="514"/>
    </row>
    <row r="10406" spans="11:14" x14ac:dyDescent="0.25">
      <c r="K10406" s="312"/>
      <c r="N10406" s="514"/>
    </row>
    <row r="10407" spans="11:14" x14ac:dyDescent="0.25">
      <c r="K10407" s="312"/>
      <c r="N10407" s="514"/>
    </row>
    <row r="10408" spans="11:14" x14ac:dyDescent="0.25">
      <c r="K10408" s="312"/>
      <c r="N10408" s="514"/>
    </row>
    <row r="10409" spans="11:14" x14ac:dyDescent="0.25">
      <c r="K10409" s="312"/>
      <c r="N10409" s="514"/>
    </row>
    <row r="10410" spans="11:14" x14ac:dyDescent="0.25">
      <c r="K10410" s="312"/>
      <c r="N10410" s="514"/>
    </row>
    <row r="10411" spans="11:14" x14ac:dyDescent="0.25">
      <c r="K10411" s="312"/>
      <c r="N10411" s="514"/>
    </row>
    <row r="10412" spans="11:14" x14ac:dyDescent="0.25">
      <c r="K10412" s="312"/>
      <c r="N10412" s="514"/>
    </row>
    <row r="10413" spans="11:14" x14ac:dyDescent="0.25">
      <c r="K10413" s="312"/>
      <c r="N10413" s="514"/>
    </row>
    <row r="10414" spans="11:14" x14ac:dyDescent="0.25">
      <c r="K10414" s="312"/>
      <c r="N10414" s="514"/>
    </row>
    <row r="10415" spans="11:14" x14ac:dyDescent="0.25">
      <c r="K10415" s="312"/>
      <c r="N10415" s="514"/>
    </row>
    <row r="10416" spans="11:14" x14ac:dyDescent="0.25">
      <c r="K10416" s="312"/>
      <c r="N10416" s="514"/>
    </row>
    <row r="10417" spans="11:14" x14ac:dyDescent="0.25">
      <c r="K10417" s="312"/>
      <c r="N10417" s="514"/>
    </row>
    <row r="10418" spans="11:14" x14ac:dyDescent="0.25">
      <c r="K10418" s="312"/>
      <c r="N10418" s="514"/>
    </row>
    <row r="10419" spans="11:14" x14ac:dyDescent="0.25">
      <c r="K10419" s="312"/>
      <c r="N10419" s="514"/>
    </row>
    <row r="10420" spans="11:14" x14ac:dyDescent="0.25">
      <c r="K10420" s="312"/>
      <c r="N10420" s="514"/>
    </row>
    <row r="10421" spans="11:14" x14ac:dyDescent="0.25">
      <c r="K10421" s="312"/>
      <c r="N10421" s="514"/>
    </row>
    <row r="10422" spans="11:14" x14ac:dyDescent="0.25">
      <c r="K10422" s="312"/>
      <c r="N10422" s="514"/>
    </row>
    <row r="10423" spans="11:14" x14ac:dyDescent="0.25">
      <c r="K10423" s="312"/>
      <c r="N10423" s="514"/>
    </row>
    <row r="10424" spans="11:14" x14ac:dyDescent="0.25">
      <c r="K10424" s="312"/>
      <c r="N10424" s="514"/>
    </row>
    <row r="10425" spans="11:14" x14ac:dyDescent="0.25">
      <c r="K10425" s="312"/>
      <c r="N10425" s="514"/>
    </row>
    <row r="10426" spans="11:14" x14ac:dyDescent="0.25">
      <c r="K10426" s="312"/>
      <c r="N10426" s="514"/>
    </row>
    <row r="10427" spans="11:14" x14ac:dyDescent="0.25">
      <c r="K10427" s="312"/>
      <c r="N10427" s="514"/>
    </row>
    <row r="10428" spans="11:14" x14ac:dyDescent="0.25">
      <c r="K10428" s="312"/>
      <c r="N10428" s="514"/>
    </row>
    <row r="10429" spans="11:14" x14ac:dyDescent="0.25">
      <c r="K10429" s="312"/>
      <c r="N10429" s="514"/>
    </row>
    <row r="10430" spans="11:14" x14ac:dyDescent="0.25">
      <c r="K10430" s="312"/>
      <c r="N10430" s="514"/>
    </row>
    <row r="10431" spans="11:14" x14ac:dyDescent="0.25">
      <c r="K10431" s="312"/>
      <c r="N10431" s="514"/>
    </row>
    <row r="10432" spans="11:14" x14ac:dyDescent="0.25">
      <c r="K10432" s="312"/>
      <c r="N10432" s="514"/>
    </row>
    <row r="10433" spans="11:14" x14ac:dyDescent="0.25">
      <c r="K10433" s="312"/>
      <c r="N10433" s="514"/>
    </row>
    <row r="10434" spans="11:14" x14ac:dyDescent="0.25">
      <c r="K10434" s="312"/>
      <c r="N10434" s="514"/>
    </row>
    <row r="10435" spans="11:14" x14ac:dyDescent="0.25">
      <c r="K10435" s="312"/>
      <c r="N10435" s="514"/>
    </row>
    <row r="10436" spans="11:14" x14ac:dyDescent="0.25">
      <c r="K10436" s="312"/>
      <c r="N10436" s="514"/>
    </row>
    <row r="10437" spans="11:14" x14ac:dyDescent="0.25">
      <c r="K10437" s="312"/>
      <c r="N10437" s="514"/>
    </row>
    <row r="10438" spans="11:14" x14ac:dyDescent="0.25">
      <c r="K10438" s="312"/>
      <c r="N10438" s="514"/>
    </row>
    <row r="10439" spans="11:14" x14ac:dyDescent="0.25">
      <c r="K10439" s="312"/>
      <c r="N10439" s="514"/>
    </row>
    <row r="10440" spans="11:14" x14ac:dyDescent="0.25">
      <c r="K10440" s="312"/>
      <c r="N10440" s="514"/>
    </row>
    <row r="10441" spans="11:14" x14ac:dyDescent="0.25">
      <c r="K10441" s="312"/>
      <c r="N10441" s="514"/>
    </row>
    <row r="10442" spans="11:14" x14ac:dyDescent="0.25">
      <c r="K10442" s="312"/>
      <c r="N10442" s="514"/>
    </row>
    <row r="10443" spans="11:14" x14ac:dyDescent="0.25">
      <c r="K10443" s="312"/>
      <c r="N10443" s="514"/>
    </row>
    <row r="10444" spans="11:14" x14ac:dyDescent="0.25">
      <c r="K10444" s="312"/>
      <c r="N10444" s="514"/>
    </row>
    <row r="10445" spans="11:14" x14ac:dyDescent="0.25">
      <c r="K10445" s="312"/>
      <c r="N10445" s="514"/>
    </row>
    <row r="10446" spans="11:14" x14ac:dyDescent="0.25">
      <c r="K10446" s="312"/>
      <c r="N10446" s="514"/>
    </row>
    <row r="10447" spans="11:14" x14ac:dyDescent="0.25">
      <c r="K10447" s="312"/>
      <c r="N10447" s="514"/>
    </row>
    <row r="10448" spans="11:14" x14ac:dyDescent="0.25">
      <c r="K10448" s="312"/>
      <c r="N10448" s="514"/>
    </row>
    <row r="10449" spans="11:14" x14ac:dyDescent="0.25">
      <c r="K10449" s="312"/>
      <c r="N10449" s="514"/>
    </row>
    <row r="10450" spans="11:14" x14ac:dyDescent="0.25">
      <c r="K10450" s="312"/>
      <c r="N10450" s="514"/>
    </row>
    <row r="10451" spans="11:14" x14ac:dyDescent="0.25">
      <c r="K10451" s="312"/>
      <c r="N10451" s="514"/>
    </row>
    <row r="10452" spans="11:14" x14ac:dyDescent="0.25">
      <c r="K10452" s="312"/>
      <c r="N10452" s="514"/>
    </row>
    <row r="10453" spans="11:14" x14ac:dyDescent="0.25">
      <c r="K10453" s="312"/>
      <c r="N10453" s="514"/>
    </row>
    <row r="10454" spans="11:14" x14ac:dyDescent="0.25">
      <c r="K10454" s="312"/>
      <c r="N10454" s="514"/>
    </row>
    <row r="10455" spans="11:14" x14ac:dyDescent="0.25">
      <c r="K10455" s="312"/>
      <c r="N10455" s="514"/>
    </row>
    <row r="10456" spans="11:14" x14ac:dyDescent="0.25">
      <c r="K10456" s="312"/>
      <c r="N10456" s="514"/>
    </row>
    <row r="10457" spans="11:14" x14ac:dyDescent="0.25">
      <c r="K10457" s="312"/>
      <c r="N10457" s="514"/>
    </row>
    <row r="10458" spans="11:14" x14ac:dyDescent="0.25">
      <c r="K10458" s="312"/>
      <c r="N10458" s="514"/>
    </row>
    <row r="10459" spans="11:14" x14ac:dyDescent="0.25">
      <c r="K10459" s="312"/>
      <c r="N10459" s="514"/>
    </row>
    <row r="10460" spans="11:14" x14ac:dyDescent="0.25">
      <c r="K10460" s="312"/>
      <c r="N10460" s="514"/>
    </row>
    <row r="10461" spans="11:14" x14ac:dyDescent="0.25">
      <c r="K10461" s="312"/>
      <c r="N10461" s="514"/>
    </row>
    <row r="10462" spans="11:14" x14ac:dyDescent="0.25">
      <c r="K10462" s="312"/>
      <c r="N10462" s="514"/>
    </row>
    <row r="10463" spans="11:14" x14ac:dyDescent="0.25">
      <c r="K10463" s="312"/>
      <c r="N10463" s="514"/>
    </row>
    <row r="10464" spans="11:14" x14ac:dyDescent="0.25">
      <c r="K10464" s="312"/>
      <c r="N10464" s="514"/>
    </row>
    <row r="10465" spans="11:14" x14ac:dyDescent="0.25">
      <c r="K10465" s="312"/>
      <c r="N10465" s="514"/>
    </row>
    <row r="10466" spans="11:14" x14ac:dyDescent="0.25">
      <c r="K10466" s="312"/>
      <c r="N10466" s="514"/>
    </row>
    <row r="10467" spans="11:14" x14ac:dyDescent="0.25">
      <c r="K10467" s="312"/>
      <c r="N10467" s="514"/>
    </row>
    <row r="10468" spans="11:14" x14ac:dyDescent="0.25">
      <c r="K10468" s="312"/>
      <c r="N10468" s="514"/>
    </row>
    <row r="10469" spans="11:14" x14ac:dyDescent="0.25">
      <c r="K10469" s="312"/>
      <c r="N10469" s="514"/>
    </row>
    <row r="10470" spans="11:14" x14ac:dyDescent="0.25">
      <c r="K10470" s="312"/>
      <c r="N10470" s="514"/>
    </row>
    <row r="10471" spans="11:14" x14ac:dyDescent="0.25">
      <c r="K10471" s="312"/>
      <c r="N10471" s="514"/>
    </row>
    <row r="10472" spans="11:14" x14ac:dyDescent="0.25">
      <c r="K10472" s="312"/>
      <c r="N10472" s="514"/>
    </row>
    <row r="10473" spans="11:14" x14ac:dyDescent="0.25">
      <c r="K10473" s="312"/>
      <c r="N10473" s="514"/>
    </row>
    <row r="10474" spans="11:14" x14ac:dyDescent="0.25">
      <c r="K10474" s="312"/>
      <c r="N10474" s="514"/>
    </row>
    <row r="10475" spans="11:14" x14ac:dyDescent="0.25">
      <c r="K10475" s="312"/>
      <c r="N10475" s="514"/>
    </row>
    <row r="10476" spans="11:14" x14ac:dyDescent="0.25">
      <c r="K10476" s="312"/>
      <c r="N10476" s="514"/>
    </row>
    <row r="10477" spans="11:14" x14ac:dyDescent="0.25">
      <c r="K10477" s="312"/>
      <c r="N10477" s="514"/>
    </row>
    <row r="10478" spans="11:14" x14ac:dyDescent="0.25">
      <c r="K10478" s="312"/>
      <c r="N10478" s="514"/>
    </row>
    <row r="10479" spans="11:14" x14ac:dyDescent="0.25">
      <c r="K10479" s="312"/>
      <c r="N10479" s="514"/>
    </row>
    <row r="10480" spans="11:14" x14ac:dyDescent="0.25">
      <c r="K10480" s="312"/>
      <c r="N10480" s="514"/>
    </row>
    <row r="10481" spans="11:14" x14ac:dyDescent="0.25">
      <c r="K10481" s="312"/>
      <c r="N10481" s="514"/>
    </row>
    <row r="10482" spans="11:14" x14ac:dyDescent="0.25">
      <c r="K10482" s="312"/>
      <c r="N10482" s="514"/>
    </row>
    <row r="10483" spans="11:14" x14ac:dyDescent="0.25">
      <c r="K10483" s="312"/>
      <c r="N10483" s="514"/>
    </row>
    <row r="10484" spans="11:14" x14ac:dyDescent="0.25">
      <c r="K10484" s="312"/>
      <c r="N10484" s="514"/>
    </row>
    <row r="10485" spans="11:14" x14ac:dyDescent="0.25">
      <c r="K10485" s="312"/>
      <c r="N10485" s="514"/>
    </row>
    <row r="10486" spans="11:14" x14ac:dyDescent="0.25">
      <c r="K10486" s="312"/>
      <c r="N10486" s="514"/>
    </row>
    <row r="10487" spans="11:14" x14ac:dyDescent="0.25">
      <c r="K10487" s="312"/>
      <c r="N10487" s="514"/>
    </row>
    <row r="10488" spans="11:14" x14ac:dyDescent="0.25">
      <c r="K10488" s="312"/>
      <c r="N10488" s="514"/>
    </row>
    <row r="10489" spans="11:14" x14ac:dyDescent="0.25">
      <c r="K10489" s="312"/>
      <c r="N10489" s="514"/>
    </row>
    <row r="10490" spans="11:14" x14ac:dyDescent="0.25">
      <c r="K10490" s="312"/>
      <c r="N10490" s="514"/>
    </row>
    <row r="10491" spans="11:14" x14ac:dyDescent="0.25">
      <c r="K10491" s="312"/>
      <c r="N10491" s="514"/>
    </row>
    <row r="10492" spans="11:14" x14ac:dyDescent="0.25">
      <c r="K10492" s="312"/>
      <c r="N10492" s="514"/>
    </row>
    <row r="10493" spans="11:14" x14ac:dyDescent="0.25">
      <c r="K10493" s="312"/>
      <c r="N10493" s="514"/>
    </row>
    <row r="10494" spans="11:14" x14ac:dyDescent="0.25">
      <c r="K10494" s="312"/>
      <c r="N10494" s="514"/>
    </row>
    <row r="10495" spans="11:14" x14ac:dyDescent="0.25">
      <c r="K10495" s="312"/>
      <c r="N10495" s="514"/>
    </row>
    <row r="10496" spans="11:14" x14ac:dyDescent="0.25">
      <c r="K10496" s="312"/>
      <c r="N10496" s="514"/>
    </row>
    <row r="10497" spans="11:14" x14ac:dyDescent="0.25">
      <c r="K10497" s="312"/>
      <c r="N10497" s="514"/>
    </row>
    <row r="10498" spans="11:14" x14ac:dyDescent="0.25">
      <c r="K10498" s="312"/>
      <c r="N10498" s="514"/>
    </row>
    <row r="10499" spans="11:14" x14ac:dyDescent="0.25">
      <c r="K10499" s="312"/>
      <c r="N10499" s="514"/>
    </row>
    <row r="10500" spans="11:14" x14ac:dyDescent="0.25">
      <c r="K10500" s="312"/>
      <c r="N10500" s="514"/>
    </row>
    <row r="10501" spans="11:14" x14ac:dyDescent="0.25">
      <c r="K10501" s="312"/>
      <c r="N10501" s="514"/>
    </row>
    <row r="10502" spans="11:14" x14ac:dyDescent="0.25">
      <c r="K10502" s="312"/>
      <c r="N10502" s="514"/>
    </row>
    <row r="10503" spans="11:14" x14ac:dyDescent="0.25">
      <c r="K10503" s="312"/>
      <c r="N10503" s="514"/>
    </row>
    <row r="10504" spans="11:14" x14ac:dyDescent="0.25">
      <c r="K10504" s="312"/>
      <c r="N10504" s="514"/>
    </row>
    <row r="10505" spans="11:14" x14ac:dyDescent="0.25">
      <c r="K10505" s="312"/>
      <c r="N10505" s="514"/>
    </row>
    <row r="10506" spans="11:14" x14ac:dyDescent="0.25">
      <c r="K10506" s="312"/>
      <c r="N10506" s="514"/>
    </row>
    <row r="10507" spans="11:14" x14ac:dyDescent="0.25">
      <c r="K10507" s="312"/>
      <c r="N10507" s="514"/>
    </row>
    <row r="10508" spans="11:14" x14ac:dyDescent="0.25">
      <c r="K10508" s="312"/>
      <c r="N10508" s="514"/>
    </row>
    <row r="10509" spans="11:14" x14ac:dyDescent="0.25">
      <c r="K10509" s="312"/>
      <c r="N10509" s="514"/>
    </row>
    <row r="10510" spans="11:14" x14ac:dyDescent="0.25">
      <c r="K10510" s="312"/>
      <c r="N10510" s="514"/>
    </row>
    <row r="10511" spans="11:14" x14ac:dyDescent="0.25">
      <c r="K10511" s="312"/>
      <c r="N10511" s="514"/>
    </row>
    <row r="10512" spans="11:14" x14ac:dyDescent="0.25">
      <c r="K10512" s="312"/>
      <c r="N10512" s="514"/>
    </row>
    <row r="10513" spans="11:14" x14ac:dyDescent="0.25">
      <c r="K10513" s="312"/>
      <c r="N10513" s="514"/>
    </row>
    <row r="10514" spans="11:14" x14ac:dyDescent="0.25">
      <c r="K10514" s="312"/>
      <c r="N10514" s="514"/>
    </row>
    <row r="10515" spans="11:14" x14ac:dyDescent="0.25">
      <c r="K10515" s="312"/>
      <c r="N10515" s="514"/>
    </row>
    <row r="10516" spans="11:14" x14ac:dyDescent="0.25">
      <c r="K10516" s="312"/>
      <c r="N10516" s="514"/>
    </row>
    <row r="10517" spans="11:14" x14ac:dyDescent="0.25">
      <c r="K10517" s="312"/>
      <c r="N10517" s="514"/>
    </row>
    <row r="10518" spans="11:14" x14ac:dyDescent="0.25">
      <c r="K10518" s="312"/>
      <c r="N10518" s="514"/>
    </row>
    <row r="10519" spans="11:14" x14ac:dyDescent="0.25">
      <c r="K10519" s="312"/>
      <c r="N10519" s="514"/>
    </row>
    <row r="10520" spans="11:14" x14ac:dyDescent="0.25">
      <c r="K10520" s="312"/>
      <c r="N10520" s="514"/>
    </row>
    <row r="10521" spans="11:14" x14ac:dyDescent="0.25">
      <c r="K10521" s="312"/>
      <c r="N10521" s="514"/>
    </row>
    <row r="10522" spans="11:14" x14ac:dyDescent="0.25">
      <c r="K10522" s="312"/>
      <c r="N10522" s="514"/>
    </row>
    <row r="10523" spans="11:14" x14ac:dyDescent="0.25">
      <c r="K10523" s="312"/>
      <c r="N10523" s="514"/>
    </row>
    <row r="10524" spans="11:14" x14ac:dyDescent="0.25">
      <c r="K10524" s="312"/>
      <c r="N10524" s="514"/>
    </row>
    <row r="10525" spans="11:14" x14ac:dyDescent="0.25">
      <c r="K10525" s="312"/>
      <c r="N10525" s="514"/>
    </row>
    <row r="10526" spans="11:14" x14ac:dyDescent="0.25">
      <c r="K10526" s="312"/>
      <c r="N10526" s="514"/>
    </row>
    <row r="10527" spans="11:14" x14ac:dyDescent="0.25">
      <c r="K10527" s="312"/>
      <c r="N10527" s="514"/>
    </row>
    <row r="10528" spans="11:14" x14ac:dyDescent="0.25">
      <c r="K10528" s="312"/>
      <c r="N10528" s="514"/>
    </row>
    <row r="10529" spans="11:14" x14ac:dyDescent="0.25">
      <c r="K10529" s="312"/>
      <c r="N10529" s="514"/>
    </row>
    <row r="10530" spans="11:14" x14ac:dyDescent="0.25">
      <c r="K10530" s="312"/>
      <c r="N10530" s="514"/>
    </row>
    <row r="10531" spans="11:14" x14ac:dyDescent="0.25">
      <c r="K10531" s="312"/>
      <c r="N10531" s="514"/>
    </row>
    <row r="10532" spans="11:14" x14ac:dyDescent="0.25">
      <c r="K10532" s="312"/>
      <c r="N10532" s="514"/>
    </row>
    <row r="10533" spans="11:14" x14ac:dyDescent="0.25">
      <c r="K10533" s="312"/>
      <c r="N10533" s="514"/>
    </row>
    <row r="10534" spans="11:14" x14ac:dyDescent="0.25">
      <c r="K10534" s="312"/>
      <c r="N10534" s="514"/>
    </row>
    <row r="10535" spans="11:14" x14ac:dyDescent="0.25">
      <c r="K10535" s="312"/>
      <c r="N10535" s="514"/>
    </row>
    <row r="10536" spans="11:14" x14ac:dyDescent="0.25">
      <c r="K10536" s="312"/>
      <c r="N10536" s="514"/>
    </row>
    <row r="10537" spans="11:14" x14ac:dyDescent="0.25">
      <c r="K10537" s="312"/>
      <c r="N10537" s="514"/>
    </row>
    <row r="10538" spans="11:14" x14ac:dyDescent="0.25">
      <c r="K10538" s="312"/>
      <c r="N10538" s="514"/>
    </row>
    <row r="10539" spans="11:14" x14ac:dyDescent="0.25">
      <c r="K10539" s="312"/>
      <c r="N10539" s="514"/>
    </row>
    <row r="10540" spans="11:14" x14ac:dyDescent="0.25">
      <c r="K10540" s="312"/>
      <c r="N10540" s="514"/>
    </row>
    <row r="10541" spans="11:14" x14ac:dyDescent="0.25">
      <c r="K10541" s="312"/>
      <c r="N10541" s="514"/>
    </row>
    <row r="10542" spans="11:14" x14ac:dyDescent="0.25">
      <c r="K10542" s="312"/>
      <c r="N10542" s="514"/>
    </row>
    <row r="10543" spans="11:14" x14ac:dyDescent="0.25">
      <c r="K10543" s="312"/>
      <c r="N10543" s="514"/>
    </row>
    <row r="10544" spans="11:14" x14ac:dyDescent="0.25">
      <c r="K10544" s="312"/>
      <c r="N10544" s="514"/>
    </row>
    <row r="10545" spans="11:14" x14ac:dyDescent="0.25">
      <c r="K10545" s="312"/>
      <c r="N10545" s="514"/>
    </row>
    <row r="10546" spans="11:14" x14ac:dyDescent="0.25">
      <c r="K10546" s="312"/>
      <c r="N10546" s="514"/>
    </row>
    <row r="10547" spans="11:14" x14ac:dyDescent="0.25">
      <c r="K10547" s="312"/>
      <c r="N10547" s="514"/>
    </row>
    <row r="10548" spans="11:14" x14ac:dyDescent="0.25">
      <c r="K10548" s="312"/>
      <c r="N10548" s="514"/>
    </row>
    <row r="10549" spans="11:14" x14ac:dyDescent="0.25">
      <c r="K10549" s="312"/>
      <c r="N10549" s="514"/>
    </row>
  </sheetData>
  <autoFilter ref="A4:HK436">
    <filterColumn colId="1">
      <customFilters and="1">
        <customFilter operator="notEqual" val=" "/>
      </customFilters>
    </filterColumn>
    <filterColumn colId="14">
      <customFilters and="1">
        <customFilter operator="notEqual" val=" "/>
      </customFilters>
    </filterColumn>
  </autoFilter>
  <mergeCells count="3">
    <mergeCell ref="B2:E2"/>
    <mergeCell ref="B1:E1"/>
    <mergeCell ref="C3:P3"/>
  </mergeCells>
  <phoneticPr fontId="19" type="noConversion"/>
  <pageMargins left="0.78740157480314965" right="0" top="0" bottom="0" header="0" footer="0"/>
  <pageSetup paperSize="9" scale="48" orientation="portrait" r:id="rId1"/>
  <headerFooter alignWithMargins="0"/>
  <rowBreaks count="4" manualBreakCount="4">
    <brk id="106" max="240" man="1"/>
    <brk id="434" max="16383" man="1"/>
    <brk id="441" max="16383" man="1"/>
    <brk id="50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125133313244522234" filterMode="1"/>
  <dimension ref="A1:IG10549"/>
  <sheetViews>
    <sheetView showZeros="0" view="pageBreakPreview" topLeftCell="A385" zoomScale="75" zoomScaleNormal="75" zoomScaleSheetLayoutView="75" workbookViewId="0">
      <selection activeCell="H444" sqref="H444"/>
    </sheetView>
  </sheetViews>
  <sheetFormatPr defaultColWidth="16.7109375" defaultRowHeight="18" x14ac:dyDescent="0.25"/>
  <cols>
    <col min="1" max="1" width="0.140625" style="10" customWidth="1"/>
    <col min="2" max="2" width="7.42578125" style="25" customWidth="1"/>
    <col min="3" max="3" width="8.28515625" style="10" customWidth="1"/>
    <col min="4" max="4" width="6.85546875" style="76" customWidth="1"/>
    <col min="5" max="5" width="28" style="46" customWidth="1"/>
    <col min="6" max="6" width="8.7109375" style="523" customWidth="1"/>
    <col min="7" max="7" width="5.85546875" style="50" customWidth="1"/>
    <col min="8" max="8" width="14.5703125" style="46" customWidth="1"/>
    <col min="9" max="9" width="15.28515625" style="315" customWidth="1"/>
    <col min="10" max="10" width="11.140625" style="46" customWidth="1"/>
    <col min="11" max="11" width="13.140625" style="373" customWidth="1"/>
    <col min="12" max="12" width="14.5703125" style="226" customWidth="1"/>
    <col min="13" max="13" width="33" style="221" customWidth="1"/>
    <col min="14" max="14" width="13" style="278" customWidth="1"/>
    <col min="15" max="15" width="12" style="46" customWidth="1"/>
    <col min="16" max="16" width="18.85546875" style="312" customWidth="1"/>
    <col min="17" max="17" width="24.7109375" style="37" customWidth="1"/>
    <col min="18" max="18" width="8.28515625" style="301" customWidth="1"/>
    <col min="19" max="19" width="11.140625" style="319" customWidth="1"/>
    <col min="20" max="20" width="19" style="349" customWidth="1"/>
    <col min="21" max="21" width="16.28515625" style="10" customWidth="1"/>
    <col min="22" max="22" width="16.7109375" style="10" customWidth="1"/>
    <col min="23" max="23" width="16.85546875" style="10" customWidth="1"/>
    <col min="24" max="24" width="16.28515625" style="10" customWidth="1"/>
    <col min="25" max="25" width="29.7109375" style="537" customWidth="1"/>
    <col min="26" max="27" width="14.85546875" style="10" customWidth="1"/>
    <col min="28" max="28" width="14.85546875" style="21" customWidth="1"/>
    <col min="29" max="29" width="11.85546875" style="445" customWidth="1"/>
    <col min="30" max="30" width="16.140625" style="446" customWidth="1"/>
    <col min="31" max="31" width="16.5703125" style="161" customWidth="1"/>
    <col min="32" max="32" width="12.5703125" style="170" customWidth="1"/>
    <col min="33" max="33" width="8.140625" style="172" customWidth="1"/>
    <col min="34" max="34" width="10.42578125" style="118" customWidth="1"/>
    <col min="35" max="35" width="15.5703125" style="121" customWidth="1"/>
    <col min="36" max="36" width="16.7109375" style="182" customWidth="1"/>
    <col min="37" max="37" width="16.7109375" style="121" customWidth="1"/>
    <col min="38" max="16384" width="16.7109375" style="10"/>
  </cols>
  <sheetData>
    <row r="1" spans="2:38" ht="0.75" customHeight="1" x14ac:dyDescent="0.25">
      <c r="B1" s="894"/>
      <c r="C1" s="894"/>
      <c r="D1" s="894"/>
      <c r="E1" s="895"/>
      <c r="H1" s="83"/>
      <c r="I1" s="294"/>
      <c r="J1" s="83"/>
      <c r="K1" s="371"/>
      <c r="S1" s="316"/>
      <c r="V1" s="20">
        <f>N1</f>
        <v>0</v>
      </c>
    </row>
    <row r="2" spans="2:38" s="2" customFormat="1" ht="42.75" customHeight="1" thickBot="1" x14ac:dyDescent="0.45">
      <c r="B2" s="891" t="s">
        <v>37</v>
      </c>
      <c r="C2" s="892"/>
      <c r="D2" s="892"/>
      <c r="E2" s="893"/>
      <c r="F2" s="524"/>
      <c r="G2" s="50"/>
      <c r="H2" s="38"/>
      <c r="I2" s="38" t="s">
        <v>191</v>
      </c>
      <c r="J2" s="38" t="s">
        <v>602</v>
      </c>
      <c r="K2" s="38" t="s">
        <v>848</v>
      </c>
      <c r="L2" s="227"/>
      <c r="M2" s="222"/>
      <c r="N2" s="376"/>
      <c r="O2" s="38"/>
      <c r="P2" s="308" t="s">
        <v>191</v>
      </c>
      <c r="Q2" s="898" t="s">
        <v>27</v>
      </c>
      <c r="R2" s="899"/>
      <c r="S2" s="900"/>
      <c r="T2" s="350"/>
      <c r="U2" s="207" t="s">
        <v>406</v>
      </c>
      <c r="V2" s="36"/>
      <c r="W2" s="36"/>
      <c r="X2" s="207" t="s">
        <v>406</v>
      </c>
      <c r="Y2" s="538"/>
      <c r="Z2" s="429" t="s">
        <v>800</v>
      </c>
      <c r="AA2" s="207"/>
      <c r="AB2" s="415"/>
      <c r="AC2" s="500" t="s">
        <v>647</v>
      </c>
      <c r="AD2" s="448"/>
      <c r="AE2" s="162"/>
      <c r="AF2" s="171"/>
      <c r="AG2" s="173"/>
      <c r="AH2" s="17"/>
      <c r="AI2" s="122"/>
      <c r="AJ2" s="179"/>
      <c r="AK2" s="248"/>
      <c r="AL2" s="109"/>
    </row>
    <row r="3" spans="2:38" s="2" customFormat="1" ht="54.75" customHeight="1" thickBot="1" x14ac:dyDescent="0.45">
      <c r="B3" s="242"/>
      <c r="C3" s="243"/>
      <c r="D3" s="243"/>
      <c r="E3" s="245"/>
      <c r="F3" s="524"/>
      <c r="G3" s="50"/>
      <c r="H3" s="38"/>
      <c r="I3" s="308"/>
      <c r="J3" s="508" t="s">
        <v>4</v>
      </c>
      <c r="K3" s="308"/>
      <c r="L3" s="246"/>
      <c r="M3" s="222"/>
      <c r="N3" s="376"/>
      <c r="O3" s="38"/>
      <c r="P3" s="308"/>
      <c r="Q3" s="244"/>
      <c r="R3" s="302"/>
      <c r="S3" s="317"/>
      <c r="T3" s="350"/>
      <c r="U3" s="207"/>
      <c r="V3" s="247"/>
      <c r="W3" s="36"/>
      <c r="X3" s="207"/>
      <c r="Y3" s="538"/>
      <c r="Z3" s="207"/>
      <c r="AA3" s="207"/>
      <c r="AB3" s="415"/>
      <c r="AC3" s="447"/>
      <c r="AD3" s="448"/>
      <c r="AE3" s="162"/>
      <c r="AF3" s="171"/>
      <c r="AG3" s="173"/>
      <c r="AH3" s="17"/>
      <c r="AI3" s="122"/>
      <c r="AJ3" s="179"/>
      <c r="AK3" s="122"/>
      <c r="AL3" s="472"/>
    </row>
    <row r="4" spans="2:38" s="53" customFormat="1" ht="59.25" customHeight="1" thickBot="1" x14ac:dyDescent="0.5">
      <c r="B4" s="65" t="s">
        <v>6</v>
      </c>
      <c r="C4" s="57" t="s">
        <v>17</v>
      </c>
      <c r="D4" s="77" t="s">
        <v>223</v>
      </c>
      <c r="E4" s="236" t="s">
        <v>16</v>
      </c>
      <c r="F4" s="525" t="s">
        <v>41</v>
      </c>
      <c r="G4" s="58" t="s">
        <v>7</v>
      </c>
      <c r="H4" s="66" t="s">
        <v>8</v>
      </c>
      <c r="I4" s="313" t="s">
        <v>103</v>
      </c>
      <c r="J4" s="498"/>
      <c r="K4" s="356" t="s">
        <v>12</v>
      </c>
      <c r="L4" s="228" t="s">
        <v>69</v>
      </c>
      <c r="M4" s="223" t="s">
        <v>14</v>
      </c>
      <c r="N4" s="138" t="s">
        <v>11</v>
      </c>
      <c r="O4" s="67" t="s">
        <v>8</v>
      </c>
      <c r="P4" s="496" t="s">
        <v>103</v>
      </c>
      <c r="Q4" s="361" t="s">
        <v>16</v>
      </c>
      <c r="R4" s="303" t="s">
        <v>10</v>
      </c>
      <c r="S4" s="318" t="s">
        <v>84</v>
      </c>
      <c r="T4" s="351" t="s">
        <v>85</v>
      </c>
      <c r="U4" s="7" t="s">
        <v>809</v>
      </c>
      <c r="V4" s="20" t="str">
        <f>N4</f>
        <v>Реализовано товара       К-во</v>
      </c>
      <c r="W4" s="7" t="s">
        <v>159</v>
      </c>
      <c r="X4" s="7" t="s">
        <v>809</v>
      </c>
      <c r="Y4" s="539"/>
      <c r="Z4" s="7" t="s">
        <v>597</v>
      </c>
      <c r="AA4" s="7" t="s">
        <v>594</v>
      </c>
      <c r="AB4" s="416"/>
      <c r="AC4" s="167" t="s">
        <v>430</v>
      </c>
      <c r="AD4" s="449" t="s">
        <v>336</v>
      </c>
      <c r="AE4" s="167" t="s">
        <v>394</v>
      </c>
      <c r="AF4" s="159" t="s">
        <v>425</v>
      </c>
      <c r="AG4" s="174" t="s">
        <v>325</v>
      </c>
      <c r="AH4" s="119" t="s">
        <v>326</v>
      </c>
      <c r="AI4" s="123" t="s">
        <v>327</v>
      </c>
      <c r="AJ4" s="183" t="s">
        <v>407</v>
      </c>
      <c r="AK4" s="432" t="s">
        <v>340</v>
      </c>
      <c r="AL4" s="473"/>
    </row>
    <row r="5" spans="2:38" s="3" customFormat="1" ht="27.75" customHeight="1" x14ac:dyDescent="0.3">
      <c r="B5" s="412">
        <v>1</v>
      </c>
      <c r="C5" s="54"/>
      <c r="D5" s="78"/>
      <c r="E5" s="56"/>
      <c r="F5" s="524"/>
      <c r="G5" s="55"/>
      <c r="H5" s="56" t="s">
        <v>849</v>
      </c>
      <c r="I5" s="56" t="s">
        <v>849</v>
      </c>
      <c r="K5" s="357"/>
      <c r="L5" s="229"/>
      <c r="M5" s="224"/>
      <c r="N5" s="139"/>
      <c r="O5" s="502" t="s">
        <v>850</v>
      </c>
      <c r="P5" s="498" t="s">
        <v>850</v>
      </c>
      <c r="Q5" s="362"/>
      <c r="R5" s="304"/>
      <c r="S5" s="319"/>
      <c r="T5" s="352"/>
      <c r="U5" s="35" t="s">
        <v>810</v>
      </c>
      <c r="V5" s="20" t="str">
        <f>K2</f>
        <v>НОЯБРЬ</v>
      </c>
      <c r="W5" s="75" t="str">
        <f>V5</f>
        <v>НОЯБРЬ</v>
      </c>
      <c r="X5" s="35" t="s">
        <v>862</v>
      </c>
      <c r="Y5" s="35"/>
      <c r="Z5" s="35"/>
      <c r="AA5" s="35" t="s">
        <v>595</v>
      </c>
      <c r="AB5" s="75"/>
      <c r="AC5" s="168"/>
      <c r="AD5" s="450"/>
      <c r="AE5" s="162"/>
      <c r="AF5" s="171"/>
      <c r="AG5" s="173" t="s">
        <v>328</v>
      </c>
      <c r="AH5" s="17"/>
      <c r="AI5" s="124"/>
      <c r="AJ5" s="184"/>
      <c r="AK5" s="433"/>
      <c r="AL5" s="474"/>
    </row>
    <row r="6" spans="2:38" s="5" customFormat="1" ht="26.25" hidden="1" customHeight="1" x14ac:dyDescent="0.25">
      <c r="B6" s="11"/>
      <c r="C6" s="6" t="s">
        <v>18</v>
      </c>
      <c r="D6" s="23" t="s">
        <v>9</v>
      </c>
      <c r="E6" s="536" t="s">
        <v>752</v>
      </c>
      <c r="F6" s="208">
        <v>1475</v>
      </c>
      <c r="G6" s="48" t="s">
        <v>0</v>
      </c>
      <c r="H6" s="39">
        <v>0</v>
      </c>
      <c r="I6" s="309">
        <v>0</v>
      </c>
      <c r="J6" s="39">
        <f t="shared" ref="J6:J69" si="0">N6+O6-H6</f>
        <v>0</v>
      </c>
      <c r="K6" s="309">
        <f>R6</f>
        <v>0.06</v>
      </c>
      <c r="L6" s="230">
        <f>K6*J6</f>
        <v>0</v>
      </c>
      <c r="M6" s="60"/>
      <c r="N6" s="279"/>
      <c r="O6" s="39">
        <v>0</v>
      </c>
      <c r="P6" s="490">
        <f>K6*O6</f>
        <v>0</v>
      </c>
      <c r="Q6" s="258" t="str">
        <f t="shared" ref="Q6:Q52" si="1">E6</f>
        <v>СД523007</v>
      </c>
      <c r="R6" s="305">
        <f>647*0.0001</f>
        <v>0.06</v>
      </c>
      <c r="S6" s="320">
        <f>16.25*0.033</f>
        <v>0.54</v>
      </c>
      <c r="T6" s="353">
        <f t="shared" ref="T6:T44" si="2">S6*J6</f>
        <v>0</v>
      </c>
      <c r="U6" s="70"/>
      <c r="V6" s="20">
        <f t="shared" ref="V6:V37" si="3">N6</f>
        <v>0</v>
      </c>
      <c r="W6" s="52">
        <f t="shared" ref="W6:W45" si="4">X6-U6+V6</f>
        <v>0</v>
      </c>
      <c r="X6" s="148"/>
      <c r="Y6" s="20"/>
      <c r="Z6" s="20"/>
      <c r="AA6" s="20"/>
      <c r="AB6" s="417"/>
      <c r="AC6" s="200"/>
      <c r="AD6" s="160"/>
      <c r="AE6" s="163"/>
      <c r="AF6" s="171"/>
      <c r="AG6" s="173">
        <v>0.42</v>
      </c>
      <c r="AH6" s="14">
        <f>0.001*AG6*N6</f>
        <v>0</v>
      </c>
      <c r="AI6" s="14"/>
      <c r="AJ6" s="178"/>
      <c r="AK6" s="434"/>
      <c r="AL6" s="475"/>
    </row>
    <row r="7" spans="2:38" s="5" customFormat="1" ht="26.25" customHeight="1" x14ac:dyDescent="0.25">
      <c r="B7" s="11">
        <v>1</v>
      </c>
      <c r="C7" s="6" t="s">
        <v>18</v>
      </c>
      <c r="D7" s="23" t="s">
        <v>9</v>
      </c>
      <c r="E7" s="269" t="s">
        <v>268</v>
      </c>
      <c r="F7" s="208">
        <v>411</v>
      </c>
      <c r="G7" s="12" t="s">
        <v>0</v>
      </c>
      <c r="H7" s="39">
        <v>228</v>
      </c>
      <c r="I7" s="360">
        <v>184.68</v>
      </c>
      <c r="J7" s="39">
        <f t="shared" si="0"/>
        <v>0</v>
      </c>
      <c r="K7" s="309">
        <f>R7*0.8</f>
        <v>0.81</v>
      </c>
      <c r="L7" s="230">
        <f>K7*J7</f>
        <v>0</v>
      </c>
      <c r="M7" s="194"/>
      <c r="N7" s="279"/>
      <c r="O7" s="503">
        <v>228</v>
      </c>
      <c r="P7" s="309">
        <f>K7*O7</f>
        <v>184.68</v>
      </c>
      <c r="Q7" s="235" t="str">
        <f t="shared" si="1"/>
        <v>ЭПГ110.151-01</v>
      </c>
      <c r="R7" s="377">
        <f t="shared" ref="R7:R38" si="5">S7*1.2</f>
        <v>1.01</v>
      </c>
      <c r="S7" s="321">
        <v>0.84</v>
      </c>
      <c r="T7" s="353">
        <f t="shared" si="2"/>
        <v>0</v>
      </c>
      <c r="U7" s="430">
        <v>228</v>
      </c>
      <c r="V7" s="20">
        <f t="shared" si="3"/>
        <v>0</v>
      </c>
      <c r="W7" s="52">
        <f t="shared" si="4"/>
        <v>1392</v>
      </c>
      <c r="X7" s="147">
        <f>162*10</f>
        <v>1620</v>
      </c>
      <c r="Y7" s="18"/>
      <c r="Z7" s="18">
        <v>600</v>
      </c>
      <c r="AA7" s="18">
        <v>4590</v>
      </c>
      <c r="AB7" s="418"/>
      <c r="AC7" s="18"/>
      <c r="AD7" s="160"/>
      <c r="AE7" s="164"/>
      <c r="AF7" s="160"/>
      <c r="AG7" s="173"/>
      <c r="AH7" s="14"/>
      <c r="AI7" s="14"/>
      <c r="AJ7" s="178"/>
      <c r="AK7" s="135"/>
    </row>
    <row r="8" spans="2:38" s="5" customFormat="1" ht="26.25" customHeight="1" x14ac:dyDescent="0.25">
      <c r="B8" s="11">
        <v>2</v>
      </c>
      <c r="C8" s="6" t="s">
        <v>18</v>
      </c>
      <c r="D8" s="23" t="s">
        <v>9</v>
      </c>
      <c r="E8" s="269" t="s">
        <v>705</v>
      </c>
      <c r="F8" s="208">
        <v>1451</v>
      </c>
      <c r="G8" s="12" t="s">
        <v>0</v>
      </c>
      <c r="H8" s="39">
        <v>1026</v>
      </c>
      <c r="I8" s="360">
        <v>800.28</v>
      </c>
      <c r="J8" s="39">
        <f t="shared" si="0"/>
        <v>0</v>
      </c>
      <c r="K8" s="309">
        <f>R8*0.8</f>
        <v>0.78</v>
      </c>
      <c r="L8" s="230"/>
      <c r="M8" s="194"/>
      <c r="N8" s="279"/>
      <c r="O8" s="503">
        <v>1026</v>
      </c>
      <c r="P8" s="309">
        <f>K8*O8</f>
        <v>800.28</v>
      </c>
      <c r="Q8" s="235" t="str">
        <f t="shared" si="1"/>
        <v>МЭ250-3730-102</v>
      </c>
      <c r="R8" s="377">
        <f t="shared" si="5"/>
        <v>0.98</v>
      </c>
      <c r="S8" s="321">
        <f>0.82</f>
        <v>0.82</v>
      </c>
      <c r="T8" s="353">
        <f t="shared" si="2"/>
        <v>0</v>
      </c>
      <c r="U8" s="70">
        <v>1026</v>
      </c>
      <c r="V8" s="20">
        <f t="shared" si="3"/>
        <v>0</v>
      </c>
      <c r="W8" s="52">
        <f t="shared" si="4"/>
        <v>342</v>
      </c>
      <c r="X8" s="148">
        <f>12*114</f>
        <v>1368</v>
      </c>
      <c r="Y8" s="20"/>
      <c r="Z8" s="20"/>
      <c r="AA8" s="20"/>
      <c r="AB8" s="417"/>
      <c r="AC8" s="18"/>
      <c r="AD8" s="160"/>
      <c r="AE8" s="164"/>
      <c r="AF8" s="160"/>
      <c r="AG8" s="173"/>
      <c r="AH8" s="14"/>
      <c r="AI8" s="14"/>
      <c r="AJ8" s="178"/>
      <c r="AK8" s="434"/>
    </row>
    <row r="9" spans="2:38" ht="26.25" customHeight="1" x14ac:dyDescent="0.25">
      <c r="B9" s="15">
        <v>3</v>
      </c>
      <c r="C9" s="6" t="s">
        <v>18</v>
      </c>
      <c r="D9" s="23" t="s">
        <v>9</v>
      </c>
      <c r="E9" s="237" t="s">
        <v>91</v>
      </c>
      <c r="F9" s="383">
        <v>555</v>
      </c>
      <c r="G9" s="12" t="s">
        <v>0</v>
      </c>
      <c r="H9" s="39">
        <v>2240</v>
      </c>
      <c r="I9" s="360">
        <v>2284.8000000000002</v>
      </c>
      <c r="J9" s="39">
        <f t="shared" si="0"/>
        <v>0</v>
      </c>
      <c r="K9" s="309">
        <f>R9*0.8</f>
        <v>1.02</v>
      </c>
      <c r="L9" s="230">
        <f t="shared" ref="L9:L16" si="6">K9*J9</f>
        <v>0</v>
      </c>
      <c r="M9" s="154"/>
      <c r="N9" s="279"/>
      <c r="O9" s="503">
        <v>2240</v>
      </c>
      <c r="P9" s="309">
        <f>K9*O9</f>
        <v>2284.8000000000002</v>
      </c>
      <c r="Q9" s="404" t="str">
        <f t="shared" si="1"/>
        <v>ЭПГ 110.157 П19х15х14,5</v>
      </c>
      <c r="R9" s="306">
        <f t="shared" si="5"/>
        <v>1.28</v>
      </c>
      <c r="S9" s="320">
        <v>1.07</v>
      </c>
      <c r="T9" s="353">
        <f t="shared" si="2"/>
        <v>0</v>
      </c>
      <c r="U9" s="70">
        <v>2240</v>
      </c>
      <c r="V9" s="20">
        <f t="shared" si="3"/>
        <v>0</v>
      </c>
      <c r="W9" s="52">
        <f t="shared" si="4"/>
        <v>0</v>
      </c>
      <c r="X9" s="148">
        <f>4*560</f>
        <v>2240</v>
      </c>
      <c r="Y9" s="20"/>
      <c r="Z9" s="20"/>
      <c r="AA9" s="20">
        <v>3400</v>
      </c>
      <c r="AB9" s="417"/>
      <c r="AC9" s="200"/>
      <c r="AD9" s="160"/>
      <c r="AE9" s="163"/>
      <c r="AF9" s="171"/>
      <c r="AG9" s="192"/>
      <c r="AH9" s="16"/>
      <c r="AI9" s="16"/>
      <c r="AJ9" s="185"/>
      <c r="AK9" s="435"/>
      <c r="AL9" s="476"/>
    </row>
    <row r="10" spans="2:38" ht="26.25" customHeight="1" thickBot="1" x14ac:dyDescent="0.3">
      <c r="B10" s="15">
        <v>4</v>
      </c>
      <c r="C10" s="6" t="s">
        <v>18</v>
      </c>
      <c r="D10" s="23" t="s">
        <v>9</v>
      </c>
      <c r="E10" s="237" t="s">
        <v>31</v>
      </c>
      <c r="F10" s="208" t="s">
        <v>45</v>
      </c>
      <c r="G10" s="12" t="s">
        <v>0</v>
      </c>
      <c r="H10" s="39">
        <v>1440</v>
      </c>
      <c r="I10" s="360">
        <v>359.42</v>
      </c>
      <c r="J10" s="39">
        <f t="shared" si="0"/>
        <v>560</v>
      </c>
      <c r="K10" s="309">
        <v>0.25</v>
      </c>
      <c r="L10" s="230">
        <f t="shared" si="6"/>
        <v>140</v>
      </c>
      <c r="M10" s="85"/>
      <c r="N10" s="279">
        <v>2000</v>
      </c>
      <c r="O10" s="503"/>
      <c r="P10" s="466"/>
      <c r="Q10" s="260" t="str">
        <f t="shared" si="1"/>
        <v xml:space="preserve">АУИБ 757.159.001 </v>
      </c>
      <c r="R10" s="377">
        <f t="shared" si="5"/>
        <v>0.42</v>
      </c>
      <c r="S10" s="322">
        <v>0.35</v>
      </c>
      <c r="T10" s="353">
        <f t="shared" si="2"/>
        <v>196</v>
      </c>
      <c r="U10" s="20"/>
      <c r="V10" s="20">
        <f t="shared" si="3"/>
        <v>2000</v>
      </c>
      <c r="W10" s="52">
        <f t="shared" si="4"/>
        <v>3440</v>
      </c>
      <c r="X10" s="148">
        <v>1440</v>
      </c>
      <c r="Y10" s="20"/>
      <c r="Z10" s="20"/>
      <c r="AA10" s="20">
        <f>2880+10572</f>
        <v>13452</v>
      </c>
      <c r="AB10" s="417"/>
      <c r="AC10" s="200"/>
      <c r="AD10" s="160"/>
      <c r="AE10" s="164"/>
      <c r="AF10" s="160"/>
      <c r="AG10" s="192"/>
      <c r="AH10" s="128"/>
      <c r="AI10" s="129"/>
      <c r="AK10" s="10"/>
    </row>
    <row r="11" spans="2:38" ht="26.25" hidden="1" customHeight="1" thickBot="1" x14ac:dyDescent="0.3">
      <c r="B11" s="15"/>
      <c r="C11" s="6" t="s">
        <v>18</v>
      </c>
      <c r="D11" s="23" t="s">
        <v>9</v>
      </c>
      <c r="E11" s="237" t="s">
        <v>500</v>
      </c>
      <c r="F11" s="208">
        <v>137</v>
      </c>
      <c r="G11" s="48" t="s">
        <v>0</v>
      </c>
      <c r="H11" s="39"/>
      <c r="I11" s="360">
        <v>0</v>
      </c>
      <c r="J11" s="39">
        <f t="shared" si="0"/>
        <v>0</v>
      </c>
      <c r="K11" s="309">
        <v>1.1499999999999999</v>
      </c>
      <c r="L11" s="230">
        <f t="shared" si="6"/>
        <v>0</v>
      </c>
      <c r="M11" s="89"/>
      <c r="N11" s="279"/>
      <c r="O11" s="39"/>
      <c r="P11" s="467">
        <f t="shared" ref="P11:P16" si="7">K11*O11</f>
        <v>0</v>
      </c>
      <c r="Q11" s="261" t="str">
        <f t="shared" si="1"/>
        <v>АУИБ 757.159.004</v>
      </c>
      <c r="R11" s="377">
        <f t="shared" si="5"/>
        <v>1.44</v>
      </c>
      <c r="S11" s="319">
        <f>12000*0.0001</f>
        <v>1.2</v>
      </c>
      <c r="T11" s="353">
        <f t="shared" si="2"/>
        <v>0</v>
      </c>
      <c r="U11" s="70">
        <v>1020</v>
      </c>
      <c r="V11" s="20">
        <f t="shared" si="3"/>
        <v>0</v>
      </c>
      <c r="W11" s="52">
        <f t="shared" si="4"/>
        <v>0</v>
      </c>
      <c r="X11" s="70">
        <f>10*102</f>
        <v>1020</v>
      </c>
      <c r="Y11" s="20"/>
      <c r="Z11" s="20"/>
      <c r="AA11" s="20">
        <v>12816</v>
      </c>
      <c r="AB11" s="417"/>
      <c r="AC11" s="200"/>
      <c r="AD11" s="160"/>
      <c r="AE11" s="165"/>
      <c r="AF11" s="160"/>
      <c r="AG11" s="192"/>
      <c r="AH11" s="59">
        <f>0.001*AG11*N11</f>
        <v>0</v>
      </c>
      <c r="AI11" s="129"/>
      <c r="AK11" s="10"/>
    </row>
    <row r="12" spans="2:38" ht="26.25" hidden="1" customHeight="1" x14ac:dyDescent="0.25">
      <c r="B12" s="11"/>
      <c r="C12" s="6" t="s">
        <v>18</v>
      </c>
      <c r="D12" s="23" t="s">
        <v>9</v>
      </c>
      <c r="E12" s="237" t="s">
        <v>13</v>
      </c>
      <c r="F12" s="208" t="s">
        <v>46</v>
      </c>
      <c r="G12" s="48" t="s">
        <v>0</v>
      </c>
      <c r="H12" s="39"/>
      <c r="I12" s="309">
        <v>0</v>
      </c>
      <c r="J12" s="39">
        <f t="shared" si="0"/>
        <v>0</v>
      </c>
      <c r="K12" s="309">
        <f>R12*0.8</f>
        <v>0.49</v>
      </c>
      <c r="L12" s="230">
        <f t="shared" si="6"/>
        <v>0</v>
      </c>
      <c r="M12" s="42"/>
      <c r="N12" s="279"/>
      <c r="O12" s="39"/>
      <c r="P12" s="309">
        <f t="shared" si="7"/>
        <v>0</v>
      </c>
      <c r="Q12" s="262" t="str">
        <f t="shared" si="1"/>
        <v>АУИБ 757.159.003</v>
      </c>
      <c r="R12" s="377">
        <f t="shared" si="5"/>
        <v>0.61</v>
      </c>
      <c r="S12" s="322">
        <f>5095*0.0001</f>
        <v>0.51</v>
      </c>
      <c r="T12" s="353">
        <f t="shared" si="2"/>
        <v>0</v>
      </c>
      <c r="U12" s="70">
        <v>1440</v>
      </c>
      <c r="V12" s="20">
        <f t="shared" si="3"/>
        <v>0</v>
      </c>
      <c r="W12" s="52">
        <f t="shared" si="4"/>
        <v>0</v>
      </c>
      <c r="X12" s="70">
        <f>12*120</f>
        <v>1440</v>
      </c>
      <c r="Y12" s="20"/>
      <c r="Z12" s="20"/>
      <c r="AA12" s="20"/>
      <c r="AB12" s="417"/>
      <c r="AC12" s="200"/>
      <c r="AD12" s="160"/>
      <c r="AE12" s="163"/>
      <c r="AF12" s="171"/>
      <c r="AG12" s="175">
        <v>0.13</v>
      </c>
      <c r="AH12" s="14">
        <f>0.001*AG12*N12</f>
        <v>0</v>
      </c>
      <c r="AI12" s="16"/>
      <c r="AJ12" s="185"/>
      <c r="AK12" s="435"/>
      <c r="AL12" s="476"/>
    </row>
    <row r="13" spans="2:38" ht="26.25" hidden="1" customHeight="1" x14ac:dyDescent="0.25">
      <c r="B13" s="14"/>
      <c r="C13" s="6" t="s">
        <v>18</v>
      </c>
      <c r="D13" s="23" t="s">
        <v>9</v>
      </c>
      <c r="E13" s="237" t="s">
        <v>753</v>
      </c>
      <c r="F13" s="208">
        <v>1466</v>
      </c>
      <c r="G13" s="48" t="s">
        <v>0</v>
      </c>
      <c r="H13" s="39"/>
      <c r="I13" s="309">
        <v>0</v>
      </c>
      <c r="J13" s="39">
        <f t="shared" si="0"/>
        <v>0</v>
      </c>
      <c r="K13" s="309">
        <f>R13*0.8</f>
        <v>19.2</v>
      </c>
      <c r="L13" s="230">
        <f t="shared" si="6"/>
        <v>0</v>
      </c>
      <c r="M13" s="63"/>
      <c r="N13" s="279"/>
      <c r="O13" s="39"/>
      <c r="P13" s="309">
        <f t="shared" si="7"/>
        <v>0</v>
      </c>
      <c r="Q13" s="235" t="str">
        <f t="shared" si="1"/>
        <v>АУИБ 757.159.008</v>
      </c>
      <c r="R13" s="377">
        <f t="shared" si="5"/>
        <v>24</v>
      </c>
      <c r="S13" s="320">
        <v>20</v>
      </c>
      <c r="T13" s="353">
        <f t="shared" si="2"/>
        <v>0</v>
      </c>
      <c r="U13" s="20"/>
      <c r="V13" s="20">
        <f t="shared" si="3"/>
        <v>0</v>
      </c>
      <c r="W13" s="52">
        <f t="shared" si="4"/>
        <v>0</v>
      </c>
      <c r="X13" s="20"/>
      <c r="Y13" s="20"/>
      <c r="Z13" s="20"/>
      <c r="AA13" s="20"/>
      <c r="AB13" s="417"/>
      <c r="AC13" s="200"/>
      <c r="AD13" s="160"/>
      <c r="AE13" s="164"/>
      <c r="AF13" s="160"/>
      <c r="AG13" s="192"/>
      <c r="AH13" s="16"/>
      <c r="AI13" s="16"/>
      <c r="AJ13" s="185"/>
      <c r="AK13" s="125"/>
    </row>
    <row r="14" spans="2:38" ht="26.25" hidden="1" customHeight="1" x14ac:dyDescent="0.25">
      <c r="B14" s="11"/>
      <c r="C14" s="6" t="s">
        <v>18</v>
      </c>
      <c r="D14" s="23" t="s">
        <v>9</v>
      </c>
      <c r="E14" s="238" t="s">
        <v>105</v>
      </c>
      <c r="F14" s="208">
        <v>592</v>
      </c>
      <c r="G14" s="48" t="s">
        <v>0</v>
      </c>
      <c r="H14" s="39"/>
      <c r="I14" s="309">
        <v>0</v>
      </c>
      <c r="J14" s="39">
        <f t="shared" si="0"/>
        <v>0</v>
      </c>
      <c r="K14" s="309">
        <f>R14*0.8</f>
        <v>0.27</v>
      </c>
      <c r="L14" s="230">
        <f t="shared" si="6"/>
        <v>0</v>
      </c>
      <c r="M14" s="89"/>
      <c r="N14" s="279"/>
      <c r="O14" s="39"/>
      <c r="P14" s="309">
        <f t="shared" si="7"/>
        <v>0</v>
      </c>
      <c r="Q14" s="235" t="str">
        <f t="shared" si="1"/>
        <v>43.3701-200211 (S)</v>
      </c>
      <c r="R14" s="377">
        <f t="shared" si="5"/>
        <v>0.34</v>
      </c>
      <c r="S14" s="319">
        <f>2800*0.0001</f>
        <v>0.28000000000000003</v>
      </c>
      <c r="T14" s="353">
        <f t="shared" si="2"/>
        <v>0</v>
      </c>
      <c r="U14" s="70">
        <v>3200</v>
      </c>
      <c r="V14" s="20">
        <f t="shared" si="3"/>
        <v>0</v>
      </c>
      <c r="W14" s="52">
        <f t="shared" si="4"/>
        <v>0</v>
      </c>
      <c r="X14" s="70">
        <f>8*400</f>
        <v>3200</v>
      </c>
      <c r="Y14" s="20"/>
      <c r="Z14" s="20"/>
      <c r="AA14" s="20"/>
      <c r="AB14" s="417"/>
      <c r="AC14" s="200"/>
      <c r="AD14" s="160"/>
      <c r="AE14" s="164"/>
      <c r="AF14" s="160"/>
      <c r="AG14" s="192"/>
      <c r="AH14" s="16"/>
      <c r="AI14" s="16"/>
      <c r="AJ14" s="185"/>
      <c r="AK14" s="435"/>
      <c r="AL14" s="476"/>
    </row>
    <row r="15" spans="2:38" ht="26.25" hidden="1" customHeight="1" x14ac:dyDescent="0.25">
      <c r="B15" s="11"/>
      <c r="C15" s="6" t="s">
        <v>18</v>
      </c>
      <c r="D15" s="23" t="s">
        <v>9</v>
      </c>
      <c r="E15" s="238" t="s">
        <v>106</v>
      </c>
      <c r="F15" s="208" t="s">
        <v>107</v>
      </c>
      <c r="G15" s="48" t="s">
        <v>0</v>
      </c>
      <c r="H15" s="39"/>
      <c r="I15" s="309">
        <v>0</v>
      </c>
      <c r="J15" s="39">
        <f t="shared" si="0"/>
        <v>0</v>
      </c>
      <c r="K15" s="309">
        <f>R15*0.8</f>
        <v>0.27</v>
      </c>
      <c r="L15" s="230">
        <f t="shared" si="6"/>
        <v>0</v>
      </c>
      <c r="M15" s="89"/>
      <c r="N15" s="279"/>
      <c r="O15" s="39"/>
      <c r="P15" s="309">
        <f t="shared" si="7"/>
        <v>0</v>
      </c>
      <c r="Q15" s="235" t="str">
        <f t="shared" si="1"/>
        <v>43.3701-200211 (N)</v>
      </c>
      <c r="R15" s="377">
        <f t="shared" si="5"/>
        <v>0.34</v>
      </c>
      <c r="S15" s="319">
        <f>2800*0.0001</f>
        <v>0.28000000000000003</v>
      </c>
      <c r="T15" s="353">
        <f t="shared" si="2"/>
        <v>0</v>
      </c>
      <c r="U15" s="70">
        <v>3200</v>
      </c>
      <c r="V15" s="20">
        <f t="shared" si="3"/>
        <v>0</v>
      </c>
      <c r="W15" s="52">
        <f t="shared" si="4"/>
        <v>0</v>
      </c>
      <c r="X15" s="70">
        <f>8*400</f>
        <v>3200</v>
      </c>
      <c r="Y15" s="20"/>
      <c r="Z15" s="20"/>
      <c r="AA15" s="20"/>
      <c r="AB15" s="417"/>
      <c r="AC15" s="200"/>
      <c r="AD15" s="160"/>
      <c r="AE15" s="164"/>
      <c r="AF15" s="160"/>
      <c r="AG15" s="192"/>
      <c r="AH15" s="16"/>
      <c r="AI15" s="16"/>
      <c r="AJ15" s="185"/>
      <c r="AK15" s="435"/>
      <c r="AL15" s="476"/>
    </row>
    <row r="16" spans="2:38" ht="26.25" hidden="1" customHeight="1" thickBot="1" x14ac:dyDescent="0.3">
      <c r="B16" s="15"/>
      <c r="C16" s="6" t="s">
        <v>18</v>
      </c>
      <c r="D16" s="23" t="s">
        <v>9</v>
      </c>
      <c r="E16" s="238" t="s">
        <v>135</v>
      </c>
      <c r="F16" s="208" t="s">
        <v>104</v>
      </c>
      <c r="G16" s="48" t="s">
        <v>0</v>
      </c>
      <c r="H16" s="39"/>
      <c r="I16" s="309">
        <v>0</v>
      </c>
      <c r="J16" s="39">
        <f t="shared" si="0"/>
        <v>0</v>
      </c>
      <c r="K16" s="309">
        <f>R16*0.8</f>
        <v>0.13</v>
      </c>
      <c r="L16" s="230">
        <f t="shared" si="6"/>
        <v>0</v>
      </c>
      <c r="M16" s="89"/>
      <c r="N16" s="279"/>
      <c r="O16" s="39"/>
      <c r="P16" s="309">
        <f t="shared" si="7"/>
        <v>0</v>
      </c>
      <c r="Q16" s="263" t="str">
        <f t="shared" si="1"/>
        <v>43.3701-200212(К36х18х6)</v>
      </c>
      <c r="R16" s="377">
        <f t="shared" si="5"/>
        <v>0.16</v>
      </c>
      <c r="S16" s="319">
        <f>1250*0.0001</f>
        <v>0.13</v>
      </c>
      <c r="T16" s="353">
        <f t="shared" si="2"/>
        <v>0</v>
      </c>
      <c r="U16" s="70">
        <v>3200</v>
      </c>
      <c r="V16" s="20">
        <f t="shared" si="3"/>
        <v>0</v>
      </c>
      <c r="W16" s="52">
        <f t="shared" si="4"/>
        <v>0</v>
      </c>
      <c r="X16" s="70">
        <f>8*400</f>
        <v>3200</v>
      </c>
      <c r="Y16" s="20"/>
      <c r="Z16" s="20"/>
      <c r="AA16" s="20"/>
      <c r="AB16" s="417"/>
      <c r="AC16" s="200"/>
      <c r="AD16" s="160"/>
      <c r="AE16" s="163"/>
      <c r="AF16" s="171"/>
      <c r="AG16" s="192"/>
      <c r="AH16" s="16"/>
      <c r="AI16" s="16"/>
      <c r="AJ16" s="185"/>
      <c r="AK16" s="435"/>
      <c r="AL16" s="476"/>
    </row>
    <row r="17" spans="1:74" s="5" customFormat="1" ht="26.25" hidden="1" customHeight="1" x14ac:dyDescent="0.25">
      <c r="B17" s="11"/>
      <c r="C17" s="6" t="s">
        <v>18</v>
      </c>
      <c r="D17" s="23" t="s">
        <v>9</v>
      </c>
      <c r="E17" s="239" t="s">
        <v>433</v>
      </c>
      <c r="F17" s="387" t="s">
        <v>821</v>
      </c>
      <c r="G17" s="12" t="s">
        <v>0</v>
      </c>
      <c r="H17" s="39"/>
      <c r="I17" s="360"/>
      <c r="J17" s="39">
        <f t="shared" si="0"/>
        <v>0</v>
      </c>
      <c r="K17" s="309">
        <v>0.62</v>
      </c>
      <c r="L17" s="230"/>
      <c r="M17" s="233" t="s">
        <v>607</v>
      </c>
      <c r="N17" s="279"/>
      <c r="O17" s="39"/>
      <c r="P17" s="360"/>
      <c r="Q17" s="259" t="str">
        <f t="shared" si="1"/>
        <v>К36х5х10</v>
      </c>
      <c r="R17" s="377">
        <f t="shared" si="5"/>
        <v>0.92</v>
      </c>
      <c r="S17" s="323">
        <f>0.0001*22.7*340</f>
        <v>0.77</v>
      </c>
      <c r="T17" s="353">
        <f t="shared" si="2"/>
        <v>0</v>
      </c>
      <c r="U17" s="20"/>
      <c r="V17" s="20">
        <f t="shared" si="3"/>
        <v>0</v>
      </c>
      <c r="W17" s="52">
        <f t="shared" si="4"/>
        <v>0</v>
      </c>
      <c r="X17" s="20"/>
      <c r="Y17" s="20"/>
      <c r="Z17" s="20">
        <v>2000</v>
      </c>
      <c r="AA17" s="20">
        <v>8000</v>
      </c>
      <c r="AB17" s="417"/>
      <c r="AC17" s="18"/>
      <c r="AD17" s="160"/>
      <c r="AE17" s="164"/>
      <c r="AF17" s="160"/>
      <c r="AG17" s="173"/>
      <c r="AH17" s="14"/>
      <c r="AI17" s="14"/>
      <c r="AJ17" s="178"/>
      <c r="AK17" s="135"/>
    </row>
    <row r="18" spans="1:74" s="5" customFormat="1" ht="26.25" hidden="1" customHeight="1" thickBot="1" x14ac:dyDescent="0.4">
      <c r="B18" s="11"/>
      <c r="C18" s="6" t="s">
        <v>18</v>
      </c>
      <c r="D18" s="23" t="s">
        <v>9</v>
      </c>
      <c r="E18" s="239" t="s">
        <v>109</v>
      </c>
      <c r="F18" s="387" t="s">
        <v>674</v>
      </c>
      <c r="G18" s="12" t="s">
        <v>0</v>
      </c>
      <c r="H18" s="39"/>
      <c r="I18" s="309">
        <v>0</v>
      </c>
      <c r="J18" s="39">
        <f t="shared" si="0"/>
        <v>0</v>
      </c>
      <c r="K18" s="309">
        <f>R18*0.8</f>
        <v>0.46</v>
      </c>
      <c r="L18" s="230">
        <f>K18*J310</f>
        <v>0</v>
      </c>
      <c r="M18" s="233" t="s">
        <v>675</v>
      </c>
      <c r="N18" s="279"/>
      <c r="O18" s="503"/>
      <c r="P18" s="309">
        <f>K18*O18</f>
        <v>0</v>
      </c>
      <c r="Q18" s="261" t="str">
        <f t="shared" si="1"/>
        <v>К36х18х6</v>
      </c>
      <c r="R18" s="377">
        <f t="shared" si="5"/>
        <v>0.57999999999999996</v>
      </c>
      <c r="S18" s="324">
        <v>0.48</v>
      </c>
      <c r="T18" s="353">
        <f t="shared" si="2"/>
        <v>0</v>
      </c>
      <c r="U18" s="20">
        <v>14850</v>
      </c>
      <c r="V18" s="20">
        <f t="shared" si="3"/>
        <v>0</v>
      </c>
      <c r="W18" s="52">
        <f t="shared" si="4"/>
        <v>0</v>
      </c>
      <c r="X18" s="20">
        <f>15050-200</f>
        <v>14850</v>
      </c>
      <c r="Y18" s="20"/>
      <c r="Z18" s="20"/>
      <c r="AA18" s="20"/>
      <c r="AB18" s="417"/>
      <c r="AC18" s="200"/>
      <c r="AD18" s="160"/>
      <c r="AE18" s="164"/>
      <c r="AF18" s="160"/>
      <c r="AG18" s="173"/>
      <c r="AH18" s="114"/>
      <c r="AI18" s="109"/>
      <c r="AJ18" s="178"/>
      <c r="AK18" s="434"/>
      <c r="AL18" s="475"/>
    </row>
    <row r="19" spans="1:74" s="5" customFormat="1" ht="26.25" hidden="1" customHeight="1" thickBot="1" x14ac:dyDescent="0.3">
      <c r="B19" s="11"/>
      <c r="C19" s="6" t="s">
        <v>18</v>
      </c>
      <c r="D19" s="23" t="s">
        <v>9</v>
      </c>
      <c r="E19" s="239" t="s">
        <v>237</v>
      </c>
      <c r="F19" s="387"/>
      <c r="G19" s="12" t="s">
        <v>0</v>
      </c>
      <c r="H19" s="39"/>
      <c r="I19" s="309">
        <v>0</v>
      </c>
      <c r="J19" s="39">
        <f t="shared" si="0"/>
        <v>0</v>
      </c>
      <c r="K19" s="309">
        <f>R19*0.8</f>
        <v>0.13</v>
      </c>
      <c r="L19" s="230"/>
      <c r="M19" s="62" t="s">
        <v>239</v>
      </c>
      <c r="N19" s="279"/>
      <c r="O19" s="39"/>
      <c r="P19" s="490">
        <f>K19*O19</f>
        <v>0</v>
      </c>
      <c r="Q19" s="264" t="str">
        <f t="shared" si="1"/>
        <v>К36х18х6 намагн.с заниж.Д</v>
      </c>
      <c r="R19" s="377">
        <f t="shared" si="5"/>
        <v>0.16</v>
      </c>
      <c r="S19" s="325">
        <f>0.0001*1300</f>
        <v>0.13</v>
      </c>
      <c r="T19" s="353">
        <f t="shared" si="2"/>
        <v>0</v>
      </c>
      <c r="U19" s="20">
        <v>2400</v>
      </c>
      <c r="V19" s="20">
        <f t="shared" si="3"/>
        <v>0</v>
      </c>
      <c r="W19" s="52">
        <f t="shared" si="4"/>
        <v>0</v>
      </c>
      <c r="X19" s="20">
        <v>2400</v>
      </c>
      <c r="Y19" s="20"/>
      <c r="Z19" s="20"/>
      <c r="AA19" s="20"/>
      <c r="AB19" s="417"/>
      <c r="AC19" s="18"/>
      <c r="AD19" s="160"/>
      <c r="AE19" s="164"/>
      <c r="AF19" s="160"/>
      <c r="AG19" s="173"/>
      <c r="AH19" s="14"/>
      <c r="AI19" s="14"/>
      <c r="AJ19" s="178"/>
      <c r="AK19" s="434"/>
      <c r="AL19" s="475"/>
    </row>
    <row r="20" spans="1:74" ht="26.25" customHeight="1" x14ac:dyDescent="0.25">
      <c r="B20" s="14">
        <v>5</v>
      </c>
      <c r="C20" s="6" t="s">
        <v>18</v>
      </c>
      <c r="D20" s="23" t="s">
        <v>9</v>
      </c>
      <c r="E20" s="237" t="s">
        <v>38</v>
      </c>
      <c r="F20" s="208">
        <v>170</v>
      </c>
      <c r="G20" s="12" t="s">
        <v>0</v>
      </c>
      <c r="H20" s="39">
        <v>145</v>
      </c>
      <c r="I20" s="360">
        <v>82.13</v>
      </c>
      <c r="J20" s="39">
        <f t="shared" si="0"/>
        <v>0</v>
      </c>
      <c r="K20" s="309">
        <v>0.56999999999999995</v>
      </c>
      <c r="L20" s="230">
        <f>K20*J312</f>
        <v>0</v>
      </c>
      <c r="M20" s="533"/>
      <c r="N20" s="279">
        <v>8</v>
      </c>
      <c r="O20" s="503">
        <f>145-8</f>
        <v>137</v>
      </c>
      <c r="P20" s="490">
        <f>K20*O20</f>
        <v>78.09</v>
      </c>
      <c r="Q20" s="259" t="str">
        <f t="shared" si="1"/>
        <v>СИДТ  7.770.002 Д36х24х6</v>
      </c>
      <c r="R20" s="377">
        <f t="shared" si="5"/>
        <v>6.6</v>
      </c>
      <c r="S20" s="320">
        <v>5.5</v>
      </c>
      <c r="T20" s="353">
        <f t="shared" si="2"/>
        <v>0</v>
      </c>
      <c r="U20" s="20">
        <v>45</v>
      </c>
      <c r="V20" s="20">
        <f t="shared" si="3"/>
        <v>8</v>
      </c>
      <c r="W20" s="52">
        <f t="shared" si="4"/>
        <v>0</v>
      </c>
      <c r="X20" s="148">
        <v>37</v>
      </c>
      <c r="Y20" s="20"/>
      <c r="Z20" s="20"/>
      <c r="AA20" s="20"/>
      <c r="AB20" s="417"/>
      <c r="AC20" s="200"/>
      <c r="AD20" s="160"/>
      <c r="AE20" s="163"/>
      <c r="AF20" s="171"/>
      <c r="AG20" s="192"/>
      <c r="AH20" s="16"/>
      <c r="AI20" s="16"/>
      <c r="AJ20" s="185"/>
      <c r="AK20" s="435"/>
      <c r="AL20" s="476"/>
    </row>
    <row r="21" spans="1:74" ht="26.25" customHeight="1" x14ac:dyDescent="0.25">
      <c r="B21" s="11">
        <v>6</v>
      </c>
      <c r="C21" s="6" t="s">
        <v>18</v>
      </c>
      <c r="D21" s="23" t="s">
        <v>9</v>
      </c>
      <c r="E21" s="237" t="s">
        <v>292</v>
      </c>
      <c r="F21" s="208" t="s">
        <v>48</v>
      </c>
      <c r="G21" s="12" t="s">
        <v>0</v>
      </c>
      <c r="H21" s="39">
        <v>3250</v>
      </c>
      <c r="I21" s="360">
        <v>1105</v>
      </c>
      <c r="J21" s="39">
        <f t="shared" si="0"/>
        <v>2750</v>
      </c>
      <c r="K21" s="309">
        <f>R21*0.8</f>
        <v>0.66</v>
      </c>
      <c r="L21" s="230">
        <f>K21*J313</f>
        <v>0</v>
      </c>
      <c r="M21" s="220"/>
      <c r="N21" s="279">
        <v>6000</v>
      </c>
      <c r="O21" s="503"/>
      <c r="P21" s="309">
        <f t="shared" ref="P21:P49" si="8">K21*O21</f>
        <v>0</v>
      </c>
      <c r="Q21" s="51" t="str">
        <f t="shared" si="1"/>
        <v>ЭПГ110.135(Д32х8х8)</v>
      </c>
      <c r="R21" s="306">
        <f t="shared" si="5"/>
        <v>0.83</v>
      </c>
      <c r="S21" s="319">
        <v>0.69</v>
      </c>
      <c r="T21" s="353">
        <f t="shared" si="2"/>
        <v>1897.5</v>
      </c>
      <c r="U21" s="70">
        <v>2250</v>
      </c>
      <c r="V21" s="20">
        <f t="shared" si="3"/>
        <v>6000</v>
      </c>
      <c r="W21" s="52">
        <f t="shared" si="4"/>
        <v>6250</v>
      </c>
      <c r="X21" s="148">
        <f>10*250</f>
        <v>2500</v>
      </c>
      <c r="Y21" s="20"/>
      <c r="Z21" s="20">
        <v>2500</v>
      </c>
      <c r="AA21" s="20">
        <f>2450+30+8350</f>
        <v>10830</v>
      </c>
      <c r="AB21" s="417"/>
      <c r="AC21" s="200"/>
      <c r="AD21" s="160"/>
      <c r="AE21" s="163"/>
      <c r="AF21" s="171"/>
      <c r="AG21" s="192"/>
      <c r="AH21" s="16"/>
      <c r="AI21" s="16"/>
      <c r="AJ21" s="185"/>
      <c r="AK21" s="435"/>
      <c r="AL21" s="476"/>
    </row>
    <row r="22" spans="1:74" ht="26.25" hidden="1" customHeight="1" x14ac:dyDescent="0.25">
      <c r="B22" s="11"/>
      <c r="C22" s="6" t="s">
        <v>18</v>
      </c>
      <c r="D22" s="23" t="s">
        <v>9</v>
      </c>
      <c r="E22" s="237" t="s">
        <v>461</v>
      </c>
      <c r="F22" s="208">
        <v>1189</v>
      </c>
      <c r="G22" s="12" t="s">
        <v>0</v>
      </c>
      <c r="H22" s="39"/>
      <c r="I22" s="309">
        <v>0</v>
      </c>
      <c r="J22" s="39">
        <f t="shared" si="0"/>
        <v>0</v>
      </c>
      <c r="K22" s="309">
        <f>R22*0.8</f>
        <v>0.74</v>
      </c>
      <c r="L22" s="230">
        <f>K22*J314</f>
        <v>0</v>
      </c>
      <c r="M22" s="234" t="s">
        <v>734</v>
      </c>
      <c r="N22" s="279"/>
      <c r="O22" s="503"/>
      <c r="P22" s="490">
        <f t="shared" si="8"/>
        <v>0</v>
      </c>
      <c r="Q22" s="262" t="str">
        <f t="shared" si="1"/>
        <v>К32х8,2х8</v>
      </c>
      <c r="R22" s="377">
        <f t="shared" si="5"/>
        <v>0.92</v>
      </c>
      <c r="S22" s="326">
        <v>0.77</v>
      </c>
      <c r="T22" s="353">
        <f t="shared" si="2"/>
        <v>0</v>
      </c>
      <c r="U22" s="20"/>
      <c r="V22" s="20">
        <f t="shared" si="3"/>
        <v>0</v>
      </c>
      <c r="W22" s="52">
        <f t="shared" si="4"/>
        <v>0</v>
      </c>
      <c r="X22" s="20"/>
      <c r="Y22" s="20"/>
      <c r="Z22" s="20"/>
      <c r="AA22" s="20"/>
      <c r="AB22" s="417"/>
      <c r="AC22" s="200"/>
      <c r="AD22" s="160"/>
      <c r="AE22" s="163"/>
      <c r="AF22" s="171"/>
      <c r="AG22" s="192"/>
      <c r="AH22" s="128"/>
      <c r="AI22" s="129"/>
      <c r="AK22" s="10"/>
    </row>
    <row r="23" spans="1:74" ht="26.25" hidden="1" customHeight="1" x14ac:dyDescent="0.25">
      <c r="B23" s="15"/>
      <c r="C23" s="6" t="s">
        <v>18</v>
      </c>
      <c r="D23" s="23" t="s">
        <v>9</v>
      </c>
      <c r="E23" s="212" t="s">
        <v>265</v>
      </c>
      <c r="F23" s="208"/>
      <c r="G23" s="48" t="s">
        <v>0</v>
      </c>
      <c r="H23" s="39"/>
      <c r="I23" s="309">
        <v>0</v>
      </c>
      <c r="J23" s="39">
        <f t="shared" si="0"/>
        <v>0</v>
      </c>
      <c r="K23" s="309">
        <v>1440</v>
      </c>
      <c r="L23" s="230">
        <f>K23*J315</f>
        <v>72000</v>
      </c>
      <c r="M23" s="42"/>
      <c r="N23" s="279"/>
      <c r="O23" s="39"/>
      <c r="P23" s="490">
        <f t="shared" si="8"/>
        <v>0</v>
      </c>
      <c r="Q23" s="235" t="str">
        <f t="shared" si="1"/>
        <v>К36х13х8</v>
      </c>
      <c r="R23" s="377">
        <f t="shared" si="5"/>
        <v>0.78</v>
      </c>
      <c r="S23" s="319">
        <f>6500*0.0001</f>
        <v>0.65</v>
      </c>
      <c r="T23" s="353">
        <f t="shared" si="2"/>
        <v>0</v>
      </c>
      <c r="U23" s="20"/>
      <c r="V23" s="20">
        <f t="shared" si="3"/>
        <v>0</v>
      </c>
      <c r="W23" s="52">
        <f t="shared" si="4"/>
        <v>0</v>
      </c>
      <c r="X23" s="20"/>
      <c r="Y23" s="20"/>
      <c r="Z23" s="20"/>
      <c r="AA23" s="20"/>
      <c r="AB23" s="417"/>
      <c r="AC23" s="200"/>
      <c r="AD23" s="160"/>
      <c r="AE23" s="163"/>
      <c r="AF23" s="171"/>
      <c r="AG23" s="192">
        <v>0.04</v>
      </c>
      <c r="AH23" s="59">
        <f>0.001*AG23*N23</f>
        <v>0</v>
      </c>
      <c r="AI23" s="129"/>
      <c r="AK23" s="10"/>
    </row>
    <row r="24" spans="1:74" s="4" customFormat="1" ht="26.25" hidden="1" customHeight="1" thickBot="1" x14ac:dyDescent="0.3">
      <c r="A24" s="10"/>
      <c r="B24" s="11"/>
      <c r="C24" s="6" t="s">
        <v>18</v>
      </c>
      <c r="D24" s="23" t="s">
        <v>9</v>
      </c>
      <c r="E24" s="212"/>
      <c r="F24" s="397"/>
      <c r="G24" s="48" t="s">
        <v>0</v>
      </c>
      <c r="H24" s="39"/>
      <c r="I24" s="360">
        <v>0</v>
      </c>
      <c r="J24" s="39">
        <f t="shared" si="0"/>
        <v>0</v>
      </c>
      <c r="K24" s="309">
        <f t="shared" ref="K24:K30" si="9">R24*0.8</f>
        <v>0.62</v>
      </c>
      <c r="L24" s="230">
        <f>K24*J316</f>
        <v>6</v>
      </c>
      <c r="M24" s="155"/>
      <c r="N24" s="279"/>
      <c r="O24" s="39"/>
      <c r="P24" s="360">
        <f t="shared" si="8"/>
        <v>0</v>
      </c>
      <c r="Q24" s="263">
        <f t="shared" si="1"/>
        <v>0</v>
      </c>
      <c r="R24" s="306">
        <f t="shared" si="5"/>
        <v>0.77</v>
      </c>
      <c r="S24" s="327">
        <f>21.4*0.03</f>
        <v>0.64</v>
      </c>
      <c r="T24" s="353">
        <f t="shared" si="2"/>
        <v>0</v>
      </c>
      <c r="U24" s="20"/>
      <c r="V24" s="20">
        <f t="shared" si="3"/>
        <v>0</v>
      </c>
      <c r="W24" s="52">
        <f t="shared" si="4"/>
        <v>0</v>
      </c>
      <c r="X24" s="20"/>
      <c r="Y24" s="20"/>
      <c r="Z24" s="20"/>
      <c r="AA24" s="20"/>
      <c r="AB24" s="417"/>
      <c r="AC24" s="200"/>
      <c r="AD24" s="160"/>
      <c r="AE24" s="163"/>
      <c r="AF24" s="171"/>
      <c r="AG24" s="192"/>
      <c r="AH24" s="128"/>
      <c r="AI24" s="129"/>
      <c r="AJ24" s="182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</row>
    <row r="25" spans="1:74" s="4" customFormat="1" ht="26.25" hidden="1" customHeight="1" thickBot="1" x14ac:dyDescent="0.3">
      <c r="A25" s="10"/>
      <c r="B25" s="11"/>
      <c r="C25" s="6" t="s">
        <v>18</v>
      </c>
      <c r="D25" s="23" t="s">
        <v>9</v>
      </c>
      <c r="E25" s="1" t="s">
        <v>466</v>
      </c>
      <c r="F25" s="211" t="s">
        <v>300</v>
      </c>
      <c r="G25" s="19"/>
      <c r="H25" s="39"/>
      <c r="I25" s="309">
        <v>0</v>
      </c>
      <c r="J25" s="39">
        <f t="shared" si="0"/>
        <v>0</v>
      </c>
      <c r="K25" s="309">
        <f t="shared" si="9"/>
        <v>6.72</v>
      </c>
      <c r="L25" s="230"/>
      <c r="M25" s="64"/>
      <c r="N25" s="279"/>
      <c r="O25" s="39"/>
      <c r="P25" s="360">
        <f t="shared" si="8"/>
        <v>0</v>
      </c>
      <c r="Q25" s="265" t="str">
        <f t="shared" si="1"/>
        <v>ЭПГ 110.107(К30х5(10)х8)</v>
      </c>
      <c r="R25" s="377">
        <f t="shared" si="5"/>
        <v>8.4</v>
      </c>
      <c r="S25" s="320">
        <v>7</v>
      </c>
      <c r="T25" s="353">
        <f t="shared" si="2"/>
        <v>0</v>
      </c>
      <c r="U25" s="20"/>
      <c r="V25" s="20">
        <f t="shared" si="3"/>
        <v>0</v>
      </c>
      <c r="W25" s="52">
        <f t="shared" si="4"/>
        <v>0</v>
      </c>
      <c r="X25" s="20"/>
      <c r="Y25" s="20"/>
      <c r="Z25" s="20"/>
      <c r="AA25" s="20"/>
      <c r="AB25" s="417"/>
      <c r="AC25" s="200"/>
      <c r="AD25" s="160"/>
      <c r="AE25" s="163"/>
      <c r="AF25" s="171"/>
      <c r="AG25" s="192"/>
      <c r="AH25" s="128"/>
      <c r="AI25" s="129"/>
      <c r="AJ25" s="182"/>
    </row>
    <row r="26" spans="1:74" ht="26.25" hidden="1" customHeight="1" x14ac:dyDescent="0.25">
      <c r="B26" s="11"/>
      <c r="C26" s="6" t="s">
        <v>18</v>
      </c>
      <c r="D26" s="23" t="s">
        <v>9</v>
      </c>
      <c r="E26" s="212" t="s">
        <v>265</v>
      </c>
      <c r="F26" s="398">
        <v>852</v>
      </c>
      <c r="G26" s="48" t="s">
        <v>0</v>
      </c>
      <c r="H26" s="39"/>
      <c r="I26" s="360">
        <v>0</v>
      </c>
      <c r="J26" s="39">
        <f t="shared" si="0"/>
        <v>0</v>
      </c>
      <c r="K26" s="309">
        <f t="shared" si="9"/>
        <v>0.86</v>
      </c>
      <c r="L26" s="230">
        <f>K26*J318</f>
        <v>0</v>
      </c>
      <c r="M26" s="155" t="s">
        <v>535</v>
      </c>
      <c r="N26" s="279"/>
      <c r="O26" s="39"/>
      <c r="P26" s="360">
        <f t="shared" si="8"/>
        <v>0</v>
      </c>
      <c r="Q26" s="262" t="str">
        <f t="shared" si="1"/>
        <v>К36х13х8</v>
      </c>
      <c r="R26" s="306">
        <f t="shared" si="5"/>
        <v>1.08</v>
      </c>
      <c r="S26" s="319">
        <v>0.9</v>
      </c>
      <c r="T26" s="353">
        <f t="shared" si="2"/>
        <v>0</v>
      </c>
      <c r="U26" s="18"/>
      <c r="V26" s="20">
        <f t="shared" si="3"/>
        <v>0</v>
      </c>
      <c r="W26" s="52">
        <f t="shared" si="4"/>
        <v>0</v>
      </c>
      <c r="X26" s="18"/>
      <c r="Y26" s="18"/>
      <c r="Z26" s="18"/>
      <c r="AA26" s="18"/>
      <c r="AB26" s="418"/>
      <c r="AC26" s="200"/>
      <c r="AD26" s="160"/>
      <c r="AE26" s="165"/>
      <c r="AF26" s="160"/>
      <c r="AG26" s="192"/>
      <c r="AH26" s="128"/>
      <c r="AI26" s="129"/>
      <c r="AK26" s="10"/>
    </row>
    <row r="27" spans="1:74" ht="26.25" hidden="1" customHeight="1" x14ac:dyDescent="0.35">
      <c r="B27" s="11"/>
      <c r="C27" s="6" t="s">
        <v>18</v>
      </c>
      <c r="D27" s="23" t="s">
        <v>9</v>
      </c>
      <c r="E27" s="239" t="s">
        <v>455</v>
      </c>
      <c r="F27" s="384">
        <v>1231</v>
      </c>
      <c r="G27" s="48" t="s">
        <v>0</v>
      </c>
      <c r="H27" s="39">
        <v>0</v>
      </c>
      <c r="I27" s="360">
        <v>0</v>
      </c>
      <c r="J27" s="39">
        <f t="shared" si="0"/>
        <v>0</v>
      </c>
      <c r="K27" s="309">
        <f t="shared" si="9"/>
        <v>2.21</v>
      </c>
      <c r="L27" s="230">
        <f>K27*J319</f>
        <v>0</v>
      </c>
      <c r="M27" s="155"/>
      <c r="N27" s="279"/>
      <c r="O27" s="39">
        <v>0</v>
      </c>
      <c r="P27" s="309">
        <f t="shared" si="8"/>
        <v>0</v>
      </c>
      <c r="Q27" s="235" t="str">
        <f t="shared" si="1"/>
        <v>Д30х10</v>
      </c>
      <c r="R27" s="377">
        <f t="shared" si="5"/>
        <v>2.76</v>
      </c>
      <c r="S27" s="328">
        <v>2.2999999999999998</v>
      </c>
      <c r="T27" s="353">
        <f t="shared" si="2"/>
        <v>0</v>
      </c>
      <c r="U27" s="20"/>
      <c r="V27" s="20">
        <f t="shared" si="3"/>
        <v>0</v>
      </c>
      <c r="W27" s="52">
        <f t="shared" si="4"/>
        <v>0</v>
      </c>
      <c r="X27" s="20"/>
      <c r="Y27" s="20"/>
      <c r="Z27" s="199"/>
      <c r="AA27" s="20"/>
      <c r="AB27" s="419"/>
      <c r="AC27" s="200"/>
      <c r="AD27" s="160"/>
      <c r="AE27" s="164"/>
      <c r="AF27" s="160"/>
      <c r="AG27" s="176"/>
      <c r="AH27" s="115"/>
      <c r="AI27" s="113"/>
      <c r="AJ27" s="185"/>
      <c r="AK27" s="125"/>
    </row>
    <row r="28" spans="1:74" s="4" customFormat="1" ht="26.25" hidden="1" customHeight="1" x14ac:dyDescent="0.25">
      <c r="A28" s="10"/>
      <c r="B28" s="11"/>
      <c r="C28" s="6" t="s">
        <v>18</v>
      </c>
      <c r="D28" s="23" t="s">
        <v>9</v>
      </c>
      <c r="E28" s="463"/>
      <c r="F28" s="211"/>
      <c r="G28" s="48" t="s">
        <v>0</v>
      </c>
      <c r="H28" s="39"/>
      <c r="I28" s="360">
        <v>0</v>
      </c>
      <c r="J28" s="39">
        <f t="shared" si="0"/>
        <v>0</v>
      </c>
      <c r="K28" s="309">
        <f t="shared" si="9"/>
        <v>0.74</v>
      </c>
      <c r="L28" s="230"/>
      <c r="M28" s="64"/>
      <c r="N28" s="279"/>
      <c r="O28" s="39"/>
      <c r="P28" s="360">
        <f t="shared" si="8"/>
        <v>0</v>
      </c>
      <c r="Q28" s="235">
        <f t="shared" si="1"/>
        <v>0</v>
      </c>
      <c r="R28" s="377">
        <f t="shared" si="5"/>
        <v>0.92</v>
      </c>
      <c r="S28" s="320">
        <v>0.77</v>
      </c>
      <c r="T28" s="353">
        <f t="shared" si="2"/>
        <v>0</v>
      </c>
      <c r="U28" s="20"/>
      <c r="V28" s="20">
        <f t="shared" si="3"/>
        <v>0</v>
      </c>
      <c r="W28" s="52">
        <f t="shared" si="4"/>
        <v>0</v>
      </c>
      <c r="X28" s="20"/>
      <c r="Y28" s="20"/>
      <c r="Z28" s="20"/>
      <c r="AA28" s="20"/>
      <c r="AB28" s="417"/>
      <c r="AC28" s="200"/>
      <c r="AD28" s="160"/>
      <c r="AE28" s="163"/>
      <c r="AF28" s="171"/>
      <c r="AG28" s="192"/>
      <c r="AH28" s="128"/>
      <c r="AI28" s="129"/>
      <c r="AJ28" s="182"/>
    </row>
    <row r="29" spans="1:74" s="4" customFormat="1" ht="26.25" hidden="1" customHeight="1" x14ac:dyDescent="0.25">
      <c r="A29" s="10"/>
      <c r="B29" s="11"/>
      <c r="C29" s="6" t="s">
        <v>18</v>
      </c>
      <c r="D29" s="23" t="s">
        <v>9</v>
      </c>
      <c r="E29" s="212" t="s">
        <v>282</v>
      </c>
      <c r="F29" s="211" t="s">
        <v>301</v>
      </c>
      <c r="G29" s="19"/>
      <c r="H29" s="39"/>
      <c r="I29" s="309">
        <v>0</v>
      </c>
      <c r="J29" s="39">
        <f t="shared" si="0"/>
        <v>0</v>
      </c>
      <c r="K29" s="309">
        <f t="shared" si="9"/>
        <v>1.92</v>
      </c>
      <c r="L29" s="230"/>
      <c r="M29" s="64"/>
      <c r="N29" s="279"/>
      <c r="O29" s="39"/>
      <c r="P29" s="309">
        <f t="shared" si="8"/>
        <v>0</v>
      </c>
      <c r="Q29" s="235" t="str">
        <f t="shared" si="1"/>
        <v>К24,3х16,2х4</v>
      </c>
      <c r="R29" s="377">
        <f t="shared" si="5"/>
        <v>2.4</v>
      </c>
      <c r="S29" s="329">
        <f>20000*0.0001</f>
        <v>2</v>
      </c>
      <c r="T29" s="353">
        <f t="shared" si="2"/>
        <v>0</v>
      </c>
      <c r="U29" s="20"/>
      <c r="V29" s="20">
        <f t="shared" si="3"/>
        <v>0</v>
      </c>
      <c r="W29" s="52">
        <f t="shared" si="4"/>
        <v>0</v>
      </c>
      <c r="X29" s="20"/>
      <c r="Y29" s="20"/>
      <c r="Z29" s="20"/>
      <c r="AA29" s="20"/>
      <c r="AB29" s="417"/>
      <c r="AC29" s="200"/>
      <c r="AD29" s="160"/>
      <c r="AE29" s="163"/>
      <c r="AF29" s="171"/>
      <c r="AG29" s="192"/>
      <c r="AH29" s="128"/>
      <c r="AI29" s="129"/>
      <c r="AJ29" s="182"/>
    </row>
    <row r="30" spans="1:74" ht="26.25" hidden="1" customHeight="1" x14ac:dyDescent="0.25">
      <c r="B30" s="11"/>
      <c r="C30" s="6" t="s">
        <v>18</v>
      </c>
      <c r="D30" s="23" t="s">
        <v>9</v>
      </c>
      <c r="E30" s="212" t="s">
        <v>493</v>
      </c>
      <c r="F30" s="211"/>
      <c r="G30" s="19"/>
      <c r="H30" s="39"/>
      <c r="I30" s="309">
        <v>0</v>
      </c>
      <c r="J30" s="39">
        <f t="shared" si="0"/>
        <v>0</v>
      </c>
      <c r="K30" s="309">
        <f t="shared" si="9"/>
        <v>6.24</v>
      </c>
      <c r="L30" s="230"/>
      <c r="M30" s="64"/>
      <c r="N30" s="279"/>
      <c r="O30" s="39"/>
      <c r="P30" s="309">
        <f t="shared" si="8"/>
        <v>0</v>
      </c>
      <c r="Q30" s="235" t="str">
        <f t="shared" si="1"/>
        <v>К35х5(10)х6</v>
      </c>
      <c r="R30" s="377">
        <f t="shared" si="5"/>
        <v>7.8</v>
      </c>
      <c r="S30" s="329">
        <f>65000*0.0001</f>
        <v>6.5</v>
      </c>
      <c r="T30" s="353">
        <f t="shared" si="2"/>
        <v>0</v>
      </c>
      <c r="U30" s="20">
        <v>288</v>
      </c>
      <c r="V30" s="20">
        <f t="shared" si="3"/>
        <v>0</v>
      </c>
      <c r="W30" s="52">
        <f t="shared" si="4"/>
        <v>0</v>
      </c>
      <c r="X30" s="20">
        <v>288</v>
      </c>
      <c r="Y30" s="20"/>
      <c r="Z30" s="20"/>
      <c r="AA30" s="20"/>
      <c r="AB30" s="417"/>
      <c r="AC30" s="200"/>
      <c r="AD30" s="160"/>
      <c r="AE30" s="163"/>
      <c r="AF30" s="171"/>
      <c r="AG30" s="192"/>
      <c r="AH30" s="128"/>
      <c r="AI30" s="129"/>
      <c r="AK30" s="4"/>
      <c r="AL30" s="477"/>
    </row>
    <row r="31" spans="1:74" ht="26.25" hidden="1" customHeight="1" x14ac:dyDescent="0.25">
      <c r="B31" s="11"/>
      <c r="C31" s="6" t="s">
        <v>18</v>
      </c>
      <c r="D31" s="23" t="s">
        <v>9</v>
      </c>
      <c r="E31" s="212" t="s">
        <v>452</v>
      </c>
      <c r="F31" s="211"/>
      <c r="G31" s="19"/>
      <c r="H31" s="39"/>
      <c r="I31" s="309">
        <v>0</v>
      </c>
      <c r="J31" s="39">
        <f t="shared" si="0"/>
        <v>0</v>
      </c>
      <c r="K31" s="309"/>
      <c r="L31" s="230"/>
      <c r="M31" s="64"/>
      <c r="N31" s="279"/>
      <c r="O31" s="39"/>
      <c r="P31" s="309">
        <f t="shared" si="8"/>
        <v>0</v>
      </c>
      <c r="Q31" s="235" t="str">
        <f t="shared" si="1"/>
        <v>К36х8х8</v>
      </c>
      <c r="R31" s="377">
        <f t="shared" si="5"/>
        <v>0</v>
      </c>
      <c r="S31" s="329"/>
      <c r="T31" s="353">
        <f t="shared" si="2"/>
        <v>0</v>
      </c>
      <c r="U31" s="70">
        <v>400</v>
      </c>
      <c r="V31" s="20">
        <f t="shared" si="3"/>
        <v>0</v>
      </c>
      <c r="W31" s="52">
        <f t="shared" si="4"/>
        <v>0</v>
      </c>
      <c r="X31" s="148">
        <v>400</v>
      </c>
      <c r="Y31" s="20"/>
      <c r="Z31" s="20"/>
      <c r="AA31" s="20"/>
      <c r="AB31" s="417"/>
      <c r="AC31" s="200"/>
      <c r="AD31" s="160"/>
      <c r="AE31" s="163"/>
      <c r="AF31" s="171"/>
      <c r="AG31" s="192"/>
      <c r="AH31" s="128"/>
      <c r="AI31" s="129"/>
      <c r="AK31" s="4"/>
      <c r="AL31" s="477"/>
    </row>
    <row r="32" spans="1:74" s="4" customFormat="1" ht="26.25" hidden="1" customHeight="1" x14ac:dyDescent="0.25">
      <c r="A32" s="10"/>
      <c r="B32" s="11"/>
      <c r="C32" s="6" t="s">
        <v>18</v>
      </c>
      <c r="D32" s="23" t="s">
        <v>9</v>
      </c>
      <c r="E32" s="212" t="s">
        <v>281</v>
      </c>
      <c r="F32" s="211" t="s">
        <v>302</v>
      </c>
      <c r="G32" s="19"/>
      <c r="H32" s="39"/>
      <c r="I32" s="309">
        <v>0</v>
      </c>
      <c r="J32" s="39">
        <f t="shared" si="0"/>
        <v>0</v>
      </c>
      <c r="K32" s="309">
        <f>R32*0.8</f>
        <v>4.8</v>
      </c>
      <c r="L32" s="230"/>
      <c r="M32" s="64"/>
      <c r="N32" s="279"/>
      <c r="O32" s="39"/>
      <c r="P32" s="309">
        <f t="shared" si="8"/>
        <v>0</v>
      </c>
      <c r="Q32" s="235" t="str">
        <f t="shared" si="1"/>
        <v>К40х24х3,5</v>
      </c>
      <c r="R32" s="377">
        <f t="shared" si="5"/>
        <v>6</v>
      </c>
      <c r="S32" s="329">
        <f>50000*0.0001</f>
        <v>5</v>
      </c>
      <c r="T32" s="353">
        <f t="shared" si="2"/>
        <v>0</v>
      </c>
      <c r="U32" s="20"/>
      <c r="V32" s="20">
        <f t="shared" si="3"/>
        <v>0</v>
      </c>
      <c r="W32" s="52">
        <f t="shared" si="4"/>
        <v>0</v>
      </c>
      <c r="X32" s="20"/>
      <c r="Y32" s="20"/>
      <c r="Z32" s="20"/>
      <c r="AA32" s="20"/>
      <c r="AB32" s="417"/>
      <c r="AC32" s="200"/>
      <c r="AD32" s="160"/>
      <c r="AE32" s="163"/>
      <c r="AF32" s="171"/>
      <c r="AG32" s="192"/>
      <c r="AH32" s="128"/>
      <c r="AI32" s="129"/>
      <c r="AJ32" s="182"/>
    </row>
    <row r="33" spans="1:241" s="4" customFormat="1" ht="26.25" hidden="1" customHeight="1" thickBot="1" x14ac:dyDescent="0.3">
      <c r="A33" s="10"/>
      <c r="B33" s="11"/>
      <c r="C33" s="6" t="s">
        <v>18</v>
      </c>
      <c r="D33" s="23" t="s">
        <v>9</v>
      </c>
      <c r="E33" s="237" t="s">
        <v>726</v>
      </c>
      <c r="F33" s="211" t="s">
        <v>732</v>
      </c>
      <c r="G33" s="19"/>
      <c r="H33" s="39"/>
      <c r="I33" s="309">
        <v>0</v>
      </c>
      <c r="J33" s="39">
        <f t="shared" si="0"/>
        <v>0</v>
      </c>
      <c r="K33" s="309">
        <f>R33*0.8</f>
        <v>6.72</v>
      </c>
      <c r="L33" s="230"/>
      <c r="M33" s="233" t="s">
        <v>735</v>
      </c>
      <c r="N33" s="279"/>
      <c r="O33" s="39"/>
      <c r="P33" s="497">
        <f t="shared" si="8"/>
        <v>0</v>
      </c>
      <c r="Q33" s="263" t="str">
        <f t="shared" si="1"/>
        <v>К45х22х5</v>
      </c>
      <c r="R33" s="377">
        <f t="shared" si="5"/>
        <v>8.4</v>
      </c>
      <c r="S33" s="321">
        <f>70000*0.0001</f>
        <v>7</v>
      </c>
      <c r="T33" s="353">
        <f t="shared" si="2"/>
        <v>0</v>
      </c>
      <c r="U33" s="20"/>
      <c r="V33" s="20">
        <f t="shared" si="3"/>
        <v>0</v>
      </c>
      <c r="W33" s="52">
        <f t="shared" si="4"/>
        <v>0</v>
      </c>
      <c r="X33" s="20"/>
      <c r="Y33" s="20"/>
      <c r="Z33" s="20"/>
      <c r="AA33" s="20"/>
      <c r="AB33" s="417"/>
      <c r="AC33" s="200"/>
      <c r="AD33" s="160"/>
      <c r="AE33" s="163"/>
      <c r="AF33" s="171"/>
      <c r="AG33" s="192"/>
      <c r="AH33" s="128"/>
      <c r="AI33" s="129"/>
      <c r="AJ33" s="182"/>
    </row>
    <row r="34" spans="1:241" ht="26.25" hidden="1" customHeight="1" thickBot="1" x14ac:dyDescent="0.3">
      <c r="B34" s="11"/>
      <c r="C34" s="6" t="s">
        <v>18</v>
      </c>
      <c r="D34" s="23" t="s">
        <v>9</v>
      </c>
      <c r="E34" s="237" t="s">
        <v>95</v>
      </c>
      <c r="F34" s="208" t="s">
        <v>99</v>
      </c>
      <c r="G34" s="48" t="s">
        <v>0</v>
      </c>
      <c r="H34" s="39"/>
      <c r="I34" s="360">
        <v>0</v>
      </c>
      <c r="J34" s="39">
        <f t="shared" si="0"/>
        <v>0</v>
      </c>
      <c r="K34" s="309">
        <v>0.36</v>
      </c>
      <c r="L34" s="230">
        <f>K34*J326</f>
        <v>0</v>
      </c>
      <c r="M34" s="233" t="s">
        <v>736</v>
      </c>
      <c r="N34" s="279"/>
      <c r="O34" s="503"/>
      <c r="P34" s="309">
        <f t="shared" si="8"/>
        <v>0</v>
      </c>
      <c r="Q34" s="265" t="str">
        <f t="shared" si="1"/>
        <v>К45х22х7</v>
      </c>
      <c r="R34" s="306">
        <f t="shared" si="5"/>
        <v>0.46</v>
      </c>
      <c r="S34" s="319">
        <v>0.38</v>
      </c>
      <c r="T34" s="353">
        <f t="shared" si="2"/>
        <v>0</v>
      </c>
      <c r="U34" s="20">
        <v>11407</v>
      </c>
      <c r="V34" s="20">
        <f t="shared" si="3"/>
        <v>0</v>
      </c>
      <c r="W34" s="52">
        <f t="shared" si="4"/>
        <v>0</v>
      </c>
      <c r="X34" s="148">
        <v>11407</v>
      </c>
      <c r="Y34" s="20"/>
      <c r="Z34" s="20"/>
      <c r="AA34" s="20">
        <v>3800</v>
      </c>
      <c r="AB34" s="417"/>
      <c r="AC34" s="18"/>
      <c r="AD34" s="160">
        <v>9.1999999999999998E-2</v>
      </c>
      <c r="AE34" s="163"/>
      <c r="AF34" s="171"/>
      <c r="AG34" s="192"/>
      <c r="AH34" s="16"/>
      <c r="AI34" s="16"/>
      <c r="AJ34" s="185"/>
      <c r="AK34" s="435"/>
      <c r="AL34" s="476"/>
    </row>
    <row r="35" spans="1:241" ht="26.25" hidden="1" customHeight="1" x14ac:dyDescent="0.25">
      <c r="B35" s="15"/>
      <c r="C35" s="6" t="s">
        <v>18</v>
      </c>
      <c r="D35" s="23" t="s">
        <v>177</v>
      </c>
      <c r="E35" s="104" t="s">
        <v>215</v>
      </c>
      <c r="F35" s="208" t="s">
        <v>178</v>
      </c>
      <c r="G35" s="48" t="s">
        <v>0</v>
      </c>
      <c r="H35" s="39"/>
      <c r="I35" s="309">
        <v>0</v>
      </c>
      <c r="J35" s="39">
        <f t="shared" si="0"/>
        <v>0</v>
      </c>
      <c r="K35" s="309">
        <f t="shared" ref="K35:K40" si="10">R35*0.8</f>
        <v>0.14000000000000001</v>
      </c>
      <c r="L35" s="230">
        <f>K35*J327</f>
        <v>0</v>
      </c>
      <c r="M35" s="62" t="s">
        <v>275</v>
      </c>
      <c r="N35" s="140"/>
      <c r="O35" s="39"/>
      <c r="P35" s="490">
        <f t="shared" si="8"/>
        <v>0</v>
      </c>
      <c r="Q35" s="262" t="str">
        <f t="shared" si="1"/>
        <v>ЭПГ110.165(К45*22*6)</v>
      </c>
      <c r="R35" s="377">
        <f t="shared" si="5"/>
        <v>0.18</v>
      </c>
      <c r="S35" s="322">
        <f>1513*0.0001</f>
        <v>0.15</v>
      </c>
      <c r="T35" s="353">
        <f t="shared" si="2"/>
        <v>0</v>
      </c>
      <c r="U35" s="199"/>
      <c r="V35" s="20">
        <f t="shared" si="3"/>
        <v>0</v>
      </c>
      <c r="W35" s="52">
        <f t="shared" si="4"/>
        <v>0</v>
      </c>
      <c r="X35" s="199"/>
      <c r="Y35" s="199"/>
      <c r="Z35" s="20"/>
      <c r="AA35" s="20">
        <v>20800</v>
      </c>
      <c r="AB35" s="417"/>
      <c r="AC35" s="200"/>
      <c r="AD35" s="190">
        <v>8.1000000000000003E-2</v>
      </c>
      <c r="AE35" s="163"/>
      <c r="AF35" s="171"/>
      <c r="AG35" s="192"/>
      <c r="AH35" s="16"/>
      <c r="AI35" s="16"/>
      <c r="AJ35" s="185"/>
      <c r="AK35" s="125"/>
    </row>
    <row r="36" spans="1:241" ht="26.25" hidden="1" customHeight="1" x14ac:dyDescent="0.25">
      <c r="B36" s="15"/>
      <c r="C36" s="6" t="s">
        <v>18</v>
      </c>
      <c r="D36" s="23" t="s">
        <v>9</v>
      </c>
      <c r="E36" s="238" t="s">
        <v>505</v>
      </c>
      <c r="F36" s="208"/>
      <c r="G36" s="48"/>
      <c r="H36" s="39"/>
      <c r="I36" s="309">
        <v>0</v>
      </c>
      <c r="J36" s="39">
        <f t="shared" si="0"/>
        <v>0</v>
      </c>
      <c r="K36" s="309">
        <f t="shared" si="10"/>
        <v>0</v>
      </c>
      <c r="L36" s="230"/>
      <c r="M36" s="146" t="s">
        <v>331</v>
      </c>
      <c r="N36" s="279"/>
      <c r="O36" s="39"/>
      <c r="P36" s="497">
        <f t="shared" si="8"/>
        <v>0</v>
      </c>
      <c r="Q36" s="235" t="str">
        <f t="shared" si="1"/>
        <v>К60х25х9</v>
      </c>
      <c r="R36" s="377">
        <f t="shared" si="5"/>
        <v>0</v>
      </c>
      <c r="S36" s="330"/>
      <c r="T36" s="353">
        <f t="shared" si="2"/>
        <v>0</v>
      </c>
      <c r="U36" s="70">
        <v>350</v>
      </c>
      <c r="V36" s="20">
        <f t="shared" si="3"/>
        <v>0</v>
      </c>
      <c r="W36" s="52">
        <f t="shared" si="4"/>
        <v>0</v>
      </c>
      <c r="X36" s="148">
        <f>70*5</f>
        <v>350</v>
      </c>
      <c r="Y36" s="20"/>
      <c r="Z36" s="20"/>
      <c r="AA36" s="20"/>
      <c r="AB36" s="417"/>
      <c r="AC36" s="200"/>
      <c r="AD36" s="160"/>
      <c r="AE36" s="163"/>
      <c r="AF36" s="171"/>
      <c r="AG36" s="192"/>
      <c r="AH36" s="128"/>
      <c r="AI36" s="129"/>
      <c r="AK36" s="10"/>
      <c r="AL36" s="476"/>
    </row>
    <row r="37" spans="1:241" ht="26.25" customHeight="1" x14ac:dyDescent="0.25">
      <c r="B37" s="15">
        <v>7</v>
      </c>
      <c r="C37" s="6" t="s">
        <v>18</v>
      </c>
      <c r="D37" s="23" t="s">
        <v>9</v>
      </c>
      <c r="E37" s="238" t="s">
        <v>283</v>
      </c>
      <c r="F37" s="208">
        <v>1383</v>
      </c>
      <c r="G37" s="12" t="s">
        <v>0</v>
      </c>
      <c r="H37" s="39">
        <v>220</v>
      </c>
      <c r="I37" s="309">
        <v>338.8</v>
      </c>
      <c r="J37" s="39">
        <f t="shared" si="0"/>
        <v>0</v>
      </c>
      <c r="K37" s="309">
        <f t="shared" si="10"/>
        <v>1.54</v>
      </c>
      <c r="L37" s="230"/>
      <c r="M37" s="233"/>
      <c r="N37" s="279"/>
      <c r="O37" s="503">
        <v>220</v>
      </c>
      <c r="P37" s="309">
        <f t="shared" si="8"/>
        <v>338.8</v>
      </c>
      <c r="Q37" s="51" t="str">
        <f t="shared" si="1"/>
        <v>К61х24х8</v>
      </c>
      <c r="R37" s="377">
        <f t="shared" si="5"/>
        <v>1.92</v>
      </c>
      <c r="S37" s="330">
        <v>1.6</v>
      </c>
      <c r="T37" s="353">
        <f t="shared" si="2"/>
        <v>0</v>
      </c>
      <c r="U37" s="20">
        <v>870</v>
      </c>
      <c r="V37" s="20">
        <f t="shared" si="3"/>
        <v>0</v>
      </c>
      <c r="W37" s="52">
        <f t="shared" si="4"/>
        <v>0</v>
      </c>
      <c r="X37" s="148">
        <f>10*125-190-190</f>
        <v>870</v>
      </c>
      <c r="Y37" s="20"/>
      <c r="Z37" s="20"/>
      <c r="AA37" s="20"/>
      <c r="AB37" s="417"/>
      <c r="AC37" s="200"/>
      <c r="AD37" s="160"/>
      <c r="AE37" s="163"/>
      <c r="AF37" s="171"/>
      <c r="AG37" s="192"/>
      <c r="AH37" s="128"/>
      <c r="AI37" s="129"/>
      <c r="AK37" s="10"/>
      <c r="AL37" s="476"/>
    </row>
    <row r="38" spans="1:241" ht="26.25" hidden="1" customHeight="1" x14ac:dyDescent="0.25">
      <c r="B38" s="11"/>
      <c r="C38" s="6" t="s">
        <v>18</v>
      </c>
      <c r="D38" s="23" t="s">
        <v>9</v>
      </c>
      <c r="E38" s="459" t="s">
        <v>725</v>
      </c>
      <c r="F38" s="208">
        <v>1452</v>
      </c>
      <c r="G38" s="48" t="s">
        <v>0</v>
      </c>
      <c r="H38" s="39"/>
      <c r="I38" s="309">
        <v>0</v>
      </c>
      <c r="J38" s="39">
        <f t="shared" si="0"/>
        <v>0</v>
      </c>
      <c r="K38" s="309">
        <f t="shared" si="10"/>
        <v>23.04</v>
      </c>
      <c r="L38" s="230">
        <f t="shared" ref="L38:L44" si="11">K38*J330</f>
        <v>0</v>
      </c>
      <c r="M38" s="233" t="s">
        <v>737</v>
      </c>
      <c r="N38" s="279"/>
      <c r="O38" s="39"/>
      <c r="P38" s="490">
        <f t="shared" si="8"/>
        <v>0</v>
      </c>
      <c r="Q38" s="441" t="str">
        <f t="shared" si="1"/>
        <v>К59х44х4</v>
      </c>
      <c r="R38" s="377">
        <f t="shared" si="5"/>
        <v>28.8</v>
      </c>
      <c r="S38" s="319">
        <v>24</v>
      </c>
      <c r="T38" s="353">
        <f t="shared" ref="T38:T70" si="12">S38*J38</f>
        <v>0</v>
      </c>
      <c r="U38" s="20"/>
      <c r="V38" s="20">
        <f t="shared" ref="V38:V69" si="13">N38</f>
        <v>0</v>
      </c>
      <c r="W38" s="52">
        <f t="shared" si="4"/>
        <v>0</v>
      </c>
      <c r="X38" s="20"/>
      <c r="Y38" s="20"/>
      <c r="Z38" s="20"/>
      <c r="AA38" s="20"/>
      <c r="AB38" s="417"/>
      <c r="AC38" s="200"/>
      <c r="AD38" s="190">
        <v>0.33</v>
      </c>
      <c r="AE38" s="163"/>
      <c r="AF38" s="171"/>
      <c r="AG38" s="192"/>
      <c r="AH38" s="128"/>
      <c r="AI38" s="129"/>
      <c r="AK38" s="10"/>
      <c r="AL38" s="476"/>
    </row>
    <row r="39" spans="1:241" ht="26.25" customHeight="1" thickBot="1" x14ac:dyDescent="0.4">
      <c r="B39" s="11">
        <v>8</v>
      </c>
      <c r="C39" s="6" t="s">
        <v>18</v>
      </c>
      <c r="D39" s="23" t="s">
        <v>9</v>
      </c>
      <c r="E39" s="43" t="s">
        <v>115</v>
      </c>
      <c r="F39" s="208" t="s">
        <v>116</v>
      </c>
      <c r="G39" s="12" t="s">
        <v>0</v>
      </c>
      <c r="H39" s="39">
        <v>150</v>
      </c>
      <c r="I39" s="360">
        <v>412.5</v>
      </c>
      <c r="J39" s="39">
        <f t="shared" si="0"/>
        <v>0</v>
      </c>
      <c r="K39" s="309">
        <f t="shared" si="10"/>
        <v>2.75</v>
      </c>
      <c r="L39" s="230">
        <f t="shared" si="11"/>
        <v>0</v>
      </c>
      <c r="M39" s="233" t="s">
        <v>652</v>
      </c>
      <c r="N39" s="279"/>
      <c r="O39" s="503">
        <v>150</v>
      </c>
      <c r="P39" s="490">
        <f t="shared" si="8"/>
        <v>412.5</v>
      </c>
      <c r="Q39" s="256" t="str">
        <f t="shared" si="1"/>
        <v>К72*32*10</v>
      </c>
      <c r="R39" s="377">
        <f t="shared" ref="R39:R70" si="14">S39*1.2</f>
        <v>3.44</v>
      </c>
      <c r="S39" s="320">
        <v>2.87</v>
      </c>
      <c r="T39" s="353">
        <f t="shared" si="2"/>
        <v>0</v>
      </c>
      <c r="U39" s="20">
        <v>6500</v>
      </c>
      <c r="V39" s="20">
        <f t="shared" si="13"/>
        <v>0</v>
      </c>
      <c r="W39" s="52">
        <f t="shared" si="4"/>
        <v>0</v>
      </c>
      <c r="X39" s="148">
        <v>6500</v>
      </c>
      <c r="Y39" s="20"/>
      <c r="Z39" s="20"/>
      <c r="AA39" s="20">
        <v>600</v>
      </c>
      <c r="AB39" s="417"/>
      <c r="AC39" s="200"/>
      <c r="AD39" s="160"/>
      <c r="AE39" s="162"/>
      <c r="AF39" s="171"/>
      <c r="AG39" s="176"/>
      <c r="AH39" s="115"/>
      <c r="AI39" s="113"/>
      <c r="AJ39" s="185"/>
      <c r="AK39" s="435"/>
      <c r="AL39" s="476"/>
    </row>
    <row r="40" spans="1:241" s="4" customFormat="1" ht="26.25" hidden="1" customHeight="1" thickBot="1" x14ac:dyDescent="0.3">
      <c r="A40" s="10"/>
      <c r="B40" s="11"/>
      <c r="C40" s="6" t="s">
        <v>18</v>
      </c>
      <c r="D40" s="23" t="s">
        <v>9</v>
      </c>
      <c r="E40" s="238" t="s">
        <v>451</v>
      </c>
      <c r="F40" s="387" t="s">
        <v>383</v>
      </c>
      <c r="G40" s="48" t="s">
        <v>0</v>
      </c>
      <c r="H40" s="39"/>
      <c r="I40" s="360">
        <v>0</v>
      </c>
      <c r="J40" s="39">
        <f t="shared" si="0"/>
        <v>0</v>
      </c>
      <c r="K40" s="309">
        <f t="shared" si="10"/>
        <v>4.8</v>
      </c>
      <c r="L40" s="230">
        <f t="shared" si="11"/>
        <v>0</v>
      </c>
      <c r="M40" s="233" t="s">
        <v>528</v>
      </c>
      <c r="N40" s="279"/>
      <c r="O40" s="39"/>
      <c r="P40" s="467">
        <f t="shared" si="8"/>
        <v>0</v>
      </c>
      <c r="Q40" s="264" t="str">
        <f t="shared" si="1"/>
        <v>К72х32х12</v>
      </c>
      <c r="R40" s="377">
        <f t="shared" si="14"/>
        <v>6</v>
      </c>
      <c r="S40" s="330">
        <v>5</v>
      </c>
      <c r="T40" s="353">
        <f t="shared" si="12"/>
        <v>0</v>
      </c>
      <c r="U40" s="20"/>
      <c r="V40" s="20">
        <f t="shared" si="13"/>
        <v>0</v>
      </c>
      <c r="W40" s="52">
        <f t="shared" si="4"/>
        <v>0</v>
      </c>
      <c r="X40" s="20"/>
      <c r="Y40" s="20"/>
      <c r="Z40" s="20"/>
      <c r="AA40" s="20">
        <f>12+40800</f>
        <v>40812</v>
      </c>
      <c r="AB40" s="417"/>
      <c r="AC40" s="200"/>
      <c r="AD40" s="160"/>
      <c r="AE40" s="163"/>
      <c r="AF40" s="171"/>
      <c r="AG40" s="192"/>
      <c r="AH40" s="16"/>
      <c r="AI40" s="16"/>
      <c r="AJ40" s="185"/>
      <c r="AK40" s="126"/>
    </row>
    <row r="41" spans="1:241" s="4" customFormat="1" ht="26.25" customHeight="1" x14ac:dyDescent="0.35">
      <c r="A41" s="10"/>
      <c r="B41" s="11">
        <v>9</v>
      </c>
      <c r="C41" s="6" t="s">
        <v>18</v>
      </c>
      <c r="D41" s="23" t="s">
        <v>9</v>
      </c>
      <c r="E41" s="239" t="s">
        <v>210</v>
      </c>
      <c r="F41" s="208" t="s">
        <v>256</v>
      </c>
      <c r="G41" s="12" t="s">
        <v>0</v>
      </c>
      <c r="H41" s="39">
        <v>46</v>
      </c>
      <c r="I41" s="360">
        <v>86.48</v>
      </c>
      <c r="J41" s="39">
        <f t="shared" si="0"/>
        <v>0</v>
      </c>
      <c r="K41" s="309">
        <v>1.88</v>
      </c>
      <c r="L41" s="230">
        <f t="shared" si="11"/>
        <v>0</v>
      </c>
      <c r="M41" s="89" t="s">
        <v>566</v>
      </c>
      <c r="N41" s="279"/>
      <c r="O41" s="503">
        <v>46</v>
      </c>
      <c r="P41" s="309">
        <f t="shared" si="8"/>
        <v>86.48</v>
      </c>
      <c r="Q41" s="259" t="str">
        <f t="shared" si="1"/>
        <v>К85х32х9</v>
      </c>
      <c r="R41" s="377">
        <f t="shared" si="14"/>
        <v>2.41</v>
      </c>
      <c r="S41" s="319">
        <v>2.0099999999999998</v>
      </c>
      <c r="T41" s="353">
        <f t="shared" si="2"/>
        <v>0</v>
      </c>
      <c r="U41" s="18">
        <v>3478</v>
      </c>
      <c r="V41" s="20">
        <f t="shared" si="13"/>
        <v>0</v>
      </c>
      <c r="W41" s="52">
        <f t="shared" si="4"/>
        <v>0</v>
      </c>
      <c r="X41" s="18">
        <v>3478</v>
      </c>
      <c r="Y41" s="18"/>
      <c r="Z41" s="18"/>
      <c r="AA41" s="18">
        <f>20+720+20</f>
        <v>760</v>
      </c>
      <c r="AB41" s="418"/>
      <c r="AC41" s="200"/>
      <c r="AD41" s="160"/>
      <c r="AE41" s="162"/>
      <c r="AF41" s="171"/>
      <c r="AG41" s="176"/>
      <c r="AH41" s="115"/>
      <c r="AI41" s="113"/>
      <c r="AJ41" s="185"/>
      <c r="AK41" s="435"/>
      <c r="AL41" s="16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</row>
    <row r="42" spans="1:241" ht="26.25" hidden="1" customHeight="1" x14ac:dyDescent="0.25">
      <c r="B42" s="11"/>
      <c r="C42" s="6" t="s">
        <v>18</v>
      </c>
      <c r="D42" s="23" t="s">
        <v>9</v>
      </c>
      <c r="E42" s="239"/>
      <c r="F42" s="211"/>
      <c r="G42" s="12" t="s">
        <v>0</v>
      </c>
      <c r="H42" s="39"/>
      <c r="I42" s="360">
        <v>0</v>
      </c>
      <c r="J42" s="39">
        <f t="shared" si="0"/>
        <v>0</v>
      </c>
      <c r="K42" s="309">
        <v>1.76</v>
      </c>
      <c r="L42" s="230">
        <f t="shared" si="11"/>
        <v>0</v>
      </c>
      <c r="M42" s="89"/>
      <c r="N42" s="279"/>
      <c r="O42" s="39"/>
      <c r="P42" s="467">
        <f t="shared" si="8"/>
        <v>0</v>
      </c>
      <c r="Q42" s="260">
        <f t="shared" si="1"/>
        <v>0</v>
      </c>
      <c r="R42" s="377">
        <f t="shared" si="14"/>
        <v>2.41</v>
      </c>
      <c r="S42" s="319">
        <v>2.0099999999999998</v>
      </c>
      <c r="T42" s="353">
        <f t="shared" si="12"/>
        <v>0</v>
      </c>
      <c r="U42" s="18"/>
      <c r="V42" s="20">
        <f t="shared" si="13"/>
        <v>0</v>
      </c>
      <c r="W42" s="52">
        <f t="shared" si="4"/>
        <v>0</v>
      </c>
      <c r="X42" s="18"/>
      <c r="Y42" s="18"/>
      <c r="Z42" s="102">
        <v>1</v>
      </c>
      <c r="AA42" s="18"/>
      <c r="AB42" s="420"/>
      <c r="AC42" s="200"/>
      <c r="AD42" s="160"/>
      <c r="AE42" s="163"/>
      <c r="AF42" s="171"/>
      <c r="AG42" s="192"/>
      <c r="AH42" s="128"/>
      <c r="AI42" s="129"/>
      <c r="AK42" s="10"/>
    </row>
    <row r="43" spans="1:241" s="5" customFormat="1" ht="26.25" customHeight="1" x14ac:dyDescent="0.25">
      <c r="B43" s="11">
        <v>10</v>
      </c>
      <c r="C43" s="6" t="s">
        <v>18</v>
      </c>
      <c r="D43" s="23" t="s">
        <v>9</v>
      </c>
      <c r="E43" s="237" t="s">
        <v>39</v>
      </c>
      <c r="F43" s="208" t="s">
        <v>67</v>
      </c>
      <c r="G43" s="12" t="s">
        <v>0</v>
      </c>
      <c r="H43" s="39">
        <v>1305</v>
      </c>
      <c r="I43" s="360">
        <v>5011.2</v>
      </c>
      <c r="J43" s="39">
        <f t="shared" si="0"/>
        <v>0</v>
      </c>
      <c r="K43" s="309">
        <f>R43*0.8</f>
        <v>3.84</v>
      </c>
      <c r="L43" s="230">
        <f t="shared" si="11"/>
        <v>0</v>
      </c>
      <c r="M43" s="98"/>
      <c r="N43" s="279"/>
      <c r="O43" s="503">
        <v>1305</v>
      </c>
      <c r="P43" s="309">
        <f t="shared" si="8"/>
        <v>5011.2</v>
      </c>
      <c r="Q43" s="260" t="str">
        <f t="shared" si="1"/>
        <v>К85х44х9</v>
      </c>
      <c r="R43" s="377">
        <f t="shared" si="14"/>
        <v>4.8</v>
      </c>
      <c r="S43" s="319">
        <v>4</v>
      </c>
      <c r="T43" s="353">
        <f t="shared" si="2"/>
        <v>0</v>
      </c>
      <c r="U43" s="70">
        <v>2018</v>
      </c>
      <c r="V43" s="20">
        <f t="shared" si="13"/>
        <v>0</v>
      </c>
      <c r="W43" s="52">
        <f t="shared" si="4"/>
        <v>1928</v>
      </c>
      <c r="X43" s="148">
        <f>16*30+10+48*72</f>
        <v>3946</v>
      </c>
      <c r="Y43" s="20"/>
      <c r="Z43" s="20"/>
      <c r="AA43" s="20">
        <v>100</v>
      </c>
      <c r="AB43" s="417"/>
      <c r="AC43" s="200"/>
      <c r="AD43" s="160">
        <v>0.53</v>
      </c>
      <c r="AE43" s="163"/>
      <c r="AF43" s="171"/>
      <c r="AG43" s="173"/>
      <c r="AH43" s="14"/>
      <c r="AI43" s="14"/>
      <c r="AJ43" s="178"/>
      <c r="AK43" s="434"/>
      <c r="AL43" s="475"/>
    </row>
    <row r="44" spans="1:241" s="5" customFormat="1" ht="26.25" customHeight="1" thickBot="1" x14ac:dyDescent="0.3">
      <c r="B44" s="14">
        <v>11</v>
      </c>
      <c r="C44" s="6" t="s">
        <v>18</v>
      </c>
      <c r="D44" s="23" t="s">
        <v>9</v>
      </c>
      <c r="E44" s="237" t="s">
        <v>543</v>
      </c>
      <c r="F44" s="526" t="s">
        <v>303</v>
      </c>
      <c r="G44" s="12" t="s">
        <v>0</v>
      </c>
      <c r="H44" s="39">
        <v>120</v>
      </c>
      <c r="I44" s="360">
        <v>193.2</v>
      </c>
      <c r="J44" s="39">
        <f t="shared" si="0"/>
        <v>120</v>
      </c>
      <c r="K44" s="309">
        <f>S44*0.8</f>
        <v>1.61</v>
      </c>
      <c r="L44" s="230">
        <f t="shared" si="11"/>
        <v>0</v>
      </c>
      <c r="M44" s="220" t="s">
        <v>825</v>
      </c>
      <c r="N44" s="279">
        <v>120</v>
      </c>
      <c r="O44" s="503">
        <v>120</v>
      </c>
      <c r="P44" s="309">
        <f t="shared" si="8"/>
        <v>193.2</v>
      </c>
      <c r="Q44" s="261" t="str">
        <f t="shared" si="1"/>
        <v>К86х32х9 Кр.Борец</v>
      </c>
      <c r="R44" s="377">
        <f t="shared" si="14"/>
        <v>2.41</v>
      </c>
      <c r="S44" s="322">
        <v>2.0099999999999998</v>
      </c>
      <c r="T44" s="353">
        <f t="shared" si="2"/>
        <v>241.2</v>
      </c>
      <c r="U44" s="18"/>
      <c r="V44" s="20">
        <f t="shared" si="13"/>
        <v>120</v>
      </c>
      <c r="W44" s="52">
        <f t="shared" si="4"/>
        <v>120</v>
      </c>
      <c r="X44" s="18"/>
      <c r="Y44" s="18"/>
      <c r="Z44" s="18"/>
      <c r="AA44" s="18">
        <v>720</v>
      </c>
      <c r="AB44" s="418"/>
      <c r="AC44" s="200"/>
      <c r="AD44" s="160"/>
      <c r="AE44" s="164"/>
      <c r="AF44" s="160"/>
      <c r="AG44" s="173"/>
      <c r="AH44" s="59"/>
      <c r="AI44" s="127"/>
      <c r="AJ44" s="179"/>
      <c r="AL44" s="475"/>
    </row>
    <row r="45" spans="1:241" s="8" customFormat="1" ht="26.25" hidden="1" customHeight="1" x14ac:dyDescent="0.25">
      <c r="A45" s="5"/>
      <c r="B45" s="14"/>
      <c r="C45" s="6" t="s">
        <v>18</v>
      </c>
      <c r="D45" s="23" t="s">
        <v>357</v>
      </c>
      <c r="E45" s="104" t="s">
        <v>356</v>
      </c>
      <c r="F45" s="387" t="s">
        <v>358</v>
      </c>
      <c r="G45" s="12" t="s">
        <v>0</v>
      </c>
      <c r="H45" s="39"/>
      <c r="I45" s="309">
        <v>0</v>
      </c>
      <c r="J45" s="39">
        <f t="shared" si="0"/>
        <v>0</v>
      </c>
      <c r="K45" s="309">
        <f>R45*0.8</f>
        <v>37.93</v>
      </c>
      <c r="L45" s="230"/>
      <c r="M45" s="89"/>
      <c r="N45" s="140"/>
      <c r="O45" s="39"/>
      <c r="P45" s="490">
        <f t="shared" si="8"/>
        <v>0</v>
      </c>
      <c r="Q45" s="264" t="str">
        <f t="shared" si="1"/>
        <v>К102х56х12</v>
      </c>
      <c r="R45" s="377">
        <f t="shared" si="14"/>
        <v>47.41</v>
      </c>
      <c r="S45" s="319">
        <f>395125*0.0001</f>
        <v>39.51</v>
      </c>
      <c r="T45" s="353">
        <f t="shared" si="12"/>
        <v>0</v>
      </c>
      <c r="U45" s="20"/>
      <c r="V45" s="20">
        <f t="shared" si="13"/>
        <v>0</v>
      </c>
      <c r="W45" s="52">
        <f t="shared" si="4"/>
        <v>0</v>
      </c>
      <c r="X45" s="20"/>
      <c r="Y45" s="20"/>
      <c r="Z45" s="20"/>
      <c r="AA45" s="20"/>
      <c r="AB45" s="417"/>
      <c r="AC45" s="200"/>
      <c r="AD45" s="160"/>
      <c r="AE45" s="164"/>
      <c r="AF45" s="160"/>
      <c r="AG45" s="173"/>
      <c r="AH45" s="59"/>
      <c r="AI45" s="127"/>
      <c r="AJ45" s="179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</row>
    <row r="46" spans="1:241" s="8" customFormat="1" ht="26.25" hidden="1" customHeight="1" x14ac:dyDescent="0.25">
      <c r="A46" s="5"/>
      <c r="B46" s="14"/>
      <c r="C46" s="6" t="s">
        <v>18</v>
      </c>
      <c r="D46" s="23" t="s">
        <v>177</v>
      </c>
      <c r="E46" s="459" t="s">
        <v>693</v>
      </c>
      <c r="F46" s="387" t="s">
        <v>697</v>
      </c>
      <c r="G46" s="12"/>
      <c r="H46" s="39"/>
      <c r="I46" s="360">
        <v>0</v>
      </c>
      <c r="J46" s="39">
        <f t="shared" si="0"/>
        <v>0</v>
      </c>
      <c r="K46" s="309">
        <f>R46*0.8</f>
        <v>4.8</v>
      </c>
      <c r="L46" s="230"/>
      <c r="M46" s="89"/>
      <c r="N46" s="140"/>
      <c r="O46" s="503"/>
      <c r="P46" s="309">
        <f t="shared" si="8"/>
        <v>0</v>
      </c>
      <c r="Q46" s="264" t="str">
        <f t="shared" si="1"/>
        <v>Д8,2х6,4</v>
      </c>
      <c r="R46" s="377">
        <f t="shared" si="14"/>
        <v>6</v>
      </c>
      <c r="S46" s="319">
        <v>5</v>
      </c>
      <c r="T46" s="353">
        <f t="shared" si="12"/>
        <v>0</v>
      </c>
      <c r="U46" s="20"/>
      <c r="V46" s="20">
        <f t="shared" si="13"/>
        <v>0</v>
      </c>
      <c r="W46" s="52"/>
      <c r="X46" s="20"/>
      <c r="Y46" s="20"/>
      <c r="Z46" s="20"/>
      <c r="AA46" s="20"/>
      <c r="AB46" s="417"/>
      <c r="AC46" s="200"/>
      <c r="AD46" s="160"/>
      <c r="AE46" s="164"/>
      <c r="AF46" s="160"/>
      <c r="AG46" s="173"/>
      <c r="AH46" s="59"/>
      <c r="AI46" s="127"/>
      <c r="AJ46" s="179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</row>
    <row r="47" spans="1:241" s="5" customFormat="1" ht="30" customHeight="1" x14ac:dyDescent="0.35">
      <c r="B47" s="11">
        <v>12</v>
      </c>
      <c r="C47" s="6" t="s">
        <v>18</v>
      </c>
      <c r="D47" s="23" t="s">
        <v>9</v>
      </c>
      <c r="E47" s="239" t="s">
        <v>225</v>
      </c>
      <c r="F47" s="208" t="s">
        <v>234</v>
      </c>
      <c r="G47" s="12" t="s">
        <v>0</v>
      </c>
      <c r="H47" s="39">
        <v>2000</v>
      </c>
      <c r="I47" s="360">
        <v>280</v>
      </c>
      <c r="J47" s="39">
        <f t="shared" si="0"/>
        <v>3800</v>
      </c>
      <c r="K47" s="309">
        <f>S47*0.8</f>
        <v>0.14000000000000001</v>
      </c>
      <c r="L47" s="406">
        <f>K47*J339</f>
        <v>0</v>
      </c>
      <c r="M47" s="220" t="s">
        <v>864</v>
      </c>
      <c r="N47" s="279">
        <v>3800</v>
      </c>
      <c r="O47" s="503">
        <v>2000</v>
      </c>
      <c r="P47" s="309">
        <f t="shared" si="8"/>
        <v>280</v>
      </c>
      <c r="Q47" s="235" t="str">
        <f t="shared" si="1"/>
        <v>Д18х3</v>
      </c>
      <c r="R47" s="377">
        <f t="shared" si="14"/>
        <v>0.22</v>
      </c>
      <c r="S47" s="323">
        <v>0.18</v>
      </c>
      <c r="T47" s="353">
        <f t="shared" si="12"/>
        <v>684</v>
      </c>
      <c r="U47" s="70">
        <v>68000</v>
      </c>
      <c r="V47" s="20">
        <f t="shared" si="13"/>
        <v>3800</v>
      </c>
      <c r="W47" s="52">
        <f t="shared" ref="W47:W55" si="15">X47-U47+V47</f>
        <v>-5700</v>
      </c>
      <c r="X47" s="148">
        <f>6500*9</f>
        <v>58500</v>
      </c>
      <c r="Y47" s="20">
        <v>1</v>
      </c>
      <c r="Z47" s="20"/>
      <c r="AA47" s="20">
        <f>300+150+1300+20</f>
        <v>1770</v>
      </c>
      <c r="AB47" s="417"/>
      <c r="AC47" s="200"/>
      <c r="AD47" s="160"/>
      <c r="AE47" s="164">
        <v>4940</v>
      </c>
      <c r="AF47" s="160"/>
      <c r="AG47" s="173"/>
      <c r="AH47" s="114"/>
      <c r="AI47" s="109"/>
      <c r="AJ47" s="178"/>
      <c r="AK47" s="436"/>
      <c r="AL47" s="478"/>
    </row>
    <row r="48" spans="1:241" s="5" customFormat="1" ht="32.25" customHeight="1" x14ac:dyDescent="0.35">
      <c r="B48" s="11">
        <v>13</v>
      </c>
      <c r="C48" s="6" t="s">
        <v>18</v>
      </c>
      <c r="D48" s="23" t="s">
        <v>9</v>
      </c>
      <c r="E48" s="512" t="s">
        <v>851</v>
      </c>
      <c r="F48" s="208">
        <v>1285</v>
      </c>
      <c r="G48" s="12" t="s">
        <v>0</v>
      </c>
      <c r="H48" s="39"/>
      <c r="I48" s="309">
        <v>0</v>
      </c>
      <c r="J48" s="39">
        <f t="shared" si="0"/>
        <v>3</v>
      </c>
      <c r="K48" s="309">
        <f>R48*0.8</f>
        <v>7.68</v>
      </c>
      <c r="L48" s="230"/>
      <c r="M48" s="220" t="s">
        <v>863</v>
      </c>
      <c r="N48" s="279">
        <v>3</v>
      </c>
      <c r="O48" s="503"/>
      <c r="P48" s="309">
        <f t="shared" si="8"/>
        <v>0</v>
      </c>
      <c r="Q48" s="235" t="str">
        <f t="shared" si="1"/>
        <v xml:space="preserve">Д12х18 </v>
      </c>
      <c r="R48" s="495">
        <f t="shared" si="14"/>
        <v>9.6</v>
      </c>
      <c r="S48" s="323">
        <v>8</v>
      </c>
      <c r="T48" s="353">
        <f t="shared" si="12"/>
        <v>24</v>
      </c>
      <c r="U48" s="18"/>
      <c r="V48" s="20">
        <f t="shared" si="13"/>
        <v>3</v>
      </c>
      <c r="W48" s="18">
        <f t="shared" si="15"/>
        <v>3</v>
      </c>
      <c r="X48" s="18"/>
      <c r="Y48" s="20"/>
      <c r="Z48" s="199"/>
      <c r="AA48" s="20"/>
      <c r="AB48" s="419"/>
      <c r="AC48" s="200"/>
      <c r="AD48" s="160"/>
      <c r="AE48" s="164"/>
      <c r="AF48" s="160"/>
      <c r="AG48" s="173"/>
      <c r="AH48" s="114"/>
      <c r="AI48" s="288"/>
      <c r="AJ48" s="289"/>
      <c r="AK48" s="290"/>
    </row>
    <row r="49" spans="1:38" s="5" customFormat="1" ht="26.25" customHeight="1" x14ac:dyDescent="0.25">
      <c r="B49" s="483">
        <v>14</v>
      </c>
      <c r="C49" s="484" t="s">
        <v>18</v>
      </c>
      <c r="D49" s="485" t="s">
        <v>9</v>
      </c>
      <c r="E49" s="486" t="s">
        <v>853</v>
      </c>
      <c r="F49" s="487" t="s">
        <v>698</v>
      </c>
      <c r="G49" s="12" t="s">
        <v>0</v>
      </c>
      <c r="H49" s="489"/>
      <c r="I49" s="467">
        <v>0</v>
      </c>
      <c r="J49" s="39">
        <f t="shared" si="0"/>
        <v>1000</v>
      </c>
      <c r="K49" s="490">
        <f>R49*0.8</f>
        <v>0.48</v>
      </c>
      <c r="L49" s="491"/>
      <c r="M49" s="220" t="s">
        <v>865</v>
      </c>
      <c r="N49" s="493">
        <v>1000</v>
      </c>
      <c r="O49" s="489"/>
      <c r="P49" s="467">
        <f t="shared" si="8"/>
        <v>0</v>
      </c>
      <c r="Q49" s="264" t="str">
        <f t="shared" si="1"/>
        <v>Д16х3</v>
      </c>
      <c r="R49" s="494">
        <f t="shared" si="14"/>
        <v>0.6</v>
      </c>
      <c r="S49" s="324">
        <v>0.5</v>
      </c>
      <c r="T49" s="353">
        <f t="shared" si="12"/>
        <v>500</v>
      </c>
      <c r="U49" s="20">
        <v>130</v>
      </c>
      <c r="V49" s="20">
        <f t="shared" si="13"/>
        <v>1000</v>
      </c>
      <c r="W49" s="52">
        <f t="shared" si="15"/>
        <v>870</v>
      </c>
      <c r="X49" s="20"/>
      <c r="Y49" s="20"/>
      <c r="Z49" s="20"/>
      <c r="AA49" s="20"/>
      <c r="AB49" s="417"/>
      <c r="AC49" s="200"/>
      <c r="AD49" s="160"/>
      <c r="AE49" s="164"/>
      <c r="AF49" s="160"/>
      <c r="AG49" s="173"/>
      <c r="AH49" s="59"/>
      <c r="AI49" s="127"/>
      <c r="AJ49" s="179"/>
    </row>
    <row r="50" spans="1:38" s="5" customFormat="1" ht="26.25" customHeight="1" x14ac:dyDescent="0.25">
      <c r="B50" s="11">
        <v>15</v>
      </c>
      <c r="C50" s="6" t="s">
        <v>18</v>
      </c>
      <c r="D50" s="23" t="s">
        <v>9</v>
      </c>
      <c r="E50" s="239" t="s">
        <v>315</v>
      </c>
      <c r="F50" s="208">
        <v>1094</v>
      </c>
      <c r="G50" s="12" t="s">
        <v>0</v>
      </c>
      <c r="H50" s="39">
        <v>1760</v>
      </c>
      <c r="I50" s="360">
        <v>338.32</v>
      </c>
      <c r="J50" s="39">
        <f t="shared" si="0"/>
        <v>0</v>
      </c>
      <c r="K50" s="309">
        <v>0.19</v>
      </c>
      <c r="L50" s="230"/>
      <c r="M50" s="89"/>
      <c r="N50" s="279"/>
      <c r="O50" s="503">
        <v>1760</v>
      </c>
      <c r="P50" s="466">
        <f>I50</f>
        <v>338.32</v>
      </c>
      <c r="Q50" s="235" t="str">
        <f t="shared" si="1"/>
        <v>Д20х3</v>
      </c>
      <c r="R50" s="377">
        <f t="shared" si="14"/>
        <v>0.24</v>
      </c>
      <c r="S50" s="323">
        <f>2000*0.0001</f>
        <v>0.2</v>
      </c>
      <c r="T50" s="353">
        <f t="shared" si="12"/>
        <v>0</v>
      </c>
      <c r="U50" s="20"/>
      <c r="V50" s="20">
        <f t="shared" si="13"/>
        <v>0</v>
      </c>
      <c r="W50" s="52">
        <f t="shared" si="15"/>
        <v>0</v>
      </c>
      <c r="X50" s="20"/>
      <c r="Y50" s="20">
        <v>1</v>
      </c>
      <c r="Z50" s="20"/>
      <c r="AA50" s="20">
        <v>200</v>
      </c>
      <c r="AB50" s="417"/>
      <c r="AC50" s="200"/>
      <c r="AD50" s="160">
        <v>4.2000000000000003E-2</v>
      </c>
      <c r="AE50" s="164"/>
      <c r="AF50" s="160"/>
      <c r="AG50" s="173"/>
      <c r="AH50" s="14"/>
      <c r="AI50" s="14"/>
      <c r="AJ50" s="178"/>
      <c r="AK50" s="135"/>
    </row>
    <row r="51" spans="1:38" s="5" customFormat="1" ht="26.25" hidden="1" customHeight="1" x14ac:dyDescent="0.25">
      <c r="B51" s="11"/>
      <c r="C51" s="6" t="s">
        <v>18</v>
      </c>
      <c r="D51" s="23" t="s">
        <v>9</v>
      </c>
      <c r="E51" s="212" t="s">
        <v>490</v>
      </c>
      <c r="F51" s="385" t="s">
        <v>270</v>
      </c>
      <c r="G51" s="12" t="s">
        <v>0</v>
      </c>
      <c r="H51" s="39"/>
      <c r="I51" s="309">
        <v>0</v>
      </c>
      <c r="J51" s="39">
        <f t="shared" si="0"/>
        <v>0</v>
      </c>
      <c r="K51" s="309">
        <f>R51*0.8</f>
        <v>4.99</v>
      </c>
      <c r="L51" s="230"/>
      <c r="M51" s="89"/>
      <c r="N51" s="279"/>
      <c r="O51" s="39"/>
      <c r="P51" s="490">
        <f>K51*O51</f>
        <v>0</v>
      </c>
      <c r="Q51" s="264" t="str">
        <f t="shared" si="1"/>
        <v>Д40х9</v>
      </c>
      <c r="R51" s="377">
        <f t="shared" si="14"/>
        <v>6.24</v>
      </c>
      <c r="S51" s="323">
        <f>52000*0.0001</f>
        <v>5.2</v>
      </c>
      <c r="T51" s="353">
        <f t="shared" si="12"/>
        <v>0</v>
      </c>
      <c r="U51" s="20">
        <v>210</v>
      </c>
      <c r="V51" s="20">
        <f t="shared" si="13"/>
        <v>0</v>
      </c>
      <c r="W51" s="52">
        <f t="shared" si="15"/>
        <v>0</v>
      </c>
      <c r="X51" s="20">
        <v>210</v>
      </c>
      <c r="Y51" s="20"/>
      <c r="Z51" s="20"/>
      <c r="AA51" s="20"/>
      <c r="AB51" s="417"/>
      <c r="AC51" s="200"/>
      <c r="AD51" s="160"/>
      <c r="AE51" s="164"/>
      <c r="AF51" s="160"/>
      <c r="AG51" s="173"/>
      <c r="AH51" s="59"/>
      <c r="AI51" s="127"/>
      <c r="AJ51" s="179"/>
      <c r="AL51" s="475"/>
    </row>
    <row r="52" spans="1:38" s="5" customFormat="1" ht="26.25" customHeight="1" x14ac:dyDescent="0.25">
      <c r="B52" s="11">
        <v>16</v>
      </c>
      <c r="C52" s="6" t="s">
        <v>18</v>
      </c>
      <c r="D52" s="23" t="s">
        <v>9</v>
      </c>
      <c r="E52" s="212" t="s">
        <v>455</v>
      </c>
      <c r="F52" s="383" t="s">
        <v>456</v>
      </c>
      <c r="G52" s="12" t="s">
        <v>0</v>
      </c>
      <c r="H52" s="39">
        <v>400</v>
      </c>
      <c r="I52" s="360">
        <v>691.2</v>
      </c>
      <c r="J52" s="39">
        <f t="shared" si="0"/>
        <v>0</v>
      </c>
      <c r="K52" s="309">
        <v>1.73</v>
      </c>
      <c r="L52" s="230"/>
      <c r="M52" s="89"/>
      <c r="N52" s="279"/>
      <c r="O52" s="503">
        <v>400</v>
      </c>
      <c r="P52" s="466">
        <f>I52</f>
        <v>691.2</v>
      </c>
      <c r="Q52" s="235" t="str">
        <f t="shared" si="1"/>
        <v>Д30х10</v>
      </c>
      <c r="R52" s="377">
        <f t="shared" si="14"/>
        <v>2.16</v>
      </c>
      <c r="S52" s="325">
        <f>18000*0.0001</f>
        <v>1.8</v>
      </c>
      <c r="T52" s="353">
        <f t="shared" si="12"/>
        <v>0</v>
      </c>
      <c r="U52" s="20"/>
      <c r="V52" s="20">
        <f t="shared" si="13"/>
        <v>0</v>
      </c>
      <c r="W52" s="52">
        <f t="shared" si="15"/>
        <v>0</v>
      </c>
      <c r="X52" s="20"/>
      <c r="Y52" s="20"/>
      <c r="Z52" s="20"/>
      <c r="AA52" s="20"/>
      <c r="AB52" s="417"/>
      <c r="AC52" s="200"/>
      <c r="AD52" s="160"/>
      <c r="AE52" s="164"/>
      <c r="AF52" s="160"/>
      <c r="AG52" s="173"/>
      <c r="AH52" s="59"/>
      <c r="AI52" s="127"/>
      <c r="AJ52" s="179"/>
    </row>
    <row r="53" spans="1:38" s="4" customFormat="1" ht="26.25" hidden="1" customHeight="1" x14ac:dyDescent="0.25">
      <c r="A53" s="10"/>
      <c r="B53" s="11"/>
      <c r="C53" s="6" t="s">
        <v>18</v>
      </c>
      <c r="D53" s="23" t="s">
        <v>9</v>
      </c>
      <c r="E53" s="239" t="s">
        <v>661</v>
      </c>
      <c r="F53" s="270">
        <v>1131</v>
      </c>
      <c r="G53" s="12" t="s">
        <v>0</v>
      </c>
      <c r="H53" s="39"/>
      <c r="I53" s="309">
        <v>0</v>
      </c>
      <c r="J53" s="39">
        <f t="shared" si="0"/>
        <v>0</v>
      </c>
      <c r="K53" s="309">
        <f>R53*0.8</f>
        <v>19.2</v>
      </c>
      <c r="L53" s="230"/>
      <c r="M53" s="64"/>
      <c r="N53" s="279"/>
      <c r="O53" s="39"/>
      <c r="P53" s="490">
        <f t="shared" ref="P53:P63" si="16">K53*O53</f>
        <v>0</v>
      </c>
      <c r="Q53" s="262"/>
      <c r="R53" s="377">
        <f t="shared" si="14"/>
        <v>24</v>
      </c>
      <c r="S53" s="320">
        <f>200000*0.0001</f>
        <v>20</v>
      </c>
      <c r="T53" s="353">
        <f t="shared" si="12"/>
        <v>0</v>
      </c>
      <c r="U53" s="20">
        <v>600</v>
      </c>
      <c r="V53" s="20">
        <f t="shared" si="13"/>
        <v>0</v>
      </c>
      <c r="W53" s="52">
        <f t="shared" si="15"/>
        <v>650</v>
      </c>
      <c r="X53" s="148">
        <v>1250</v>
      </c>
      <c r="Y53" s="20"/>
      <c r="Z53" s="199"/>
      <c r="AA53" s="20"/>
      <c r="AB53" s="419"/>
      <c r="AC53" s="200"/>
      <c r="AD53" s="160"/>
      <c r="AE53" s="163"/>
      <c r="AF53" s="171"/>
      <c r="AG53" s="192"/>
      <c r="AH53" s="128"/>
      <c r="AI53" s="129"/>
      <c r="AJ53" s="182"/>
    </row>
    <row r="54" spans="1:38" s="4" customFormat="1" ht="26.25" hidden="1" customHeight="1" x14ac:dyDescent="0.25">
      <c r="A54" s="10"/>
      <c r="B54" s="14"/>
      <c r="C54" s="6" t="s">
        <v>18</v>
      </c>
      <c r="D54" s="23" t="s">
        <v>9</v>
      </c>
      <c r="E54" s="212" t="s">
        <v>661</v>
      </c>
      <c r="F54" s="385"/>
      <c r="G54" s="12" t="s">
        <v>0</v>
      </c>
      <c r="H54" s="39"/>
      <c r="I54" s="309">
        <v>0</v>
      </c>
      <c r="J54" s="39">
        <f t="shared" si="0"/>
        <v>0</v>
      </c>
      <c r="K54" s="309">
        <f>R54*0.8</f>
        <v>0.48</v>
      </c>
      <c r="L54" s="230">
        <f>K54*J346</f>
        <v>0</v>
      </c>
      <c r="M54" s="42"/>
      <c r="N54" s="279"/>
      <c r="O54" s="39"/>
      <c r="P54" s="309">
        <f t="shared" si="16"/>
        <v>0</v>
      </c>
      <c r="Q54" s="263" t="str">
        <f t="shared" ref="Q54:Q117" si="17">E54</f>
        <v>Д20х4</v>
      </c>
      <c r="R54" s="377">
        <f t="shared" si="14"/>
        <v>0.6</v>
      </c>
      <c r="S54" s="322">
        <f>0.0001*5000</f>
        <v>0.5</v>
      </c>
      <c r="T54" s="353">
        <f t="shared" si="12"/>
        <v>0</v>
      </c>
      <c r="U54" s="18"/>
      <c r="V54" s="20">
        <f t="shared" si="13"/>
        <v>0</v>
      </c>
      <c r="W54" s="52">
        <f t="shared" si="15"/>
        <v>1250</v>
      </c>
      <c r="X54" s="147">
        <v>1250</v>
      </c>
      <c r="Y54" s="18"/>
      <c r="Z54" s="18"/>
      <c r="AA54" s="18"/>
      <c r="AB54" s="418"/>
      <c r="AC54" s="200"/>
      <c r="AD54" s="160"/>
      <c r="AE54" s="163"/>
      <c r="AF54" s="171"/>
      <c r="AG54" s="192"/>
      <c r="AH54" s="128"/>
      <c r="AI54" s="129"/>
      <c r="AJ54" s="182"/>
    </row>
    <row r="55" spans="1:38" ht="26.25" hidden="1" customHeight="1" x14ac:dyDescent="0.25">
      <c r="B55" s="15"/>
      <c r="C55" s="6" t="s">
        <v>18</v>
      </c>
      <c r="D55" s="23" t="s">
        <v>9</v>
      </c>
      <c r="E55" s="87" t="s">
        <v>507</v>
      </c>
      <c r="F55" s="208" t="s">
        <v>184</v>
      </c>
      <c r="G55" s="48" t="s">
        <v>0</v>
      </c>
      <c r="H55" s="39"/>
      <c r="I55" s="360">
        <v>0</v>
      </c>
      <c r="J55" s="39">
        <f t="shared" si="0"/>
        <v>0</v>
      </c>
      <c r="K55" s="309">
        <v>0.39</v>
      </c>
      <c r="L55" s="230">
        <f>K55*J347</f>
        <v>0</v>
      </c>
      <c r="M55" s="154" t="s">
        <v>801</v>
      </c>
      <c r="N55" s="279"/>
      <c r="O55" s="503"/>
      <c r="P55" s="309">
        <f t="shared" si="16"/>
        <v>0</v>
      </c>
      <c r="Q55" s="235" t="str">
        <f t="shared" si="17"/>
        <v>П2х3.5х3.8 DFM</v>
      </c>
      <c r="R55" s="306">
        <f t="shared" si="14"/>
        <v>0.49</v>
      </c>
      <c r="S55" s="319">
        <f>4060*0.0001</f>
        <v>0.41</v>
      </c>
      <c r="T55" s="353">
        <f t="shared" si="12"/>
        <v>0</v>
      </c>
      <c r="U55" s="20">
        <v>31000</v>
      </c>
      <c r="V55" s="20">
        <f t="shared" si="13"/>
        <v>0</v>
      </c>
      <c r="W55" s="52">
        <f t="shared" si="15"/>
        <v>0</v>
      </c>
      <c r="X55" s="20">
        <v>31000</v>
      </c>
      <c r="Y55" s="20">
        <v>1</v>
      </c>
      <c r="Z55" s="20">
        <v>4500</v>
      </c>
      <c r="AA55" s="20">
        <v>30000</v>
      </c>
      <c r="AB55" s="417"/>
      <c r="AC55" s="201"/>
      <c r="AD55" s="160">
        <v>5.1999999999999998E-2</v>
      </c>
      <c r="AE55" s="163"/>
      <c r="AF55" s="171"/>
      <c r="AG55" s="192"/>
      <c r="AH55" s="16"/>
      <c r="AI55" s="16"/>
      <c r="AJ55" s="185"/>
      <c r="AK55" s="435"/>
      <c r="AL55" s="476"/>
    </row>
    <row r="56" spans="1:38" ht="26.25" hidden="1" customHeight="1" x14ac:dyDescent="0.25">
      <c r="B56" s="15"/>
      <c r="C56" s="6" t="s">
        <v>18</v>
      </c>
      <c r="D56" s="23" t="s">
        <v>9</v>
      </c>
      <c r="E56" s="87" t="s">
        <v>390</v>
      </c>
      <c r="F56" s="208">
        <v>1464</v>
      </c>
      <c r="G56" s="48" t="s">
        <v>0</v>
      </c>
      <c r="H56" s="39"/>
      <c r="I56" s="360">
        <v>0</v>
      </c>
      <c r="J56" s="39">
        <f t="shared" si="0"/>
        <v>0</v>
      </c>
      <c r="K56" s="309">
        <f t="shared" ref="K56:K63" si="18">R56*0.8</f>
        <v>1.06</v>
      </c>
      <c r="L56" s="230"/>
      <c r="M56" s="456" t="s">
        <v>739</v>
      </c>
      <c r="N56" s="279"/>
      <c r="O56" s="503"/>
      <c r="P56" s="309">
        <f t="shared" si="16"/>
        <v>0</v>
      </c>
      <c r="Q56" s="235" t="str">
        <f t="shared" si="17"/>
        <v xml:space="preserve">П3,5х2х4 </v>
      </c>
      <c r="R56" s="306">
        <f t="shared" si="14"/>
        <v>1.32</v>
      </c>
      <c r="S56" s="319">
        <v>1.1000000000000001</v>
      </c>
      <c r="T56" s="353">
        <f t="shared" si="12"/>
        <v>0</v>
      </c>
      <c r="U56" s="20"/>
      <c r="V56" s="20">
        <f t="shared" si="13"/>
        <v>0</v>
      </c>
      <c r="W56" s="52"/>
      <c r="X56" s="20"/>
      <c r="Y56" s="20"/>
      <c r="Z56" s="20"/>
      <c r="AA56" s="20"/>
      <c r="AB56" s="417"/>
      <c r="AC56" s="201"/>
      <c r="AD56" s="160"/>
      <c r="AE56" s="163"/>
      <c r="AF56" s="171"/>
      <c r="AG56" s="192"/>
      <c r="AH56" s="16"/>
      <c r="AI56" s="16"/>
      <c r="AJ56" s="185"/>
      <c r="AK56" s="435"/>
      <c r="AL56" s="476"/>
    </row>
    <row r="57" spans="1:38" ht="26.25" hidden="1" customHeight="1" x14ac:dyDescent="0.25">
      <c r="B57" s="11"/>
      <c r="C57" s="6" t="s">
        <v>18</v>
      </c>
      <c r="D57" s="23" t="s">
        <v>9</v>
      </c>
      <c r="E57" s="237" t="s">
        <v>90</v>
      </c>
      <c r="F57" s="208">
        <v>403</v>
      </c>
      <c r="G57" s="48" t="s">
        <v>0</v>
      </c>
      <c r="H57" s="39"/>
      <c r="I57" s="360">
        <v>0</v>
      </c>
      <c r="J57" s="39">
        <f t="shared" si="0"/>
        <v>0</v>
      </c>
      <c r="K57" s="309">
        <f t="shared" si="18"/>
        <v>0.66</v>
      </c>
      <c r="L57" s="230">
        <f>K57*J348</f>
        <v>0</v>
      </c>
      <c r="M57" s="213"/>
      <c r="N57" s="279"/>
      <c r="O57" s="503"/>
      <c r="P57" s="309">
        <f t="shared" si="16"/>
        <v>0</v>
      </c>
      <c r="Q57" s="235" t="str">
        <f t="shared" si="17"/>
        <v>П4,8х4х3,8 ЭПГ110.150</v>
      </c>
      <c r="R57" s="306">
        <f t="shared" si="14"/>
        <v>0.82</v>
      </c>
      <c r="S57" s="320">
        <v>0.68</v>
      </c>
      <c r="T57" s="353">
        <f t="shared" si="12"/>
        <v>0</v>
      </c>
      <c r="U57" s="20">
        <v>7562</v>
      </c>
      <c r="V57" s="20">
        <f t="shared" si="13"/>
        <v>0</v>
      </c>
      <c r="W57" s="52">
        <f t="shared" ref="W57:W65" si="19">X57-U57+V57</f>
        <v>0</v>
      </c>
      <c r="X57" s="20">
        <f>7680-118</f>
        <v>7562</v>
      </c>
      <c r="Y57" s="20"/>
      <c r="Z57" s="20"/>
      <c r="AA57" s="20">
        <v>450</v>
      </c>
      <c r="AB57" s="417"/>
      <c r="AC57" s="200"/>
      <c r="AD57" s="160"/>
      <c r="AE57" s="163"/>
      <c r="AF57" s="171"/>
      <c r="AG57" s="192"/>
      <c r="AH57" s="16"/>
      <c r="AI57" s="16"/>
      <c r="AJ57" s="185"/>
      <c r="AK57" s="435"/>
      <c r="AL57" s="476"/>
    </row>
    <row r="58" spans="1:38" ht="26.25" hidden="1" customHeight="1" x14ac:dyDescent="0.25">
      <c r="B58" s="11"/>
      <c r="C58" s="6" t="s">
        <v>18</v>
      </c>
      <c r="D58" s="23" t="s">
        <v>9</v>
      </c>
      <c r="E58" s="87" t="s">
        <v>552</v>
      </c>
      <c r="F58" s="208">
        <v>1353</v>
      </c>
      <c r="G58" s="48"/>
      <c r="H58" s="39"/>
      <c r="I58" s="360">
        <v>0</v>
      </c>
      <c r="J58" s="39">
        <f t="shared" si="0"/>
        <v>0</v>
      </c>
      <c r="K58" s="309">
        <f t="shared" si="18"/>
        <v>15.36</v>
      </c>
      <c r="L58" s="230"/>
      <c r="M58" s="213"/>
      <c r="N58" s="279"/>
      <c r="O58" s="39"/>
      <c r="P58" s="467">
        <f t="shared" si="16"/>
        <v>0</v>
      </c>
      <c r="Q58" s="441" t="str">
        <f t="shared" si="17"/>
        <v>П5,5х1,5х5,5</v>
      </c>
      <c r="R58" s="306">
        <f t="shared" si="14"/>
        <v>19.2</v>
      </c>
      <c r="S58" s="320">
        <v>16</v>
      </c>
      <c r="T58" s="353">
        <f t="shared" si="12"/>
        <v>0</v>
      </c>
      <c r="U58" s="20"/>
      <c r="V58" s="20">
        <f t="shared" si="13"/>
        <v>0</v>
      </c>
      <c r="W58" s="52">
        <f t="shared" si="19"/>
        <v>0</v>
      </c>
      <c r="X58" s="20"/>
      <c r="Y58" s="20"/>
      <c r="Z58" s="20"/>
      <c r="AA58" s="20"/>
      <c r="AB58" s="417"/>
      <c r="AC58" s="200"/>
      <c r="AD58" s="160"/>
      <c r="AE58" s="163"/>
      <c r="AF58" s="171"/>
      <c r="AG58" s="192"/>
      <c r="AH58" s="16"/>
      <c r="AI58" s="30"/>
      <c r="AJ58" s="188"/>
      <c r="AK58" s="137"/>
    </row>
    <row r="59" spans="1:38" ht="26.25" hidden="1" customHeight="1" x14ac:dyDescent="0.25">
      <c r="B59" s="11"/>
      <c r="C59" s="6" t="s">
        <v>18</v>
      </c>
      <c r="D59" s="23" t="s">
        <v>9</v>
      </c>
      <c r="E59" s="87" t="s">
        <v>553</v>
      </c>
      <c r="F59" s="208">
        <v>1353</v>
      </c>
      <c r="G59" s="48"/>
      <c r="H59" s="39"/>
      <c r="I59" s="360">
        <v>0</v>
      </c>
      <c r="J59" s="39">
        <f t="shared" si="0"/>
        <v>0</v>
      </c>
      <c r="K59" s="309">
        <f t="shared" si="18"/>
        <v>15.36</v>
      </c>
      <c r="L59" s="230"/>
      <c r="M59" s="213"/>
      <c r="N59" s="279"/>
      <c r="O59" s="39"/>
      <c r="P59" s="360">
        <f t="shared" si="16"/>
        <v>0</v>
      </c>
      <c r="Q59" s="51" t="str">
        <f t="shared" si="17"/>
        <v>П5,5х2х5,5</v>
      </c>
      <c r="R59" s="306">
        <f t="shared" si="14"/>
        <v>19.2</v>
      </c>
      <c r="S59" s="320">
        <v>16</v>
      </c>
      <c r="T59" s="353">
        <f t="shared" si="12"/>
        <v>0</v>
      </c>
      <c r="U59" s="20"/>
      <c r="V59" s="20">
        <f t="shared" si="13"/>
        <v>0</v>
      </c>
      <c r="W59" s="52">
        <f t="shared" si="19"/>
        <v>0</v>
      </c>
      <c r="X59" s="20"/>
      <c r="Y59" s="20"/>
      <c r="Z59" s="20"/>
      <c r="AA59" s="20"/>
      <c r="AB59" s="417"/>
      <c r="AC59" s="200"/>
      <c r="AD59" s="160"/>
      <c r="AE59" s="163"/>
      <c r="AF59" s="171"/>
      <c r="AG59" s="192"/>
      <c r="AH59" s="16"/>
      <c r="AI59" s="30"/>
      <c r="AJ59" s="188"/>
      <c r="AK59" s="137"/>
    </row>
    <row r="60" spans="1:38" ht="26.25" hidden="1" customHeight="1" x14ac:dyDescent="0.25">
      <c r="B60" s="11"/>
      <c r="C60" s="6" t="s">
        <v>18</v>
      </c>
      <c r="D60" s="23" t="s">
        <v>9</v>
      </c>
      <c r="E60" s="87" t="s">
        <v>554</v>
      </c>
      <c r="F60" s="208">
        <v>1353</v>
      </c>
      <c r="G60" s="48"/>
      <c r="H60" s="39"/>
      <c r="I60" s="360">
        <v>0</v>
      </c>
      <c r="J60" s="39">
        <f t="shared" si="0"/>
        <v>0</v>
      </c>
      <c r="K60" s="309">
        <f t="shared" si="18"/>
        <v>15.36</v>
      </c>
      <c r="L60" s="230"/>
      <c r="M60" s="213"/>
      <c r="N60" s="279"/>
      <c r="O60" s="39"/>
      <c r="P60" s="360">
        <f t="shared" si="16"/>
        <v>0</v>
      </c>
      <c r="Q60" s="442" t="str">
        <f t="shared" si="17"/>
        <v>П5,5х2,5х5,5</v>
      </c>
      <c r="R60" s="306">
        <f t="shared" si="14"/>
        <v>19.2</v>
      </c>
      <c r="S60" s="320">
        <v>16</v>
      </c>
      <c r="T60" s="353">
        <f t="shared" si="12"/>
        <v>0</v>
      </c>
      <c r="U60" s="20"/>
      <c r="V60" s="20">
        <f t="shared" si="13"/>
        <v>0</v>
      </c>
      <c r="W60" s="52">
        <f t="shared" si="19"/>
        <v>0</v>
      </c>
      <c r="X60" s="20"/>
      <c r="Y60" s="20"/>
      <c r="Z60" s="20"/>
      <c r="AA60" s="20"/>
      <c r="AB60" s="417"/>
      <c r="AC60" s="200"/>
      <c r="AD60" s="160"/>
      <c r="AE60" s="163"/>
      <c r="AF60" s="171"/>
      <c r="AG60" s="192"/>
      <c r="AH60" s="16"/>
      <c r="AI60" s="30"/>
      <c r="AJ60" s="188"/>
      <c r="AK60" s="137"/>
    </row>
    <row r="61" spans="1:38" ht="26.25" hidden="1" customHeight="1" x14ac:dyDescent="0.25">
      <c r="B61" s="11"/>
      <c r="C61" s="6" t="s">
        <v>18</v>
      </c>
      <c r="D61" s="23" t="s">
        <v>9</v>
      </c>
      <c r="E61" s="237" t="s">
        <v>323</v>
      </c>
      <c r="F61" s="522">
        <v>997</v>
      </c>
      <c r="G61" s="48"/>
      <c r="H61" s="39"/>
      <c r="I61" s="360">
        <v>0</v>
      </c>
      <c r="J61" s="39">
        <f t="shared" si="0"/>
        <v>0</v>
      </c>
      <c r="K61" s="309">
        <f t="shared" si="18"/>
        <v>0.83</v>
      </c>
      <c r="L61" s="230">
        <f>K61*J352</f>
        <v>0</v>
      </c>
      <c r="M61" s="233" t="s">
        <v>589</v>
      </c>
      <c r="N61" s="279"/>
      <c r="O61" s="503"/>
      <c r="P61" s="309">
        <f t="shared" si="16"/>
        <v>0</v>
      </c>
      <c r="Q61" s="235" t="str">
        <f t="shared" si="17"/>
        <v>П5х5х4</v>
      </c>
      <c r="R61" s="306">
        <f t="shared" si="14"/>
        <v>1.04</v>
      </c>
      <c r="S61" s="320">
        <v>0.87</v>
      </c>
      <c r="T61" s="353">
        <f t="shared" si="12"/>
        <v>0</v>
      </c>
      <c r="U61" s="20">
        <v>3157</v>
      </c>
      <c r="V61" s="20">
        <f t="shared" si="13"/>
        <v>0</v>
      </c>
      <c r="W61" s="52">
        <f t="shared" si="19"/>
        <v>0</v>
      </c>
      <c r="X61" s="20">
        <v>3157</v>
      </c>
      <c r="Y61" s="20">
        <v>1</v>
      </c>
      <c r="Z61" s="20"/>
      <c r="AA61" s="20">
        <v>900</v>
      </c>
      <c r="AB61" s="417"/>
      <c r="AC61" s="200"/>
      <c r="AD61" s="160"/>
      <c r="AE61" s="163"/>
      <c r="AF61" s="171"/>
      <c r="AG61" s="192"/>
      <c r="AH61" s="128"/>
      <c r="AI61" s="129"/>
      <c r="AK61" s="10"/>
      <c r="AL61" s="476"/>
    </row>
    <row r="62" spans="1:38" ht="26.25" hidden="1" customHeight="1" x14ac:dyDescent="0.25">
      <c r="B62" s="11"/>
      <c r="C62" s="6" t="s">
        <v>18</v>
      </c>
      <c r="D62" s="23" t="s">
        <v>9</v>
      </c>
      <c r="E62" s="237" t="s">
        <v>324</v>
      </c>
      <c r="F62" s="384">
        <v>996</v>
      </c>
      <c r="G62" s="48"/>
      <c r="H62" s="39"/>
      <c r="I62" s="360">
        <v>0</v>
      </c>
      <c r="J62" s="39">
        <f t="shared" si="0"/>
        <v>0</v>
      </c>
      <c r="K62" s="309">
        <f t="shared" si="18"/>
        <v>0.9</v>
      </c>
      <c r="L62" s="230"/>
      <c r="M62" s="213"/>
      <c r="N62" s="279"/>
      <c r="O62" s="39"/>
      <c r="P62" s="469">
        <f t="shared" si="16"/>
        <v>0</v>
      </c>
      <c r="Q62" s="264" t="str">
        <f t="shared" si="17"/>
        <v>П5х5х5</v>
      </c>
      <c r="R62" s="306">
        <f t="shared" si="14"/>
        <v>1.1200000000000001</v>
      </c>
      <c r="S62" s="320">
        <v>0.93</v>
      </c>
      <c r="T62" s="353">
        <f t="shared" si="12"/>
        <v>0</v>
      </c>
      <c r="U62" s="20">
        <v>76</v>
      </c>
      <c r="V62" s="20">
        <f t="shared" si="13"/>
        <v>0</v>
      </c>
      <c r="W62" s="52">
        <f t="shared" si="19"/>
        <v>0</v>
      </c>
      <c r="X62" s="20">
        <v>76</v>
      </c>
      <c r="Y62" s="20"/>
      <c r="Z62" s="20"/>
      <c r="AA62" s="20">
        <v>500</v>
      </c>
      <c r="AB62" s="417"/>
      <c r="AC62" s="200"/>
      <c r="AD62" s="160"/>
      <c r="AE62" s="163"/>
      <c r="AF62" s="171"/>
      <c r="AG62" s="192"/>
      <c r="AH62" s="128"/>
      <c r="AI62" s="129"/>
      <c r="AK62" s="10"/>
      <c r="AL62" s="476"/>
    </row>
    <row r="63" spans="1:38" ht="26.25" customHeight="1" x14ac:dyDescent="0.25">
      <c r="B63" s="11">
        <v>17</v>
      </c>
      <c r="C63" s="6" t="s">
        <v>18</v>
      </c>
      <c r="D63" s="23" t="s">
        <v>9</v>
      </c>
      <c r="E63" s="237" t="s">
        <v>489</v>
      </c>
      <c r="F63" s="208">
        <v>505</v>
      </c>
      <c r="G63" s="12" t="s">
        <v>0</v>
      </c>
      <c r="H63" s="39">
        <v>400</v>
      </c>
      <c r="I63" s="360">
        <v>104</v>
      </c>
      <c r="J63" s="39">
        <f t="shared" si="0"/>
        <v>220</v>
      </c>
      <c r="K63" s="309">
        <f t="shared" si="18"/>
        <v>0.28000000000000003</v>
      </c>
      <c r="L63" s="230">
        <f>K63*J354</f>
        <v>0</v>
      </c>
      <c r="M63" s="220" t="s">
        <v>866</v>
      </c>
      <c r="N63" s="279">
        <v>620</v>
      </c>
      <c r="O63" s="503"/>
      <c r="P63" s="309">
        <f t="shared" si="16"/>
        <v>0</v>
      </c>
      <c r="Q63" s="235" t="str">
        <f t="shared" si="17"/>
        <v>П 5х5х20 (ЭПГ110.156)</v>
      </c>
      <c r="R63" s="306">
        <f t="shared" si="14"/>
        <v>0.35</v>
      </c>
      <c r="S63" s="320">
        <v>0.28999999999999998</v>
      </c>
      <c r="T63" s="353">
        <f t="shared" si="12"/>
        <v>63.8</v>
      </c>
      <c r="U63" s="70">
        <v>479</v>
      </c>
      <c r="V63" s="20">
        <f t="shared" si="13"/>
        <v>620</v>
      </c>
      <c r="W63" s="52">
        <f t="shared" si="19"/>
        <v>141</v>
      </c>
      <c r="X63" s="70"/>
      <c r="Y63" s="20"/>
      <c r="Z63" s="20"/>
      <c r="AA63" s="20">
        <v>600</v>
      </c>
      <c r="AB63" s="417"/>
      <c r="AC63" s="200"/>
      <c r="AD63" s="160"/>
      <c r="AE63" s="163"/>
      <c r="AF63" s="171"/>
      <c r="AG63" s="192"/>
      <c r="AH63" s="16"/>
      <c r="AI63" s="16"/>
      <c r="AJ63" s="185"/>
      <c r="AK63" s="435"/>
      <c r="AL63" s="476"/>
    </row>
    <row r="64" spans="1:38" ht="26.25" hidden="1" customHeight="1" x14ac:dyDescent="0.25">
      <c r="B64" s="11"/>
      <c r="C64" s="6" t="s">
        <v>18</v>
      </c>
      <c r="D64" s="23" t="s">
        <v>9</v>
      </c>
      <c r="E64" s="499" t="s">
        <v>646</v>
      </c>
      <c r="F64" s="390">
        <v>922</v>
      </c>
      <c r="G64" s="48"/>
      <c r="H64" s="39"/>
      <c r="I64" s="360"/>
      <c r="J64" s="39">
        <f t="shared" si="0"/>
        <v>0</v>
      </c>
      <c r="K64" s="309">
        <f>S64*0.8</f>
        <v>0.76</v>
      </c>
      <c r="L64" s="230"/>
      <c r="M64" s="233"/>
      <c r="N64" s="279"/>
      <c r="O64" s="39"/>
      <c r="P64" s="467"/>
      <c r="Q64" s="51" t="str">
        <f t="shared" si="17"/>
        <v>П17х8х7</v>
      </c>
      <c r="R64" s="306">
        <f t="shared" si="14"/>
        <v>1.1399999999999999</v>
      </c>
      <c r="S64" s="320">
        <v>0.95</v>
      </c>
      <c r="T64" s="353">
        <f t="shared" si="12"/>
        <v>0</v>
      </c>
      <c r="U64" s="70">
        <v>20000</v>
      </c>
      <c r="V64" s="20">
        <f t="shared" si="13"/>
        <v>0</v>
      </c>
      <c r="W64" s="52">
        <f t="shared" si="19"/>
        <v>0</v>
      </c>
      <c r="X64" s="148">
        <v>20000</v>
      </c>
      <c r="Y64" s="20"/>
      <c r="Z64" s="20"/>
      <c r="AA64" s="20"/>
      <c r="AB64" s="417"/>
      <c r="AC64" s="200">
        <v>20000</v>
      </c>
      <c r="AD64" s="160">
        <v>2.9000000000000001E-2</v>
      </c>
      <c r="AE64" s="163" t="s">
        <v>650</v>
      </c>
      <c r="AF64" s="171"/>
      <c r="AG64" s="192"/>
      <c r="AH64" s="16"/>
      <c r="AI64" s="16"/>
      <c r="AJ64" s="185"/>
      <c r="AK64" s="435"/>
      <c r="AL64" s="30"/>
    </row>
    <row r="65" spans="1:74" ht="26.25" customHeight="1" x14ac:dyDescent="0.25">
      <c r="B65" s="14">
        <v>18</v>
      </c>
      <c r="C65" s="6" t="s">
        <v>18</v>
      </c>
      <c r="D65" s="23" t="s">
        <v>9</v>
      </c>
      <c r="E65" s="237" t="s">
        <v>508</v>
      </c>
      <c r="F65" s="208">
        <v>1239</v>
      </c>
      <c r="G65" s="12" t="s">
        <v>0</v>
      </c>
      <c r="H65" s="39">
        <v>1000</v>
      </c>
      <c r="I65" s="360">
        <v>200</v>
      </c>
      <c r="J65" s="39">
        <f t="shared" si="0"/>
        <v>0</v>
      </c>
      <c r="K65" s="309">
        <f t="shared" ref="K65:K71" si="20">R65*0.8</f>
        <v>0.2</v>
      </c>
      <c r="L65" s="230">
        <f>K65*J356</f>
        <v>0</v>
      </c>
      <c r="M65" s="205" t="s">
        <v>677</v>
      </c>
      <c r="N65" s="279"/>
      <c r="O65" s="503">
        <v>1000</v>
      </c>
      <c r="P65" s="309">
        <f t="shared" ref="P65:P71" si="21">K65*O65</f>
        <v>200</v>
      </c>
      <c r="Q65" s="235" t="str">
        <f t="shared" si="17"/>
        <v>П7х8х17</v>
      </c>
      <c r="R65" s="306">
        <f t="shared" si="14"/>
        <v>0.25</v>
      </c>
      <c r="S65" s="320">
        <v>0.21</v>
      </c>
      <c r="T65" s="353">
        <f t="shared" si="12"/>
        <v>0</v>
      </c>
      <c r="U65" s="70">
        <v>316</v>
      </c>
      <c r="V65" s="20">
        <f t="shared" si="13"/>
        <v>0</v>
      </c>
      <c r="W65" s="52">
        <f t="shared" si="19"/>
        <v>0</v>
      </c>
      <c r="X65" s="148">
        <v>316</v>
      </c>
      <c r="Y65" s="20"/>
      <c r="Z65" s="20">
        <v>954</v>
      </c>
      <c r="AA65" s="20">
        <v>8386</v>
      </c>
      <c r="AB65" s="417"/>
      <c r="AC65" s="200"/>
      <c r="AD65" s="160"/>
      <c r="AE65" s="163"/>
      <c r="AF65" s="171"/>
      <c r="AG65" s="192"/>
      <c r="AH65" s="16"/>
      <c r="AI65" s="16"/>
      <c r="AJ65" s="185"/>
      <c r="AK65" s="125"/>
    </row>
    <row r="66" spans="1:74" ht="26.25" hidden="1" customHeight="1" x14ac:dyDescent="0.25">
      <c r="B66" s="14"/>
      <c r="C66" s="6" t="s">
        <v>18</v>
      </c>
      <c r="D66" s="23" t="s">
        <v>9</v>
      </c>
      <c r="E66" s="237" t="s">
        <v>604</v>
      </c>
      <c r="F66" s="382">
        <v>922</v>
      </c>
      <c r="G66" s="48"/>
      <c r="H66" s="39"/>
      <c r="I66" s="360">
        <v>0</v>
      </c>
      <c r="J66" s="39">
        <f t="shared" si="0"/>
        <v>0</v>
      </c>
      <c r="K66" s="309">
        <f t="shared" si="20"/>
        <v>0.91</v>
      </c>
      <c r="L66" s="230"/>
      <c r="M66" s="205"/>
      <c r="N66" s="279"/>
      <c r="O66" s="503"/>
      <c r="P66" s="309">
        <f t="shared" si="21"/>
        <v>0</v>
      </c>
      <c r="Q66" s="235" t="str">
        <f t="shared" si="17"/>
        <v>П7х7х17</v>
      </c>
      <c r="R66" s="306">
        <f t="shared" si="14"/>
        <v>1.1399999999999999</v>
      </c>
      <c r="S66" s="320">
        <v>0.95</v>
      </c>
      <c r="T66" s="353">
        <f t="shared" si="12"/>
        <v>0</v>
      </c>
      <c r="U66" s="20">
        <v>345</v>
      </c>
      <c r="V66" s="20">
        <f t="shared" si="13"/>
        <v>0</v>
      </c>
      <c r="W66" s="52"/>
      <c r="X66" s="148">
        <f>145+200</f>
        <v>345</v>
      </c>
      <c r="Y66" s="20"/>
      <c r="Z66" s="20"/>
      <c r="AA66" s="20"/>
      <c r="AB66" s="417"/>
      <c r="AC66" s="200"/>
      <c r="AD66" s="160"/>
      <c r="AE66" s="163"/>
      <c r="AF66" s="171"/>
      <c r="AG66" s="192"/>
      <c r="AH66" s="16"/>
      <c r="AI66" s="16"/>
      <c r="AJ66" s="185"/>
      <c r="AK66" s="435"/>
    </row>
    <row r="67" spans="1:74" ht="26.25" customHeight="1" x14ac:dyDescent="0.25">
      <c r="B67" s="11">
        <v>19</v>
      </c>
      <c r="C67" s="6" t="s">
        <v>18</v>
      </c>
      <c r="D67" s="23" t="s">
        <v>9</v>
      </c>
      <c r="E67" s="237" t="s">
        <v>100</v>
      </c>
      <c r="F67" s="208">
        <v>579</v>
      </c>
      <c r="G67" s="12" t="s">
        <v>0</v>
      </c>
      <c r="H67" s="39">
        <v>100</v>
      </c>
      <c r="I67" s="360">
        <v>67</v>
      </c>
      <c r="J67" s="39">
        <f t="shared" si="0"/>
        <v>100</v>
      </c>
      <c r="K67" s="309">
        <f t="shared" si="20"/>
        <v>0.67</v>
      </c>
      <c r="L67" s="230">
        <f>K67*J358</f>
        <v>0</v>
      </c>
      <c r="M67" s="218"/>
      <c r="N67" s="279">
        <v>200</v>
      </c>
      <c r="O67" s="503"/>
      <c r="P67" s="309">
        <f t="shared" si="21"/>
        <v>0</v>
      </c>
      <c r="Q67" s="235" t="str">
        <f t="shared" si="17"/>
        <v>П10х10х7</v>
      </c>
      <c r="R67" s="377">
        <f t="shared" si="14"/>
        <v>0.84</v>
      </c>
      <c r="S67" s="319">
        <v>0.7</v>
      </c>
      <c r="T67" s="353">
        <f t="shared" si="12"/>
        <v>70</v>
      </c>
      <c r="U67" s="20">
        <v>712</v>
      </c>
      <c r="V67" s="20">
        <f t="shared" si="13"/>
        <v>200</v>
      </c>
      <c r="W67" s="52">
        <f t="shared" ref="W67:W110" si="22">X67-U67+V67</f>
        <v>0</v>
      </c>
      <c r="X67" s="148">
        <v>512</v>
      </c>
      <c r="Y67" s="20"/>
      <c r="Z67" s="20">
        <v>400</v>
      </c>
      <c r="AA67" s="20">
        <v>1000</v>
      </c>
      <c r="AB67" s="417"/>
      <c r="AC67" s="200"/>
      <c r="AD67" s="160"/>
      <c r="AE67" s="163"/>
      <c r="AF67" s="171"/>
      <c r="AG67" s="192"/>
      <c r="AH67" s="16"/>
      <c r="AI67" s="16"/>
      <c r="AJ67" s="185"/>
      <c r="AK67" s="435"/>
      <c r="AL67" s="476"/>
    </row>
    <row r="68" spans="1:74" s="5" customFormat="1" ht="26.25" customHeight="1" x14ac:dyDescent="0.25">
      <c r="B68" s="11">
        <v>20</v>
      </c>
      <c r="C68" s="6" t="s">
        <v>18</v>
      </c>
      <c r="D68" s="23" t="s">
        <v>9</v>
      </c>
      <c r="E68" s="239" t="s">
        <v>330</v>
      </c>
      <c r="F68" s="526">
        <v>1323</v>
      </c>
      <c r="G68" s="12" t="s">
        <v>0</v>
      </c>
      <c r="H68" s="39">
        <v>180</v>
      </c>
      <c r="I68" s="360">
        <v>432</v>
      </c>
      <c r="J68" s="39">
        <f t="shared" si="0"/>
        <v>0</v>
      </c>
      <c r="K68" s="309">
        <f t="shared" si="20"/>
        <v>2.4</v>
      </c>
      <c r="L68" s="230"/>
      <c r="M68" s="205"/>
      <c r="N68" s="279"/>
      <c r="O68" s="503">
        <v>180</v>
      </c>
      <c r="P68" s="309">
        <f t="shared" si="21"/>
        <v>432</v>
      </c>
      <c r="Q68" s="235" t="str">
        <f t="shared" si="17"/>
        <v>П15х9х5</v>
      </c>
      <c r="R68" s="306">
        <f t="shared" si="14"/>
        <v>3</v>
      </c>
      <c r="S68" s="331">
        <v>2.5</v>
      </c>
      <c r="T68" s="353">
        <f t="shared" si="12"/>
        <v>0</v>
      </c>
      <c r="U68" s="20">
        <v>95</v>
      </c>
      <c r="V68" s="20">
        <f t="shared" si="13"/>
        <v>0</v>
      </c>
      <c r="W68" s="52">
        <f t="shared" si="22"/>
        <v>0</v>
      </c>
      <c r="X68" s="148">
        <v>95</v>
      </c>
      <c r="Y68" s="20"/>
      <c r="Z68" s="20"/>
      <c r="AA68" s="20">
        <v>730</v>
      </c>
      <c r="AB68" s="417"/>
      <c r="AC68" s="200"/>
      <c r="AD68" s="160"/>
      <c r="AE68" s="164"/>
      <c r="AF68" s="160"/>
      <c r="AG68" s="173"/>
      <c r="AH68" s="59"/>
      <c r="AI68" s="127"/>
      <c r="AJ68" s="179"/>
    </row>
    <row r="69" spans="1:74" ht="26.25" hidden="1" customHeight="1" x14ac:dyDescent="0.25">
      <c r="B69" s="11"/>
      <c r="C69" s="6" t="s">
        <v>18</v>
      </c>
      <c r="D69" s="23" t="s">
        <v>9</v>
      </c>
      <c r="E69" s="239" t="s">
        <v>217</v>
      </c>
      <c r="F69" s="211" t="s">
        <v>126</v>
      </c>
      <c r="G69" s="12" t="s">
        <v>0</v>
      </c>
      <c r="H69" s="39"/>
      <c r="I69" s="360">
        <v>0</v>
      </c>
      <c r="J69" s="39">
        <f t="shared" si="0"/>
        <v>0</v>
      </c>
      <c r="K69" s="309">
        <f t="shared" si="20"/>
        <v>0.14000000000000001</v>
      </c>
      <c r="L69" s="230">
        <f>K69*J360</f>
        <v>0</v>
      </c>
      <c r="M69" s="535"/>
      <c r="N69" s="279"/>
      <c r="O69" s="39"/>
      <c r="P69" s="469">
        <f t="shared" si="21"/>
        <v>0</v>
      </c>
      <c r="Q69" s="443" t="str">
        <f t="shared" si="17"/>
        <v>П24х10х5 (Метиз)</v>
      </c>
      <c r="R69" s="377">
        <f t="shared" si="14"/>
        <v>0.17</v>
      </c>
      <c r="S69" s="320">
        <v>0.14000000000000001</v>
      </c>
      <c r="T69" s="353">
        <f t="shared" si="12"/>
        <v>0</v>
      </c>
      <c r="U69" s="20"/>
      <c r="V69" s="20">
        <f t="shared" si="13"/>
        <v>0</v>
      </c>
      <c r="W69" s="52">
        <f t="shared" si="22"/>
        <v>0</v>
      </c>
      <c r="X69" s="20"/>
      <c r="Y69" s="20"/>
      <c r="Z69" s="199"/>
      <c r="AA69" s="20"/>
      <c r="AB69" s="419"/>
      <c r="AC69" s="200"/>
      <c r="AD69" s="160"/>
      <c r="AE69" s="163"/>
      <c r="AF69" s="171"/>
      <c r="AG69" s="192"/>
      <c r="AH69" s="128"/>
      <c r="AI69" s="129"/>
      <c r="AK69" s="10"/>
    </row>
    <row r="70" spans="1:74" ht="26.25" customHeight="1" x14ac:dyDescent="0.35">
      <c r="B70" s="11">
        <v>21</v>
      </c>
      <c r="C70" s="6" t="s">
        <v>18</v>
      </c>
      <c r="D70" s="23" t="s">
        <v>9</v>
      </c>
      <c r="E70" s="237" t="s">
        <v>5</v>
      </c>
      <c r="F70" s="208" t="s">
        <v>43</v>
      </c>
      <c r="G70" s="12" t="s">
        <v>0</v>
      </c>
      <c r="H70" s="39">
        <v>11760</v>
      </c>
      <c r="I70" s="360">
        <v>1293.5999999999999</v>
      </c>
      <c r="J70" s="39">
        <f t="shared" ref="J70:J133" si="23">N70+O70-H70</f>
        <v>0</v>
      </c>
      <c r="K70" s="309">
        <f t="shared" si="20"/>
        <v>0.11</v>
      </c>
      <c r="L70" s="230">
        <f>K70*J361</f>
        <v>0</v>
      </c>
      <c r="M70" s="233" t="s">
        <v>802</v>
      </c>
      <c r="N70" s="280">
        <v>1960</v>
      </c>
      <c r="O70" s="503">
        <f>11760-1960</f>
        <v>9800</v>
      </c>
      <c r="P70" s="309">
        <f t="shared" si="21"/>
        <v>1078</v>
      </c>
      <c r="Q70" s="235" t="str">
        <f t="shared" si="17"/>
        <v>МЛП 1б-04</v>
      </c>
      <c r="R70" s="306">
        <f t="shared" si="14"/>
        <v>0.14000000000000001</v>
      </c>
      <c r="S70" s="319">
        <f>1200*0.0001</f>
        <v>0.12</v>
      </c>
      <c r="T70" s="353">
        <f t="shared" si="12"/>
        <v>0</v>
      </c>
      <c r="U70" s="70">
        <v>4500</v>
      </c>
      <c r="V70" s="20">
        <f t="shared" ref="V70:V101" si="24">N70</f>
        <v>1960</v>
      </c>
      <c r="W70" s="52">
        <f t="shared" si="22"/>
        <v>107260</v>
      </c>
      <c r="X70" s="148">
        <f>5*1960+100000</f>
        <v>109800</v>
      </c>
      <c r="Y70" s="20">
        <f>100000-9800</f>
        <v>90200</v>
      </c>
      <c r="Z70" s="20">
        <v>11760</v>
      </c>
      <c r="AA70" s="20">
        <v>85350</v>
      </c>
      <c r="AB70" s="417">
        <f>0.007*AA70</f>
        <v>597</v>
      </c>
      <c r="AC70" s="200"/>
      <c r="AD70" s="160"/>
      <c r="AE70" s="162"/>
      <c r="AF70" s="171"/>
      <c r="AG70" s="176"/>
      <c r="AH70" s="115"/>
      <c r="AI70" s="113"/>
      <c r="AJ70" s="185"/>
      <c r="AK70" s="435"/>
      <c r="AL70" s="476"/>
    </row>
    <row r="71" spans="1:74" ht="26.25" hidden="1" customHeight="1" x14ac:dyDescent="0.3">
      <c r="B71" s="14"/>
      <c r="C71" s="6" t="s">
        <v>18</v>
      </c>
      <c r="D71" s="23" t="s">
        <v>9</v>
      </c>
      <c r="E71" s="43" t="s">
        <v>167</v>
      </c>
      <c r="F71" s="208" t="s">
        <v>179</v>
      </c>
      <c r="G71" s="48" t="s">
        <v>0</v>
      </c>
      <c r="H71" s="39"/>
      <c r="I71" s="309">
        <v>0</v>
      </c>
      <c r="J71" s="39">
        <f t="shared" si="23"/>
        <v>0</v>
      </c>
      <c r="K71" s="309">
        <f t="shared" si="20"/>
        <v>0.11</v>
      </c>
      <c r="L71" s="230">
        <f>K71*J362</f>
        <v>0</v>
      </c>
      <c r="M71" s="89" t="s">
        <v>454</v>
      </c>
      <c r="N71" s="279"/>
      <c r="O71" s="39"/>
      <c r="P71" s="490">
        <f t="shared" si="21"/>
        <v>0</v>
      </c>
      <c r="Q71" s="264" t="str">
        <f t="shared" si="17"/>
        <v>ЭПГ110.166 (16х15х12)</v>
      </c>
      <c r="R71" s="377">
        <f>S71*1.2</f>
        <v>0.14000000000000001</v>
      </c>
      <c r="S71" s="332">
        <f>1200*0.0001</f>
        <v>0.12</v>
      </c>
      <c r="T71" s="353">
        <f t="shared" ref="T71:T101" si="25">S71*J71</f>
        <v>0</v>
      </c>
      <c r="U71" s="70">
        <v>46200</v>
      </c>
      <c r="V71" s="20">
        <f t="shared" si="24"/>
        <v>0</v>
      </c>
      <c r="W71" s="52">
        <f t="shared" si="22"/>
        <v>0</v>
      </c>
      <c r="X71" s="70">
        <f>77*600</f>
        <v>46200</v>
      </c>
      <c r="Y71" s="20"/>
      <c r="Z71" s="20"/>
      <c r="AA71" s="20"/>
      <c r="AB71" s="417"/>
      <c r="AC71" s="200"/>
      <c r="AD71" s="160"/>
      <c r="AE71" s="162"/>
      <c r="AF71" s="171"/>
      <c r="AG71" s="173"/>
      <c r="AH71" s="14">
        <f>0.001*AG71*N71</f>
        <v>0</v>
      </c>
      <c r="AI71" s="113"/>
      <c r="AJ71" s="185"/>
      <c r="AK71" s="435"/>
      <c r="AL71" s="476"/>
    </row>
    <row r="72" spans="1:74" ht="26.25" customHeight="1" x14ac:dyDescent="0.25">
      <c r="B72" s="11">
        <v>22</v>
      </c>
      <c r="C72" s="6" t="s">
        <v>18</v>
      </c>
      <c r="D72" s="23" t="s">
        <v>9</v>
      </c>
      <c r="E72" s="238" t="s">
        <v>250</v>
      </c>
      <c r="F72" s="383">
        <v>998</v>
      </c>
      <c r="G72" s="12" t="s">
        <v>0</v>
      </c>
      <c r="H72" s="39">
        <v>3920</v>
      </c>
      <c r="I72" s="360">
        <v>376.32</v>
      </c>
      <c r="J72" s="39">
        <f t="shared" si="23"/>
        <v>0</v>
      </c>
      <c r="K72" s="309">
        <v>0.1</v>
      </c>
      <c r="L72" s="230">
        <f>K72*J363</f>
        <v>0</v>
      </c>
      <c r="M72" s="91"/>
      <c r="N72" s="279"/>
      <c r="O72" s="503">
        <v>3920</v>
      </c>
      <c r="P72" s="532">
        <f>I72</f>
        <v>376.32</v>
      </c>
      <c r="Q72" s="263" t="str">
        <f t="shared" si="17"/>
        <v>П24х10х5,6</v>
      </c>
      <c r="R72" s="377">
        <f>S72*1.2</f>
        <v>0.12</v>
      </c>
      <c r="S72" s="319">
        <f>1000*0.0001</f>
        <v>0.1</v>
      </c>
      <c r="T72" s="353">
        <f t="shared" si="25"/>
        <v>0</v>
      </c>
      <c r="U72" s="20"/>
      <c r="V72" s="20">
        <f t="shared" si="24"/>
        <v>0</v>
      </c>
      <c r="W72" s="52">
        <f t="shared" si="22"/>
        <v>1960</v>
      </c>
      <c r="X72" s="148">
        <v>1960</v>
      </c>
      <c r="Y72" s="20"/>
      <c r="Z72" s="199"/>
      <c r="AA72" s="20"/>
      <c r="AB72" s="419"/>
      <c r="AC72" s="200"/>
      <c r="AD72" s="160"/>
      <c r="AE72" s="163"/>
      <c r="AF72" s="171"/>
      <c r="AG72" s="192"/>
      <c r="AH72" s="16"/>
      <c r="AI72" s="16"/>
      <c r="AJ72" s="185"/>
      <c r="AK72" s="125"/>
    </row>
    <row r="73" spans="1:74" s="5" customFormat="1" ht="26.25" hidden="1" customHeight="1" x14ac:dyDescent="0.25">
      <c r="B73" s="11"/>
      <c r="C73" s="6" t="s">
        <v>18</v>
      </c>
      <c r="D73" s="23" t="s">
        <v>9</v>
      </c>
      <c r="E73" s="459" t="s">
        <v>728</v>
      </c>
      <c r="F73" s="397">
        <v>1453</v>
      </c>
      <c r="G73" s="12" t="s">
        <v>0</v>
      </c>
      <c r="H73" s="39"/>
      <c r="I73" s="360">
        <v>0</v>
      </c>
      <c r="J73" s="39">
        <f t="shared" si="23"/>
        <v>0</v>
      </c>
      <c r="K73" s="309">
        <f>R73*0.8</f>
        <v>12</v>
      </c>
      <c r="L73" s="230"/>
      <c r="M73" s="205" t="s">
        <v>741</v>
      </c>
      <c r="N73" s="279"/>
      <c r="O73" s="39"/>
      <c r="P73" s="309">
        <f>K73*O73</f>
        <v>0</v>
      </c>
      <c r="Q73" s="51" t="str">
        <f t="shared" si="17"/>
        <v>АЮДИ 757.159.001</v>
      </c>
      <c r="R73" s="377">
        <f>S73*1.2</f>
        <v>15</v>
      </c>
      <c r="S73" s="331">
        <v>12.5</v>
      </c>
      <c r="T73" s="353">
        <f t="shared" si="25"/>
        <v>0</v>
      </c>
      <c r="U73" s="20"/>
      <c r="V73" s="20">
        <f t="shared" si="24"/>
        <v>0</v>
      </c>
      <c r="W73" s="52">
        <f t="shared" si="22"/>
        <v>0</v>
      </c>
      <c r="X73" s="20"/>
      <c r="Y73" s="20"/>
      <c r="Z73" s="20"/>
      <c r="AA73" s="20"/>
      <c r="AB73" s="417"/>
      <c r="AC73" s="18"/>
      <c r="AD73" s="160"/>
      <c r="AE73" s="164"/>
      <c r="AF73" s="160"/>
      <c r="AG73" s="173"/>
      <c r="AH73" s="59"/>
      <c r="AI73" s="127"/>
      <c r="AJ73" s="179"/>
    </row>
    <row r="74" spans="1:74" s="5" customFormat="1" ht="26.25" customHeight="1" x14ac:dyDescent="0.25">
      <c r="B74" s="11">
        <v>23</v>
      </c>
      <c r="C74" s="6" t="s">
        <v>18</v>
      </c>
      <c r="D74" s="23" t="s">
        <v>9</v>
      </c>
      <c r="E74" s="237" t="s">
        <v>294</v>
      </c>
      <c r="F74" s="209" t="s">
        <v>42</v>
      </c>
      <c r="G74" s="12" t="s">
        <v>0</v>
      </c>
      <c r="H74" s="39">
        <v>100</v>
      </c>
      <c r="I74" s="360">
        <v>136</v>
      </c>
      <c r="J74" s="39">
        <f t="shared" si="23"/>
        <v>0</v>
      </c>
      <c r="K74" s="309">
        <v>1.36</v>
      </c>
      <c r="L74" s="230">
        <f>K74*J365</f>
        <v>0</v>
      </c>
      <c r="M74" s="205"/>
      <c r="N74" s="279">
        <v>100</v>
      </c>
      <c r="O74" s="503"/>
      <c r="P74" s="309">
        <f>K74*O74</f>
        <v>0</v>
      </c>
      <c r="Q74" s="51" t="str">
        <f t="shared" si="17"/>
        <v>ЦИКС 741611018(П34х19х6)</v>
      </c>
      <c r="R74" s="377">
        <f>S74*1.2</f>
        <v>2.41</v>
      </c>
      <c r="S74" s="320">
        <v>2.0099999999999998</v>
      </c>
      <c r="T74" s="353">
        <f t="shared" si="25"/>
        <v>0</v>
      </c>
      <c r="U74" s="20"/>
      <c r="V74" s="20">
        <f t="shared" si="24"/>
        <v>100</v>
      </c>
      <c r="W74" s="52">
        <f t="shared" si="22"/>
        <v>100</v>
      </c>
      <c r="X74" s="20"/>
      <c r="Y74" s="20"/>
      <c r="Z74" s="20"/>
      <c r="AA74" s="20"/>
      <c r="AB74" s="417"/>
      <c r="AC74" s="200"/>
      <c r="AD74" s="160"/>
      <c r="AE74" s="163"/>
      <c r="AF74" s="171"/>
      <c r="AG74" s="173"/>
      <c r="AH74" s="14"/>
      <c r="AI74" s="14"/>
      <c r="AJ74" s="178"/>
      <c r="AK74" s="434"/>
      <c r="AL74" s="14"/>
    </row>
    <row r="75" spans="1:74" ht="26.25" hidden="1" customHeight="1" x14ac:dyDescent="0.25">
      <c r="B75" s="11"/>
      <c r="C75" s="6" t="s">
        <v>18</v>
      </c>
      <c r="D75" s="23" t="s">
        <v>9</v>
      </c>
      <c r="E75" s="239" t="s">
        <v>293</v>
      </c>
      <c r="F75" s="387"/>
      <c r="G75" s="48" t="s">
        <v>0</v>
      </c>
      <c r="H75" s="39">
        <v>0</v>
      </c>
      <c r="I75" s="309">
        <v>0</v>
      </c>
      <c r="J75" s="39">
        <f t="shared" si="23"/>
        <v>0</v>
      </c>
      <c r="K75" s="309">
        <f>R75*0.8</f>
        <v>7.0000000000000007E-2</v>
      </c>
      <c r="L75" s="230">
        <f>K75*J366</f>
        <v>0</v>
      </c>
      <c r="M75" s="64"/>
      <c r="N75" s="279"/>
      <c r="O75" s="39">
        <v>0</v>
      </c>
      <c r="P75" s="490">
        <f>K75*O75</f>
        <v>0</v>
      </c>
      <c r="Q75" s="264" t="str">
        <f t="shared" si="17"/>
        <v xml:space="preserve">малая Фронда П24х12х10 </v>
      </c>
      <c r="R75" s="377">
        <f>S75*1.2</f>
        <v>0.09</v>
      </c>
      <c r="S75" s="326">
        <v>7.4999999999999997E-2</v>
      </c>
      <c r="T75" s="353">
        <f t="shared" si="25"/>
        <v>0</v>
      </c>
      <c r="U75" s="430"/>
      <c r="V75" s="20">
        <f t="shared" si="24"/>
        <v>0</v>
      </c>
      <c r="W75" s="52">
        <f t="shared" si="22"/>
        <v>10000</v>
      </c>
      <c r="X75" s="147">
        <v>10000</v>
      </c>
      <c r="Y75" s="18"/>
      <c r="Z75" s="430"/>
      <c r="AA75" s="430">
        <v>109355</v>
      </c>
      <c r="AB75" s="440">
        <f>0.014*AA75</f>
        <v>1531</v>
      </c>
      <c r="AC75" s="200"/>
      <c r="AD75" s="160"/>
      <c r="AE75" s="165"/>
      <c r="AF75" s="160"/>
      <c r="AG75" s="192"/>
      <c r="AH75" s="16"/>
      <c r="AI75" s="16"/>
      <c r="AJ75" s="185"/>
      <c r="AK75" s="435"/>
      <c r="AL75" s="477"/>
    </row>
    <row r="76" spans="1:74" ht="26.25" hidden="1" customHeight="1" x14ac:dyDescent="0.25">
      <c r="B76" s="11"/>
      <c r="C76" s="6" t="s">
        <v>18</v>
      </c>
      <c r="D76" s="23" t="s">
        <v>9</v>
      </c>
      <c r="E76" s="239" t="s">
        <v>620</v>
      </c>
      <c r="F76" s="387"/>
      <c r="G76" s="48"/>
      <c r="H76" s="39"/>
      <c r="I76" s="309"/>
      <c r="J76" s="39">
        <f t="shared" si="23"/>
        <v>0</v>
      </c>
      <c r="K76" s="309">
        <f>R76*0.8</f>
        <v>0</v>
      </c>
      <c r="L76" s="230"/>
      <c r="M76" s="64"/>
      <c r="N76" s="279"/>
      <c r="O76" s="39"/>
      <c r="P76" s="497"/>
      <c r="Q76" s="264" t="str">
        <f t="shared" si="17"/>
        <v>большая Фронда</v>
      </c>
      <c r="R76" s="377"/>
      <c r="S76" s="316"/>
      <c r="T76" s="353">
        <f t="shared" si="25"/>
        <v>0</v>
      </c>
      <c r="U76" s="70">
        <v>3200</v>
      </c>
      <c r="V76" s="20">
        <f t="shared" si="24"/>
        <v>0</v>
      </c>
      <c r="W76" s="52">
        <f t="shared" si="22"/>
        <v>39300</v>
      </c>
      <c r="X76" s="148">
        <f>25*1700</f>
        <v>42500</v>
      </c>
      <c r="Y76" s="20">
        <f>50000-13*800</f>
        <v>39600</v>
      </c>
      <c r="Z76" s="430"/>
      <c r="AA76" s="430"/>
      <c r="AB76" s="440"/>
      <c r="AC76" s="200"/>
      <c r="AD76" s="160"/>
      <c r="AE76" s="165"/>
      <c r="AF76" s="160"/>
      <c r="AG76" s="192"/>
      <c r="AH76" s="16"/>
      <c r="AI76" s="16"/>
      <c r="AJ76" s="185"/>
      <c r="AK76" s="435"/>
      <c r="AL76" s="477"/>
    </row>
    <row r="77" spans="1:74" ht="38.25" customHeight="1" x14ac:dyDescent="0.25">
      <c r="B77" s="14">
        <v>24</v>
      </c>
      <c r="C77" s="6" t="s">
        <v>18</v>
      </c>
      <c r="D77" s="23" t="s">
        <v>9</v>
      </c>
      <c r="E77" s="465" t="s">
        <v>619</v>
      </c>
      <c r="F77" s="208">
        <v>325</v>
      </c>
      <c r="G77" s="12" t="s">
        <v>0</v>
      </c>
      <c r="H77" s="39">
        <v>3200</v>
      </c>
      <c r="I77" s="309">
        <v>672</v>
      </c>
      <c r="J77" s="39">
        <f t="shared" si="23"/>
        <v>0</v>
      </c>
      <c r="K77" s="309">
        <f>R77*0.8</f>
        <v>0.21</v>
      </c>
      <c r="L77" s="230">
        <f>K77*J368</f>
        <v>0</v>
      </c>
      <c r="M77" s="233" t="s">
        <v>829</v>
      </c>
      <c r="N77" s="279"/>
      <c r="O77" s="503">
        <v>3200</v>
      </c>
      <c r="P77" s="309">
        <f t="shared" ref="P77:P90" si="26">K77*O77</f>
        <v>672</v>
      </c>
      <c r="Q77" s="235" t="str">
        <f t="shared" si="17"/>
        <v>ЭПГ 110.094 (П24х16х10)-Чебоксары</v>
      </c>
      <c r="R77" s="377">
        <f t="shared" ref="R77:R110" si="27">S77*1.2</f>
        <v>0.26</v>
      </c>
      <c r="S77" s="338">
        <f>6.6*0.034</f>
        <v>0.22</v>
      </c>
      <c r="T77" s="353">
        <f t="shared" si="25"/>
        <v>0</v>
      </c>
      <c r="U77" s="70">
        <v>6800</v>
      </c>
      <c r="V77" s="20">
        <f t="shared" si="24"/>
        <v>0</v>
      </c>
      <c r="W77" s="52">
        <f t="shared" si="22"/>
        <v>0</v>
      </c>
      <c r="X77" s="70">
        <f>4*1700</f>
        <v>6800</v>
      </c>
      <c r="Y77" s="20"/>
      <c r="Z77" s="430">
        <v>3200</v>
      </c>
      <c r="AA77" s="430">
        <v>26800</v>
      </c>
      <c r="AB77" s="440">
        <f>0.019*AA77</f>
        <v>509</v>
      </c>
      <c r="AC77" s="200"/>
      <c r="AD77" s="160"/>
      <c r="AE77" s="163"/>
      <c r="AF77" s="171"/>
      <c r="AG77" s="175">
        <v>0.03</v>
      </c>
      <c r="AH77" s="14">
        <f>0.001*AG77*N77</f>
        <v>0</v>
      </c>
      <c r="AI77" s="16"/>
      <c r="AJ77" s="186"/>
      <c r="AK77" s="437"/>
      <c r="AL77" s="477"/>
    </row>
    <row r="78" spans="1:74" s="4" customFormat="1" ht="26.25" hidden="1" customHeight="1" x14ac:dyDescent="0.25">
      <c r="A78" s="10"/>
      <c r="B78" s="11"/>
      <c r="C78" s="6" t="s">
        <v>18</v>
      </c>
      <c r="D78" s="23" t="s">
        <v>9</v>
      </c>
      <c r="E78" s="212" t="s">
        <v>280</v>
      </c>
      <c r="F78" s="382" t="s">
        <v>491</v>
      </c>
      <c r="G78" s="48" t="s">
        <v>0</v>
      </c>
      <c r="H78" s="39"/>
      <c r="I78" s="360">
        <v>0</v>
      </c>
      <c r="J78" s="39">
        <f t="shared" si="23"/>
        <v>0</v>
      </c>
      <c r="K78" s="309">
        <f>R78*0.8</f>
        <v>0.21</v>
      </c>
      <c r="L78" s="230">
        <f>K78*J369</f>
        <v>0</v>
      </c>
      <c r="M78" s="155"/>
      <c r="N78" s="279"/>
      <c r="O78" s="39"/>
      <c r="P78" s="467">
        <f t="shared" si="26"/>
        <v>0</v>
      </c>
      <c r="Q78" s="264" t="str">
        <f t="shared" si="17"/>
        <v>П34х19х3</v>
      </c>
      <c r="R78" s="306">
        <f t="shared" si="27"/>
        <v>0.26</v>
      </c>
      <c r="S78" s="321">
        <v>0.22</v>
      </c>
      <c r="T78" s="353">
        <f t="shared" si="25"/>
        <v>0</v>
      </c>
      <c r="U78" s="20"/>
      <c r="V78" s="20">
        <f t="shared" si="24"/>
        <v>0</v>
      </c>
      <c r="W78" s="52">
        <f t="shared" si="22"/>
        <v>0</v>
      </c>
      <c r="X78" s="20"/>
      <c r="Y78" s="20"/>
      <c r="Z78" s="199"/>
      <c r="AA78" s="20"/>
      <c r="AB78" s="419"/>
      <c r="AC78" s="200"/>
      <c r="AD78" s="160"/>
      <c r="AE78" s="163"/>
      <c r="AF78" s="171"/>
      <c r="AG78" s="192"/>
      <c r="AH78" s="128"/>
      <c r="AI78" s="129"/>
      <c r="AJ78" s="182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</row>
    <row r="79" spans="1:74" ht="26.25" customHeight="1" x14ac:dyDescent="0.25">
      <c r="B79" s="14">
        <v>25</v>
      </c>
      <c r="C79" s="6" t="s">
        <v>18</v>
      </c>
      <c r="D79" s="23" t="s">
        <v>9</v>
      </c>
      <c r="E79" s="43" t="s">
        <v>252</v>
      </c>
      <c r="F79" s="208">
        <v>1172</v>
      </c>
      <c r="G79" s="12" t="s">
        <v>0</v>
      </c>
      <c r="H79" s="39">
        <v>7040</v>
      </c>
      <c r="I79" s="360">
        <v>1337.6</v>
      </c>
      <c r="J79" s="39">
        <f t="shared" si="23"/>
        <v>0</v>
      </c>
      <c r="K79" s="309">
        <v>0.19</v>
      </c>
      <c r="L79" s="230">
        <f>K79*J370</f>
        <v>0</v>
      </c>
      <c r="M79" s="155"/>
      <c r="N79" s="279"/>
      <c r="O79" s="503">
        <v>7040</v>
      </c>
      <c r="P79" s="309">
        <f t="shared" si="26"/>
        <v>1337.6</v>
      </c>
      <c r="Q79" s="235" t="str">
        <f t="shared" si="17"/>
        <v>П30х15х10</v>
      </c>
      <c r="R79" s="306">
        <f t="shared" si="27"/>
        <v>0.25</v>
      </c>
      <c r="S79" s="320">
        <f>6.45*0.033</f>
        <v>0.21</v>
      </c>
      <c r="T79" s="353">
        <f t="shared" si="25"/>
        <v>0</v>
      </c>
      <c r="U79" s="430">
        <v>16000</v>
      </c>
      <c r="V79" s="20">
        <f t="shared" si="24"/>
        <v>0</v>
      </c>
      <c r="W79" s="52">
        <f t="shared" si="22"/>
        <v>10880</v>
      </c>
      <c r="X79" s="147">
        <f>42*640</f>
        <v>26880</v>
      </c>
      <c r="Y79" s="18"/>
      <c r="Z79" s="430"/>
      <c r="AA79" s="430">
        <f>85120+39680</f>
        <v>124800</v>
      </c>
      <c r="AB79" s="440">
        <f>0.022*AA79</f>
        <v>2746</v>
      </c>
      <c r="AC79" s="200"/>
      <c r="AD79" s="160"/>
      <c r="AE79" s="165"/>
      <c r="AF79" s="160"/>
      <c r="AG79" s="192"/>
      <c r="AH79" s="16"/>
      <c r="AI79" s="16"/>
      <c r="AJ79" s="185"/>
      <c r="AK79" s="435"/>
      <c r="AL79" s="477"/>
    </row>
    <row r="80" spans="1:74" ht="26.25" hidden="1" customHeight="1" x14ac:dyDescent="0.25">
      <c r="B80" s="14"/>
      <c r="C80" s="6" t="s">
        <v>18</v>
      </c>
      <c r="D80" s="23" t="s">
        <v>9</v>
      </c>
      <c r="E80" s="212" t="s">
        <v>233</v>
      </c>
      <c r="F80" s="522">
        <v>850</v>
      </c>
      <c r="G80" s="48"/>
      <c r="H80" s="39"/>
      <c r="I80" s="309">
        <v>0</v>
      </c>
      <c r="J80" s="39">
        <f t="shared" si="23"/>
        <v>0</v>
      </c>
      <c r="K80" s="309">
        <f t="shared" ref="K80:K87" si="28">R80*0.8</f>
        <v>1.86</v>
      </c>
      <c r="L80" s="230"/>
      <c r="M80" s="91"/>
      <c r="N80" s="279"/>
      <c r="O80" s="39"/>
      <c r="P80" s="467">
        <f t="shared" si="26"/>
        <v>0</v>
      </c>
      <c r="Q80" s="262" t="str">
        <f t="shared" si="17"/>
        <v>П32х18х27</v>
      </c>
      <c r="R80" s="377">
        <f t="shared" si="27"/>
        <v>2.3199999999999998</v>
      </c>
      <c r="S80" s="320">
        <v>1.93</v>
      </c>
      <c r="T80" s="353">
        <f t="shared" si="25"/>
        <v>0</v>
      </c>
      <c r="U80" s="20"/>
      <c r="V80" s="20">
        <f t="shared" si="24"/>
        <v>0</v>
      </c>
      <c r="W80" s="52">
        <f t="shared" si="22"/>
        <v>0</v>
      </c>
      <c r="X80" s="20"/>
      <c r="Y80" s="20"/>
      <c r="Z80" s="199"/>
      <c r="AA80" s="20"/>
      <c r="AB80" s="419"/>
      <c r="AC80" s="200"/>
      <c r="AD80" s="160"/>
      <c r="AE80" s="165"/>
      <c r="AF80" s="160"/>
      <c r="AG80" s="192"/>
      <c r="AH80" s="16"/>
      <c r="AI80" s="16"/>
      <c r="AJ80" s="185"/>
      <c r="AK80" s="125"/>
    </row>
    <row r="81" spans="2:38" ht="26.25" hidden="1" customHeight="1" x14ac:dyDescent="0.25">
      <c r="B81" s="14"/>
      <c r="C81" s="6" t="s">
        <v>18</v>
      </c>
      <c r="D81" s="23" t="s">
        <v>9</v>
      </c>
      <c r="E81" s="212" t="s">
        <v>166</v>
      </c>
      <c r="F81" s="522">
        <v>849</v>
      </c>
      <c r="G81" s="48"/>
      <c r="H81" s="39"/>
      <c r="I81" s="309">
        <v>0</v>
      </c>
      <c r="J81" s="39">
        <f t="shared" si="23"/>
        <v>0</v>
      </c>
      <c r="K81" s="309">
        <f t="shared" si="28"/>
        <v>1.86</v>
      </c>
      <c r="L81" s="230"/>
      <c r="M81" s="91"/>
      <c r="N81" s="279"/>
      <c r="O81" s="39"/>
      <c r="P81" s="360">
        <f t="shared" si="26"/>
        <v>0</v>
      </c>
      <c r="Q81" s="263" t="str">
        <f t="shared" si="17"/>
        <v>П32х27х18</v>
      </c>
      <c r="R81" s="377">
        <f t="shared" si="27"/>
        <v>2.3199999999999998</v>
      </c>
      <c r="S81" s="320">
        <v>1.93</v>
      </c>
      <c r="T81" s="353">
        <f t="shared" si="25"/>
        <v>0</v>
      </c>
      <c r="U81" s="20"/>
      <c r="V81" s="20">
        <f t="shared" si="24"/>
        <v>0</v>
      </c>
      <c r="W81" s="52">
        <f t="shared" si="22"/>
        <v>0</v>
      </c>
      <c r="X81" s="20"/>
      <c r="Y81" s="20"/>
      <c r="Z81" s="199"/>
      <c r="AA81" s="20"/>
      <c r="AB81" s="419"/>
      <c r="AC81" s="200"/>
      <c r="AD81" s="160"/>
      <c r="AE81" s="165"/>
      <c r="AF81" s="160"/>
      <c r="AG81" s="192"/>
      <c r="AH81" s="16"/>
      <c r="AI81" s="16"/>
      <c r="AJ81" s="185"/>
      <c r="AK81" s="125"/>
    </row>
    <row r="82" spans="2:38" ht="26.25" hidden="1" customHeight="1" x14ac:dyDescent="0.25">
      <c r="B82" s="14"/>
      <c r="C82" s="6" t="s">
        <v>18</v>
      </c>
      <c r="D82" s="23" t="s">
        <v>9</v>
      </c>
      <c r="E82" s="240" t="s">
        <v>603</v>
      </c>
      <c r="F82" s="390">
        <v>851</v>
      </c>
      <c r="G82" s="48"/>
      <c r="H82" s="39"/>
      <c r="I82" s="309">
        <v>0</v>
      </c>
      <c r="J82" s="39">
        <f t="shared" si="23"/>
        <v>0</v>
      </c>
      <c r="K82" s="309">
        <f t="shared" si="28"/>
        <v>2.82</v>
      </c>
      <c r="L82" s="230"/>
      <c r="M82" s="91"/>
      <c r="N82" s="279"/>
      <c r="O82" s="39"/>
      <c r="P82" s="497">
        <f t="shared" si="26"/>
        <v>0</v>
      </c>
      <c r="Q82" s="51" t="str">
        <f t="shared" si="17"/>
        <v>П64х27х27</v>
      </c>
      <c r="R82" s="377">
        <f t="shared" si="27"/>
        <v>3.53</v>
      </c>
      <c r="S82" s="320">
        <v>2.94</v>
      </c>
      <c r="T82" s="353">
        <f t="shared" si="25"/>
        <v>0</v>
      </c>
      <c r="U82" s="20"/>
      <c r="V82" s="20">
        <f t="shared" si="24"/>
        <v>0</v>
      </c>
      <c r="W82" s="52">
        <f t="shared" si="22"/>
        <v>0</v>
      </c>
      <c r="X82" s="20"/>
      <c r="Y82" s="20"/>
      <c r="Z82" s="199"/>
      <c r="AA82" s="20"/>
      <c r="AB82" s="419"/>
      <c r="AC82" s="200"/>
      <c r="AD82" s="160"/>
      <c r="AE82" s="165"/>
      <c r="AF82" s="160"/>
      <c r="AG82" s="192"/>
      <c r="AH82" s="16"/>
      <c r="AI82" s="16"/>
      <c r="AJ82" s="185"/>
      <c r="AK82" s="125"/>
    </row>
    <row r="83" spans="2:38" ht="26.25" customHeight="1" x14ac:dyDescent="0.25">
      <c r="B83" s="15">
        <v>26</v>
      </c>
      <c r="C83" s="6" t="s">
        <v>18</v>
      </c>
      <c r="D83" s="23" t="s">
        <v>9</v>
      </c>
      <c r="E83" s="237" t="s">
        <v>98</v>
      </c>
      <c r="F83" s="208" t="s">
        <v>94</v>
      </c>
      <c r="G83" s="12" t="s">
        <v>0</v>
      </c>
      <c r="H83" s="39">
        <v>18000</v>
      </c>
      <c r="I83" s="360">
        <v>6840</v>
      </c>
      <c r="J83" s="39">
        <f t="shared" si="23"/>
        <v>0</v>
      </c>
      <c r="K83" s="309">
        <f t="shared" si="28"/>
        <v>0.38</v>
      </c>
      <c r="L83" s="230">
        <f>K83*J377</f>
        <v>0</v>
      </c>
      <c r="M83" s="205" t="s">
        <v>742</v>
      </c>
      <c r="N83" s="279"/>
      <c r="O83" s="503">
        <f>40*450</f>
        <v>18000</v>
      </c>
      <c r="P83" s="309">
        <f t="shared" si="26"/>
        <v>6840</v>
      </c>
      <c r="Q83" s="235" t="str">
        <f t="shared" si="17"/>
        <v>П24х18х14 АБПК 757.153.028</v>
      </c>
      <c r="R83" s="306">
        <f t="shared" si="27"/>
        <v>0.48</v>
      </c>
      <c r="S83" s="319">
        <v>0.4</v>
      </c>
      <c r="T83" s="353">
        <f t="shared" si="25"/>
        <v>0</v>
      </c>
      <c r="U83" s="70">
        <v>18900</v>
      </c>
      <c r="V83" s="20">
        <f t="shared" si="24"/>
        <v>0</v>
      </c>
      <c r="W83" s="52">
        <f t="shared" si="22"/>
        <v>18000</v>
      </c>
      <c r="X83" s="148">
        <f>45*450+16*450+21*450</f>
        <v>36900</v>
      </c>
      <c r="Y83" s="20"/>
      <c r="Z83" s="70">
        <v>21600</v>
      </c>
      <c r="AA83" s="70">
        <f>64800+91277</f>
        <v>156077</v>
      </c>
      <c r="AB83" s="440">
        <f>0.03*AA83</f>
        <v>4682</v>
      </c>
      <c r="AC83" s="200"/>
      <c r="AD83" s="160"/>
      <c r="AE83" s="164"/>
      <c r="AF83" s="160"/>
      <c r="AG83" s="192"/>
      <c r="AH83" s="16"/>
      <c r="AI83" s="16"/>
      <c r="AJ83" s="185"/>
      <c r="AK83" s="435"/>
      <c r="AL83" s="479">
        <f>AA83/8</f>
        <v>19510</v>
      </c>
    </row>
    <row r="84" spans="2:38" ht="26.25" hidden="1" customHeight="1" x14ac:dyDescent="0.25">
      <c r="B84" s="14"/>
      <c r="C84" s="6" t="s">
        <v>18</v>
      </c>
      <c r="D84" s="23" t="s">
        <v>9</v>
      </c>
      <c r="E84" s="237" t="s">
        <v>557</v>
      </c>
      <c r="F84" s="386">
        <v>1299</v>
      </c>
      <c r="G84" s="48" t="s">
        <v>0</v>
      </c>
      <c r="H84" s="39"/>
      <c r="I84" s="360">
        <v>0</v>
      </c>
      <c r="J84" s="39">
        <f t="shared" si="23"/>
        <v>0</v>
      </c>
      <c r="K84" s="309">
        <f t="shared" si="28"/>
        <v>4.9000000000000004</v>
      </c>
      <c r="L84" s="230">
        <f>K84*J378</f>
        <v>0</v>
      </c>
      <c r="M84" s="91"/>
      <c r="N84" s="279"/>
      <c r="O84" s="39"/>
      <c r="P84" s="469">
        <f t="shared" si="26"/>
        <v>0</v>
      </c>
      <c r="Q84" s="441" t="str">
        <f t="shared" si="17"/>
        <v>П27х24х27</v>
      </c>
      <c r="R84" s="377">
        <f t="shared" si="27"/>
        <v>6.12</v>
      </c>
      <c r="S84" s="322">
        <v>5.0999999999999996</v>
      </c>
      <c r="T84" s="353">
        <f t="shared" si="25"/>
        <v>0</v>
      </c>
      <c r="U84" s="18"/>
      <c r="V84" s="20">
        <f t="shared" si="24"/>
        <v>0</v>
      </c>
      <c r="W84" s="52">
        <f t="shared" si="22"/>
        <v>0</v>
      </c>
      <c r="X84" s="18"/>
      <c r="Y84" s="18"/>
      <c r="Z84" s="18"/>
      <c r="AA84" s="18"/>
      <c r="AB84" s="418"/>
      <c r="AC84" s="200"/>
      <c r="AD84" s="160"/>
      <c r="AE84" s="165"/>
      <c r="AF84" s="160"/>
      <c r="AG84" s="192"/>
      <c r="AH84" s="128"/>
      <c r="AI84" s="129"/>
      <c r="AK84" s="10"/>
    </row>
    <row r="85" spans="2:38" ht="26.25" customHeight="1" x14ac:dyDescent="0.3">
      <c r="B85" s="14">
        <v>27</v>
      </c>
      <c r="C85" s="6" t="s">
        <v>18</v>
      </c>
      <c r="D85" s="23" t="s">
        <v>9</v>
      </c>
      <c r="E85" s="237" t="s">
        <v>295</v>
      </c>
      <c r="F85" s="208" t="s">
        <v>176</v>
      </c>
      <c r="G85" s="12" t="s">
        <v>0</v>
      </c>
      <c r="H85" s="39">
        <v>15120</v>
      </c>
      <c r="I85" s="360">
        <v>3175.2</v>
      </c>
      <c r="J85" s="39">
        <f t="shared" si="23"/>
        <v>0</v>
      </c>
      <c r="K85" s="309">
        <f t="shared" si="28"/>
        <v>0.21</v>
      </c>
      <c r="L85" s="230">
        <f>K85*J379</f>
        <v>0</v>
      </c>
      <c r="M85" s="205"/>
      <c r="N85" s="279">
        <f>1890+2520</f>
        <v>4410</v>
      </c>
      <c r="O85" s="503">
        <f>24*630-4410</f>
        <v>10710</v>
      </c>
      <c r="P85" s="497">
        <f t="shared" si="26"/>
        <v>2249.1</v>
      </c>
      <c r="Q85" s="266" t="str">
        <f t="shared" si="17"/>
        <v>ИЖКС 005 (27х18х11)</v>
      </c>
      <c r="R85" s="306">
        <f t="shared" si="27"/>
        <v>0.26</v>
      </c>
      <c r="S85" s="319">
        <v>0.22</v>
      </c>
      <c r="T85" s="353">
        <f t="shared" si="25"/>
        <v>0</v>
      </c>
      <c r="U85" s="148">
        <v>35385</v>
      </c>
      <c r="V85" s="20">
        <f t="shared" si="24"/>
        <v>4410</v>
      </c>
      <c r="W85" s="52">
        <f t="shared" si="22"/>
        <v>27857</v>
      </c>
      <c r="X85" s="148">
        <f>16*630+17-1265+50000</f>
        <v>58832</v>
      </c>
      <c r="Y85" s="20"/>
      <c r="Z85" s="20"/>
      <c r="AA85" s="20">
        <f>2520+357559</f>
        <v>360079</v>
      </c>
      <c r="AB85" s="417">
        <f>0.02*AA85</f>
        <v>7202</v>
      </c>
      <c r="AC85" s="200"/>
      <c r="AD85" s="160"/>
      <c r="AE85" s="162"/>
      <c r="AF85" s="171"/>
      <c r="AG85" s="173"/>
      <c r="AH85" s="14">
        <f>0.001*AG85*N85</f>
        <v>0</v>
      </c>
      <c r="AI85" s="113"/>
      <c r="AJ85" s="185"/>
      <c r="AK85" s="435"/>
      <c r="AL85" s="476"/>
    </row>
    <row r="86" spans="2:38" ht="26.25" hidden="1" customHeight="1" x14ac:dyDescent="0.25">
      <c r="B86" s="11"/>
      <c r="C86" s="6" t="s">
        <v>18</v>
      </c>
      <c r="D86" s="23" t="s">
        <v>9</v>
      </c>
      <c r="E86" s="237" t="s">
        <v>296</v>
      </c>
      <c r="F86" s="208" t="s">
        <v>82</v>
      </c>
      <c r="G86" s="48" t="s">
        <v>0</v>
      </c>
      <c r="H86" s="39"/>
      <c r="I86" s="360">
        <v>0</v>
      </c>
      <c r="J86" s="39">
        <f t="shared" si="23"/>
        <v>0</v>
      </c>
      <c r="K86" s="309">
        <f t="shared" si="28"/>
        <v>0.27</v>
      </c>
      <c r="L86" s="230">
        <f>K86*J380</f>
        <v>0</v>
      </c>
      <c r="M86" s="205" t="s">
        <v>743</v>
      </c>
      <c r="N86" s="279"/>
      <c r="O86" s="39"/>
      <c r="P86" s="309">
        <f t="shared" si="26"/>
        <v>0</v>
      </c>
      <c r="Q86" s="51" t="str">
        <f t="shared" si="17"/>
        <v>ИЖКС 007 (31х19х11)</v>
      </c>
      <c r="R86" s="306">
        <f t="shared" si="27"/>
        <v>0.34</v>
      </c>
      <c r="S86" s="320">
        <v>0.28000000000000003</v>
      </c>
      <c r="T86" s="353">
        <f t="shared" si="25"/>
        <v>0</v>
      </c>
      <c r="U86" s="20"/>
      <c r="V86" s="20">
        <f t="shared" si="24"/>
        <v>0</v>
      </c>
      <c r="W86" s="52">
        <f t="shared" si="22"/>
        <v>20000</v>
      </c>
      <c r="X86" s="148">
        <v>20000</v>
      </c>
      <c r="Y86" s="20"/>
      <c r="Z86" s="20"/>
      <c r="AA86" s="20">
        <f>4245+17318</f>
        <v>21563</v>
      </c>
      <c r="AB86" s="417">
        <f>0.027*AA86</f>
        <v>582</v>
      </c>
      <c r="AC86" s="200"/>
      <c r="AD86" s="160"/>
      <c r="AE86" s="163"/>
      <c r="AF86" s="171"/>
      <c r="AG86" s="192"/>
      <c r="AH86" s="16"/>
      <c r="AI86" s="16"/>
      <c r="AJ86" s="185"/>
      <c r="AK86" s="435"/>
      <c r="AL86" s="476"/>
    </row>
    <row r="87" spans="2:38" ht="26.25" hidden="1" customHeight="1" x14ac:dyDescent="0.25">
      <c r="B87" s="11"/>
      <c r="C87" s="6" t="s">
        <v>18</v>
      </c>
      <c r="D87" s="23" t="s">
        <v>9</v>
      </c>
      <c r="E87" s="241" t="s">
        <v>222</v>
      </c>
      <c r="F87" s="384">
        <v>993</v>
      </c>
      <c r="G87" s="13" t="s">
        <v>0</v>
      </c>
      <c r="H87" s="39"/>
      <c r="I87" s="360">
        <v>0</v>
      </c>
      <c r="J87" s="39">
        <f t="shared" si="23"/>
        <v>0</v>
      </c>
      <c r="K87" s="309">
        <f t="shared" si="28"/>
        <v>3.36</v>
      </c>
      <c r="L87" s="230"/>
      <c r="M87" s="205" t="s">
        <v>547</v>
      </c>
      <c r="N87" s="279"/>
      <c r="O87" s="39"/>
      <c r="P87" s="467">
        <f t="shared" si="26"/>
        <v>0</v>
      </c>
      <c r="Q87" s="264" t="str">
        <f t="shared" si="17"/>
        <v>П40х20х10</v>
      </c>
      <c r="R87" s="377">
        <f t="shared" si="27"/>
        <v>4.2</v>
      </c>
      <c r="S87" s="333">
        <v>3.5</v>
      </c>
      <c r="T87" s="353">
        <f t="shared" si="25"/>
        <v>0</v>
      </c>
      <c r="U87" s="20"/>
      <c r="V87" s="20">
        <f t="shared" si="24"/>
        <v>0</v>
      </c>
      <c r="W87" s="52">
        <f t="shared" si="22"/>
        <v>0</v>
      </c>
      <c r="X87" s="20"/>
      <c r="Y87" s="20"/>
      <c r="Z87" s="199"/>
      <c r="AA87" s="20"/>
      <c r="AB87" s="419"/>
      <c r="AC87" s="200"/>
      <c r="AD87" s="160"/>
      <c r="AE87" s="163"/>
      <c r="AF87" s="171"/>
      <c r="AG87" s="192"/>
      <c r="AH87" s="128"/>
      <c r="AI87" s="129"/>
      <c r="AK87" s="10"/>
    </row>
    <row r="88" spans="2:38" ht="26.25" hidden="1" customHeight="1" x14ac:dyDescent="0.25">
      <c r="B88" s="11"/>
      <c r="C88" s="6" t="s">
        <v>18</v>
      </c>
      <c r="D88" s="23" t="s">
        <v>9</v>
      </c>
      <c r="E88" s="237" t="s">
        <v>426</v>
      </c>
      <c r="F88" s="208">
        <v>1229</v>
      </c>
      <c r="G88" s="48" t="s">
        <v>0</v>
      </c>
      <c r="H88" s="39"/>
      <c r="I88" s="360">
        <v>0</v>
      </c>
      <c r="J88" s="39">
        <f t="shared" si="23"/>
        <v>0</v>
      </c>
      <c r="K88" s="309">
        <v>0.26</v>
      </c>
      <c r="L88" s="230">
        <f>K88*J382</f>
        <v>0</v>
      </c>
      <c r="M88" s="194"/>
      <c r="N88" s="279"/>
      <c r="O88" s="39"/>
      <c r="P88" s="360">
        <f t="shared" si="26"/>
        <v>0</v>
      </c>
      <c r="Q88" s="51" t="str">
        <f t="shared" si="17"/>
        <v>ЭПГ-110.093</v>
      </c>
      <c r="R88" s="306">
        <f t="shared" si="27"/>
        <v>0.37</v>
      </c>
      <c r="S88" s="320">
        <f>9*0.034</f>
        <v>0.31</v>
      </c>
      <c r="T88" s="353">
        <f t="shared" si="25"/>
        <v>0</v>
      </c>
      <c r="U88" s="20"/>
      <c r="V88" s="20">
        <f t="shared" si="24"/>
        <v>0</v>
      </c>
      <c r="W88" s="52">
        <f t="shared" si="22"/>
        <v>6800</v>
      </c>
      <c r="X88" s="148">
        <f>17*400</f>
        <v>6800</v>
      </c>
      <c r="Y88" s="20"/>
      <c r="Z88" s="20">
        <v>2400</v>
      </c>
      <c r="AA88" s="20">
        <f>23060+10400</f>
        <v>33460</v>
      </c>
      <c r="AB88" s="417"/>
      <c r="AC88" s="200"/>
      <c r="AD88" s="160"/>
      <c r="AE88" s="163"/>
      <c r="AF88" s="171"/>
      <c r="AG88" s="192"/>
      <c r="AH88" s="128"/>
      <c r="AI88" s="129"/>
      <c r="AK88" s="10"/>
    </row>
    <row r="89" spans="2:38" ht="26.25" hidden="1" customHeight="1" x14ac:dyDescent="0.25">
      <c r="B89" s="11"/>
      <c r="C89" s="6" t="s">
        <v>18</v>
      </c>
      <c r="D89" s="23" t="s">
        <v>9</v>
      </c>
      <c r="E89" s="237" t="s">
        <v>29</v>
      </c>
      <c r="F89" s="208" t="s">
        <v>44</v>
      </c>
      <c r="G89" s="48" t="s">
        <v>0</v>
      </c>
      <c r="H89" s="39"/>
      <c r="I89" s="309">
        <v>0</v>
      </c>
      <c r="J89" s="39">
        <f t="shared" si="23"/>
        <v>0</v>
      </c>
      <c r="K89" s="309">
        <v>0.11</v>
      </c>
      <c r="L89" s="230">
        <f>K89*J383</f>
        <v>0</v>
      </c>
      <c r="M89" s="42" t="s">
        <v>339</v>
      </c>
      <c r="N89" s="279"/>
      <c r="O89" s="39"/>
      <c r="P89" s="309">
        <f t="shared" si="26"/>
        <v>0</v>
      </c>
      <c r="Q89" s="264" t="str">
        <f t="shared" si="17"/>
        <v>П38х27х7,5 (ЭПГ110.088)</v>
      </c>
      <c r="R89" s="377">
        <f t="shared" si="27"/>
        <v>0</v>
      </c>
      <c r="S89" s="321">
        <v>0</v>
      </c>
      <c r="T89" s="353">
        <f t="shared" si="25"/>
        <v>0</v>
      </c>
      <c r="U89" s="20">
        <v>7500</v>
      </c>
      <c r="V89" s="20">
        <f t="shared" si="24"/>
        <v>0</v>
      </c>
      <c r="W89" s="52">
        <f t="shared" si="22"/>
        <v>0</v>
      </c>
      <c r="X89" s="148">
        <v>7500</v>
      </c>
      <c r="Y89" s="20"/>
      <c r="Z89" s="20"/>
      <c r="AA89" s="20"/>
      <c r="AB89" s="417"/>
      <c r="AC89" s="200"/>
      <c r="AD89" s="160"/>
      <c r="AE89" s="163"/>
      <c r="AF89" s="171"/>
      <c r="AG89" s="175">
        <v>0.05</v>
      </c>
      <c r="AH89" s="14">
        <f>0.001*AG89*N89</f>
        <v>0</v>
      </c>
      <c r="AI89" s="16"/>
      <c r="AJ89" s="185"/>
      <c r="AK89" s="435"/>
      <c r="AL89" s="476"/>
    </row>
    <row r="90" spans="2:38" ht="26.25" customHeight="1" x14ac:dyDescent="0.25">
      <c r="B90" s="11">
        <v>28</v>
      </c>
      <c r="C90" s="6" t="s">
        <v>18</v>
      </c>
      <c r="D90" s="23" t="s">
        <v>9</v>
      </c>
      <c r="E90" s="237" t="s">
        <v>297</v>
      </c>
      <c r="F90" s="208" t="s">
        <v>47</v>
      </c>
      <c r="G90" s="12" t="s">
        <v>0</v>
      </c>
      <c r="H90" s="39">
        <v>600</v>
      </c>
      <c r="I90" s="360">
        <v>588</v>
      </c>
      <c r="J90" s="39">
        <f t="shared" si="23"/>
        <v>0</v>
      </c>
      <c r="K90" s="309">
        <f>R90*0.8</f>
        <v>0.98</v>
      </c>
      <c r="L90" s="230">
        <f>K90*J384</f>
        <v>0</v>
      </c>
      <c r="M90" s="205"/>
      <c r="N90" s="279"/>
      <c r="O90" s="503">
        <v>600</v>
      </c>
      <c r="P90" s="309">
        <f t="shared" si="26"/>
        <v>588</v>
      </c>
      <c r="Q90" s="235" t="str">
        <f t="shared" si="17"/>
        <v>ЭПГ-110.086 (П37х27х4,5)</v>
      </c>
      <c r="R90" s="377">
        <f t="shared" si="27"/>
        <v>1.22</v>
      </c>
      <c r="S90" s="319">
        <v>1.02</v>
      </c>
      <c r="T90" s="353">
        <f t="shared" si="25"/>
        <v>0</v>
      </c>
      <c r="U90" s="70">
        <v>921</v>
      </c>
      <c r="V90" s="20">
        <f t="shared" si="24"/>
        <v>0</v>
      </c>
      <c r="W90" s="52">
        <f t="shared" si="22"/>
        <v>0</v>
      </c>
      <c r="X90" s="148">
        <f>380*2+161</f>
        <v>921</v>
      </c>
      <c r="Y90" s="20"/>
      <c r="Z90" s="20"/>
      <c r="AA90" s="20"/>
      <c r="AB90" s="417"/>
      <c r="AC90" s="200"/>
      <c r="AD90" s="160"/>
      <c r="AE90" s="163"/>
      <c r="AF90" s="171"/>
      <c r="AG90" s="192"/>
      <c r="AH90" s="16"/>
      <c r="AI90" s="16"/>
      <c r="AJ90" s="185"/>
      <c r="AK90" s="435"/>
      <c r="AL90" s="476"/>
    </row>
    <row r="91" spans="2:38" ht="26.25" customHeight="1" x14ac:dyDescent="0.3">
      <c r="B91" s="15">
        <v>29</v>
      </c>
      <c r="C91" s="6" t="s">
        <v>18</v>
      </c>
      <c r="D91" s="23" t="s">
        <v>9</v>
      </c>
      <c r="E91" s="237" t="s">
        <v>89</v>
      </c>
      <c r="F91" s="208">
        <v>495</v>
      </c>
      <c r="G91" s="12" t="s">
        <v>0</v>
      </c>
      <c r="H91" s="39">
        <v>2760</v>
      </c>
      <c r="I91" s="360">
        <v>2437.63</v>
      </c>
      <c r="J91" s="39">
        <f t="shared" si="23"/>
        <v>0</v>
      </c>
      <c r="K91" s="309">
        <v>0.88</v>
      </c>
      <c r="L91" s="230">
        <f>K91*J385</f>
        <v>0</v>
      </c>
      <c r="M91" s="89"/>
      <c r="N91" s="279"/>
      <c r="O91" s="503">
        <f>4920-1080-1080</f>
        <v>2760</v>
      </c>
      <c r="P91" s="466">
        <f>I91</f>
        <v>2437.63</v>
      </c>
      <c r="Q91" s="235" t="str">
        <f t="shared" si="17"/>
        <v>П32х18х40 ЭПГ110.155</v>
      </c>
      <c r="R91" s="377">
        <f t="shared" si="27"/>
        <v>1.1000000000000001</v>
      </c>
      <c r="S91" s="319">
        <v>0.92</v>
      </c>
      <c r="T91" s="353">
        <f t="shared" si="25"/>
        <v>0</v>
      </c>
      <c r="U91" s="70">
        <v>2760</v>
      </c>
      <c r="V91" s="20">
        <f t="shared" si="24"/>
        <v>0</v>
      </c>
      <c r="W91" s="52">
        <f t="shared" si="22"/>
        <v>0</v>
      </c>
      <c r="X91" s="148">
        <f>23*120</f>
        <v>2760</v>
      </c>
      <c r="Y91" s="20"/>
      <c r="Z91" s="20"/>
      <c r="AA91" s="20"/>
      <c r="AB91" s="417"/>
      <c r="AC91" s="200"/>
      <c r="AD91" s="160"/>
      <c r="AE91" s="162"/>
      <c r="AF91" s="171"/>
      <c r="AG91" s="173">
        <v>120</v>
      </c>
      <c r="AH91" s="14">
        <f>0.001*AG91*O91</f>
        <v>331.2</v>
      </c>
      <c r="AI91" s="113"/>
      <c r="AJ91" s="185"/>
      <c r="AK91" s="435"/>
      <c r="AL91" s="476"/>
    </row>
    <row r="92" spans="2:38" ht="26.25" customHeight="1" thickBot="1" x14ac:dyDescent="0.3">
      <c r="B92" s="15">
        <v>30</v>
      </c>
      <c r="C92" s="6" t="s">
        <v>18</v>
      </c>
      <c r="D92" s="23" t="s">
        <v>9</v>
      </c>
      <c r="E92" s="241" t="s">
        <v>428</v>
      </c>
      <c r="F92" s="208">
        <v>326</v>
      </c>
      <c r="G92" s="12" t="s">
        <v>0</v>
      </c>
      <c r="H92" s="39">
        <v>2340</v>
      </c>
      <c r="I92" s="360">
        <v>982.8</v>
      </c>
      <c r="J92" s="39">
        <f t="shared" si="23"/>
        <v>2340</v>
      </c>
      <c r="K92" s="309">
        <f t="shared" ref="K92:K106" si="29">R92*0.8</f>
        <v>0.42</v>
      </c>
      <c r="L92" s="230">
        <f>K92*J386</f>
        <v>0</v>
      </c>
      <c r="M92" s="194" t="s">
        <v>867</v>
      </c>
      <c r="N92" s="281"/>
      <c r="O92" s="503">
        <v>4680</v>
      </c>
      <c r="P92" s="309">
        <f t="shared" ref="P92:P110" si="30">K92*O92</f>
        <v>1965.6</v>
      </c>
      <c r="Q92" s="235" t="str">
        <f t="shared" si="17"/>
        <v>ЭПГ-110.102</v>
      </c>
      <c r="R92" s="306">
        <f t="shared" si="27"/>
        <v>0.53</v>
      </c>
      <c r="S92" s="401">
        <f>13.2*0.033</f>
        <v>0.44</v>
      </c>
      <c r="T92" s="353">
        <f t="shared" si="25"/>
        <v>1029.5999999999999</v>
      </c>
      <c r="U92" s="70">
        <v>2808</v>
      </c>
      <c r="V92" s="20">
        <f t="shared" si="24"/>
        <v>0</v>
      </c>
      <c r="W92" s="52">
        <f t="shared" si="22"/>
        <v>6318</v>
      </c>
      <c r="X92" s="148">
        <f>39*234</f>
        <v>9126</v>
      </c>
      <c r="Y92" s="20"/>
      <c r="Z92" s="20">
        <v>5850</v>
      </c>
      <c r="AA92" s="20">
        <f>33896+43656</f>
        <v>77552</v>
      </c>
      <c r="AB92" s="417"/>
      <c r="AC92" s="200"/>
      <c r="AD92" s="160"/>
      <c r="AE92" s="163"/>
      <c r="AF92" s="171"/>
      <c r="AG92" s="192"/>
      <c r="AH92" s="128"/>
      <c r="AI92" s="129"/>
      <c r="AK92" s="10"/>
      <c r="AL92" s="476"/>
    </row>
    <row r="93" spans="2:38" ht="26.25" hidden="1" customHeight="1" thickBot="1" x14ac:dyDescent="0.3">
      <c r="B93" s="15"/>
      <c r="C93" s="6" t="s">
        <v>18</v>
      </c>
      <c r="D93" s="23" t="s">
        <v>9</v>
      </c>
      <c r="E93" s="241" t="s">
        <v>427</v>
      </c>
      <c r="F93" s="208">
        <v>385</v>
      </c>
      <c r="G93" s="13" t="s">
        <v>0</v>
      </c>
      <c r="H93" s="39"/>
      <c r="I93" s="309">
        <v>0</v>
      </c>
      <c r="J93" s="39">
        <f t="shared" si="23"/>
        <v>0</v>
      </c>
      <c r="K93" s="309">
        <f t="shared" si="29"/>
        <v>0.48</v>
      </c>
      <c r="L93" s="230"/>
      <c r="M93" s="195"/>
      <c r="N93" s="281"/>
      <c r="O93" s="39"/>
      <c r="P93" s="490">
        <f t="shared" si="30"/>
        <v>0</v>
      </c>
      <c r="Q93" s="264" t="str">
        <f t="shared" si="17"/>
        <v>ЭПГ-110.103</v>
      </c>
      <c r="R93" s="377">
        <f t="shared" si="27"/>
        <v>0.6</v>
      </c>
      <c r="S93" s="378">
        <f>15*0.033</f>
        <v>0.5</v>
      </c>
      <c r="T93" s="353">
        <f t="shared" si="25"/>
        <v>0</v>
      </c>
      <c r="U93" s="20"/>
      <c r="V93" s="20">
        <f t="shared" si="24"/>
        <v>0</v>
      </c>
      <c r="W93" s="52">
        <f t="shared" si="22"/>
        <v>720</v>
      </c>
      <c r="X93" s="148">
        <f>5*144</f>
        <v>720</v>
      </c>
      <c r="Y93" s="20"/>
      <c r="Z93" s="199"/>
      <c r="AA93" s="20"/>
      <c r="AB93" s="419"/>
      <c r="AC93" s="200"/>
      <c r="AD93" s="160"/>
      <c r="AE93" s="163"/>
      <c r="AF93" s="171"/>
      <c r="AG93" s="192"/>
      <c r="AH93" s="128"/>
      <c r="AI93" s="129"/>
      <c r="AK93" s="10"/>
    </row>
    <row r="94" spans="2:38" ht="26.25" hidden="1" customHeight="1" thickBot="1" x14ac:dyDescent="0.3">
      <c r="B94" s="15"/>
      <c r="C94" s="6" t="s">
        <v>18</v>
      </c>
      <c r="D94" s="23" t="s">
        <v>9</v>
      </c>
      <c r="E94" s="463" t="s">
        <v>622</v>
      </c>
      <c r="F94" s="382">
        <v>1394</v>
      </c>
      <c r="G94" s="12" t="s">
        <v>0</v>
      </c>
      <c r="H94" s="39"/>
      <c r="I94" s="360">
        <v>0</v>
      </c>
      <c r="J94" s="39">
        <f t="shared" si="23"/>
        <v>0</v>
      </c>
      <c r="K94" s="309">
        <f t="shared" si="29"/>
        <v>2.69</v>
      </c>
      <c r="L94" s="230"/>
      <c r="M94" s="205"/>
      <c r="N94" s="281"/>
      <c r="O94" s="39"/>
      <c r="P94" s="360">
        <f t="shared" si="30"/>
        <v>0</v>
      </c>
      <c r="Q94" s="265" t="str">
        <f t="shared" si="17"/>
        <v>пж 06.56.026(П40х10х10)</v>
      </c>
      <c r="R94" s="306">
        <f t="shared" si="27"/>
        <v>3.36</v>
      </c>
      <c r="S94" s="335">
        <v>2.8</v>
      </c>
      <c r="T94" s="353">
        <f t="shared" si="25"/>
        <v>0</v>
      </c>
      <c r="U94" s="20"/>
      <c r="V94" s="20">
        <f t="shared" si="24"/>
        <v>0</v>
      </c>
      <c r="W94" s="52">
        <f t="shared" si="22"/>
        <v>0</v>
      </c>
      <c r="X94" s="20"/>
      <c r="Y94" s="20"/>
      <c r="Z94" s="20"/>
      <c r="AA94" s="20"/>
      <c r="AB94" s="417"/>
      <c r="AC94" s="200"/>
      <c r="AD94" s="160"/>
      <c r="AE94" s="163"/>
      <c r="AF94" s="171"/>
      <c r="AG94" s="192"/>
      <c r="AH94" s="128"/>
      <c r="AI94" s="129"/>
      <c r="AK94" s="10"/>
    </row>
    <row r="95" spans="2:38" ht="26.25" hidden="1" customHeight="1" x14ac:dyDescent="0.25">
      <c r="B95" s="15"/>
      <c r="C95" s="6" t="s">
        <v>18</v>
      </c>
      <c r="D95" s="23" t="s">
        <v>9</v>
      </c>
      <c r="E95" s="463" t="s">
        <v>623</v>
      </c>
      <c r="F95" s="382">
        <v>1395</v>
      </c>
      <c r="G95" s="13" t="s">
        <v>0</v>
      </c>
      <c r="H95" s="39"/>
      <c r="I95" s="360">
        <v>0</v>
      </c>
      <c r="J95" s="39">
        <f t="shared" si="23"/>
        <v>0</v>
      </c>
      <c r="K95" s="309">
        <f t="shared" si="29"/>
        <v>6.72</v>
      </c>
      <c r="L95" s="230"/>
      <c r="M95" s="205"/>
      <c r="N95" s="282"/>
      <c r="O95" s="39"/>
      <c r="P95" s="360">
        <f t="shared" si="30"/>
        <v>0</v>
      </c>
      <c r="Q95" s="262" t="str">
        <f t="shared" si="17"/>
        <v>пж 06.56.029 (П40х10х10 с прорез)</v>
      </c>
      <c r="R95" s="306">
        <f t="shared" si="27"/>
        <v>8.4</v>
      </c>
      <c r="S95" s="334">
        <v>7</v>
      </c>
      <c r="T95" s="353">
        <f t="shared" si="25"/>
        <v>0</v>
      </c>
      <c r="U95" s="20"/>
      <c r="V95" s="20">
        <f t="shared" si="24"/>
        <v>0</v>
      </c>
      <c r="W95" s="52">
        <f t="shared" si="22"/>
        <v>0</v>
      </c>
      <c r="X95" s="20"/>
      <c r="Y95" s="20"/>
      <c r="Z95" s="20"/>
      <c r="AA95" s="20"/>
      <c r="AB95" s="417"/>
      <c r="AC95" s="200"/>
      <c r="AD95" s="160"/>
      <c r="AE95" s="163"/>
      <c r="AF95" s="171"/>
      <c r="AG95" s="192"/>
      <c r="AH95" s="128"/>
      <c r="AI95" s="129"/>
      <c r="AK95" s="10"/>
    </row>
    <row r="96" spans="2:38" ht="26.25" hidden="1" customHeight="1" x14ac:dyDescent="0.25">
      <c r="B96" s="15"/>
      <c r="C96" s="6" t="s">
        <v>18</v>
      </c>
      <c r="D96" s="23" t="s">
        <v>9</v>
      </c>
      <c r="E96" s="1" t="s">
        <v>530</v>
      </c>
      <c r="F96" s="382">
        <v>1321</v>
      </c>
      <c r="G96" s="13" t="s">
        <v>0</v>
      </c>
      <c r="H96" s="39"/>
      <c r="I96" s="360">
        <v>0</v>
      </c>
      <c r="J96" s="39">
        <f t="shared" si="23"/>
        <v>0</v>
      </c>
      <c r="K96" s="309">
        <f t="shared" si="29"/>
        <v>6.62</v>
      </c>
      <c r="L96" s="230"/>
      <c r="M96" s="205" t="s">
        <v>542</v>
      </c>
      <c r="N96" s="281"/>
      <c r="O96" s="39"/>
      <c r="P96" s="360">
        <f t="shared" si="30"/>
        <v>0</v>
      </c>
      <c r="Q96" s="235" t="str">
        <f t="shared" si="17"/>
        <v>Э.200116.020-01 П50х37х13</v>
      </c>
      <c r="R96" s="306">
        <f t="shared" si="27"/>
        <v>8.2799999999999994</v>
      </c>
      <c r="S96" s="334">
        <f>230*0.03</f>
        <v>6.9</v>
      </c>
      <c r="T96" s="353">
        <f t="shared" si="25"/>
        <v>0</v>
      </c>
      <c r="U96" s="20"/>
      <c r="V96" s="20">
        <f t="shared" si="24"/>
        <v>0</v>
      </c>
      <c r="W96" s="52">
        <f t="shared" si="22"/>
        <v>0</v>
      </c>
      <c r="X96" s="20"/>
      <c r="Y96" s="20"/>
      <c r="Z96" s="20"/>
      <c r="AA96" s="20"/>
      <c r="AB96" s="417"/>
      <c r="AC96" s="200"/>
      <c r="AD96" s="160"/>
      <c r="AE96" s="163"/>
      <c r="AF96" s="171"/>
      <c r="AG96" s="192"/>
      <c r="AH96" s="128"/>
      <c r="AI96" s="129"/>
      <c r="AK96" s="10"/>
    </row>
    <row r="97" spans="1:38" ht="26.25" hidden="1" customHeight="1" x14ac:dyDescent="0.25">
      <c r="B97" s="15"/>
      <c r="C97" s="6" t="s">
        <v>18</v>
      </c>
      <c r="D97" s="23" t="s">
        <v>9</v>
      </c>
      <c r="E97" s="241" t="s">
        <v>616</v>
      </c>
      <c r="F97" s="208">
        <v>978</v>
      </c>
      <c r="G97" s="48" t="s">
        <v>0</v>
      </c>
      <c r="H97" s="39"/>
      <c r="I97" s="360">
        <v>0</v>
      </c>
      <c r="J97" s="39">
        <f t="shared" si="23"/>
        <v>0</v>
      </c>
      <c r="K97" s="309">
        <f t="shared" si="29"/>
        <v>0.19</v>
      </c>
      <c r="L97" s="230"/>
      <c r="M97" s="89"/>
      <c r="N97" s="281"/>
      <c r="O97" s="39"/>
      <c r="P97" s="360">
        <f t="shared" si="30"/>
        <v>0</v>
      </c>
      <c r="Q97" s="235" t="str">
        <f t="shared" si="17"/>
        <v>П64х20х14</v>
      </c>
      <c r="R97" s="377">
        <f t="shared" si="27"/>
        <v>0.24</v>
      </c>
      <c r="S97" s="378">
        <v>0.2</v>
      </c>
      <c r="T97" s="353">
        <f t="shared" si="25"/>
        <v>0</v>
      </c>
      <c r="U97" s="20"/>
      <c r="V97" s="20">
        <f t="shared" si="24"/>
        <v>0</v>
      </c>
      <c r="W97" s="52">
        <f t="shared" si="22"/>
        <v>0</v>
      </c>
      <c r="X97" s="20"/>
      <c r="Y97" s="20"/>
      <c r="Z97" s="20"/>
      <c r="AA97" s="20"/>
      <c r="AB97" s="417"/>
      <c r="AC97" s="200"/>
      <c r="AD97" s="160"/>
      <c r="AE97" s="163"/>
      <c r="AF97" s="171"/>
      <c r="AG97" s="192"/>
      <c r="AH97" s="128"/>
      <c r="AI97" s="129"/>
      <c r="AK97" s="10"/>
    </row>
    <row r="98" spans="1:38" ht="26.25" hidden="1" customHeight="1" thickBot="1" x14ac:dyDescent="0.3">
      <c r="B98" s="15"/>
      <c r="C98" s="6" t="s">
        <v>18</v>
      </c>
      <c r="D98" s="23" t="s">
        <v>9</v>
      </c>
      <c r="E98" s="241" t="s">
        <v>511</v>
      </c>
      <c r="F98" s="208">
        <v>1292</v>
      </c>
      <c r="G98" s="48" t="s">
        <v>0</v>
      </c>
      <c r="H98" s="39"/>
      <c r="I98" s="360">
        <v>0</v>
      </c>
      <c r="J98" s="39">
        <f t="shared" si="23"/>
        <v>0</v>
      </c>
      <c r="K98" s="309">
        <f t="shared" si="29"/>
        <v>2.2999999999999998</v>
      </c>
      <c r="L98" s="230"/>
      <c r="M98" s="89"/>
      <c r="N98" s="281"/>
      <c r="O98" s="39"/>
      <c r="P98" s="360">
        <f t="shared" si="30"/>
        <v>0</v>
      </c>
      <c r="Q98" s="263" t="str">
        <f t="shared" si="17"/>
        <v>П52х20х8</v>
      </c>
      <c r="R98" s="377">
        <f t="shared" si="27"/>
        <v>2.87</v>
      </c>
      <c r="S98" s="378">
        <v>2.39</v>
      </c>
      <c r="T98" s="353">
        <f t="shared" si="25"/>
        <v>0</v>
      </c>
      <c r="U98" s="20"/>
      <c r="V98" s="20">
        <f t="shared" si="24"/>
        <v>0</v>
      </c>
      <c r="W98" s="52">
        <f t="shared" si="22"/>
        <v>0</v>
      </c>
      <c r="X98" s="20"/>
      <c r="Y98" s="20"/>
      <c r="Z98" s="20"/>
      <c r="AA98" s="20"/>
      <c r="AB98" s="417"/>
      <c r="AC98" s="200"/>
      <c r="AD98" s="160"/>
      <c r="AE98" s="163"/>
      <c r="AF98" s="171"/>
      <c r="AG98" s="192"/>
      <c r="AH98" s="128"/>
      <c r="AI98" s="129"/>
      <c r="AK98" s="10"/>
    </row>
    <row r="99" spans="1:38" ht="26.25" customHeight="1" x14ac:dyDescent="0.25">
      <c r="B99" s="11">
        <v>31</v>
      </c>
      <c r="C99" s="6" t="s">
        <v>18</v>
      </c>
      <c r="D99" s="23" t="s">
        <v>9</v>
      </c>
      <c r="E99" s="237" t="s">
        <v>108</v>
      </c>
      <c r="F99" s="208">
        <v>600</v>
      </c>
      <c r="G99" s="12" t="s">
        <v>0</v>
      </c>
      <c r="H99" s="39">
        <v>152</v>
      </c>
      <c r="I99" s="360">
        <v>481.84</v>
      </c>
      <c r="J99" s="39">
        <f t="shared" si="23"/>
        <v>228</v>
      </c>
      <c r="K99" s="309">
        <f t="shared" si="29"/>
        <v>3.17</v>
      </c>
      <c r="L99" s="230">
        <f t="shared" ref="L99:L106" si="31">K99*J393</f>
        <v>0</v>
      </c>
      <c r="M99" s="154"/>
      <c r="N99" s="279"/>
      <c r="O99" s="39">
        <v>380</v>
      </c>
      <c r="P99" s="468">
        <f t="shared" si="30"/>
        <v>1204.5999999999999</v>
      </c>
      <c r="Q99" s="259" t="str">
        <f t="shared" si="17"/>
        <v>ЭПГ110.158(П50х35х40)</v>
      </c>
      <c r="R99" s="306">
        <f t="shared" si="27"/>
        <v>3.96</v>
      </c>
      <c r="S99" s="320">
        <v>3.3</v>
      </c>
      <c r="T99" s="353">
        <f t="shared" si="25"/>
        <v>752.4</v>
      </c>
      <c r="U99" s="70">
        <v>266</v>
      </c>
      <c r="V99" s="20">
        <f t="shared" si="24"/>
        <v>0</v>
      </c>
      <c r="W99" s="52">
        <f t="shared" si="22"/>
        <v>-208</v>
      </c>
      <c r="X99" s="148">
        <f>10*38-8*38-18</f>
        <v>58</v>
      </c>
      <c r="Y99" s="20"/>
      <c r="Z99" s="20"/>
      <c r="AA99" s="20">
        <v>600</v>
      </c>
      <c r="AB99" s="417"/>
      <c r="AC99" s="200"/>
      <c r="AD99" s="160"/>
      <c r="AE99" s="163"/>
      <c r="AF99" s="171"/>
      <c r="AG99" s="192"/>
      <c r="AH99" s="16"/>
      <c r="AI99" s="16"/>
      <c r="AJ99" s="185"/>
      <c r="AK99" s="435"/>
      <c r="AL99" s="476"/>
    </row>
    <row r="100" spans="1:38" ht="26.25" customHeight="1" x14ac:dyDescent="0.25">
      <c r="B100" s="11">
        <v>32</v>
      </c>
      <c r="C100" s="6" t="s">
        <v>18</v>
      </c>
      <c r="D100" s="23" t="s">
        <v>9</v>
      </c>
      <c r="E100" s="237" t="s">
        <v>66</v>
      </c>
      <c r="F100" s="210">
        <v>395</v>
      </c>
      <c r="G100" s="12" t="s">
        <v>0</v>
      </c>
      <c r="H100" s="39">
        <v>100</v>
      </c>
      <c r="I100" s="360">
        <v>670</v>
      </c>
      <c r="J100" s="39">
        <f t="shared" si="23"/>
        <v>0</v>
      </c>
      <c r="K100" s="309">
        <f t="shared" si="29"/>
        <v>6.7</v>
      </c>
      <c r="L100" s="230">
        <f t="shared" si="31"/>
        <v>938</v>
      </c>
      <c r="M100" s="154"/>
      <c r="N100" s="279"/>
      <c r="O100" s="503">
        <v>100</v>
      </c>
      <c r="P100" s="309">
        <f t="shared" si="30"/>
        <v>670</v>
      </c>
      <c r="Q100" s="260" t="str">
        <f t="shared" si="17"/>
        <v>ЭПГ110.149(П90х35х34)</v>
      </c>
      <c r="R100" s="306">
        <f t="shared" si="27"/>
        <v>8.3800000000000008</v>
      </c>
      <c r="S100" s="326">
        <v>6.98</v>
      </c>
      <c r="T100" s="353">
        <f t="shared" si="25"/>
        <v>0</v>
      </c>
      <c r="U100" s="70">
        <v>100</v>
      </c>
      <c r="V100" s="20">
        <f t="shared" si="24"/>
        <v>0</v>
      </c>
      <c r="W100" s="52">
        <f t="shared" si="22"/>
        <v>20</v>
      </c>
      <c r="X100" s="148">
        <f>6*20</f>
        <v>120</v>
      </c>
      <c r="Y100" s="20"/>
      <c r="Z100" s="20"/>
      <c r="AA100" s="20">
        <v>600</v>
      </c>
      <c r="AB100" s="417"/>
      <c r="AC100" s="200"/>
      <c r="AD100" s="160"/>
      <c r="AE100" s="163"/>
      <c r="AF100" s="171"/>
      <c r="AG100" s="192"/>
      <c r="AH100" s="16"/>
      <c r="AI100" s="16"/>
      <c r="AJ100" s="185"/>
      <c r="AK100" s="435"/>
      <c r="AL100" s="476"/>
    </row>
    <row r="101" spans="1:38" ht="26.25" customHeight="1" thickBot="1" x14ac:dyDescent="0.3">
      <c r="B101" s="15">
        <v>33</v>
      </c>
      <c r="C101" s="6" t="s">
        <v>18</v>
      </c>
      <c r="D101" s="23" t="s">
        <v>9</v>
      </c>
      <c r="E101" s="237" t="s">
        <v>65</v>
      </c>
      <c r="F101" s="210">
        <v>406</v>
      </c>
      <c r="G101" s="12" t="s">
        <v>0</v>
      </c>
      <c r="H101" s="39">
        <v>42</v>
      </c>
      <c r="I101" s="360">
        <v>544.32000000000005</v>
      </c>
      <c r="J101" s="39">
        <f t="shared" si="23"/>
        <v>78</v>
      </c>
      <c r="K101" s="309">
        <f t="shared" si="29"/>
        <v>12.96</v>
      </c>
      <c r="L101" s="230">
        <f t="shared" si="31"/>
        <v>0</v>
      </c>
      <c r="M101" s="154"/>
      <c r="N101" s="279"/>
      <c r="O101" s="503">
        <v>120</v>
      </c>
      <c r="P101" s="309">
        <f t="shared" si="30"/>
        <v>1555.2</v>
      </c>
      <c r="Q101" s="261" t="str">
        <f t="shared" si="17"/>
        <v>ЭПГ110.148(П120х35х34)</v>
      </c>
      <c r="R101" s="306">
        <f t="shared" si="27"/>
        <v>16.2</v>
      </c>
      <c r="S101" s="333">
        <v>13.5</v>
      </c>
      <c r="T101" s="353">
        <f t="shared" si="25"/>
        <v>1053</v>
      </c>
      <c r="U101" s="70"/>
      <c r="V101" s="20">
        <f t="shared" si="24"/>
        <v>0</v>
      </c>
      <c r="W101" s="52">
        <f t="shared" si="22"/>
        <v>82</v>
      </c>
      <c r="X101" s="148">
        <f>12*14+12-7*14</f>
        <v>82</v>
      </c>
      <c r="Y101" s="20"/>
      <c r="Z101" s="20"/>
      <c r="AA101" s="20">
        <v>600</v>
      </c>
      <c r="AB101" s="417"/>
      <c r="AC101" s="200"/>
      <c r="AD101" s="160"/>
      <c r="AE101" s="163"/>
      <c r="AF101" s="171"/>
      <c r="AG101" s="192"/>
      <c r="AH101" s="16"/>
      <c r="AI101" s="16"/>
      <c r="AJ101" s="185"/>
      <c r="AK101" s="125"/>
    </row>
    <row r="102" spans="1:38" ht="26.25" hidden="1" customHeight="1" x14ac:dyDescent="0.25">
      <c r="B102" s="14"/>
      <c r="C102" s="6" t="s">
        <v>18</v>
      </c>
      <c r="D102" s="23" t="s">
        <v>9</v>
      </c>
      <c r="E102" s="212" t="s">
        <v>253</v>
      </c>
      <c r="F102" s="270">
        <v>829</v>
      </c>
      <c r="G102" s="12" t="s">
        <v>0</v>
      </c>
      <c r="H102" s="39"/>
      <c r="I102" s="309">
        <v>0</v>
      </c>
      <c r="J102" s="39">
        <f t="shared" si="23"/>
        <v>0</v>
      </c>
      <c r="K102" s="309">
        <f t="shared" si="29"/>
        <v>7.2</v>
      </c>
      <c r="L102" s="230">
        <f t="shared" si="31"/>
        <v>0</v>
      </c>
      <c r="M102" s="89"/>
      <c r="N102" s="279"/>
      <c r="O102" s="39"/>
      <c r="P102" s="490">
        <f t="shared" si="30"/>
        <v>0</v>
      </c>
      <c r="Q102" s="262" t="str">
        <f t="shared" si="17"/>
        <v>П40х40х10</v>
      </c>
      <c r="R102" s="377">
        <f t="shared" si="27"/>
        <v>9</v>
      </c>
      <c r="S102" s="319">
        <v>7.5</v>
      </c>
      <c r="T102" s="353">
        <f t="shared" ref="T102:T135" si="32">S102*J102</f>
        <v>0</v>
      </c>
      <c r="U102" s="18">
        <v>100</v>
      </c>
      <c r="V102" s="20">
        <f t="shared" ref="V102:V133" si="33">N102</f>
        <v>0</v>
      </c>
      <c r="W102" s="52">
        <f t="shared" si="22"/>
        <v>0</v>
      </c>
      <c r="X102" s="18">
        <v>100</v>
      </c>
      <c r="Y102" s="18">
        <v>1</v>
      </c>
      <c r="Z102" s="18"/>
      <c r="AA102" s="18"/>
      <c r="AB102" s="418"/>
      <c r="AC102" s="200"/>
      <c r="AD102" s="160"/>
      <c r="AE102" s="163"/>
      <c r="AF102" s="171"/>
      <c r="AG102" s="192"/>
      <c r="AH102" s="128"/>
      <c r="AI102" s="129"/>
      <c r="AK102" s="4"/>
      <c r="AL102" s="477"/>
    </row>
    <row r="103" spans="1:38" s="4" customFormat="1" ht="26.25" hidden="1" customHeight="1" x14ac:dyDescent="0.25">
      <c r="A103" s="10"/>
      <c r="B103" s="14"/>
      <c r="C103" s="6" t="s">
        <v>18</v>
      </c>
      <c r="D103" s="23" t="s">
        <v>9</v>
      </c>
      <c r="E103" s="212" t="s">
        <v>665</v>
      </c>
      <c r="F103" s="384">
        <v>1424</v>
      </c>
      <c r="G103" s="12"/>
      <c r="H103" s="39"/>
      <c r="I103" s="360">
        <v>0</v>
      </c>
      <c r="J103" s="39">
        <f t="shared" si="23"/>
        <v>0</v>
      </c>
      <c r="K103" s="309">
        <f t="shared" si="29"/>
        <v>3.55</v>
      </c>
      <c r="L103" s="230">
        <f t="shared" si="31"/>
        <v>0</v>
      </c>
      <c r="M103" s="205"/>
      <c r="N103" s="279"/>
      <c r="O103" s="503"/>
      <c r="P103" s="309">
        <f t="shared" si="30"/>
        <v>0</v>
      </c>
      <c r="Q103" s="235" t="str">
        <f t="shared" si="17"/>
        <v>П40х25х10</v>
      </c>
      <c r="R103" s="377">
        <f t="shared" si="27"/>
        <v>4.4400000000000004</v>
      </c>
      <c r="S103" s="319">
        <v>3.7</v>
      </c>
      <c r="T103" s="353">
        <f t="shared" si="32"/>
        <v>0</v>
      </c>
      <c r="U103" s="18"/>
      <c r="V103" s="20">
        <f t="shared" si="33"/>
        <v>0</v>
      </c>
      <c r="W103" s="52">
        <f t="shared" si="22"/>
        <v>0</v>
      </c>
      <c r="X103" s="18"/>
      <c r="Y103" s="18"/>
      <c r="Z103" s="18"/>
      <c r="AA103" s="18"/>
      <c r="AB103" s="418"/>
      <c r="AC103" s="200"/>
      <c r="AD103" s="160"/>
      <c r="AE103" s="163"/>
      <c r="AF103" s="171"/>
      <c r="AG103" s="192"/>
      <c r="AH103" s="128"/>
      <c r="AI103" s="129"/>
      <c r="AJ103" s="182"/>
    </row>
    <row r="104" spans="1:38" s="4" customFormat="1" ht="26.25" hidden="1" customHeight="1" x14ac:dyDescent="0.25">
      <c r="A104" s="10"/>
      <c r="B104" s="15"/>
      <c r="C104" s="6" t="s">
        <v>18</v>
      </c>
      <c r="D104" s="23" t="s">
        <v>9</v>
      </c>
      <c r="E104" s="212" t="s">
        <v>523</v>
      </c>
      <c r="F104" s="270"/>
      <c r="G104" s="12"/>
      <c r="H104" s="39"/>
      <c r="I104" s="309">
        <v>0</v>
      </c>
      <c r="J104" s="39">
        <f t="shared" si="23"/>
        <v>0</v>
      </c>
      <c r="K104" s="309">
        <f t="shared" si="29"/>
        <v>2.2999999999999998</v>
      </c>
      <c r="L104" s="230">
        <f t="shared" si="31"/>
        <v>0</v>
      </c>
      <c r="M104" s="89"/>
      <c r="N104" s="279"/>
      <c r="O104" s="39"/>
      <c r="P104" s="490">
        <f t="shared" si="30"/>
        <v>0</v>
      </c>
      <c r="Q104" s="235" t="str">
        <f t="shared" si="17"/>
        <v>30М7115.01.30.007(П27х24х27)</v>
      </c>
      <c r="R104" s="377">
        <f t="shared" si="27"/>
        <v>2.87</v>
      </c>
      <c r="S104" s="319">
        <v>2.39</v>
      </c>
      <c r="T104" s="353">
        <f t="shared" si="32"/>
        <v>0</v>
      </c>
      <c r="U104" s="18"/>
      <c r="V104" s="20">
        <f t="shared" si="33"/>
        <v>0</v>
      </c>
      <c r="W104" s="52">
        <f t="shared" si="22"/>
        <v>0</v>
      </c>
      <c r="X104" s="18"/>
      <c r="Y104" s="18"/>
      <c r="Z104" s="18"/>
      <c r="AA104" s="18"/>
      <c r="AB104" s="418"/>
      <c r="AC104" s="200"/>
      <c r="AD104" s="160"/>
      <c r="AE104" s="163"/>
      <c r="AF104" s="171"/>
      <c r="AG104" s="192"/>
      <c r="AH104" s="128"/>
      <c r="AI104" s="129"/>
      <c r="AJ104" s="182"/>
    </row>
    <row r="105" spans="1:38" s="4" customFormat="1" ht="26.25" hidden="1" customHeight="1" x14ac:dyDescent="0.25">
      <c r="A105" s="10"/>
      <c r="B105" s="15"/>
      <c r="C105" s="6" t="s">
        <v>18</v>
      </c>
      <c r="D105" s="23" t="s">
        <v>9</v>
      </c>
      <c r="E105" s="100" t="s">
        <v>544</v>
      </c>
      <c r="F105" s="384">
        <v>1075</v>
      </c>
      <c r="G105" s="12"/>
      <c r="H105" s="39"/>
      <c r="I105" s="360">
        <v>0</v>
      </c>
      <c r="J105" s="39">
        <f t="shared" si="23"/>
        <v>0</v>
      </c>
      <c r="K105" s="309">
        <f t="shared" si="29"/>
        <v>3.89</v>
      </c>
      <c r="L105" s="230">
        <f t="shared" si="31"/>
        <v>0</v>
      </c>
      <c r="M105" s="205"/>
      <c r="N105" s="279"/>
      <c r="O105" s="39"/>
      <c r="P105" s="468">
        <f t="shared" si="30"/>
        <v>0</v>
      </c>
      <c r="Q105" s="235" t="str">
        <f t="shared" si="17"/>
        <v>П50х55х10</v>
      </c>
      <c r="R105" s="377">
        <f t="shared" si="27"/>
        <v>4.8600000000000003</v>
      </c>
      <c r="S105" s="319">
        <v>4.05</v>
      </c>
      <c r="T105" s="353">
        <f t="shared" si="32"/>
        <v>0</v>
      </c>
      <c r="U105" s="18"/>
      <c r="V105" s="20">
        <f t="shared" si="33"/>
        <v>0</v>
      </c>
      <c r="W105" s="52">
        <f t="shared" si="22"/>
        <v>0</v>
      </c>
      <c r="X105" s="18"/>
      <c r="Y105" s="18"/>
      <c r="Z105" s="18"/>
      <c r="AA105" s="18"/>
      <c r="AB105" s="418"/>
      <c r="AC105" s="200"/>
      <c r="AD105" s="160"/>
      <c r="AE105" s="163"/>
      <c r="AF105" s="171"/>
      <c r="AG105" s="192"/>
      <c r="AH105" s="128"/>
      <c r="AI105" s="129"/>
      <c r="AJ105" s="182"/>
    </row>
    <row r="106" spans="1:38" ht="26.25" hidden="1" customHeight="1" x14ac:dyDescent="0.25">
      <c r="B106" s="15"/>
      <c r="C106" s="6" t="s">
        <v>18</v>
      </c>
      <c r="D106" s="23" t="s">
        <v>9</v>
      </c>
      <c r="E106" s="237" t="s">
        <v>724</v>
      </c>
      <c r="F106" s="527">
        <v>1360</v>
      </c>
      <c r="G106" s="12" t="s">
        <v>0</v>
      </c>
      <c r="H106" s="39"/>
      <c r="I106" s="360">
        <v>0</v>
      </c>
      <c r="J106" s="39">
        <f t="shared" si="23"/>
        <v>0</v>
      </c>
      <c r="K106" s="309">
        <f t="shared" si="29"/>
        <v>2.54</v>
      </c>
      <c r="L106" s="230">
        <f t="shared" si="31"/>
        <v>0</v>
      </c>
      <c r="M106" s="82"/>
      <c r="N106" s="279"/>
      <c r="O106" s="503"/>
      <c r="P106" s="309">
        <f t="shared" si="30"/>
        <v>0</v>
      </c>
      <c r="Q106" s="235" t="str">
        <f t="shared" si="17"/>
        <v>П60х20х7</v>
      </c>
      <c r="R106" s="377">
        <f t="shared" si="27"/>
        <v>3.18</v>
      </c>
      <c r="S106" s="320">
        <v>2.65</v>
      </c>
      <c r="T106" s="353">
        <f t="shared" si="32"/>
        <v>0</v>
      </c>
      <c r="U106" s="430">
        <v>52</v>
      </c>
      <c r="V106" s="20">
        <f t="shared" si="33"/>
        <v>0</v>
      </c>
      <c r="W106" s="52">
        <f t="shared" si="22"/>
        <v>0</v>
      </c>
      <c r="X106" s="430">
        <v>52</v>
      </c>
      <c r="Y106" s="18"/>
      <c r="Z106" s="18"/>
      <c r="AA106" s="18"/>
      <c r="AB106" s="418"/>
      <c r="AC106" s="200"/>
      <c r="AD106" s="160"/>
      <c r="AE106" s="163"/>
      <c r="AF106" s="171"/>
      <c r="AG106" s="192"/>
      <c r="AH106" s="128"/>
      <c r="AI106" s="129"/>
      <c r="AK106" s="10"/>
    </row>
    <row r="107" spans="1:38" ht="26.25" hidden="1" customHeight="1" thickBot="1" x14ac:dyDescent="0.3">
      <c r="B107" s="15"/>
      <c r="C107" s="6" t="s">
        <v>18</v>
      </c>
      <c r="D107" s="23" t="s">
        <v>9</v>
      </c>
      <c r="E107" s="237" t="s">
        <v>492</v>
      </c>
      <c r="F107" s="270"/>
      <c r="G107" s="12"/>
      <c r="H107" s="39"/>
      <c r="I107" s="309">
        <v>0</v>
      </c>
      <c r="J107" s="39">
        <f t="shared" si="23"/>
        <v>0</v>
      </c>
      <c r="K107" s="309"/>
      <c r="L107" s="230"/>
      <c r="M107" s="82"/>
      <c r="N107" s="279"/>
      <c r="O107" s="39"/>
      <c r="P107" s="490">
        <f t="shared" si="30"/>
        <v>0</v>
      </c>
      <c r="Q107" s="263" t="str">
        <f t="shared" si="17"/>
        <v>П30х30х9</v>
      </c>
      <c r="R107" s="377">
        <f t="shared" si="27"/>
        <v>0</v>
      </c>
      <c r="S107" s="320">
        <v>0</v>
      </c>
      <c r="T107" s="353">
        <f t="shared" si="32"/>
        <v>0</v>
      </c>
      <c r="U107" s="18">
        <v>40</v>
      </c>
      <c r="V107" s="20">
        <f t="shared" si="33"/>
        <v>0</v>
      </c>
      <c r="W107" s="52">
        <f t="shared" si="22"/>
        <v>0</v>
      </c>
      <c r="X107" s="18">
        <v>40</v>
      </c>
      <c r="Y107" s="18"/>
      <c r="Z107" s="18"/>
      <c r="AA107" s="18"/>
      <c r="AB107" s="418"/>
      <c r="AC107" s="200"/>
      <c r="AD107" s="160"/>
      <c r="AE107" s="163"/>
      <c r="AF107" s="171"/>
      <c r="AG107" s="192"/>
      <c r="AH107" s="128"/>
      <c r="AI107" s="129"/>
      <c r="AK107" s="10"/>
      <c r="AL107" s="476"/>
    </row>
    <row r="108" spans="1:38" ht="26.25" hidden="1" customHeight="1" x14ac:dyDescent="0.25">
      <c r="B108" s="15"/>
      <c r="C108" s="6" t="s">
        <v>18</v>
      </c>
      <c r="D108" s="23" t="s">
        <v>9</v>
      </c>
      <c r="E108" s="237" t="s">
        <v>501</v>
      </c>
      <c r="F108" s="527">
        <v>1276</v>
      </c>
      <c r="G108" s="48" t="s">
        <v>0</v>
      </c>
      <c r="H108" s="39"/>
      <c r="I108" s="360">
        <v>0</v>
      </c>
      <c r="J108" s="39">
        <f t="shared" si="23"/>
        <v>0</v>
      </c>
      <c r="K108" s="309">
        <f>R108*0.8</f>
        <v>2.9</v>
      </c>
      <c r="L108" s="230"/>
      <c r="M108" s="534"/>
      <c r="N108" s="279"/>
      <c r="O108" s="39"/>
      <c r="P108" s="360">
        <f t="shared" si="30"/>
        <v>0</v>
      </c>
      <c r="Q108" s="403" t="str">
        <f t="shared" si="17"/>
        <v>П84х12х7</v>
      </c>
      <c r="R108" s="377">
        <f t="shared" si="27"/>
        <v>3.62</v>
      </c>
      <c r="S108" s="320">
        <v>3.02</v>
      </c>
      <c r="T108" s="353">
        <f t="shared" si="32"/>
        <v>0</v>
      </c>
      <c r="U108" s="430">
        <v>52</v>
      </c>
      <c r="V108" s="20">
        <f t="shared" si="33"/>
        <v>0</v>
      </c>
      <c r="W108" s="52">
        <f t="shared" si="22"/>
        <v>0</v>
      </c>
      <c r="X108" s="430">
        <v>52</v>
      </c>
      <c r="Y108" s="18"/>
      <c r="Z108" s="18"/>
      <c r="AA108" s="18"/>
      <c r="AB108" s="418"/>
      <c r="AC108" s="200"/>
      <c r="AD108" s="160"/>
      <c r="AE108" s="163"/>
      <c r="AF108" s="171"/>
      <c r="AG108" s="192"/>
      <c r="AH108" s="128"/>
      <c r="AI108" s="129"/>
      <c r="AK108" s="10"/>
    </row>
    <row r="109" spans="1:38" ht="26.25" customHeight="1" x14ac:dyDescent="0.35">
      <c r="B109" s="15">
        <v>34</v>
      </c>
      <c r="C109" s="6" t="s">
        <v>18</v>
      </c>
      <c r="D109" s="23" t="s">
        <v>9</v>
      </c>
      <c r="E109" s="212" t="s">
        <v>161</v>
      </c>
      <c r="F109" s="208" t="s">
        <v>221</v>
      </c>
      <c r="G109" s="12" t="s">
        <v>0</v>
      </c>
      <c r="H109" s="39">
        <v>2400</v>
      </c>
      <c r="I109" s="360">
        <v>9216</v>
      </c>
      <c r="J109" s="39">
        <f t="shared" si="23"/>
        <v>0</v>
      </c>
      <c r="K109" s="309">
        <f>R109*0.8</f>
        <v>3.84</v>
      </c>
      <c r="L109" s="230">
        <f>K109*J403</f>
        <v>0</v>
      </c>
      <c r="M109" s="194"/>
      <c r="N109" s="279">
        <v>2054</v>
      </c>
      <c r="O109" s="503">
        <v>346</v>
      </c>
      <c r="P109" s="309">
        <f t="shared" si="30"/>
        <v>1328.64</v>
      </c>
      <c r="Q109" s="235" t="str">
        <f t="shared" si="17"/>
        <v>П84х64х14</v>
      </c>
      <c r="R109" s="306">
        <f t="shared" si="27"/>
        <v>4.8</v>
      </c>
      <c r="S109" s="332">
        <v>4</v>
      </c>
      <c r="T109" s="353">
        <f t="shared" si="32"/>
        <v>0</v>
      </c>
      <c r="U109" s="18">
        <v>2000</v>
      </c>
      <c r="V109" s="20">
        <f t="shared" si="33"/>
        <v>2054</v>
      </c>
      <c r="W109" s="52">
        <f t="shared" si="22"/>
        <v>54</v>
      </c>
      <c r="X109" s="18"/>
      <c r="Y109" s="18"/>
      <c r="Z109" s="18"/>
      <c r="AA109" s="18">
        <f>3500+3000+1300+150+150+500</f>
        <v>8600</v>
      </c>
      <c r="AB109" s="418"/>
      <c r="AC109" s="201"/>
      <c r="AD109" s="190">
        <v>0.78</v>
      </c>
      <c r="AE109" s="162"/>
      <c r="AF109" s="171"/>
      <c r="AG109" s="176"/>
      <c r="AH109" s="115"/>
      <c r="AI109" s="113"/>
      <c r="AJ109" s="185"/>
      <c r="AK109" s="125"/>
    </row>
    <row r="110" spans="1:38" ht="26.25" hidden="1" customHeight="1" x14ac:dyDescent="0.25">
      <c r="B110" s="15"/>
      <c r="C110" s="6" t="s">
        <v>18</v>
      </c>
      <c r="D110" s="23" t="s">
        <v>458</v>
      </c>
      <c r="E110" s="87" t="s">
        <v>161</v>
      </c>
      <c r="F110" s="211" t="s">
        <v>374</v>
      </c>
      <c r="G110" s="48"/>
      <c r="H110" s="39"/>
      <c r="I110" s="309">
        <v>0</v>
      </c>
      <c r="J110" s="39">
        <f t="shared" si="23"/>
        <v>0</v>
      </c>
      <c r="K110" s="309">
        <f>R110*0.8</f>
        <v>2.21</v>
      </c>
      <c r="L110" s="230">
        <f>K110*J404</f>
        <v>0</v>
      </c>
      <c r="M110" s="155"/>
      <c r="N110" s="140"/>
      <c r="O110" s="39"/>
      <c r="P110" s="490">
        <f t="shared" si="30"/>
        <v>0</v>
      </c>
      <c r="Q110" s="264" t="str">
        <f t="shared" si="17"/>
        <v>П84х64х14</v>
      </c>
      <c r="R110" s="377">
        <f t="shared" si="27"/>
        <v>2.76</v>
      </c>
      <c r="S110" s="332">
        <v>2.2999999999999998</v>
      </c>
      <c r="T110" s="353">
        <f t="shared" si="32"/>
        <v>0</v>
      </c>
      <c r="U110" s="20"/>
      <c r="V110" s="20">
        <f t="shared" si="33"/>
        <v>0</v>
      </c>
      <c r="W110" s="52">
        <f t="shared" si="22"/>
        <v>0</v>
      </c>
      <c r="X110" s="20"/>
      <c r="Y110" s="20"/>
      <c r="Z110" s="20"/>
      <c r="AA110" s="20"/>
      <c r="AB110" s="417"/>
      <c r="AC110" s="200"/>
      <c r="AD110" s="160"/>
      <c r="AE110" s="163"/>
      <c r="AF110" s="171"/>
      <c r="AG110" s="192"/>
      <c r="AH110" s="128"/>
      <c r="AI110" s="129"/>
      <c r="AK110" s="10"/>
    </row>
    <row r="111" spans="1:38" ht="26.25" hidden="1" customHeight="1" x14ac:dyDescent="0.25">
      <c r="B111" s="15"/>
      <c r="C111" s="6" t="s">
        <v>18</v>
      </c>
      <c r="D111" s="23" t="s">
        <v>9</v>
      </c>
      <c r="E111" s="87" t="s">
        <v>658</v>
      </c>
      <c r="F111" s="211"/>
      <c r="G111" s="48"/>
      <c r="H111" s="39"/>
      <c r="I111" s="360"/>
      <c r="J111" s="39">
        <f t="shared" si="23"/>
        <v>0</v>
      </c>
      <c r="K111" s="309"/>
      <c r="L111" s="230"/>
      <c r="M111" s="155"/>
      <c r="N111" s="140"/>
      <c r="O111" s="39"/>
      <c r="P111" s="360"/>
      <c r="Q111" s="264" t="str">
        <f t="shared" si="17"/>
        <v>П84*64*20</v>
      </c>
      <c r="R111" s="377"/>
      <c r="S111" s="332"/>
      <c r="T111" s="353">
        <f t="shared" si="32"/>
        <v>0</v>
      </c>
      <c r="U111" s="20">
        <v>500</v>
      </c>
      <c r="V111" s="20">
        <f t="shared" si="33"/>
        <v>0</v>
      </c>
      <c r="W111" s="52"/>
      <c r="X111" s="20">
        <v>500</v>
      </c>
      <c r="Y111" s="20"/>
      <c r="Z111" s="20"/>
      <c r="AA111" s="20"/>
      <c r="AB111" s="417"/>
      <c r="AC111" s="200"/>
      <c r="AD111" s="160"/>
      <c r="AE111" s="163"/>
      <c r="AF111" s="171"/>
      <c r="AG111" s="192"/>
      <c r="AH111" s="128"/>
      <c r="AI111" s="129"/>
      <c r="AK111" s="10"/>
    </row>
    <row r="112" spans="1:38" ht="26.25" hidden="1" customHeight="1" x14ac:dyDescent="0.25">
      <c r="B112" s="15"/>
      <c r="C112" s="6" t="s">
        <v>18</v>
      </c>
      <c r="D112" s="23" t="s">
        <v>9</v>
      </c>
      <c r="E112" s="101" t="s">
        <v>551</v>
      </c>
      <c r="F112" s="211" t="s">
        <v>558</v>
      </c>
      <c r="G112" s="48"/>
      <c r="H112" s="39"/>
      <c r="I112" s="360">
        <v>0</v>
      </c>
      <c r="J112" s="39">
        <f t="shared" si="23"/>
        <v>0</v>
      </c>
      <c r="K112" s="309">
        <f>R112*0.8</f>
        <v>9.98</v>
      </c>
      <c r="L112" s="230">
        <f>K112*J406</f>
        <v>0</v>
      </c>
      <c r="M112" s="91"/>
      <c r="N112" s="279"/>
      <c r="O112" s="39"/>
      <c r="P112" s="360">
        <f t="shared" ref="P112:P131" si="34">K112*O112</f>
        <v>0</v>
      </c>
      <c r="Q112" s="51" t="str">
        <f t="shared" si="17"/>
        <v>П98х32х42</v>
      </c>
      <c r="R112" s="377">
        <f t="shared" ref="R112:R143" si="35">S112*1.2</f>
        <v>12.48</v>
      </c>
      <c r="S112" s="332">
        <v>10.4</v>
      </c>
      <c r="T112" s="353">
        <f t="shared" si="32"/>
        <v>0</v>
      </c>
      <c r="U112" s="20"/>
      <c r="V112" s="20">
        <f t="shared" si="33"/>
        <v>0</v>
      </c>
      <c r="W112" s="52">
        <f t="shared" ref="W112:W143" si="36">X112-U112+V112</f>
        <v>0</v>
      </c>
      <c r="X112" s="20"/>
      <c r="Y112" s="20"/>
      <c r="Z112" s="199"/>
      <c r="AA112" s="20"/>
      <c r="AB112" s="419"/>
      <c r="AC112" s="200"/>
      <c r="AD112" s="160"/>
      <c r="AE112" s="163"/>
      <c r="AF112" s="171"/>
      <c r="AG112" s="192"/>
      <c r="AH112" s="128"/>
      <c r="AI112" s="129"/>
      <c r="AK112" s="10"/>
    </row>
    <row r="113" spans="1:74" ht="26.25" hidden="1" customHeight="1" x14ac:dyDescent="0.25">
      <c r="B113" s="14"/>
      <c r="C113" s="6" t="s">
        <v>18</v>
      </c>
      <c r="D113" s="23" t="s">
        <v>9</v>
      </c>
      <c r="E113" s="101" t="s">
        <v>195</v>
      </c>
      <c r="F113" s="211" t="s">
        <v>559</v>
      </c>
      <c r="G113" s="48"/>
      <c r="H113" s="39"/>
      <c r="I113" s="360">
        <v>0</v>
      </c>
      <c r="J113" s="39">
        <f t="shared" si="23"/>
        <v>0</v>
      </c>
      <c r="K113" s="309">
        <f>R113*0.8</f>
        <v>9.98</v>
      </c>
      <c r="L113" s="230">
        <f>K113*J407</f>
        <v>0</v>
      </c>
      <c r="M113" s="203"/>
      <c r="N113" s="279"/>
      <c r="O113" s="39"/>
      <c r="P113" s="360">
        <f t="shared" si="34"/>
        <v>0</v>
      </c>
      <c r="Q113" s="51" t="str">
        <f t="shared" si="17"/>
        <v>П98х42х32</v>
      </c>
      <c r="R113" s="377">
        <f t="shared" si="35"/>
        <v>12.48</v>
      </c>
      <c r="S113" s="332">
        <v>10.4</v>
      </c>
      <c r="T113" s="353">
        <f t="shared" si="32"/>
        <v>0</v>
      </c>
      <c r="U113" s="20"/>
      <c r="V113" s="20">
        <f t="shared" si="33"/>
        <v>0</v>
      </c>
      <c r="W113" s="52">
        <f t="shared" si="36"/>
        <v>0</v>
      </c>
      <c r="X113" s="20"/>
      <c r="Y113" s="20"/>
      <c r="Z113" s="199"/>
      <c r="AA113" s="20"/>
      <c r="AB113" s="419"/>
      <c r="AC113" s="200"/>
      <c r="AD113" s="160"/>
      <c r="AE113" s="163"/>
      <c r="AF113" s="171"/>
      <c r="AG113" s="192"/>
      <c r="AH113" s="128"/>
      <c r="AI113" s="129"/>
      <c r="AK113" s="10"/>
    </row>
    <row r="114" spans="1:74" ht="29.25" customHeight="1" x14ac:dyDescent="0.25">
      <c r="B114" s="14">
        <v>35</v>
      </c>
      <c r="C114" s="6" t="s">
        <v>18</v>
      </c>
      <c r="D114" s="23" t="s">
        <v>9</v>
      </c>
      <c r="E114" s="212" t="s">
        <v>459</v>
      </c>
      <c r="F114" s="208" t="s">
        <v>463</v>
      </c>
      <c r="G114" s="12" t="s">
        <v>0</v>
      </c>
      <c r="H114" s="39">
        <v>2100</v>
      </c>
      <c r="I114" s="309">
        <v>4221</v>
      </c>
      <c r="J114" s="39">
        <f t="shared" si="23"/>
        <v>780</v>
      </c>
      <c r="K114" s="309">
        <f>R114*0.8</f>
        <v>2.0099999999999998</v>
      </c>
      <c r="L114" s="230"/>
      <c r="M114" s="194"/>
      <c r="N114" s="279">
        <v>780</v>
      </c>
      <c r="O114" s="39">
        <v>2100</v>
      </c>
      <c r="P114" s="309">
        <f t="shared" si="34"/>
        <v>4221</v>
      </c>
      <c r="Q114" s="264" t="str">
        <f t="shared" si="17"/>
        <v>ЕАЖИ 757.155.066 (пластина)</v>
      </c>
      <c r="R114" s="377">
        <f t="shared" si="35"/>
        <v>2.5099999999999998</v>
      </c>
      <c r="S114" s="332">
        <f>63.4*0.033</f>
        <v>2.09</v>
      </c>
      <c r="T114" s="353">
        <f t="shared" si="32"/>
        <v>1630.2</v>
      </c>
      <c r="U114" s="70">
        <v>8100</v>
      </c>
      <c r="V114" s="20">
        <f t="shared" si="33"/>
        <v>780</v>
      </c>
      <c r="W114" s="52">
        <f t="shared" si="36"/>
        <v>-5820</v>
      </c>
      <c r="X114" s="148">
        <v>1500</v>
      </c>
      <c r="Y114" s="20"/>
      <c r="Z114" s="199"/>
      <c r="AA114" s="20"/>
      <c r="AB114" s="419"/>
      <c r="AC114" s="200"/>
      <c r="AD114" s="160"/>
      <c r="AE114" s="163"/>
      <c r="AF114" s="171"/>
      <c r="AG114" s="192"/>
      <c r="AH114" s="128"/>
      <c r="AI114" s="129"/>
      <c r="AK114" s="10"/>
    </row>
    <row r="115" spans="1:74" ht="33" customHeight="1" x14ac:dyDescent="0.25">
      <c r="B115" s="15">
        <v>36</v>
      </c>
      <c r="C115" s="6" t="s">
        <v>18</v>
      </c>
      <c r="D115" s="23" t="s">
        <v>9</v>
      </c>
      <c r="E115" s="212" t="s">
        <v>460</v>
      </c>
      <c r="F115" s="208" t="s">
        <v>498</v>
      </c>
      <c r="G115" s="12" t="s">
        <v>0</v>
      </c>
      <c r="H115" s="39">
        <v>2520</v>
      </c>
      <c r="I115" s="360">
        <v>5065.2</v>
      </c>
      <c r="J115" s="39">
        <f t="shared" si="23"/>
        <v>2130</v>
      </c>
      <c r="K115" s="309">
        <f>R115*0.8</f>
        <v>2.0099999999999998</v>
      </c>
      <c r="L115" s="230"/>
      <c r="M115" s="154"/>
      <c r="N115" s="279">
        <v>3090</v>
      </c>
      <c r="O115" s="503">
        <v>1560</v>
      </c>
      <c r="P115" s="309">
        <f t="shared" si="34"/>
        <v>3135.6</v>
      </c>
      <c r="Q115" s="235" t="str">
        <f t="shared" si="17"/>
        <v>ЕАЖИ 757.156.066 (замыкающая)</v>
      </c>
      <c r="R115" s="377">
        <f t="shared" si="35"/>
        <v>2.5099999999999998</v>
      </c>
      <c r="S115" s="332">
        <f>63.4*0.033</f>
        <v>2.09</v>
      </c>
      <c r="T115" s="353">
        <f t="shared" si="32"/>
        <v>4451.7</v>
      </c>
      <c r="U115" s="70">
        <v>1530</v>
      </c>
      <c r="V115" s="20">
        <f t="shared" si="33"/>
        <v>3090</v>
      </c>
      <c r="W115" s="52">
        <f t="shared" si="36"/>
        <v>3120</v>
      </c>
      <c r="X115" s="148">
        <f>52*30</f>
        <v>1560</v>
      </c>
      <c r="Y115" s="20"/>
      <c r="Z115" s="20"/>
      <c r="AA115" s="20"/>
      <c r="AB115" s="417"/>
      <c r="AC115" s="200"/>
      <c r="AD115" s="160"/>
      <c r="AE115" s="163"/>
      <c r="AF115" s="171"/>
      <c r="AG115" s="192"/>
      <c r="AH115" s="128"/>
      <c r="AI115" s="129"/>
      <c r="AK115" s="10"/>
    </row>
    <row r="116" spans="1:74" ht="26.25" hidden="1" customHeight="1" x14ac:dyDescent="0.25">
      <c r="B116" s="14"/>
      <c r="C116" s="6" t="s">
        <v>18</v>
      </c>
      <c r="D116" s="23" t="s">
        <v>9</v>
      </c>
      <c r="E116" s="212" t="s">
        <v>317</v>
      </c>
      <c r="F116" s="211"/>
      <c r="G116" s="48"/>
      <c r="H116" s="39"/>
      <c r="I116" s="309">
        <v>0</v>
      </c>
      <c r="J116" s="39">
        <f t="shared" si="23"/>
        <v>0</v>
      </c>
      <c r="K116" s="309"/>
      <c r="L116" s="230"/>
      <c r="M116" s="64"/>
      <c r="N116" s="279"/>
      <c r="O116" s="39"/>
      <c r="P116" s="490">
        <f t="shared" si="34"/>
        <v>0</v>
      </c>
      <c r="Q116" s="264" t="str">
        <f t="shared" si="17"/>
        <v>П98х23х30</v>
      </c>
      <c r="R116" s="377">
        <f t="shared" si="35"/>
        <v>0</v>
      </c>
      <c r="S116" s="332">
        <v>0</v>
      </c>
      <c r="T116" s="353">
        <f t="shared" si="32"/>
        <v>0</v>
      </c>
      <c r="U116" s="20">
        <v>300</v>
      </c>
      <c r="V116" s="20">
        <f t="shared" si="33"/>
        <v>0</v>
      </c>
      <c r="W116" s="52">
        <f t="shared" si="36"/>
        <v>0</v>
      </c>
      <c r="X116" s="20">
        <v>300</v>
      </c>
      <c r="Y116" s="20">
        <v>1</v>
      </c>
      <c r="Z116" s="20"/>
      <c r="AA116" s="20"/>
      <c r="AB116" s="417"/>
      <c r="AC116" s="200"/>
      <c r="AD116" s="160">
        <v>1.45</v>
      </c>
      <c r="AE116" s="163"/>
      <c r="AF116" s="171"/>
      <c r="AG116" s="192"/>
      <c r="AH116" s="16"/>
      <c r="AI116" s="16"/>
      <c r="AJ116" s="185"/>
      <c r="AK116" s="435"/>
      <c r="AL116" s="476"/>
    </row>
    <row r="117" spans="1:74" s="4" customFormat="1" ht="26.25" customHeight="1" x14ac:dyDescent="0.25">
      <c r="A117" s="10"/>
      <c r="B117" s="11">
        <v>37</v>
      </c>
      <c r="C117" s="6" t="s">
        <v>18</v>
      </c>
      <c r="D117" s="23" t="s">
        <v>9</v>
      </c>
      <c r="E117" s="212" t="s">
        <v>852</v>
      </c>
      <c r="F117" s="387" t="s">
        <v>858</v>
      </c>
      <c r="G117" s="12" t="s">
        <v>0</v>
      </c>
      <c r="H117" s="39"/>
      <c r="I117" s="360">
        <v>0</v>
      </c>
      <c r="J117" s="39">
        <f t="shared" si="23"/>
        <v>32</v>
      </c>
      <c r="K117" s="309">
        <f>R117*0.8</f>
        <v>6.82</v>
      </c>
      <c r="L117" s="230"/>
      <c r="M117" s="69"/>
      <c r="N117" s="279">
        <v>32</v>
      </c>
      <c r="O117" s="39"/>
      <c r="P117" s="360">
        <f t="shared" si="34"/>
        <v>0</v>
      </c>
      <c r="Q117" s="442" t="str">
        <f t="shared" si="17"/>
        <v>П100х30х15</v>
      </c>
      <c r="R117" s="377">
        <f t="shared" si="35"/>
        <v>8.52</v>
      </c>
      <c r="S117" s="320">
        <v>7.1</v>
      </c>
      <c r="T117" s="353">
        <f t="shared" si="32"/>
        <v>227.2</v>
      </c>
      <c r="U117" s="20"/>
      <c r="V117" s="20">
        <f t="shared" si="33"/>
        <v>32</v>
      </c>
      <c r="W117" s="52">
        <f t="shared" si="36"/>
        <v>32</v>
      </c>
      <c r="X117" s="20"/>
      <c r="Y117" s="20"/>
      <c r="Z117" s="20"/>
      <c r="AA117" s="20"/>
      <c r="AB117" s="417"/>
      <c r="AC117" s="200"/>
      <c r="AD117" s="160"/>
      <c r="AE117" s="163"/>
      <c r="AF117" s="171"/>
      <c r="AG117" s="192"/>
      <c r="AH117" s="128"/>
      <c r="AI117" s="129"/>
      <c r="AJ117" s="182"/>
    </row>
    <row r="118" spans="1:74" ht="26.25" customHeight="1" x14ac:dyDescent="0.25">
      <c r="B118" s="15">
        <v>38</v>
      </c>
      <c r="C118" s="6" t="s">
        <v>18</v>
      </c>
      <c r="D118" s="23" t="s">
        <v>9</v>
      </c>
      <c r="E118" s="43" t="s">
        <v>443</v>
      </c>
      <c r="F118" s="210">
        <v>1062</v>
      </c>
      <c r="G118" s="12" t="s">
        <v>0</v>
      </c>
      <c r="H118" s="39">
        <v>790</v>
      </c>
      <c r="I118" s="360">
        <v>3586.6</v>
      </c>
      <c r="J118" s="39">
        <f t="shared" si="23"/>
        <v>0</v>
      </c>
      <c r="K118" s="309">
        <v>4.54</v>
      </c>
      <c r="L118" s="230"/>
      <c r="N118" s="279"/>
      <c r="O118" s="503">
        <v>790</v>
      </c>
      <c r="P118" s="309">
        <f t="shared" si="34"/>
        <v>3586.6</v>
      </c>
      <c r="Q118" s="235" t="str">
        <f t="shared" ref="Q118:Q181" si="37">E118</f>
        <v>П98х64х14</v>
      </c>
      <c r="R118" s="377">
        <f t="shared" si="35"/>
        <v>7.08</v>
      </c>
      <c r="S118" s="321">
        <v>5.9</v>
      </c>
      <c r="T118" s="353">
        <f t="shared" si="32"/>
        <v>0</v>
      </c>
      <c r="U118" s="18"/>
      <c r="V118" s="20">
        <f t="shared" si="33"/>
        <v>0</v>
      </c>
      <c r="W118" s="52">
        <f t="shared" si="36"/>
        <v>0</v>
      </c>
      <c r="X118" s="18"/>
      <c r="Y118" s="18"/>
      <c r="Z118" s="18"/>
      <c r="AA118" s="18"/>
      <c r="AB118" s="418"/>
      <c r="AC118" s="200"/>
      <c r="AD118" s="160"/>
      <c r="AE118" s="163"/>
      <c r="AF118" s="171"/>
      <c r="AG118" s="192"/>
      <c r="AH118" s="128"/>
      <c r="AI118" s="129"/>
      <c r="AK118" s="10"/>
    </row>
    <row r="119" spans="1:74" ht="26.25" customHeight="1" x14ac:dyDescent="0.25">
      <c r="B119" s="15">
        <v>39</v>
      </c>
      <c r="C119" s="6" t="s">
        <v>18</v>
      </c>
      <c r="D119" s="23" t="s">
        <v>142</v>
      </c>
      <c r="E119" s="104" t="s">
        <v>1</v>
      </c>
      <c r="F119" s="208" t="s">
        <v>64</v>
      </c>
      <c r="G119" s="12" t="s">
        <v>0</v>
      </c>
      <c r="H119" s="39">
        <v>3000</v>
      </c>
      <c r="I119" s="360">
        <v>630</v>
      </c>
      <c r="J119" s="39">
        <f t="shared" si="23"/>
        <v>3000</v>
      </c>
      <c r="K119" s="309">
        <f>R119*0.8</f>
        <v>0.21</v>
      </c>
      <c r="L119" s="230">
        <f t="shared" ref="L119:L127" si="38">K119*J413</f>
        <v>0</v>
      </c>
      <c r="M119" s="154"/>
      <c r="N119" s="140">
        <v>3000</v>
      </c>
      <c r="O119" s="503">
        <v>3000</v>
      </c>
      <c r="P119" s="309">
        <f t="shared" si="34"/>
        <v>630</v>
      </c>
      <c r="Q119" s="235" t="str">
        <f t="shared" si="37"/>
        <v>ОТИБ 757.151.001</v>
      </c>
      <c r="R119" s="377">
        <f t="shared" si="35"/>
        <v>0.26</v>
      </c>
      <c r="S119" s="319">
        <v>0.22</v>
      </c>
      <c r="T119" s="353">
        <f t="shared" si="32"/>
        <v>660</v>
      </c>
      <c r="U119" s="430">
        <v>2400</v>
      </c>
      <c r="V119" s="20">
        <f t="shared" si="33"/>
        <v>3000</v>
      </c>
      <c r="W119" s="52">
        <f t="shared" si="36"/>
        <v>2400</v>
      </c>
      <c r="X119" s="147">
        <f>3*600</f>
        <v>1800</v>
      </c>
      <c r="Y119" s="18"/>
      <c r="Z119" s="18"/>
      <c r="AA119" s="18">
        <v>15000</v>
      </c>
      <c r="AB119" s="418"/>
      <c r="AC119" s="200"/>
      <c r="AD119" s="160"/>
      <c r="AE119" s="163"/>
      <c r="AF119" s="171"/>
      <c r="AG119" s="192"/>
      <c r="AH119" s="16"/>
      <c r="AI119" s="16"/>
      <c r="AJ119" s="185"/>
      <c r="AK119" s="435"/>
      <c r="AL119" s="476"/>
    </row>
    <row r="120" spans="1:74" ht="26.25" customHeight="1" x14ac:dyDescent="0.25">
      <c r="B120" s="11">
        <v>40</v>
      </c>
      <c r="C120" s="6" t="s">
        <v>18</v>
      </c>
      <c r="D120" s="23" t="s">
        <v>142</v>
      </c>
      <c r="E120" s="104" t="s">
        <v>2</v>
      </c>
      <c r="F120" s="208" t="s">
        <v>63</v>
      </c>
      <c r="G120" s="12" t="s">
        <v>0</v>
      </c>
      <c r="H120" s="39">
        <v>3000</v>
      </c>
      <c r="I120" s="360">
        <v>1050</v>
      </c>
      <c r="J120" s="39">
        <f t="shared" si="23"/>
        <v>3000</v>
      </c>
      <c r="K120" s="309">
        <f>R120*0.8</f>
        <v>0.35</v>
      </c>
      <c r="L120" s="230">
        <f t="shared" si="38"/>
        <v>0</v>
      </c>
      <c r="M120" s="194"/>
      <c r="N120" s="140">
        <v>3000</v>
      </c>
      <c r="O120" s="503">
        <v>3000</v>
      </c>
      <c r="P120" s="309">
        <f t="shared" si="34"/>
        <v>1050</v>
      </c>
      <c r="Q120" s="235" t="str">
        <f t="shared" si="37"/>
        <v>ОТИБ 757.152.001</v>
      </c>
      <c r="R120" s="377">
        <f t="shared" si="35"/>
        <v>0.44</v>
      </c>
      <c r="S120" s="319">
        <v>0.37</v>
      </c>
      <c r="T120" s="353">
        <f t="shared" si="32"/>
        <v>1110</v>
      </c>
      <c r="U120" s="430">
        <v>2400</v>
      </c>
      <c r="V120" s="20">
        <f t="shared" si="33"/>
        <v>3000</v>
      </c>
      <c r="W120" s="52">
        <f t="shared" si="36"/>
        <v>2400</v>
      </c>
      <c r="X120" s="147">
        <f>3*600</f>
        <v>1800</v>
      </c>
      <c r="Y120" s="18"/>
      <c r="Z120" s="18"/>
      <c r="AA120" s="18">
        <v>15000</v>
      </c>
      <c r="AB120" s="418"/>
      <c r="AC120" s="200"/>
      <c r="AD120" s="160"/>
      <c r="AE120" s="163"/>
      <c r="AF120" s="171"/>
      <c r="AG120" s="192"/>
      <c r="AH120" s="16"/>
      <c r="AI120" s="16"/>
      <c r="AJ120" s="185"/>
      <c r="AK120" s="435"/>
      <c r="AL120" s="476"/>
    </row>
    <row r="121" spans="1:74" ht="26.25" customHeight="1" x14ac:dyDescent="0.25">
      <c r="B121" s="11">
        <v>41</v>
      </c>
      <c r="C121" s="6" t="s">
        <v>18</v>
      </c>
      <c r="D121" s="23" t="s">
        <v>142</v>
      </c>
      <c r="E121" s="104" t="s">
        <v>35</v>
      </c>
      <c r="F121" s="208" t="s">
        <v>51</v>
      </c>
      <c r="G121" s="12" t="s">
        <v>0</v>
      </c>
      <c r="H121" s="39">
        <v>1300</v>
      </c>
      <c r="I121" s="360">
        <v>832</v>
      </c>
      <c r="J121" s="39">
        <f t="shared" si="23"/>
        <v>1000</v>
      </c>
      <c r="K121" s="309">
        <v>0.64</v>
      </c>
      <c r="L121" s="230">
        <f t="shared" si="38"/>
        <v>0</v>
      </c>
      <c r="M121" s="196"/>
      <c r="N121" s="142">
        <v>1000</v>
      </c>
      <c r="O121" s="503">
        <v>1300</v>
      </c>
      <c r="P121" s="309">
        <f t="shared" si="34"/>
        <v>832</v>
      </c>
      <c r="Q121" s="235" t="str">
        <f t="shared" si="37"/>
        <v>КЦИР 757.125.001-04</v>
      </c>
      <c r="R121" s="306">
        <f t="shared" si="35"/>
        <v>1.1399999999999999</v>
      </c>
      <c r="S121" s="319">
        <v>0.95</v>
      </c>
      <c r="T121" s="353">
        <f t="shared" si="32"/>
        <v>950</v>
      </c>
      <c r="U121" s="70">
        <v>100</v>
      </c>
      <c r="V121" s="20">
        <f t="shared" si="33"/>
        <v>1000</v>
      </c>
      <c r="W121" s="52">
        <f t="shared" si="36"/>
        <v>1900</v>
      </c>
      <c r="X121" s="148">
        <f>100*10</f>
        <v>1000</v>
      </c>
      <c r="Y121" s="20"/>
      <c r="Z121" s="20"/>
      <c r="AA121" s="20">
        <v>8920</v>
      </c>
      <c r="AB121" s="417" t="s">
        <v>598</v>
      </c>
      <c r="AC121" s="200"/>
      <c r="AD121" s="160"/>
      <c r="AE121" s="163"/>
      <c r="AF121" s="171"/>
      <c r="AG121" s="192"/>
      <c r="AH121" s="16"/>
      <c r="AI121" s="16"/>
      <c r="AJ121" s="185"/>
      <c r="AK121" s="435"/>
      <c r="AL121" s="476"/>
    </row>
    <row r="122" spans="1:74" s="4" customFormat="1" ht="26.25" hidden="1" customHeight="1" x14ac:dyDescent="0.25">
      <c r="A122" s="10"/>
      <c r="B122" s="11"/>
      <c r="C122" s="6" t="s">
        <v>18</v>
      </c>
      <c r="D122" s="23" t="s">
        <v>142</v>
      </c>
      <c r="E122" s="1" t="s">
        <v>372</v>
      </c>
      <c r="F122" s="387" t="s">
        <v>375</v>
      </c>
      <c r="G122" s="48" t="s">
        <v>0</v>
      </c>
      <c r="H122" s="39">
        <v>0</v>
      </c>
      <c r="I122" s="309">
        <v>0</v>
      </c>
      <c r="J122" s="39">
        <f t="shared" si="23"/>
        <v>0</v>
      </c>
      <c r="K122" s="309">
        <f>R122/1.4</f>
        <v>0.34</v>
      </c>
      <c r="L122" s="230">
        <f t="shared" si="38"/>
        <v>0</v>
      </c>
      <c r="M122" s="89"/>
      <c r="N122" s="140"/>
      <c r="O122" s="39">
        <v>0</v>
      </c>
      <c r="P122" s="507">
        <f t="shared" si="34"/>
        <v>0</v>
      </c>
      <c r="Q122" s="264" t="str">
        <f t="shared" si="37"/>
        <v>К19,5х10,2х3,2</v>
      </c>
      <c r="R122" s="377">
        <f t="shared" si="35"/>
        <v>0.48</v>
      </c>
      <c r="S122" s="322">
        <v>0.4</v>
      </c>
      <c r="T122" s="353">
        <f t="shared" si="32"/>
        <v>0</v>
      </c>
      <c r="U122" s="18">
        <v>0</v>
      </c>
      <c r="V122" s="20">
        <f t="shared" si="33"/>
        <v>0</v>
      </c>
      <c r="W122" s="52">
        <f t="shared" si="36"/>
        <v>0</v>
      </c>
      <c r="X122" s="18">
        <v>0</v>
      </c>
      <c r="Y122" s="18"/>
      <c r="Z122" s="102">
        <v>1</v>
      </c>
      <c r="AA122" s="18"/>
      <c r="AB122" s="420"/>
      <c r="AC122" s="200"/>
      <c r="AD122" s="160"/>
      <c r="AE122" s="163"/>
      <c r="AF122" s="171"/>
      <c r="AG122" s="192"/>
      <c r="AH122" s="128"/>
      <c r="AI122" s="129"/>
      <c r="AJ122" s="182"/>
    </row>
    <row r="123" spans="1:74" ht="26.25" customHeight="1" x14ac:dyDescent="0.25">
      <c r="B123" s="11">
        <v>42</v>
      </c>
      <c r="C123" s="6" t="s">
        <v>18</v>
      </c>
      <c r="D123" s="23" t="s">
        <v>142</v>
      </c>
      <c r="E123" s="104" t="s">
        <v>28</v>
      </c>
      <c r="F123" s="208" t="s">
        <v>50</v>
      </c>
      <c r="G123" s="12" t="s">
        <v>0</v>
      </c>
      <c r="H123" s="39">
        <v>11778</v>
      </c>
      <c r="I123" s="360">
        <v>1884.48</v>
      </c>
      <c r="J123" s="39">
        <f t="shared" si="23"/>
        <v>7680</v>
      </c>
      <c r="K123" s="309">
        <f>R123/1.4</f>
        <v>0.16</v>
      </c>
      <c r="L123" s="230">
        <f t="shared" si="38"/>
        <v>0</v>
      </c>
      <c r="M123" s="194"/>
      <c r="N123" s="142">
        <v>11778</v>
      </c>
      <c r="O123" s="503">
        <v>7680</v>
      </c>
      <c r="P123" s="309">
        <f t="shared" si="34"/>
        <v>1228.8</v>
      </c>
      <c r="Q123" s="235" t="str">
        <f t="shared" si="37"/>
        <v>П10х20х33</v>
      </c>
      <c r="R123" s="306">
        <f t="shared" si="35"/>
        <v>0.23</v>
      </c>
      <c r="S123" s="319">
        <v>0.19</v>
      </c>
      <c r="T123" s="353">
        <f t="shared" si="32"/>
        <v>1459.2</v>
      </c>
      <c r="U123" s="70">
        <v>3360</v>
      </c>
      <c r="V123" s="20">
        <f t="shared" si="33"/>
        <v>11778</v>
      </c>
      <c r="W123" s="52">
        <f t="shared" si="36"/>
        <v>16098</v>
      </c>
      <c r="X123" s="148">
        <f>6720+2*480</f>
        <v>7680</v>
      </c>
      <c r="Y123" s="20"/>
      <c r="Z123" s="20">
        <v>1</v>
      </c>
      <c r="AA123" s="20">
        <f>98400</f>
        <v>98400</v>
      </c>
      <c r="AB123" s="417" t="s">
        <v>599</v>
      </c>
      <c r="AC123" s="200"/>
      <c r="AD123" s="160"/>
      <c r="AE123" s="163"/>
      <c r="AF123" s="171"/>
      <c r="AG123" s="192"/>
      <c r="AH123" s="16"/>
      <c r="AI123" s="16"/>
      <c r="AJ123" s="185"/>
      <c r="AK123" s="435"/>
      <c r="AL123" s="476"/>
    </row>
    <row r="124" spans="1:74" s="4" customFormat="1" ht="26.25" hidden="1" customHeight="1" x14ac:dyDescent="0.25">
      <c r="A124" s="10"/>
      <c r="B124" s="11"/>
      <c r="C124" s="6" t="s">
        <v>18</v>
      </c>
      <c r="D124" s="23" t="s">
        <v>142</v>
      </c>
      <c r="E124" s="104" t="s">
        <v>165</v>
      </c>
      <c r="F124" s="531" t="s">
        <v>164</v>
      </c>
      <c r="G124" s="48" t="s">
        <v>0</v>
      </c>
      <c r="H124" s="39"/>
      <c r="I124" s="360">
        <v>0</v>
      </c>
      <c r="J124" s="39">
        <f t="shared" si="23"/>
        <v>0</v>
      </c>
      <c r="K124" s="309">
        <f>R124/1.4</f>
        <v>0.19</v>
      </c>
      <c r="L124" s="230">
        <f t="shared" si="38"/>
        <v>0</v>
      </c>
      <c r="M124" s="205"/>
      <c r="N124" s="140"/>
      <c r="O124" s="503"/>
      <c r="P124" s="309">
        <f t="shared" si="34"/>
        <v>0</v>
      </c>
      <c r="Q124" s="235" t="str">
        <f t="shared" si="37"/>
        <v>П10х20х33-Литопласт</v>
      </c>
      <c r="R124" s="306">
        <f t="shared" si="35"/>
        <v>0.26</v>
      </c>
      <c r="S124" s="336">
        <v>0.22</v>
      </c>
      <c r="T124" s="353">
        <f t="shared" si="32"/>
        <v>0</v>
      </c>
      <c r="U124" s="20"/>
      <c r="V124" s="20">
        <f t="shared" si="33"/>
        <v>0</v>
      </c>
      <c r="W124" s="52">
        <f t="shared" si="36"/>
        <v>0</v>
      </c>
      <c r="X124" s="20"/>
      <c r="Y124" s="20"/>
      <c r="Z124" s="20"/>
      <c r="AA124" s="20">
        <f>38880</f>
        <v>38880</v>
      </c>
      <c r="AB124" s="417" t="s">
        <v>600</v>
      </c>
      <c r="AC124" s="200"/>
      <c r="AD124" s="160"/>
      <c r="AE124" s="163"/>
      <c r="AF124" s="171"/>
      <c r="AG124" s="192"/>
      <c r="AH124" s="128"/>
      <c r="AI124" s="129"/>
      <c r="AJ124" s="182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</row>
    <row r="125" spans="1:74" ht="26.25" customHeight="1" x14ac:dyDescent="0.25">
      <c r="B125" s="11">
        <v>43</v>
      </c>
      <c r="C125" s="6" t="s">
        <v>18</v>
      </c>
      <c r="D125" s="23" t="s">
        <v>142</v>
      </c>
      <c r="E125" s="104" t="s">
        <v>531</v>
      </c>
      <c r="F125" s="208" t="s">
        <v>49</v>
      </c>
      <c r="G125" s="12" t="s">
        <v>0</v>
      </c>
      <c r="H125" s="39">
        <v>2326</v>
      </c>
      <c r="I125" s="360">
        <v>907.14</v>
      </c>
      <c r="J125" s="39">
        <f t="shared" si="23"/>
        <v>0</v>
      </c>
      <c r="K125" s="309">
        <f>R125/1.4</f>
        <v>0.39</v>
      </c>
      <c r="L125" s="230">
        <f t="shared" si="38"/>
        <v>0</v>
      </c>
      <c r="M125" s="205"/>
      <c r="N125" s="140"/>
      <c r="O125" s="503">
        <f>3186-260-100-500</f>
        <v>2326</v>
      </c>
      <c r="P125" s="309">
        <f t="shared" si="34"/>
        <v>907.14</v>
      </c>
      <c r="Q125" s="235" t="str">
        <f t="shared" si="37"/>
        <v>К22,4х8,9х10 ЭПГ110.138</v>
      </c>
      <c r="R125" s="306">
        <f t="shared" si="35"/>
        <v>0.55000000000000004</v>
      </c>
      <c r="S125" s="319">
        <v>0.46</v>
      </c>
      <c r="T125" s="353">
        <f t="shared" si="32"/>
        <v>0</v>
      </c>
      <c r="U125" s="20"/>
      <c r="V125" s="20">
        <f t="shared" si="33"/>
        <v>0</v>
      </c>
      <c r="W125" s="52">
        <f t="shared" si="36"/>
        <v>0</v>
      </c>
      <c r="X125" s="20"/>
      <c r="Y125" s="20"/>
      <c r="Z125" s="20"/>
      <c r="AA125" s="20">
        <v>1350</v>
      </c>
      <c r="AB125" s="417"/>
      <c r="AC125" s="200"/>
      <c r="AD125" s="160"/>
      <c r="AE125" s="163"/>
      <c r="AF125" s="171"/>
      <c r="AG125" s="192"/>
      <c r="AH125" s="16"/>
      <c r="AI125" s="16"/>
      <c r="AJ125" s="185"/>
      <c r="AK125" s="125"/>
    </row>
    <row r="126" spans="1:74" ht="26.25" hidden="1" customHeight="1" x14ac:dyDescent="0.25">
      <c r="B126" s="11"/>
      <c r="C126" s="6" t="s">
        <v>18</v>
      </c>
      <c r="D126" s="23" t="s">
        <v>142</v>
      </c>
      <c r="E126" s="104" t="s">
        <v>470</v>
      </c>
      <c r="F126" s="383">
        <v>1248</v>
      </c>
      <c r="G126" s="48"/>
      <c r="H126" s="39"/>
      <c r="I126" s="309">
        <v>0</v>
      </c>
      <c r="J126" s="39">
        <f t="shared" si="23"/>
        <v>0</v>
      </c>
      <c r="K126" s="309"/>
      <c r="L126" s="230">
        <f t="shared" si="38"/>
        <v>0</v>
      </c>
      <c r="M126" s="89"/>
      <c r="N126" s="142"/>
      <c r="O126" s="39"/>
      <c r="P126" s="490">
        <f t="shared" si="34"/>
        <v>0</v>
      </c>
      <c r="Q126" s="262" t="str">
        <f t="shared" si="37"/>
        <v>П20х16х2,5</v>
      </c>
      <c r="R126" s="377">
        <f t="shared" si="35"/>
        <v>0.12</v>
      </c>
      <c r="S126" s="322">
        <v>0.1</v>
      </c>
      <c r="T126" s="353">
        <f t="shared" si="32"/>
        <v>0</v>
      </c>
      <c r="U126" s="20"/>
      <c r="V126" s="20">
        <f t="shared" si="33"/>
        <v>0</v>
      </c>
      <c r="W126" s="52">
        <f t="shared" si="36"/>
        <v>0</v>
      </c>
      <c r="X126" s="20"/>
      <c r="Y126" s="20"/>
      <c r="Z126" s="20"/>
      <c r="AA126" s="20"/>
      <c r="AB126" s="417"/>
      <c r="AC126" s="200"/>
      <c r="AD126" s="160"/>
      <c r="AE126" s="163"/>
      <c r="AF126" s="171"/>
      <c r="AG126" s="192"/>
      <c r="AH126" s="128"/>
      <c r="AI126" s="129"/>
      <c r="AK126" s="10"/>
    </row>
    <row r="127" spans="1:74" ht="26.25" hidden="1" customHeight="1" x14ac:dyDescent="0.25">
      <c r="B127" s="15"/>
      <c r="C127" s="6" t="s">
        <v>129</v>
      </c>
      <c r="D127" s="23" t="s">
        <v>142</v>
      </c>
      <c r="E127" s="104" t="s">
        <v>130</v>
      </c>
      <c r="F127" s="391" t="s">
        <v>198</v>
      </c>
      <c r="G127" s="19" t="s">
        <v>0</v>
      </c>
      <c r="H127" s="39">
        <v>0</v>
      </c>
      <c r="I127" s="309">
        <v>0</v>
      </c>
      <c r="J127" s="39">
        <f t="shared" si="23"/>
        <v>0</v>
      </c>
      <c r="K127" s="309">
        <f>R127/1.4</f>
        <v>1.59</v>
      </c>
      <c r="L127" s="230">
        <f t="shared" si="38"/>
        <v>0</v>
      </c>
      <c r="M127" s="60"/>
      <c r="N127" s="140"/>
      <c r="O127" s="39">
        <v>0</v>
      </c>
      <c r="P127" s="497">
        <f t="shared" si="34"/>
        <v>0</v>
      </c>
      <c r="Q127" s="263" t="str">
        <f t="shared" si="37"/>
        <v>К21,5х15х2 (8ПМ610.033)</v>
      </c>
      <c r="R127" s="377">
        <f t="shared" si="35"/>
        <v>2.2200000000000002</v>
      </c>
      <c r="S127" s="320">
        <v>1.85</v>
      </c>
      <c r="T127" s="353">
        <f t="shared" si="32"/>
        <v>0</v>
      </c>
      <c r="U127" s="18"/>
      <c r="V127" s="20">
        <f t="shared" si="33"/>
        <v>0</v>
      </c>
      <c r="W127" s="52">
        <f t="shared" si="36"/>
        <v>0</v>
      </c>
      <c r="X127" s="18"/>
      <c r="Y127" s="18"/>
      <c r="Z127" s="18">
        <v>1</v>
      </c>
      <c r="AA127" s="18"/>
      <c r="AB127" s="418"/>
      <c r="AC127" s="200"/>
      <c r="AD127" s="160"/>
      <c r="AE127" s="163"/>
      <c r="AF127" s="171"/>
      <c r="AG127" s="192"/>
      <c r="AH127" s="128"/>
      <c r="AI127" s="129"/>
      <c r="AK127" s="10"/>
      <c r="AL127" s="476"/>
    </row>
    <row r="128" spans="1:74" ht="26.25" hidden="1" customHeight="1" x14ac:dyDescent="0.25">
      <c r="B128" s="11"/>
      <c r="C128" s="6" t="s">
        <v>18</v>
      </c>
      <c r="D128" s="23" t="s">
        <v>142</v>
      </c>
      <c r="E128" s="104" t="s">
        <v>817</v>
      </c>
      <c r="F128" s="210">
        <v>1289</v>
      </c>
      <c r="G128" s="48" t="s">
        <v>0</v>
      </c>
      <c r="H128" s="39"/>
      <c r="I128" s="360">
        <v>0</v>
      </c>
      <c r="J128" s="39">
        <f t="shared" si="23"/>
        <v>0</v>
      </c>
      <c r="K128" s="309">
        <f>R128/1.4</f>
        <v>0.04</v>
      </c>
      <c r="L128" s="230">
        <f t="shared" ref="L128:L147" si="39">K128*J425</f>
        <v>0</v>
      </c>
      <c r="M128" s="88"/>
      <c r="N128" s="140"/>
      <c r="O128" s="39"/>
      <c r="P128" s="309">
        <f t="shared" si="34"/>
        <v>0</v>
      </c>
      <c r="Q128" s="51" t="str">
        <f t="shared" si="37"/>
        <v>Д13,5х2</v>
      </c>
      <c r="R128" s="377">
        <f t="shared" si="35"/>
        <v>0.06</v>
      </c>
      <c r="S128" s="337">
        <v>0.05</v>
      </c>
      <c r="T128" s="353">
        <f t="shared" si="32"/>
        <v>0</v>
      </c>
      <c r="U128" s="20"/>
      <c r="V128" s="20">
        <f t="shared" si="33"/>
        <v>0</v>
      </c>
      <c r="W128" s="52">
        <f t="shared" si="36"/>
        <v>0</v>
      </c>
      <c r="X128" s="20"/>
      <c r="Y128" s="20"/>
      <c r="Z128" s="20"/>
      <c r="AA128" s="20"/>
      <c r="AB128" s="417"/>
      <c r="AC128" s="200"/>
      <c r="AD128" s="160"/>
      <c r="AE128" s="163"/>
      <c r="AF128" s="171"/>
      <c r="AG128" s="192"/>
      <c r="AH128" s="16"/>
      <c r="AI128" s="16"/>
      <c r="AJ128" s="185"/>
      <c r="AK128" s="125"/>
    </row>
    <row r="129" spans="1:241" s="5" customFormat="1" ht="26.25" hidden="1" customHeight="1" thickBot="1" x14ac:dyDescent="0.3">
      <c r="B129" s="14"/>
      <c r="C129" s="6" t="s">
        <v>18</v>
      </c>
      <c r="D129" s="23" t="s">
        <v>142</v>
      </c>
      <c r="E129" s="104" t="s">
        <v>502</v>
      </c>
      <c r="F129" s="390">
        <v>761</v>
      </c>
      <c r="G129" s="12" t="s">
        <v>0</v>
      </c>
      <c r="H129" s="39"/>
      <c r="I129" s="309">
        <v>0</v>
      </c>
      <c r="J129" s="39">
        <f t="shared" si="23"/>
        <v>0</v>
      </c>
      <c r="K129" s="309">
        <f>R129/1.4</f>
        <v>1.03</v>
      </c>
      <c r="L129" s="230">
        <f t="shared" si="39"/>
        <v>0</v>
      </c>
      <c r="M129" s="42"/>
      <c r="N129" s="140"/>
      <c r="O129" s="39"/>
      <c r="P129" s="490">
        <f t="shared" si="34"/>
        <v>0</v>
      </c>
      <c r="Q129" s="256" t="str">
        <f t="shared" si="37"/>
        <v>Д15х7х5</v>
      </c>
      <c r="R129" s="377">
        <f t="shared" si="35"/>
        <v>1.44</v>
      </c>
      <c r="S129" s="319">
        <v>1.2</v>
      </c>
      <c r="T129" s="353">
        <f t="shared" si="32"/>
        <v>0</v>
      </c>
      <c r="U129" s="18"/>
      <c r="V129" s="20">
        <f t="shared" si="33"/>
        <v>0</v>
      </c>
      <c r="W129" s="52">
        <f t="shared" si="36"/>
        <v>0</v>
      </c>
      <c r="X129" s="18"/>
      <c r="Y129" s="18"/>
      <c r="Z129" s="102">
        <v>1</v>
      </c>
      <c r="AA129" s="18"/>
      <c r="AB129" s="420"/>
      <c r="AC129" s="18"/>
      <c r="AD129" s="160"/>
      <c r="AE129" s="164"/>
      <c r="AF129" s="160"/>
      <c r="AG129" s="173"/>
      <c r="AH129" s="14"/>
      <c r="AI129" s="14"/>
      <c r="AJ129" s="178"/>
      <c r="AK129" s="135"/>
    </row>
    <row r="130" spans="1:241" ht="26.25" hidden="1" customHeight="1" x14ac:dyDescent="0.25">
      <c r="B130" s="15"/>
      <c r="C130" s="6" t="s">
        <v>18</v>
      </c>
      <c r="D130" s="23" t="s">
        <v>142</v>
      </c>
      <c r="E130" s="106" t="s">
        <v>185</v>
      </c>
      <c r="F130" s="386">
        <v>879</v>
      </c>
      <c r="G130" s="19" t="s">
        <v>0</v>
      </c>
      <c r="H130" s="39"/>
      <c r="I130" s="309">
        <v>0</v>
      </c>
      <c r="J130" s="39">
        <f t="shared" si="23"/>
        <v>0</v>
      </c>
      <c r="K130" s="309">
        <f>R130/1.4</f>
        <v>0.39</v>
      </c>
      <c r="L130" s="230">
        <f t="shared" si="39"/>
        <v>0</v>
      </c>
      <c r="M130" s="42" t="s">
        <v>155</v>
      </c>
      <c r="N130" s="140"/>
      <c r="O130" s="39"/>
      <c r="P130" s="309">
        <f t="shared" si="34"/>
        <v>0</v>
      </c>
      <c r="Q130" s="262" t="str">
        <f t="shared" si="37"/>
        <v>К9,7х4,5х12,5</v>
      </c>
      <c r="R130" s="377">
        <f t="shared" si="35"/>
        <v>0.54</v>
      </c>
      <c r="S130" s="320">
        <v>0.45</v>
      </c>
      <c r="T130" s="353">
        <f t="shared" si="32"/>
        <v>0</v>
      </c>
      <c r="U130" s="18">
        <v>0</v>
      </c>
      <c r="V130" s="20">
        <f t="shared" si="33"/>
        <v>0</v>
      </c>
      <c r="W130" s="52">
        <f t="shared" si="36"/>
        <v>0</v>
      </c>
      <c r="X130" s="18">
        <v>0</v>
      </c>
      <c r="Y130" s="18"/>
      <c r="Z130" s="18"/>
      <c r="AA130" s="18"/>
      <c r="AB130" s="418"/>
      <c r="AC130" s="200"/>
      <c r="AD130" s="160"/>
      <c r="AE130" s="163"/>
      <c r="AF130" s="171"/>
      <c r="AG130" s="192"/>
      <c r="AH130" s="128"/>
      <c r="AI130" s="129"/>
      <c r="AK130" s="10"/>
    </row>
    <row r="131" spans="1:241" s="21" customFormat="1" ht="26.25" hidden="1" customHeight="1" x14ac:dyDescent="0.25">
      <c r="B131" s="15"/>
      <c r="C131" s="6" t="s">
        <v>18</v>
      </c>
      <c r="D131" s="23" t="s">
        <v>142</v>
      </c>
      <c r="E131" s="104" t="s">
        <v>515</v>
      </c>
      <c r="F131" s="526" t="s">
        <v>585</v>
      </c>
      <c r="G131" s="19" t="s">
        <v>0</v>
      </c>
      <c r="H131" s="39"/>
      <c r="I131" s="309">
        <v>0</v>
      </c>
      <c r="J131" s="39">
        <f t="shared" si="23"/>
        <v>0</v>
      </c>
      <c r="K131" s="309">
        <f>R131/1.4</f>
        <v>0.03</v>
      </c>
      <c r="L131" s="230">
        <f t="shared" si="39"/>
        <v>0</v>
      </c>
      <c r="M131" s="271"/>
      <c r="N131" s="140"/>
      <c r="O131" s="39"/>
      <c r="P131" s="309">
        <f t="shared" si="34"/>
        <v>0</v>
      </c>
      <c r="Q131" s="263" t="str">
        <f t="shared" si="37"/>
        <v>П10х5х5</v>
      </c>
      <c r="R131" s="377">
        <f t="shared" si="35"/>
        <v>0.04</v>
      </c>
      <c r="S131" s="320">
        <v>0.03</v>
      </c>
      <c r="T131" s="353">
        <f t="shared" si="32"/>
        <v>0</v>
      </c>
      <c r="U131" s="18">
        <v>91000</v>
      </c>
      <c r="V131" s="20">
        <f t="shared" si="33"/>
        <v>0</v>
      </c>
      <c r="W131" s="52">
        <f t="shared" si="36"/>
        <v>259000</v>
      </c>
      <c r="X131" s="147">
        <f>48*7000+2*7000</f>
        <v>350000</v>
      </c>
      <c r="Y131" s="18"/>
      <c r="Z131" s="18"/>
      <c r="AA131" s="18"/>
      <c r="AB131" s="418"/>
      <c r="AC131" s="200"/>
      <c r="AD131" s="160"/>
      <c r="AE131" s="163"/>
      <c r="AF131" s="171"/>
      <c r="AG131" s="192"/>
      <c r="AH131" s="131"/>
      <c r="AI131" s="132"/>
      <c r="AJ131" s="182"/>
      <c r="AL131" s="480"/>
    </row>
    <row r="132" spans="1:241" s="3" customFormat="1" ht="26.25" customHeight="1" x14ac:dyDescent="0.25">
      <c r="B132" s="11">
        <v>44</v>
      </c>
      <c r="C132" s="6" t="s">
        <v>18</v>
      </c>
      <c r="D132" s="23" t="s">
        <v>142</v>
      </c>
      <c r="E132" s="104" t="s">
        <v>134</v>
      </c>
      <c r="F132" s="526" t="s">
        <v>236</v>
      </c>
      <c r="G132" s="12" t="s">
        <v>0</v>
      </c>
      <c r="H132" s="39">
        <v>180</v>
      </c>
      <c r="I132" s="360">
        <v>143.65</v>
      </c>
      <c r="J132" s="39">
        <f t="shared" si="23"/>
        <v>0</v>
      </c>
      <c r="K132" s="309">
        <v>0.81</v>
      </c>
      <c r="L132" s="230">
        <f t="shared" si="39"/>
        <v>1</v>
      </c>
      <c r="M132" s="89"/>
      <c r="N132" s="140"/>
      <c r="O132" s="503">
        <v>180</v>
      </c>
      <c r="P132" s="466">
        <v>143.65</v>
      </c>
      <c r="Q132" s="235" t="str">
        <f t="shared" si="37"/>
        <v>ЭПГ110.084</v>
      </c>
      <c r="R132" s="377">
        <f t="shared" si="35"/>
        <v>1.1299999999999999</v>
      </c>
      <c r="S132" s="321">
        <v>0.94</v>
      </c>
      <c r="T132" s="353">
        <f t="shared" si="32"/>
        <v>0</v>
      </c>
      <c r="U132" s="18">
        <v>1232</v>
      </c>
      <c r="V132" s="20">
        <f t="shared" si="33"/>
        <v>0</v>
      </c>
      <c r="W132" s="52">
        <f t="shared" si="36"/>
        <v>0</v>
      </c>
      <c r="X132" s="147">
        <f>320*3+272</f>
        <v>1232</v>
      </c>
      <c r="Y132" s="18"/>
      <c r="Z132" s="18"/>
      <c r="AA132" s="18"/>
      <c r="AB132" s="418"/>
      <c r="AC132" s="200"/>
      <c r="AD132" s="160"/>
      <c r="AE132" s="165"/>
      <c r="AF132" s="160"/>
      <c r="AG132" s="175"/>
      <c r="AH132" s="34"/>
      <c r="AI132" s="34"/>
      <c r="AJ132" s="184"/>
      <c r="AK132" s="433"/>
      <c r="AL132" s="474"/>
    </row>
    <row r="133" spans="1:241" ht="26.25" customHeight="1" x14ac:dyDescent="0.25">
      <c r="B133" s="11">
        <v>45</v>
      </c>
      <c r="C133" s="6" t="s">
        <v>18</v>
      </c>
      <c r="D133" s="23" t="s">
        <v>142</v>
      </c>
      <c r="E133" s="104" t="s">
        <v>429</v>
      </c>
      <c r="F133" s="208" t="s">
        <v>68</v>
      </c>
      <c r="G133" s="12" t="s">
        <v>0</v>
      </c>
      <c r="H133" s="39">
        <v>115</v>
      </c>
      <c r="I133" s="360">
        <v>23.95</v>
      </c>
      <c r="J133" s="39">
        <f t="shared" si="23"/>
        <v>0</v>
      </c>
      <c r="K133" s="309">
        <v>0.21</v>
      </c>
      <c r="L133" s="230">
        <f t="shared" si="39"/>
        <v>0</v>
      </c>
      <c r="M133" s="92"/>
      <c r="N133" s="140"/>
      <c r="O133" s="503">
        <v>115</v>
      </c>
      <c r="P133" s="309">
        <v>23.95</v>
      </c>
      <c r="Q133" s="235" t="str">
        <f t="shared" si="37"/>
        <v>ЭПГ 110.139 (К18х10х6)</v>
      </c>
      <c r="R133" s="377">
        <f t="shared" si="35"/>
        <v>0.28999999999999998</v>
      </c>
      <c r="S133" s="338">
        <v>0.24299999999999999</v>
      </c>
      <c r="T133" s="353">
        <f t="shared" si="32"/>
        <v>0</v>
      </c>
      <c r="U133" s="18">
        <v>500</v>
      </c>
      <c r="V133" s="20">
        <f t="shared" si="33"/>
        <v>0</v>
      </c>
      <c r="W133" s="52">
        <f t="shared" si="36"/>
        <v>0</v>
      </c>
      <c r="X133" s="18">
        <v>500</v>
      </c>
      <c r="Y133" s="18"/>
      <c r="Z133" s="18">
        <v>1</v>
      </c>
      <c r="AA133" s="18"/>
      <c r="AB133" s="418"/>
      <c r="AC133" s="200"/>
      <c r="AD133" s="160"/>
      <c r="AE133" s="163"/>
      <c r="AF133" s="171"/>
      <c r="AG133" s="192"/>
      <c r="AH133" s="16"/>
      <c r="AI133" s="16"/>
      <c r="AJ133" s="185"/>
      <c r="AK133" s="435"/>
      <c r="AL133" s="476"/>
    </row>
    <row r="134" spans="1:241" s="4" customFormat="1" ht="26.25" customHeight="1" x14ac:dyDescent="0.25">
      <c r="A134" s="10"/>
      <c r="B134" s="11">
        <v>46</v>
      </c>
      <c r="C134" s="6" t="s">
        <v>18</v>
      </c>
      <c r="D134" s="23" t="s">
        <v>142</v>
      </c>
      <c r="E134" s="87" t="s">
        <v>338</v>
      </c>
      <c r="F134" s="526" t="s">
        <v>534</v>
      </c>
      <c r="G134" s="12" t="s">
        <v>0</v>
      </c>
      <c r="H134" s="39">
        <v>180</v>
      </c>
      <c r="I134" s="360">
        <v>307.8</v>
      </c>
      <c r="J134" s="39">
        <f t="shared" ref="J134:J197" si="40">N134+O134-H134</f>
        <v>0</v>
      </c>
      <c r="K134" s="309">
        <f t="shared" ref="K134:K139" si="41">R134/1.4</f>
        <v>1.71</v>
      </c>
      <c r="L134" s="230">
        <f t="shared" si="39"/>
        <v>0</v>
      </c>
      <c r="M134" s="205"/>
      <c r="N134" s="140"/>
      <c r="O134" s="503">
        <v>180</v>
      </c>
      <c r="P134" s="309">
        <f t="shared" ref="P134:P139" si="42">K134*O134</f>
        <v>307.8</v>
      </c>
      <c r="Q134" s="235" t="str">
        <f t="shared" si="37"/>
        <v>Д12х5,5</v>
      </c>
      <c r="R134" s="306">
        <f t="shared" si="35"/>
        <v>2.4</v>
      </c>
      <c r="S134" s="326">
        <v>2</v>
      </c>
      <c r="T134" s="353">
        <f t="shared" si="32"/>
        <v>0</v>
      </c>
      <c r="U134" s="18">
        <v>0</v>
      </c>
      <c r="V134" s="20">
        <f t="shared" ref="V134:V165" si="43">N134</f>
        <v>0</v>
      </c>
      <c r="W134" s="52">
        <f t="shared" si="36"/>
        <v>0</v>
      </c>
      <c r="X134" s="18">
        <v>0</v>
      </c>
      <c r="Y134" s="18"/>
      <c r="Z134" s="18"/>
      <c r="AA134" s="18"/>
      <c r="AB134" s="418"/>
      <c r="AC134" s="200"/>
      <c r="AD134" s="160"/>
      <c r="AE134" s="163"/>
      <c r="AF134" s="171"/>
      <c r="AG134" s="192"/>
      <c r="AH134" s="128"/>
      <c r="AI134" s="129"/>
      <c r="AJ134" s="182"/>
    </row>
    <row r="135" spans="1:241" s="4" customFormat="1" ht="26.25" customHeight="1" x14ac:dyDescent="0.25">
      <c r="A135" s="10"/>
      <c r="B135" s="11">
        <v>47</v>
      </c>
      <c r="C135" s="6" t="s">
        <v>18</v>
      </c>
      <c r="D135" s="23" t="s">
        <v>142</v>
      </c>
      <c r="E135" s="87" t="s">
        <v>450</v>
      </c>
      <c r="F135" s="526" t="s">
        <v>457</v>
      </c>
      <c r="G135" s="12" t="s">
        <v>0</v>
      </c>
      <c r="H135" s="39">
        <v>600</v>
      </c>
      <c r="I135" s="360">
        <v>66</v>
      </c>
      <c r="J135" s="39">
        <f t="shared" si="40"/>
        <v>0</v>
      </c>
      <c r="K135" s="309">
        <f t="shared" si="41"/>
        <v>0.11</v>
      </c>
      <c r="L135" s="230">
        <f t="shared" si="39"/>
        <v>0</v>
      </c>
      <c r="M135" s="42"/>
      <c r="N135" s="140"/>
      <c r="O135" s="503">
        <v>600</v>
      </c>
      <c r="P135" s="309">
        <f t="shared" si="42"/>
        <v>66</v>
      </c>
      <c r="Q135" s="235" t="str">
        <f t="shared" si="37"/>
        <v>п33х20х2,5</v>
      </c>
      <c r="R135" s="377">
        <f t="shared" si="35"/>
        <v>0.16</v>
      </c>
      <c r="S135" s="319">
        <v>0.13</v>
      </c>
      <c r="T135" s="353">
        <f t="shared" si="32"/>
        <v>0</v>
      </c>
      <c r="U135" s="18">
        <v>0</v>
      </c>
      <c r="V135" s="20">
        <f t="shared" si="43"/>
        <v>0</v>
      </c>
      <c r="W135" s="52">
        <f t="shared" si="36"/>
        <v>0</v>
      </c>
      <c r="X135" s="18">
        <v>0</v>
      </c>
      <c r="Y135" s="18"/>
      <c r="Z135" s="18"/>
      <c r="AA135" s="18"/>
      <c r="AB135" s="418"/>
      <c r="AC135" s="200"/>
      <c r="AD135" s="160"/>
      <c r="AE135" s="163"/>
      <c r="AF135" s="171"/>
      <c r="AG135" s="192"/>
      <c r="AH135" s="128"/>
      <c r="AI135" s="129"/>
      <c r="AJ135" s="182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</row>
    <row r="136" spans="1:241" s="4" customFormat="1" ht="26.25" hidden="1" customHeight="1" x14ac:dyDescent="0.25">
      <c r="A136" s="10"/>
      <c r="B136" s="11"/>
      <c r="C136" s="6" t="s">
        <v>18</v>
      </c>
      <c r="D136" s="23" t="s">
        <v>142</v>
      </c>
      <c r="E136" s="87" t="s">
        <v>818</v>
      </c>
      <c r="F136" s="387" t="s">
        <v>822</v>
      </c>
      <c r="G136" s="14" t="s">
        <v>0</v>
      </c>
      <c r="H136" s="39"/>
      <c r="I136" s="309">
        <v>0</v>
      </c>
      <c r="J136" s="39">
        <f t="shared" si="40"/>
        <v>0</v>
      </c>
      <c r="K136" s="309">
        <f t="shared" si="41"/>
        <v>49.71</v>
      </c>
      <c r="L136" s="230">
        <f t="shared" si="39"/>
        <v>0</v>
      </c>
      <c r="M136" s="89"/>
      <c r="N136" s="140"/>
      <c r="O136" s="39"/>
      <c r="P136" s="467">
        <f t="shared" si="42"/>
        <v>0</v>
      </c>
      <c r="Q136" s="262" t="str">
        <f t="shared" si="37"/>
        <v>К34х26х3</v>
      </c>
      <c r="R136" s="377">
        <f t="shared" si="35"/>
        <v>69.599999999999994</v>
      </c>
      <c r="S136" s="326">
        <v>58</v>
      </c>
      <c r="T136" s="353">
        <f t="shared" ref="T136:T165" si="44">S136*J136</f>
        <v>0</v>
      </c>
      <c r="U136" s="20"/>
      <c r="V136" s="20">
        <f t="shared" si="43"/>
        <v>0</v>
      </c>
      <c r="W136" s="52">
        <f t="shared" si="36"/>
        <v>0</v>
      </c>
      <c r="X136" s="20"/>
      <c r="Y136" s="20"/>
      <c r="Z136" s="199">
        <v>1</v>
      </c>
      <c r="AA136" s="20"/>
      <c r="AB136" s="419"/>
      <c r="AC136" s="200"/>
      <c r="AD136" s="160"/>
      <c r="AE136" s="163"/>
      <c r="AF136" s="171"/>
      <c r="AG136" s="192"/>
      <c r="AH136" s="16"/>
      <c r="AI136" s="16"/>
      <c r="AJ136" s="185"/>
      <c r="AK136" s="126"/>
    </row>
    <row r="137" spans="1:241" ht="26.25" hidden="1" customHeight="1" x14ac:dyDescent="0.25">
      <c r="B137" s="11"/>
      <c r="C137" s="6" t="s">
        <v>18</v>
      </c>
      <c r="D137" s="23" t="s">
        <v>142</v>
      </c>
      <c r="E137" s="107" t="s">
        <v>114</v>
      </c>
      <c r="F137" s="210" t="s">
        <v>117</v>
      </c>
      <c r="G137" s="48" t="s">
        <v>0</v>
      </c>
      <c r="H137" s="39"/>
      <c r="I137" s="309">
        <v>0</v>
      </c>
      <c r="J137" s="39">
        <f t="shared" si="40"/>
        <v>0</v>
      </c>
      <c r="K137" s="309">
        <f t="shared" si="41"/>
        <v>0.01</v>
      </c>
      <c r="L137" s="230">
        <f t="shared" si="39"/>
        <v>0</v>
      </c>
      <c r="M137" s="82"/>
      <c r="N137" s="140"/>
      <c r="O137" s="39"/>
      <c r="P137" s="309">
        <f t="shared" si="42"/>
        <v>0</v>
      </c>
      <c r="Q137" s="235" t="str">
        <f t="shared" si="37"/>
        <v>ЖЕ7.074.896   (К14,2*9,5*4,6)</v>
      </c>
      <c r="R137" s="377">
        <f t="shared" si="35"/>
        <v>0.02</v>
      </c>
      <c r="S137" s="339">
        <v>2.0400000000000001E-2</v>
      </c>
      <c r="T137" s="353">
        <f t="shared" si="44"/>
        <v>0</v>
      </c>
      <c r="U137" s="20">
        <v>12000</v>
      </c>
      <c r="V137" s="20">
        <f t="shared" si="43"/>
        <v>0</v>
      </c>
      <c r="W137" s="52">
        <f t="shared" si="36"/>
        <v>0</v>
      </c>
      <c r="X137" s="20">
        <f>4*3000</f>
        <v>12000</v>
      </c>
      <c r="Y137" s="20"/>
      <c r="Z137" s="20"/>
      <c r="AA137" s="20"/>
      <c r="AB137" s="417"/>
      <c r="AC137" s="200"/>
      <c r="AD137" s="160"/>
      <c r="AE137" s="165"/>
      <c r="AF137" s="160"/>
      <c r="AG137" s="192"/>
      <c r="AH137" s="16"/>
      <c r="AI137" s="16"/>
      <c r="AJ137" s="185"/>
      <c r="AK137" s="435"/>
      <c r="AL137" s="476"/>
    </row>
    <row r="138" spans="1:241" ht="26.25" hidden="1" customHeight="1" x14ac:dyDescent="0.25">
      <c r="B138" s="11"/>
      <c r="C138" s="6" t="s">
        <v>18</v>
      </c>
      <c r="D138" s="23" t="s">
        <v>142</v>
      </c>
      <c r="E138" s="107" t="s">
        <v>173</v>
      </c>
      <c r="F138" s="208" t="s">
        <v>118</v>
      </c>
      <c r="G138" s="48" t="s">
        <v>0</v>
      </c>
      <c r="H138" s="39"/>
      <c r="I138" s="309">
        <v>0</v>
      </c>
      <c r="J138" s="39">
        <f t="shared" si="40"/>
        <v>0</v>
      </c>
      <c r="K138" s="309">
        <f t="shared" si="41"/>
        <v>0.01</v>
      </c>
      <c r="L138" s="230">
        <f t="shared" si="39"/>
        <v>0</v>
      </c>
      <c r="M138" s="204"/>
      <c r="N138" s="140"/>
      <c r="O138" s="39"/>
      <c r="P138" s="309">
        <f t="shared" si="42"/>
        <v>0</v>
      </c>
      <c r="Q138" s="235" t="str">
        <f t="shared" si="37"/>
        <v>ЖЕ7.074.978   (Д14)</v>
      </c>
      <c r="R138" s="377">
        <f t="shared" si="35"/>
        <v>0.02</v>
      </c>
      <c r="S138" s="319">
        <v>1.5599999999999999E-2</v>
      </c>
      <c r="T138" s="353">
        <f t="shared" si="44"/>
        <v>0</v>
      </c>
      <c r="U138" s="18"/>
      <c r="V138" s="20">
        <f t="shared" si="43"/>
        <v>0</v>
      </c>
      <c r="W138" s="52">
        <f t="shared" si="36"/>
        <v>0</v>
      </c>
      <c r="X138" s="18"/>
      <c r="Y138" s="18"/>
      <c r="Z138" s="102">
        <v>1</v>
      </c>
      <c r="AA138" s="18"/>
      <c r="AB138" s="420"/>
      <c r="AC138" s="200"/>
      <c r="AD138" s="160"/>
      <c r="AE138" s="163"/>
      <c r="AF138" s="171"/>
      <c r="AG138" s="192"/>
      <c r="AH138" s="16"/>
      <c r="AI138" s="16"/>
      <c r="AJ138" s="185"/>
      <c r="AK138" s="125"/>
    </row>
    <row r="139" spans="1:241" s="4" customFormat="1" ht="26.25" hidden="1" customHeight="1" x14ac:dyDescent="0.25">
      <c r="A139" s="10"/>
      <c r="B139" s="11"/>
      <c r="C139" s="6" t="s">
        <v>18</v>
      </c>
      <c r="D139" s="23" t="s">
        <v>142</v>
      </c>
      <c r="E139" s="87" t="s">
        <v>532</v>
      </c>
      <c r="F139" s="375">
        <v>1329</v>
      </c>
      <c r="G139" s="14" t="s">
        <v>0</v>
      </c>
      <c r="H139" s="39"/>
      <c r="I139" s="360">
        <v>0</v>
      </c>
      <c r="J139" s="39">
        <f t="shared" si="40"/>
        <v>0</v>
      </c>
      <c r="K139" s="309">
        <f t="shared" si="41"/>
        <v>8.57</v>
      </c>
      <c r="L139" s="230">
        <f t="shared" si="39"/>
        <v>0</v>
      </c>
      <c r="M139" s="205" t="s">
        <v>536</v>
      </c>
      <c r="N139" s="140"/>
      <c r="O139" s="39"/>
      <c r="P139" s="309">
        <f t="shared" si="42"/>
        <v>0</v>
      </c>
      <c r="Q139" s="263" t="str">
        <f t="shared" si="37"/>
        <v>магнитопл П250х25х1</v>
      </c>
      <c r="R139" s="306">
        <f t="shared" si="35"/>
        <v>12</v>
      </c>
      <c r="S139" s="322">
        <v>10</v>
      </c>
      <c r="T139" s="353">
        <f t="shared" si="44"/>
        <v>0</v>
      </c>
      <c r="U139" s="18"/>
      <c r="V139" s="20">
        <f t="shared" si="43"/>
        <v>0</v>
      </c>
      <c r="W139" s="52">
        <f t="shared" si="36"/>
        <v>0</v>
      </c>
      <c r="X139" s="18"/>
      <c r="Y139" s="18"/>
      <c r="Z139" s="102">
        <v>1</v>
      </c>
      <c r="AA139" s="18"/>
      <c r="AB139" s="420"/>
      <c r="AC139" s="200"/>
      <c r="AD139" s="160"/>
      <c r="AE139" s="163"/>
      <c r="AF139" s="171"/>
      <c r="AG139" s="192"/>
      <c r="AH139" s="128"/>
      <c r="AI139" s="129"/>
      <c r="AJ139" s="182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</row>
    <row r="140" spans="1:241" ht="26.25" customHeight="1" x14ac:dyDescent="0.25">
      <c r="B140" s="11">
        <v>48</v>
      </c>
      <c r="C140" s="6" t="s">
        <v>18</v>
      </c>
      <c r="D140" s="23" t="s">
        <v>142</v>
      </c>
      <c r="E140" s="107" t="s">
        <v>122</v>
      </c>
      <c r="F140" s="208" t="s">
        <v>125</v>
      </c>
      <c r="G140" s="12" t="s">
        <v>0</v>
      </c>
      <c r="H140" s="39">
        <v>1300</v>
      </c>
      <c r="I140" s="360">
        <v>149.76</v>
      </c>
      <c r="J140" s="39">
        <f t="shared" si="40"/>
        <v>0</v>
      </c>
      <c r="K140" s="309">
        <v>0.12</v>
      </c>
      <c r="L140" s="230">
        <f t="shared" si="39"/>
        <v>0</v>
      </c>
      <c r="M140" s="92"/>
      <c r="N140" s="140"/>
      <c r="O140" s="503">
        <v>1300</v>
      </c>
      <c r="P140" s="309">
        <v>149.76</v>
      </c>
      <c r="Q140" s="235" t="str">
        <f t="shared" si="37"/>
        <v>ЖЕ7.074.975   (К23,6*9,5*21)</v>
      </c>
      <c r="R140" s="377">
        <f t="shared" si="35"/>
        <v>0.16</v>
      </c>
      <c r="S140" s="319">
        <v>0.13439999999999999</v>
      </c>
      <c r="T140" s="353">
        <f t="shared" si="44"/>
        <v>0</v>
      </c>
      <c r="U140" s="20"/>
      <c r="V140" s="20">
        <f t="shared" si="43"/>
        <v>0</v>
      </c>
      <c r="W140" s="52">
        <f t="shared" si="36"/>
        <v>0</v>
      </c>
      <c r="X140" s="20"/>
      <c r="Y140" s="20"/>
      <c r="Z140" s="199">
        <v>1</v>
      </c>
      <c r="AA140" s="20"/>
      <c r="AB140" s="419"/>
      <c r="AC140" s="200"/>
      <c r="AD140" s="160"/>
      <c r="AE140" s="165"/>
      <c r="AF140" s="160"/>
      <c r="AG140" s="192"/>
      <c r="AH140" s="128"/>
      <c r="AI140" s="129"/>
      <c r="AK140" s="10"/>
    </row>
    <row r="141" spans="1:241" ht="32.25" customHeight="1" x14ac:dyDescent="0.25">
      <c r="B141" s="11">
        <v>49</v>
      </c>
      <c r="C141" s="6" t="s">
        <v>18</v>
      </c>
      <c r="D141" s="23" t="s">
        <v>142</v>
      </c>
      <c r="E141" s="106" t="s">
        <v>248</v>
      </c>
      <c r="F141" s="526" t="s">
        <v>235</v>
      </c>
      <c r="G141" s="12" t="s">
        <v>0</v>
      </c>
      <c r="H141" s="39">
        <v>16000</v>
      </c>
      <c r="I141" s="360">
        <v>640</v>
      </c>
      <c r="J141" s="39">
        <f t="shared" si="40"/>
        <v>40000</v>
      </c>
      <c r="K141" s="309">
        <f>R141/1.4</f>
        <v>0.04</v>
      </c>
      <c r="L141" s="230">
        <f t="shared" si="39"/>
        <v>0</v>
      </c>
      <c r="M141" s="196"/>
      <c r="N141" s="140">
        <v>40000</v>
      </c>
      <c r="O141" s="503">
        <v>16000</v>
      </c>
      <c r="P141" s="309">
        <f>K141*O141</f>
        <v>640</v>
      </c>
      <c r="Q141" s="235" t="str">
        <f t="shared" si="37"/>
        <v>К14,5х10х3,3 ЭПГ110.173</v>
      </c>
      <c r="R141" s="306">
        <f t="shared" si="35"/>
        <v>0.06</v>
      </c>
      <c r="S141" s="322">
        <f>1.52*0.034</f>
        <v>0.05</v>
      </c>
      <c r="T141" s="353">
        <f t="shared" si="44"/>
        <v>2000</v>
      </c>
      <c r="U141" s="430">
        <v>28000</v>
      </c>
      <c r="V141" s="20">
        <f t="shared" si="43"/>
        <v>40000</v>
      </c>
      <c r="W141" s="52">
        <f t="shared" si="36"/>
        <v>16000</v>
      </c>
      <c r="X141" s="147">
        <v>4000</v>
      </c>
      <c r="Y141" s="18"/>
      <c r="Z141" s="18">
        <v>40000</v>
      </c>
      <c r="AA141" s="18">
        <v>80000</v>
      </c>
      <c r="AB141" s="418"/>
      <c r="AC141" s="200"/>
      <c r="AD141" s="160"/>
      <c r="AE141" s="163"/>
      <c r="AF141" s="171"/>
      <c r="AG141" s="192"/>
      <c r="AH141" s="16"/>
      <c r="AI141" s="16"/>
      <c r="AJ141" s="185"/>
      <c r="AK141" s="435"/>
      <c r="AL141" s="476"/>
    </row>
    <row r="142" spans="1:241" ht="26.25" customHeight="1" x14ac:dyDescent="0.25">
      <c r="B142" s="11">
        <v>50</v>
      </c>
      <c r="C142" s="6" t="s">
        <v>18</v>
      </c>
      <c r="D142" s="23" t="s">
        <v>142</v>
      </c>
      <c r="E142" s="104" t="s">
        <v>612</v>
      </c>
      <c r="F142" s="208" t="s">
        <v>174</v>
      </c>
      <c r="G142" s="12" t="s">
        <v>0</v>
      </c>
      <c r="H142" s="39">
        <v>3950</v>
      </c>
      <c r="I142" s="360">
        <v>158</v>
      </c>
      <c r="J142" s="39">
        <f t="shared" si="40"/>
        <v>0</v>
      </c>
      <c r="K142" s="309">
        <f>R142/1.4</f>
        <v>0.04</v>
      </c>
      <c r="L142" s="230">
        <f t="shared" si="39"/>
        <v>0</v>
      </c>
      <c r="M142" s="42"/>
      <c r="N142" s="140"/>
      <c r="O142" s="503">
        <v>3950</v>
      </c>
      <c r="P142" s="309">
        <f>K142*O142</f>
        <v>158</v>
      </c>
      <c r="Q142" s="235" t="str">
        <f t="shared" si="37"/>
        <v xml:space="preserve">Д13.5х2,5 </v>
      </c>
      <c r="R142" s="377">
        <f t="shared" si="35"/>
        <v>0.06</v>
      </c>
      <c r="S142" s="320">
        <v>0.05</v>
      </c>
      <c r="T142" s="353">
        <f t="shared" si="44"/>
        <v>0</v>
      </c>
      <c r="U142" s="20">
        <v>10000</v>
      </c>
      <c r="V142" s="20">
        <f t="shared" si="43"/>
        <v>0</v>
      </c>
      <c r="W142" s="52">
        <f t="shared" si="36"/>
        <v>0</v>
      </c>
      <c r="X142" s="20">
        <f>2*5000</f>
        <v>10000</v>
      </c>
      <c r="Y142" s="20"/>
      <c r="Z142" s="20"/>
      <c r="AA142" s="20"/>
      <c r="AB142" s="417"/>
      <c r="AC142" s="200"/>
      <c r="AD142" s="160"/>
      <c r="AE142" s="163"/>
      <c r="AF142" s="171"/>
      <c r="AG142" s="192"/>
      <c r="AH142" s="16"/>
      <c r="AI142" s="16"/>
      <c r="AJ142" s="185"/>
      <c r="AK142" s="435"/>
      <c r="AL142" s="476"/>
    </row>
    <row r="143" spans="1:241" ht="26.25" customHeight="1" x14ac:dyDescent="0.25">
      <c r="B143" s="11">
        <v>51</v>
      </c>
      <c r="C143" s="6" t="s">
        <v>18</v>
      </c>
      <c r="D143" s="23" t="s">
        <v>142</v>
      </c>
      <c r="E143" s="104" t="s">
        <v>153</v>
      </c>
      <c r="F143" s="208" t="s">
        <v>175</v>
      </c>
      <c r="G143" s="12" t="s">
        <v>0</v>
      </c>
      <c r="H143" s="39">
        <v>1640</v>
      </c>
      <c r="I143" s="360">
        <v>8.36</v>
      </c>
      <c r="J143" s="39">
        <f t="shared" si="40"/>
        <v>0</v>
      </c>
      <c r="K143" s="309">
        <v>0.01</v>
      </c>
      <c r="L143" s="230">
        <f t="shared" si="39"/>
        <v>0</v>
      </c>
      <c r="M143" s="42"/>
      <c r="N143" s="140"/>
      <c r="O143" s="503">
        <f>2000-360</f>
        <v>1640</v>
      </c>
      <c r="P143" s="309">
        <v>8.36</v>
      </c>
      <c r="Q143" s="235" t="str">
        <f t="shared" si="37"/>
        <v>Д13.5х4,5 (ненамаг)</v>
      </c>
      <c r="R143" s="377">
        <f t="shared" si="35"/>
        <v>0.01</v>
      </c>
      <c r="S143" s="320">
        <v>6.0000000000000001E-3</v>
      </c>
      <c r="T143" s="353">
        <f t="shared" si="44"/>
        <v>0</v>
      </c>
      <c r="U143" s="20"/>
      <c r="V143" s="20">
        <f t="shared" si="43"/>
        <v>0</v>
      </c>
      <c r="W143" s="52">
        <f t="shared" si="36"/>
        <v>0</v>
      </c>
      <c r="X143" s="20"/>
      <c r="Y143" s="20"/>
      <c r="Z143" s="20"/>
      <c r="AA143" s="20"/>
      <c r="AB143" s="417"/>
      <c r="AC143" s="200"/>
      <c r="AD143" s="160"/>
      <c r="AE143" s="163"/>
      <c r="AF143" s="171"/>
      <c r="AG143" s="192"/>
      <c r="AH143" s="128"/>
      <c r="AI143" s="129"/>
      <c r="AK143" s="10"/>
    </row>
    <row r="144" spans="1:241" ht="26.25" customHeight="1" x14ac:dyDescent="0.25">
      <c r="B144" s="11">
        <v>52</v>
      </c>
      <c r="C144" s="6" t="s">
        <v>18</v>
      </c>
      <c r="D144" s="23" t="s">
        <v>142</v>
      </c>
      <c r="E144" s="104" t="s">
        <v>32</v>
      </c>
      <c r="F144" s="208" t="s">
        <v>53</v>
      </c>
      <c r="G144" s="12" t="s">
        <v>0</v>
      </c>
      <c r="H144" s="39">
        <v>5000</v>
      </c>
      <c r="I144" s="360">
        <v>43</v>
      </c>
      <c r="J144" s="39">
        <f t="shared" si="40"/>
        <v>0</v>
      </c>
      <c r="K144" s="309">
        <v>0.01</v>
      </c>
      <c r="L144" s="230">
        <f t="shared" si="39"/>
        <v>0</v>
      </c>
      <c r="M144" s="89"/>
      <c r="N144" s="140"/>
      <c r="O144" s="503">
        <v>5000</v>
      </c>
      <c r="P144" s="309">
        <v>43</v>
      </c>
      <c r="Q144" s="235" t="str">
        <f t="shared" si="37"/>
        <v>Д 8,2х6,4</v>
      </c>
      <c r="R144" s="377">
        <f t="shared" ref="R144:R175" si="45">S144*1.2</f>
        <v>0.01</v>
      </c>
      <c r="S144" s="319">
        <v>0.01</v>
      </c>
      <c r="T144" s="353">
        <f t="shared" si="44"/>
        <v>0</v>
      </c>
      <c r="U144" s="20">
        <v>34950</v>
      </c>
      <c r="V144" s="20">
        <f t="shared" si="43"/>
        <v>0</v>
      </c>
      <c r="W144" s="52">
        <f t="shared" ref="W144:W165" si="46">X144-U144+V144</f>
        <v>0</v>
      </c>
      <c r="X144" s="20">
        <f>5000*6+4950</f>
        <v>34950</v>
      </c>
      <c r="Y144" s="20"/>
      <c r="Z144" s="20"/>
      <c r="AA144" s="20"/>
      <c r="AB144" s="417"/>
      <c r="AC144" s="200"/>
      <c r="AD144" s="160"/>
      <c r="AE144" s="163"/>
      <c r="AF144" s="171"/>
      <c r="AG144" s="192"/>
      <c r="AH144" s="16"/>
      <c r="AI144" s="16"/>
      <c r="AJ144" s="185"/>
      <c r="AK144" s="435"/>
      <c r="AL144" s="476"/>
    </row>
    <row r="145" spans="1:74" ht="26.25" customHeight="1" x14ac:dyDescent="0.25">
      <c r="B145" s="11">
        <v>53</v>
      </c>
      <c r="C145" s="6" t="s">
        <v>18</v>
      </c>
      <c r="D145" s="23" t="s">
        <v>142</v>
      </c>
      <c r="E145" s="105" t="s">
        <v>86</v>
      </c>
      <c r="F145" s="392">
        <v>503</v>
      </c>
      <c r="G145" s="12" t="s">
        <v>0</v>
      </c>
      <c r="H145" s="39">
        <v>2200</v>
      </c>
      <c r="I145" s="360">
        <v>277.2</v>
      </c>
      <c r="J145" s="39">
        <f t="shared" si="40"/>
        <v>0</v>
      </c>
      <c r="K145" s="309">
        <v>0.13</v>
      </c>
      <c r="L145" s="230">
        <f t="shared" si="39"/>
        <v>0</v>
      </c>
      <c r="M145" s="42"/>
      <c r="N145" s="140"/>
      <c r="O145" s="503">
        <v>2200</v>
      </c>
      <c r="P145" s="309">
        <v>277.2</v>
      </c>
      <c r="Q145" s="235" t="str">
        <f t="shared" si="37"/>
        <v>Д16х4</v>
      </c>
      <c r="R145" s="377">
        <f t="shared" si="45"/>
        <v>0.18</v>
      </c>
      <c r="S145" s="319">
        <v>0.14699999999999999</v>
      </c>
      <c r="T145" s="353">
        <f t="shared" si="44"/>
        <v>0</v>
      </c>
      <c r="U145" s="20">
        <v>9000</v>
      </c>
      <c r="V145" s="20">
        <f t="shared" si="43"/>
        <v>0</v>
      </c>
      <c r="W145" s="52">
        <f t="shared" si="46"/>
        <v>0</v>
      </c>
      <c r="X145" s="20">
        <f>3*3000</f>
        <v>9000</v>
      </c>
      <c r="Y145" s="20"/>
      <c r="Z145" s="20"/>
      <c r="AA145" s="20"/>
      <c r="AB145" s="417"/>
      <c r="AC145" s="200"/>
      <c r="AD145" s="160"/>
      <c r="AE145" s="163"/>
      <c r="AF145" s="171"/>
      <c r="AG145" s="192"/>
      <c r="AH145" s="16"/>
      <c r="AI145" s="16"/>
      <c r="AJ145" s="185"/>
      <c r="AK145" s="435"/>
      <c r="AL145" s="476"/>
    </row>
    <row r="146" spans="1:74" ht="26.25" customHeight="1" x14ac:dyDescent="0.25">
      <c r="B146" s="11">
        <v>54</v>
      </c>
      <c r="C146" s="6" t="s">
        <v>18</v>
      </c>
      <c r="D146" s="23" t="s">
        <v>142</v>
      </c>
      <c r="E146" s="86" t="s">
        <v>83</v>
      </c>
      <c r="F146" s="392" t="s">
        <v>52</v>
      </c>
      <c r="G146" s="12" t="s">
        <v>0</v>
      </c>
      <c r="H146" s="39">
        <v>1500</v>
      </c>
      <c r="I146" s="360">
        <v>9255</v>
      </c>
      <c r="J146" s="39">
        <f t="shared" si="40"/>
        <v>1395</v>
      </c>
      <c r="K146" s="309">
        <f>R146/1.4</f>
        <v>6.17</v>
      </c>
      <c r="L146" s="230">
        <f t="shared" si="39"/>
        <v>0</v>
      </c>
      <c r="M146" s="196"/>
      <c r="N146" s="140">
        <v>495</v>
      </c>
      <c r="O146" s="503">
        <v>2400</v>
      </c>
      <c r="P146" s="309">
        <f t="shared" ref="P146:P165" si="47">K146*O146</f>
        <v>14808</v>
      </c>
      <c r="Q146" s="235" t="str">
        <f t="shared" si="37"/>
        <v>Якорь магн.однор.(200 шт в к-те)</v>
      </c>
      <c r="R146" s="306">
        <f t="shared" si="45"/>
        <v>8.64</v>
      </c>
      <c r="S146" s="319">
        <v>7.2</v>
      </c>
      <c r="T146" s="353">
        <f t="shared" si="44"/>
        <v>10044</v>
      </c>
      <c r="U146" s="70">
        <v>2685</v>
      </c>
      <c r="V146" s="20">
        <f t="shared" si="43"/>
        <v>495</v>
      </c>
      <c r="W146" s="52">
        <f t="shared" si="46"/>
        <v>495</v>
      </c>
      <c r="X146" s="148">
        <f>179*15</f>
        <v>2685</v>
      </c>
      <c r="Y146" s="20"/>
      <c r="Z146" s="20"/>
      <c r="AA146" s="20">
        <v>10215</v>
      </c>
      <c r="AB146" s="417"/>
      <c r="AC146" s="200"/>
      <c r="AD146" s="160"/>
      <c r="AE146" s="163"/>
      <c r="AF146" s="171"/>
      <c r="AG146" s="192"/>
      <c r="AH146" s="16"/>
      <c r="AI146" s="16"/>
      <c r="AJ146" s="185"/>
      <c r="AK146" s="435"/>
      <c r="AL146" s="476"/>
    </row>
    <row r="147" spans="1:74" s="4" customFormat="1" ht="26.25" customHeight="1" x14ac:dyDescent="0.25">
      <c r="A147" s="10"/>
      <c r="B147" s="11">
        <v>55</v>
      </c>
      <c r="C147" s="6" t="s">
        <v>18</v>
      </c>
      <c r="D147" s="23" t="s">
        <v>142</v>
      </c>
      <c r="E147" s="104" t="s">
        <v>225</v>
      </c>
      <c r="F147" s="383">
        <v>1177</v>
      </c>
      <c r="G147" s="12" t="s">
        <v>0</v>
      </c>
      <c r="H147" s="39">
        <v>1000</v>
      </c>
      <c r="I147" s="360">
        <v>90</v>
      </c>
      <c r="J147" s="39">
        <f t="shared" si="40"/>
        <v>0</v>
      </c>
      <c r="K147" s="309">
        <v>0.09</v>
      </c>
      <c r="L147" s="230">
        <f t="shared" si="39"/>
        <v>0</v>
      </c>
      <c r="M147" s="42"/>
      <c r="N147" s="140"/>
      <c r="O147" s="503">
        <v>1000</v>
      </c>
      <c r="P147" s="309">
        <f t="shared" si="47"/>
        <v>90</v>
      </c>
      <c r="Q147" s="235" t="str">
        <f t="shared" si="37"/>
        <v>Д18х3</v>
      </c>
      <c r="R147" s="377">
        <f t="shared" si="45"/>
        <v>0.1</v>
      </c>
      <c r="S147" s="326">
        <v>0.08</v>
      </c>
      <c r="T147" s="353">
        <f t="shared" si="44"/>
        <v>0</v>
      </c>
      <c r="U147" s="18"/>
      <c r="V147" s="20">
        <f t="shared" si="43"/>
        <v>0</v>
      </c>
      <c r="W147" s="52">
        <f t="shared" si="46"/>
        <v>0</v>
      </c>
      <c r="X147" s="18"/>
      <c r="Y147" s="18"/>
      <c r="Z147" s="18"/>
      <c r="AA147" s="18"/>
      <c r="AB147" s="418"/>
      <c r="AC147" s="200"/>
      <c r="AD147" s="160"/>
      <c r="AE147" s="163"/>
      <c r="AF147" s="171"/>
      <c r="AG147" s="192"/>
      <c r="AH147" s="128"/>
      <c r="AI147" s="129"/>
      <c r="AJ147" s="182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</row>
    <row r="148" spans="1:74" s="4" customFormat="1" ht="26.25" hidden="1" customHeight="1" x14ac:dyDescent="0.25">
      <c r="A148" s="10"/>
      <c r="B148" s="11"/>
      <c r="C148" s="6" t="s">
        <v>18</v>
      </c>
      <c r="D148" s="23" t="s">
        <v>142</v>
      </c>
      <c r="E148" s="86" t="s">
        <v>574</v>
      </c>
      <c r="F148" s="384">
        <v>1372</v>
      </c>
      <c r="G148" s="12" t="s">
        <v>0</v>
      </c>
      <c r="H148" s="39"/>
      <c r="I148" s="360">
        <v>0</v>
      </c>
      <c r="J148" s="39">
        <f t="shared" si="40"/>
        <v>0</v>
      </c>
      <c r="K148" s="309">
        <f t="shared" ref="K148:K179" si="48">R148/1.4</f>
        <v>0.14000000000000001</v>
      </c>
      <c r="L148" s="230"/>
      <c r="M148" s="42"/>
      <c r="N148" s="140"/>
      <c r="O148" s="39"/>
      <c r="P148" s="309">
        <f t="shared" si="47"/>
        <v>0</v>
      </c>
      <c r="Q148" s="404" t="str">
        <f t="shared" si="37"/>
        <v>Круглый магнит аурикулярный Д2,5</v>
      </c>
      <c r="R148" s="377">
        <f t="shared" si="45"/>
        <v>0.19</v>
      </c>
      <c r="S148" s="326">
        <f>5.28*0.03</f>
        <v>0.16</v>
      </c>
      <c r="T148" s="353">
        <f t="shared" si="44"/>
        <v>0</v>
      </c>
      <c r="U148" s="20"/>
      <c r="V148" s="20">
        <f t="shared" si="43"/>
        <v>0</v>
      </c>
      <c r="W148" s="52">
        <f t="shared" si="46"/>
        <v>0</v>
      </c>
      <c r="X148" s="20"/>
      <c r="Y148" s="20"/>
      <c r="Z148" s="20"/>
      <c r="AA148" s="20"/>
      <c r="AB148" s="417"/>
      <c r="AC148" s="200"/>
      <c r="AD148" s="160"/>
      <c r="AE148" s="163"/>
      <c r="AF148" s="171"/>
      <c r="AG148" s="192"/>
      <c r="AH148" s="128"/>
      <c r="AI148" s="129"/>
      <c r="AJ148" s="182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</row>
    <row r="149" spans="1:74" s="4" customFormat="1" ht="26.25" hidden="1" customHeight="1" x14ac:dyDescent="0.25">
      <c r="A149" s="10"/>
      <c r="B149" s="11"/>
      <c r="C149" s="6" t="s">
        <v>18</v>
      </c>
      <c r="D149" s="23" t="s">
        <v>142</v>
      </c>
      <c r="E149" s="86" t="s">
        <v>575</v>
      </c>
      <c r="F149" s="384">
        <v>1373</v>
      </c>
      <c r="G149" s="12" t="s">
        <v>0</v>
      </c>
      <c r="H149" s="39"/>
      <c r="I149" s="360">
        <v>0</v>
      </c>
      <c r="J149" s="39">
        <f t="shared" si="40"/>
        <v>0</v>
      </c>
      <c r="K149" s="309">
        <f t="shared" si="48"/>
        <v>0.14000000000000001</v>
      </c>
      <c r="L149" s="230"/>
      <c r="M149" s="42"/>
      <c r="N149" s="140"/>
      <c r="O149" s="39"/>
      <c r="P149" s="309">
        <f t="shared" si="47"/>
        <v>0</v>
      </c>
      <c r="Q149" s="260" t="str">
        <f t="shared" si="37"/>
        <v>Круглый магнит малый Д3,5</v>
      </c>
      <c r="R149" s="377">
        <f t="shared" si="45"/>
        <v>0.19</v>
      </c>
      <c r="S149" s="326">
        <f>5.28*0.03</f>
        <v>0.16</v>
      </c>
      <c r="T149" s="353">
        <f t="shared" si="44"/>
        <v>0</v>
      </c>
      <c r="U149" s="20"/>
      <c r="V149" s="20">
        <f t="shared" si="43"/>
        <v>0</v>
      </c>
      <c r="W149" s="52">
        <f t="shared" si="46"/>
        <v>0</v>
      </c>
      <c r="X149" s="20"/>
      <c r="Y149" s="20"/>
      <c r="Z149" s="20"/>
      <c r="AA149" s="20"/>
      <c r="AB149" s="417"/>
      <c r="AC149" s="200"/>
      <c r="AD149" s="160"/>
      <c r="AE149" s="163"/>
      <c r="AF149" s="171"/>
      <c r="AG149" s="192"/>
      <c r="AH149" s="128"/>
      <c r="AI149" s="129"/>
      <c r="AJ149" s="182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</row>
    <row r="150" spans="1:74" s="4" customFormat="1" ht="26.25" hidden="1" customHeight="1" x14ac:dyDescent="0.25">
      <c r="A150" s="10"/>
      <c r="B150" s="11"/>
      <c r="C150" s="6" t="s">
        <v>18</v>
      </c>
      <c r="D150" s="23" t="s">
        <v>142</v>
      </c>
      <c r="E150" s="86" t="s">
        <v>576</v>
      </c>
      <c r="F150" s="384">
        <v>1374</v>
      </c>
      <c r="G150" s="12" t="s">
        <v>0</v>
      </c>
      <c r="H150" s="39"/>
      <c r="I150" s="360">
        <v>0</v>
      </c>
      <c r="J150" s="39">
        <f t="shared" si="40"/>
        <v>0</v>
      </c>
      <c r="K150" s="309">
        <f t="shared" si="48"/>
        <v>0.14000000000000001</v>
      </c>
      <c r="L150" s="230"/>
      <c r="M150" s="42"/>
      <c r="N150" s="140"/>
      <c r="O150" s="39"/>
      <c r="P150" s="309">
        <f t="shared" si="47"/>
        <v>0</v>
      </c>
      <c r="Q150" s="260" t="str">
        <f t="shared" si="37"/>
        <v>Круглый магнит большой Д5</v>
      </c>
      <c r="R150" s="377">
        <f t="shared" si="45"/>
        <v>0.19</v>
      </c>
      <c r="S150" s="326">
        <f>5.28*0.03</f>
        <v>0.16</v>
      </c>
      <c r="T150" s="353">
        <f t="shared" si="44"/>
        <v>0</v>
      </c>
      <c r="U150" s="20"/>
      <c r="V150" s="20">
        <f t="shared" si="43"/>
        <v>0</v>
      </c>
      <c r="W150" s="52">
        <f t="shared" si="46"/>
        <v>0</v>
      </c>
      <c r="X150" s="20"/>
      <c r="Y150" s="20"/>
      <c r="Z150" s="20"/>
      <c r="AA150" s="20"/>
      <c r="AB150" s="417"/>
      <c r="AC150" s="200"/>
      <c r="AD150" s="160"/>
      <c r="AE150" s="163"/>
      <c r="AF150" s="171"/>
      <c r="AG150" s="192"/>
      <c r="AH150" s="128"/>
      <c r="AI150" s="129"/>
      <c r="AJ150" s="182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</row>
    <row r="151" spans="1:74" s="4" customFormat="1" ht="26.25" hidden="1" customHeight="1" x14ac:dyDescent="0.25">
      <c r="A151" s="10"/>
      <c r="B151" s="11"/>
      <c r="C151" s="6" t="s">
        <v>18</v>
      </c>
      <c r="D151" s="23" t="s">
        <v>142</v>
      </c>
      <c r="E151" s="100" t="s">
        <v>570</v>
      </c>
      <c r="F151" s="386">
        <v>1309</v>
      </c>
      <c r="G151" s="12" t="s">
        <v>0</v>
      </c>
      <c r="H151" s="39"/>
      <c r="I151" s="360">
        <v>0</v>
      </c>
      <c r="J151" s="39">
        <f t="shared" si="40"/>
        <v>0</v>
      </c>
      <c r="K151" s="309">
        <f t="shared" si="48"/>
        <v>0.22</v>
      </c>
      <c r="L151" s="230"/>
      <c r="M151" s="42"/>
      <c r="N151" s="413"/>
      <c r="O151" s="39"/>
      <c r="P151" s="309">
        <f t="shared" si="47"/>
        <v>0</v>
      </c>
      <c r="Q151" s="260" t="str">
        <f t="shared" si="37"/>
        <v>Плоский магнит "стрелка"</v>
      </c>
      <c r="R151" s="377">
        <f t="shared" si="45"/>
        <v>0.31</v>
      </c>
      <c r="S151" s="379">
        <f>8.7*0.03</f>
        <v>0.26</v>
      </c>
      <c r="T151" s="353">
        <f t="shared" si="44"/>
        <v>0</v>
      </c>
      <c r="U151" s="20"/>
      <c r="V151" s="20">
        <f t="shared" si="43"/>
        <v>0</v>
      </c>
      <c r="W151" s="52">
        <f t="shared" si="46"/>
        <v>0</v>
      </c>
      <c r="X151" s="20"/>
      <c r="Y151" s="20"/>
      <c r="Z151" s="20"/>
      <c r="AA151" s="20"/>
      <c r="AB151" s="417"/>
      <c r="AC151" s="200"/>
      <c r="AD151" s="160"/>
      <c r="AE151" s="163"/>
      <c r="AF151" s="171"/>
      <c r="AG151" s="192"/>
      <c r="AH151" s="128"/>
      <c r="AI151" s="129"/>
      <c r="AJ151" s="182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</row>
    <row r="152" spans="1:74" s="4" customFormat="1" ht="38.25" hidden="1" customHeight="1" x14ac:dyDescent="0.25">
      <c r="A152" s="10"/>
      <c r="B152" s="11"/>
      <c r="C152" s="6" t="s">
        <v>18</v>
      </c>
      <c r="D152" s="23" t="s">
        <v>142</v>
      </c>
      <c r="E152" s="100" t="s">
        <v>573</v>
      </c>
      <c r="F152" s="386">
        <v>1375</v>
      </c>
      <c r="G152" s="12" t="s">
        <v>0</v>
      </c>
      <c r="H152" s="39"/>
      <c r="I152" s="360">
        <v>0</v>
      </c>
      <c r="J152" s="39">
        <f t="shared" si="40"/>
        <v>0</v>
      </c>
      <c r="K152" s="309">
        <f t="shared" si="48"/>
        <v>0.89</v>
      </c>
      <c r="L152" s="230"/>
      <c r="M152" s="42"/>
      <c r="N152" s="413"/>
      <c r="O152" s="39"/>
      <c r="P152" s="309">
        <f t="shared" si="47"/>
        <v>0</v>
      </c>
      <c r="Q152" s="51" t="str">
        <f t="shared" si="37"/>
        <v>Кольцевой магнит большой усиленной намагниченности</v>
      </c>
      <c r="R152" s="377">
        <f t="shared" si="45"/>
        <v>1.25</v>
      </c>
      <c r="S152" s="379">
        <f>34.8*0.03</f>
        <v>1.04</v>
      </c>
      <c r="T152" s="353">
        <f t="shared" si="44"/>
        <v>0</v>
      </c>
      <c r="U152" s="20"/>
      <c r="V152" s="20">
        <f t="shared" si="43"/>
        <v>0</v>
      </c>
      <c r="W152" s="52">
        <f t="shared" si="46"/>
        <v>0</v>
      </c>
      <c r="X152" s="20"/>
      <c r="Y152" s="20"/>
      <c r="Z152" s="20"/>
      <c r="AA152" s="20"/>
      <c r="AB152" s="417"/>
      <c r="AC152" s="200"/>
      <c r="AD152" s="160"/>
      <c r="AE152" s="163"/>
      <c r="AF152" s="171"/>
      <c r="AG152" s="192"/>
      <c r="AH152" s="128"/>
      <c r="AI152" s="129"/>
      <c r="AJ152" s="182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</row>
    <row r="153" spans="1:74" s="4" customFormat="1" ht="43.5" hidden="1" customHeight="1" x14ac:dyDescent="0.25">
      <c r="A153" s="10"/>
      <c r="B153" s="11"/>
      <c r="C153" s="6" t="s">
        <v>18</v>
      </c>
      <c r="D153" s="23" t="s">
        <v>142</v>
      </c>
      <c r="E153" s="100" t="s">
        <v>571</v>
      </c>
      <c r="F153" s="386">
        <v>1310</v>
      </c>
      <c r="G153" s="12" t="s">
        <v>0</v>
      </c>
      <c r="H153" s="39"/>
      <c r="I153" s="360">
        <v>0</v>
      </c>
      <c r="J153" s="39">
        <f t="shared" si="40"/>
        <v>0</v>
      </c>
      <c r="K153" s="309">
        <f t="shared" si="48"/>
        <v>0.56000000000000005</v>
      </c>
      <c r="L153" s="230"/>
      <c r="M153" s="42"/>
      <c r="N153" s="413"/>
      <c r="O153" s="39"/>
      <c r="P153" s="309">
        <f t="shared" si="47"/>
        <v>0</v>
      </c>
      <c r="Q153" s="51" t="str">
        <f t="shared" si="37"/>
        <v>Кольцевой магнит большой Д17 со вставкой(110.045)</v>
      </c>
      <c r="R153" s="377">
        <f t="shared" si="45"/>
        <v>0.78</v>
      </c>
      <c r="S153" s="379">
        <f>21.75*0.03</f>
        <v>0.65</v>
      </c>
      <c r="T153" s="353">
        <f t="shared" si="44"/>
        <v>0</v>
      </c>
      <c r="U153" s="20"/>
      <c r="V153" s="20">
        <f t="shared" si="43"/>
        <v>0</v>
      </c>
      <c r="W153" s="52">
        <f t="shared" si="46"/>
        <v>0</v>
      </c>
      <c r="X153" s="20"/>
      <c r="Y153" s="20"/>
      <c r="Z153" s="20"/>
      <c r="AA153" s="20"/>
      <c r="AB153" s="417"/>
      <c r="AC153" s="200"/>
      <c r="AD153" s="160"/>
      <c r="AE153" s="163"/>
      <c r="AF153" s="171"/>
      <c r="AG153" s="192"/>
      <c r="AH153" s="128"/>
      <c r="AI153" s="129"/>
      <c r="AJ153" s="182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</row>
    <row r="154" spans="1:74" s="4" customFormat="1" ht="26.25" hidden="1" customHeight="1" x14ac:dyDescent="0.25">
      <c r="A154" s="10"/>
      <c r="B154" s="11"/>
      <c r="C154" s="6" t="s">
        <v>18</v>
      </c>
      <c r="D154" s="23" t="s">
        <v>142</v>
      </c>
      <c r="E154" s="100" t="s">
        <v>577</v>
      </c>
      <c r="F154" s="386">
        <v>1311</v>
      </c>
      <c r="G154" s="12" t="s">
        <v>0</v>
      </c>
      <c r="H154" s="39"/>
      <c r="I154" s="360">
        <v>0</v>
      </c>
      <c r="J154" s="39">
        <f t="shared" si="40"/>
        <v>0</v>
      </c>
      <c r="K154" s="309">
        <f t="shared" si="48"/>
        <v>0.31</v>
      </c>
      <c r="L154" s="230"/>
      <c r="M154" s="42"/>
      <c r="N154" s="413"/>
      <c r="O154" s="39"/>
      <c r="P154" s="309">
        <f t="shared" si="47"/>
        <v>0</v>
      </c>
      <c r="Q154" s="51" t="str">
        <f t="shared" si="37"/>
        <v>Кольцевой магнит малый Д11 со вставкой (110.044)</v>
      </c>
      <c r="R154" s="377">
        <f t="shared" si="45"/>
        <v>0.44</v>
      </c>
      <c r="S154" s="379">
        <f>12.43*0.03</f>
        <v>0.37</v>
      </c>
      <c r="T154" s="353">
        <f t="shared" si="44"/>
        <v>0</v>
      </c>
      <c r="U154" s="20"/>
      <c r="V154" s="20">
        <f t="shared" si="43"/>
        <v>0</v>
      </c>
      <c r="W154" s="52">
        <f t="shared" si="46"/>
        <v>0</v>
      </c>
      <c r="X154" s="20"/>
      <c r="Y154" s="20"/>
      <c r="Z154" s="20"/>
      <c r="AA154" s="20"/>
      <c r="AB154" s="417"/>
      <c r="AC154" s="200"/>
      <c r="AD154" s="160"/>
      <c r="AE154" s="163"/>
      <c r="AF154" s="171"/>
      <c r="AG154" s="192"/>
      <c r="AH154" s="128"/>
      <c r="AI154" s="129"/>
      <c r="AJ154" s="182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</row>
    <row r="155" spans="1:74" s="4" customFormat="1" ht="26.25" hidden="1" customHeight="1" x14ac:dyDescent="0.25">
      <c r="A155" s="10"/>
      <c r="B155" s="11"/>
      <c r="C155" s="6" t="s">
        <v>18</v>
      </c>
      <c r="D155" s="23" t="s">
        <v>142</v>
      </c>
      <c r="E155" s="100" t="s">
        <v>578</v>
      </c>
      <c r="F155" s="386">
        <v>1312</v>
      </c>
      <c r="G155" s="12" t="s">
        <v>0</v>
      </c>
      <c r="H155" s="39"/>
      <c r="I155" s="360">
        <v>0</v>
      </c>
      <c r="J155" s="39">
        <f t="shared" si="40"/>
        <v>0</v>
      </c>
      <c r="K155" s="309">
        <f t="shared" si="48"/>
        <v>1.44</v>
      </c>
      <c r="L155" s="230"/>
      <c r="M155" s="42"/>
      <c r="N155" s="413"/>
      <c r="O155" s="39"/>
      <c r="P155" s="309">
        <f t="shared" si="47"/>
        <v>0</v>
      </c>
      <c r="Q155" s="51" t="str">
        <f t="shared" si="37"/>
        <v>4х кольцевой магнит</v>
      </c>
      <c r="R155" s="377">
        <f t="shared" si="45"/>
        <v>2.02</v>
      </c>
      <c r="S155" s="379">
        <f>55.94*0.03</f>
        <v>1.68</v>
      </c>
      <c r="T155" s="353">
        <f t="shared" si="44"/>
        <v>0</v>
      </c>
      <c r="U155" s="20"/>
      <c r="V155" s="20">
        <f t="shared" si="43"/>
        <v>0</v>
      </c>
      <c r="W155" s="52">
        <f t="shared" si="46"/>
        <v>0</v>
      </c>
      <c r="X155" s="20"/>
      <c r="Y155" s="20"/>
      <c r="Z155" s="20"/>
      <c r="AA155" s="20"/>
      <c r="AB155" s="417"/>
      <c r="AC155" s="200"/>
      <c r="AD155" s="160"/>
      <c r="AE155" s="163"/>
      <c r="AF155" s="171"/>
      <c r="AG155" s="192"/>
      <c r="AH155" s="128"/>
      <c r="AI155" s="129"/>
      <c r="AJ155" s="182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</row>
    <row r="156" spans="1:74" s="4" customFormat="1" ht="26.25" hidden="1" customHeight="1" x14ac:dyDescent="0.25">
      <c r="A156" s="10"/>
      <c r="B156" s="11"/>
      <c r="C156" s="6" t="s">
        <v>18</v>
      </c>
      <c r="D156" s="23" t="s">
        <v>142</v>
      </c>
      <c r="E156" s="100" t="s">
        <v>582</v>
      </c>
      <c r="F156" s="386">
        <v>1376</v>
      </c>
      <c r="G156" s="12" t="s">
        <v>0</v>
      </c>
      <c r="H156" s="39"/>
      <c r="I156" s="360">
        <v>0</v>
      </c>
      <c r="J156" s="39">
        <f t="shared" si="40"/>
        <v>0</v>
      </c>
      <c r="K156" s="309">
        <f t="shared" si="48"/>
        <v>0.11</v>
      </c>
      <c r="L156" s="230"/>
      <c r="M156" s="42"/>
      <c r="N156" s="413"/>
      <c r="O156" s="39"/>
      <c r="P156" s="309">
        <f t="shared" si="47"/>
        <v>0</v>
      </c>
      <c r="Q156" s="51" t="str">
        <f t="shared" si="37"/>
        <v xml:space="preserve"> Большой Д7 со звездочкой (110.015)</v>
      </c>
      <c r="R156" s="377">
        <f t="shared" si="45"/>
        <v>0.16</v>
      </c>
      <c r="S156" s="379">
        <f>4.35*0.03</f>
        <v>0.13</v>
      </c>
      <c r="T156" s="353">
        <f t="shared" si="44"/>
        <v>0</v>
      </c>
      <c r="U156" s="20"/>
      <c r="V156" s="20">
        <f t="shared" si="43"/>
        <v>0</v>
      </c>
      <c r="W156" s="52">
        <f t="shared" si="46"/>
        <v>0</v>
      </c>
      <c r="X156" s="20"/>
      <c r="Y156" s="20"/>
      <c r="Z156" s="20"/>
      <c r="AA156" s="20"/>
      <c r="AB156" s="417"/>
      <c r="AC156" s="200"/>
      <c r="AD156" s="160"/>
      <c r="AE156" s="163"/>
      <c r="AF156" s="171"/>
      <c r="AG156" s="192"/>
      <c r="AH156" s="128"/>
      <c r="AI156" s="129"/>
      <c r="AJ156" s="182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</row>
    <row r="157" spans="1:74" s="4" customFormat="1" ht="26.25" hidden="1" customHeight="1" x14ac:dyDescent="0.25">
      <c r="A157" s="10"/>
      <c r="B157" s="11"/>
      <c r="C157" s="6" t="s">
        <v>18</v>
      </c>
      <c r="D157" s="23" t="s">
        <v>142</v>
      </c>
      <c r="E157" s="100" t="s">
        <v>572</v>
      </c>
      <c r="F157" s="386">
        <v>1314</v>
      </c>
      <c r="G157" s="12" t="s">
        <v>0</v>
      </c>
      <c r="H157" s="39"/>
      <c r="I157" s="360">
        <v>0</v>
      </c>
      <c r="J157" s="39">
        <f t="shared" si="40"/>
        <v>0</v>
      </c>
      <c r="K157" s="309">
        <f t="shared" si="48"/>
        <v>0.11</v>
      </c>
      <c r="L157" s="230"/>
      <c r="M157" s="42"/>
      <c r="N157" s="413"/>
      <c r="O157" s="39"/>
      <c r="P157" s="309">
        <f t="shared" si="47"/>
        <v>0</v>
      </c>
      <c r="Q157" s="51" t="str">
        <f t="shared" si="37"/>
        <v xml:space="preserve"> Малый Д5 со звездочкой (110.015)</v>
      </c>
      <c r="R157" s="377">
        <f t="shared" si="45"/>
        <v>0.16</v>
      </c>
      <c r="S157" s="379">
        <f>4.35*0.03</f>
        <v>0.13</v>
      </c>
      <c r="T157" s="353">
        <f t="shared" si="44"/>
        <v>0</v>
      </c>
      <c r="U157" s="20"/>
      <c r="V157" s="20">
        <f t="shared" si="43"/>
        <v>0</v>
      </c>
      <c r="W157" s="52">
        <f t="shared" si="46"/>
        <v>0</v>
      </c>
      <c r="X157" s="20"/>
      <c r="Y157" s="20"/>
      <c r="Z157" s="20"/>
      <c r="AA157" s="20"/>
      <c r="AB157" s="417"/>
      <c r="AC157" s="200"/>
      <c r="AD157" s="160"/>
      <c r="AE157" s="163"/>
      <c r="AF157" s="171"/>
      <c r="AG157" s="192"/>
      <c r="AH157" s="128"/>
      <c r="AI157" s="129"/>
      <c r="AJ157" s="182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</row>
    <row r="158" spans="1:74" s="4" customFormat="1" ht="26.25" hidden="1" customHeight="1" x14ac:dyDescent="0.25">
      <c r="A158" s="10"/>
      <c r="B158" s="11"/>
      <c r="C158" s="6" t="s">
        <v>18</v>
      </c>
      <c r="D158" s="23" t="s">
        <v>142</v>
      </c>
      <c r="E158" s="463" t="s">
        <v>617</v>
      </c>
      <c r="F158" s="386">
        <v>1313</v>
      </c>
      <c r="G158" s="12" t="s">
        <v>0</v>
      </c>
      <c r="H158" s="39"/>
      <c r="I158" s="360">
        <v>0</v>
      </c>
      <c r="J158" s="39">
        <f t="shared" si="40"/>
        <v>0</v>
      </c>
      <c r="K158" s="309">
        <f t="shared" si="48"/>
        <v>2.88</v>
      </c>
      <c r="L158" s="230"/>
      <c r="M158" s="42"/>
      <c r="N158" s="413"/>
      <c r="O158" s="39"/>
      <c r="P158" s="309">
        <f t="shared" si="47"/>
        <v>0</v>
      </c>
      <c r="Q158" s="51" t="str">
        <f t="shared" si="37"/>
        <v>6ти кольцевой</v>
      </c>
      <c r="R158" s="377">
        <f t="shared" si="45"/>
        <v>4.03</v>
      </c>
      <c r="S158" s="379">
        <f>111.87*0.03</f>
        <v>3.36</v>
      </c>
      <c r="T158" s="353">
        <f t="shared" si="44"/>
        <v>0</v>
      </c>
      <c r="U158" s="20"/>
      <c r="V158" s="20">
        <f t="shared" si="43"/>
        <v>0</v>
      </c>
      <c r="W158" s="52">
        <f t="shared" si="46"/>
        <v>0</v>
      </c>
      <c r="X158" s="20"/>
      <c r="Y158" s="20"/>
      <c r="Z158" s="20"/>
      <c r="AA158" s="20"/>
      <c r="AB158" s="417"/>
      <c r="AC158" s="200"/>
      <c r="AD158" s="160"/>
      <c r="AE158" s="163"/>
      <c r="AF158" s="171"/>
      <c r="AG158" s="192"/>
      <c r="AH158" s="128"/>
      <c r="AI158" s="129"/>
      <c r="AJ158" s="182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</row>
    <row r="159" spans="1:74" s="4" customFormat="1" ht="26.25" hidden="1" customHeight="1" x14ac:dyDescent="0.25">
      <c r="A159" s="10"/>
      <c r="B159" s="11"/>
      <c r="C159" s="6" t="s">
        <v>18</v>
      </c>
      <c r="D159" s="23" t="s">
        <v>142</v>
      </c>
      <c r="E159" s="100" t="s">
        <v>581</v>
      </c>
      <c r="F159" s="386">
        <v>1378</v>
      </c>
      <c r="G159" s="12" t="s">
        <v>0</v>
      </c>
      <c r="H159" s="39"/>
      <c r="I159" s="360">
        <v>0</v>
      </c>
      <c r="J159" s="39">
        <f t="shared" si="40"/>
        <v>0</v>
      </c>
      <c r="K159" s="309">
        <f t="shared" si="48"/>
        <v>0.09</v>
      </c>
      <c r="L159" s="230"/>
      <c r="M159" s="42"/>
      <c r="N159" s="413"/>
      <c r="O159" s="39"/>
      <c r="P159" s="309">
        <f t="shared" si="47"/>
        <v>0</v>
      </c>
      <c r="Q159" s="51" t="str">
        <f t="shared" si="37"/>
        <v xml:space="preserve"> Односторонний под наклейку  Д7</v>
      </c>
      <c r="R159" s="377">
        <f t="shared" si="45"/>
        <v>0.13</v>
      </c>
      <c r="S159" s="379">
        <f>3.73*0.03</f>
        <v>0.11</v>
      </c>
      <c r="T159" s="353">
        <f t="shared" si="44"/>
        <v>0</v>
      </c>
      <c r="U159" s="20"/>
      <c r="V159" s="20">
        <f t="shared" si="43"/>
        <v>0</v>
      </c>
      <c r="W159" s="52">
        <f t="shared" si="46"/>
        <v>0</v>
      </c>
      <c r="X159" s="20"/>
      <c r="Y159" s="20"/>
      <c r="Z159" s="20"/>
      <c r="AA159" s="20"/>
      <c r="AB159" s="417"/>
      <c r="AC159" s="200"/>
      <c r="AD159" s="160"/>
      <c r="AE159" s="163"/>
      <c r="AF159" s="171"/>
      <c r="AG159" s="192"/>
      <c r="AH159" s="128"/>
      <c r="AI159" s="129"/>
      <c r="AJ159" s="182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</row>
    <row r="160" spans="1:74" s="4" customFormat="1" ht="26.25" hidden="1" customHeight="1" x14ac:dyDescent="0.25">
      <c r="A160" s="10"/>
      <c r="B160" s="11"/>
      <c r="C160" s="6" t="s">
        <v>18</v>
      </c>
      <c r="D160" s="23" t="s">
        <v>142</v>
      </c>
      <c r="E160" s="100" t="s">
        <v>579</v>
      </c>
      <c r="F160" s="386">
        <v>1315</v>
      </c>
      <c r="G160" s="12" t="s">
        <v>0</v>
      </c>
      <c r="H160" s="39"/>
      <c r="I160" s="360">
        <v>0</v>
      </c>
      <c r="J160" s="39">
        <f t="shared" si="40"/>
        <v>0</v>
      </c>
      <c r="K160" s="309">
        <f t="shared" si="48"/>
        <v>0.09</v>
      </c>
      <c r="L160" s="230"/>
      <c r="M160" s="42"/>
      <c r="N160" s="413"/>
      <c r="O160" s="39"/>
      <c r="P160" s="309">
        <f t="shared" si="47"/>
        <v>0</v>
      </c>
      <c r="Q160" s="51" t="str">
        <f t="shared" si="37"/>
        <v xml:space="preserve"> Односторонний под наклейку  Д5</v>
      </c>
      <c r="R160" s="377">
        <f t="shared" si="45"/>
        <v>0.13</v>
      </c>
      <c r="S160" s="379">
        <f>3.73*0.03</f>
        <v>0.11</v>
      </c>
      <c r="T160" s="353">
        <f t="shared" si="44"/>
        <v>0</v>
      </c>
      <c r="U160" s="20"/>
      <c r="V160" s="20">
        <f t="shared" si="43"/>
        <v>0</v>
      </c>
      <c r="W160" s="52">
        <f t="shared" si="46"/>
        <v>0</v>
      </c>
      <c r="X160" s="20"/>
      <c r="Y160" s="20"/>
      <c r="Z160" s="20"/>
      <c r="AA160" s="20"/>
      <c r="AB160" s="417"/>
      <c r="AC160" s="200"/>
      <c r="AD160" s="160"/>
      <c r="AE160" s="163"/>
      <c r="AF160" s="171"/>
      <c r="AG160" s="192"/>
      <c r="AH160" s="128"/>
      <c r="AI160" s="129"/>
      <c r="AJ160" s="182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</row>
    <row r="161" spans="1:38" ht="26.25" hidden="1" customHeight="1" x14ac:dyDescent="0.25">
      <c r="B161" s="11"/>
      <c r="C161" s="6" t="s">
        <v>18</v>
      </c>
      <c r="D161" s="23" t="s">
        <v>142</v>
      </c>
      <c r="E161" s="100" t="s">
        <v>580</v>
      </c>
      <c r="F161" s="393" t="s">
        <v>624</v>
      </c>
      <c r="G161" s="346" t="s">
        <v>0</v>
      </c>
      <c r="H161" s="39"/>
      <c r="I161" s="360">
        <v>0</v>
      </c>
      <c r="J161" s="39">
        <f t="shared" si="40"/>
        <v>0</v>
      </c>
      <c r="K161" s="309">
        <f t="shared" si="48"/>
        <v>1.92</v>
      </c>
      <c r="L161" s="230">
        <f>K161*J458</f>
        <v>0</v>
      </c>
      <c r="M161" s="205"/>
      <c r="N161" s="140"/>
      <c r="O161" s="39"/>
      <c r="P161" s="309">
        <f t="shared" si="47"/>
        <v>0</v>
      </c>
      <c r="Q161" s="51" t="str">
        <f t="shared" si="37"/>
        <v>Крестообразный  магнит</v>
      </c>
      <c r="R161" s="377">
        <f t="shared" si="45"/>
        <v>2.69</v>
      </c>
      <c r="S161" s="379">
        <f>74.58*0.03</f>
        <v>2.2400000000000002</v>
      </c>
      <c r="T161" s="353">
        <f t="shared" si="44"/>
        <v>0</v>
      </c>
      <c r="U161" s="20"/>
      <c r="V161" s="20">
        <f t="shared" si="43"/>
        <v>0</v>
      </c>
      <c r="W161" s="52">
        <f t="shared" si="46"/>
        <v>0</v>
      </c>
      <c r="X161" s="20"/>
      <c r="Y161" s="20"/>
      <c r="Z161" s="20"/>
      <c r="AA161" s="20"/>
      <c r="AB161" s="417"/>
      <c r="AC161" s="200"/>
      <c r="AD161" s="160"/>
      <c r="AE161" s="163"/>
      <c r="AF161" s="171"/>
      <c r="AG161" s="192"/>
      <c r="AH161" s="128"/>
      <c r="AI161" s="129"/>
      <c r="AK161" s="10"/>
    </row>
    <row r="162" spans="1:38" s="4" customFormat="1" ht="26.25" customHeight="1" x14ac:dyDescent="0.25">
      <c r="A162" s="10"/>
      <c r="B162" s="11">
        <v>56</v>
      </c>
      <c r="C162" s="6" t="s">
        <v>18</v>
      </c>
      <c r="D162" s="23" t="s">
        <v>142</v>
      </c>
      <c r="E162" s="463" t="s">
        <v>666</v>
      </c>
      <c r="F162" s="387" t="s">
        <v>605</v>
      </c>
      <c r="G162" s="12" t="s">
        <v>0</v>
      </c>
      <c r="H162" s="39"/>
      <c r="I162" s="360">
        <v>0</v>
      </c>
      <c r="J162" s="39">
        <f t="shared" si="40"/>
        <v>200</v>
      </c>
      <c r="K162" s="309">
        <f t="shared" si="48"/>
        <v>0.22</v>
      </c>
      <c r="L162" s="230">
        <f>K162*J459</f>
        <v>0</v>
      </c>
      <c r="M162" s="195"/>
      <c r="N162" s="140">
        <v>200</v>
      </c>
      <c r="O162" s="503"/>
      <c r="P162" s="309">
        <f t="shared" si="47"/>
        <v>0</v>
      </c>
      <c r="Q162" s="235" t="str">
        <f t="shared" si="37"/>
        <v>ЭПГ110.014</v>
      </c>
      <c r="R162" s="377">
        <f t="shared" si="45"/>
        <v>0.31</v>
      </c>
      <c r="S162" s="379">
        <v>0.26</v>
      </c>
      <c r="T162" s="353">
        <f t="shared" si="44"/>
        <v>52</v>
      </c>
      <c r="U162" s="18">
        <v>0</v>
      </c>
      <c r="V162" s="20">
        <f t="shared" si="43"/>
        <v>200</v>
      </c>
      <c r="W162" s="52">
        <f t="shared" si="46"/>
        <v>200</v>
      </c>
      <c r="X162" s="18">
        <v>0</v>
      </c>
      <c r="Y162" s="18"/>
      <c r="Z162" s="18"/>
      <c r="AA162" s="18"/>
      <c r="AB162" s="418"/>
      <c r="AC162" s="200"/>
      <c r="AD162" s="160"/>
      <c r="AE162" s="163"/>
      <c r="AF162" s="171"/>
      <c r="AG162" s="192"/>
      <c r="AH162" s="128"/>
      <c r="AI162" s="129"/>
      <c r="AJ162" s="182"/>
    </row>
    <row r="163" spans="1:38" s="4" customFormat="1" ht="26.25" customHeight="1" x14ac:dyDescent="0.25">
      <c r="A163" s="10"/>
      <c r="B163" s="11">
        <v>57</v>
      </c>
      <c r="C163" s="6" t="s">
        <v>18</v>
      </c>
      <c r="D163" s="23" t="s">
        <v>142</v>
      </c>
      <c r="E163" s="463" t="s">
        <v>854</v>
      </c>
      <c r="F163" s="387" t="s">
        <v>54</v>
      </c>
      <c r="G163" s="12" t="s">
        <v>0</v>
      </c>
      <c r="H163" s="39"/>
      <c r="I163" s="360">
        <v>0</v>
      </c>
      <c r="J163" s="39">
        <f t="shared" si="40"/>
        <v>200</v>
      </c>
      <c r="K163" s="309">
        <f t="shared" si="48"/>
        <v>0.26</v>
      </c>
      <c r="L163" s="230">
        <f>K163*J460</f>
        <v>0</v>
      </c>
      <c r="M163" s="194"/>
      <c r="N163" s="140">
        <v>200</v>
      </c>
      <c r="O163" s="503"/>
      <c r="P163" s="309">
        <f t="shared" si="47"/>
        <v>0</v>
      </c>
      <c r="Q163" s="235" t="str">
        <f t="shared" si="37"/>
        <v>ЭПГ110.032</v>
      </c>
      <c r="R163" s="377">
        <f t="shared" si="45"/>
        <v>0.37</v>
      </c>
      <c r="S163" s="319">
        <v>0.31</v>
      </c>
      <c r="T163" s="353">
        <f t="shared" si="44"/>
        <v>62</v>
      </c>
      <c r="U163" s="18">
        <v>0</v>
      </c>
      <c r="V163" s="20">
        <f t="shared" si="43"/>
        <v>200</v>
      </c>
      <c r="W163" s="52">
        <f t="shared" si="46"/>
        <v>200</v>
      </c>
      <c r="X163" s="18">
        <v>0</v>
      </c>
      <c r="Y163" s="18"/>
      <c r="Z163" s="18"/>
      <c r="AA163" s="18"/>
      <c r="AB163" s="418"/>
      <c r="AC163" s="200"/>
      <c r="AD163" s="160"/>
      <c r="AE163" s="163"/>
      <c r="AF163" s="171"/>
      <c r="AG163" s="192"/>
      <c r="AH163" s="128"/>
      <c r="AI163" s="129"/>
      <c r="AJ163" s="182"/>
    </row>
    <row r="164" spans="1:38" ht="26.25" customHeight="1" x14ac:dyDescent="0.25">
      <c r="B164" s="14">
        <v>58</v>
      </c>
      <c r="C164" s="6" t="s">
        <v>129</v>
      </c>
      <c r="D164" s="23" t="s">
        <v>142</v>
      </c>
      <c r="E164" s="459" t="s">
        <v>671</v>
      </c>
      <c r="F164" s="386">
        <v>629</v>
      </c>
      <c r="G164" s="12" t="s">
        <v>0</v>
      </c>
      <c r="H164" s="39"/>
      <c r="I164" s="309">
        <v>0</v>
      </c>
      <c r="J164" s="39">
        <f t="shared" si="40"/>
        <v>50</v>
      </c>
      <c r="K164" s="309">
        <f t="shared" si="48"/>
        <v>1.59</v>
      </c>
      <c r="L164" s="230">
        <f>K164*J461</f>
        <v>0</v>
      </c>
      <c r="M164" s="457"/>
      <c r="N164" s="140">
        <v>50</v>
      </c>
      <c r="O164" s="503"/>
      <c r="P164" s="309">
        <f t="shared" si="47"/>
        <v>0</v>
      </c>
      <c r="Q164" s="235" t="str">
        <f t="shared" si="37"/>
        <v xml:space="preserve">8ПМ.610.033    МП-1  </v>
      </c>
      <c r="R164" s="377">
        <f t="shared" si="45"/>
        <v>2.2200000000000002</v>
      </c>
      <c r="S164" s="319">
        <v>1.85</v>
      </c>
      <c r="T164" s="353">
        <f t="shared" si="44"/>
        <v>92.5</v>
      </c>
      <c r="U164" s="20"/>
      <c r="V164" s="20">
        <f t="shared" si="43"/>
        <v>50</v>
      </c>
      <c r="W164" s="52">
        <f t="shared" si="46"/>
        <v>50</v>
      </c>
      <c r="X164" s="20"/>
      <c r="Y164" s="20"/>
      <c r="Z164" s="20"/>
      <c r="AA164" s="20"/>
      <c r="AB164" s="417"/>
      <c r="AC164" s="200"/>
      <c r="AD164" s="160"/>
      <c r="AE164" s="165"/>
      <c r="AF164" s="160"/>
      <c r="AG164" s="192"/>
      <c r="AH164" s="16"/>
      <c r="AI164" s="16"/>
      <c r="AJ164" s="185"/>
      <c r="AK164" s="435"/>
      <c r="AL164" s="476"/>
    </row>
    <row r="165" spans="1:38" ht="26.25" hidden="1" customHeight="1" x14ac:dyDescent="0.25">
      <c r="B165" s="11"/>
      <c r="C165" s="6" t="s">
        <v>19</v>
      </c>
      <c r="D165" s="23" t="s">
        <v>140</v>
      </c>
      <c r="E165" s="105" t="s">
        <v>160</v>
      </c>
      <c r="F165" s="391"/>
      <c r="G165" s="14" t="s">
        <v>36</v>
      </c>
      <c r="H165" s="39"/>
      <c r="I165" s="309">
        <v>0</v>
      </c>
      <c r="J165" s="39">
        <f t="shared" si="40"/>
        <v>0</v>
      </c>
      <c r="K165" s="309">
        <f t="shared" si="48"/>
        <v>0</v>
      </c>
      <c r="L165" s="230">
        <f>K165*J462</f>
        <v>0</v>
      </c>
      <c r="M165" s="42"/>
      <c r="N165" s="140"/>
      <c r="O165" s="39"/>
      <c r="P165" s="490">
        <f t="shared" si="47"/>
        <v>0</v>
      </c>
      <c r="Q165" s="51" t="str">
        <f t="shared" si="37"/>
        <v>к10</v>
      </c>
      <c r="R165" s="377">
        <f t="shared" si="45"/>
        <v>0</v>
      </c>
      <c r="S165" s="319">
        <v>0</v>
      </c>
      <c r="T165" s="353">
        <f t="shared" si="44"/>
        <v>0</v>
      </c>
      <c r="U165" s="18"/>
      <c r="V165" s="20">
        <f t="shared" si="43"/>
        <v>0</v>
      </c>
      <c r="W165" s="52">
        <f t="shared" si="46"/>
        <v>0</v>
      </c>
      <c r="X165" s="18"/>
      <c r="Y165" s="18"/>
      <c r="Z165" s="18">
        <v>1</v>
      </c>
      <c r="AA165" s="18"/>
      <c r="AB165" s="418"/>
      <c r="AC165" s="200"/>
      <c r="AD165" s="160"/>
      <c r="AE165" s="165"/>
      <c r="AF165" s="160"/>
      <c r="AG165" s="192"/>
      <c r="AH165" s="16"/>
      <c r="AI165" s="16"/>
      <c r="AJ165" s="185"/>
      <c r="AK165" s="125"/>
    </row>
    <row r="166" spans="1:38" ht="26.25" hidden="1" customHeight="1" x14ac:dyDescent="0.25">
      <c r="B166" s="11"/>
      <c r="C166" s="6" t="s">
        <v>19</v>
      </c>
      <c r="D166" s="23" t="s">
        <v>140</v>
      </c>
      <c r="E166" s="459" t="s">
        <v>815</v>
      </c>
      <c r="F166" s="391" t="s">
        <v>823</v>
      </c>
      <c r="G166" s="14"/>
      <c r="H166" s="39"/>
      <c r="I166" s="360"/>
      <c r="J166" s="39">
        <f t="shared" si="40"/>
        <v>0</v>
      </c>
      <c r="K166" s="309">
        <f t="shared" si="48"/>
        <v>1.63</v>
      </c>
      <c r="L166" s="230"/>
      <c r="M166" s="42"/>
      <c r="N166" s="140"/>
      <c r="O166" s="39"/>
      <c r="P166" s="490"/>
      <c r="Q166" s="51" t="str">
        <f t="shared" si="37"/>
        <v>23х6,4х12,5</v>
      </c>
      <c r="R166" s="377">
        <f t="shared" si="45"/>
        <v>2.2799999999999998</v>
      </c>
      <c r="S166" s="319">
        <v>1.9</v>
      </c>
      <c r="T166" s="353"/>
      <c r="U166" s="18"/>
      <c r="V166" s="20"/>
      <c r="W166" s="52"/>
      <c r="X166" s="18"/>
      <c r="Y166" s="18"/>
      <c r="Z166" s="18"/>
      <c r="AA166" s="18"/>
      <c r="AB166" s="418"/>
      <c r="AC166" s="200"/>
      <c r="AD166" s="160"/>
      <c r="AE166" s="165"/>
      <c r="AF166" s="160"/>
      <c r="AG166" s="192"/>
      <c r="AH166" s="16"/>
      <c r="AI166" s="30"/>
      <c r="AJ166" s="188"/>
      <c r="AK166" s="137"/>
    </row>
    <row r="167" spans="1:38" ht="26.25" customHeight="1" x14ac:dyDescent="0.25">
      <c r="B167" s="11">
        <v>59</v>
      </c>
      <c r="C167" s="6" t="s">
        <v>19</v>
      </c>
      <c r="D167" s="23" t="s">
        <v>140</v>
      </c>
      <c r="E167" s="459" t="s">
        <v>816</v>
      </c>
      <c r="F167" s="384">
        <v>1487</v>
      </c>
      <c r="G167" s="12" t="s">
        <v>0</v>
      </c>
      <c r="H167" s="39"/>
      <c r="I167" s="360">
        <v>0</v>
      </c>
      <c r="J167" s="39">
        <f t="shared" si="40"/>
        <v>3</v>
      </c>
      <c r="K167" s="309">
        <f t="shared" si="48"/>
        <v>1.61</v>
      </c>
      <c r="L167" s="230">
        <f t="shared" ref="L167:L185" si="49">K167*J463</f>
        <v>0</v>
      </c>
      <c r="M167" s="271"/>
      <c r="N167" s="140">
        <v>3</v>
      </c>
      <c r="O167" s="39"/>
      <c r="P167" s="309">
        <f t="shared" ref="P167:P179" si="50">K167*O167</f>
        <v>0</v>
      </c>
      <c r="Q167" s="51" t="str">
        <f t="shared" si="37"/>
        <v>К6х4х3</v>
      </c>
      <c r="R167" s="377">
        <f t="shared" si="45"/>
        <v>2.2599999999999998</v>
      </c>
      <c r="S167" s="319">
        <v>1.88</v>
      </c>
      <c r="T167" s="353">
        <f>S167*J167</f>
        <v>5.64</v>
      </c>
      <c r="U167" s="18"/>
      <c r="V167" s="20">
        <f t="shared" ref="V167:V198" si="51">N167</f>
        <v>3</v>
      </c>
      <c r="W167" s="52">
        <f t="shared" ref="W167:W198" si="52">X167-U167+V167</f>
        <v>3</v>
      </c>
      <c r="X167" s="18"/>
      <c r="Y167" s="18"/>
      <c r="Z167" s="18"/>
      <c r="AA167" s="18"/>
      <c r="AB167" s="418"/>
      <c r="AC167" s="200"/>
      <c r="AD167" s="160"/>
      <c r="AE167" s="163"/>
      <c r="AF167" s="171"/>
      <c r="AG167" s="192"/>
      <c r="AH167" s="128"/>
      <c r="AI167" s="129"/>
      <c r="AK167" s="10"/>
    </row>
    <row r="168" spans="1:38" ht="26.25" hidden="1" customHeight="1" x14ac:dyDescent="0.25">
      <c r="B168" s="14"/>
      <c r="C168" s="6" t="s">
        <v>19</v>
      </c>
      <c r="D168" s="23" t="s">
        <v>140</v>
      </c>
      <c r="E168" s="104" t="s">
        <v>30</v>
      </c>
      <c r="F168" s="387" t="s">
        <v>224</v>
      </c>
      <c r="G168" s="14" t="s">
        <v>0</v>
      </c>
      <c r="H168" s="39"/>
      <c r="I168" s="309">
        <v>0</v>
      </c>
      <c r="J168" s="39">
        <f t="shared" si="40"/>
        <v>0</v>
      </c>
      <c r="K168" s="309">
        <f t="shared" si="48"/>
        <v>0.01</v>
      </c>
      <c r="L168" s="230">
        <f t="shared" si="49"/>
        <v>0</v>
      </c>
      <c r="M168" s="42"/>
      <c r="N168" s="140"/>
      <c r="O168" s="39"/>
      <c r="P168" s="309">
        <f t="shared" si="50"/>
        <v>0</v>
      </c>
      <c r="Q168" s="51" t="str">
        <f t="shared" si="37"/>
        <v xml:space="preserve"> СпГ210-004 Пг 2,8х2,3х3,5</v>
      </c>
      <c r="R168" s="377">
        <f t="shared" si="45"/>
        <v>0.02</v>
      </c>
      <c r="S168" s="319">
        <v>0.02</v>
      </c>
      <c r="T168" s="353">
        <f t="shared" ref="T168:T198" si="53">S168*J168</f>
        <v>0</v>
      </c>
      <c r="U168" s="18">
        <v>14345</v>
      </c>
      <c r="V168" s="20">
        <f t="shared" si="51"/>
        <v>0</v>
      </c>
      <c r="W168" s="52">
        <f t="shared" si="52"/>
        <v>0</v>
      </c>
      <c r="X168" s="18">
        <v>14345</v>
      </c>
      <c r="Y168" s="18"/>
      <c r="Z168" s="18"/>
      <c r="AA168" s="18"/>
      <c r="AB168" s="418"/>
      <c r="AC168" s="200"/>
      <c r="AD168" s="160"/>
      <c r="AE168" s="165"/>
      <c r="AF168" s="160"/>
      <c r="AG168" s="192"/>
      <c r="AH168" s="16"/>
      <c r="AI168" s="16"/>
      <c r="AJ168" s="185"/>
      <c r="AK168" s="435"/>
      <c r="AL168" s="476"/>
    </row>
    <row r="169" spans="1:38" ht="26.25" hidden="1" customHeight="1" x14ac:dyDescent="0.25">
      <c r="B169" s="14"/>
      <c r="C169" s="6" t="s">
        <v>19</v>
      </c>
      <c r="D169" s="23" t="s">
        <v>140</v>
      </c>
      <c r="E169" s="104" t="s">
        <v>555</v>
      </c>
      <c r="F169" s="386">
        <v>1347</v>
      </c>
      <c r="G169" s="48" t="s">
        <v>0</v>
      </c>
      <c r="H169" s="39"/>
      <c r="I169" s="360">
        <v>0</v>
      </c>
      <c r="J169" s="39">
        <f t="shared" si="40"/>
        <v>0</v>
      </c>
      <c r="K169" s="309">
        <f t="shared" si="48"/>
        <v>0.34</v>
      </c>
      <c r="L169" s="230">
        <f t="shared" si="49"/>
        <v>0</v>
      </c>
      <c r="M169" s="89"/>
      <c r="N169" s="140"/>
      <c r="O169" s="39"/>
      <c r="P169" s="497">
        <f t="shared" si="50"/>
        <v>0</v>
      </c>
      <c r="Q169" s="51" t="str">
        <f t="shared" si="37"/>
        <v>C4х32</v>
      </c>
      <c r="R169" s="377">
        <f t="shared" si="45"/>
        <v>0.48</v>
      </c>
      <c r="S169" s="330">
        <v>0.4</v>
      </c>
      <c r="T169" s="353">
        <f t="shared" si="53"/>
        <v>0</v>
      </c>
      <c r="U169" s="20"/>
      <c r="V169" s="20">
        <f t="shared" si="51"/>
        <v>0</v>
      </c>
      <c r="W169" s="52">
        <f t="shared" si="52"/>
        <v>0</v>
      </c>
      <c r="X169" s="20"/>
      <c r="Y169" s="20"/>
      <c r="Z169" s="20"/>
      <c r="AA169" s="20"/>
      <c r="AB169" s="417"/>
      <c r="AC169" s="200"/>
      <c r="AD169" s="160"/>
      <c r="AE169" s="165"/>
      <c r="AF169" s="160"/>
      <c r="AG169" s="192"/>
      <c r="AH169" s="128"/>
      <c r="AI169" s="129"/>
      <c r="AK169" s="10"/>
    </row>
    <row r="170" spans="1:38" ht="26.25" customHeight="1" x14ac:dyDescent="0.25">
      <c r="B170" s="19">
        <v>60</v>
      </c>
      <c r="C170" s="6" t="s">
        <v>19</v>
      </c>
      <c r="D170" s="23" t="s">
        <v>140</v>
      </c>
      <c r="E170" s="104" t="s">
        <v>23</v>
      </c>
      <c r="F170" s="208" t="s">
        <v>56</v>
      </c>
      <c r="G170" s="12" t="s">
        <v>0</v>
      </c>
      <c r="H170" s="39"/>
      <c r="I170" s="360">
        <v>0</v>
      </c>
      <c r="J170" s="39">
        <f t="shared" si="40"/>
        <v>2000</v>
      </c>
      <c r="K170" s="309">
        <f t="shared" si="48"/>
        <v>0.04</v>
      </c>
      <c r="L170" s="230">
        <f t="shared" si="49"/>
        <v>0</v>
      </c>
      <c r="M170" s="196"/>
      <c r="N170" s="140">
        <v>2000</v>
      </c>
      <c r="O170" s="503"/>
      <c r="P170" s="309">
        <f t="shared" si="50"/>
        <v>0</v>
      </c>
      <c r="Q170" s="235" t="str">
        <f t="shared" si="37"/>
        <v xml:space="preserve"> СГ 210-001 Г5,5х3х7,4</v>
      </c>
      <c r="R170" s="306">
        <f t="shared" si="45"/>
        <v>0.06</v>
      </c>
      <c r="S170" s="339">
        <v>0.05</v>
      </c>
      <c r="T170" s="353">
        <f t="shared" si="53"/>
        <v>100</v>
      </c>
      <c r="U170" s="20"/>
      <c r="V170" s="20">
        <f t="shared" si="51"/>
        <v>2000</v>
      </c>
      <c r="W170" s="52">
        <f t="shared" si="52"/>
        <v>2000</v>
      </c>
      <c r="X170" s="20"/>
      <c r="Y170" s="20"/>
      <c r="Z170" s="70"/>
      <c r="AA170" s="70"/>
      <c r="AB170" s="421"/>
      <c r="AC170" s="200"/>
      <c r="AD170" s="160"/>
      <c r="AE170" s="163"/>
      <c r="AF170" s="171"/>
      <c r="AG170" s="192"/>
      <c r="AH170" s="128"/>
      <c r="AI170" s="129"/>
      <c r="AK170" s="10"/>
      <c r="AL170" s="476"/>
    </row>
    <row r="171" spans="1:38" ht="26.25" hidden="1" customHeight="1" x14ac:dyDescent="0.25">
      <c r="B171" s="19"/>
      <c r="C171" s="6" t="s">
        <v>19</v>
      </c>
      <c r="D171" s="23" t="s">
        <v>140</v>
      </c>
      <c r="E171" s="107" t="s">
        <v>93</v>
      </c>
      <c r="F171" s="385" t="s">
        <v>306</v>
      </c>
      <c r="G171" s="48" t="s">
        <v>0</v>
      </c>
      <c r="H171" s="39"/>
      <c r="I171" s="309">
        <v>0</v>
      </c>
      <c r="J171" s="39">
        <f t="shared" si="40"/>
        <v>0</v>
      </c>
      <c r="K171" s="309">
        <f t="shared" si="48"/>
        <v>0.01</v>
      </c>
      <c r="L171" s="230">
        <f t="shared" si="49"/>
        <v>0</v>
      </c>
      <c r="M171" s="89"/>
      <c r="N171" s="140"/>
      <c r="O171" s="39"/>
      <c r="P171" s="490">
        <f t="shared" si="50"/>
        <v>0</v>
      </c>
      <c r="Q171" s="51" t="str">
        <f t="shared" si="37"/>
        <v>серд СТ210-005(Т3,5х1,2х10)</v>
      </c>
      <c r="R171" s="377">
        <f t="shared" si="45"/>
        <v>0.02</v>
      </c>
      <c r="S171" s="319">
        <v>0.02</v>
      </c>
      <c r="T171" s="353">
        <f t="shared" si="53"/>
        <v>0</v>
      </c>
      <c r="U171" s="18">
        <v>9950</v>
      </c>
      <c r="V171" s="20">
        <f t="shared" si="51"/>
        <v>0</v>
      </c>
      <c r="W171" s="52">
        <f t="shared" si="52"/>
        <v>0</v>
      </c>
      <c r="X171" s="18">
        <v>9950</v>
      </c>
      <c r="Y171" s="18"/>
      <c r="Z171" s="18"/>
      <c r="AA171" s="18"/>
      <c r="AB171" s="418"/>
      <c r="AC171" s="200"/>
      <c r="AD171" s="160"/>
      <c r="AE171" s="165"/>
      <c r="AF171" s="160"/>
      <c r="AG171" s="192"/>
      <c r="AH171" s="16"/>
      <c r="AI171" s="16"/>
      <c r="AJ171" s="185"/>
      <c r="AK171" s="435"/>
      <c r="AL171" s="476"/>
    </row>
    <row r="172" spans="1:38" ht="26.25" hidden="1" customHeight="1" x14ac:dyDescent="0.25">
      <c r="B172" s="14"/>
      <c r="C172" s="6" t="s">
        <v>19</v>
      </c>
      <c r="D172" s="23" t="s">
        <v>140</v>
      </c>
      <c r="E172" s="107" t="s">
        <v>721</v>
      </c>
      <c r="F172" s="522">
        <v>393</v>
      </c>
      <c r="G172" s="13" t="s">
        <v>0</v>
      </c>
      <c r="H172" s="39"/>
      <c r="I172" s="309">
        <v>0</v>
      </c>
      <c r="J172" s="39">
        <f t="shared" si="40"/>
        <v>0</v>
      </c>
      <c r="K172" s="309">
        <f t="shared" si="48"/>
        <v>3</v>
      </c>
      <c r="L172" s="230">
        <f t="shared" si="49"/>
        <v>0</v>
      </c>
      <c r="M172" s="92"/>
      <c r="N172" s="140"/>
      <c r="O172" s="39"/>
      <c r="P172" s="309">
        <f t="shared" si="50"/>
        <v>0</v>
      </c>
      <c r="Q172" s="51" t="str">
        <f t="shared" si="37"/>
        <v>ИБЯД.04.00.001</v>
      </c>
      <c r="R172" s="377">
        <f t="shared" si="45"/>
        <v>4.2</v>
      </c>
      <c r="S172" s="319">
        <v>3.5</v>
      </c>
      <c r="T172" s="353">
        <f t="shared" si="53"/>
        <v>0</v>
      </c>
      <c r="U172" s="18">
        <v>0</v>
      </c>
      <c r="V172" s="20">
        <f t="shared" si="51"/>
        <v>0</v>
      </c>
      <c r="W172" s="52">
        <f t="shared" si="52"/>
        <v>0</v>
      </c>
      <c r="X172" s="18">
        <v>0</v>
      </c>
      <c r="Y172" s="18"/>
      <c r="Z172" s="18"/>
      <c r="AA172" s="18"/>
      <c r="AB172" s="418"/>
      <c r="AC172" s="200"/>
      <c r="AD172" s="160"/>
      <c r="AE172" s="163"/>
      <c r="AF172" s="171"/>
      <c r="AG172" s="192"/>
      <c r="AH172" s="128"/>
      <c r="AI172" s="129"/>
      <c r="AK172" s="10"/>
    </row>
    <row r="173" spans="1:38" ht="26.25" hidden="1" customHeight="1" x14ac:dyDescent="0.25">
      <c r="B173" s="11"/>
      <c r="C173" s="6" t="s">
        <v>19</v>
      </c>
      <c r="D173" s="23" t="s">
        <v>140</v>
      </c>
      <c r="E173" s="107" t="s">
        <v>238</v>
      </c>
      <c r="F173" s="390">
        <v>1089</v>
      </c>
      <c r="G173" s="14" t="s">
        <v>0</v>
      </c>
      <c r="H173" s="39"/>
      <c r="I173" s="309">
        <v>0</v>
      </c>
      <c r="J173" s="39">
        <f t="shared" si="40"/>
        <v>0</v>
      </c>
      <c r="K173" s="309">
        <f t="shared" si="48"/>
        <v>0.04</v>
      </c>
      <c r="L173" s="230">
        <f t="shared" si="49"/>
        <v>0</v>
      </c>
      <c r="M173" s="42"/>
      <c r="N173" s="140"/>
      <c r="O173" s="39"/>
      <c r="P173" s="309">
        <f t="shared" si="50"/>
        <v>0</v>
      </c>
      <c r="Q173" s="51" t="str">
        <f t="shared" si="37"/>
        <v>Ч14</v>
      </c>
      <c r="R173" s="377">
        <f t="shared" si="45"/>
        <v>0.05</v>
      </c>
      <c r="S173" s="319">
        <v>0.04</v>
      </c>
      <c r="T173" s="353">
        <f t="shared" si="53"/>
        <v>0</v>
      </c>
      <c r="U173" s="18">
        <v>150000</v>
      </c>
      <c r="V173" s="20">
        <f t="shared" si="51"/>
        <v>0</v>
      </c>
      <c r="W173" s="52">
        <f t="shared" si="52"/>
        <v>0</v>
      </c>
      <c r="X173" s="18">
        <v>150000</v>
      </c>
      <c r="Y173" s="18"/>
      <c r="Z173" s="18">
        <v>1</v>
      </c>
      <c r="AA173" s="18"/>
      <c r="AB173" s="418"/>
      <c r="AC173" s="200"/>
      <c r="AD173" s="160"/>
      <c r="AE173" s="163"/>
      <c r="AF173" s="171"/>
      <c r="AG173" s="192"/>
      <c r="AH173" s="16"/>
      <c r="AI173" s="16"/>
      <c r="AJ173" s="185"/>
      <c r="AK173" s="437"/>
      <c r="AL173" s="477"/>
    </row>
    <row r="174" spans="1:38" ht="26.25" hidden="1" customHeight="1" x14ac:dyDescent="0.25">
      <c r="B174" s="14"/>
      <c r="C174" s="6" t="s">
        <v>19</v>
      </c>
      <c r="D174" s="23" t="s">
        <v>140</v>
      </c>
      <c r="E174" s="104" t="s">
        <v>131</v>
      </c>
      <c r="F174" s="386">
        <v>72</v>
      </c>
      <c r="G174" s="14" t="s">
        <v>0</v>
      </c>
      <c r="H174" s="39">
        <v>0</v>
      </c>
      <c r="I174" s="309">
        <v>0</v>
      </c>
      <c r="J174" s="39">
        <f t="shared" si="40"/>
        <v>0</v>
      </c>
      <c r="K174" s="309">
        <f t="shared" si="48"/>
        <v>1.06</v>
      </c>
      <c r="L174" s="230">
        <f t="shared" si="49"/>
        <v>0</v>
      </c>
      <c r="M174" s="88"/>
      <c r="N174" s="140"/>
      <c r="O174" s="39">
        <v>0</v>
      </c>
      <c r="P174" s="497">
        <f t="shared" si="50"/>
        <v>0</v>
      </c>
      <c r="Q174" s="51" t="str">
        <f t="shared" si="37"/>
        <v>ПП30*15*10</v>
      </c>
      <c r="R174" s="377">
        <f t="shared" si="45"/>
        <v>1.49</v>
      </c>
      <c r="S174" s="319">
        <v>1.24</v>
      </c>
      <c r="T174" s="353">
        <f t="shared" si="53"/>
        <v>0</v>
      </c>
      <c r="U174" s="18">
        <v>0</v>
      </c>
      <c r="V174" s="20">
        <f t="shared" si="51"/>
        <v>0</v>
      </c>
      <c r="W174" s="52">
        <f t="shared" si="52"/>
        <v>0</v>
      </c>
      <c r="X174" s="18">
        <v>0</v>
      </c>
      <c r="Y174" s="18"/>
      <c r="Z174" s="18"/>
      <c r="AA174" s="18"/>
      <c r="AB174" s="418"/>
      <c r="AC174" s="200"/>
      <c r="AD174" s="160"/>
      <c r="AE174" s="163"/>
      <c r="AF174" s="171"/>
      <c r="AG174" s="192"/>
      <c r="AH174" s="128"/>
      <c r="AI174" s="129"/>
      <c r="AK174" s="10"/>
    </row>
    <row r="175" spans="1:38" ht="26.25" customHeight="1" x14ac:dyDescent="0.25">
      <c r="B175" s="11">
        <v>61</v>
      </c>
      <c r="C175" s="6" t="s">
        <v>19</v>
      </c>
      <c r="D175" s="23" t="s">
        <v>140</v>
      </c>
      <c r="E175" s="104" t="s">
        <v>545</v>
      </c>
      <c r="F175" s="383">
        <v>1340</v>
      </c>
      <c r="G175" s="12" t="s">
        <v>0</v>
      </c>
      <c r="H175" s="39">
        <v>2400</v>
      </c>
      <c r="I175" s="360">
        <v>1416</v>
      </c>
      <c r="J175" s="39">
        <f t="shared" si="40"/>
        <v>2400</v>
      </c>
      <c r="K175" s="309">
        <f t="shared" si="48"/>
        <v>0.59</v>
      </c>
      <c r="L175" s="230">
        <f t="shared" si="49"/>
        <v>0</v>
      </c>
      <c r="M175" s="291"/>
      <c r="N175" s="140"/>
      <c r="O175" s="503">
        <v>4800</v>
      </c>
      <c r="P175" s="309">
        <f t="shared" si="50"/>
        <v>2832</v>
      </c>
      <c r="Q175" s="235" t="str">
        <f t="shared" si="37"/>
        <v>К38х24х7</v>
      </c>
      <c r="R175" s="377">
        <f t="shared" si="45"/>
        <v>0.83</v>
      </c>
      <c r="S175" s="322">
        <f>20.21*0.034</f>
        <v>0.69</v>
      </c>
      <c r="T175" s="353">
        <f t="shared" si="53"/>
        <v>1656</v>
      </c>
      <c r="U175" s="70">
        <v>7500</v>
      </c>
      <c r="V175" s="20">
        <f t="shared" si="51"/>
        <v>0</v>
      </c>
      <c r="W175" s="52">
        <f t="shared" si="52"/>
        <v>2580</v>
      </c>
      <c r="X175" s="148">
        <f>300*33+180</f>
        <v>10080</v>
      </c>
      <c r="Y175" s="20"/>
      <c r="Z175" s="20"/>
      <c r="AA175" s="20"/>
      <c r="AB175" s="417"/>
      <c r="AC175" s="200"/>
      <c r="AD175" s="160"/>
      <c r="AE175" s="163"/>
      <c r="AF175" s="171"/>
      <c r="AG175" s="192"/>
      <c r="AH175" s="128"/>
      <c r="AI175" s="129"/>
      <c r="AK175" s="10"/>
      <c r="AL175" s="476"/>
    </row>
    <row r="176" spans="1:38" ht="26.25" customHeight="1" x14ac:dyDescent="0.25">
      <c r="B176" s="11">
        <v>62</v>
      </c>
      <c r="C176" s="6" t="s">
        <v>19</v>
      </c>
      <c r="D176" s="23" t="s">
        <v>147</v>
      </c>
      <c r="E176" s="104" t="s">
        <v>546</v>
      </c>
      <c r="F176" s="383">
        <v>1348</v>
      </c>
      <c r="G176" s="12" t="s">
        <v>0</v>
      </c>
      <c r="H176" s="39">
        <v>2400</v>
      </c>
      <c r="I176" s="360">
        <v>936</v>
      </c>
      <c r="J176" s="39">
        <f t="shared" si="40"/>
        <v>2400</v>
      </c>
      <c r="K176" s="309">
        <f t="shared" si="48"/>
        <v>0.39</v>
      </c>
      <c r="L176" s="230">
        <f t="shared" si="49"/>
        <v>0</v>
      </c>
      <c r="M176" s="60"/>
      <c r="N176" s="140"/>
      <c r="O176" s="503">
        <v>4800</v>
      </c>
      <c r="P176" s="309">
        <f t="shared" si="50"/>
        <v>1872</v>
      </c>
      <c r="Q176" s="235" t="str">
        <f t="shared" si="37"/>
        <v>К23х10х7</v>
      </c>
      <c r="R176" s="377">
        <f t="shared" ref="R176:R207" si="54">S176*1.2</f>
        <v>0.54</v>
      </c>
      <c r="S176" s="338">
        <f>13.17*0.034</f>
        <v>0.45</v>
      </c>
      <c r="T176" s="353">
        <f t="shared" si="53"/>
        <v>1080</v>
      </c>
      <c r="U176" s="430">
        <v>5600</v>
      </c>
      <c r="V176" s="20">
        <f t="shared" si="51"/>
        <v>0</v>
      </c>
      <c r="W176" s="52">
        <f t="shared" si="52"/>
        <v>3050</v>
      </c>
      <c r="X176" s="147">
        <v>8650</v>
      </c>
      <c r="Y176" s="18"/>
      <c r="Z176" s="18"/>
      <c r="AA176" s="18"/>
      <c r="AB176" s="418"/>
      <c r="AC176" s="200"/>
      <c r="AD176" s="160"/>
      <c r="AE176" s="163"/>
      <c r="AF176" s="171"/>
      <c r="AG176" s="192"/>
      <c r="AH176" s="128"/>
      <c r="AI176" s="129"/>
      <c r="AK176" s="4"/>
      <c r="AL176" s="477"/>
    </row>
    <row r="177" spans="1:74" ht="26.25" hidden="1" customHeight="1" x14ac:dyDescent="0.25">
      <c r="B177" s="11"/>
      <c r="C177" s="6" t="s">
        <v>19</v>
      </c>
      <c r="D177" s="23" t="s">
        <v>140</v>
      </c>
      <c r="E177" s="104" t="s">
        <v>80</v>
      </c>
      <c r="F177" s="388">
        <v>92</v>
      </c>
      <c r="G177" s="12" t="s">
        <v>0</v>
      </c>
      <c r="H177" s="39"/>
      <c r="I177" s="309">
        <v>0</v>
      </c>
      <c r="J177" s="39">
        <f t="shared" si="40"/>
        <v>0</v>
      </c>
      <c r="K177" s="309">
        <f t="shared" si="48"/>
        <v>1.2</v>
      </c>
      <c r="L177" s="230">
        <f t="shared" si="49"/>
        <v>0</v>
      </c>
      <c r="M177" s="93"/>
      <c r="N177" s="140"/>
      <c r="O177" s="39"/>
      <c r="P177" s="490">
        <f t="shared" si="50"/>
        <v>0</v>
      </c>
      <c r="Q177" s="51" t="str">
        <f t="shared" si="37"/>
        <v>СП210-028</v>
      </c>
      <c r="R177" s="377">
        <f t="shared" si="54"/>
        <v>1.68</v>
      </c>
      <c r="S177" s="319">
        <v>1.4</v>
      </c>
      <c r="T177" s="353">
        <f t="shared" si="53"/>
        <v>0</v>
      </c>
      <c r="U177" s="18">
        <v>60</v>
      </c>
      <c r="V177" s="20">
        <f t="shared" si="51"/>
        <v>0</v>
      </c>
      <c r="W177" s="52">
        <f t="shared" si="52"/>
        <v>0</v>
      </c>
      <c r="X177" s="18">
        <v>60</v>
      </c>
      <c r="Y177" s="18"/>
      <c r="Z177" s="18"/>
      <c r="AA177" s="18"/>
      <c r="AB177" s="418"/>
      <c r="AC177" s="200"/>
      <c r="AD177" s="160"/>
      <c r="AE177" s="165"/>
      <c r="AF177" s="160"/>
      <c r="AG177" s="192"/>
      <c r="AH177" s="16"/>
      <c r="AI177" s="16"/>
      <c r="AJ177" s="185"/>
      <c r="AK177" s="435"/>
      <c r="AL177" s="476"/>
    </row>
    <row r="178" spans="1:74" ht="26.25" hidden="1" customHeight="1" x14ac:dyDescent="0.25">
      <c r="B178" s="19"/>
      <c r="C178" s="6" t="s">
        <v>19</v>
      </c>
      <c r="D178" s="23" t="s">
        <v>140</v>
      </c>
      <c r="E178" s="459" t="s">
        <v>696</v>
      </c>
      <c r="F178" s="387" t="s">
        <v>699</v>
      </c>
      <c r="G178" s="12" t="s">
        <v>0</v>
      </c>
      <c r="H178" s="39"/>
      <c r="I178" s="309">
        <v>0</v>
      </c>
      <c r="J178" s="39">
        <f t="shared" si="40"/>
        <v>0</v>
      </c>
      <c r="K178" s="309">
        <f t="shared" si="48"/>
        <v>0.25</v>
      </c>
      <c r="L178" s="230">
        <f t="shared" si="49"/>
        <v>0</v>
      </c>
      <c r="M178" s="204"/>
      <c r="N178" s="140"/>
      <c r="O178" s="39"/>
      <c r="P178" s="309">
        <f t="shared" si="50"/>
        <v>0</v>
      </c>
      <c r="Q178" s="51" t="str">
        <f t="shared" si="37"/>
        <v>С8х30</v>
      </c>
      <c r="R178" s="377">
        <f t="shared" si="54"/>
        <v>0.35</v>
      </c>
      <c r="S178" s="339">
        <v>0.28999999999999998</v>
      </c>
      <c r="T178" s="353">
        <f t="shared" si="53"/>
        <v>0</v>
      </c>
      <c r="U178" s="18"/>
      <c r="V178" s="20">
        <f t="shared" si="51"/>
        <v>0</v>
      </c>
      <c r="W178" s="52">
        <f t="shared" si="52"/>
        <v>0</v>
      </c>
      <c r="X178" s="18"/>
      <c r="Y178" s="18"/>
      <c r="Z178" s="18"/>
      <c r="AA178" s="18"/>
      <c r="AB178" s="418"/>
      <c r="AC178" s="200"/>
      <c r="AD178" s="160"/>
      <c r="AE178" s="165"/>
      <c r="AF178" s="160"/>
      <c r="AG178" s="192"/>
      <c r="AH178" s="128"/>
      <c r="AI178" s="129"/>
      <c r="AK178" s="10"/>
    </row>
    <row r="179" spans="1:74" ht="26.25" customHeight="1" x14ac:dyDescent="0.25">
      <c r="B179" s="11">
        <v>63</v>
      </c>
      <c r="C179" s="6" t="s">
        <v>19</v>
      </c>
      <c r="D179" s="23" t="s">
        <v>140</v>
      </c>
      <c r="E179" s="104" t="s">
        <v>75</v>
      </c>
      <c r="F179" s="208">
        <v>437</v>
      </c>
      <c r="G179" s="12" t="s">
        <v>0</v>
      </c>
      <c r="H179" s="39">
        <v>1400</v>
      </c>
      <c r="I179" s="360">
        <v>546</v>
      </c>
      <c r="J179" s="39">
        <f t="shared" si="40"/>
        <v>0</v>
      </c>
      <c r="K179" s="309">
        <f t="shared" si="48"/>
        <v>0.39</v>
      </c>
      <c r="L179" s="230">
        <f t="shared" si="49"/>
        <v>0</v>
      </c>
      <c r="M179" s="196"/>
      <c r="N179" s="140"/>
      <c r="O179" s="503">
        <v>1400</v>
      </c>
      <c r="P179" s="309">
        <f t="shared" si="50"/>
        <v>546</v>
      </c>
      <c r="Q179" s="235" t="str">
        <f t="shared" si="37"/>
        <v>С10х40</v>
      </c>
      <c r="R179" s="306">
        <f t="shared" si="54"/>
        <v>0.54</v>
      </c>
      <c r="S179" s="319">
        <v>0.45</v>
      </c>
      <c r="T179" s="353">
        <f t="shared" si="53"/>
        <v>0</v>
      </c>
      <c r="U179" s="70">
        <v>500</v>
      </c>
      <c r="V179" s="20">
        <f t="shared" si="51"/>
        <v>0</v>
      </c>
      <c r="W179" s="52">
        <f t="shared" si="52"/>
        <v>0</v>
      </c>
      <c r="X179" s="70">
        <v>500</v>
      </c>
      <c r="Y179" s="20"/>
      <c r="Z179" s="20"/>
      <c r="AA179" s="20"/>
      <c r="AB179" s="417"/>
      <c r="AC179" s="200"/>
      <c r="AD179" s="160"/>
      <c r="AE179" s="163"/>
      <c r="AF179" s="171"/>
      <c r="AG179" s="192"/>
      <c r="AH179" s="16"/>
      <c r="AI179" s="16"/>
      <c r="AJ179" s="185"/>
      <c r="AK179" s="435"/>
      <c r="AL179" s="476"/>
    </row>
    <row r="180" spans="1:74" ht="26.25" customHeight="1" x14ac:dyDescent="0.25">
      <c r="B180" s="11">
        <v>64</v>
      </c>
      <c r="C180" s="6" t="s">
        <v>19</v>
      </c>
      <c r="D180" s="23" t="s">
        <v>140</v>
      </c>
      <c r="E180" s="104" t="s">
        <v>78</v>
      </c>
      <c r="F180" s="208">
        <v>391</v>
      </c>
      <c r="G180" s="12" t="s">
        <v>0</v>
      </c>
      <c r="H180" s="39">
        <v>1800</v>
      </c>
      <c r="I180" s="360">
        <v>21.24</v>
      </c>
      <c r="J180" s="39">
        <f t="shared" si="40"/>
        <v>0</v>
      </c>
      <c r="K180" s="309">
        <v>0.01</v>
      </c>
      <c r="L180" s="230">
        <f t="shared" si="49"/>
        <v>0</v>
      </c>
      <c r="M180" s="42"/>
      <c r="N180" s="140"/>
      <c r="O180" s="503">
        <v>1800</v>
      </c>
      <c r="P180" s="466">
        <f>I180</f>
        <v>21.24</v>
      </c>
      <c r="Q180" s="235" t="str">
        <f t="shared" si="37"/>
        <v>С10х26</v>
      </c>
      <c r="R180" s="377">
        <f t="shared" si="54"/>
        <v>0.36</v>
      </c>
      <c r="S180" s="320">
        <v>0.3</v>
      </c>
      <c r="T180" s="353">
        <f t="shared" si="53"/>
        <v>0</v>
      </c>
      <c r="U180" s="20">
        <v>1800</v>
      </c>
      <c r="V180" s="20">
        <f t="shared" si="51"/>
        <v>0</v>
      </c>
      <c r="W180" s="52">
        <f t="shared" si="52"/>
        <v>0</v>
      </c>
      <c r="X180" s="148">
        <v>1800</v>
      </c>
      <c r="Y180" s="20"/>
      <c r="Z180" s="20"/>
      <c r="AA180" s="20"/>
      <c r="AB180" s="417"/>
      <c r="AC180" s="200"/>
      <c r="AD180" s="160"/>
      <c r="AE180" s="163"/>
      <c r="AF180" s="171"/>
      <c r="AG180" s="192"/>
      <c r="AH180" s="16"/>
      <c r="AI180" s="16"/>
      <c r="AJ180" s="185"/>
      <c r="AK180" s="435"/>
      <c r="AL180" s="476"/>
    </row>
    <row r="181" spans="1:74" ht="26.25" hidden="1" customHeight="1" x14ac:dyDescent="0.25">
      <c r="B181" s="11"/>
      <c r="C181" s="6" t="s">
        <v>19</v>
      </c>
      <c r="D181" s="23" t="s">
        <v>147</v>
      </c>
      <c r="E181" s="104" t="s">
        <v>209</v>
      </c>
      <c r="F181" s="386">
        <v>373</v>
      </c>
      <c r="G181" s="48" t="s">
        <v>0</v>
      </c>
      <c r="H181" s="39"/>
      <c r="I181" s="360">
        <v>0</v>
      </c>
      <c r="J181" s="39">
        <f t="shared" si="40"/>
        <v>0</v>
      </c>
      <c r="K181" s="309">
        <f>R181/1.4</f>
        <v>4.37</v>
      </c>
      <c r="L181" s="230">
        <f t="shared" si="49"/>
        <v>0</v>
      </c>
      <c r="M181" s="363" t="s">
        <v>679</v>
      </c>
      <c r="N181" s="140"/>
      <c r="O181" s="503"/>
      <c r="P181" s="309">
        <f t="shared" ref="P181:P190" si="55">K181*O181</f>
        <v>0</v>
      </c>
      <c r="Q181" s="235" t="str">
        <f t="shared" si="37"/>
        <v>С8х160 М400НН</v>
      </c>
      <c r="R181" s="377">
        <f t="shared" si="54"/>
        <v>6.12</v>
      </c>
      <c r="S181" s="326">
        <v>5.0999999999999996</v>
      </c>
      <c r="T181" s="353">
        <f t="shared" si="53"/>
        <v>0</v>
      </c>
      <c r="U181" s="18">
        <v>222</v>
      </c>
      <c r="V181" s="20">
        <f t="shared" si="51"/>
        <v>0</v>
      </c>
      <c r="W181" s="52">
        <f t="shared" si="52"/>
        <v>0</v>
      </c>
      <c r="X181" s="147">
        <f>15*14+12</f>
        <v>222</v>
      </c>
      <c r="Y181" s="18"/>
      <c r="Z181" s="18"/>
      <c r="AA181" s="18"/>
      <c r="AB181" s="418"/>
      <c r="AC181" s="200"/>
      <c r="AD181" s="160"/>
      <c r="AE181" s="163"/>
      <c r="AF181" s="171"/>
      <c r="AG181" s="192"/>
      <c r="AH181" s="16"/>
      <c r="AI181" s="16"/>
      <c r="AJ181" s="185"/>
      <c r="AK181" s="435"/>
      <c r="AL181" s="476"/>
    </row>
    <row r="182" spans="1:74" s="22" customFormat="1" ht="26.25" hidden="1" customHeight="1" x14ac:dyDescent="0.25">
      <c r="A182" s="10"/>
      <c r="B182" s="11"/>
      <c r="C182" s="6" t="s">
        <v>19</v>
      </c>
      <c r="D182" s="23" t="s">
        <v>147</v>
      </c>
      <c r="E182" s="104" t="s">
        <v>146</v>
      </c>
      <c r="F182" s="385" t="s">
        <v>244</v>
      </c>
      <c r="G182" s="14" t="s">
        <v>0</v>
      </c>
      <c r="H182" s="39">
        <v>0</v>
      </c>
      <c r="I182" s="309">
        <v>0</v>
      </c>
      <c r="J182" s="39">
        <f t="shared" si="40"/>
        <v>0</v>
      </c>
      <c r="K182" s="309">
        <f>R182/1.4</f>
        <v>5.57</v>
      </c>
      <c r="L182" s="230">
        <f t="shared" si="49"/>
        <v>0</v>
      </c>
      <c r="M182" s="249" t="s">
        <v>678</v>
      </c>
      <c r="N182" s="140"/>
      <c r="O182" s="503">
        <v>0</v>
      </c>
      <c r="P182" s="309">
        <f t="shared" si="55"/>
        <v>0</v>
      </c>
      <c r="Q182" s="235" t="str">
        <f t="shared" ref="Q182:Q245" si="56">E182</f>
        <v>С10х200 М400НН</v>
      </c>
      <c r="R182" s="377">
        <f t="shared" si="54"/>
        <v>7.8</v>
      </c>
      <c r="S182" s="319">
        <v>6.5</v>
      </c>
      <c r="T182" s="353">
        <f t="shared" si="53"/>
        <v>0</v>
      </c>
      <c r="U182" s="18">
        <v>55</v>
      </c>
      <c r="V182" s="20">
        <f t="shared" si="51"/>
        <v>0</v>
      </c>
      <c r="W182" s="52">
        <f t="shared" si="52"/>
        <v>0</v>
      </c>
      <c r="X182" s="147">
        <v>55</v>
      </c>
      <c r="Y182" s="18"/>
      <c r="Z182" s="102">
        <v>1</v>
      </c>
      <c r="AA182" s="18"/>
      <c r="AB182" s="420"/>
      <c r="AC182" s="200"/>
      <c r="AD182" s="160"/>
      <c r="AE182" s="163"/>
      <c r="AF182" s="171"/>
      <c r="AG182" s="192"/>
      <c r="AH182" s="16"/>
      <c r="AI182" s="16"/>
      <c r="AJ182" s="185"/>
      <c r="AK182" s="125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</row>
    <row r="183" spans="1:74" ht="26.25" hidden="1" customHeight="1" x14ac:dyDescent="0.25">
      <c r="B183" s="14"/>
      <c r="C183" s="6" t="s">
        <v>19</v>
      </c>
      <c r="D183" s="23" t="s">
        <v>15</v>
      </c>
      <c r="E183" s="107" t="s">
        <v>154</v>
      </c>
      <c r="F183" s="390">
        <v>589</v>
      </c>
      <c r="G183" s="13" t="s">
        <v>0</v>
      </c>
      <c r="H183" s="39">
        <v>0</v>
      </c>
      <c r="I183" s="309">
        <v>0</v>
      </c>
      <c r="J183" s="39">
        <f t="shared" si="40"/>
        <v>0</v>
      </c>
      <c r="K183" s="372">
        <f>R183/1.4</f>
        <v>0.43</v>
      </c>
      <c r="L183" s="230">
        <f t="shared" si="49"/>
        <v>0</v>
      </c>
      <c r="M183" s="90"/>
      <c r="N183" s="140"/>
      <c r="O183" s="39">
        <v>0</v>
      </c>
      <c r="P183" s="490">
        <f t="shared" si="55"/>
        <v>0</v>
      </c>
      <c r="Q183" s="51" t="str">
        <f t="shared" si="56"/>
        <v>С6х30</v>
      </c>
      <c r="R183" s="377">
        <f t="shared" si="54"/>
        <v>0.6</v>
      </c>
      <c r="S183" s="319">
        <v>0.5</v>
      </c>
      <c r="T183" s="353">
        <f t="shared" si="53"/>
        <v>0</v>
      </c>
      <c r="U183" s="18">
        <v>0</v>
      </c>
      <c r="V183" s="20">
        <f t="shared" si="51"/>
        <v>0</v>
      </c>
      <c r="W183" s="52">
        <f t="shared" si="52"/>
        <v>0</v>
      </c>
      <c r="X183" s="18">
        <v>0</v>
      </c>
      <c r="Y183" s="18"/>
      <c r="Z183" s="102">
        <v>1</v>
      </c>
      <c r="AA183" s="18"/>
      <c r="AB183" s="420"/>
      <c r="AC183" s="200"/>
      <c r="AD183" s="160"/>
      <c r="AE183" s="163"/>
      <c r="AF183" s="171"/>
      <c r="AG183" s="192"/>
      <c r="AH183" s="128"/>
      <c r="AI183" s="129"/>
      <c r="AK183" s="10"/>
    </row>
    <row r="184" spans="1:74" s="21" customFormat="1" ht="26.25" hidden="1" customHeight="1" x14ac:dyDescent="0.25">
      <c r="B184" s="15"/>
      <c r="C184" s="6" t="s">
        <v>19</v>
      </c>
      <c r="D184" s="23" t="s">
        <v>15</v>
      </c>
      <c r="E184" s="104" t="s">
        <v>208</v>
      </c>
      <c r="F184" s="386">
        <v>944</v>
      </c>
      <c r="G184" s="19" t="s">
        <v>0</v>
      </c>
      <c r="H184" s="39"/>
      <c r="I184" s="309">
        <v>0</v>
      </c>
      <c r="J184" s="39">
        <f t="shared" si="40"/>
        <v>0</v>
      </c>
      <c r="K184" s="372">
        <f>R184/1.4</f>
        <v>0.27</v>
      </c>
      <c r="L184" s="230">
        <f t="shared" si="49"/>
        <v>0</v>
      </c>
      <c r="M184" s="116" t="s">
        <v>212</v>
      </c>
      <c r="N184" s="140"/>
      <c r="O184" s="39"/>
      <c r="P184" s="309">
        <f t="shared" si="55"/>
        <v>0</v>
      </c>
      <c r="Q184" s="51" t="str">
        <f t="shared" si="56"/>
        <v>ПС6х25</v>
      </c>
      <c r="R184" s="377">
        <f t="shared" si="54"/>
        <v>0.38</v>
      </c>
      <c r="S184" s="320">
        <v>0.32</v>
      </c>
      <c r="T184" s="353">
        <f t="shared" si="53"/>
        <v>0</v>
      </c>
      <c r="U184" s="18">
        <v>0</v>
      </c>
      <c r="V184" s="20">
        <f t="shared" si="51"/>
        <v>0</v>
      </c>
      <c r="W184" s="52">
        <f t="shared" si="52"/>
        <v>0</v>
      </c>
      <c r="X184" s="18">
        <v>0</v>
      </c>
      <c r="Y184" s="18"/>
      <c r="Z184" s="18"/>
      <c r="AA184" s="18"/>
      <c r="AB184" s="418"/>
      <c r="AC184" s="200"/>
      <c r="AD184" s="160"/>
      <c r="AE184" s="163"/>
      <c r="AF184" s="171"/>
      <c r="AG184" s="192"/>
      <c r="AH184" s="131"/>
      <c r="AI184" s="132"/>
      <c r="AJ184" s="182"/>
    </row>
    <row r="185" spans="1:74" ht="26.25" hidden="1" customHeight="1" x14ac:dyDescent="0.25">
      <c r="B185" s="11"/>
      <c r="C185" s="6" t="s">
        <v>19</v>
      </c>
      <c r="D185" s="23" t="s">
        <v>15</v>
      </c>
      <c r="E185" s="104" t="s">
        <v>284</v>
      </c>
      <c r="F185" s="209"/>
      <c r="G185" s="48" t="s">
        <v>0</v>
      </c>
      <c r="H185" s="39"/>
      <c r="I185" s="309">
        <v>0</v>
      </c>
      <c r="J185" s="39">
        <f t="shared" si="40"/>
        <v>0</v>
      </c>
      <c r="K185" s="372">
        <f>R185/1.4</f>
        <v>0</v>
      </c>
      <c r="L185" s="230">
        <f t="shared" si="49"/>
        <v>0</v>
      </c>
      <c r="M185" s="99" t="s">
        <v>263</v>
      </c>
      <c r="N185" s="140"/>
      <c r="O185" s="39"/>
      <c r="P185" s="309">
        <f t="shared" si="55"/>
        <v>0</v>
      </c>
      <c r="Q185" s="51" t="str">
        <f t="shared" si="56"/>
        <v>С10х100</v>
      </c>
      <c r="R185" s="377">
        <f t="shared" si="54"/>
        <v>0</v>
      </c>
      <c r="S185" s="319">
        <v>0</v>
      </c>
      <c r="T185" s="353">
        <f t="shared" si="53"/>
        <v>0</v>
      </c>
      <c r="U185" s="20"/>
      <c r="V185" s="20">
        <f t="shared" si="51"/>
        <v>0</v>
      </c>
      <c r="W185" s="52">
        <f t="shared" si="52"/>
        <v>0</v>
      </c>
      <c r="X185" s="20"/>
      <c r="Y185" s="20"/>
      <c r="Z185" s="20"/>
      <c r="AA185" s="20"/>
      <c r="AB185" s="417"/>
      <c r="AC185" s="200"/>
      <c r="AD185" s="160"/>
      <c r="AE185" s="163"/>
      <c r="AF185" s="171"/>
      <c r="AG185" s="192"/>
      <c r="AH185" s="128"/>
      <c r="AI185" s="129"/>
      <c r="AK185" s="10"/>
    </row>
    <row r="186" spans="1:74" ht="26.25" hidden="1" customHeight="1" x14ac:dyDescent="0.25">
      <c r="B186" s="11"/>
      <c r="C186" s="6" t="s">
        <v>19</v>
      </c>
      <c r="D186" s="23" t="s">
        <v>15</v>
      </c>
      <c r="E186" s="104"/>
      <c r="F186" s="209"/>
      <c r="G186" s="48"/>
      <c r="H186" s="39"/>
      <c r="I186" s="309">
        <v>0</v>
      </c>
      <c r="J186" s="39">
        <f t="shared" si="40"/>
        <v>0</v>
      </c>
      <c r="K186" s="372"/>
      <c r="L186" s="230"/>
      <c r="M186" s="99"/>
      <c r="N186" s="140"/>
      <c r="O186" s="39"/>
      <c r="P186" s="309">
        <f t="shared" si="55"/>
        <v>0</v>
      </c>
      <c r="Q186" s="51">
        <f t="shared" si="56"/>
        <v>0</v>
      </c>
      <c r="R186" s="377">
        <f t="shared" si="54"/>
        <v>0</v>
      </c>
      <c r="S186" s="339">
        <v>0</v>
      </c>
      <c r="T186" s="353">
        <f t="shared" si="53"/>
        <v>0</v>
      </c>
      <c r="U186" s="20"/>
      <c r="V186" s="20">
        <f t="shared" si="51"/>
        <v>0</v>
      </c>
      <c r="W186" s="52">
        <f t="shared" si="52"/>
        <v>0</v>
      </c>
      <c r="X186" s="20"/>
      <c r="Y186" s="20"/>
      <c r="Z186" s="20"/>
      <c r="AA186" s="20"/>
      <c r="AB186" s="417"/>
      <c r="AC186" s="200"/>
      <c r="AD186" s="160"/>
      <c r="AE186" s="163"/>
      <c r="AF186" s="171"/>
      <c r="AG186" s="192"/>
      <c r="AH186" s="128"/>
      <c r="AI186" s="129"/>
      <c r="AK186" s="10"/>
    </row>
    <row r="187" spans="1:74" ht="26.25" hidden="1" customHeight="1" x14ac:dyDescent="0.25">
      <c r="B187" s="11"/>
      <c r="C187" s="6" t="s">
        <v>19</v>
      </c>
      <c r="D187" s="23" t="s">
        <v>15</v>
      </c>
      <c r="E187" s="1" t="s">
        <v>329</v>
      </c>
      <c r="F187" s="209"/>
      <c r="G187" s="48"/>
      <c r="H187" s="39"/>
      <c r="I187" s="309">
        <v>0</v>
      </c>
      <c r="J187" s="39">
        <f t="shared" si="40"/>
        <v>0</v>
      </c>
      <c r="K187" s="372">
        <f>R187/1.4</f>
        <v>0.09</v>
      </c>
      <c r="L187" s="230"/>
      <c r="M187" s="99" t="s">
        <v>332</v>
      </c>
      <c r="N187" s="140"/>
      <c r="O187" s="39"/>
      <c r="P187" s="309">
        <f t="shared" si="55"/>
        <v>0</v>
      </c>
      <c r="Q187" s="51" t="str">
        <f t="shared" si="56"/>
        <v>К7х4х2</v>
      </c>
      <c r="R187" s="377">
        <f t="shared" si="54"/>
        <v>0.12</v>
      </c>
      <c r="S187" s="319">
        <v>0.1</v>
      </c>
      <c r="T187" s="353">
        <f t="shared" si="53"/>
        <v>0</v>
      </c>
      <c r="U187" s="20"/>
      <c r="V187" s="20">
        <f t="shared" si="51"/>
        <v>0</v>
      </c>
      <c r="W187" s="52">
        <f t="shared" si="52"/>
        <v>0</v>
      </c>
      <c r="X187" s="20"/>
      <c r="Y187" s="20"/>
      <c r="Z187" s="20"/>
      <c r="AA187" s="20"/>
      <c r="AB187" s="417"/>
      <c r="AC187" s="200"/>
      <c r="AD187" s="160"/>
      <c r="AE187" s="163"/>
      <c r="AF187" s="171"/>
      <c r="AG187" s="192"/>
      <c r="AH187" s="128"/>
      <c r="AI187" s="129"/>
      <c r="AK187" s="10"/>
    </row>
    <row r="188" spans="1:74" ht="26.25" hidden="1" customHeight="1" x14ac:dyDescent="0.25">
      <c r="B188" s="11"/>
      <c r="C188" s="6" t="s">
        <v>19</v>
      </c>
      <c r="D188" s="23" t="s">
        <v>15</v>
      </c>
      <c r="E188" s="1" t="s">
        <v>366</v>
      </c>
      <c r="F188" s="209">
        <v>1142</v>
      </c>
      <c r="G188" s="48"/>
      <c r="H188" s="39"/>
      <c r="I188" s="309">
        <v>0</v>
      </c>
      <c r="J188" s="39">
        <f t="shared" si="40"/>
        <v>0</v>
      </c>
      <c r="K188" s="372">
        <f>R188/1.4</f>
        <v>0.11</v>
      </c>
      <c r="L188" s="230"/>
      <c r="M188" s="99" t="s">
        <v>371</v>
      </c>
      <c r="N188" s="140"/>
      <c r="O188" s="39"/>
      <c r="P188" s="309">
        <f t="shared" si="55"/>
        <v>0</v>
      </c>
      <c r="Q188" s="51" t="str">
        <f t="shared" si="56"/>
        <v>К17х8,2х5</v>
      </c>
      <c r="R188" s="377">
        <f t="shared" si="54"/>
        <v>0.16</v>
      </c>
      <c r="S188" s="319">
        <v>0.13</v>
      </c>
      <c r="T188" s="353">
        <f t="shared" si="53"/>
        <v>0</v>
      </c>
      <c r="U188" s="20"/>
      <c r="V188" s="20">
        <f t="shared" si="51"/>
        <v>0</v>
      </c>
      <c r="W188" s="52">
        <f t="shared" si="52"/>
        <v>0</v>
      </c>
      <c r="X188" s="20"/>
      <c r="Y188" s="20"/>
      <c r="Z188" s="20"/>
      <c r="AA188" s="20"/>
      <c r="AB188" s="417"/>
      <c r="AC188" s="200"/>
      <c r="AD188" s="160"/>
      <c r="AE188" s="163"/>
      <c r="AF188" s="171"/>
      <c r="AG188" s="192"/>
      <c r="AH188" s="128"/>
      <c r="AI188" s="129"/>
      <c r="AK188" s="10"/>
    </row>
    <row r="189" spans="1:74" s="4" customFormat="1" ht="26.25" hidden="1" customHeight="1" x14ac:dyDescent="0.25">
      <c r="A189" s="10"/>
      <c r="B189" s="14"/>
      <c r="C189" s="6" t="s">
        <v>19</v>
      </c>
      <c r="D189" s="23" t="s">
        <v>15</v>
      </c>
      <c r="E189" s="107" t="s">
        <v>172</v>
      </c>
      <c r="F189" s="210">
        <v>1204</v>
      </c>
      <c r="G189" s="48" t="s">
        <v>0</v>
      </c>
      <c r="H189" s="39"/>
      <c r="I189" s="360">
        <v>0</v>
      </c>
      <c r="J189" s="39">
        <f t="shared" si="40"/>
        <v>0</v>
      </c>
      <c r="K189" s="309">
        <f>R189/1.4</f>
        <v>1.37</v>
      </c>
      <c r="L189" s="230">
        <f>K189*J485</f>
        <v>0</v>
      </c>
      <c r="M189" s="367"/>
      <c r="N189" s="140"/>
      <c r="O189" s="39"/>
      <c r="P189" s="309">
        <f t="shared" si="55"/>
        <v>0</v>
      </c>
      <c r="Q189" s="51" t="str">
        <f t="shared" si="56"/>
        <v>К10х6х3</v>
      </c>
      <c r="R189" s="377">
        <f t="shared" si="54"/>
        <v>1.92</v>
      </c>
      <c r="S189" s="322">
        <v>1.6</v>
      </c>
      <c r="T189" s="353">
        <f t="shared" si="53"/>
        <v>0</v>
      </c>
      <c r="U189" s="18">
        <v>0</v>
      </c>
      <c r="V189" s="20">
        <f t="shared" si="51"/>
        <v>0</v>
      </c>
      <c r="W189" s="52">
        <f t="shared" si="52"/>
        <v>0</v>
      </c>
      <c r="X189" s="18">
        <v>0</v>
      </c>
      <c r="Y189" s="18"/>
      <c r="Z189" s="18"/>
      <c r="AA189" s="18"/>
      <c r="AB189" s="418"/>
      <c r="AC189" s="200"/>
      <c r="AD189" s="160"/>
      <c r="AE189" s="163"/>
      <c r="AF189" s="171"/>
      <c r="AG189" s="192"/>
      <c r="AH189" s="128"/>
      <c r="AI189" s="129"/>
      <c r="AJ189" s="182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1:74" ht="26.25" customHeight="1" x14ac:dyDescent="0.25">
      <c r="B190" s="11">
        <v>65</v>
      </c>
      <c r="C190" s="6" t="s">
        <v>19</v>
      </c>
      <c r="D190" s="23" t="s">
        <v>15</v>
      </c>
      <c r="E190" s="104" t="s">
        <v>21</v>
      </c>
      <c r="F190" s="383" t="s">
        <v>127</v>
      </c>
      <c r="G190" s="12" t="s">
        <v>0</v>
      </c>
      <c r="H190" s="39">
        <v>2261</v>
      </c>
      <c r="I190" s="360">
        <v>158.27000000000001</v>
      </c>
      <c r="J190" s="39">
        <f t="shared" si="40"/>
        <v>0</v>
      </c>
      <c r="K190" s="309">
        <v>7.0000000000000007E-2</v>
      </c>
      <c r="L190" s="230">
        <f>K190*J486</f>
        <v>0</v>
      </c>
      <c r="M190" s="363"/>
      <c r="N190" s="140"/>
      <c r="O190" s="503">
        <f>3000-239-500</f>
        <v>2261</v>
      </c>
      <c r="P190" s="466">
        <f t="shared" si="55"/>
        <v>158.27000000000001</v>
      </c>
      <c r="Q190" s="235" t="str">
        <f t="shared" si="56"/>
        <v>К10х6х4,5</v>
      </c>
      <c r="R190" s="377">
        <f t="shared" si="54"/>
        <v>0.09</v>
      </c>
      <c r="S190" s="319">
        <v>7.9000000000000001E-2</v>
      </c>
      <c r="T190" s="353">
        <f t="shared" si="53"/>
        <v>0</v>
      </c>
      <c r="U190" s="20">
        <v>10000</v>
      </c>
      <c r="V190" s="20">
        <f t="shared" si="51"/>
        <v>0</v>
      </c>
      <c r="W190" s="52">
        <f t="shared" si="52"/>
        <v>0</v>
      </c>
      <c r="X190" s="148">
        <v>10000</v>
      </c>
      <c r="Y190" s="20"/>
      <c r="Z190" s="20"/>
      <c r="AA190" s="20"/>
      <c r="AB190" s="417"/>
      <c r="AC190" s="200"/>
      <c r="AD190" s="160">
        <v>1.6E-2</v>
      </c>
      <c r="AE190" s="163"/>
      <c r="AF190" s="171"/>
      <c r="AG190" s="192"/>
      <c r="AH190" s="16"/>
      <c r="AI190" s="16"/>
      <c r="AJ190" s="185"/>
      <c r="AK190" s="435"/>
      <c r="AL190" s="476"/>
    </row>
    <row r="191" spans="1:74" ht="26.25" customHeight="1" x14ac:dyDescent="0.25">
      <c r="B191" s="11">
        <v>66</v>
      </c>
      <c r="C191" s="6" t="s">
        <v>19</v>
      </c>
      <c r="D191" s="23" t="s">
        <v>15</v>
      </c>
      <c r="E191" s="104" t="s">
        <v>111</v>
      </c>
      <c r="F191" s="208" t="s">
        <v>81</v>
      </c>
      <c r="G191" s="12" t="s">
        <v>0</v>
      </c>
      <c r="H191" s="39">
        <v>5000</v>
      </c>
      <c r="I191" s="360">
        <v>1285.5</v>
      </c>
      <c r="J191" s="39">
        <f t="shared" si="40"/>
        <v>0</v>
      </c>
      <c r="K191" s="309">
        <v>0.26</v>
      </c>
      <c r="L191" s="230">
        <f>K191*J487</f>
        <v>0</v>
      </c>
      <c r="M191" s="94"/>
      <c r="N191" s="140"/>
      <c r="O191" s="503">
        <v>5000</v>
      </c>
      <c r="P191" s="466">
        <f>I191</f>
        <v>1285.5</v>
      </c>
      <c r="Q191" s="235" t="str">
        <f t="shared" si="56"/>
        <v>К10х6х4,5 с п/п</v>
      </c>
      <c r="R191" s="377">
        <f t="shared" si="54"/>
        <v>0.36</v>
      </c>
      <c r="S191" s="320">
        <v>0.3</v>
      </c>
      <c r="T191" s="353">
        <f t="shared" si="53"/>
        <v>0</v>
      </c>
      <c r="U191" s="20"/>
      <c r="V191" s="20">
        <f t="shared" si="51"/>
        <v>0</v>
      </c>
      <c r="W191" s="52">
        <f t="shared" si="52"/>
        <v>0</v>
      </c>
      <c r="X191" s="20"/>
      <c r="Y191" s="20"/>
      <c r="Z191" s="199">
        <v>1</v>
      </c>
      <c r="AA191" s="20"/>
      <c r="AB191" s="419"/>
      <c r="AC191" s="200"/>
      <c r="AD191" s="160">
        <v>1.6E-2</v>
      </c>
      <c r="AE191" s="163"/>
      <c r="AF191" s="171"/>
      <c r="AG191" s="192"/>
      <c r="AH191" s="16"/>
      <c r="AI191" s="16"/>
      <c r="AJ191" s="185">
        <f t="shared" ref="AJ191:AJ222" si="57">X191*AD191</f>
        <v>0</v>
      </c>
      <c r="AK191" s="125"/>
    </row>
    <row r="192" spans="1:74" ht="26.25" customHeight="1" x14ac:dyDescent="0.25">
      <c r="B192" s="11">
        <v>67</v>
      </c>
      <c r="C192" s="6" t="s">
        <v>19</v>
      </c>
      <c r="D192" s="23" t="s">
        <v>15</v>
      </c>
      <c r="E192" s="104" t="s">
        <v>550</v>
      </c>
      <c r="F192" s="208">
        <v>374</v>
      </c>
      <c r="G192" s="12" t="s">
        <v>0</v>
      </c>
      <c r="H192" s="39">
        <v>53545</v>
      </c>
      <c r="I192" s="360">
        <v>11244.45</v>
      </c>
      <c r="J192" s="39">
        <f t="shared" si="40"/>
        <v>0</v>
      </c>
      <c r="K192" s="309">
        <f>R192/1.4</f>
        <v>0.21</v>
      </c>
      <c r="L192" s="230">
        <f>K192*J488</f>
        <v>0</v>
      </c>
      <c r="M192" s="363"/>
      <c r="N192" s="140"/>
      <c r="O192" s="503">
        <f>55280-700-515-520</f>
        <v>53545</v>
      </c>
      <c r="P192" s="309">
        <f t="shared" ref="P192:P202" si="58">K192*O192</f>
        <v>11244.45</v>
      </c>
      <c r="Q192" s="235" t="str">
        <f t="shared" si="56"/>
        <v>К16х10х4,5</v>
      </c>
      <c r="R192" s="377">
        <f t="shared" si="54"/>
        <v>0.3</v>
      </c>
      <c r="S192" s="319">
        <v>0.25</v>
      </c>
      <c r="T192" s="353">
        <f t="shared" si="53"/>
        <v>0</v>
      </c>
      <c r="U192" s="20">
        <v>160165</v>
      </c>
      <c r="V192" s="20">
        <f t="shared" si="51"/>
        <v>0</v>
      </c>
      <c r="W192" s="52">
        <f t="shared" si="52"/>
        <v>0</v>
      </c>
      <c r="X192" s="148">
        <f>161200-515-520</f>
        <v>160165</v>
      </c>
      <c r="Y192" s="20"/>
      <c r="Z192" s="20"/>
      <c r="AA192" s="20"/>
      <c r="AB192" s="417"/>
      <c r="AC192" s="200"/>
      <c r="AD192" s="160">
        <v>3.9E-2</v>
      </c>
      <c r="AE192" s="163"/>
      <c r="AF192" s="171"/>
      <c r="AG192" s="192"/>
      <c r="AH192" s="16"/>
      <c r="AI192" s="16"/>
      <c r="AJ192" s="185">
        <f t="shared" si="57"/>
        <v>6246.4</v>
      </c>
      <c r="AK192" s="435"/>
      <c r="AL192" s="476"/>
    </row>
    <row r="193" spans="2:38" ht="26.25" hidden="1" customHeight="1" x14ac:dyDescent="0.25">
      <c r="B193" s="14"/>
      <c r="C193" s="6" t="s">
        <v>19</v>
      </c>
      <c r="D193" s="23" t="s">
        <v>193</v>
      </c>
      <c r="E193" s="104" t="s">
        <v>197</v>
      </c>
      <c r="F193" s="386">
        <v>1071</v>
      </c>
      <c r="G193" s="14" t="s">
        <v>0</v>
      </c>
      <c r="H193" s="39"/>
      <c r="I193" s="309">
        <v>0</v>
      </c>
      <c r="J193" s="39">
        <f t="shared" si="40"/>
        <v>0</v>
      </c>
      <c r="K193" s="309">
        <f>R193/1.4</f>
        <v>0.26</v>
      </c>
      <c r="L193" s="230"/>
      <c r="M193" s="82" t="s">
        <v>276</v>
      </c>
      <c r="N193" s="140"/>
      <c r="O193" s="39"/>
      <c r="P193" s="490">
        <f t="shared" si="58"/>
        <v>0</v>
      </c>
      <c r="Q193" s="51" t="str">
        <f t="shared" si="56"/>
        <v>К16 х  10  х 4,5 c  п/п</v>
      </c>
      <c r="R193" s="377">
        <f t="shared" si="54"/>
        <v>0.36</v>
      </c>
      <c r="S193" s="322">
        <v>0.3</v>
      </c>
      <c r="T193" s="353">
        <f t="shared" si="53"/>
        <v>0</v>
      </c>
      <c r="U193" s="18">
        <v>16500</v>
      </c>
      <c r="V193" s="20">
        <f t="shared" si="51"/>
        <v>0</v>
      </c>
      <c r="W193" s="52">
        <f t="shared" si="52"/>
        <v>0</v>
      </c>
      <c r="X193" s="147">
        <f>11*1500</f>
        <v>16500</v>
      </c>
      <c r="Y193" s="18"/>
      <c r="Z193" s="18"/>
      <c r="AA193" s="18"/>
      <c r="AB193" s="418"/>
      <c r="AC193" s="200"/>
      <c r="AD193" s="160">
        <v>3.9E-2</v>
      </c>
      <c r="AE193" s="165"/>
      <c r="AF193" s="160"/>
      <c r="AG193" s="192"/>
      <c r="AH193" s="16"/>
      <c r="AI193" s="16"/>
      <c r="AJ193" s="185">
        <f t="shared" si="57"/>
        <v>643.5</v>
      </c>
      <c r="AK193" s="435"/>
      <c r="AL193" s="476"/>
    </row>
    <row r="194" spans="2:38" s="21" customFormat="1" ht="26.25" customHeight="1" x14ac:dyDescent="0.25">
      <c r="B194" s="11">
        <v>68</v>
      </c>
      <c r="C194" s="6" t="s">
        <v>19</v>
      </c>
      <c r="D194" s="23" t="s">
        <v>15</v>
      </c>
      <c r="E194" s="104" t="s">
        <v>33</v>
      </c>
      <c r="F194" s="208" t="s">
        <v>62</v>
      </c>
      <c r="G194" s="12" t="s">
        <v>0</v>
      </c>
      <c r="H194" s="39">
        <v>674</v>
      </c>
      <c r="I194" s="360">
        <v>141.54</v>
      </c>
      <c r="J194" s="39">
        <f t="shared" si="40"/>
        <v>0</v>
      </c>
      <c r="K194" s="309">
        <v>0.21</v>
      </c>
      <c r="L194" s="230">
        <f t="shared" ref="L194:L224" si="59">K194*J490</f>
        <v>0</v>
      </c>
      <c r="M194" s="365"/>
      <c r="N194" s="140"/>
      <c r="O194" s="503">
        <v>674</v>
      </c>
      <c r="P194" s="309">
        <f t="shared" si="58"/>
        <v>141.54</v>
      </c>
      <c r="Q194" s="235" t="str">
        <f t="shared" si="56"/>
        <v>К20х10х5</v>
      </c>
      <c r="R194" s="377">
        <f t="shared" si="54"/>
        <v>0.3</v>
      </c>
      <c r="S194" s="320">
        <v>0.25</v>
      </c>
      <c r="T194" s="353">
        <f t="shared" si="53"/>
        <v>0</v>
      </c>
      <c r="U194" s="20">
        <v>685</v>
      </c>
      <c r="V194" s="20">
        <f t="shared" si="51"/>
        <v>0</v>
      </c>
      <c r="W194" s="52">
        <f t="shared" si="52"/>
        <v>0</v>
      </c>
      <c r="X194" s="20">
        <v>685</v>
      </c>
      <c r="Y194" s="20"/>
      <c r="Z194" s="20"/>
      <c r="AA194" s="20"/>
      <c r="AB194" s="417"/>
      <c r="AC194" s="200"/>
      <c r="AD194" s="160"/>
      <c r="AE194" s="163"/>
      <c r="AF194" s="171"/>
      <c r="AG194" s="192"/>
      <c r="AH194" s="110"/>
      <c r="AI194" s="110"/>
      <c r="AJ194" s="185">
        <f t="shared" si="57"/>
        <v>0</v>
      </c>
      <c r="AK194" s="435"/>
      <c r="AL194" s="480"/>
    </row>
    <row r="195" spans="2:38" s="21" customFormat="1" ht="26.25" customHeight="1" x14ac:dyDescent="0.25">
      <c r="B195" s="15">
        <v>69</v>
      </c>
      <c r="C195" s="6" t="s">
        <v>19</v>
      </c>
      <c r="D195" s="23" t="s">
        <v>15</v>
      </c>
      <c r="E195" s="104" t="s">
        <v>102</v>
      </c>
      <c r="F195" s="387" t="s">
        <v>271</v>
      </c>
      <c r="G195" s="12" t="s">
        <v>0</v>
      </c>
      <c r="H195" s="39"/>
      <c r="I195" s="309">
        <v>0</v>
      </c>
      <c r="J195" s="39">
        <f t="shared" si="40"/>
        <v>300</v>
      </c>
      <c r="K195" s="309">
        <f>R195/1.4</f>
        <v>0.47</v>
      </c>
      <c r="L195" s="230">
        <f t="shared" si="59"/>
        <v>0</v>
      </c>
      <c r="M195" s="543" t="s">
        <v>804</v>
      </c>
      <c r="N195" s="140">
        <v>300</v>
      </c>
      <c r="O195" s="39"/>
      <c r="P195" s="507">
        <f t="shared" si="58"/>
        <v>0</v>
      </c>
      <c r="Q195" s="51" t="str">
        <f t="shared" si="56"/>
        <v>К20х12х6 с п/п</v>
      </c>
      <c r="R195" s="377">
        <f t="shared" si="54"/>
        <v>0.66</v>
      </c>
      <c r="S195" s="337">
        <v>0.55000000000000004</v>
      </c>
      <c r="T195" s="353">
        <f t="shared" si="53"/>
        <v>165</v>
      </c>
      <c r="U195" s="18">
        <v>4550</v>
      </c>
      <c r="V195" s="20">
        <f t="shared" si="51"/>
        <v>300</v>
      </c>
      <c r="W195" s="52">
        <f t="shared" si="52"/>
        <v>0</v>
      </c>
      <c r="X195" s="18">
        <f>4600-50-300</f>
        <v>4250</v>
      </c>
      <c r="Y195" s="18"/>
      <c r="Z195" s="18"/>
      <c r="AA195" s="18"/>
      <c r="AB195" s="418"/>
      <c r="AC195" s="200"/>
      <c r="AD195" s="160">
        <v>0.06</v>
      </c>
      <c r="AE195" s="163"/>
      <c r="AF195" s="171"/>
      <c r="AG195" s="192"/>
      <c r="AH195" s="110"/>
      <c r="AI195" s="110"/>
      <c r="AJ195" s="185">
        <f t="shared" si="57"/>
        <v>255</v>
      </c>
      <c r="AK195" s="435"/>
      <c r="AL195" s="480"/>
    </row>
    <row r="196" spans="2:38" ht="26.25" customHeight="1" x14ac:dyDescent="0.25">
      <c r="B196" s="11">
        <v>70</v>
      </c>
      <c r="C196" s="6" t="s">
        <v>19</v>
      </c>
      <c r="D196" s="23" t="s">
        <v>15</v>
      </c>
      <c r="E196" s="104" t="s">
        <v>143</v>
      </c>
      <c r="F196" s="208" t="s">
        <v>201</v>
      </c>
      <c r="G196" s="12" t="s">
        <v>0</v>
      </c>
      <c r="H196" s="39">
        <v>752</v>
      </c>
      <c r="I196" s="360">
        <v>496.32</v>
      </c>
      <c r="J196" s="39">
        <f t="shared" si="40"/>
        <v>0</v>
      </c>
      <c r="K196" s="309">
        <v>0.66</v>
      </c>
      <c r="L196" s="230">
        <f t="shared" si="59"/>
        <v>0</v>
      </c>
      <c r="M196" s="363" t="s">
        <v>651</v>
      </c>
      <c r="N196" s="140"/>
      <c r="O196" s="503">
        <f>799-47</f>
        <v>752</v>
      </c>
      <c r="P196" s="309">
        <f t="shared" si="58"/>
        <v>496.32</v>
      </c>
      <c r="Q196" s="235" t="str">
        <f t="shared" si="56"/>
        <v>К 20х12х6</v>
      </c>
      <c r="R196" s="377">
        <f t="shared" si="54"/>
        <v>0.95</v>
      </c>
      <c r="S196" s="319">
        <v>0.79</v>
      </c>
      <c r="T196" s="353">
        <f t="shared" si="53"/>
        <v>0</v>
      </c>
      <c r="U196" s="20">
        <v>8447</v>
      </c>
      <c r="V196" s="20">
        <f t="shared" si="51"/>
        <v>0</v>
      </c>
      <c r="W196" s="52">
        <f t="shared" si="52"/>
        <v>0</v>
      </c>
      <c r="X196" s="20">
        <f>10869-2250-100-25-47</f>
        <v>8447</v>
      </c>
      <c r="Y196" s="20"/>
      <c r="Z196" s="20"/>
      <c r="AA196" s="20"/>
      <c r="AB196" s="417"/>
      <c r="AC196" s="200"/>
      <c r="AD196" s="160">
        <v>0.06</v>
      </c>
      <c r="AE196" s="165"/>
      <c r="AF196" s="160"/>
      <c r="AG196" s="192"/>
      <c r="AH196" s="16"/>
      <c r="AI196" s="16"/>
      <c r="AJ196" s="185">
        <f t="shared" si="57"/>
        <v>506.8</v>
      </c>
      <c r="AK196" s="435"/>
      <c r="AL196" s="476"/>
    </row>
    <row r="197" spans="2:38" ht="26.25" customHeight="1" x14ac:dyDescent="0.25">
      <c r="B197" s="11">
        <v>71</v>
      </c>
      <c r="C197" s="6" t="s">
        <v>19</v>
      </c>
      <c r="D197" s="79" t="s">
        <v>193</v>
      </c>
      <c r="E197" s="104" t="s">
        <v>102</v>
      </c>
      <c r="F197" s="208">
        <v>596</v>
      </c>
      <c r="G197" s="12" t="s">
        <v>0</v>
      </c>
      <c r="H197" s="39">
        <v>450</v>
      </c>
      <c r="I197" s="360">
        <v>211.5</v>
      </c>
      <c r="J197" s="39">
        <f t="shared" si="40"/>
        <v>0</v>
      </c>
      <c r="K197" s="309">
        <f>R197/1.4</f>
        <v>0.47</v>
      </c>
      <c r="L197" s="230">
        <f t="shared" si="59"/>
        <v>0</v>
      </c>
      <c r="M197" s="298"/>
      <c r="N197" s="140">
        <v>15</v>
      </c>
      <c r="O197" s="503">
        <v>435</v>
      </c>
      <c r="P197" s="309">
        <f t="shared" si="58"/>
        <v>204.45</v>
      </c>
      <c r="Q197" s="235" t="str">
        <f t="shared" si="56"/>
        <v>К20х12х6 с п/п</v>
      </c>
      <c r="R197" s="377">
        <f t="shared" si="54"/>
        <v>0.66</v>
      </c>
      <c r="S197" s="319">
        <v>0.55000000000000004</v>
      </c>
      <c r="T197" s="353">
        <f t="shared" si="53"/>
        <v>0</v>
      </c>
      <c r="U197" s="20">
        <v>700</v>
      </c>
      <c r="V197" s="20">
        <f t="shared" si="51"/>
        <v>15</v>
      </c>
      <c r="W197" s="52">
        <f t="shared" si="52"/>
        <v>0</v>
      </c>
      <c r="X197" s="20">
        <f>700-15</f>
        <v>685</v>
      </c>
      <c r="Y197" s="20"/>
      <c r="Z197" s="20"/>
      <c r="AA197" s="20"/>
      <c r="AB197" s="417"/>
      <c r="AC197" s="200"/>
      <c r="AD197" s="160">
        <v>0.06</v>
      </c>
      <c r="AE197" s="163"/>
      <c r="AF197" s="171"/>
      <c r="AG197" s="192"/>
      <c r="AH197" s="16"/>
      <c r="AI197" s="16"/>
      <c r="AJ197" s="185">
        <f t="shared" si="57"/>
        <v>41.1</v>
      </c>
      <c r="AK197" s="435"/>
      <c r="AL197" s="476"/>
    </row>
    <row r="198" spans="2:38" s="21" customFormat="1" ht="26.25" customHeight="1" x14ac:dyDescent="0.25">
      <c r="B198" s="11">
        <v>72</v>
      </c>
      <c r="C198" s="6" t="s">
        <v>19</v>
      </c>
      <c r="D198" s="23" t="s">
        <v>15</v>
      </c>
      <c r="E198" s="104" t="s">
        <v>123</v>
      </c>
      <c r="F198" s="526">
        <v>620</v>
      </c>
      <c r="G198" s="12" t="s">
        <v>0</v>
      </c>
      <c r="H198" s="39">
        <v>1089</v>
      </c>
      <c r="I198" s="360">
        <v>686.07</v>
      </c>
      <c r="J198" s="39">
        <f t="shared" ref="J198:J264" si="60">N198+O198-H198</f>
        <v>0</v>
      </c>
      <c r="K198" s="309">
        <v>0.63</v>
      </c>
      <c r="L198" s="230">
        <f t="shared" si="59"/>
        <v>0</v>
      </c>
      <c r="M198" s="299"/>
      <c r="N198" s="140">
        <v>5</v>
      </c>
      <c r="O198" s="503">
        <v>1084</v>
      </c>
      <c r="P198" s="309">
        <f t="shared" si="58"/>
        <v>682.92</v>
      </c>
      <c r="Q198" s="235" t="str">
        <f t="shared" si="56"/>
        <v xml:space="preserve">К28х16х9 </v>
      </c>
      <c r="R198" s="377">
        <f t="shared" si="54"/>
        <v>0.89</v>
      </c>
      <c r="S198" s="320">
        <v>0.74</v>
      </c>
      <c r="T198" s="353">
        <f t="shared" si="53"/>
        <v>0</v>
      </c>
      <c r="U198" s="20">
        <v>5885</v>
      </c>
      <c r="V198" s="20">
        <f t="shared" si="51"/>
        <v>5</v>
      </c>
      <c r="W198" s="52">
        <f t="shared" si="52"/>
        <v>0</v>
      </c>
      <c r="X198" s="148">
        <f>1200*2+600+2890-5-5</f>
        <v>5880</v>
      </c>
      <c r="Y198" s="20"/>
      <c r="Z198" s="20"/>
      <c r="AA198" s="20"/>
      <c r="AB198" s="417"/>
      <c r="AC198" s="200"/>
      <c r="AD198" s="160">
        <v>0.122</v>
      </c>
      <c r="AE198" s="165"/>
      <c r="AF198" s="160"/>
      <c r="AG198" s="192"/>
      <c r="AH198" s="110"/>
      <c r="AI198" s="110"/>
      <c r="AJ198" s="185">
        <f t="shared" si="57"/>
        <v>717.4</v>
      </c>
      <c r="AK198" s="435"/>
      <c r="AL198" s="480"/>
    </row>
    <row r="199" spans="2:38" s="21" customFormat="1" ht="26.25" hidden="1" customHeight="1" x14ac:dyDescent="0.25">
      <c r="B199" s="15"/>
      <c r="C199" s="6" t="s">
        <v>19</v>
      </c>
      <c r="D199" s="23" t="s">
        <v>15</v>
      </c>
      <c r="E199" s="104" t="s">
        <v>208</v>
      </c>
      <c r="F199" s="386">
        <v>944</v>
      </c>
      <c r="G199" s="19" t="s">
        <v>0</v>
      </c>
      <c r="H199" s="39"/>
      <c r="I199" s="309">
        <v>0</v>
      </c>
      <c r="J199" s="39">
        <f t="shared" si="60"/>
        <v>0</v>
      </c>
      <c r="K199" s="372">
        <f>R199/1.4</f>
        <v>0.27</v>
      </c>
      <c r="L199" s="230">
        <f t="shared" si="59"/>
        <v>0</v>
      </c>
      <c r="M199" s="116" t="s">
        <v>212</v>
      </c>
      <c r="N199" s="140"/>
      <c r="O199" s="39"/>
      <c r="P199" s="490">
        <f t="shared" si="58"/>
        <v>0</v>
      </c>
      <c r="Q199" s="262" t="str">
        <f t="shared" si="56"/>
        <v>ПС6х25</v>
      </c>
      <c r="R199" s="377">
        <f t="shared" si="54"/>
        <v>0.38</v>
      </c>
      <c r="S199" s="333">
        <v>0.32</v>
      </c>
      <c r="T199" s="353">
        <f t="shared" ref="T199:T233" si="61">S199*J199</f>
        <v>0</v>
      </c>
      <c r="U199" s="18">
        <v>0</v>
      </c>
      <c r="V199" s="20">
        <f t="shared" ref="V199:V230" si="62">N199</f>
        <v>0</v>
      </c>
      <c r="W199" s="52">
        <f t="shared" ref="W199:W230" si="63">X199-U199+V199</f>
        <v>0</v>
      </c>
      <c r="X199" s="18">
        <v>0</v>
      </c>
      <c r="Y199" s="18"/>
      <c r="Z199" s="18"/>
      <c r="AA199" s="18"/>
      <c r="AB199" s="418"/>
      <c r="AC199" s="200"/>
      <c r="AD199" s="160"/>
      <c r="AE199" s="163"/>
      <c r="AF199" s="171"/>
      <c r="AG199" s="192"/>
      <c r="AH199" s="131"/>
      <c r="AI199" s="132"/>
      <c r="AJ199" s="185">
        <f t="shared" si="57"/>
        <v>0</v>
      </c>
    </row>
    <row r="200" spans="2:38" s="21" customFormat="1" ht="26.25" hidden="1" customHeight="1" x14ac:dyDescent="0.25">
      <c r="B200" s="15"/>
      <c r="C200" s="6" t="s">
        <v>19</v>
      </c>
      <c r="D200" s="23" t="s">
        <v>15</v>
      </c>
      <c r="E200" s="104" t="s">
        <v>148</v>
      </c>
      <c r="F200" s="388">
        <v>426</v>
      </c>
      <c r="G200" s="12" t="s">
        <v>0</v>
      </c>
      <c r="H200" s="39"/>
      <c r="I200" s="309">
        <v>0</v>
      </c>
      <c r="J200" s="39">
        <f t="shared" si="60"/>
        <v>0</v>
      </c>
      <c r="K200" s="372">
        <f>R200/1.4</f>
        <v>0.39</v>
      </c>
      <c r="L200" s="230">
        <f t="shared" si="59"/>
        <v>0</v>
      </c>
      <c r="M200" s="272" t="s">
        <v>152</v>
      </c>
      <c r="N200" s="140"/>
      <c r="O200" s="39"/>
      <c r="P200" s="309">
        <f t="shared" si="58"/>
        <v>0</v>
      </c>
      <c r="Q200" s="263" t="str">
        <f t="shared" si="56"/>
        <v>К38х19х9 п/п</v>
      </c>
      <c r="R200" s="377">
        <f t="shared" si="54"/>
        <v>0.55000000000000004</v>
      </c>
      <c r="S200" s="339">
        <v>0.46</v>
      </c>
      <c r="T200" s="353">
        <f t="shared" si="61"/>
        <v>0</v>
      </c>
      <c r="U200" s="18"/>
      <c r="V200" s="20">
        <f t="shared" si="62"/>
        <v>0</v>
      </c>
      <c r="W200" s="52">
        <f t="shared" si="63"/>
        <v>0</v>
      </c>
      <c r="X200" s="18"/>
      <c r="Y200" s="18"/>
      <c r="Z200" s="18"/>
      <c r="AA200" s="18"/>
      <c r="AB200" s="418"/>
      <c r="AC200" s="200"/>
      <c r="AD200" s="160">
        <v>0.23</v>
      </c>
      <c r="AE200" s="165"/>
      <c r="AF200" s="160"/>
      <c r="AG200" s="192"/>
      <c r="AH200" s="110"/>
      <c r="AI200" s="110"/>
      <c r="AJ200" s="185">
        <f t="shared" si="57"/>
        <v>0</v>
      </c>
      <c r="AK200" s="435"/>
      <c r="AL200" s="110"/>
    </row>
    <row r="201" spans="2:38" s="21" customFormat="1" ht="26.25" customHeight="1" x14ac:dyDescent="0.3">
      <c r="B201" s="11">
        <v>73</v>
      </c>
      <c r="C201" s="6" t="s">
        <v>19</v>
      </c>
      <c r="D201" s="23" t="s">
        <v>15</v>
      </c>
      <c r="E201" s="104" t="s">
        <v>61</v>
      </c>
      <c r="F201" s="208">
        <v>208</v>
      </c>
      <c r="G201" s="12" t="s">
        <v>0</v>
      </c>
      <c r="H201" s="39">
        <v>686</v>
      </c>
      <c r="I201" s="360">
        <v>692.86</v>
      </c>
      <c r="J201" s="39">
        <f t="shared" si="60"/>
        <v>0</v>
      </c>
      <c r="K201" s="309">
        <f>R201/1.4</f>
        <v>1.01</v>
      </c>
      <c r="L201" s="230">
        <f t="shared" si="59"/>
        <v>0</v>
      </c>
      <c r="M201" s="366" t="s">
        <v>826</v>
      </c>
      <c r="N201" s="140"/>
      <c r="O201" s="503">
        <f>343*2</f>
        <v>686</v>
      </c>
      <c r="P201" s="309">
        <f t="shared" si="58"/>
        <v>692.86</v>
      </c>
      <c r="Q201" s="235" t="str">
        <f t="shared" si="56"/>
        <v>К38х19х9</v>
      </c>
      <c r="R201" s="377">
        <f t="shared" si="54"/>
        <v>1.42</v>
      </c>
      <c r="S201" s="319">
        <v>1.18</v>
      </c>
      <c r="T201" s="353">
        <f t="shared" si="61"/>
        <v>0</v>
      </c>
      <c r="U201" s="257">
        <v>2012</v>
      </c>
      <c r="V201" s="20">
        <f t="shared" si="62"/>
        <v>0</v>
      </c>
      <c r="W201" s="52">
        <f t="shared" si="63"/>
        <v>-1101</v>
      </c>
      <c r="X201" s="257">
        <f>343*2+225</f>
        <v>911</v>
      </c>
      <c r="Y201" s="74"/>
      <c r="Z201" s="74"/>
      <c r="AA201" s="74">
        <v>8832</v>
      </c>
      <c r="AB201" s="422"/>
      <c r="AC201" s="200"/>
      <c r="AD201" s="160">
        <v>0.23</v>
      </c>
      <c r="AE201" s="165"/>
      <c r="AF201" s="160"/>
      <c r="AG201" s="192"/>
      <c r="AH201" s="110"/>
      <c r="AI201" s="110"/>
      <c r="AJ201" s="185">
        <f t="shared" si="57"/>
        <v>209.5</v>
      </c>
      <c r="AK201" s="435"/>
      <c r="AL201" s="110"/>
    </row>
    <row r="202" spans="2:38" ht="26.25" customHeight="1" x14ac:dyDescent="0.25">
      <c r="B202" s="11">
        <v>74</v>
      </c>
      <c r="C202" s="6" t="s">
        <v>19</v>
      </c>
      <c r="D202" s="23" t="s">
        <v>15</v>
      </c>
      <c r="E202" s="104" t="s">
        <v>87</v>
      </c>
      <c r="F202" s="383">
        <v>506</v>
      </c>
      <c r="G202" s="12" t="s">
        <v>0</v>
      </c>
      <c r="H202" s="39">
        <v>400</v>
      </c>
      <c r="I202" s="360">
        <v>824</v>
      </c>
      <c r="J202" s="39">
        <f t="shared" si="60"/>
        <v>0</v>
      </c>
      <c r="K202" s="309">
        <f>R202/1.4</f>
        <v>2.06</v>
      </c>
      <c r="L202" s="230">
        <f t="shared" si="59"/>
        <v>0</v>
      </c>
      <c r="M202" s="72" t="s">
        <v>827</v>
      </c>
      <c r="N202" s="140"/>
      <c r="O202" s="503">
        <v>400</v>
      </c>
      <c r="P202" s="309">
        <f t="shared" si="58"/>
        <v>824</v>
      </c>
      <c r="Q202" s="235" t="str">
        <f t="shared" si="56"/>
        <v>К45х28х8</v>
      </c>
      <c r="R202" s="377">
        <f t="shared" si="54"/>
        <v>2.88</v>
      </c>
      <c r="S202" s="319">
        <v>2.4</v>
      </c>
      <c r="T202" s="353">
        <f t="shared" si="61"/>
        <v>0</v>
      </c>
      <c r="U202" s="20">
        <v>2944</v>
      </c>
      <c r="V202" s="20">
        <f t="shared" si="62"/>
        <v>0</v>
      </c>
      <c r="W202" s="52">
        <f t="shared" si="63"/>
        <v>-1144</v>
      </c>
      <c r="X202" s="148">
        <f>5*360</f>
        <v>1800</v>
      </c>
      <c r="Y202" s="20"/>
      <c r="Z202" s="20"/>
      <c r="AA202" s="20">
        <v>1800</v>
      </c>
      <c r="AB202" s="417"/>
      <c r="AC202" s="200"/>
      <c r="AD202" s="160">
        <v>0.26</v>
      </c>
      <c r="AE202" s="163"/>
      <c r="AF202" s="171"/>
      <c r="AG202" s="192"/>
      <c r="AH202" s="16"/>
      <c r="AI202" s="16"/>
      <c r="AJ202" s="185">
        <f t="shared" si="57"/>
        <v>468</v>
      </c>
      <c r="AK202" s="435"/>
      <c r="AL202" s="16"/>
    </row>
    <row r="203" spans="2:38" ht="26.25" customHeight="1" x14ac:dyDescent="0.25">
      <c r="B203" s="11">
        <v>75</v>
      </c>
      <c r="C203" s="6" t="s">
        <v>19</v>
      </c>
      <c r="D203" s="23" t="s">
        <v>15</v>
      </c>
      <c r="E203" s="104" t="s">
        <v>144</v>
      </c>
      <c r="F203" s="208">
        <v>590</v>
      </c>
      <c r="G203" s="12" t="s">
        <v>0</v>
      </c>
      <c r="H203" s="39">
        <v>462</v>
      </c>
      <c r="I203" s="360">
        <v>910.14</v>
      </c>
      <c r="J203" s="39">
        <f t="shared" si="60"/>
        <v>0</v>
      </c>
      <c r="K203" s="309">
        <v>1.97</v>
      </c>
      <c r="L203" s="230">
        <f t="shared" si="59"/>
        <v>0</v>
      </c>
      <c r="M203" s="363"/>
      <c r="N203" s="140"/>
      <c r="O203" s="503">
        <f>510-46-2</f>
        <v>462</v>
      </c>
      <c r="P203" s="309">
        <f>O203*K203</f>
        <v>910.14</v>
      </c>
      <c r="Q203" s="235" t="str">
        <f t="shared" si="56"/>
        <v>К45х28х12</v>
      </c>
      <c r="R203" s="377">
        <f t="shared" si="54"/>
        <v>6.24</v>
      </c>
      <c r="S203" s="319">
        <v>5.2</v>
      </c>
      <c r="T203" s="353">
        <f t="shared" si="61"/>
        <v>0</v>
      </c>
      <c r="U203" s="20">
        <v>3240</v>
      </c>
      <c r="V203" s="20">
        <f t="shared" si="62"/>
        <v>0</v>
      </c>
      <c r="W203" s="52">
        <f t="shared" si="63"/>
        <v>0</v>
      </c>
      <c r="X203" s="148">
        <f>13*120+240*7</f>
        <v>3240</v>
      </c>
      <c r="Y203" s="20"/>
      <c r="Z203" s="20"/>
      <c r="AA203" s="20"/>
      <c r="AB203" s="417"/>
      <c r="AC203" s="200"/>
      <c r="AD203" s="160">
        <v>0.38500000000000001</v>
      </c>
      <c r="AE203" s="165"/>
      <c r="AF203" s="160"/>
      <c r="AG203" s="192"/>
      <c r="AH203" s="16"/>
      <c r="AI203" s="16"/>
      <c r="AJ203" s="185">
        <f t="shared" si="57"/>
        <v>1247.4000000000001</v>
      </c>
      <c r="AK203" s="435"/>
      <c r="AL203" s="476"/>
    </row>
    <row r="204" spans="2:38" ht="26.25" customHeight="1" x14ac:dyDescent="0.25">
      <c r="B204" s="11">
        <v>76</v>
      </c>
      <c r="C204" s="6" t="s">
        <v>19</v>
      </c>
      <c r="D204" s="23" t="s">
        <v>15</v>
      </c>
      <c r="E204" s="104" t="s">
        <v>22</v>
      </c>
      <c r="F204" s="208" t="s">
        <v>57</v>
      </c>
      <c r="G204" s="12" t="s">
        <v>0</v>
      </c>
      <c r="H204" s="39">
        <v>1670</v>
      </c>
      <c r="I204" s="360">
        <v>501</v>
      </c>
      <c r="J204" s="39">
        <f t="shared" si="60"/>
        <v>0</v>
      </c>
      <c r="K204" s="309">
        <f t="shared" ref="K204:K222" si="64">R204/1.4</f>
        <v>0.3</v>
      </c>
      <c r="L204" s="230">
        <f t="shared" si="59"/>
        <v>0</v>
      </c>
      <c r="M204" s="364"/>
      <c r="N204" s="140"/>
      <c r="O204" s="503">
        <v>1670</v>
      </c>
      <c r="P204" s="309">
        <f t="shared" ref="P204:P234" si="65">K204*O204</f>
        <v>501</v>
      </c>
      <c r="Q204" s="235" t="str">
        <f t="shared" si="56"/>
        <v xml:space="preserve"> Ч22 </v>
      </c>
      <c r="R204" s="377">
        <f t="shared" si="54"/>
        <v>0.42</v>
      </c>
      <c r="S204" s="319">
        <v>0.35</v>
      </c>
      <c r="T204" s="353">
        <f t="shared" si="61"/>
        <v>0</v>
      </c>
      <c r="U204" s="20">
        <v>1456</v>
      </c>
      <c r="V204" s="20">
        <f t="shared" si="62"/>
        <v>0</v>
      </c>
      <c r="W204" s="52">
        <f t="shared" si="63"/>
        <v>0</v>
      </c>
      <c r="X204" s="148">
        <f>100+1105+213+158-100-20</f>
        <v>1456</v>
      </c>
      <c r="Y204" s="20"/>
      <c r="Z204" s="20"/>
      <c r="AA204" s="20"/>
      <c r="AB204" s="417"/>
      <c r="AC204" s="200"/>
      <c r="AD204" s="160"/>
      <c r="AE204" s="163"/>
      <c r="AF204" s="171"/>
      <c r="AG204" s="192"/>
      <c r="AH204" s="16"/>
      <c r="AI204" s="16"/>
      <c r="AJ204" s="185">
        <f t="shared" si="57"/>
        <v>0</v>
      </c>
      <c r="AK204" s="435"/>
      <c r="AL204" s="476"/>
    </row>
    <row r="205" spans="2:38" ht="26.25" customHeight="1" x14ac:dyDescent="0.25">
      <c r="B205" s="11">
        <v>77</v>
      </c>
      <c r="C205" s="6" t="s">
        <v>19</v>
      </c>
      <c r="D205" s="23" t="s">
        <v>15</v>
      </c>
      <c r="E205" s="104" t="s">
        <v>113</v>
      </c>
      <c r="F205" s="374">
        <v>605</v>
      </c>
      <c r="G205" s="12" t="s">
        <v>0</v>
      </c>
      <c r="H205" s="39"/>
      <c r="I205" s="360">
        <v>0</v>
      </c>
      <c r="J205" s="39">
        <f t="shared" si="60"/>
        <v>400</v>
      </c>
      <c r="K205" s="309">
        <f t="shared" si="64"/>
        <v>1.7</v>
      </c>
      <c r="L205" s="230">
        <f t="shared" si="59"/>
        <v>0</v>
      </c>
      <c r="M205" s="219" t="s">
        <v>537</v>
      </c>
      <c r="N205" s="140">
        <v>400</v>
      </c>
      <c r="O205" s="39"/>
      <c r="P205" s="467">
        <f t="shared" si="65"/>
        <v>0</v>
      </c>
      <c r="Q205" s="51" t="str">
        <f t="shared" si="56"/>
        <v>Ч36</v>
      </c>
      <c r="R205" s="306">
        <f t="shared" si="54"/>
        <v>2.38</v>
      </c>
      <c r="S205" s="319">
        <v>1.98</v>
      </c>
      <c r="T205" s="353">
        <f t="shared" si="61"/>
        <v>792</v>
      </c>
      <c r="U205" s="20">
        <v>1111</v>
      </c>
      <c r="V205" s="20">
        <f t="shared" si="62"/>
        <v>400</v>
      </c>
      <c r="W205" s="52">
        <f t="shared" si="63"/>
        <v>-205</v>
      </c>
      <c r="X205" s="148">
        <v>506</v>
      </c>
      <c r="Y205" s="20"/>
      <c r="Z205" s="20"/>
      <c r="AA205" s="20"/>
      <c r="AB205" s="417"/>
      <c r="AC205" s="200"/>
      <c r="AD205" s="160">
        <v>0.23</v>
      </c>
      <c r="AE205" s="163"/>
      <c r="AF205" s="171"/>
      <c r="AG205" s="192"/>
      <c r="AH205" s="16"/>
      <c r="AI205" s="16"/>
      <c r="AJ205" s="185">
        <f t="shared" si="57"/>
        <v>116.4</v>
      </c>
      <c r="AK205" s="435"/>
      <c r="AL205" s="476"/>
    </row>
    <row r="206" spans="2:38" ht="26.25" hidden="1" customHeight="1" x14ac:dyDescent="0.25">
      <c r="B206" s="14"/>
      <c r="C206" s="6" t="s">
        <v>19</v>
      </c>
      <c r="D206" s="23" t="s">
        <v>15</v>
      </c>
      <c r="E206" s="104" t="s">
        <v>74</v>
      </c>
      <c r="F206" s="208">
        <v>339</v>
      </c>
      <c r="G206" s="48" t="s">
        <v>0</v>
      </c>
      <c r="H206" s="39"/>
      <c r="I206" s="309">
        <v>0</v>
      </c>
      <c r="J206" s="39">
        <f t="shared" si="60"/>
        <v>0</v>
      </c>
      <c r="K206" s="372">
        <f t="shared" si="64"/>
        <v>0.79</v>
      </c>
      <c r="L206" s="230">
        <f t="shared" si="59"/>
        <v>0</v>
      </c>
      <c r="M206" s="146" t="s">
        <v>439</v>
      </c>
      <c r="N206" s="140"/>
      <c r="O206" s="39"/>
      <c r="P206" s="309">
        <f t="shared" si="65"/>
        <v>0</v>
      </c>
      <c r="Q206" s="264" t="str">
        <f t="shared" si="56"/>
        <v>Ч30</v>
      </c>
      <c r="R206" s="377">
        <f t="shared" si="54"/>
        <v>1.1000000000000001</v>
      </c>
      <c r="S206" s="338">
        <v>0.91500000000000004</v>
      </c>
      <c r="T206" s="353">
        <f t="shared" si="61"/>
        <v>0</v>
      </c>
      <c r="U206" s="20">
        <v>263</v>
      </c>
      <c r="V206" s="20">
        <f t="shared" si="62"/>
        <v>0</v>
      </c>
      <c r="W206" s="52">
        <f t="shared" si="63"/>
        <v>0</v>
      </c>
      <c r="X206" s="148">
        <f>155+108</f>
        <v>263</v>
      </c>
      <c r="Y206" s="20"/>
      <c r="Z206" s="20"/>
      <c r="AA206" s="20"/>
      <c r="AB206" s="417"/>
      <c r="AC206" s="200"/>
      <c r="AD206" s="160"/>
      <c r="AE206" s="163"/>
      <c r="AF206" s="171"/>
      <c r="AG206" s="192"/>
      <c r="AH206" s="16"/>
      <c r="AI206" s="16"/>
      <c r="AJ206" s="185">
        <f t="shared" si="57"/>
        <v>0</v>
      </c>
      <c r="AK206" s="435"/>
      <c r="AL206" s="476"/>
    </row>
    <row r="207" spans="2:38" ht="26.25" customHeight="1" x14ac:dyDescent="0.25">
      <c r="B207" s="11">
        <v>78</v>
      </c>
      <c r="C207" s="6" t="s">
        <v>19</v>
      </c>
      <c r="D207" s="23" t="s">
        <v>15</v>
      </c>
      <c r="E207" s="104" t="s">
        <v>453</v>
      </c>
      <c r="F207" s="387" t="s">
        <v>606</v>
      </c>
      <c r="G207" s="12" t="s">
        <v>0</v>
      </c>
      <c r="H207" s="39">
        <v>234</v>
      </c>
      <c r="I207" s="309">
        <v>28.08</v>
      </c>
      <c r="J207" s="39">
        <f t="shared" si="60"/>
        <v>0</v>
      </c>
      <c r="K207" s="309">
        <f t="shared" si="64"/>
        <v>0.12</v>
      </c>
      <c r="L207" s="230">
        <f t="shared" si="59"/>
        <v>0</v>
      </c>
      <c r="M207" s="461" t="s">
        <v>831</v>
      </c>
      <c r="N207" s="140">
        <v>234</v>
      </c>
      <c r="O207" s="39"/>
      <c r="P207" s="309">
        <f t="shared" si="65"/>
        <v>0</v>
      </c>
      <c r="Q207" s="51" t="str">
        <f t="shared" si="56"/>
        <v>Ш  4х4 М2000НМ</v>
      </c>
      <c r="R207" s="377">
        <f t="shared" si="54"/>
        <v>0.17</v>
      </c>
      <c r="S207" s="340">
        <v>0.14000000000000001</v>
      </c>
      <c r="T207" s="353">
        <f t="shared" si="61"/>
        <v>0</v>
      </c>
      <c r="U207" s="18">
        <v>19256</v>
      </c>
      <c r="V207" s="20">
        <f t="shared" si="62"/>
        <v>234</v>
      </c>
      <c r="W207" s="52">
        <f t="shared" si="63"/>
        <v>0</v>
      </c>
      <c r="X207" s="147">
        <f>12000-1234-3000+12000-510-234</f>
        <v>19022</v>
      </c>
      <c r="Y207" s="18"/>
      <c r="Z207" s="18">
        <v>1</v>
      </c>
      <c r="AA207" s="18"/>
      <c r="AB207" s="418"/>
      <c r="AC207" s="200"/>
      <c r="AD207" s="160"/>
      <c r="AE207" s="163"/>
      <c r="AF207" s="171"/>
      <c r="AG207" s="192"/>
      <c r="AH207" s="128"/>
      <c r="AI207" s="129"/>
      <c r="AJ207" s="185">
        <f t="shared" si="57"/>
        <v>0</v>
      </c>
      <c r="AK207" s="10"/>
      <c r="AL207" s="476"/>
    </row>
    <row r="208" spans="2:38" ht="26.25" hidden="1" customHeight="1" thickBot="1" x14ac:dyDescent="0.35">
      <c r="B208" s="11"/>
      <c r="C208" s="6" t="s">
        <v>19</v>
      </c>
      <c r="D208" s="23" t="s">
        <v>15</v>
      </c>
      <c r="E208" s="104" t="s">
        <v>139</v>
      </c>
      <c r="F208" s="208" t="s">
        <v>55</v>
      </c>
      <c r="G208" s="48" t="s">
        <v>0</v>
      </c>
      <c r="H208" s="39"/>
      <c r="I208" s="309">
        <v>0</v>
      </c>
      <c r="J208" s="39">
        <f t="shared" si="60"/>
        <v>0</v>
      </c>
      <c r="K208" s="372">
        <f t="shared" si="64"/>
        <v>0.09</v>
      </c>
      <c r="L208" s="230">
        <f t="shared" si="59"/>
        <v>0</v>
      </c>
      <c r="M208" s="233" t="s">
        <v>474</v>
      </c>
      <c r="N208" s="140"/>
      <c r="O208" s="39"/>
      <c r="P208" s="309">
        <f t="shared" si="65"/>
        <v>0</v>
      </c>
      <c r="Q208" s="264" t="str">
        <f t="shared" si="56"/>
        <v>Ш6х6 М2000НМ1</v>
      </c>
      <c r="R208" s="377">
        <f t="shared" ref="R208:R239" si="66">S208*1.2</f>
        <v>0.13</v>
      </c>
      <c r="S208" s="320">
        <v>0.105</v>
      </c>
      <c r="T208" s="353">
        <f t="shared" si="61"/>
        <v>0</v>
      </c>
      <c r="U208" s="74">
        <v>81790</v>
      </c>
      <c r="V208" s="20">
        <f t="shared" si="62"/>
        <v>0</v>
      </c>
      <c r="W208" s="52">
        <f t="shared" si="63"/>
        <v>0</v>
      </c>
      <c r="X208" s="257">
        <v>81790</v>
      </c>
      <c r="Y208" s="74"/>
      <c r="Z208" s="74"/>
      <c r="AA208" s="74"/>
      <c r="AB208" s="422"/>
      <c r="AC208" s="200"/>
      <c r="AD208" s="160">
        <v>3.5999999999999997E-2</v>
      </c>
      <c r="AE208" s="163"/>
      <c r="AF208" s="171"/>
      <c r="AG208" s="192"/>
      <c r="AH208" s="16"/>
      <c r="AI208" s="16"/>
      <c r="AJ208" s="185">
        <f t="shared" si="57"/>
        <v>2944.4</v>
      </c>
      <c r="AK208" s="435"/>
      <c r="AL208" s="476"/>
    </row>
    <row r="209" spans="2:38" ht="26.25" hidden="1" customHeight="1" thickBot="1" x14ac:dyDescent="0.3">
      <c r="B209" s="11"/>
      <c r="C209" s="6" t="s">
        <v>19</v>
      </c>
      <c r="D209" s="23" t="s">
        <v>193</v>
      </c>
      <c r="E209" s="104" t="s">
        <v>188</v>
      </c>
      <c r="F209" s="385" t="s">
        <v>190</v>
      </c>
      <c r="G209" s="19" t="s">
        <v>0</v>
      </c>
      <c r="H209" s="39"/>
      <c r="I209" s="309">
        <v>0</v>
      </c>
      <c r="J209" s="39">
        <f t="shared" si="60"/>
        <v>0</v>
      </c>
      <c r="K209" s="309">
        <f t="shared" si="64"/>
        <v>7.0000000000000007E-2</v>
      </c>
      <c r="L209" s="230">
        <f t="shared" si="59"/>
        <v>0</v>
      </c>
      <c r="M209" s="146" t="s">
        <v>379</v>
      </c>
      <c r="N209" s="140"/>
      <c r="O209" s="39"/>
      <c r="P209" s="309">
        <f t="shared" si="65"/>
        <v>0</v>
      </c>
      <c r="Q209" s="265" t="str">
        <f t="shared" si="56"/>
        <v>Ш6х6 М2500НМ</v>
      </c>
      <c r="R209" s="377">
        <f t="shared" si="66"/>
        <v>0.1</v>
      </c>
      <c r="S209" s="320">
        <v>8.5000000000000006E-2</v>
      </c>
      <c r="T209" s="353">
        <f t="shared" si="61"/>
        <v>0</v>
      </c>
      <c r="U209" s="18"/>
      <c r="V209" s="20">
        <f t="shared" si="62"/>
        <v>0</v>
      </c>
      <c r="W209" s="52">
        <f t="shared" si="63"/>
        <v>0</v>
      </c>
      <c r="X209" s="18"/>
      <c r="Y209" s="18"/>
      <c r="Z209" s="18"/>
      <c r="AA209" s="18"/>
      <c r="AB209" s="418"/>
      <c r="AC209" s="200"/>
      <c r="AD209" s="160">
        <v>3.5999999999999997E-2</v>
      </c>
      <c r="AE209" s="163"/>
      <c r="AF209" s="171"/>
      <c r="AG209" s="192"/>
      <c r="AH209" s="128"/>
      <c r="AI209" s="129"/>
      <c r="AJ209" s="185">
        <f t="shared" si="57"/>
        <v>0</v>
      </c>
      <c r="AK209" s="10"/>
    </row>
    <row r="210" spans="2:38" ht="26.25" hidden="1" customHeight="1" x14ac:dyDescent="0.25">
      <c r="B210" s="15"/>
      <c r="C210" s="6" t="s">
        <v>19</v>
      </c>
      <c r="D210" s="23" t="s">
        <v>203</v>
      </c>
      <c r="E210" s="104" t="s">
        <v>204</v>
      </c>
      <c r="F210" s="387" t="s">
        <v>194</v>
      </c>
      <c r="G210" s="19" t="s">
        <v>0</v>
      </c>
      <c r="H210" s="39"/>
      <c r="I210" s="309">
        <v>0</v>
      </c>
      <c r="J210" s="39">
        <f t="shared" si="60"/>
        <v>0</v>
      </c>
      <c r="K210" s="309">
        <f t="shared" si="64"/>
        <v>0.06</v>
      </c>
      <c r="L210" s="230">
        <f t="shared" si="59"/>
        <v>0</v>
      </c>
      <c r="M210" s="64" t="s">
        <v>205</v>
      </c>
      <c r="N210" s="140"/>
      <c r="O210" s="39"/>
      <c r="P210" s="309">
        <f t="shared" si="65"/>
        <v>0</v>
      </c>
      <c r="Q210" s="262" t="str">
        <f t="shared" si="56"/>
        <v>Ш6х6 М6000НМ</v>
      </c>
      <c r="R210" s="377">
        <f t="shared" si="66"/>
        <v>0.08</v>
      </c>
      <c r="S210" s="333">
        <v>6.93E-2</v>
      </c>
      <c r="T210" s="353">
        <f t="shared" si="61"/>
        <v>0</v>
      </c>
      <c r="U210" s="18"/>
      <c r="V210" s="20">
        <f t="shared" si="62"/>
        <v>0</v>
      </c>
      <c r="W210" s="52">
        <f t="shared" si="63"/>
        <v>0</v>
      </c>
      <c r="X210" s="18"/>
      <c r="Y210" s="18"/>
      <c r="Z210" s="18"/>
      <c r="AA210" s="18"/>
      <c r="AB210" s="418"/>
      <c r="AC210" s="200"/>
      <c r="AD210" s="160"/>
      <c r="AE210" s="163"/>
      <c r="AF210" s="171"/>
      <c r="AG210" s="192"/>
      <c r="AH210" s="16"/>
      <c r="AI210" s="16"/>
      <c r="AJ210" s="185">
        <f t="shared" si="57"/>
        <v>0</v>
      </c>
      <c r="AK210" s="125"/>
    </row>
    <row r="211" spans="2:38" ht="26.25" hidden="1" customHeight="1" x14ac:dyDescent="0.25">
      <c r="B211" s="14"/>
      <c r="C211" s="6" t="s">
        <v>20</v>
      </c>
      <c r="D211" s="23" t="s">
        <v>15</v>
      </c>
      <c r="E211" s="104" t="s">
        <v>96</v>
      </c>
      <c r="F211" s="386">
        <v>103</v>
      </c>
      <c r="G211" s="12" t="s">
        <v>0</v>
      </c>
      <c r="H211" s="39"/>
      <c r="I211" s="309">
        <v>0</v>
      </c>
      <c r="J211" s="39">
        <f t="shared" si="60"/>
        <v>0</v>
      </c>
      <c r="K211" s="372">
        <f t="shared" si="64"/>
        <v>0.08</v>
      </c>
      <c r="L211" s="230">
        <f t="shared" si="59"/>
        <v>0</v>
      </c>
      <c r="M211" s="157" t="s">
        <v>408</v>
      </c>
      <c r="N211" s="140"/>
      <c r="O211" s="39"/>
      <c r="P211" s="309">
        <f t="shared" si="65"/>
        <v>0</v>
      </c>
      <c r="Q211" s="235" t="str">
        <f t="shared" si="56"/>
        <v>Ш7х7 М2000НМ</v>
      </c>
      <c r="R211" s="377">
        <f t="shared" si="66"/>
        <v>0.11</v>
      </c>
      <c r="S211" s="319">
        <v>9.2999999999999999E-2</v>
      </c>
      <c r="T211" s="353">
        <f t="shared" si="61"/>
        <v>0</v>
      </c>
      <c r="U211" s="18"/>
      <c r="V211" s="20">
        <f t="shared" si="62"/>
        <v>0</v>
      </c>
      <c r="W211" s="52">
        <f t="shared" si="63"/>
        <v>0</v>
      </c>
      <c r="X211" s="18"/>
      <c r="Y211" s="18"/>
      <c r="Z211" s="18"/>
      <c r="AA211" s="18"/>
      <c r="AB211" s="418"/>
      <c r="AC211" s="200"/>
      <c r="AD211" s="160"/>
      <c r="AE211" s="163"/>
      <c r="AF211" s="171"/>
      <c r="AG211" s="192"/>
      <c r="AH211" s="128"/>
      <c r="AI211" s="129"/>
      <c r="AJ211" s="185">
        <f t="shared" si="57"/>
        <v>0</v>
      </c>
      <c r="AK211" s="10"/>
    </row>
    <row r="212" spans="2:38" s="21" customFormat="1" ht="26.25" hidden="1" customHeight="1" x14ac:dyDescent="0.25">
      <c r="B212" s="15"/>
      <c r="C212" s="6" t="s">
        <v>19</v>
      </c>
      <c r="D212" s="23" t="s">
        <v>193</v>
      </c>
      <c r="E212" s="104" t="s">
        <v>367</v>
      </c>
      <c r="F212" s="387" t="s">
        <v>220</v>
      </c>
      <c r="G212" s="12" t="s">
        <v>0</v>
      </c>
      <c r="H212" s="39"/>
      <c r="I212" s="309">
        <v>0</v>
      </c>
      <c r="J212" s="39">
        <f t="shared" si="60"/>
        <v>0</v>
      </c>
      <c r="K212" s="309">
        <f t="shared" si="64"/>
        <v>0.16</v>
      </c>
      <c r="L212" s="230">
        <f t="shared" si="59"/>
        <v>0</v>
      </c>
      <c r="M212" s="557" t="s">
        <v>832</v>
      </c>
      <c r="N212" s="140"/>
      <c r="O212" s="39"/>
      <c r="P212" s="309">
        <f t="shared" si="65"/>
        <v>0</v>
      </c>
      <c r="Q212" s="263" t="str">
        <f t="shared" si="56"/>
        <v xml:space="preserve">Ш7х7 </v>
      </c>
      <c r="R212" s="377">
        <f t="shared" si="66"/>
        <v>0.22</v>
      </c>
      <c r="S212" s="339">
        <v>0.18</v>
      </c>
      <c r="T212" s="353">
        <f t="shared" si="61"/>
        <v>0</v>
      </c>
      <c r="U212" s="18">
        <v>19980</v>
      </c>
      <c r="V212" s="20">
        <f t="shared" si="62"/>
        <v>0</v>
      </c>
      <c r="W212" s="52">
        <f t="shared" si="63"/>
        <v>0</v>
      </c>
      <c r="X212" s="147">
        <f>20900-20-150-450-300</f>
        <v>19980</v>
      </c>
      <c r="Y212" s="18">
        <v>1</v>
      </c>
      <c r="Z212" s="18"/>
      <c r="AA212" s="18"/>
      <c r="AB212" s="418"/>
      <c r="AC212" s="200"/>
      <c r="AD212" s="160">
        <v>0.09</v>
      </c>
      <c r="AE212" s="165"/>
      <c r="AF212" s="160"/>
      <c r="AG212" s="192"/>
      <c r="AH212" s="110"/>
      <c r="AI212" s="110"/>
      <c r="AJ212" s="185">
        <f t="shared" si="57"/>
        <v>1798.2</v>
      </c>
      <c r="AK212" s="435"/>
      <c r="AL212" s="480"/>
    </row>
    <row r="213" spans="2:38" ht="26.25" hidden="1" customHeight="1" x14ac:dyDescent="0.25">
      <c r="B213" s="11"/>
      <c r="C213" s="6" t="s">
        <v>19</v>
      </c>
      <c r="D213" s="23" t="s">
        <v>15</v>
      </c>
      <c r="E213" s="104" t="s">
        <v>110</v>
      </c>
      <c r="F213" s="522" t="s">
        <v>112</v>
      </c>
      <c r="G213" s="19" t="s">
        <v>0</v>
      </c>
      <c r="H213" s="39"/>
      <c r="I213" s="360">
        <v>0</v>
      </c>
      <c r="J213" s="39">
        <f t="shared" si="60"/>
        <v>0</v>
      </c>
      <c r="K213" s="309">
        <f t="shared" si="64"/>
        <v>0.69</v>
      </c>
      <c r="L213" s="230">
        <f t="shared" si="59"/>
        <v>0</v>
      </c>
      <c r="M213" s="64"/>
      <c r="N213" s="140"/>
      <c r="O213" s="503"/>
      <c r="P213" s="309">
        <f t="shared" si="65"/>
        <v>0</v>
      </c>
      <c r="Q213" s="235" t="str">
        <f t="shared" si="56"/>
        <v>Ш 10х10</v>
      </c>
      <c r="R213" s="377">
        <f t="shared" si="66"/>
        <v>0.97</v>
      </c>
      <c r="S213" s="319">
        <v>0.81</v>
      </c>
      <c r="T213" s="353">
        <f t="shared" si="61"/>
        <v>0</v>
      </c>
      <c r="U213" s="18">
        <v>960</v>
      </c>
      <c r="V213" s="20">
        <f t="shared" si="62"/>
        <v>0</v>
      </c>
      <c r="W213" s="52">
        <f t="shared" si="63"/>
        <v>0</v>
      </c>
      <c r="X213" s="147">
        <f>260+700</f>
        <v>960</v>
      </c>
      <c r="Y213" s="18">
        <v>1</v>
      </c>
      <c r="Z213" s="18"/>
      <c r="AA213" s="18"/>
      <c r="AB213" s="418"/>
      <c r="AC213" s="200"/>
      <c r="AD213" s="160">
        <v>0.39</v>
      </c>
      <c r="AE213" s="163"/>
      <c r="AF213" s="171"/>
      <c r="AG213" s="192"/>
      <c r="AH213" s="128"/>
      <c r="AI213" s="129"/>
      <c r="AJ213" s="185">
        <f t="shared" si="57"/>
        <v>374.4</v>
      </c>
      <c r="AK213" s="10"/>
      <c r="AL213" s="476"/>
    </row>
    <row r="214" spans="2:38" ht="26.25" hidden="1" customHeight="1" x14ac:dyDescent="0.25">
      <c r="B214" s="11"/>
      <c r="C214" s="6" t="s">
        <v>19</v>
      </c>
      <c r="D214" s="23" t="s">
        <v>15</v>
      </c>
      <c r="E214" s="104" t="s">
        <v>101</v>
      </c>
      <c r="F214" s="387"/>
      <c r="G214" s="14" t="s">
        <v>0</v>
      </c>
      <c r="H214" s="39"/>
      <c r="I214" s="309">
        <v>0</v>
      </c>
      <c r="J214" s="39">
        <f t="shared" si="60"/>
        <v>0</v>
      </c>
      <c r="K214" s="372">
        <f t="shared" si="64"/>
        <v>0.46</v>
      </c>
      <c r="L214" s="230">
        <f t="shared" si="59"/>
        <v>0</v>
      </c>
      <c r="M214" s="90" t="s">
        <v>121</v>
      </c>
      <c r="N214" s="140"/>
      <c r="O214" s="39"/>
      <c r="P214" s="490">
        <f t="shared" si="65"/>
        <v>0</v>
      </c>
      <c r="Q214" s="264" t="str">
        <f t="shared" si="56"/>
        <v>Ш12х15</v>
      </c>
      <c r="R214" s="377">
        <f t="shared" si="66"/>
        <v>0.65</v>
      </c>
      <c r="S214" s="322">
        <v>0.54</v>
      </c>
      <c r="T214" s="353">
        <f t="shared" si="61"/>
        <v>0</v>
      </c>
      <c r="U214" s="18">
        <v>5600</v>
      </c>
      <c r="V214" s="20">
        <f t="shared" si="62"/>
        <v>0</v>
      </c>
      <c r="W214" s="52">
        <f t="shared" si="63"/>
        <v>0</v>
      </c>
      <c r="X214" s="147">
        <v>5600</v>
      </c>
      <c r="Y214" s="18"/>
      <c r="Z214" s="18"/>
      <c r="AA214" s="18"/>
      <c r="AB214" s="418"/>
      <c r="AC214" s="200"/>
      <c r="AD214" s="160">
        <v>0.64</v>
      </c>
      <c r="AE214" s="165"/>
      <c r="AF214" s="160"/>
      <c r="AG214" s="192"/>
      <c r="AH214" s="16"/>
      <c r="AI214" s="16"/>
      <c r="AJ214" s="185">
        <f t="shared" si="57"/>
        <v>3584</v>
      </c>
      <c r="AK214" s="435"/>
      <c r="AL214" s="476"/>
    </row>
    <row r="215" spans="2:38" ht="26.25" customHeight="1" x14ac:dyDescent="0.25">
      <c r="B215" s="11">
        <v>79</v>
      </c>
      <c r="C215" s="6" t="s">
        <v>20</v>
      </c>
      <c r="D215" s="23" t="s">
        <v>15</v>
      </c>
      <c r="E215" s="104" t="s">
        <v>163</v>
      </c>
      <c r="F215" s="208">
        <v>433</v>
      </c>
      <c r="G215" s="12" t="s">
        <v>0</v>
      </c>
      <c r="H215" s="39">
        <v>192</v>
      </c>
      <c r="I215" s="360">
        <v>971.52</v>
      </c>
      <c r="J215" s="39">
        <f t="shared" si="60"/>
        <v>0</v>
      </c>
      <c r="K215" s="309">
        <f t="shared" si="64"/>
        <v>5.0599999999999996</v>
      </c>
      <c r="L215" s="230">
        <f t="shared" si="59"/>
        <v>0</v>
      </c>
      <c r="M215" s="365"/>
      <c r="N215" s="140"/>
      <c r="O215" s="503">
        <v>192</v>
      </c>
      <c r="P215" s="309">
        <f t="shared" si="65"/>
        <v>971.52</v>
      </c>
      <c r="Q215" s="235" t="str">
        <f t="shared" si="56"/>
        <v xml:space="preserve">Ш20х28 </v>
      </c>
      <c r="R215" s="377">
        <f t="shared" si="66"/>
        <v>7.08</v>
      </c>
      <c r="S215" s="319">
        <v>5.9</v>
      </c>
      <c r="T215" s="353">
        <f t="shared" si="61"/>
        <v>0</v>
      </c>
      <c r="U215" s="18">
        <v>4000</v>
      </c>
      <c r="V215" s="20">
        <f t="shared" si="62"/>
        <v>0</v>
      </c>
      <c r="W215" s="52">
        <f t="shared" si="63"/>
        <v>0</v>
      </c>
      <c r="X215" s="147">
        <v>4000</v>
      </c>
      <c r="Y215" s="18"/>
      <c r="Z215" s="18"/>
      <c r="AA215" s="18"/>
      <c r="AB215" s="418"/>
      <c r="AC215" s="200"/>
      <c r="AD215" s="160">
        <v>1.1499999999999999</v>
      </c>
      <c r="AE215" s="163"/>
      <c r="AF215" s="171"/>
      <c r="AG215" s="192"/>
      <c r="AH215" s="16"/>
      <c r="AI215" s="16"/>
      <c r="AJ215" s="185">
        <f t="shared" si="57"/>
        <v>4600</v>
      </c>
      <c r="AK215" s="435"/>
      <c r="AL215" s="476"/>
    </row>
    <row r="216" spans="2:38" ht="26.25" hidden="1" customHeight="1" x14ac:dyDescent="0.25">
      <c r="B216" s="11"/>
      <c r="C216" s="6" t="s">
        <v>19</v>
      </c>
      <c r="D216" s="23" t="s">
        <v>15</v>
      </c>
      <c r="E216" s="104" t="s">
        <v>156</v>
      </c>
      <c r="F216" s="387" t="s">
        <v>119</v>
      </c>
      <c r="G216" s="14" t="s">
        <v>0</v>
      </c>
      <c r="H216" s="39"/>
      <c r="I216" s="309">
        <v>0</v>
      </c>
      <c r="J216" s="39">
        <f t="shared" si="60"/>
        <v>0</v>
      </c>
      <c r="K216" s="372">
        <f t="shared" si="64"/>
        <v>0.34</v>
      </c>
      <c r="L216" s="230">
        <f t="shared" si="59"/>
        <v>0</v>
      </c>
      <c r="M216" s="90" t="s">
        <v>120</v>
      </c>
      <c r="N216" s="140"/>
      <c r="O216" s="39"/>
      <c r="P216" s="490">
        <f t="shared" si="65"/>
        <v>0</v>
      </c>
      <c r="Q216" s="262" t="str">
        <f t="shared" si="56"/>
        <v>Ш42х21х13</v>
      </c>
      <c r="R216" s="377">
        <f t="shared" si="66"/>
        <v>0.48</v>
      </c>
      <c r="S216" s="326">
        <v>0.4</v>
      </c>
      <c r="T216" s="353">
        <f t="shared" si="61"/>
        <v>0</v>
      </c>
      <c r="U216" s="20">
        <v>2444</v>
      </c>
      <c r="V216" s="20">
        <f t="shared" si="62"/>
        <v>0</v>
      </c>
      <c r="W216" s="52">
        <f t="shared" si="63"/>
        <v>0</v>
      </c>
      <c r="X216" s="148">
        <f>400+44+2000</f>
        <v>2444</v>
      </c>
      <c r="Y216" s="20"/>
      <c r="Z216" s="20">
        <v>1</v>
      </c>
      <c r="AA216" s="20"/>
      <c r="AB216" s="417"/>
      <c r="AC216" s="200"/>
      <c r="AD216" s="160">
        <v>0.64</v>
      </c>
      <c r="AE216" s="163"/>
      <c r="AF216" s="171"/>
      <c r="AG216" s="192"/>
      <c r="AH216" s="16"/>
      <c r="AI216" s="16"/>
      <c r="AJ216" s="185">
        <f t="shared" si="57"/>
        <v>1564.2</v>
      </c>
      <c r="AK216" s="437"/>
      <c r="AL216" s="477"/>
    </row>
    <row r="217" spans="2:38" ht="26.25" hidden="1" customHeight="1" x14ac:dyDescent="0.25">
      <c r="B217" s="19"/>
      <c r="C217" s="6" t="s">
        <v>19</v>
      </c>
      <c r="D217" s="23" t="s">
        <v>141</v>
      </c>
      <c r="E217" s="104" t="s">
        <v>88</v>
      </c>
      <c r="F217" s="385" t="s">
        <v>267</v>
      </c>
      <c r="G217" s="12" t="s">
        <v>0</v>
      </c>
      <c r="H217" s="39"/>
      <c r="I217" s="309">
        <v>0</v>
      </c>
      <c r="J217" s="39">
        <f t="shared" si="60"/>
        <v>0</v>
      </c>
      <c r="K217" s="309">
        <f t="shared" si="64"/>
        <v>7.0000000000000007E-2</v>
      </c>
      <c r="L217" s="230">
        <f t="shared" si="59"/>
        <v>0</v>
      </c>
      <c r="M217" s="214" t="s">
        <v>506</v>
      </c>
      <c r="N217" s="140"/>
      <c r="O217" s="39"/>
      <c r="P217" s="309">
        <f t="shared" si="65"/>
        <v>0</v>
      </c>
      <c r="Q217" s="235" t="str">
        <f t="shared" si="56"/>
        <v xml:space="preserve"> СК210-23 К14х9х 5</v>
      </c>
      <c r="R217" s="377">
        <f t="shared" si="66"/>
        <v>0.1</v>
      </c>
      <c r="S217" s="341">
        <v>8.3000000000000004E-2</v>
      </c>
      <c r="T217" s="353">
        <f t="shared" si="61"/>
        <v>0</v>
      </c>
      <c r="U217" s="20">
        <v>139300</v>
      </c>
      <c r="V217" s="20">
        <f t="shared" si="62"/>
        <v>0</v>
      </c>
      <c r="W217" s="52">
        <f t="shared" si="63"/>
        <v>0</v>
      </c>
      <c r="X217" s="148">
        <v>139300</v>
      </c>
      <c r="Y217" s="20"/>
      <c r="Z217" s="20">
        <v>1</v>
      </c>
      <c r="AA217" s="20"/>
      <c r="AB217" s="417"/>
      <c r="AC217" s="200"/>
      <c r="AD217" s="160">
        <v>0.08</v>
      </c>
      <c r="AE217" s="165"/>
      <c r="AF217" s="160"/>
      <c r="AG217" s="192"/>
      <c r="AH217" s="16"/>
      <c r="AI217" s="16"/>
      <c r="AJ217" s="185">
        <f t="shared" si="57"/>
        <v>11144</v>
      </c>
      <c r="AK217" s="435"/>
      <c r="AL217" s="481">
        <f>SUM(AJ191:AJ217)</f>
        <v>36460.699999999997</v>
      </c>
    </row>
    <row r="218" spans="2:38" ht="26.25" hidden="1" customHeight="1" x14ac:dyDescent="0.25">
      <c r="B218" s="11"/>
      <c r="C218" s="6" t="s">
        <v>18</v>
      </c>
      <c r="D218" s="23" t="s">
        <v>40</v>
      </c>
      <c r="E218" s="104" t="s">
        <v>211</v>
      </c>
      <c r="F218" s="375">
        <v>642</v>
      </c>
      <c r="G218" s="48" t="s">
        <v>0</v>
      </c>
      <c r="H218" s="39"/>
      <c r="I218" s="360">
        <v>0</v>
      </c>
      <c r="J218" s="39">
        <f t="shared" si="60"/>
        <v>0</v>
      </c>
      <c r="K218" s="309">
        <f t="shared" si="64"/>
        <v>0.51</v>
      </c>
      <c r="L218" s="230">
        <f t="shared" si="59"/>
        <v>0</v>
      </c>
      <c r="M218" s="219" t="s">
        <v>833</v>
      </c>
      <c r="N218" s="140"/>
      <c r="O218" s="39"/>
      <c r="P218" s="360">
        <f t="shared" si="65"/>
        <v>0</v>
      </c>
      <c r="Q218" s="235" t="str">
        <f t="shared" si="56"/>
        <v>Д3х2</v>
      </c>
      <c r="R218" s="306">
        <f t="shared" si="66"/>
        <v>0.72</v>
      </c>
      <c r="S218" s="319">
        <v>0.6</v>
      </c>
      <c r="T218" s="353">
        <f t="shared" si="61"/>
        <v>0</v>
      </c>
      <c r="U218" s="430">
        <v>8990</v>
      </c>
      <c r="V218" s="20">
        <f t="shared" si="62"/>
        <v>0</v>
      </c>
      <c r="W218" s="52">
        <f t="shared" si="63"/>
        <v>790</v>
      </c>
      <c r="X218" s="147">
        <v>9780</v>
      </c>
      <c r="Y218" s="18"/>
      <c r="Z218" s="18"/>
      <c r="AA218" s="18">
        <v>12</v>
      </c>
      <c r="AB218" s="418"/>
      <c r="AC218" s="168"/>
      <c r="AD218" s="450">
        <v>1.7999999999999999E-2</v>
      </c>
      <c r="AE218" s="162"/>
      <c r="AF218" s="171"/>
      <c r="AG218" s="176">
        <v>0.2</v>
      </c>
      <c r="AH218" s="120">
        <v>1.1000000000000001</v>
      </c>
      <c r="AI218" s="125">
        <v>0.35</v>
      </c>
      <c r="AJ218" s="185">
        <f t="shared" si="57"/>
        <v>176</v>
      </c>
      <c r="AK218" s="435" t="s">
        <v>341</v>
      </c>
      <c r="AL218" s="476"/>
    </row>
    <row r="219" spans="2:38" ht="26.25" hidden="1" customHeight="1" x14ac:dyDescent="0.25">
      <c r="B219" s="11"/>
      <c r="C219" s="6" t="s">
        <v>18</v>
      </c>
      <c r="D219" s="23" t="s">
        <v>40</v>
      </c>
      <c r="E219" s="104" t="s">
        <v>226</v>
      </c>
      <c r="F219" s="522">
        <v>966</v>
      </c>
      <c r="G219" s="48"/>
      <c r="H219" s="39"/>
      <c r="I219" s="309">
        <v>0</v>
      </c>
      <c r="J219" s="39">
        <f t="shared" si="60"/>
        <v>0</v>
      </c>
      <c r="K219" s="309">
        <f t="shared" si="64"/>
        <v>0.17</v>
      </c>
      <c r="L219" s="230">
        <f t="shared" si="59"/>
        <v>0</v>
      </c>
      <c r="M219" s="96" t="s">
        <v>307</v>
      </c>
      <c r="N219" s="140"/>
      <c r="O219" s="39"/>
      <c r="P219" s="309">
        <f t="shared" si="65"/>
        <v>0</v>
      </c>
      <c r="Q219" s="235" t="str">
        <f t="shared" si="56"/>
        <v>Д3х3</v>
      </c>
      <c r="R219" s="377">
        <f t="shared" si="66"/>
        <v>0.24</v>
      </c>
      <c r="S219" s="319">
        <v>0.2</v>
      </c>
      <c r="T219" s="353">
        <f t="shared" si="61"/>
        <v>0</v>
      </c>
      <c r="U219" s="430">
        <v>8673</v>
      </c>
      <c r="V219" s="20">
        <f t="shared" si="62"/>
        <v>0</v>
      </c>
      <c r="W219" s="52">
        <f t="shared" si="63"/>
        <v>0</v>
      </c>
      <c r="X219" s="147">
        <f>7873+800</f>
        <v>8673</v>
      </c>
      <c r="Y219" s="18"/>
      <c r="Z219" s="18"/>
      <c r="AA219" s="18"/>
      <c r="AB219" s="418"/>
      <c r="AC219" s="168"/>
      <c r="AD219" s="450">
        <v>1.7999999999999999E-2</v>
      </c>
      <c r="AE219" s="163"/>
      <c r="AF219" s="171"/>
      <c r="AG219" s="192">
        <v>0.3</v>
      </c>
      <c r="AH219" s="110"/>
      <c r="AI219" s="125" t="s">
        <v>423</v>
      </c>
      <c r="AJ219" s="185">
        <f t="shared" si="57"/>
        <v>156.1</v>
      </c>
      <c r="AK219" s="435" t="s">
        <v>342</v>
      </c>
      <c r="AL219" s="476"/>
    </row>
    <row r="220" spans="2:38" ht="26.25" hidden="1" customHeight="1" x14ac:dyDescent="0.25">
      <c r="B220" s="11"/>
      <c r="C220" s="6" t="s">
        <v>18</v>
      </c>
      <c r="D220" s="23" t="s">
        <v>40</v>
      </c>
      <c r="E220" s="104" t="s">
        <v>227</v>
      </c>
      <c r="F220" s="394">
        <v>496</v>
      </c>
      <c r="G220" s="48"/>
      <c r="H220" s="39"/>
      <c r="I220" s="309">
        <v>0</v>
      </c>
      <c r="J220" s="39">
        <f t="shared" si="60"/>
        <v>0</v>
      </c>
      <c r="K220" s="309">
        <f t="shared" si="64"/>
        <v>0.43</v>
      </c>
      <c r="L220" s="230">
        <f t="shared" si="59"/>
        <v>0</v>
      </c>
      <c r="M220" s="215" t="s">
        <v>232</v>
      </c>
      <c r="N220" s="140"/>
      <c r="O220" s="39"/>
      <c r="P220" s="309">
        <f t="shared" si="65"/>
        <v>0</v>
      </c>
      <c r="Q220" s="235" t="str">
        <f t="shared" si="56"/>
        <v>Д3х4</v>
      </c>
      <c r="R220" s="377">
        <f t="shared" si="66"/>
        <v>0.6</v>
      </c>
      <c r="S220" s="319">
        <v>0.5</v>
      </c>
      <c r="T220" s="353">
        <f t="shared" si="61"/>
        <v>0</v>
      </c>
      <c r="U220" s="430">
        <v>2567</v>
      </c>
      <c r="V220" s="20">
        <f t="shared" si="62"/>
        <v>0</v>
      </c>
      <c r="W220" s="52">
        <f t="shared" si="63"/>
        <v>0</v>
      </c>
      <c r="X220" s="147">
        <f>1676+891</f>
        <v>2567</v>
      </c>
      <c r="Y220" s="18"/>
      <c r="Z220" s="18"/>
      <c r="AA220" s="18"/>
      <c r="AB220" s="418"/>
      <c r="AC220" s="168"/>
      <c r="AD220" s="450">
        <v>3.5999999999999997E-2</v>
      </c>
      <c r="AE220" s="162"/>
      <c r="AF220" s="171"/>
      <c r="AG220" s="176"/>
      <c r="AH220" s="120"/>
      <c r="AI220" s="125"/>
      <c r="AJ220" s="185">
        <f t="shared" si="57"/>
        <v>92.4</v>
      </c>
      <c r="AK220" s="435" t="s">
        <v>341</v>
      </c>
      <c r="AL220" s="476"/>
    </row>
    <row r="221" spans="2:38" ht="26.25" hidden="1" customHeight="1" x14ac:dyDescent="0.25">
      <c r="B221" s="11"/>
      <c r="C221" s="6" t="s">
        <v>18</v>
      </c>
      <c r="D221" s="23" t="s">
        <v>40</v>
      </c>
      <c r="E221" s="104" t="s">
        <v>245</v>
      </c>
      <c r="F221" s="210"/>
      <c r="G221" s="48"/>
      <c r="H221" s="39"/>
      <c r="I221" s="309">
        <v>0</v>
      </c>
      <c r="J221" s="39">
        <f t="shared" si="60"/>
        <v>0</v>
      </c>
      <c r="K221" s="309">
        <f t="shared" si="64"/>
        <v>1.8</v>
      </c>
      <c r="L221" s="230">
        <f t="shared" si="59"/>
        <v>0</v>
      </c>
      <c r="M221" s="95" t="s">
        <v>241</v>
      </c>
      <c r="N221" s="140"/>
      <c r="O221" s="39"/>
      <c r="P221" s="309">
        <f t="shared" si="65"/>
        <v>0</v>
      </c>
      <c r="Q221" s="235" t="str">
        <f t="shared" si="56"/>
        <v>Д3,5х2 с цн.пок.</v>
      </c>
      <c r="R221" s="377">
        <f t="shared" si="66"/>
        <v>2.52</v>
      </c>
      <c r="S221" s="339">
        <v>2.1</v>
      </c>
      <c r="T221" s="353">
        <f t="shared" si="61"/>
        <v>0</v>
      </c>
      <c r="U221" s="70">
        <v>1847</v>
      </c>
      <c r="V221" s="20">
        <f t="shared" si="62"/>
        <v>0</v>
      </c>
      <c r="W221" s="52">
        <f t="shared" si="63"/>
        <v>0</v>
      </c>
      <c r="X221" s="148">
        <v>1847</v>
      </c>
      <c r="Y221" s="20"/>
      <c r="Z221" s="20"/>
      <c r="AA221" s="20"/>
      <c r="AB221" s="417"/>
      <c r="AC221" s="168"/>
      <c r="AD221" s="450">
        <v>6.6000000000000003E-2</v>
      </c>
      <c r="AE221" s="162"/>
      <c r="AF221" s="171"/>
      <c r="AG221" s="176">
        <v>0.15</v>
      </c>
      <c r="AH221" s="120"/>
      <c r="AI221" s="125"/>
      <c r="AJ221" s="185">
        <f t="shared" si="57"/>
        <v>121.9</v>
      </c>
      <c r="AK221" s="435" t="s">
        <v>343</v>
      </c>
      <c r="AL221" s="476"/>
    </row>
    <row r="222" spans="2:38" ht="26.25" hidden="1" customHeight="1" x14ac:dyDescent="0.25">
      <c r="B222" s="11"/>
      <c r="C222" s="6" t="s">
        <v>18</v>
      </c>
      <c r="D222" s="23" t="s">
        <v>40</v>
      </c>
      <c r="E222" s="104" t="s">
        <v>246</v>
      </c>
      <c r="F222" s="270">
        <v>663</v>
      </c>
      <c r="G222" s="13" t="s">
        <v>0</v>
      </c>
      <c r="H222" s="39"/>
      <c r="I222" s="360">
        <v>0</v>
      </c>
      <c r="J222" s="39">
        <f t="shared" si="60"/>
        <v>0</v>
      </c>
      <c r="K222" s="309">
        <f t="shared" si="64"/>
        <v>0.39</v>
      </c>
      <c r="L222" s="230">
        <f t="shared" si="59"/>
        <v>0</v>
      </c>
      <c r="M222" s="96" t="s">
        <v>277</v>
      </c>
      <c r="N222" s="140"/>
      <c r="O222" s="39"/>
      <c r="P222" s="360">
        <f t="shared" si="65"/>
        <v>0</v>
      </c>
      <c r="Q222" s="263" t="str">
        <f t="shared" si="56"/>
        <v xml:space="preserve">Д3,5х2 </v>
      </c>
      <c r="R222" s="377">
        <f t="shared" si="66"/>
        <v>0.54</v>
      </c>
      <c r="S222" s="319">
        <v>0.45</v>
      </c>
      <c r="T222" s="353">
        <f t="shared" si="61"/>
        <v>0</v>
      </c>
      <c r="U222" s="70">
        <v>4560</v>
      </c>
      <c r="V222" s="20">
        <f t="shared" si="62"/>
        <v>0</v>
      </c>
      <c r="W222" s="52">
        <f t="shared" si="63"/>
        <v>104</v>
      </c>
      <c r="X222" s="148">
        <f>760+3904</f>
        <v>4664</v>
      </c>
      <c r="Y222" s="20"/>
      <c r="Z222" s="20"/>
      <c r="AA222" s="20">
        <v>50</v>
      </c>
      <c r="AB222" s="417"/>
      <c r="AC222" s="168"/>
      <c r="AD222" s="450">
        <v>5.8000000000000003E-2</v>
      </c>
      <c r="AE222" s="165"/>
      <c r="AF222" s="160"/>
      <c r="AG222" s="192">
        <v>0.15</v>
      </c>
      <c r="AH222" s="110"/>
      <c r="AI222" s="125"/>
      <c r="AJ222" s="185">
        <f t="shared" si="57"/>
        <v>270.5</v>
      </c>
      <c r="AK222" s="435" t="s">
        <v>344</v>
      </c>
      <c r="AL222" s="476"/>
    </row>
    <row r="223" spans="2:38" ht="26.25" hidden="1" customHeight="1" x14ac:dyDescent="0.25">
      <c r="B223" s="11"/>
      <c r="C223" s="6" t="s">
        <v>18</v>
      </c>
      <c r="D223" s="23" t="s">
        <v>40</v>
      </c>
      <c r="E223" s="104" t="s">
        <v>228</v>
      </c>
      <c r="F223" s="210">
        <v>515</v>
      </c>
      <c r="G223" s="48"/>
      <c r="H223" s="39"/>
      <c r="I223" s="360">
        <v>0</v>
      </c>
      <c r="J223" s="39">
        <f t="shared" si="60"/>
        <v>0</v>
      </c>
      <c r="K223" s="309">
        <v>0.63</v>
      </c>
      <c r="L223" s="230">
        <f t="shared" si="59"/>
        <v>0</v>
      </c>
      <c r="M223" s="219" t="s">
        <v>834</v>
      </c>
      <c r="N223" s="140"/>
      <c r="O223" s="503"/>
      <c r="P223" s="309">
        <f t="shared" si="65"/>
        <v>0</v>
      </c>
      <c r="Q223" s="263" t="str">
        <f t="shared" si="56"/>
        <v>Д3,5х3</v>
      </c>
      <c r="R223" s="377">
        <f t="shared" si="66"/>
        <v>0.92</v>
      </c>
      <c r="S223" s="326">
        <v>0.77</v>
      </c>
      <c r="T223" s="353">
        <f t="shared" si="61"/>
        <v>0</v>
      </c>
      <c r="U223" s="430">
        <v>3100</v>
      </c>
      <c r="V223" s="20">
        <f t="shared" si="62"/>
        <v>0</v>
      </c>
      <c r="W223" s="52">
        <f t="shared" si="63"/>
        <v>-38</v>
      </c>
      <c r="X223" s="147">
        <v>3062</v>
      </c>
      <c r="Y223" s="18"/>
      <c r="Z223" s="18"/>
      <c r="AA223" s="18">
        <v>500</v>
      </c>
      <c r="AB223" s="418"/>
      <c r="AC223" s="168"/>
      <c r="AD223" s="450">
        <v>0.13800000000000001</v>
      </c>
      <c r="AE223" s="163" t="s">
        <v>399</v>
      </c>
      <c r="AF223" s="171">
        <v>2.4E-2</v>
      </c>
      <c r="AG223" s="192"/>
      <c r="AH223" s="110"/>
      <c r="AI223" s="125"/>
      <c r="AJ223" s="185">
        <f>AF223*X223</f>
        <v>73.5</v>
      </c>
      <c r="AK223" s="435" t="s">
        <v>343</v>
      </c>
      <c r="AL223" s="476"/>
    </row>
    <row r="224" spans="2:38" ht="26.25" hidden="1" customHeight="1" x14ac:dyDescent="0.25">
      <c r="B224" s="11"/>
      <c r="C224" s="6" t="s">
        <v>18</v>
      </c>
      <c r="D224" s="23" t="s">
        <v>40</v>
      </c>
      <c r="E224" s="106" t="s">
        <v>186</v>
      </c>
      <c r="F224" s="210">
        <v>586</v>
      </c>
      <c r="G224" s="13" t="s">
        <v>0</v>
      </c>
      <c r="H224" s="39"/>
      <c r="I224" s="309">
        <v>0</v>
      </c>
      <c r="J224" s="39">
        <f t="shared" si="60"/>
        <v>0</v>
      </c>
      <c r="K224" s="309">
        <f>R224/1.4</f>
        <v>1.71</v>
      </c>
      <c r="L224" s="230">
        <f t="shared" si="59"/>
        <v>0</v>
      </c>
      <c r="M224" s="215" t="s">
        <v>707</v>
      </c>
      <c r="N224" s="140"/>
      <c r="O224" s="39"/>
      <c r="P224" s="490">
        <f t="shared" si="65"/>
        <v>0</v>
      </c>
      <c r="Q224" s="51" t="str">
        <f t="shared" si="56"/>
        <v>Д3х6</v>
      </c>
      <c r="R224" s="377">
        <f t="shared" si="66"/>
        <v>2.4</v>
      </c>
      <c r="S224" s="319">
        <v>2</v>
      </c>
      <c r="T224" s="353">
        <f t="shared" si="61"/>
        <v>0</v>
      </c>
      <c r="U224" s="430">
        <v>476</v>
      </c>
      <c r="V224" s="20">
        <f t="shared" si="62"/>
        <v>0</v>
      </c>
      <c r="W224" s="52">
        <f t="shared" si="63"/>
        <v>0</v>
      </c>
      <c r="X224" s="147">
        <v>476</v>
      </c>
      <c r="Y224" s="18"/>
      <c r="Z224" s="18"/>
      <c r="AA224" s="18"/>
      <c r="AB224" s="418"/>
      <c r="AC224" s="168"/>
      <c r="AD224" s="450">
        <v>0.04</v>
      </c>
      <c r="AE224" s="162"/>
      <c r="AF224" s="171"/>
      <c r="AG224" s="176">
        <v>0.33</v>
      </c>
      <c r="AH224" s="120"/>
      <c r="AI224" s="125"/>
      <c r="AJ224" s="185">
        <f>X224*AD224</f>
        <v>19</v>
      </c>
      <c r="AK224" s="435" t="s">
        <v>341</v>
      </c>
      <c r="AL224" s="476"/>
    </row>
    <row r="225" spans="1:73" ht="26.25" customHeight="1" x14ac:dyDescent="0.25">
      <c r="B225" s="11">
        <v>80</v>
      </c>
      <c r="C225" s="6" t="s">
        <v>18</v>
      </c>
      <c r="D225" s="23" t="s">
        <v>40</v>
      </c>
      <c r="E225" s="106" t="s">
        <v>285</v>
      </c>
      <c r="F225" s="383">
        <v>1224</v>
      </c>
      <c r="G225" s="12" t="s">
        <v>0</v>
      </c>
      <c r="H225" s="39">
        <v>1440</v>
      </c>
      <c r="I225" s="360">
        <v>244.8</v>
      </c>
      <c r="J225" s="39">
        <f t="shared" si="60"/>
        <v>0</v>
      </c>
      <c r="K225" s="309">
        <f>R225/1.4</f>
        <v>0.17</v>
      </c>
      <c r="L225" s="230"/>
      <c r="M225" s="250" t="s">
        <v>538</v>
      </c>
      <c r="N225" s="140"/>
      <c r="O225" s="503">
        <v>1440</v>
      </c>
      <c r="P225" s="497">
        <f t="shared" si="65"/>
        <v>244.8</v>
      </c>
      <c r="Q225" s="263" t="str">
        <f t="shared" si="56"/>
        <v>Д4х2</v>
      </c>
      <c r="R225" s="306">
        <f t="shared" si="66"/>
        <v>0.24</v>
      </c>
      <c r="S225" s="342">
        <v>0.2</v>
      </c>
      <c r="T225" s="353">
        <f t="shared" si="61"/>
        <v>0</v>
      </c>
      <c r="U225" s="70">
        <v>50</v>
      </c>
      <c r="V225" s="20">
        <f t="shared" si="62"/>
        <v>0</v>
      </c>
      <c r="W225" s="52">
        <f t="shared" si="63"/>
        <v>0</v>
      </c>
      <c r="X225" s="148">
        <v>50</v>
      </c>
      <c r="Y225" s="20"/>
      <c r="Z225" s="20"/>
      <c r="AA225" s="20">
        <v>1440</v>
      </c>
      <c r="AB225" s="417"/>
      <c r="AC225" s="168"/>
      <c r="AD225" s="450">
        <v>0.02</v>
      </c>
      <c r="AE225" s="165"/>
      <c r="AF225" s="160"/>
      <c r="AG225" s="192">
        <v>0.19</v>
      </c>
      <c r="AH225" s="110"/>
      <c r="AI225" s="125"/>
      <c r="AJ225" s="185">
        <f>X225*AD225</f>
        <v>1</v>
      </c>
      <c r="AK225" s="435" t="s">
        <v>344</v>
      </c>
      <c r="AL225" s="476"/>
    </row>
    <row r="226" spans="1:73" ht="26.25" hidden="1" customHeight="1" x14ac:dyDescent="0.25">
      <c r="B226" s="11"/>
      <c r="C226" s="6" t="s">
        <v>18</v>
      </c>
      <c r="D226" s="23" t="s">
        <v>40</v>
      </c>
      <c r="E226" s="104" t="s">
        <v>229</v>
      </c>
      <c r="F226" s="384">
        <v>452</v>
      </c>
      <c r="G226" s="48"/>
      <c r="H226" s="39"/>
      <c r="I226" s="360">
        <v>0</v>
      </c>
      <c r="J226" s="39">
        <f t="shared" si="60"/>
        <v>0</v>
      </c>
      <c r="K226" s="309">
        <f>R226/1.4</f>
        <v>0.51</v>
      </c>
      <c r="L226" s="230">
        <f>K226*J522</f>
        <v>0</v>
      </c>
      <c r="M226" s="369" t="s">
        <v>835</v>
      </c>
      <c r="N226" s="140"/>
      <c r="O226" s="503"/>
      <c r="P226" s="309">
        <f t="shared" si="65"/>
        <v>0</v>
      </c>
      <c r="Q226" s="51" t="str">
        <f t="shared" si="56"/>
        <v>Д4,5х3</v>
      </c>
      <c r="R226" s="377">
        <f t="shared" si="66"/>
        <v>0.72</v>
      </c>
      <c r="S226" s="339">
        <v>0.6</v>
      </c>
      <c r="T226" s="353">
        <f t="shared" si="61"/>
        <v>0</v>
      </c>
      <c r="U226" s="430">
        <v>6981</v>
      </c>
      <c r="V226" s="20">
        <f t="shared" si="62"/>
        <v>0</v>
      </c>
      <c r="W226" s="52">
        <f t="shared" si="63"/>
        <v>104</v>
      </c>
      <c r="X226" s="147">
        <f>4286+1699+1100</f>
        <v>7085</v>
      </c>
      <c r="Y226" s="18"/>
      <c r="Z226" s="18"/>
      <c r="AA226" s="18">
        <f>700+100</f>
        <v>800</v>
      </c>
      <c r="AB226" s="418"/>
      <c r="AC226" s="168"/>
      <c r="AD226" s="450">
        <v>0.19</v>
      </c>
      <c r="AE226" s="162"/>
      <c r="AF226" s="171"/>
      <c r="AG226" s="176">
        <v>0.4</v>
      </c>
      <c r="AH226" s="120">
        <v>3.2</v>
      </c>
      <c r="AI226" s="125"/>
      <c r="AJ226" s="185">
        <f>X226*AD226</f>
        <v>1346.2</v>
      </c>
      <c r="AK226" s="435" t="s">
        <v>344</v>
      </c>
      <c r="AL226" s="476"/>
    </row>
    <row r="227" spans="1:73" s="4" customFormat="1" ht="26.25" hidden="1" customHeight="1" x14ac:dyDescent="0.25">
      <c r="A227" s="10"/>
      <c r="B227" s="11"/>
      <c r="C227" s="6" t="s">
        <v>18</v>
      </c>
      <c r="D227" s="23" t="s">
        <v>40</v>
      </c>
      <c r="E227" s="104" t="s">
        <v>868</v>
      </c>
      <c r="F227" s="375">
        <v>1304</v>
      </c>
      <c r="G227" s="48"/>
      <c r="H227" s="39"/>
      <c r="I227" s="360">
        <v>0</v>
      </c>
      <c r="J227" s="39">
        <f t="shared" si="60"/>
        <v>0</v>
      </c>
      <c r="K227" s="309">
        <f>R227/1.4</f>
        <v>5.14</v>
      </c>
      <c r="L227" s="230"/>
      <c r="M227" s="250" t="s">
        <v>539</v>
      </c>
      <c r="N227" s="140"/>
      <c r="O227" s="39"/>
      <c r="P227" s="467">
        <f t="shared" si="65"/>
        <v>0</v>
      </c>
      <c r="Q227" s="264" t="str">
        <f t="shared" si="56"/>
        <v>Д5х3 N42H</v>
      </c>
      <c r="R227" s="306">
        <f t="shared" si="66"/>
        <v>7.2</v>
      </c>
      <c r="S227" s="339">
        <v>6</v>
      </c>
      <c r="T227" s="353">
        <f t="shared" si="61"/>
        <v>0</v>
      </c>
      <c r="U227" s="20">
        <v>20</v>
      </c>
      <c r="V227" s="20">
        <f t="shared" si="62"/>
        <v>0</v>
      </c>
      <c r="W227" s="52">
        <f t="shared" si="63"/>
        <v>0</v>
      </c>
      <c r="X227" s="148">
        <v>20</v>
      </c>
      <c r="Y227" s="20"/>
      <c r="Z227" s="20"/>
      <c r="AA227" s="20"/>
      <c r="AB227" s="417"/>
      <c r="AC227" s="200"/>
      <c r="AD227" s="160"/>
      <c r="AE227" s="162"/>
      <c r="AF227" s="171"/>
      <c r="AG227" s="176"/>
      <c r="AH227" s="120"/>
      <c r="AI227" s="125"/>
      <c r="AJ227" s="185"/>
      <c r="AK227" s="125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</row>
    <row r="228" spans="1:73" ht="26.25" customHeight="1" x14ac:dyDescent="0.25">
      <c r="B228" s="11">
        <v>81</v>
      </c>
      <c r="C228" s="6" t="s">
        <v>18</v>
      </c>
      <c r="D228" s="23" t="s">
        <v>40</v>
      </c>
      <c r="E228" s="104" t="s">
        <v>158</v>
      </c>
      <c r="F228" s="208">
        <v>808</v>
      </c>
      <c r="G228" s="12" t="s">
        <v>0</v>
      </c>
      <c r="H228" s="39">
        <v>1280</v>
      </c>
      <c r="I228" s="360">
        <v>332.8</v>
      </c>
      <c r="J228" s="39">
        <f t="shared" si="60"/>
        <v>0</v>
      </c>
      <c r="K228" s="309">
        <v>0.26</v>
      </c>
      <c r="L228" s="230">
        <f>K228*J524</f>
        <v>0</v>
      </c>
      <c r="M228" s="215" t="s">
        <v>803</v>
      </c>
      <c r="N228" s="140"/>
      <c r="O228" s="503">
        <v>1280</v>
      </c>
      <c r="P228" s="309">
        <f t="shared" si="65"/>
        <v>332.8</v>
      </c>
      <c r="Q228" s="235" t="str">
        <f t="shared" si="56"/>
        <v>Д5х2</v>
      </c>
      <c r="R228" s="377">
        <f t="shared" si="66"/>
        <v>0.36</v>
      </c>
      <c r="S228" s="319">
        <v>0.3</v>
      </c>
      <c r="T228" s="353">
        <f t="shared" si="61"/>
        <v>0</v>
      </c>
      <c r="U228" s="70">
        <v>10065</v>
      </c>
      <c r="V228" s="20">
        <f t="shared" si="62"/>
        <v>0</v>
      </c>
      <c r="W228" s="52">
        <f t="shared" si="63"/>
        <v>0</v>
      </c>
      <c r="X228" s="70">
        <f>9365+1500-800</f>
        <v>10065</v>
      </c>
      <c r="Y228" s="20"/>
      <c r="Z228" s="20"/>
      <c r="AA228" s="20">
        <v>400</v>
      </c>
      <c r="AB228" s="417"/>
      <c r="AC228" s="168"/>
      <c r="AD228" s="450">
        <v>2.4E-2</v>
      </c>
      <c r="AE228" s="163"/>
      <c r="AF228" s="171"/>
      <c r="AG228" s="192">
        <v>0.3</v>
      </c>
      <c r="AH228" s="110"/>
      <c r="AI228" s="125" t="s">
        <v>422</v>
      </c>
      <c r="AJ228" s="185">
        <f>X228*AD228</f>
        <v>241.6</v>
      </c>
      <c r="AK228" s="435" t="s">
        <v>345</v>
      </c>
      <c r="AL228" s="476"/>
    </row>
    <row r="229" spans="1:73" ht="26.25" hidden="1" customHeight="1" x14ac:dyDescent="0.25">
      <c r="B229" s="11"/>
      <c r="C229" s="6" t="s">
        <v>18</v>
      </c>
      <c r="D229" s="23" t="s">
        <v>40</v>
      </c>
      <c r="E229" s="104" t="s">
        <v>642</v>
      </c>
      <c r="F229" s="208">
        <v>1401</v>
      </c>
      <c r="G229" s="48"/>
      <c r="H229" s="39"/>
      <c r="I229" s="309">
        <v>0</v>
      </c>
      <c r="J229" s="39">
        <f t="shared" si="60"/>
        <v>0</v>
      </c>
      <c r="K229" s="309">
        <f>R229/1.4</f>
        <v>2.14</v>
      </c>
      <c r="L229" s="230">
        <f>K229*J525</f>
        <v>0</v>
      </c>
      <c r="M229" s="158" t="s">
        <v>628</v>
      </c>
      <c r="N229" s="140"/>
      <c r="O229" s="39"/>
      <c r="P229" s="490">
        <f t="shared" si="65"/>
        <v>0</v>
      </c>
      <c r="Q229" s="262" t="str">
        <f t="shared" si="56"/>
        <v>Д5х2 с ник.покр.</v>
      </c>
      <c r="R229" s="377">
        <f t="shared" si="66"/>
        <v>3</v>
      </c>
      <c r="S229" s="330">
        <v>2.5</v>
      </c>
      <c r="T229" s="353">
        <f t="shared" si="61"/>
        <v>0</v>
      </c>
      <c r="U229" s="70">
        <v>16000</v>
      </c>
      <c r="V229" s="20">
        <f t="shared" si="62"/>
        <v>0</v>
      </c>
      <c r="W229" s="52">
        <f t="shared" si="63"/>
        <v>0</v>
      </c>
      <c r="X229" s="70">
        <f>10285+5715</f>
        <v>16000</v>
      </c>
      <c r="Y229" s="20"/>
      <c r="Z229" s="20"/>
      <c r="AA229" s="20"/>
      <c r="AB229" s="417"/>
      <c r="AC229" s="451"/>
      <c r="AD229" s="450">
        <v>2.4E-2</v>
      </c>
      <c r="AE229" s="163"/>
      <c r="AF229" s="171"/>
      <c r="AG229" s="192">
        <v>0.3</v>
      </c>
      <c r="AH229" s="110"/>
      <c r="AI229" s="125" t="s">
        <v>422</v>
      </c>
      <c r="AJ229" s="185">
        <f>X229*AD229</f>
        <v>384</v>
      </c>
      <c r="AK229" s="435" t="s">
        <v>345</v>
      </c>
      <c r="AL229" s="476"/>
    </row>
    <row r="230" spans="1:73" ht="26.25" hidden="1" customHeight="1" x14ac:dyDescent="0.25">
      <c r="B230" s="19"/>
      <c r="C230" s="6" t="s">
        <v>18</v>
      </c>
      <c r="D230" s="23" t="s">
        <v>40</v>
      </c>
      <c r="E230" s="104" t="s">
        <v>360</v>
      </c>
      <c r="F230" s="208"/>
      <c r="G230" s="48"/>
      <c r="H230" s="39"/>
      <c r="I230" s="309">
        <v>0</v>
      </c>
      <c r="J230" s="39">
        <f t="shared" si="60"/>
        <v>0</v>
      </c>
      <c r="K230" s="309"/>
      <c r="L230" s="230"/>
      <c r="M230" s="90"/>
      <c r="N230" s="140"/>
      <c r="O230" s="39"/>
      <c r="P230" s="497">
        <f t="shared" si="65"/>
        <v>0</v>
      </c>
      <c r="Q230" s="263" t="str">
        <f t="shared" si="56"/>
        <v>Д5х3 С  ЦН.ПОК.</v>
      </c>
      <c r="R230" s="377">
        <f t="shared" si="66"/>
        <v>0</v>
      </c>
      <c r="S230" s="319">
        <v>0</v>
      </c>
      <c r="T230" s="353">
        <f t="shared" si="61"/>
        <v>0</v>
      </c>
      <c r="U230" s="70">
        <v>483</v>
      </c>
      <c r="V230" s="20">
        <f t="shared" si="62"/>
        <v>0</v>
      </c>
      <c r="W230" s="52">
        <f t="shared" si="63"/>
        <v>-61</v>
      </c>
      <c r="X230" s="148">
        <v>422</v>
      </c>
      <c r="Y230" s="20"/>
      <c r="Z230" s="20"/>
      <c r="AA230" s="20"/>
      <c r="AB230" s="417"/>
      <c r="AC230" s="451"/>
      <c r="AD230" s="450">
        <v>3.5999999999999997E-2</v>
      </c>
      <c r="AE230" s="163"/>
      <c r="AF230" s="171"/>
      <c r="AG230" s="192">
        <v>0.4</v>
      </c>
      <c r="AH230" s="110"/>
      <c r="AI230" s="125" t="s">
        <v>424</v>
      </c>
      <c r="AJ230" s="185">
        <f>X230*AD230</f>
        <v>15.2</v>
      </c>
      <c r="AK230" s="435" t="s">
        <v>342</v>
      </c>
      <c r="AL230" s="476"/>
    </row>
    <row r="231" spans="1:73" ht="26.25" customHeight="1" x14ac:dyDescent="0.25">
      <c r="B231" s="11">
        <v>82</v>
      </c>
      <c r="C231" s="6" t="s">
        <v>18</v>
      </c>
      <c r="D231" s="23" t="s">
        <v>40</v>
      </c>
      <c r="E231" s="104" t="s">
        <v>124</v>
      </c>
      <c r="F231" s="383" t="s">
        <v>183</v>
      </c>
      <c r="G231" s="12" t="s">
        <v>0</v>
      </c>
      <c r="H231" s="39"/>
      <c r="I231" s="360">
        <v>0</v>
      </c>
      <c r="J231" s="39">
        <f t="shared" si="60"/>
        <v>100</v>
      </c>
      <c r="K231" s="309">
        <f>R231/1.4</f>
        <v>0.46</v>
      </c>
      <c r="L231" s="230">
        <f>K231*J527</f>
        <v>0</v>
      </c>
      <c r="M231" s="298" t="s">
        <v>519</v>
      </c>
      <c r="N231" s="140">
        <v>100</v>
      </c>
      <c r="O231" s="39"/>
      <c r="P231" s="309">
        <f t="shared" si="65"/>
        <v>0</v>
      </c>
      <c r="Q231" s="51" t="str">
        <f t="shared" si="56"/>
        <v>Д5х3</v>
      </c>
      <c r="R231" s="377">
        <f t="shared" si="66"/>
        <v>0.65</v>
      </c>
      <c r="S231" s="330">
        <v>0.54</v>
      </c>
      <c r="T231" s="353">
        <f t="shared" si="61"/>
        <v>54</v>
      </c>
      <c r="U231" s="70">
        <v>1649</v>
      </c>
      <c r="V231" s="20">
        <f t="shared" ref="V231:V264" si="67">N231</f>
        <v>100</v>
      </c>
      <c r="W231" s="52">
        <f t="shared" ref="W231:W236" si="68">X231-U231+V231</f>
        <v>100</v>
      </c>
      <c r="X231" s="148">
        <v>1649</v>
      </c>
      <c r="Y231" s="20"/>
      <c r="Z231" s="20"/>
      <c r="AA231" s="20"/>
      <c r="AB231" s="417"/>
      <c r="AC231" s="168"/>
      <c r="AD231" s="450">
        <v>3.5999999999999997E-2</v>
      </c>
      <c r="AE231" s="163"/>
      <c r="AF231" s="171"/>
      <c r="AG231" s="192">
        <v>0.4</v>
      </c>
      <c r="AH231" s="110"/>
      <c r="AI231" s="125" t="s">
        <v>424</v>
      </c>
      <c r="AJ231" s="185">
        <f>X231*AD231</f>
        <v>59.4</v>
      </c>
      <c r="AK231" s="435" t="s">
        <v>342</v>
      </c>
      <c r="AL231" s="476"/>
    </row>
    <row r="232" spans="1:73" ht="26.25" customHeight="1" x14ac:dyDescent="0.25">
      <c r="B232" s="11">
        <v>83</v>
      </c>
      <c r="C232" s="6" t="s">
        <v>18</v>
      </c>
      <c r="D232" s="23" t="s">
        <v>40</v>
      </c>
      <c r="E232" s="87" t="s">
        <v>286</v>
      </c>
      <c r="F232" s="208">
        <v>1072</v>
      </c>
      <c r="G232" s="12" t="s">
        <v>0</v>
      </c>
      <c r="H232" s="39">
        <v>4880</v>
      </c>
      <c r="I232" s="360">
        <v>7124.8</v>
      </c>
      <c r="J232" s="39">
        <f t="shared" si="60"/>
        <v>0</v>
      </c>
      <c r="K232" s="309">
        <f>R232/1.4</f>
        <v>1.46</v>
      </c>
      <c r="L232" s="230">
        <f>K232*J528</f>
        <v>0</v>
      </c>
      <c r="M232" s="399"/>
      <c r="N232" s="143"/>
      <c r="O232" s="503">
        <f>5000-120</f>
        <v>4880</v>
      </c>
      <c r="P232" s="490">
        <f t="shared" si="65"/>
        <v>7124.8</v>
      </c>
      <c r="Q232" s="262" t="str">
        <f t="shared" si="56"/>
        <v xml:space="preserve">Д5х5 </v>
      </c>
      <c r="R232" s="377">
        <f t="shared" si="66"/>
        <v>2.04</v>
      </c>
      <c r="S232" s="339">
        <v>1.7</v>
      </c>
      <c r="T232" s="353">
        <f t="shared" si="61"/>
        <v>0</v>
      </c>
      <c r="U232" s="430">
        <v>13360</v>
      </c>
      <c r="V232" s="20">
        <f t="shared" si="67"/>
        <v>0</v>
      </c>
      <c r="W232" s="52">
        <f t="shared" si="68"/>
        <v>0</v>
      </c>
      <c r="X232" s="430">
        <f>4110*3+1150-120</f>
        <v>13360</v>
      </c>
      <c r="Y232" s="18" t="s">
        <v>782</v>
      </c>
      <c r="Z232" s="18"/>
      <c r="AA232" s="18"/>
      <c r="AB232" s="418"/>
      <c r="AC232" s="168"/>
      <c r="AD232" s="450">
        <v>0.06</v>
      </c>
      <c r="AE232" s="165"/>
      <c r="AF232" s="160"/>
      <c r="AG232" s="192">
        <v>0.7</v>
      </c>
      <c r="AH232" s="110"/>
      <c r="AI232" s="125" t="s">
        <v>411</v>
      </c>
      <c r="AJ232" s="185">
        <f>X232*AD232</f>
        <v>801.6</v>
      </c>
      <c r="AK232" s="435" t="s">
        <v>361</v>
      </c>
      <c r="AL232" s="476"/>
    </row>
    <row r="233" spans="1:73" ht="32.25" customHeight="1" x14ac:dyDescent="0.25">
      <c r="B233" s="11">
        <v>84</v>
      </c>
      <c r="C233" s="6" t="s">
        <v>18</v>
      </c>
      <c r="D233" s="23" t="s">
        <v>40</v>
      </c>
      <c r="E233" s="87" t="s">
        <v>269</v>
      </c>
      <c r="F233" s="208">
        <v>481</v>
      </c>
      <c r="G233" s="12" t="s">
        <v>0</v>
      </c>
      <c r="H233" s="39">
        <v>4712</v>
      </c>
      <c r="I233" s="360">
        <v>1130.8800000000001</v>
      </c>
      <c r="J233" s="39">
        <f t="shared" si="60"/>
        <v>0</v>
      </c>
      <c r="K233" s="309">
        <v>0.24</v>
      </c>
      <c r="L233" s="230">
        <f>K233*J529</f>
        <v>0</v>
      </c>
      <c r="M233" s="250" t="s">
        <v>540</v>
      </c>
      <c r="N233" s="143"/>
      <c r="O233" s="503">
        <v>4712</v>
      </c>
      <c r="P233" s="309">
        <f t="shared" si="65"/>
        <v>1130.8800000000001</v>
      </c>
      <c r="Q233" s="235" t="str">
        <f t="shared" si="56"/>
        <v>Д5х6 ЭПГ111.035</v>
      </c>
      <c r="R233" s="306">
        <f t="shared" si="66"/>
        <v>1.5</v>
      </c>
      <c r="S233" s="319">
        <v>1.25</v>
      </c>
      <c r="T233" s="353">
        <f t="shared" si="61"/>
        <v>0</v>
      </c>
      <c r="U233" s="430">
        <v>44506</v>
      </c>
      <c r="V233" s="20">
        <f t="shared" si="67"/>
        <v>0</v>
      </c>
      <c r="W233" s="52">
        <f t="shared" si="68"/>
        <v>0</v>
      </c>
      <c r="X233" s="430">
        <f>3168*6+3366*7+1571+565-200</f>
        <v>44506</v>
      </c>
      <c r="Y233" s="18" t="s">
        <v>782</v>
      </c>
      <c r="Z233" s="18"/>
      <c r="AA233" s="18">
        <v>1000</v>
      </c>
      <c r="AB233" s="418"/>
      <c r="AC233" s="168"/>
      <c r="AD233" s="450">
        <v>7.1999999999999995E-2</v>
      </c>
      <c r="AE233" s="164" t="s">
        <v>398</v>
      </c>
      <c r="AF233" s="160">
        <v>0.14499999999999999</v>
      </c>
      <c r="AG233" s="192">
        <v>0.7</v>
      </c>
      <c r="AH233" s="110"/>
      <c r="AI233" s="125" t="s">
        <v>411</v>
      </c>
      <c r="AJ233" s="185">
        <f>AD233*X233</f>
        <v>3204.4</v>
      </c>
      <c r="AK233" s="435"/>
      <c r="AL233" s="476"/>
    </row>
    <row r="234" spans="1:73" ht="26.25" hidden="1" customHeight="1" x14ac:dyDescent="0.25">
      <c r="B234" s="11"/>
      <c r="C234" s="6" t="s">
        <v>18</v>
      </c>
      <c r="D234" s="23" t="s">
        <v>40</v>
      </c>
      <c r="E234" s="87" t="s">
        <v>389</v>
      </c>
      <c r="F234" s="208">
        <v>1170</v>
      </c>
      <c r="G234" s="48" t="s">
        <v>0</v>
      </c>
      <c r="H234" s="39"/>
      <c r="I234" s="309">
        <v>0</v>
      </c>
      <c r="J234" s="39">
        <f t="shared" si="60"/>
        <v>0</v>
      </c>
      <c r="K234" s="309">
        <f>R234/1.4</f>
        <v>0.53</v>
      </c>
      <c r="L234" s="230"/>
      <c r="M234" s="156" t="s">
        <v>409</v>
      </c>
      <c r="N234" s="143"/>
      <c r="O234" s="39"/>
      <c r="P234" s="490">
        <f t="shared" si="65"/>
        <v>0</v>
      </c>
      <c r="Q234" s="264" t="str">
        <f t="shared" si="56"/>
        <v>Д5х6 нжб1400</v>
      </c>
      <c r="R234" s="377">
        <f t="shared" si="66"/>
        <v>0.74</v>
      </c>
      <c r="S234" s="319">
        <v>0.61799999999999999</v>
      </c>
      <c r="T234" s="353">
        <f t="shared" ref="T234:T262" si="69">S234*J234</f>
        <v>0</v>
      </c>
      <c r="U234" s="70">
        <v>3706</v>
      </c>
      <c r="V234" s="20">
        <f t="shared" si="67"/>
        <v>0</v>
      </c>
      <c r="W234" s="52">
        <f t="shared" si="68"/>
        <v>0</v>
      </c>
      <c r="X234" s="70">
        <f>2706+1000</f>
        <v>3706</v>
      </c>
      <c r="Y234" s="18" t="s">
        <v>782</v>
      </c>
      <c r="Z234" s="20"/>
      <c r="AA234" s="20"/>
      <c r="AB234" s="417"/>
      <c r="AC234" s="168"/>
      <c r="AD234" s="450">
        <v>0.38</v>
      </c>
      <c r="AE234" s="200" t="s">
        <v>395</v>
      </c>
      <c r="AF234" s="160"/>
      <c r="AG234" s="192">
        <v>0.7</v>
      </c>
      <c r="AH234" s="110"/>
      <c r="AI234" s="125" t="s">
        <v>411</v>
      </c>
      <c r="AJ234" s="185">
        <f>X234*AD234</f>
        <v>1408.3</v>
      </c>
      <c r="AK234" s="435"/>
      <c r="AL234" s="476"/>
    </row>
    <row r="235" spans="1:73" ht="26.25" customHeight="1" x14ac:dyDescent="0.25">
      <c r="B235" s="11">
        <v>85</v>
      </c>
      <c r="C235" s="6" t="s">
        <v>18</v>
      </c>
      <c r="D235" s="23" t="s">
        <v>40</v>
      </c>
      <c r="E235" s="104" t="s">
        <v>71</v>
      </c>
      <c r="F235" s="208" t="s">
        <v>76</v>
      </c>
      <c r="G235" s="12" t="s">
        <v>0</v>
      </c>
      <c r="H235" s="39">
        <v>8962</v>
      </c>
      <c r="I235" s="360">
        <v>2841.74</v>
      </c>
      <c r="J235" s="39">
        <f t="shared" si="60"/>
        <v>0</v>
      </c>
      <c r="K235" s="309">
        <v>0.32</v>
      </c>
      <c r="L235" s="230">
        <f>K235*J531</f>
        <v>0</v>
      </c>
      <c r="M235" s="399"/>
      <c r="N235" s="140"/>
      <c r="O235" s="503">
        <v>8962</v>
      </c>
      <c r="P235" s="466">
        <f>I235</f>
        <v>2841.74</v>
      </c>
      <c r="Q235" s="235" t="str">
        <f t="shared" si="56"/>
        <v>Д5х10</v>
      </c>
      <c r="R235" s="377">
        <f t="shared" si="66"/>
        <v>0.44</v>
      </c>
      <c r="S235" s="319">
        <v>0.37</v>
      </c>
      <c r="T235" s="353">
        <f t="shared" si="69"/>
        <v>0</v>
      </c>
      <c r="U235" s="70">
        <v>43059</v>
      </c>
      <c r="V235" s="20">
        <f t="shared" si="67"/>
        <v>0</v>
      </c>
      <c r="W235" s="52">
        <f t="shared" si="68"/>
        <v>0</v>
      </c>
      <c r="X235" s="70">
        <f>44775-1716</f>
        <v>43059</v>
      </c>
      <c r="Y235" s="18" t="s">
        <v>782</v>
      </c>
      <c r="Z235" s="20"/>
      <c r="AA235" s="20"/>
      <c r="AB235" s="417"/>
      <c r="AC235" s="168"/>
      <c r="AD235" s="450">
        <v>0.12</v>
      </c>
      <c r="AE235" s="162"/>
      <c r="AF235" s="171"/>
      <c r="AG235" s="192">
        <v>1.4</v>
      </c>
      <c r="AH235" s="110"/>
      <c r="AI235" s="125" t="s">
        <v>412</v>
      </c>
      <c r="AJ235" s="185">
        <f>X235*AD235</f>
        <v>5167.1000000000004</v>
      </c>
      <c r="AK235" s="435"/>
      <c r="AL235" s="476"/>
    </row>
    <row r="236" spans="1:73" ht="26.25" hidden="1" customHeight="1" x14ac:dyDescent="0.25">
      <c r="B236" s="11"/>
      <c r="C236" s="6" t="s">
        <v>18</v>
      </c>
      <c r="D236" s="23" t="s">
        <v>40</v>
      </c>
      <c r="E236" s="87" t="s">
        <v>621</v>
      </c>
      <c r="F236" s="393" t="s">
        <v>625</v>
      </c>
      <c r="G236" s="48" t="s">
        <v>0</v>
      </c>
      <c r="H236" s="39"/>
      <c r="I236" s="309">
        <v>0</v>
      </c>
      <c r="J236" s="39">
        <f t="shared" si="60"/>
        <v>0</v>
      </c>
      <c r="K236" s="309">
        <f t="shared" ref="K236:K243" si="70">R236/1.4</f>
        <v>1.46</v>
      </c>
      <c r="L236" s="230">
        <f>K236*J532</f>
        <v>0</v>
      </c>
      <c r="M236" s="158" t="s">
        <v>653</v>
      </c>
      <c r="N236" s="141"/>
      <c r="O236" s="503"/>
      <c r="P236" s="309">
        <f t="shared" ref="P236:P246" si="71">K236*O236</f>
        <v>0</v>
      </c>
      <c r="Q236" s="264" t="str">
        <f t="shared" si="56"/>
        <v>Д5х20</v>
      </c>
      <c r="R236" s="377">
        <f t="shared" si="66"/>
        <v>2.04</v>
      </c>
      <c r="S236" s="322">
        <v>1.7</v>
      </c>
      <c r="T236" s="353">
        <f t="shared" si="69"/>
        <v>0</v>
      </c>
      <c r="U236" s="20"/>
      <c r="V236" s="20">
        <f t="shared" si="67"/>
        <v>0</v>
      </c>
      <c r="W236" s="52">
        <f t="shared" si="68"/>
        <v>0</v>
      </c>
      <c r="X236" s="20"/>
      <c r="Y236" s="20"/>
      <c r="Z236" s="20"/>
      <c r="AA236" s="20"/>
      <c r="AB236" s="417"/>
      <c r="AC236" s="168"/>
      <c r="AD236" s="450">
        <v>0.25</v>
      </c>
      <c r="AE236" s="164"/>
      <c r="AF236" s="160"/>
      <c r="AG236" s="176">
        <v>2.5</v>
      </c>
      <c r="AH236" s="120">
        <v>25</v>
      </c>
      <c r="AI236" s="125"/>
      <c r="AJ236" s="185">
        <f>X236*AD236</f>
        <v>0</v>
      </c>
      <c r="AK236" s="435" t="s">
        <v>346</v>
      </c>
      <c r="AL236" s="476"/>
    </row>
    <row r="237" spans="1:73" ht="26.25" hidden="1" customHeight="1" x14ac:dyDescent="0.25">
      <c r="B237" s="11"/>
      <c r="C237" s="6" t="s">
        <v>18</v>
      </c>
      <c r="D237" s="23" t="s">
        <v>40</v>
      </c>
      <c r="E237" s="106" t="s">
        <v>703</v>
      </c>
      <c r="F237" s="209" t="s">
        <v>700</v>
      </c>
      <c r="G237" s="48" t="s">
        <v>0</v>
      </c>
      <c r="H237" s="39"/>
      <c r="I237" s="360">
        <v>0</v>
      </c>
      <c r="J237" s="39">
        <f t="shared" si="60"/>
        <v>0</v>
      </c>
      <c r="K237" s="309">
        <f t="shared" si="70"/>
        <v>2.66</v>
      </c>
      <c r="L237" s="230"/>
      <c r="M237" s="215" t="s">
        <v>708</v>
      </c>
      <c r="N237" s="141"/>
      <c r="O237" s="503"/>
      <c r="P237" s="309">
        <f t="shared" si="71"/>
        <v>0</v>
      </c>
      <c r="Q237" s="51" t="str">
        <f t="shared" si="56"/>
        <v>Д6х1 НЖБ1400</v>
      </c>
      <c r="R237" s="377">
        <f t="shared" si="66"/>
        <v>3.72</v>
      </c>
      <c r="S237" s="322">
        <v>3.1</v>
      </c>
      <c r="T237" s="353">
        <f t="shared" si="69"/>
        <v>0</v>
      </c>
      <c r="U237" s="70">
        <v>900</v>
      </c>
      <c r="V237" s="20">
        <f t="shared" si="67"/>
        <v>0</v>
      </c>
      <c r="W237" s="52"/>
      <c r="X237" s="70">
        <v>900</v>
      </c>
      <c r="Y237" s="20" t="s">
        <v>783</v>
      </c>
      <c r="Z237" s="20"/>
      <c r="AA237" s="20"/>
      <c r="AB237" s="417"/>
      <c r="AC237" s="168"/>
      <c r="AD237" s="450"/>
      <c r="AE237" s="164"/>
      <c r="AF237" s="160"/>
      <c r="AG237" s="176"/>
      <c r="AH237" s="120"/>
      <c r="AI237" s="125"/>
      <c r="AJ237" s="185"/>
      <c r="AK237" s="435"/>
      <c r="AL237" s="476"/>
    </row>
    <row r="238" spans="1:73" ht="26.25" hidden="1" customHeight="1" x14ac:dyDescent="0.25">
      <c r="B238" s="15"/>
      <c r="C238" s="6" t="s">
        <v>18</v>
      </c>
      <c r="D238" s="23" t="s">
        <v>40</v>
      </c>
      <c r="E238" s="106" t="s">
        <v>702</v>
      </c>
      <c r="F238" s="209" t="s">
        <v>701</v>
      </c>
      <c r="G238" s="48"/>
      <c r="H238" s="39"/>
      <c r="I238" s="360">
        <v>0</v>
      </c>
      <c r="J238" s="39">
        <f t="shared" si="60"/>
        <v>0</v>
      </c>
      <c r="K238" s="309">
        <f t="shared" si="70"/>
        <v>4.63</v>
      </c>
      <c r="L238" s="230"/>
      <c r="M238" s="215" t="s">
        <v>709</v>
      </c>
      <c r="N238" s="141"/>
      <c r="O238" s="503"/>
      <c r="P238" s="309">
        <f t="shared" si="71"/>
        <v>0</v>
      </c>
      <c r="Q238" s="51" t="str">
        <f t="shared" si="56"/>
        <v>Д6х2 НЖБ1400</v>
      </c>
      <c r="R238" s="377">
        <f t="shared" si="66"/>
        <v>6.48</v>
      </c>
      <c r="S238" s="322">
        <v>5.4</v>
      </c>
      <c r="T238" s="353">
        <f t="shared" si="69"/>
        <v>0</v>
      </c>
      <c r="U238" s="70">
        <v>900</v>
      </c>
      <c r="V238" s="20">
        <f t="shared" si="67"/>
        <v>0</v>
      </c>
      <c r="W238" s="52"/>
      <c r="X238" s="70">
        <v>900</v>
      </c>
      <c r="Y238" s="20" t="s">
        <v>783</v>
      </c>
      <c r="Z238" s="20"/>
      <c r="AA238" s="20"/>
      <c r="AB238" s="417"/>
      <c r="AC238" s="168"/>
      <c r="AD238" s="450"/>
      <c r="AE238" s="164"/>
      <c r="AF238" s="160"/>
      <c r="AG238" s="176"/>
      <c r="AH238" s="120"/>
      <c r="AI238" s="125"/>
      <c r="AJ238" s="185"/>
      <c r="AK238" s="435"/>
      <c r="AL238" s="476"/>
    </row>
    <row r="239" spans="1:73" ht="26.25" hidden="1" customHeight="1" x14ac:dyDescent="0.25">
      <c r="B239" s="15"/>
      <c r="C239" s="6" t="s">
        <v>18</v>
      </c>
      <c r="D239" s="23" t="s">
        <v>40</v>
      </c>
      <c r="E239" s="106" t="s">
        <v>216</v>
      </c>
      <c r="F239" s="208">
        <v>1191</v>
      </c>
      <c r="G239" s="48" t="s">
        <v>0</v>
      </c>
      <c r="H239" s="39"/>
      <c r="I239" s="360">
        <v>0</v>
      </c>
      <c r="J239" s="39">
        <f t="shared" si="60"/>
        <v>0</v>
      </c>
      <c r="K239" s="309">
        <f t="shared" si="70"/>
        <v>0.6</v>
      </c>
      <c r="L239" s="230">
        <f>K239*J535</f>
        <v>0</v>
      </c>
      <c r="M239" s="369" t="s">
        <v>710</v>
      </c>
      <c r="N239" s="140"/>
      <c r="O239" s="39"/>
      <c r="P239" s="309">
        <f t="shared" si="71"/>
        <v>0</v>
      </c>
      <c r="Q239" s="51" t="str">
        <f t="shared" si="56"/>
        <v>Д6х2</v>
      </c>
      <c r="R239" s="377">
        <f t="shared" si="66"/>
        <v>0.84</v>
      </c>
      <c r="S239" s="339">
        <v>0.7</v>
      </c>
      <c r="T239" s="353">
        <f t="shared" si="69"/>
        <v>0</v>
      </c>
      <c r="U239" s="430">
        <v>800</v>
      </c>
      <c r="V239" s="20">
        <f t="shared" si="67"/>
        <v>0</v>
      </c>
      <c r="W239" s="52">
        <f t="shared" ref="W239:W246" si="72">X239-U239+V239</f>
        <v>0</v>
      </c>
      <c r="X239" s="147">
        <v>800</v>
      </c>
      <c r="Y239" s="18"/>
      <c r="Z239" s="18"/>
      <c r="AA239" s="18">
        <v>500</v>
      </c>
      <c r="AB239" s="418" t="s">
        <v>596</v>
      </c>
      <c r="AC239" s="168"/>
      <c r="AD239" s="450">
        <v>0.04</v>
      </c>
      <c r="AE239" s="165" t="s">
        <v>404</v>
      </c>
      <c r="AF239" s="160">
        <v>0.06</v>
      </c>
      <c r="AG239" s="192">
        <v>0.4</v>
      </c>
      <c r="AH239" s="110"/>
      <c r="AI239" s="125" t="s">
        <v>413</v>
      </c>
      <c r="AJ239" s="185">
        <f>X239*AD239</f>
        <v>32</v>
      </c>
      <c r="AK239" s="435" t="s">
        <v>347</v>
      </c>
      <c r="AL239" s="476"/>
    </row>
    <row r="240" spans="1:73" ht="26.25" hidden="1" customHeight="1" x14ac:dyDescent="0.25">
      <c r="B240" s="15"/>
      <c r="C240" s="6" t="s">
        <v>18</v>
      </c>
      <c r="D240" s="23" t="s">
        <v>40</v>
      </c>
      <c r="E240" s="106" t="s">
        <v>637</v>
      </c>
      <c r="F240" s="211" t="s">
        <v>199</v>
      </c>
      <c r="G240" s="48" t="s">
        <v>0</v>
      </c>
      <c r="H240" s="39"/>
      <c r="I240" s="309">
        <v>0</v>
      </c>
      <c r="J240" s="39">
        <f t="shared" si="60"/>
        <v>0</v>
      </c>
      <c r="K240" s="309">
        <f t="shared" si="70"/>
        <v>0.75</v>
      </c>
      <c r="L240" s="230">
        <f>K240*J536</f>
        <v>0</v>
      </c>
      <c r="M240" s="214" t="s">
        <v>240</v>
      </c>
      <c r="N240" s="140"/>
      <c r="O240" s="39"/>
      <c r="P240" s="309">
        <f t="shared" si="71"/>
        <v>0</v>
      </c>
      <c r="Q240" s="264" t="str">
        <f t="shared" si="56"/>
        <v>Д6х2-Днамаг N48H</v>
      </c>
      <c r="R240" s="377">
        <f t="shared" ref="R240:R265" si="73">S240*1.2</f>
        <v>1.05</v>
      </c>
      <c r="S240" s="319">
        <v>0.875</v>
      </c>
      <c r="T240" s="353">
        <f t="shared" si="69"/>
        <v>0</v>
      </c>
      <c r="U240" s="70">
        <v>20</v>
      </c>
      <c r="V240" s="20">
        <f t="shared" si="67"/>
        <v>0</v>
      </c>
      <c r="W240" s="52">
        <f t="shared" si="72"/>
        <v>0</v>
      </c>
      <c r="X240" s="148">
        <v>20</v>
      </c>
      <c r="Y240" s="20" t="s">
        <v>779</v>
      </c>
      <c r="Z240" s="20"/>
      <c r="AA240" s="20"/>
      <c r="AB240" s="417"/>
      <c r="AC240" s="200"/>
      <c r="AD240" s="160">
        <v>0.06</v>
      </c>
      <c r="AE240" s="165"/>
      <c r="AF240" s="160"/>
      <c r="AG240" s="192">
        <v>0.6</v>
      </c>
      <c r="AH240" s="110"/>
      <c r="AI240" s="125" t="s">
        <v>414</v>
      </c>
      <c r="AJ240" s="185">
        <f>X240*AD240</f>
        <v>1.2</v>
      </c>
      <c r="AK240" s="125" t="s">
        <v>347</v>
      </c>
    </row>
    <row r="241" spans="2:38" ht="26.25" customHeight="1" x14ac:dyDescent="0.25">
      <c r="B241" s="11">
        <v>86</v>
      </c>
      <c r="C241" s="6" t="s">
        <v>18</v>
      </c>
      <c r="D241" s="23" t="s">
        <v>40</v>
      </c>
      <c r="E241" s="106" t="s">
        <v>462</v>
      </c>
      <c r="F241" s="208" t="s">
        <v>447</v>
      </c>
      <c r="G241" s="12" t="s">
        <v>0</v>
      </c>
      <c r="H241" s="39">
        <v>7000</v>
      </c>
      <c r="I241" s="360">
        <v>3710</v>
      </c>
      <c r="J241" s="39">
        <f t="shared" si="60"/>
        <v>0</v>
      </c>
      <c r="K241" s="309">
        <f t="shared" si="70"/>
        <v>0.53</v>
      </c>
      <c r="L241" s="230">
        <f>K241*J537</f>
        <v>0</v>
      </c>
      <c r="M241" s="215" t="s">
        <v>711</v>
      </c>
      <c r="N241" s="140"/>
      <c r="O241" s="503">
        <v>7000</v>
      </c>
      <c r="P241" s="309">
        <f t="shared" si="71"/>
        <v>3710</v>
      </c>
      <c r="Q241" s="235" t="str">
        <f t="shared" si="56"/>
        <v>С6х3 НЖБ1400-100 град</v>
      </c>
      <c r="R241" s="377">
        <f t="shared" si="73"/>
        <v>0.74</v>
      </c>
      <c r="S241" s="319">
        <v>0.62</v>
      </c>
      <c r="T241" s="353">
        <f t="shared" si="69"/>
        <v>0</v>
      </c>
      <c r="U241" s="70">
        <v>13934</v>
      </c>
      <c r="V241" s="20">
        <f t="shared" si="67"/>
        <v>0</v>
      </c>
      <c r="W241" s="52">
        <f t="shared" si="72"/>
        <v>0</v>
      </c>
      <c r="X241" s="70">
        <v>13934</v>
      </c>
      <c r="Y241" s="20" t="s">
        <v>779</v>
      </c>
      <c r="Z241" s="20"/>
      <c r="AA241" s="20">
        <v>31950</v>
      </c>
      <c r="AB241" s="417"/>
      <c r="AC241" s="168"/>
      <c r="AD241" s="450">
        <v>0.06</v>
      </c>
      <c r="AE241" s="165"/>
      <c r="AF241" s="160"/>
      <c r="AG241" s="192">
        <v>0.6</v>
      </c>
      <c r="AH241" s="110"/>
      <c r="AI241" s="125" t="s">
        <v>414</v>
      </c>
      <c r="AJ241" s="185">
        <f>X241*AD241</f>
        <v>836</v>
      </c>
      <c r="AK241" s="438">
        <f>X241+X240</f>
        <v>13954</v>
      </c>
      <c r="AL241" s="476"/>
    </row>
    <row r="242" spans="2:38" ht="34.5" hidden="1" customHeight="1" x14ac:dyDescent="0.25">
      <c r="B242" s="15"/>
      <c r="C242" s="6" t="s">
        <v>18</v>
      </c>
      <c r="D242" s="23" t="s">
        <v>40</v>
      </c>
      <c r="E242" s="106" t="s">
        <v>638</v>
      </c>
      <c r="F242" s="382">
        <v>830</v>
      </c>
      <c r="G242" s="48"/>
      <c r="H242" s="39"/>
      <c r="I242" s="360">
        <v>0</v>
      </c>
      <c r="J242" s="39">
        <f t="shared" si="60"/>
        <v>0</v>
      </c>
      <c r="K242" s="309">
        <f t="shared" si="70"/>
        <v>17.23</v>
      </c>
      <c r="L242" s="230"/>
      <c r="M242" s="250" t="s">
        <v>614</v>
      </c>
      <c r="N242" s="140"/>
      <c r="O242" s="39"/>
      <c r="P242" s="467">
        <f t="shared" si="71"/>
        <v>0</v>
      </c>
      <c r="Q242" s="262" t="str">
        <f t="shared" si="56"/>
        <v>С6х3 N42H</v>
      </c>
      <c r="R242" s="306">
        <f t="shared" si="73"/>
        <v>24.12</v>
      </c>
      <c r="S242" s="319">
        <v>20.100000000000001</v>
      </c>
      <c r="T242" s="353">
        <f t="shared" si="69"/>
        <v>0</v>
      </c>
      <c r="U242" s="70">
        <v>20</v>
      </c>
      <c r="V242" s="20">
        <f t="shared" si="67"/>
        <v>0</v>
      </c>
      <c r="W242" s="52">
        <f t="shared" si="72"/>
        <v>0</v>
      </c>
      <c r="X242" s="148">
        <v>20</v>
      </c>
      <c r="Y242" s="20" t="s">
        <v>779</v>
      </c>
      <c r="Z242" s="20"/>
      <c r="AA242" s="20"/>
      <c r="AB242" s="417"/>
      <c r="AC242" s="200"/>
      <c r="AD242" s="160"/>
      <c r="AE242" s="165"/>
      <c r="AF242" s="160"/>
      <c r="AG242" s="192"/>
      <c r="AH242" s="110"/>
      <c r="AI242" s="125"/>
      <c r="AJ242" s="185"/>
      <c r="AK242" s="125"/>
    </row>
    <row r="243" spans="2:38" ht="26.25" hidden="1" customHeight="1" x14ac:dyDescent="0.25">
      <c r="B243" s="11"/>
      <c r="C243" s="6" t="s">
        <v>18</v>
      </c>
      <c r="D243" s="23" t="s">
        <v>40</v>
      </c>
      <c r="E243" s="106" t="s">
        <v>444</v>
      </c>
      <c r="F243" s="386">
        <v>1196</v>
      </c>
      <c r="G243" s="48" t="s">
        <v>0</v>
      </c>
      <c r="H243" s="39"/>
      <c r="I243" s="309">
        <v>0</v>
      </c>
      <c r="J243" s="39">
        <f t="shared" si="60"/>
        <v>0</v>
      </c>
      <c r="K243" s="309">
        <f t="shared" si="70"/>
        <v>1.3</v>
      </c>
      <c r="L243" s="230">
        <f>K243*J539</f>
        <v>0</v>
      </c>
      <c r="M243" s="94" t="s">
        <v>170</v>
      </c>
      <c r="N243" s="140"/>
      <c r="O243" s="39"/>
      <c r="P243" s="309">
        <f t="shared" si="71"/>
        <v>0</v>
      </c>
      <c r="Q243" s="235" t="str">
        <f t="shared" si="56"/>
        <v>Д6х30</v>
      </c>
      <c r="R243" s="377">
        <f t="shared" si="73"/>
        <v>1.82</v>
      </c>
      <c r="S243" s="319">
        <v>1.5149999999999999</v>
      </c>
      <c r="T243" s="353">
        <f t="shared" si="69"/>
        <v>0</v>
      </c>
      <c r="U243" s="70">
        <v>636</v>
      </c>
      <c r="V243" s="20">
        <f t="shared" si="67"/>
        <v>0</v>
      </c>
      <c r="W243" s="52">
        <f t="shared" si="72"/>
        <v>0</v>
      </c>
      <c r="X243" s="148">
        <f>350+286</f>
        <v>636</v>
      </c>
      <c r="Y243" s="20"/>
      <c r="Z243" s="20"/>
      <c r="AA243" s="20"/>
      <c r="AB243" s="417"/>
      <c r="AC243" s="168"/>
      <c r="AD243" s="450">
        <v>1.92</v>
      </c>
      <c r="AE243" s="168" t="s">
        <v>399</v>
      </c>
      <c r="AF243" s="171">
        <v>0.5</v>
      </c>
      <c r="AG243" s="192">
        <v>6</v>
      </c>
      <c r="AH243" s="110"/>
      <c r="AI243" s="125" t="s">
        <v>415</v>
      </c>
      <c r="AJ243" s="185">
        <f>AF243*X243</f>
        <v>318</v>
      </c>
      <c r="AK243" s="435" t="s">
        <v>348</v>
      </c>
      <c r="AL243" s="476"/>
    </row>
    <row r="244" spans="2:38" ht="26.25" hidden="1" customHeight="1" x14ac:dyDescent="0.35">
      <c r="B244" s="11"/>
      <c r="C244" s="6" t="s">
        <v>18</v>
      </c>
      <c r="D244" s="23" t="s">
        <v>40</v>
      </c>
      <c r="E244" s="106" t="s">
        <v>309</v>
      </c>
      <c r="F244" s="386"/>
      <c r="G244" s="48"/>
      <c r="H244" s="39"/>
      <c r="I244" s="309">
        <v>0</v>
      </c>
      <c r="J244" s="39">
        <f t="shared" si="60"/>
        <v>0</v>
      </c>
      <c r="K244" s="309"/>
      <c r="L244" s="230"/>
      <c r="M244" s="94"/>
      <c r="N244" s="140"/>
      <c r="O244" s="39"/>
      <c r="P244" s="309">
        <f t="shared" si="71"/>
        <v>0</v>
      </c>
      <c r="Q244" s="235" t="str">
        <f t="shared" si="56"/>
        <v>Д7х10 без покр.</v>
      </c>
      <c r="R244" s="377">
        <f t="shared" si="73"/>
        <v>0</v>
      </c>
      <c r="S244" s="319">
        <v>0</v>
      </c>
      <c r="T244" s="353">
        <f t="shared" si="69"/>
        <v>0</v>
      </c>
      <c r="U244" s="70">
        <v>2965</v>
      </c>
      <c r="V244" s="20">
        <f t="shared" si="67"/>
        <v>0</v>
      </c>
      <c r="W244" s="52">
        <f t="shared" si="72"/>
        <v>0</v>
      </c>
      <c r="X244" s="148">
        <v>2965</v>
      </c>
      <c r="Y244" s="20"/>
      <c r="Z244" s="20"/>
      <c r="AA244" s="20"/>
      <c r="AB244" s="417"/>
      <c r="AC244" s="168"/>
      <c r="AD244" s="450">
        <v>0.3</v>
      </c>
      <c r="AE244" s="162"/>
      <c r="AF244" s="171"/>
      <c r="AG244" s="176">
        <v>3</v>
      </c>
      <c r="AH244" s="115">
        <v>16.5</v>
      </c>
      <c r="AI244" s="113"/>
      <c r="AJ244" s="185">
        <f>X244*AD244</f>
        <v>889.5</v>
      </c>
      <c r="AK244" s="435"/>
      <c r="AL244" s="476"/>
    </row>
    <row r="245" spans="2:38" ht="26.25" hidden="1" customHeight="1" x14ac:dyDescent="0.25">
      <c r="B245" s="11"/>
      <c r="C245" s="6" t="s">
        <v>18</v>
      </c>
      <c r="D245" s="23" t="s">
        <v>40</v>
      </c>
      <c r="E245" s="106" t="s">
        <v>465</v>
      </c>
      <c r="F245" s="388">
        <v>773</v>
      </c>
      <c r="G245" s="13" t="s">
        <v>0</v>
      </c>
      <c r="H245" s="39"/>
      <c r="I245" s="309">
        <v>0</v>
      </c>
      <c r="J245" s="39">
        <f t="shared" si="60"/>
        <v>0</v>
      </c>
      <c r="K245" s="309">
        <f>R245/1.4</f>
        <v>0.09</v>
      </c>
      <c r="L245" s="230">
        <f>K245*J541</f>
        <v>0</v>
      </c>
      <c r="M245" s="95" t="s">
        <v>242</v>
      </c>
      <c r="N245" s="140"/>
      <c r="O245" s="39"/>
      <c r="P245" s="309">
        <f t="shared" si="71"/>
        <v>0</v>
      </c>
      <c r="Q245" s="263" t="str">
        <f t="shared" si="56"/>
        <v>Д 8х15</v>
      </c>
      <c r="R245" s="377">
        <f t="shared" si="73"/>
        <v>0.12</v>
      </c>
      <c r="S245" s="323">
        <v>0.1</v>
      </c>
      <c r="T245" s="353">
        <f t="shared" si="69"/>
        <v>0</v>
      </c>
      <c r="U245" s="70">
        <v>11</v>
      </c>
      <c r="V245" s="20">
        <f t="shared" si="67"/>
        <v>0</v>
      </c>
      <c r="W245" s="52">
        <f t="shared" si="72"/>
        <v>0</v>
      </c>
      <c r="X245" s="70">
        <v>11</v>
      </c>
      <c r="Y245" s="20"/>
      <c r="Z245" s="20"/>
      <c r="AA245" s="20"/>
      <c r="AB245" s="417"/>
      <c r="AC245" s="168"/>
      <c r="AD245" s="450">
        <v>0.6</v>
      </c>
      <c r="AE245" s="165"/>
      <c r="AF245" s="160"/>
      <c r="AG245" s="192">
        <v>6</v>
      </c>
      <c r="AH245" s="110"/>
      <c r="AI245" s="125"/>
      <c r="AJ245" s="185">
        <f>X245*AD245</f>
        <v>6.6</v>
      </c>
      <c r="AK245" s="435"/>
      <c r="AL245" s="476"/>
    </row>
    <row r="246" spans="2:38" ht="26.25" customHeight="1" x14ac:dyDescent="0.25">
      <c r="B246" s="11">
        <v>87</v>
      </c>
      <c r="C246" s="6" t="s">
        <v>18</v>
      </c>
      <c r="D246" s="23" t="s">
        <v>40</v>
      </c>
      <c r="E246" s="104" t="s">
        <v>533</v>
      </c>
      <c r="F246" s="208">
        <v>86</v>
      </c>
      <c r="G246" s="12" t="s">
        <v>0</v>
      </c>
      <c r="H246" s="39">
        <v>1020</v>
      </c>
      <c r="I246" s="360">
        <v>1387.2</v>
      </c>
      <c r="J246" s="39">
        <f t="shared" si="60"/>
        <v>0</v>
      </c>
      <c r="K246" s="309">
        <v>1.36</v>
      </c>
      <c r="L246" s="230">
        <f>K246*J542</f>
        <v>0</v>
      </c>
      <c r="M246" s="250" t="s">
        <v>541</v>
      </c>
      <c r="N246" s="140">
        <v>2</v>
      </c>
      <c r="O246" s="39">
        <v>1018</v>
      </c>
      <c r="P246" s="309">
        <f t="shared" si="71"/>
        <v>1384.48</v>
      </c>
      <c r="Q246" s="51" t="str">
        <f t="shared" ref="Q246:Q292" si="74">E246</f>
        <v>Д8х4 ЭПГ111.011</v>
      </c>
      <c r="R246" s="306">
        <f t="shared" si="73"/>
        <v>2.3199999999999998</v>
      </c>
      <c r="S246" s="319">
        <v>1.93</v>
      </c>
      <c r="T246" s="353">
        <f t="shared" si="69"/>
        <v>0</v>
      </c>
      <c r="U246" s="70">
        <v>76246</v>
      </c>
      <c r="V246" s="20">
        <f t="shared" si="67"/>
        <v>2</v>
      </c>
      <c r="W246" s="52">
        <f t="shared" si="72"/>
        <v>0</v>
      </c>
      <c r="X246" s="70">
        <v>76244</v>
      </c>
      <c r="Y246" s="20" t="s">
        <v>780</v>
      </c>
      <c r="Z246" s="20"/>
      <c r="AA246" s="20">
        <f>10+166</f>
        <v>176</v>
      </c>
      <c r="AB246" s="417"/>
      <c r="AC246" s="168"/>
      <c r="AD246" s="450">
        <v>0.65</v>
      </c>
      <c r="AE246" s="162"/>
      <c r="AF246" s="171"/>
      <c r="AG246" s="176">
        <v>1.6</v>
      </c>
      <c r="AH246" s="120">
        <v>10</v>
      </c>
      <c r="AI246" s="125">
        <v>1.6</v>
      </c>
      <c r="AJ246" s="185">
        <f>X246*AD246</f>
        <v>49558.6</v>
      </c>
      <c r="AK246" s="435"/>
      <c r="AL246" s="476"/>
    </row>
    <row r="247" spans="2:38" ht="26.25" hidden="1" customHeight="1" x14ac:dyDescent="0.25">
      <c r="B247" s="11"/>
      <c r="C247" s="6" t="s">
        <v>18</v>
      </c>
      <c r="D247" s="23" t="s">
        <v>40</v>
      </c>
      <c r="E247" s="104" t="s">
        <v>645</v>
      </c>
      <c r="F247" s="208">
        <v>1275</v>
      </c>
      <c r="G247" s="48" t="s">
        <v>0</v>
      </c>
      <c r="H247" s="39"/>
      <c r="I247" s="360"/>
      <c r="J247" s="39">
        <f t="shared" si="60"/>
        <v>0</v>
      </c>
      <c r="K247" s="309">
        <f>R247/1.4</f>
        <v>3.44</v>
      </c>
      <c r="L247" s="230"/>
      <c r="M247" s="158" t="s">
        <v>744</v>
      </c>
      <c r="N247" s="41"/>
      <c r="O247" s="503"/>
      <c r="P247" s="309"/>
      <c r="Q247" s="51" t="str">
        <f t="shared" si="74"/>
        <v>Д8х4 ЭПГ111.011МЗКТ</v>
      </c>
      <c r="R247" s="306">
        <f t="shared" si="73"/>
        <v>4.8099999999999996</v>
      </c>
      <c r="S247" s="319">
        <v>4.01</v>
      </c>
      <c r="T247" s="353">
        <f t="shared" si="69"/>
        <v>0</v>
      </c>
      <c r="U247" s="20"/>
      <c r="V247" s="20">
        <f t="shared" si="67"/>
        <v>0</v>
      </c>
      <c r="W247" s="52"/>
      <c r="X247" s="20"/>
      <c r="Y247" s="20" t="s">
        <v>780</v>
      </c>
      <c r="Z247" s="20"/>
      <c r="AA247" s="20"/>
      <c r="AB247" s="417"/>
      <c r="AC247" s="168"/>
      <c r="AD247" s="450"/>
      <c r="AE247" s="162"/>
      <c r="AF247" s="171"/>
      <c r="AG247" s="176"/>
      <c r="AH247" s="120"/>
      <c r="AI247" s="125"/>
      <c r="AJ247" s="185"/>
      <c r="AK247" s="137"/>
      <c r="AL247" s="30"/>
    </row>
    <row r="248" spans="2:38" ht="26.25" customHeight="1" x14ac:dyDescent="0.35">
      <c r="B248" s="11">
        <v>88</v>
      </c>
      <c r="C248" s="6" t="s">
        <v>18</v>
      </c>
      <c r="D248" s="23" t="s">
        <v>40</v>
      </c>
      <c r="E248" s="1" t="s">
        <v>495</v>
      </c>
      <c r="F248" s="208">
        <v>1435</v>
      </c>
      <c r="G248" s="12" t="s">
        <v>0</v>
      </c>
      <c r="H248" s="39">
        <v>11</v>
      </c>
      <c r="I248" s="360">
        <v>11.33</v>
      </c>
      <c r="J248" s="39">
        <f t="shared" si="60"/>
        <v>469</v>
      </c>
      <c r="K248" s="309">
        <f>R248/1.4</f>
        <v>1.03</v>
      </c>
      <c r="L248" s="230"/>
      <c r="M248" s="219" t="s">
        <v>712</v>
      </c>
      <c r="N248" s="140">
        <f>2+478</f>
        <v>480</v>
      </c>
      <c r="O248" s="39"/>
      <c r="P248" s="309">
        <f>K248*O248</f>
        <v>0</v>
      </c>
      <c r="Q248" s="51" t="str">
        <f t="shared" si="74"/>
        <v>Д8х10</v>
      </c>
      <c r="R248" s="377">
        <f t="shared" si="73"/>
        <v>1.44</v>
      </c>
      <c r="S248" s="319">
        <v>1.2</v>
      </c>
      <c r="T248" s="353">
        <f t="shared" si="69"/>
        <v>562.79999999999995</v>
      </c>
      <c r="U248" s="20"/>
      <c r="V248" s="20">
        <f t="shared" si="67"/>
        <v>480</v>
      </c>
      <c r="W248" s="52">
        <f t="shared" ref="W248:W264" si="75">X248-U248+V248</f>
        <v>480</v>
      </c>
      <c r="X248" s="20"/>
      <c r="Y248" s="20"/>
      <c r="Z248" s="20"/>
      <c r="AA248" s="20">
        <f>12+110+51</f>
        <v>173</v>
      </c>
      <c r="AB248" s="417"/>
      <c r="AC248" s="200"/>
      <c r="AD248" s="160"/>
      <c r="AE248" s="162"/>
      <c r="AF248" s="171"/>
      <c r="AG248" s="176">
        <v>2.1</v>
      </c>
      <c r="AH248" s="130"/>
      <c r="AI248" s="113" t="s">
        <v>416</v>
      </c>
      <c r="AJ248" s="185">
        <f>X248*AD248</f>
        <v>0</v>
      </c>
      <c r="AK248" s="10"/>
    </row>
    <row r="249" spans="2:38" ht="26.25" hidden="1" customHeight="1" x14ac:dyDescent="0.25">
      <c r="B249" s="11"/>
      <c r="C249" s="6" t="s">
        <v>18</v>
      </c>
      <c r="D249" s="23" t="s">
        <v>40</v>
      </c>
      <c r="E249" s="104" t="s">
        <v>310</v>
      </c>
      <c r="F249" s="208"/>
      <c r="G249" s="48"/>
      <c r="H249" s="39"/>
      <c r="I249" s="309">
        <v>0</v>
      </c>
      <c r="J249" s="39">
        <f t="shared" si="60"/>
        <v>0</v>
      </c>
      <c r="K249" s="309"/>
      <c r="L249" s="230"/>
      <c r="M249" s="62"/>
      <c r="N249" s="140"/>
      <c r="O249" s="39"/>
      <c r="P249" s="490">
        <f>K249*O249</f>
        <v>0</v>
      </c>
      <c r="Q249" s="262" t="str">
        <f t="shared" si="74"/>
        <v>Д7,9х10 с цн.пок.</v>
      </c>
      <c r="R249" s="377">
        <f t="shared" si="73"/>
        <v>0</v>
      </c>
      <c r="S249" s="319">
        <v>0</v>
      </c>
      <c r="T249" s="353">
        <f t="shared" si="69"/>
        <v>0</v>
      </c>
      <c r="U249" s="70">
        <v>950</v>
      </c>
      <c r="V249" s="20">
        <f t="shared" si="67"/>
        <v>0</v>
      </c>
      <c r="W249" s="52">
        <f t="shared" si="75"/>
        <v>0</v>
      </c>
      <c r="X249" s="70">
        <f>770+180</f>
        <v>950</v>
      </c>
      <c r="Y249" s="103"/>
      <c r="Z249" s="103"/>
      <c r="AA249" s="18"/>
      <c r="AB249" s="418"/>
      <c r="AC249" s="452"/>
      <c r="AD249" s="450">
        <v>0.38</v>
      </c>
      <c r="AE249" s="163"/>
      <c r="AF249" s="171"/>
      <c r="AG249" s="192">
        <v>4</v>
      </c>
      <c r="AH249" s="110"/>
      <c r="AI249" s="125"/>
      <c r="AJ249" s="185">
        <f>X249*AD249</f>
        <v>361</v>
      </c>
      <c r="AK249" s="435" t="s">
        <v>349</v>
      </c>
      <c r="AL249" s="476"/>
    </row>
    <row r="250" spans="2:38" s="21" customFormat="1" ht="26.25" customHeight="1" x14ac:dyDescent="0.25">
      <c r="B250" s="11">
        <v>89</v>
      </c>
      <c r="C250" s="6" t="s">
        <v>18</v>
      </c>
      <c r="D250" s="23" t="s">
        <v>40</v>
      </c>
      <c r="E250" s="104" t="s">
        <v>478</v>
      </c>
      <c r="F250" s="208" t="s">
        <v>70</v>
      </c>
      <c r="G250" s="12" t="s">
        <v>0</v>
      </c>
      <c r="H250" s="40"/>
      <c r="I250" s="309">
        <v>0</v>
      </c>
      <c r="J250" s="39">
        <f t="shared" si="60"/>
        <v>10000</v>
      </c>
      <c r="K250" s="309">
        <f>R250/1.4</f>
        <v>0.51</v>
      </c>
      <c r="L250" s="230">
        <f>K250*J546</f>
        <v>0</v>
      </c>
      <c r="M250" s="277" t="s">
        <v>241</v>
      </c>
      <c r="N250" s="140">
        <v>10000</v>
      </c>
      <c r="O250" s="40"/>
      <c r="P250" s="309">
        <f>K250*O250</f>
        <v>0</v>
      </c>
      <c r="Q250" s="235" t="str">
        <f t="shared" si="74"/>
        <v>Д7,9х10</v>
      </c>
      <c r="R250" s="377">
        <f t="shared" si="73"/>
        <v>0.71</v>
      </c>
      <c r="S250" s="319">
        <v>0.59</v>
      </c>
      <c r="T250" s="353">
        <f t="shared" si="69"/>
        <v>5900</v>
      </c>
      <c r="U250" s="70">
        <v>21000</v>
      </c>
      <c r="V250" s="20">
        <f t="shared" si="67"/>
        <v>10000</v>
      </c>
      <c r="W250" s="52">
        <f t="shared" si="75"/>
        <v>-11000</v>
      </c>
      <c r="X250" s="70"/>
      <c r="Y250" s="18" t="s">
        <v>781</v>
      </c>
      <c r="Z250" s="20"/>
      <c r="AA250" s="20">
        <f>51+110</f>
        <v>161</v>
      </c>
      <c r="AB250" s="417"/>
      <c r="AC250" s="168"/>
      <c r="AD250" s="450" t="s">
        <v>403</v>
      </c>
      <c r="AE250" s="163" t="s">
        <v>397</v>
      </c>
      <c r="AF250" s="171">
        <v>0.59299999999999997</v>
      </c>
      <c r="AG250" s="192">
        <v>4</v>
      </c>
      <c r="AH250" s="110"/>
      <c r="AI250" s="125"/>
      <c r="AJ250" s="185">
        <f>AF250*X250</f>
        <v>0</v>
      </c>
      <c r="AK250" s="435"/>
      <c r="AL250" s="480"/>
    </row>
    <row r="251" spans="2:38" ht="26.25" hidden="1" customHeight="1" x14ac:dyDescent="0.25">
      <c r="B251" s="15"/>
      <c r="C251" s="6" t="s">
        <v>18</v>
      </c>
      <c r="D251" s="23" t="s">
        <v>40</v>
      </c>
      <c r="E251" s="106" t="s">
        <v>318</v>
      </c>
      <c r="F251" s="387" t="s">
        <v>437</v>
      </c>
      <c r="G251" s="48" t="s">
        <v>0</v>
      </c>
      <c r="H251" s="39"/>
      <c r="I251" s="309">
        <v>0</v>
      </c>
      <c r="J251" s="39">
        <f t="shared" si="60"/>
        <v>0</v>
      </c>
      <c r="K251" s="309">
        <f>R251/1.4</f>
        <v>3.09</v>
      </c>
      <c r="L251" s="230">
        <f>K251*J547</f>
        <v>0</v>
      </c>
      <c r="M251" s="213" t="s">
        <v>440</v>
      </c>
      <c r="N251" s="140"/>
      <c r="O251" s="39"/>
      <c r="P251" s="309">
        <f>K251*O251</f>
        <v>0</v>
      </c>
      <c r="Q251" s="235" t="str">
        <f t="shared" si="74"/>
        <v>С8,2х24 ЭПГ110.001</v>
      </c>
      <c r="R251" s="377">
        <f t="shared" si="73"/>
        <v>4.32</v>
      </c>
      <c r="S251" s="326">
        <v>3.6</v>
      </c>
      <c r="T251" s="353">
        <f t="shared" si="69"/>
        <v>0</v>
      </c>
      <c r="U251" s="430">
        <v>9415</v>
      </c>
      <c r="V251" s="20">
        <f t="shared" si="67"/>
        <v>0</v>
      </c>
      <c r="W251" s="52">
        <f t="shared" si="75"/>
        <v>0</v>
      </c>
      <c r="X251" s="430">
        <f>4615+4800</f>
        <v>9415</v>
      </c>
      <c r="Y251" s="18" t="s">
        <v>782</v>
      </c>
      <c r="Z251" s="18"/>
      <c r="AA251" s="18"/>
      <c r="AB251" s="418"/>
      <c r="AC251" s="451"/>
      <c r="AD251" s="450">
        <v>1.8069999999999999</v>
      </c>
      <c r="AE251" s="165"/>
      <c r="AF251" s="160"/>
      <c r="AG251" s="192">
        <v>9.4</v>
      </c>
      <c r="AH251" s="110"/>
      <c r="AI251" s="125"/>
      <c r="AJ251" s="185">
        <f t="shared" ref="AJ251:AJ263" si="76">X251*AD251</f>
        <v>17012.900000000001</v>
      </c>
      <c r="AK251" s="435"/>
      <c r="AL251" s="476"/>
    </row>
    <row r="252" spans="2:38" ht="26.25" hidden="1" customHeight="1" x14ac:dyDescent="0.25">
      <c r="B252" s="15"/>
      <c r="C252" s="6" t="s">
        <v>18</v>
      </c>
      <c r="D252" s="23" t="s">
        <v>40</v>
      </c>
      <c r="E252" s="106" t="s">
        <v>438</v>
      </c>
      <c r="F252" s="385" t="s">
        <v>58</v>
      </c>
      <c r="G252" s="13" t="s">
        <v>0</v>
      </c>
      <c r="H252" s="39"/>
      <c r="I252" s="309">
        <v>0</v>
      </c>
      <c r="J252" s="39">
        <f t="shared" si="60"/>
        <v>0</v>
      </c>
      <c r="K252" s="309">
        <f>R252/1.4</f>
        <v>3.09</v>
      </c>
      <c r="L252" s="230">
        <f>K252*J548</f>
        <v>0</v>
      </c>
      <c r="M252" s="146" t="s">
        <v>333</v>
      </c>
      <c r="N252" s="140"/>
      <c r="O252" s="39"/>
      <c r="P252" s="309">
        <f>K252*O252</f>
        <v>0</v>
      </c>
      <c r="Q252" s="263" t="str">
        <f t="shared" si="74"/>
        <v>Д8х24</v>
      </c>
      <c r="R252" s="377">
        <f t="shared" si="73"/>
        <v>4.32</v>
      </c>
      <c r="S252" s="319">
        <v>3.6</v>
      </c>
      <c r="T252" s="353">
        <f t="shared" si="69"/>
        <v>0</v>
      </c>
      <c r="U252" s="430">
        <v>735</v>
      </c>
      <c r="V252" s="20">
        <f t="shared" si="67"/>
        <v>0</v>
      </c>
      <c r="W252" s="52">
        <f t="shared" si="75"/>
        <v>0</v>
      </c>
      <c r="X252" s="430">
        <v>735</v>
      </c>
      <c r="Y252" s="18" t="s">
        <v>784</v>
      </c>
      <c r="Z252" s="18"/>
      <c r="AA252" s="18"/>
      <c r="AB252" s="418"/>
      <c r="AC252" s="451"/>
      <c r="AD252" s="450">
        <v>1.52</v>
      </c>
      <c r="AE252" s="165"/>
      <c r="AF252" s="160"/>
      <c r="AG252" s="192">
        <v>9.75</v>
      </c>
      <c r="AH252" s="110"/>
      <c r="AI252" s="125"/>
      <c r="AJ252" s="185">
        <f t="shared" si="76"/>
        <v>1117.2</v>
      </c>
      <c r="AK252" s="435"/>
      <c r="AL252" s="476"/>
    </row>
    <row r="253" spans="2:38" ht="26.25" customHeight="1" x14ac:dyDescent="0.25">
      <c r="B253" s="11">
        <v>90</v>
      </c>
      <c r="C253" s="6" t="s">
        <v>18</v>
      </c>
      <c r="D253" s="23" t="s">
        <v>40</v>
      </c>
      <c r="E253" s="106" t="s">
        <v>288</v>
      </c>
      <c r="F253" s="383" t="s">
        <v>434</v>
      </c>
      <c r="G253" s="12" t="s">
        <v>0</v>
      </c>
      <c r="H253" s="39">
        <v>1440</v>
      </c>
      <c r="I253" s="360">
        <v>246.82</v>
      </c>
      <c r="J253" s="39">
        <f t="shared" si="60"/>
        <v>0</v>
      </c>
      <c r="K253" s="309">
        <v>0.17</v>
      </c>
      <c r="L253" s="230"/>
      <c r="M253" s="370" t="s">
        <v>520</v>
      </c>
      <c r="N253" s="141"/>
      <c r="O253" s="39">
        <v>1440</v>
      </c>
      <c r="P253" s="466">
        <f>I253</f>
        <v>246.82</v>
      </c>
      <c r="Q253" s="51" t="str">
        <f t="shared" si="74"/>
        <v>Д8х2</v>
      </c>
      <c r="R253" s="377">
        <f t="shared" si="73"/>
        <v>0.24</v>
      </c>
      <c r="S253" s="319">
        <v>0.2</v>
      </c>
      <c r="T253" s="353">
        <f t="shared" si="69"/>
        <v>0</v>
      </c>
      <c r="U253" s="70">
        <v>6</v>
      </c>
      <c r="V253" s="20">
        <f t="shared" si="67"/>
        <v>0</v>
      </c>
      <c r="W253" s="52">
        <f t="shared" si="75"/>
        <v>0</v>
      </c>
      <c r="X253" s="70">
        <v>6</v>
      </c>
      <c r="Y253" s="20"/>
      <c r="Z253" s="20"/>
      <c r="AA253" s="20">
        <v>1000</v>
      </c>
      <c r="AB253" s="417"/>
      <c r="AC253" s="168"/>
      <c r="AD253" s="450">
        <v>7.0000000000000007E-2</v>
      </c>
      <c r="AE253" s="165"/>
      <c r="AF253" s="160"/>
      <c r="AG253" s="192">
        <v>0.76</v>
      </c>
      <c r="AH253" s="110"/>
      <c r="AI253" s="125">
        <v>1.5</v>
      </c>
      <c r="AJ253" s="185">
        <f t="shared" si="76"/>
        <v>0.4</v>
      </c>
      <c r="AK253" s="435" t="s">
        <v>350</v>
      </c>
      <c r="AL253" s="16"/>
    </row>
    <row r="254" spans="2:38" ht="26.25" hidden="1" customHeight="1" x14ac:dyDescent="0.25">
      <c r="B254" s="19"/>
      <c r="C254" s="6" t="s">
        <v>18</v>
      </c>
      <c r="D254" s="23" t="s">
        <v>40</v>
      </c>
      <c r="E254" s="106" t="s">
        <v>384</v>
      </c>
      <c r="F254" s="385"/>
      <c r="G254" s="48"/>
      <c r="H254" s="39"/>
      <c r="I254" s="309">
        <v>0</v>
      </c>
      <c r="J254" s="39">
        <f t="shared" si="60"/>
        <v>0</v>
      </c>
      <c r="K254" s="309">
        <f t="shared" ref="K254:K265" si="77">R254/1.4</f>
        <v>0</v>
      </c>
      <c r="L254" s="230"/>
      <c r="M254" s="72"/>
      <c r="N254" s="141"/>
      <c r="O254" s="39"/>
      <c r="P254" s="490">
        <f>K254*O254</f>
        <v>0</v>
      </c>
      <c r="Q254" s="262" t="str">
        <f t="shared" si="74"/>
        <v>Д8х2,5</v>
      </c>
      <c r="R254" s="377">
        <f t="shared" si="73"/>
        <v>0</v>
      </c>
      <c r="S254" s="319">
        <v>0</v>
      </c>
      <c r="T254" s="353">
        <f t="shared" si="69"/>
        <v>0</v>
      </c>
      <c r="U254" s="70">
        <v>5</v>
      </c>
      <c r="V254" s="20">
        <f t="shared" si="67"/>
        <v>0</v>
      </c>
      <c r="W254" s="52">
        <f t="shared" si="75"/>
        <v>0</v>
      </c>
      <c r="X254" s="70">
        <v>5</v>
      </c>
      <c r="Y254" s="20"/>
      <c r="Z254" s="20"/>
      <c r="AA254" s="20"/>
      <c r="AB254" s="417"/>
      <c r="AC254" s="168"/>
      <c r="AD254" s="450">
        <v>0.15</v>
      </c>
      <c r="AE254" s="165"/>
      <c r="AF254" s="160"/>
      <c r="AG254" s="192">
        <v>1.19</v>
      </c>
      <c r="AH254" s="110"/>
      <c r="AI254" s="125"/>
      <c r="AJ254" s="185">
        <f t="shared" si="76"/>
        <v>0.8</v>
      </c>
      <c r="AK254" s="435"/>
      <c r="AL254" s="476"/>
    </row>
    <row r="255" spans="2:38" ht="26.25" hidden="1" customHeight="1" x14ac:dyDescent="0.25">
      <c r="B255" s="19"/>
      <c r="C255" s="6" t="s">
        <v>18</v>
      </c>
      <c r="D255" s="23" t="s">
        <v>40</v>
      </c>
      <c r="E255" s="106" t="s">
        <v>289</v>
      </c>
      <c r="F255" s="385" t="s">
        <v>376</v>
      </c>
      <c r="G255" s="48"/>
      <c r="H255" s="39"/>
      <c r="I255" s="309">
        <v>0</v>
      </c>
      <c r="J255" s="39">
        <f t="shared" si="60"/>
        <v>0</v>
      </c>
      <c r="K255" s="309">
        <f t="shared" si="77"/>
        <v>1.29</v>
      </c>
      <c r="L255" s="230"/>
      <c r="M255" s="457" t="s">
        <v>499</v>
      </c>
      <c r="N255" s="141"/>
      <c r="O255" s="39"/>
      <c r="P255" s="309">
        <f>K255*O255</f>
        <v>0</v>
      </c>
      <c r="Q255" s="235" t="str">
        <f t="shared" si="74"/>
        <v>Д8х3</v>
      </c>
      <c r="R255" s="377">
        <f t="shared" si="73"/>
        <v>1.8</v>
      </c>
      <c r="S255" s="319">
        <v>1.5</v>
      </c>
      <c r="T255" s="353">
        <f t="shared" si="69"/>
        <v>0</v>
      </c>
      <c r="U255" s="70">
        <v>1655</v>
      </c>
      <c r="V255" s="20">
        <f t="shared" si="67"/>
        <v>0</v>
      </c>
      <c r="W255" s="52">
        <f t="shared" si="75"/>
        <v>0</v>
      </c>
      <c r="X255" s="70">
        <v>1655</v>
      </c>
      <c r="Y255" s="20"/>
      <c r="Z255" s="20"/>
      <c r="AA255" s="20">
        <v>300</v>
      </c>
      <c r="AB255" s="417"/>
      <c r="AC255" s="168"/>
      <c r="AD255" s="450">
        <v>9.5000000000000001E-2</v>
      </c>
      <c r="AE255" s="165"/>
      <c r="AF255" s="160"/>
      <c r="AG255" s="192">
        <v>1.1299999999999999</v>
      </c>
      <c r="AH255" s="110"/>
      <c r="AI255" s="125">
        <v>2.1</v>
      </c>
      <c r="AJ255" s="185">
        <f t="shared" si="76"/>
        <v>157.19999999999999</v>
      </c>
      <c r="AK255" s="435" t="s">
        <v>350</v>
      </c>
      <c r="AL255" s="476"/>
    </row>
    <row r="256" spans="2:38" ht="26.25" hidden="1" customHeight="1" x14ac:dyDescent="0.25">
      <c r="B256" s="19"/>
      <c r="C256" s="6" t="s">
        <v>18</v>
      </c>
      <c r="D256" s="23" t="s">
        <v>40</v>
      </c>
      <c r="E256" s="106" t="s">
        <v>308</v>
      </c>
      <c r="F256" s="385"/>
      <c r="G256" s="48"/>
      <c r="H256" s="39"/>
      <c r="I256" s="309">
        <v>0</v>
      </c>
      <c r="J256" s="39">
        <f t="shared" si="60"/>
        <v>0</v>
      </c>
      <c r="K256" s="309">
        <f t="shared" si="77"/>
        <v>0</v>
      </c>
      <c r="L256" s="230"/>
      <c r="M256" s="72"/>
      <c r="N256" s="141"/>
      <c r="O256" s="39"/>
      <c r="P256" s="309">
        <f>K256*O256</f>
        <v>0</v>
      </c>
      <c r="Q256" s="235" t="str">
        <f t="shared" si="74"/>
        <v>Д8,2х3</v>
      </c>
      <c r="R256" s="377">
        <f t="shared" si="73"/>
        <v>0</v>
      </c>
      <c r="S256" s="339">
        <v>0</v>
      </c>
      <c r="T256" s="353">
        <f t="shared" si="69"/>
        <v>0</v>
      </c>
      <c r="U256" s="70">
        <v>1659</v>
      </c>
      <c r="V256" s="20">
        <f t="shared" si="67"/>
        <v>0</v>
      </c>
      <c r="W256" s="52">
        <f t="shared" si="75"/>
        <v>0</v>
      </c>
      <c r="X256" s="70">
        <v>1659</v>
      </c>
      <c r="Y256" s="20"/>
      <c r="Z256" s="20"/>
      <c r="AA256" s="20"/>
      <c r="AB256" s="417"/>
      <c r="AC256" s="168"/>
      <c r="AD256" s="450">
        <v>0.16</v>
      </c>
      <c r="AE256" s="165"/>
      <c r="AF256" s="160"/>
      <c r="AG256" s="192">
        <v>1.19</v>
      </c>
      <c r="AH256" s="110"/>
      <c r="AI256" s="125"/>
      <c r="AJ256" s="185">
        <f t="shared" si="76"/>
        <v>265.39999999999998</v>
      </c>
      <c r="AK256" s="435" t="s">
        <v>351</v>
      </c>
      <c r="AL256" s="476"/>
    </row>
    <row r="257" spans="2:38" ht="26.25" hidden="1" customHeight="1" x14ac:dyDescent="0.25">
      <c r="B257" s="19"/>
      <c r="C257" s="6" t="s">
        <v>18</v>
      </c>
      <c r="D257" s="23" t="s">
        <v>40</v>
      </c>
      <c r="E257" s="106" t="s">
        <v>819</v>
      </c>
      <c r="F257" s="385" t="s">
        <v>824</v>
      </c>
      <c r="G257" s="48"/>
      <c r="H257" s="39"/>
      <c r="I257" s="309">
        <v>0</v>
      </c>
      <c r="J257" s="39">
        <f t="shared" si="60"/>
        <v>0</v>
      </c>
      <c r="K257" s="309">
        <f t="shared" si="77"/>
        <v>14.14</v>
      </c>
      <c r="L257" s="230"/>
      <c r="M257" s="191" t="s">
        <v>836</v>
      </c>
      <c r="N257" s="141"/>
      <c r="O257" s="39"/>
      <c r="P257" s="309">
        <f>K257*O257</f>
        <v>0</v>
      </c>
      <c r="Q257" s="51" t="str">
        <f t="shared" si="74"/>
        <v>Д8,5х2,5 Магнитопласт</v>
      </c>
      <c r="R257" s="377">
        <f t="shared" si="73"/>
        <v>19.8</v>
      </c>
      <c r="S257" s="339">
        <v>16.5</v>
      </c>
      <c r="T257" s="353">
        <f t="shared" si="69"/>
        <v>0</v>
      </c>
      <c r="U257" s="20"/>
      <c r="V257" s="20">
        <f t="shared" si="67"/>
        <v>0</v>
      </c>
      <c r="W257" s="52">
        <f t="shared" si="75"/>
        <v>0</v>
      </c>
      <c r="X257" s="20"/>
      <c r="Y257" s="20">
        <v>1</v>
      </c>
      <c r="Z257" s="20"/>
      <c r="AA257" s="20"/>
      <c r="AB257" s="417"/>
      <c r="AC257" s="168"/>
      <c r="AD257" s="450">
        <v>0.5</v>
      </c>
      <c r="AE257" s="165"/>
      <c r="AF257" s="160"/>
      <c r="AG257" s="192">
        <v>5</v>
      </c>
      <c r="AH257" s="110"/>
      <c r="AI257" s="125"/>
      <c r="AJ257" s="185">
        <f t="shared" si="76"/>
        <v>0</v>
      </c>
      <c r="AK257" s="435"/>
      <c r="AL257" s="476"/>
    </row>
    <row r="258" spans="2:38" ht="26.25" customHeight="1" x14ac:dyDescent="0.25">
      <c r="B258" s="11">
        <v>91</v>
      </c>
      <c r="C258" s="6" t="s">
        <v>18</v>
      </c>
      <c r="D258" s="23" t="s">
        <v>40</v>
      </c>
      <c r="E258" s="107" t="s">
        <v>182</v>
      </c>
      <c r="F258" s="208" t="s">
        <v>181</v>
      </c>
      <c r="G258" s="12" t="s">
        <v>0</v>
      </c>
      <c r="H258" s="39">
        <v>348</v>
      </c>
      <c r="I258" s="360">
        <v>44.75</v>
      </c>
      <c r="J258" s="39">
        <f t="shared" si="60"/>
        <v>0</v>
      </c>
      <c r="K258" s="309">
        <f t="shared" si="77"/>
        <v>0.13</v>
      </c>
      <c r="L258" s="230">
        <f>K258*J554</f>
        <v>0</v>
      </c>
      <c r="M258" s="367"/>
      <c r="N258" s="140"/>
      <c r="O258" s="39">
        <v>348</v>
      </c>
      <c r="P258" s="466">
        <f>I258</f>
        <v>44.75</v>
      </c>
      <c r="Q258" s="51" t="str">
        <f t="shared" si="74"/>
        <v xml:space="preserve">Д9х3 </v>
      </c>
      <c r="R258" s="377">
        <f t="shared" si="73"/>
        <v>0.18</v>
      </c>
      <c r="S258" s="319">
        <v>0.15</v>
      </c>
      <c r="T258" s="353">
        <f t="shared" si="69"/>
        <v>0</v>
      </c>
      <c r="U258" s="70">
        <v>3346</v>
      </c>
      <c r="V258" s="20">
        <f t="shared" si="67"/>
        <v>0</v>
      </c>
      <c r="W258" s="52">
        <f t="shared" si="75"/>
        <v>0</v>
      </c>
      <c r="X258" s="70">
        <f>3398-52</f>
        <v>3346</v>
      </c>
      <c r="Y258" s="20"/>
      <c r="Z258" s="20"/>
      <c r="AA258" s="20"/>
      <c r="AB258" s="417"/>
      <c r="AC258" s="168"/>
      <c r="AD258" s="450">
        <v>0.37</v>
      </c>
      <c r="AE258" s="162"/>
      <c r="AF258" s="171"/>
      <c r="AG258" s="176">
        <v>1.9</v>
      </c>
      <c r="AH258" s="120">
        <v>10.5</v>
      </c>
      <c r="AI258" s="125"/>
      <c r="AJ258" s="185">
        <f t="shared" si="76"/>
        <v>1238</v>
      </c>
      <c r="AK258" s="435" t="s">
        <v>352</v>
      </c>
      <c r="AL258" s="476"/>
    </row>
    <row r="259" spans="2:38" ht="26.25" hidden="1" customHeight="1" x14ac:dyDescent="0.25">
      <c r="B259" s="11"/>
      <c r="C259" s="6" t="s">
        <v>18</v>
      </c>
      <c r="D259" s="23" t="s">
        <v>40</v>
      </c>
      <c r="E259" s="107" t="s">
        <v>694</v>
      </c>
      <c r="F259" s="208">
        <v>1446</v>
      </c>
      <c r="G259" s="48"/>
      <c r="H259" s="39"/>
      <c r="I259" s="309">
        <v>0</v>
      </c>
      <c r="J259" s="39">
        <f t="shared" si="60"/>
        <v>0</v>
      </c>
      <c r="K259" s="309">
        <f t="shared" si="77"/>
        <v>1.1100000000000001</v>
      </c>
      <c r="L259" s="230"/>
      <c r="M259" s="250" t="s">
        <v>713</v>
      </c>
      <c r="N259" s="140"/>
      <c r="O259" s="39"/>
      <c r="P259" s="309">
        <f t="shared" ref="P259:P265" si="78">K259*O259</f>
        <v>0</v>
      </c>
      <c r="Q259" s="262" t="str">
        <f t="shared" si="74"/>
        <v>Д9х7</v>
      </c>
      <c r="R259" s="377">
        <f t="shared" si="73"/>
        <v>1.56</v>
      </c>
      <c r="S259" s="322">
        <v>1.3</v>
      </c>
      <c r="T259" s="353">
        <f t="shared" si="69"/>
        <v>0</v>
      </c>
      <c r="U259" s="70">
        <v>30</v>
      </c>
      <c r="V259" s="20">
        <f t="shared" si="67"/>
        <v>0</v>
      </c>
      <c r="W259" s="52">
        <f t="shared" si="75"/>
        <v>0</v>
      </c>
      <c r="X259" s="70">
        <v>30</v>
      </c>
      <c r="Y259" s="20"/>
      <c r="Z259" s="20"/>
      <c r="AA259" s="20"/>
      <c r="AB259" s="417"/>
      <c r="AC259" s="168"/>
      <c r="AD259" s="450">
        <v>0.34</v>
      </c>
      <c r="AE259" s="163"/>
      <c r="AF259" s="171"/>
      <c r="AG259" s="192">
        <v>3.4</v>
      </c>
      <c r="AH259" s="110"/>
      <c r="AI259" s="125"/>
      <c r="AJ259" s="185">
        <f t="shared" si="76"/>
        <v>10.199999999999999</v>
      </c>
      <c r="AK259" s="435" t="s">
        <v>352</v>
      </c>
      <c r="AL259" s="476"/>
    </row>
    <row r="260" spans="2:38" ht="26.25" hidden="1" customHeight="1" x14ac:dyDescent="0.25">
      <c r="B260" s="19"/>
      <c r="C260" s="6" t="s">
        <v>18</v>
      </c>
      <c r="D260" s="23" t="s">
        <v>40</v>
      </c>
      <c r="E260" s="87" t="s">
        <v>230</v>
      </c>
      <c r="F260" s="393" t="s">
        <v>257</v>
      </c>
      <c r="G260" s="48" t="s">
        <v>0</v>
      </c>
      <c r="H260" s="39"/>
      <c r="I260" s="309">
        <v>0</v>
      </c>
      <c r="J260" s="39">
        <f t="shared" si="60"/>
        <v>0</v>
      </c>
      <c r="K260" s="309">
        <f t="shared" si="77"/>
        <v>2.44</v>
      </c>
      <c r="L260" s="230">
        <f>K260*J556</f>
        <v>0</v>
      </c>
      <c r="M260" s="72" t="s">
        <v>260</v>
      </c>
      <c r="N260" s="141"/>
      <c r="O260" s="513"/>
      <c r="P260" s="497">
        <f t="shared" si="78"/>
        <v>0</v>
      </c>
      <c r="Q260" s="263" t="str">
        <f t="shared" si="74"/>
        <v>Д10х0,5</v>
      </c>
      <c r="R260" s="377">
        <f t="shared" si="73"/>
        <v>3.42</v>
      </c>
      <c r="S260" s="322">
        <v>2.85</v>
      </c>
      <c r="T260" s="353">
        <f t="shared" si="69"/>
        <v>0</v>
      </c>
      <c r="U260" s="70">
        <v>1800</v>
      </c>
      <c r="V260" s="20">
        <f t="shared" si="67"/>
        <v>0</v>
      </c>
      <c r="W260" s="52">
        <f t="shared" si="75"/>
        <v>0</v>
      </c>
      <c r="X260" s="148">
        <v>1800</v>
      </c>
      <c r="Y260" s="20"/>
      <c r="Z260" s="20"/>
      <c r="AA260" s="20"/>
      <c r="AB260" s="417"/>
      <c r="AC260" s="451"/>
      <c r="AD260" s="450">
        <v>5.2999999999999999E-2</v>
      </c>
      <c r="AE260" s="164"/>
      <c r="AF260" s="160"/>
      <c r="AG260" s="176">
        <v>0.4</v>
      </c>
      <c r="AH260" s="120">
        <v>3.5</v>
      </c>
      <c r="AI260" s="125"/>
      <c r="AJ260" s="185">
        <f t="shared" si="76"/>
        <v>95.4</v>
      </c>
      <c r="AK260" s="435" t="s">
        <v>353</v>
      </c>
      <c r="AL260" s="476"/>
    </row>
    <row r="261" spans="2:38" ht="26.25" hidden="1" customHeight="1" x14ac:dyDescent="0.25">
      <c r="B261" s="19"/>
      <c r="C261" s="6" t="s">
        <v>18</v>
      </c>
      <c r="D261" s="23" t="s">
        <v>40</v>
      </c>
      <c r="E261" s="87" t="s">
        <v>231</v>
      </c>
      <c r="F261" s="385" t="s">
        <v>516</v>
      </c>
      <c r="G261" s="48" t="s">
        <v>0</v>
      </c>
      <c r="H261" s="39"/>
      <c r="I261" s="360">
        <v>0</v>
      </c>
      <c r="J261" s="39">
        <f t="shared" si="60"/>
        <v>0</v>
      </c>
      <c r="K261" s="309">
        <f t="shared" si="77"/>
        <v>0.16</v>
      </c>
      <c r="L261" s="230">
        <f>K261*J557</f>
        <v>0</v>
      </c>
      <c r="M261" s="297" t="s">
        <v>745</v>
      </c>
      <c r="N261" s="141"/>
      <c r="O261" s="39"/>
      <c r="P261" s="309">
        <f t="shared" si="78"/>
        <v>0</v>
      </c>
      <c r="Q261" s="51" t="str">
        <f t="shared" si="74"/>
        <v>Д10х1</v>
      </c>
      <c r="R261" s="377">
        <f t="shared" si="73"/>
        <v>0.22</v>
      </c>
      <c r="S261" s="319">
        <v>0.18</v>
      </c>
      <c r="T261" s="353">
        <f t="shared" si="69"/>
        <v>0</v>
      </c>
      <c r="U261" s="70">
        <v>2260</v>
      </c>
      <c r="V261" s="20">
        <f t="shared" si="67"/>
        <v>0</v>
      </c>
      <c r="W261" s="52">
        <f t="shared" si="75"/>
        <v>0</v>
      </c>
      <c r="X261" s="148">
        <f>2470-210</f>
        <v>2260</v>
      </c>
      <c r="Y261" s="20"/>
      <c r="Z261" s="20"/>
      <c r="AA261" s="20">
        <v>10100</v>
      </c>
      <c r="AB261" s="417"/>
      <c r="AC261" s="451"/>
      <c r="AD261" s="450">
        <v>0.06</v>
      </c>
      <c r="AE261" s="164"/>
      <c r="AF261" s="160"/>
      <c r="AG261" s="176">
        <v>0.6</v>
      </c>
      <c r="AH261" s="120">
        <v>3.9</v>
      </c>
      <c r="AI261" s="125">
        <v>1</v>
      </c>
      <c r="AJ261" s="185">
        <f t="shared" si="76"/>
        <v>135.6</v>
      </c>
      <c r="AK261" s="435" t="s">
        <v>353</v>
      </c>
      <c r="AL261" s="476"/>
    </row>
    <row r="262" spans="2:38" ht="26.25" customHeight="1" x14ac:dyDescent="0.25">
      <c r="B262" s="19">
        <v>92</v>
      </c>
      <c r="C262" s="6" t="s">
        <v>18</v>
      </c>
      <c r="D262" s="23" t="s">
        <v>40</v>
      </c>
      <c r="E262" s="87" t="s">
        <v>287</v>
      </c>
      <c r="F262" s="383" t="s">
        <v>378</v>
      </c>
      <c r="G262" s="12" t="s">
        <v>0</v>
      </c>
      <c r="H262" s="39"/>
      <c r="I262" s="309">
        <v>0</v>
      </c>
      <c r="J262" s="39">
        <f t="shared" si="60"/>
        <v>710</v>
      </c>
      <c r="K262" s="309">
        <f t="shared" si="77"/>
        <v>0.21</v>
      </c>
      <c r="L262" s="230"/>
      <c r="M262" s="369" t="s">
        <v>745</v>
      </c>
      <c r="N262" s="141">
        <f>210+500</f>
        <v>710</v>
      </c>
      <c r="O262" s="39"/>
      <c r="P262" s="309">
        <f t="shared" si="78"/>
        <v>0</v>
      </c>
      <c r="Q262" s="51" t="str">
        <f t="shared" si="74"/>
        <v>Д10х2</v>
      </c>
      <c r="R262" s="377">
        <f t="shared" si="73"/>
        <v>0.3</v>
      </c>
      <c r="S262" s="319">
        <v>0.25</v>
      </c>
      <c r="T262" s="353">
        <f t="shared" si="69"/>
        <v>177.5</v>
      </c>
      <c r="U262" s="70">
        <v>986</v>
      </c>
      <c r="V262" s="20">
        <f t="shared" si="67"/>
        <v>710</v>
      </c>
      <c r="W262" s="511">
        <f t="shared" si="75"/>
        <v>9654</v>
      </c>
      <c r="X262" s="148">
        <f>2090*4+1570</f>
        <v>9930</v>
      </c>
      <c r="Y262" s="20"/>
      <c r="Z262" s="20"/>
      <c r="AA262" s="20">
        <v>1000</v>
      </c>
      <c r="AB262" s="417"/>
      <c r="AC262" s="168"/>
      <c r="AD262" s="450">
        <v>0.09</v>
      </c>
      <c r="AE262" s="165"/>
      <c r="AF262" s="160"/>
      <c r="AG262" s="192">
        <v>1.17</v>
      </c>
      <c r="AH262" s="110"/>
      <c r="AI262" s="125">
        <v>1.8</v>
      </c>
      <c r="AJ262" s="185">
        <f t="shared" si="76"/>
        <v>893.7</v>
      </c>
      <c r="AK262" s="435" t="s">
        <v>354</v>
      </c>
      <c r="AL262" s="476"/>
    </row>
    <row r="263" spans="2:38" ht="26.25" hidden="1" customHeight="1" x14ac:dyDescent="0.25">
      <c r="B263" s="14"/>
      <c r="C263" s="6" t="s">
        <v>18</v>
      </c>
      <c r="D263" s="23" t="s">
        <v>40</v>
      </c>
      <c r="E263" s="106" t="s">
        <v>151</v>
      </c>
      <c r="F263" s="526">
        <v>606</v>
      </c>
      <c r="G263" s="48" t="s">
        <v>0</v>
      </c>
      <c r="H263" s="39"/>
      <c r="I263" s="360">
        <v>0</v>
      </c>
      <c r="J263" s="39">
        <f t="shared" si="60"/>
        <v>0</v>
      </c>
      <c r="K263" s="309">
        <f t="shared" si="77"/>
        <v>1.8</v>
      </c>
      <c r="L263" s="230">
        <f>K263*J559</f>
        <v>0</v>
      </c>
      <c r="M263" s="219" t="s">
        <v>680</v>
      </c>
      <c r="N263" s="140"/>
      <c r="O263" s="39"/>
      <c r="P263" s="309">
        <f t="shared" si="78"/>
        <v>0</v>
      </c>
      <c r="Q263" s="51" t="str">
        <f t="shared" si="74"/>
        <v>Д10х3</v>
      </c>
      <c r="R263" s="306">
        <f t="shared" si="73"/>
        <v>2.52</v>
      </c>
      <c r="S263" s="339">
        <v>2.1</v>
      </c>
      <c r="T263" s="353">
        <f t="shared" ref="T263:T294" si="79">S263*J263</f>
        <v>0</v>
      </c>
      <c r="U263" s="70">
        <v>5414</v>
      </c>
      <c r="V263" s="20">
        <f t="shared" si="67"/>
        <v>0</v>
      </c>
      <c r="W263" s="52">
        <f t="shared" si="75"/>
        <v>0</v>
      </c>
      <c r="X263" s="70">
        <f>5864-10-240-100-100</f>
        <v>5414</v>
      </c>
      <c r="Y263" s="20" t="s">
        <v>774</v>
      </c>
      <c r="Z263" s="20"/>
      <c r="AA263" s="20">
        <f>110+250</f>
        <v>360</v>
      </c>
      <c r="AB263" s="417"/>
      <c r="AC263" s="168"/>
      <c r="AD263" s="450">
        <v>0.13</v>
      </c>
      <c r="AE263" s="163"/>
      <c r="AF263" s="171"/>
      <c r="AG263" s="192">
        <v>1.81</v>
      </c>
      <c r="AH263" s="110"/>
      <c r="AI263" s="125"/>
      <c r="AJ263" s="185">
        <f t="shared" si="76"/>
        <v>703.8</v>
      </c>
      <c r="AK263" s="435" t="s">
        <v>355</v>
      </c>
      <c r="AL263" s="476"/>
    </row>
    <row r="264" spans="2:38" ht="26.25" hidden="1" customHeight="1" x14ac:dyDescent="0.25">
      <c r="B264" s="14"/>
      <c r="C264" s="6" t="s">
        <v>18</v>
      </c>
      <c r="D264" s="23" t="s">
        <v>40</v>
      </c>
      <c r="E264" s="106" t="s">
        <v>524</v>
      </c>
      <c r="F264" s="386">
        <v>1181</v>
      </c>
      <c r="G264" s="48"/>
      <c r="H264" s="39"/>
      <c r="I264" s="309">
        <v>0</v>
      </c>
      <c r="J264" s="39">
        <f t="shared" si="60"/>
        <v>0</v>
      </c>
      <c r="K264" s="309">
        <f t="shared" si="77"/>
        <v>4.29</v>
      </c>
      <c r="L264" s="230"/>
      <c r="M264" s="250" t="s">
        <v>615</v>
      </c>
      <c r="N264" s="140"/>
      <c r="O264" s="489"/>
      <c r="P264" s="490">
        <f t="shared" si="78"/>
        <v>0</v>
      </c>
      <c r="Q264" s="441" t="str">
        <f t="shared" si="74"/>
        <v>Д10*12</v>
      </c>
      <c r="R264" s="377">
        <f t="shared" si="73"/>
        <v>6</v>
      </c>
      <c r="S264" s="339">
        <v>5</v>
      </c>
      <c r="T264" s="353">
        <f t="shared" si="79"/>
        <v>0</v>
      </c>
      <c r="U264" s="70">
        <v>22</v>
      </c>
      <c r="V264" s="20">
        <f t="shared" si="67"/>
        <v>0</v>
      </c>
      <c r="W264" s="52">
        <f t="shared" si="75"/>
        <v>0</v>
      </c>
      <c r="X264" s="70">
        <v>22</v>
      </c>
      <c r="Y264" s="20" t="s">
        <v>771</v>
      </c>
      <c r="Z264" s="20"/>
      <c r="AA264" s="20"/>
      <c r="AB264" s="417"/>
      <c r="AC264" s="168"/>
      <c r="AD264" s="450"/>
      <c r="AE264" s="163"/>
      <c r="AF264" s="171"/>
      <c r="AG264" s="192"/>
      <c r="AH264" s="110"/>
      <c r="AI264" s="125"/>
      <c r="AJ264" s="185"/>
      <c r="AK264" s="137"/>
      <c r="AL264" s="476"/>
    </row>
    <row r="265" spans="2:38" ht="26.25" customHeight="1" x14ac:dyDescent="0.25">
      <c r="B265" s="14">
        <v>93</v>
      </c>
      <c r="C265" s="6" t="s">
        <v>18</v>
      </c>
      <c r="D265" s="23" t="s">
        <v>40</v>
      </c>
      <c r="E265" s="106" t="s">
        <v>855</v>
      </c>
      <c r="F265" s="386">
        <v>1333</v>
      </c>
      <c r="G265" s="12" t="s">
        <v>0</v>
      </c>
      <c r="H265" s="39"/>
      <c r="I265" s="309"/>
      <c r="J265" s="39"/>
      <c r="K265" s="309">
        <f t="shared" si="77"/>
        <v>5.14</v>
      </c>
      <c r="L265" s="230"/>
      <c r="M265" s="250"/>
      <c r="N265" s="140">
        <v>12</v>
      </c>
      <c r="O265" s="39"/>
      <c r="P265" s="309">
        <f t="shared" si="78"/>
        <v>0</v>
      </c>
      <c r="Q265" s="51" t="str">
        <f t="shared" si="74"/>
        <v>Д10х14,5</v>
      </c>
      <c r="R265" s="377">
        <f t="shared" si="73"/>
        <v>7.2</v>
      </c>
      <c r="S265" s="339">
        <v>6</v>
      </c>
      <c r="T265" s="353">
        <f t="shared" si="79"/>
        <v>0</v>
      </c>
      <c r="U265" s="70">
        <v>10</v>
      </c>
      <c r="V265" s="20"/>
      <c r="W265" s="52"/>
      <c r="X265" s="70">
        <v>10</v>
      </c>
      <c r="Y265" s="20" t="s">
        <v>771</v>
      </c>
      <c r="Z265" s="20"/>
      <c r="AA265" s="20"/>
      <c r="AB265" s="417"/>
      <c r="AC265" s="168"/>
      <c r="AD265" s="450"/>
      <c r="AE265" s="163"/>
      <c r="AF265" s="171"/>
      <c r="AG265" s="192"/>
      <c r="AH265" s="110"/>
      <c r="AI265" s="125"/>
      <c r="AJ265" s="185"/>
      <c r="AK265" s="137"/>
      <c r="AL265" s="30"/>
    </row>
    <row r="266" spans="2:38" ht="26.25" hidden="1" customHeight="1" x14ac:dyDescent="0.3">
      <c r="B266" s="14"/>
      <c r="C266" s="6" t="s">
        <v>18</v>
      </c>
      <c r="D266" s="23" t="s">
        <v>40</v>
      </c>
      <c r="E266" s="1" t="s">
        <v>643</v>
      </c>
      <c r="F266" s="386">
        <v>893</v>
      </c>
      <c r="G266" s="48"/>
      <c r="H266" s="39"/>
      <c r="I266" s="309">
        <v>0</v>
      </c>
      <c r="J266" s="39">
        <f t="shared" ref="J266:J290" si="80">N266+O266-H266</f>
        <v>0</v>
      </c>
      <c r="K266" s="309">
        <f>R266/1.4</f>
        <v>5.4</v>
      </c>
      <c r="L266" s="230">
        <f>K266*J561</f>
        <v>0</v>
      </c>
      <c r="M266" s="99" t="s">
        <v>410</v>
      </c>
      <c r="N266" s="140"/>
      <c r="O266" s="39"/>
      <c r="P266" s="467">
        <f>K266*O266</f>
        <v>0</v>
      </c>
      <c r="Q266" s="404" t="str">
        <f t="shared" si="74"/>
        <v>Д11х12</v>
      </c>
      <c r="R266" s="377">
        <f>S266*1.2</f>
        <v>7.56</v>
      </c>
      <c r="S266" s="319">
        <v>6.3</v>
      </c>
      <c r="T266" s="353">
        <f t="shared" si="79"/>
        <v>0</v>
      </c>
      <c r="U266" s="70">
        <v>11</v>
      </c>
      <c r="V266" s="20">
        <f t="shared" ref="V266:V290" si="81">N266</f>
        <v>0</v>
      </c>
      <c r="W266" s="52">
        <f>X266-U266+V266</f>
        <v>0</v>
      </c>
      <c r="X266" s="70">
        <v>11</v>
      </c>
      <c r="Y266" s="20"/>
      <c r="Z266" s="20"/>
      <c r="AA266" s="20"/>
      <c r="AB266" s="417"/>
      <c r="AC266" s="200"/>
      <c r="AD266" s="160"/>
      <c r="AE266" s="163"/>
      <c r="AF266" s="171"/>
      <c r="AG266" s="192">
        <v>5.9</v>
      </c>
      <c r="AH266" s="128"/>
      <c r="AI266" s="113" t="s">
        <v>417</v>
      </c>
      <c r="AJ266" s="185">
        <f>X266*AD266</f>
        <v>0</v>
      </c>
      <c r="AK266" s="10"/>
    </row>
    <row r="267" spans="2:38" ht="26.25" hidden="1" customHeight="1" x14ac:dyDescent="0.25">
      <c r="B267" s="14"/>
      <c r="C267" s="6" t="s">
        <v>18</v>
      </c>
      <c r="D267" s="23" t="s">
        <v>40</v>
      </c>
      <c r="E267" s="87" t="s">
        <v>514</v>
      </c>
      <c r="F267" s="386">
        <v>1126</v>
      </c>
      <c r="G267" s="48"/>
      <c r="H267" s="39"/>
      <c r="I267" s="309">
        <v>0</v>
      </c>
      <c r="J267" s="39">
        <f t="shared" si="80"/>
        <v>0</v>
      </c>
      <c r="K267" s="309">
        <f>R267/1.4</f>
        <v>42</v>
      </c>
      <c r="L267" s="230">
        <f>K267*J562</f>
        <v>0</v>
      </c>
      <c r="M267" s="215"/>
      <c r="N267" s="140"/>
      <c r="O267" s="39"/>
      <c r="P267" s="309">
        <f>K267*O267</f>
        <v>0</v>
      </c>
      <c r="Q267" s="263" t="str">
        <f t="shared" si="74"/>
        <v>Д12х2</v>
      </c>
      <c r="R267" s="377">
        <f>S267*1.2</f>
        <v>58.8</v>
      </c>
      <c r="S267" s="322">
        <v>49</v>
      </c>
      <c r="T267" s="353">
        <f t="shared" si="79"/>
        <v>0</v>
      </c>
      <c r="U267" s="70">
        <v>100</v>
      </c>
      <c r="V267" s="20">
        <f t="shared" si="81"/>
        <v>0</v>
      </c>
      <c r="W267" s="52">
        <f>X267-U267+V267</f>
        <v>0</v>
      </c>
      <c r="X267" s="70">
        <v>100</v>
      </c>
      <c r="Y267" s="20"/>
      <c r="Z267" s="20"/>
      <c r="AA267" s="20"/>
      <c r="AB267" s="417"/>
      <c r="AC267" s="168"/>
      <c r="AD267" s="450">
        <v>2.4</v>
      </c>
      <c r="AE267" s="162"/>
      <c r="AF267" s="171"/>
      <c r="AG267" s="192">
        <v>24.2</v>
      </c>
      <c r="AH267" s="110"/>
      <c r="AI267" s="125"/>
      <c r="AJ267" s="185">
        <f>X267*AD267</f>
        <v>240</v>
      </c>
      <c r="AK267" s="435" t="s">
        <v>346</v>
      </c>
      <c r="AL267" s="476"/>
    </row>
    <row r="268" spans="2:38" ht="26.25" hidden="1" customHeight="1" x14ac:dyDescent="0.25">
      <c r="B268" s="11"/>
      <c r="C268" s="6" t="s">
        <v>18</v>
      </c>
      <c r="D268" s="23" t="s">
        <v>40</v>
      </c>
      <c r="E268" s="104" t="s">
        <v>214</v>
      </c>
      <c r="F268" s="210">
        <v>735</v>
      </c>
      <c r="G268" s="48" t="s">
        <v>0</v>
      </c>
      <c r="H268" s="39"/>
      <c r="I268" s="360"/>
      <c r="J268" s="39">
        <f t="shared" si="80"/>
        <v>0</v>
      </c>
      <c r="K268" s="309">
        <f>R268/1.4</f>
        <v>2.14</v>
      </c>
      <c r="L268" s="230">
        <f>K268*J563</f>
        <v>0</v>
      </c>
      <c r="M268" s="215" t="s">
        <v>627</v>
      </c>
      <c r="N268" s="140"/>
      <c r="O268" s="39"/>
      <c r="P268" s="360"/>
      <c r="Q268" s="51" t="str">
        <f t="shared" si="74"/>
        <v>Д11х5</v>
      </c>
      <c r="R268" s="377">
        <f>S268*1.2</f>
        <v>3</v>
      </c>
      <c r="S268" s="319">
        <v>2.5</v>
      </c>
      <c r="T268" s="353">
        <f t="shared" si="79"/>
        <v>0</v>
      </c>
      <c r="U268" s="70">
        <v>12861</v>
      </c>
      <c r="V268" s="20">
        <f t="shared" si="81"/>
        <v>0</v>
      </c>
      <c r="W268" s="52">
        <f>X268-U268+V268</f>
        <v>0</v>
      </c>
      <c r="X268" s="70">
        <f>532*17+80+40+109+3588</f>
        <v>12861</v>
      </c>
      <c r="Y268" s="20" t="s">
        <v>785</v>
      </c>
      <c r="Z268" s="20"/>
      <c r="AA268" s="20"/>
      <c r="AB268" s="417"/>
      <c r="AC268" s="451"/>
      <c r="AD268" s="450">
        <v>0.35</v>
      </c>
      <c r="AE268" s="162"/>
      <c r="AF268" s="171"/>
      <c r="AG268" s="176">
        <v>3.6</v>
      </c>
      <c r="AH268" s="120">
        <v>25</v>
      </c>
      <c r="AI268" s="125"/>
      <c r="AJ268" s="185">
        <f>X268*AD268</f>
        <v>4501.3999999999996</v>
      </c>
      <c r="AK268" s="435"/>
      <c r="AL268" s="476"/>
    </row>
    <row r="269" spans="2:38" ht="26.25" hidden="1" customHeight="1" x14ac:dyDescent="0.25">
      <c r="B269" s="11"/>
      <c r="C269" s="6" t="s">
        <v>18</v>
      </c>
      <c r="D269" s="23" t="s">
        <v>40</v>
      </c>
      <c r="E269" s="87" t="s">
        <v>663</v>
      </c>
      <c r="F269" s="210"/>
      <c r="G269" s="48"/>
      <c r="H269" s="39"/>
      <c r="I269" s="360"/>
      <c r="J269" s="39">
        <f t="shared" si="80"/>
        <v>0</v>
      </c>
      <c r="K269" s="309"/>
      <c r="L269" s="230"/>
      <c r="M269" s="215"/>
      <c r="N269" s="140"/>
      <c r="O269" s="39"/>
      <c r="P269" s="468"/>
      <c r="Q269" s="442" t="str">
        <f t="shared" si="74"/>
        <v>Д11,9х3,3</v>
      </c>
      <c r="R269" s="377"/>
      <c r="S269" s="326"/>
      <c r="T269" s="353">
        <f t="shared" si="79"/>
        <v>0</v>
      </c>
      <c r="U269" s="70">
        <v>6</v>
      </c>
      <c r="V269" s="20">
        <f t="shared" si="81"/>
        <v>0</v>
      </c>
      <c r="W269" s="52"/>
      <c r="X269" s="70">
        <v>6</v>
      </c>
      <c r="Y269" s="20"/>
      <c r="Z269" s="20"/>
      <c r="AA269" s="20"/>
      <c r="AB269" s="417"/>
      <c r="AC269" s="451"/>
      <c r="AD269" s="450"/>
      <c r="AE269" s="162"/>
      <c r="AF269" s="171"/>
      <c r="AG269" s="176"/>
      <c r="AH269" s="120"/>
      <c r="AI269" s="125"/>
      <c r="AJ269" s="185"/>
      <c r="AK269" s="435"/>
      <c r="AL269" s="476"/>
    </row>
    <row r="270" spans="2:38" ht="26.25" hidden="1" customHeight="1" x14ac:dyDescent="0.25">
      <c r="B270" s="19"/>
      <c r="C270" s="6" t="s">
        <v>18</v>
      </c>
      <c r="D270" s="23" t="s">
        <v>40</v>
      </c>
      <c r="E270" s="87" t="s">
        <v>290</v>
      </c>
      <c r="F270" s="385" t="s">
        <v>369</v>
      </c>
      <c r="G270" s="48"/>
      <c r="H270" s="39"/>
      <c r="I270" s="360">
        <v>0</v>
      </c>
      <c r="J270" s="39">
        <f t="shared" si="80"/>
        <v>0</v>
      </c>
      <c r="K270" s="309">
        <f t="shared" ref="K270:K280" si="82">R270/1.4</f>
        <v>2.23</v>
      </c>
      <c r="L270" s="230">
        <f>K270*J565</f>
        <v>0</v>
      </c>
      <c r="M270" s="215" t="s">
        <v>746</v>
      </c>
      <c r="N270" s="141"/>
      <c r="O270" s="39"/>
      <c r="P270" s="309">
        <f>K270*O270</f>
        <v>0</v>
      </c>
      <c r="Q270" s="51" t="str">
        <f t="shared" si="74"/>
        <v>Д12х3</v>
      </c>
      <c r="R270" s="377">
        <f t="shared" ref="R270:R285" si="83">S270*1.2</f>
        <v>3.12</v>
      </c>
      <c r="S270" s="326">
        <v>2.6</v>
      </c>
      <c r="T270" s="353">
        <f t="shared" si="79"/>
        <v>0</v>
      </c>
      <c r="U270" s="70">
        <v>235</v>
      </c>
      <c r="V270" s="20">
        <f t="shared" si="81"/>
        <v>0</v>
      </c>
      <c r="W270" s="52">
        <f t="shared" ref="W270:W286" si="84">X270-U270+V270</f>
        <v>0</v>
      </c>
      <c r="X270" s="70">
        <v>235</v>
      </c>
      <c r="Y270" s="20" t="s">
        <v>772</v>
      </c>
      <c r="Z270" s="20"/>
      <c r="AA270" s="20">
        <v>1420</v>
      </c>
      <c r="AB270" s="417"/>
      <c r="AC270" s="168"/>
      <c r="AD270" s="450">
        <v>0.18</v>
      </c>
      <c r="AE270" s="165"/>
      <c r="AF270" s="160"/>
      <c r="AG270" s="192">
        <v>2.54</v>
      </c>
      <c r="AH270" s="110"/>
      <c r="AI270" s="125">
        <v>2.6</v>
      </c>
      <c r="AJ270" s="185">
        <f>X270*AD270</f>
        <v>42.3</v>
      </c>
      <c r="AK270" s="437" t="s">
        <v>354</v>
      </c>
      <c r="AL270" s="476"/>
    </row>
    <row r="271" spans="2:38" ht="26.25" hidden="1" customHeight="1" x14ac:dyDescent="0.25">
      <c r="B271" s="19"/>
      <c r="C271" s="6" t="s">
        <v>18</v>
      </c>
      <c r="D271" s="23" t="s">
        <v>40</v>
      </c>
      <c r="E271" s="1" t="s">
        <v>513</v>
      </c>
      <c r="F271" s="385" t="s">
        <v>517</v>
      </c>
      <c r="G271" s="48" t="s">
        <v>0</v>
      </c>
      <c r="H271" s="39"/>
      <c r="I271" s="360">
        <v>0</v>
      </c>
      <c r="J271" s="39">
        <f t="shared" si="80"/>
        <v>0</v>
      </c>
      <c r="K271" s="309">
        <f t="shared" si="82"/>
        <v>7.59</v>
      </c>
      <c r="L271" s="230">
        <f>K271*J566</f>
        <v>0</v>
      </c>
      <c r="M271" s="370" t="s">
        <v>521</v>
      </c>
      <c r="N271" s="141"/>
      <c r="O271" s="39"/>
      <c r="P271" s="467">
        <f>K271*O271</f>
        <v>0</v>
      </c>
      <c r="Q271" s="262" t="str">
        <f t="shared" si="74"/>
        <v>д12х4 нжб1200-150</v>
      </c>
      <c r="R271" s="377">
        <f t="shared" si="83"/>
        <v>10.62</v>
      </c>
      <c r="S271" s="322">
        <v>8.85</v>
      </c>
      <c r="T271" s="353">
        <f t="shared" si="79"/>
        <v>0</v>
      </c>
      <c r="U271" s="70">
        <v>4</v>
      </c>
      <c r="V271" s="20">
        <f t="shared" si="81"/>
        <v>0</v>
      </c>
      <c r="W271" s="52">
        <f t="shared" si="84"/>
        <v>0</v>
      </c>
      <c r="X271" s="70">
        <v>4</v>
      </c>
      <c r="Y271" s="20"/>
      <c r="Z271" s="20"/>
      <c r="AA271" s="20"/>
      <c r="AB271" s="417"/>
      <c r="AC271" s="168"/>
      <c r="AD271" s="450"/>
      <c r="AE271" s="165"/>
      <c r="AF271" s="160"/>
      <c r="AG271" s="192">
        <v>3.7</v>
      </c>
      <c r="AH271" s="128"/>
      <c r="AI271" s="125">
        <v>2</v>
      </c>
      <c r="AJ271" s="185">
        <f>X271*AD271</f>
        <v>0</v>
      </c>
      <c r="AK271" s="4"/>
      <c r="AL271" s="476"/>
    </row>
    <row r="272" spans="2:38" ht="26.25" hidden="1" customHeight="1" x14ac:dyDescent="0.25">
      <c r="B272" s="19"/>
      <c r="C272" s="6" t="s">
        <v>18</v>
      </c>
      <c r="D272" s="23" t="s">
        <v>40</v>
      </c>
      <c r="E272" s="1" t="s">
        <v>766</v>
      </c>
      <c r="F272" s="385"/>
      <c r="G272" s="48"/>
      <c r="H272" s="39"/>
      <c r="I272" s="360"/>
      <c r="J272" s="39">
        <f t="shared" si="80"/>
        <v>0</v>
      </c>
      <c r="K272" s="309">
        <f t="shared" si="82"/>
        <v>0</v>
      </c>
      <c r="L272" s="230"/>
      <c r="M272" s="370"/>
      <c r="N272" s="141"/>
      <c r="O272" s="39"/>
      <c r="P272" s="360"/>
      <c r="Q272" s="262" t="str">
        <f t="shared" si="74"/>
        <v>Д12х12</v>
      </c>
      <c r="R272" s="377">
        <f t="shared" si="83"/>
        <v>0</v>
      </c>
      <c r="S272" s="322"/>
      <c r="T272" s="353">
        <f t="shared" si="79"/>
        <v>0</v>
      </c>
      <c r="U272" s="70">
        <v>111</v>
      </c>
      <c r="V272" s="20">
        <f t="shared" si="81"/>
        <v>0</v>
      </c>
      <c r="W272" s="52">
        <f t="shared" si="84"/>
        <v>0</v>
      </c>
      <c r="X272" s="70">
        <v>111</v>
      </c>
      <c r="Y272" s="20"/>
      <c r="Z272" s="20"/>
      <c r="AA272" s="20"/>
      <c r="AB272" s="417"/>
      <c r="AC272" s="168"/>
      <c r="AD272" s="450"/>
      <c r="AE272" s="165"/>
      <c r="AF272" s="160"/>
      <c r="AG272" s="192"/>
      <c r="AH272" s="128"/>
      <c r="AI272" s="125"/>
      <c r="AJ272" s="185"/>
      <c r="AK272" s="4"/>
      <c r="AL272" s="476"/>
    </row>
    <row r="273" spans="1:38" ht="26.25" hidden="1" customHeight="1" x14ac:dyDescent="0.25">
      <c r="B273" s="19"/>
      <c r="C273" s="6" t="s">
        <v>18</v>
      </c>
      <c r="D273" s="23" t="s">
        <v>40</v>
      </c>
      <c r="E273" s="1" t="s">
        <v>561</v>
      </c>
      <c r="F273" s="385"/>
      <c r="G273" s="48"/>
      <c r="H273" s="39"/>
      <c r="I273" s="360"/>
      <c r="J273" s="39">
        <f t="shared" si="80"/>
        <v>0</v>
      </c>
      <c r="K273" s="309">
        <f t="shared" si="82"/>
        <v>0</v>
      </c>
      <c r="L273" s="230"/>
      <c r="M273" s="370"/>
      <c r="N273" s="141"/>
      <c r="O273" s="39"/>
      <c r="P273" s="360"/>
      <c r="Q273" s="262" t="str">
        <f t="shared" si="74"/>
        <v>Д12х5</v>
      </c>
      <c r="R273" s="377">
        <f t="shared" si="83"/>
        <v>0</v>
      </c>
      <c r="S273" s="322"/>
      <c r="T273" s="353">
        <f t="shared" si="79"/>
        <v>0</v>
      </c>
      <c r="U273" s="70">
        <v>1</v>
      </c>
      <c r="V273" s="20">
        <f t="shared" si="81"/>
        <v>0</v>
      </c>
      <c r="W273" s="52">
        <f t="shared" si="84"/>
        <v>0</v>
      </c>
      <c r="X273" s="70">
        <v>1</v>
      </c>
      <c r="Y273" s="20"/>
      <c r="Z273" s="20"/>
      <c r="AA273" s="20"/>
      <c r="AB273" s="417"/>
      <c r="AC273" s="168"/>
      <c r="AD273" s="450"/>
      <c r="AE273" s="165"/>
      <c r="AF273" s="160"/>
      <c r="AG273" s="192"/>
      <c r="AH273" s="128"/>
      <c r="AI273" s="125"/>
      <c r="AJ273" s="185"/>
      <c r="AK273" s="4"/>
      <c r="AL273" s="476"/>
    </row>
    <row r="274" spans="1:38" ht="26.25" hidden="1" customHeight="1" x14ac:dyDescent="0.25">
      <c r="B274" s="19"/>
      <c r="C274" s="6" t="s">
        <v>18</v>
      </c>
      <c r="D274" s="23" t="s">
        <v>40</v>
      </c>
      <c r="E274" s="1" t="s">
        <v>562</v>
      </c>
      <c r="F274" s="385"/>
      <c r="G274" s="48"/>
      <c r="H274" s="39"/>
      <c r="I274" s="360"/>
      <c r="J274" s="39">
        <f t="shared" si="80"/>
        <v>0</v>
      </c>
      <c r="K274" s="309">
        <f t="shared" si="82"/>
        <v>0</v>
      </c>
      <c r="L274" s="230"/>
      <c r="M274" s="370"/>
      <c r="N274" s="141"/>
      <c r="O274" s="39"/>
      <c r="P274" s="468"/>
      <c r="Q274" s="264" t="str">
        <f t="shared" si="74"/>
        <v>Д12х25</v>
      </c>
      <c r="R274" s="377">
        <f t="shared" si="83"/>
        <v>0</v>
      </c>
      <c r="S274" s="322"/>
      <c r="T274" s="353">
        <f t="shared" si="79"/>
        <v>0</v>
      </c>
      <c r="U274" s="70">
        <v>10</v>
      </c>
      <c r="V274" s="20">
        <f t="shared" si="81"/>
        <v>0</v>
      </c>
      <c r="W274" s="52">
        <f t="shared" si="84"/>
        <v>0</v>
      </c>
      <c r="X274" s="70">
        <v>10</v>
      </c>
      <c r="Y274" s="20"/>
      <c r="Z274" s="20"/>
      <c r="AA274" s="20"/>
      <c r="AB274" s="417"/>
      <c r="AC274" s="168"/>
      <c r="AD274" s="450"/>
      <c r="AE274" s="165"/>
      <c r="AF274" s="160"/>
      <c r="AG274" s="192"/>
      <c r="AH274" s="128"/>
      <c r="AI274" s="125"/>
      <c r="AJ274" s="185"/>
      <c r="AK274" s="4"/>
      <c r="AL274" s="476"/>
    </row>
    <row r="275" spans="1:38" ht="26.25" hidden="1" customHeight="1" x14ac:dyDescent="0.25">
      <c r="B275" s="19"/>
      <c r="C275" s="6" t="s">
        <v>18</v>
      </c>
      <c r="D275" s="23" t="s">
        <v>40</v>
      </c>
      <c r="E275" s="463" t="s">
        <v>729</v>
      </c>
      <c r="F275" s="385" t="s">
        <v>733</v>
      </c>
      <c r="G275" s="48"/>
      <c r="H275" s="39"/>
      <c r="I275" s="360"/>
      <c r="J275" s="39">
        <f t="shared" si="80"/>
        <v>0</v>
      </c>
      <c r="K275" s="309">
        <f t="shared" si="82"/>
        <v>5.57</v>
      </c>
      <c r="L275" s="230"/>
      <c r="M275" s="215" t="s">
        <v>747</v>
      </c>
      <c r="N275" s="141"/>
      <c r="O275" s="39"/>
      <c r="P275" s="309"/>
      <c r="Q275" s="51" t="str">
        <f t="shared" si="74"/>
        <v>Д13,5х4 б/п</v>
      </c>
      <c r="R275" s="377">
        <f t="shared" si="83"/>
        <v>7.8</v>
      </c>
      <c r="S275" s="322">
        <v>6.5</v>
      </c>
      <c r="T275" s="353">
        <f t="shared" si="79"/>
        <v>0</v>
      </c>
      <c r="U275" s="70">
        <v>8</v>
      </c>
      <c r="V275" s="20">
        <f t="shared" si="81"/>
        <v>0</v>
      </c>
      <c r="W275" s="52">
        <f t="shared" si="84"/>
        <v>0</v>
      </c>
      <c r="X275" s="70">
        <v>8</v>
      </c>
      <c r="Y275" s="20"/>
      <c r="Z275" s="20"/>
      <c r="AA275" s="20"/>
      <c r="AB275" s="417"/>
      <c r="AC275" s="168"/>
      <c r="AD275" s="450"/>
      <c r="AE275" s="165"/>
      <c r="AF275" s="160"/>
      <c r="AG275" s="192"/>
      <c r="AH275" s="128"/>
      <c r="AI275" s="125"/>
      <c r="AJ275" s="185"/>
      <c r="AK275" s="4"/>
      <c r="AL275" s="476"/>
    </row>
    <row r="276" spans="1:38" s="4" customFormat="1" ht="33" hidden="1" customHeight="1" x14ac:dyDescent="0.3">
      <c r="A276" s="10"/>
      <c r="B276" s="19"/>
      <c r="C276" s="6" t="s">
        <v>18</v>
      </c>
      <c r="D276" s="23" t="s">
        <v>40</v>
      </c>
      <c r="E276" s="87" t="s">
        <v>765</v>
      </c>
      <c r="F276" s="385"/>
      <c r="G276" s="48"/>
      <c r="H276" s="39"/>
      <c r="I276" s="309">
        <v>0</v>
      </c>
      <c r="J276" s="39">
        <f t="shared" si="80"/>
        <v>0</v>
      </c>
      <c r="K276" s="309">
        <f t="shared" si="82"/>
        <v>4.84</v>
      </c>
      <c r="L276" s="230"/>
      <c r="M276" s="250" t="s">
        <v>681</v>
      </c>
      <c r="N276" s="141"/>
      <c r="O276" s="503"/>
      <c r="P276" s="490">
        <f>K276*O276</f>
        <v>0</v>
      </c>
      <c r="Q276" s="262" t="str">
        <f t="shared" si="74"/>
        <v>Д14,5х4(Химволокно)</v>
      </c>
      <c r="R276" s="377">
        <f t="shared" si="83"/>
        <v>6.78</v>
      </c>
      <c r="S276" s="319">
        <v>5.65</v>
      </c>
      <c r="T276" s="353">
        <f t="shared" si="79"/>
        <v>0</v>
      </c>
      <c r="U276" s="70">
        <v>42</v>
      </c>
      <c r="V276" s="20">
        <f t="shared" si="81"/>
        <v>0</v>
      </c>
      <c r="W276" s="52">
        <f t="shared" si="84"/>
        <v>0</v>
      </c>
      <c r="X276" s="70">
        <v>42</v>
      </c>
      <c r="Y276" s="20" t="s">
        <v>775</v>
      </c>
      <c r="Z276" s="20"/>
      <c r="AA276" s="20"/>
      <c r="AB276" s="417"/>
      <c r="AC276" s="200">
        <v>10</v>
      </c>
      <c r="AD276" s="160">
        <v>2.2999999999999998</v>
      </c>
      <c r="AE276" s="165" t="s">
        <v>399</v>
      </c>
      <c r="AF276" s="160"/>
      <c r="AG276" s="192"/>
      <c r="AH276" s="128"/>
      <c r="AI276" s="113"/>
      <c r="AJ276" s="185"/>
    </row>
    <row r="277" spans="1:38" s="4" customFormat="1" ht="26.25" hidden="1" customHeight="1" x14ac:dyDescent="0.3">
      <c r="A277" s="10"/>
      <c r="B277" s="19"/>
      <c r="C277" s="6" t="s">
        <v>18</v>
      </c>
      <c r="D277" s="23" t="s">
        <v>40</v>
      </c>
      <c r="E277" s="463" t="s">
        <v>556</v>
      </c>
      <c r="F277" s="398">
        <v>1334</v>
      </c>
      <c r="G277" s="48"/>
      <c r="H277" s="39"/>
      <c r="I277" s="360">
        <v>0</v>
      </c>
      <c r="J277" s="39">
        <f t="shared" si="80"/>
        <v>0</v>
      </c>
      <c r="K277" s="309">
        <f t="shared" si="82"/>
        <v>8.5</v>
      </c>
      <c r="L277" s="230"/>
      <c r="M277" s="155" t="s">
        <v>682</v>
      </c>
      <c r="N277" s="141"/>
      <c r="O277" s="547"/>
      <c r="P277" s="497">
        <f>K277*O277</f>
        <v>0</v>
      </c>
      <c r="Q277" s="263" t="str">
        <f t="shared" si="74"/>
        <v>магнит в оправе Д20+-0,5</v>
      </c>
      <c r="R277" s="306">
        <f t="shared" si="83"/>
        <v>11.9</v>
      </c>
      <c r="S277" s="319">
        <v>9.92</v>
      </c>
      <c r="T277" s="353">
        <f t="shared" si="79"/>
        <v>0</v>
      </c>
      <c r="U277" s="20"/>
      <c r="V277" s="20">
        <f t="shared" si="81"/>
        <v>0</v>
      </c>
      <c r="W277" s="52">
        <f t="shared" si="84"/>
        <v>0</v>
      </c>
      <c r="X277" s="20"/>
      <c r="Y277" s="20"/>
      <c r="Z277" s="20"/>
      <c r="AA277" s="20"/>
      <c r="AB277" s="417"/>
      <c r="AC277" s="200"/>
      <c r="AD277" s="160"/>
      <c r="AE277" s="165"/>
      <c r="AF277" s="160"/>
      <c r="AG277" s="192"/>
      <c r="AH277" s="128"/>
      <c r="AI277" s="113"/>
      <c r="AJ277" s="185"/>
    </row>
    <row r="278" spans="1:38" ht="32.25" hidden="1" customHeight="1" x14ac:dyDescent="0.3">
      <c r="B278" s="19"/>
      <c r="C278" s="6" t="s">
        <v>18</v>
      </c>
      <c r="D278" s="23" t="s">
        <v>40</v>
      </c>
      <c r="E278" s="87" t="s">
        <v>636</v>
      </c>
      <c r="F278" s="398">
        <v>1371</v>
      </c>
      <c r="G278" s="48"/>
      <c r="H278" s="39"/>
      <c r="I278" s="360"/>
      <c r="J278" s="39">
        <f t="shared" si="80"/>
        <v>0</v>
      </c>
      <c r="K278" s="309">
        <f t="shared" si="82"/>
        <v>8.14</v>
      </c>
      <c r="L278" s="230"/>
      <c r="M278" s="219" t="s">
        <v>683</v>
      </c>
      <c r="N278" s="141"/>
      <c r="O278" s="39"/>
      <c r="P278" s="309"/>
      <c r="Q278" s="51" t="str">
        <f t="shared" si="74"/>
        <v>Д25х5</v>
      </c>
      <c r="R278" s="306">
        <f t="shared" si="83"/>
        <v>11.4</v>
      </c>
      <c r="S278" s="326">
        <v>9.5</v>
      </c>
      <c r="T278" s="353">
        <f t="shared" si="79"/>
        <v>0</v>
      </c>
      <c r="U278" s="20"/>
      <c r="V278" s="20">
        <f t="shared" si="81"/>
        <v>0</v>
      </c>
      <c r="W278" s="52">
        <f t="shared" si="84"/>
        <v>0</v>
      </c>
      <c r="X278" s="20"/>
      <c r="Y278" s="20"/>
      <c r="Z278" s="20"/>
      <c r="AA278" s="20"/>
      <c r="AB278" s="417"/>
      <c r="AC278" s="168"/>
      <c r="AD278" s="450"/>
      <c r="AE278" s="165"/>
      <c r="AF278" s="160"/>
      <c r="AG278" s="192"/>
      <c r="AH278" s="128"/>
      <c r="AI278" s="113"/>
      <c r="AJ278" s="185"/>
      <c r="AK278" s="4"/>
      <c r="AL278" s="477"/>
    </row>
    <row r="279" spans="1:38" ht="26.25" hidden="1" customHeight="1" x14ac:dyDescent="0.25">
      <c r="B279" s="15"/>
      <c r="C279" s="6" t="s">
        <v>18</v>
      </c>
      <c r="D279" s="23" t="s">
        <v>40</v>
      </c>
      <c r="E279" s="87" t="s">
        <v>869</v>
      </c>
      <c r="F279" s="386">
        <v>1253</v>
      </c>
      <c r="G279" s="12" t="s">
        <v>0</v>
      </c>
      <c r="H279" s="39">
        <v>0</v>
      </c>
      <c r="I279" s="309">
        <v>0</v>
      </c>
      <c r="J279" s="39">
        <f t="shared" si="80"/>
        <v>0</v>
      </c>
      <c r="K279" s="309">
        <f t="shared" si="82"/>
        <v>2.31</v>
      </c>
      <c r="L279" s="230">
        <f>K279*J574</f>
        <v>0</v>
      </c>
      <c r="M279" s="99" t="s">
        <v>171</v>
      </c>
      <c r="N279" s="140"/>
      <c r="O279" s="489">
        <v>0</v>
      </c>
      <c r="P279" s="490">
        <f t="shared" ref="P279:P285" si="85">K279*O279</f>
        <v>0</v>
      </c>
      <c r="Q279" s="264" t="str">
        <f t="shared" si="74"/>
        <v>Д20х10</v>
      </c>
      <c r="R279" s="377">
        <f t="shared" si="83"/>
        <v>3.23</v>
      </c>
      <c r="S279" s="326">
        <v>2.69</v>
      </c>
      <c r="T279" s="353">
        <f t="shared" si="79"/>
        <v>0</v>
      </c>
      <c r="U279" s="18"/>
      <c r="V279" s="20">
        <f t="shared" si="81"/>
        <v>0</v>
      </c>
      <c r="W279" s="52">
        <f t="shared" si="84"/>
        <v>37</v>
      </c>
      <c r="X279" s="147">
        <v>37</v>
      </c>
      <c r="Y279" s="18"/>
      <c r="Z279" s="18"/>
      <c r="AA279" s="18"/>
      <c r="AB279" s="418"/>
      <c r="AC279" s="168"/>
      <c r="AD279" s="450">
        <v>0.89</v>
      </c>
      <c r="AE279" s="165"/>
      <c r="AF279" s="160"/>
      <c r="AG279" s="192">
        <v>9.5299999999999994</v>
      </c>
      <c r="AH279" s="110"/>
      <c r="AI279" s="125">
        <v>10</v>
      </c>
      <c r="AJ279" s="185">
        <f>X279*AD279</f>
        <v>32.9</v>
      </c>
      <c r="AK279" s="435"/>
      <c r="AL279" s="476"/>
    </row>
    <row r="280" spans="1:38" ht="26.25" hidden="1" customHeight="1" x14ac:dyDescent="0.25">
      <c r="B280" s="11"/>
      <c r="C280" s="6" t="s">
        <v>18</v>
      </c>
      <c r="D280" s="23" t="s">
        <v>40</v>
      </c>
      <c r="E280" s="107" t="s">
        <v>583</v>
      </c>
      <c r="F280" s="210">
        <v>1359</v>
      </c>
      <c r="G280" s="14" t="s">
        <v>0</v>
      </c>
      <c r="H280" s="39"/>
      <c r="I280" s="360">
        <v>0</v>
      </c>
      <c r="J280" s="39">
        <f t="shared" si="80"/>
        <v>0</v>
      </c>
      <c r="K280" s="309">
        <f t="shared" si="82"/>
        <v>6.77</v>
      </c>
      <c r="L280" s="230">
        <f>K280*J575</f>
        <v>0</v>
      </c>
      <c r="M280" s="94" t="s">
        <v>608</v>
      </c>
      <c r="N280" s="140"/>
      <c r="O280" s="39"/>
      <c r="P280" s="360">
        <f t="shared" si="85"/>
        <v>0</v>
      </c>
      <c r="Q280" s="51" t="str">
        <f t="shared" si="74"/>
        <v>30М.14.2990.011(Д19,8х6)</v>
      </c>
      <c r="R280" s="377">
        <f t="shared" si="83"/>
        <v>9.48</v>
      </c>
      <c r="S280" s="324">
        <v>7.9</v>
      </c>
      <c r="T280" s="353">
        <f t="shared" si="79"/>
        <v>0</v>
      </c>
      <c r="U280" s="430">
        <v>49</v>
      </c>
      <c r="V280" s="20">
        <f t="shared" si="81"/>
        <v>0</v>
      </c>
      <c r="W280" s="52">
        <f t="shared" si="84"/>
        <v>0</v>
      </c>
      <c r="X280" s="430">
        <v>49</v>
      </c>
      <c r="Y280" s="18" t="s">
        <v>782</v>
      </c>
      <c r="Z280" s="18"/>
      <c r="AA280" s="18">
        <f>21+368+500+600+2</f>
        <v>1491</v>
      </c>
      <c r="AB280" s="418"/>
      <c r="AC280" s="168"/>
      <c r="AD280" s="450" t="s">
        <v>402</v>
      </c>
      <c r="AE280" s="348" t="s">
        <v>400</v>
      </c>
      <c r="AF280" s="160">
        <v>1.25</v>
      </c>
      <c r="AG280" s="192">
        <v>14</v>
      </c>
      <c r="AH280" s="110"/>
      <c r="AI280" s="125">
        <v>10</v>
      </c>
      <c r="AJ280" s="185">
        <f>AF280*X280</f>
        <v>61.3</v>
      </c>
      <c r="AK280" s="435"/>
      <c r="AL280" s="476"/>
    </row>
    <row r="281" spans="1:38" ht="26.25" hidden="1" customHeight="1" x14ac:dyDescent="0.25">
      <c r="B281" s="11"/>
      <c r="C281" s="6" t="s">
        <v>18</v>
      </c>
      <c r="D281" s="23" t="s">
        <v>40</v>
      </c>
      <c r="E281" s="107" t="s">
        <v>315</v>
      </c>
      <c r="F281" s="210"/>
      <c r="G281" s="14"/>
      <c r="H281" s="39"/>
      <c r="I281" s="309">
        <v>0</v>
      </c>
      <c r="J281" s="39">
        <f t="shared" si="80"/>
        <v>0</v>
      </c>
      <c r="K281" s="309"/>
      <c r="L281" s="230"/>
      <c r="M281" s="94"/>
      <c r="N281" s="140"/>
      <c r="O281" s="513"/>
      <c r="P281" s="497">
        <f t="shared" si="85"/>
        <v>0</v>
      </c>
      <c r="Q281" s="264" t="str">
        <f t="shared" si="74"/>
        <v>Д20х3</v>
      </c>
      <c r="R281" s="377">
        <f t="shared" si="83"/>
        <v>0</v>
      </c>
      <c r="S281" s="324">
        <v>0</v>
      </c>
      <c r="T281" s="353">
        <f t="shared" si="79"/>
        <v>0</v>
      </c>
      <c r="U281" s="70">
        <v>10</v>
      </c>
      <c r="V281" s="20">
        <f t="shared" si="81"/>
        <v>0</v>
      </c>
      <c r="W281" s="52">
        <f t="shared" si="84"/>
        <v>0</v>
      </c>
      <c r="X281" s="70">
        <v>10</v>
      </c>
      <c r="Y281" s="20"/>
      <c r="Z281" s="20"/>
      <c r="AA281" s="20"/>
      <c r="AB281" s="417"/>
      <c r="AC281" s="168"/>
      <c r="AD281" s="450">
        <v>0.52</v>
      </c>
      <c r="AE281" s="165"/>
      <c r="AF281" s="160"/>
      <c r="AG281" s="192">
        <v>7.1</v>
      </c>
      <c r="AH281" s="110"/>
      <c r="AI281" s="125">
        <v>8.5</v>
      </c>
      <c r="AJ281" s="185">
        <f>X281*AD281</f>
        <v>5.2</v>
      </c>
      <c r="AK281" s="435"/>
      <c r="AL281" s="476"/>
    </row>
    <row r="282" spans="1:38" ht="26.25" customHeight="1" x14ac:dyDescent="0.25">
      <c r="B282" s="11">
        <v>94</v>
      </c>
      <c r="C282" s="6" t="s">
        <v>18</v>
      </c>
      <c r="D282" s="23" t="s">
        <v>40</v>
      </c>
      <c r="E282" s="1" t="s">
        <v>776</v>
      </c>
      <c r="F282" s="210">
        <v>1126</v>
      </c>
      <c r="G282" s="12" t="s">
        <v>0</v>
      </c>
      <c r="H282" s="39">
        <v>2</v>
      </c>
      <c r="I282" s="360">
        <v>8</v>
      </c>
      <c r="J282" s="39">
        <f t="shared" si="80"/>
        <v>8</v>
      </c>
      <c r="K282" s="309">
        <v>4</v>
      </c>
      <c r="L282" s="230"/>
      <c r="M282" s="296"/>
      <c r="N282" s="140">
        <v>10</v>
      </c>
      <c r="O282" s="39"/>
      <c r="P282" s="309">
        <f t="shared" si="85"/>
        <v>0</v>
      </c>
      <c r="Q282" s="51" t="str">
        <f t="shared" si="74"/>
        <v>0861-8569.05 (Д20х25 с резьбой)</v>
      </c>
      <c r="R282" s="377">
        <f t="shared" si="83"/>
        <v>71.760000000000005</v>
      </c>
      <c r="S282" s="331">
        <v>59.8</v>
      </c>
      <c r="T282" s="353">
        <f t="shared" si="79"/>
        <v>478.4</v>
      </c>
      <c r="U282" s="70"/>
      <c r="V282" s="20">
        <f t="shared" si="81"/>
        <v>10</v>
      </c>
      <c r="W282" s="52">
        <f t="shared" si="84"/>
        <v>10</v>
      </c>
      <c r="X282" s="148"/>
      <c r="Y282" s="20"/>
      <c r="Z282" s="20"/>
      <c r="AA282" s="20"/>
      <c r="AB282" s="417"/>
      <c r="AC282" s="200"/>
      <c r="AD282" s="160">
        <v>1.42</v>
      </c>
      <c r="AE282" s="165"/>
      <c r="AF282" s="160"/>
      <c r="AG282" s="192">
        <v>14.2</v>
      </c>
      <c r="AH282" s="128"/>
      <c r="AI282" s="129"/>
      <c r="AJ282" s="185">
        <f>X282*AD282</f>
        <v>0</v>
      </c>
      <c r="AK282" s="10"/>
    </row>
    <row r="283" spans="1:38" ht="31.5" hidden="1" customHeight="1" x14ac:dyDescent="0.25">
      <c r="B283" s="11"/>
      <c r="C283" s="6" t="s">
        <v>18</v>
      </c>
      <c r="D283" s="23" t="s">
        <v>40</v>
      </c>
      <c r="E283" s="107" t="s">
        <v>586</v>
      </c>
      <c r="F283" s="210"/>
      <c r="G283" s="13"/>
      <c r="H283" s="39"/>
      <c r="I283" s="309">
        <v>0</v>
      </c>
      <c r="J283" s="39">
        <f t="shared" si="80"/>
        <v>0</v>
      </c>
      <c r="K283" s="309">
        <f>R283/1.4</f>
        <v>4.16</v>
      </c>
      <c r="L283" s="230"/>
      <c r="M283" s="94"/>
      <c r="N283" s="140"/>
      <c r="O283" s="489"/>
      <c r="P283" s="490">
        <f t="shared" si="85"/>
        <v>0</v>
      </c>
      <c r="Q283" s="262" t="str">
        <f t="shared" si="74"/>
        <v>Д22х25((сост.из 3 штук)</v>
      </c>
      <c r="R283" s="377">
        <f t="shared" si="83"/>
        <v>5.82</v>
      </c>
      <c r="S283" s="323">
        <v>4.8499999999999996</v>
      </c>
      <c r="T283" s="353">
        <f t="shared" si="79"/>
        <v>0</v>
      </c>
      <c r="U283" s="70">
        <v>12</v>
      </c>
      <c r="V283" s="20">
        <f t="shared" si="81"/>
        <v>0</v>
      </c>
      <c r="W283" s="52">
        <f t="shared" si="84"/>
        <v>0</v>
      </c>
      <c r="X283" s="70">
        <v>12</v>
      </c>
      <c r="Y283" s="20" t="s">
        <v>786</v>
      </c>
      <c r="Z283" s="20"/>
      <c r="AA283" s="20"/>
      <c r="AB283" s="417"/>
      <c r="AC283" s="168"/>
      <c r="AD283" s="450"/>
      <c r="AE283" s="165"/>
      <c r="AF283" s="160"/>
      <c r="AG283" s="192"/>
      <c r="AH283" s="128"/>
      <c r="AI283" s="129"/>
      <c r="AJ283" s="185"/>
      <c r="AK283" s="10"/>
      <c r="AL283" s="476"/>
    </row>
    <row r="284" spans="1:38" ht="34.5" hidden="1" customHeight="1" x14ac:dyDescent="0.25">
      <c r="B284" s="11"/>
      <c r="C284" s="6" t="s">
        <v>18</v>
      </c>
      <c r="D284" s="23" t="s">
        <v>40</v>
      </c>
      <c r="E284" s="107" t="s">
        <v>659</v>
      </c>
      <c r="F284" s="210"/>
      <c r="G284" s="13"/>
      <c r="H284" s="39"/>
      <c r="I284" s="309">
        <v>0</v>
      </c>
      <c r="J284" s="39">
        <f t="shared" si="80"/>
        <v>0</v>
      </c>
      <c r="K284" s="309">
        <f>R284/1.4</f>
        <v>3.17</v>
      </c>
      <c r="L284" s="230"/>
      <c r="M284" s="156" t="s">
        <v>477</v>
      </c>
      <c r="N284" s="140"/>
      <c r="O284" s="39"/>
      <c r="P284" s="360">
        <f t="shared" si="85"/>
        <v>0</v>
      </c>
      <c r="Q284" s="260" t="str">
        <f t="shared" si="74"/>
        <v>П50х23х52 (ИНТЕГРАЛ)</v>
      </c>
      <c r="R284" s="377">
        <f t="shared" si="83"/>
        <v>4.4400000000000004</v>
      </c>
      <c r="S284" s="323">
        <v>3.7</v>
      </c>
      <c r="T284" s="353">
        <f t="shared" si="79"/>
        <v>0</v>
      </c>
      <c r="U284" s="70">
        <v>6</v>
      </c>
      <c r="V284" s="20">
        <f t="shared" si="81"/>
        <v>0</v>
      </c>
      <c r="W284" s="52">
        <f t="shared" si="84"/>
        <v>0</v>
      </c>
      <c r="X284" s="70">
        <v>6</v>
      </c>
      <c r="Y284" s="20" t="s">
        <v>786</v>
      </c>
      <c r="Z284" s="20"/>
      <c r="AA284" s="20"/>
      <c r="AB284" s="417"/>
      <c r="AC284" s="168"/>
      <c r="AD284" s="450"/>
      <c r="AE284" s="165"/>
      <c r="AF284" s="160"/>
      <c r="AG284" s="192"/>
      <c r="AH284" s="128"/>
      <c r="AI284" s="129"/>
      <c r="AJ284" s="185"/>
      <c r="AK284" s="10"/>
      <c r="AL284" s="476"/>
    </row>
    <row r="285" spans="1:38" ht="26.25" hidden="1" customHeight="1" x14ac:dyDescent="0.25">
      <c r="B285" s="11"/>
      <c r="C285" s="6" t="s">
        <v>18</v>
      </c>
      <c r="D285" s="23" t="s">
        <v>40</v>
      </c>
      <c r="E285" s="107" t="s">
        <v>441</v>
      </c>
      <c r="F285" s="210"/>
      <c r="G285" s="13"/>
      <c r="H285" s="39"/>
      <c r="I285" s="309">
        <v>0</v>
      </c>
      <c r="J285" s="39">
        <f t="shared" si="80"/>
        <v>0</v>
      </c>
      <c r="K285" s="309"/>
      <c r="L285" s="230"/>
      <c r="M285" s="94"/>
      <c r="N285" s="140"/>
      <c r="O285" s="39"/>
      <c r="P285" s="309">
        <f t="shared" si="85"/>
        <v>0</v>
      </c>
      <c r="Q285" s="235" t="str">
        <f t="shared" si="74"/>
        <v>Д25х15</v>
      </c>
      <c r="R285" s="377">
        <f t="shared" si="83"/>
        <v>0</v>
      </c>
      <c r="S285" s="331">
        <v>0</v>
      </c>
      <c r="T285" s="353">
        <f t="shared" si="79"/>
        <v>0</v>
      </c>
      <c r="U285" s="70">
        <v>3</v>
      </c>
      <c r="V285" s="20">
        <f t="shared" si="81"/>
        <v>0</v>
      </c>
      <c r="W285" s="52">
        <f t="shared" si="84"/>
        <v>0</v>
      </c>
      <c r="X285" s="70">
        <v>3</v>
      </c>
      <c r="Y285" s="20"/>
      <c r="Z285" s="20"/>
      <c r="AA285" s="20"/>
      <c r="AB285" s="417"/>
      <c r="AC285" s="168"/>
      <c r="AD285" s="450"/>
      <c r="AE285" s="165"/>
      <c r="AF285" s="160"/>
      <c r="AG285" s="192"/>
      <c r="AH285" s="128"/>
      <c r="AI285" s="129"/>
      <c r="AJ285" s="185"/>
      <c r="AK285" s="10"/>
      <c r="AL285" s="476"/>
    </row>
    <row r="286" spans="1:38" ht="26.25" hidden="1" customHeight="1" x14ac:dyDescent="0.25">
      <c r="B286" s="11"/>
      <c r="C286" s="6" t="s">
        <v>18</v>
      </c>
      <c r="D286" s="23" t="s">
        <v>40</v>
      </c>
      <c r="E286" s="107" t="s">
        <v>636</v>
      </c>
      <c r="F286" s="210"/>
      <c r="G286" s="13"/>
      <c r="H286" s="39"/>
      <c r="I286" s="309"/>
      <c r="J286" s="39">
        <f t="shared" si="80"/>
        <v>0</v>
      </c>
      <c r="K286" s="309"/>
      <c r="L286" s="230"/>
      <c r="M286" s="94"/>
      <c r="N286" s="140"/>
      <c r="O286" s="39"/>
      <c r="P286" s="309"/>
      <c r="Q286" s="235" t="str">
        <f t="shared" si="74"/>
        <v>Д25х5</v>
      </c>
      <c r="R286" s="377"/>
      <c r="S286" s="331"/>
      <c r="T286" s="353">
        <f t="shared" si="79"/>
        <v>0</v>
      </c>
      <c r="U286" s="70">
        <v>20</v>
      </c>
      <c r="V286" s="20">
        <f t="shared" si="81"/>
        <v>0</v>
      </c>
      <c r="W286" s="52">
        <f t="shared" si="84"/>
        <v>0</v>
      </c>
      <c r="X286" s="70">
        <v>20</v>
      </c>
      <c r="Y286" s="20"/>
      <c r="Z286" s="20"/>
      <c r="AA286" s="20"/>
      <c r="AB286" s="417"/>
      <c r="AC286" s="168"/>
      <c r="AD286" s="450"/>
      <c r="AE286" s="165"/>
      <c r="AF286" s="160"/>
      <c r="AG286" s="192"/>
      <c r="AH286" s="128"/>
      <c r="AI286" s="129"/>
      <c r="AJ286" s="185"/>
      <c r="AK286" s="10"/>
      <c r="AL286" s="476"/>
    </row>
    <row r="287" spans="1:38" ht="31.5" hidden="1" customHeight="1" x14ac:dyDescent="0.25">
      <c r="B287" s="11"/>
      <c r="C287" s="6" t="s">
        <v>18</v>
      </c>
      <c r="D287" s="23" t="s">
        <v>40</v>
      </c>
      <c r="E287" s="107" t="s">
        <v>648</v>
      </c>
      <c r="F287" s="210"/>
      <c r="G287" s="13"/>
      <c r="H287" s="39"/>
      <c r="I287" s="309"/>
      <c r="J287" s="39">
        <f t="shared" si="80"/>
        <v>0</v>
      </c>
      <c r="K287" s="309"/>
      <c r="L287" s="230"/>
      <c r="M287" s="94"/>
      <c r="N287" s="140"/>
      <c r="O287" s="39"/>
      <c r="P287" s="309"/>
      <c r="Q287" s="235" t="str">
        <f t="shared" si="74"/>
        <v>Д28х5</v>
      </c>
      <c r="R287" s="377"/>
      <c r="S287" s="331"/>
      <c r="T287" s="353">
        <f t="shared" si="79"/>
        <v>0</v>
      </c>
      <c r="U287" s="70"/>
      <c r="V287" s="20">
        <f t="shared" si="81"/>
        <v>0</v>
      </c>
      <c r="W287" s="52"/>
      <c r="X287" s="70"/>
      <c r="Y287" s="20" t="s">
        <v>787</v>
      </c>
      <c r="Z287" s="20"/>
      <c r="AA287" s="20"/>
      <c r="AB287" s="417"/>
      <c r="AC287" s="168">
        <v>2000</v>
      </c>
      <c r="AD287" s="450">
        <v>0.65</v>
      </c>
      <c r="AE287" s="501" t="s">
        <v>649</v>
      </c>
      <c r="AF287" s="160"/>
      <c r="AG287" s="192"/>
      <c r="AH287" s="128"/>
      <c r="AI287" s="129"/>
      <c r="AJ287" s="185"/>
      <c r="AK287" s="10"/>
      <c r="AL287" s="476"/>
    </row>
    <row r="288" spans="1:38" ht="26.25" hidden="1" customHeight="1" x14ac:dyDescent="0.25">
      <c r="B288" s="15"/>
      <c r="C288" s="6" t="s">
        <v>18</v>
      </c>
      <c r="D288" s="23" t="s">
        <v>40</v>
      </c>
      <c r="E288" s="104" t="s">
        <v>455</v>
      </c>
      <c r="F288" s="393" t="s">
        <v>189</v>
      </c>
      <c r="G288" s="19" t="s">
        <v>0</v>
      </c>
      <c r="H288" s="39"/>
      <c r="I288" s="309">
        <v>0</v>
      </c>
      <c r="J288" s="39">
        <f t="shared" si="80"/>
        <v>0</v>
      </c>
      <c r="K288" s="309">
        <f>R288/1.4</f>
        <v>12.86</v>
      </c>
      <c r="L288" s="230">
        <f>K288*J583</f>
        <v>0</v>
      </c>
      <c r="M288" s="117" t="s">
        <v>262</v>
      </c>
      <c r="N288" s="140"/>
      <c r="O288" s="39"/>
      <c r="P288" s="309">
        <f>K288*O288</f>
        <v>0</v>
      </c>
      <c r="Q288" s="235" t="str">
        <f t="shared" si="74"/>
        <v>Д30х10</v>
      </c>
      <c r="R288" s="377">
        <f>S288*1.2</f>
        <v>18</v>
      </c>
      <c r="S288" s="339">
        <v>15</v>
      </c>
      <c r="T288" s="353">
        <f t="shared" si="79"/>
        <v>0</v>
      </c>
      <c r="U288" s="430"/>
      <c r="V288" s="20">
        <f t="shared" si="81"/>
        <v>0</v>
      </c>
      <c r="W288" s="52">
        <f>X288-U288+V288</f>
        <v>189</v>
      </c>
      <c r="X288" s="147">
        <f>36*4+45</f>
        <v>189</v>
      </c>
      <c r="Y288" s="18" t="s">
        <v>788</v>
      </c>
      <c r="Z288" s="18"/>
      <c r="AA288" s="18"/>
      <c r="AB288" s="418"/>
      <c r="AC288" s="168"/>
      <c r="AD288" s="450" t="s">
        <v>405</v>
      </c>
      <c r="AE288" s="168" t="s">
        <v>396</v>
      </c>
      <c r="AF288" s="171">
        <v>4.05</v>
      </c>
      <c r="AG288" s="192">
        <v>38.4</v>
      </c>
      <c r="AH288" s="110"/>
      <c r="AI288" s="125">
        <v>18</v>
      </c>
      <c r="AJ288" s="189">
        <f>3*X288</f>
        <v>567</v>
      </c>
      <c r="AK288" s="435"/>
      <c r="AL288" s="476"/>
    </row>
    <row r="289" spans="1:73" ht="26.25" hidden="1" customHeight="1" x14ac:dyDescent="0.25">
      <c r="B289" s="15"/>
      <c r="C289" s="6" t="s">
        <v>18</v>
      </c>
      <c r="D289" s="23" t="s">
        <v>40</v>
      </c>
      <c r="E289" s="104" t="s">
        <v>730</v>
      </c>
      <c r="F289" s="393"/>
      <c r="G289" s="19"/>
      <c r="H289" s="39"/>
      <c r="I289" s="309"/>
      <c r="J289" s="39">
        <f t="shared" si="80"/>
        <v>0</v>
      </c>
      <c r="K289" s="309"/>
      <c r="L289" s="230"/>
      <c r="M289" s="117"/>
      <c r="N289" s="140"/>
      <c r="O289" s="39"/>
      <c r="P289" s="309"/>
      <c r="Q289" s="263" t="str">
        <f t="shared" si="74"/>
        <v>Д20х20</v>
      </c>
      <c r="R289" s="377"/>
      <c r="S289" s="339"/>
      <c r="T289" s="353">
        <f t="shared" si="79"/>
        <v>0</v>
      </c>
      <c r="U289" s="70">
        <v>50</v>
      </c>
      <c r="V289" s="20">
        <f t="shared" si="81"/>
        <v>0</v>
      </c>
      <c r="W289" s="52">
        <f>X289-U289+V289</f>
        <v>0</v>
      </c>
      <c r="X289" s="70">
        <v>50</v>
      </c>
      <c r="Y289" s="20" t="s">
        <v>789</v>
      </c>
      <c r="Z289" s="20"/>
      <c r="AA289" s="20"/>
      <c r="AB289" s="417"/>
      <c r="AC289" s="168"/>
      <c r="AD289" s="450"/>
      <c r="AE289" s="168"/>
      <c r="AF289" s="171"/>
      <c r="AG289" s="192"/>
      <c r="AH289" s="110"/>
      <c r="AI289" s="125"/>
      <c r="AJ289" s="189"/>
      <c r="AK289" s="435"/>
      <c r="AL289" s="476"/>
    </row>
    <row r="290" spans="1:73" ht="26.25" hidden="1" customHeight="1" x14ac:dyDescent="0.25">
      <c r="B290" s="15"/>
      <c r="C290" s="6" t="s">
        <v>18</v>
      </c>
      <c r="D290" s="23" t="s">
        <v>40</v>
      </c>
      <c r="E290" s="104" t="s">
        <v>525</v>
      </c>
      <c r="F290" s="393"/>
      <c r="G290" s="19"/>
      <c r="H290" s="39"/>
      <c r="I290" s="309">
        <v>0</v>
      </c>
      <c r="J290" s="39">
        <f t="shared" si="80"/>
        <v>0</v>
      </c>
      <c r="K290" s="309"/>
      <c r="L290" s="230"/>
      <c r="M290" s="117"/>
      <c r="N290" s="140"/>
      <c r="O290" s="39"/>
      <c r="P290" s="309">
        <f>K290*O290</f>
        <v>0</v>
      </c>
      <c r="Q290" s="263" t="str">
        <f t="shared" si="74"/>
        <v>Д40х5</v>
      </c>
      <c r="R290" s="377">
        <f>S290*1.2</f>
        <v>0</v>
      </c>
      <c r="S290" s="339">
        <v>0</v>
      </c>
      <c r="T290" s="353">
        <f t="shared" si="79"/>
        <v>0</v>
      </c>
      <c r="U290" s="70">
        <v>3</v>
      </c>
      <c r="V290" s="20">
        <f t="shared" si="81"/>
        <v>0</v>
      </c>
      <c r="W290" s="52">
        <f>X290-U290+V290</f>
        <v>0</v>
      </c>
      <c r="X290" s="70">
        <v>3</v>
      </c>
      <c r="Y290" s="20"/>
      <c r="Z290" s="20"/>
      <c r="AA290" s="20"/>
      <c r="AB290" s="417"/>
      <c r="AC290" s="168"/>
      <c r="AD290" s="450"/>
      <c r="AE290" s="168"/>
      <c r="AF290" s="171"/>
      <c r="AG290" s="192"/>
      <c r="AH290" s="110"/>
      <c r="AI290" s="125"/>
      <c r="AJ290" s="189"/>
      <c r="AK290" s="435"/>
      <c r="AL290" s="476"/>
    </row>
    <row r="291" spans="1:73" ht="26.25" hidden="1" customHeight="1" x14ac:dyDescent="0.25">
      <c r="B291" s="15"/>
      <c r="C291" s="6" t="s">
        <v>18</v>
      </c>
      <c r="D291" s="23" t="s">
        <v>40</v>
      </c>
      <c r="E291" s="104" t="s">
        <v>298</v>
      </c>
      <c r="F291" s="393"/>
      <c r="G291" s="19"/>
      <c r="H291" s="39"/>
      <c r="I291" s="360"/>
      <c r="J291" s="39"/>
      <c r="K291" s="309"/>
      <c r="L291" s="230"/>
      <c r="M291" s="117"/>
      <c r="N291" s="140"/>
      <c r="O291" s="39"/>
      <c r="P291" s="360"/>
      <c r="Q291" s="287" t="str">
        <f t="shared" si="74"/>
        <v>Д40х10</v>
      </c>
      <c r="R291" s="377"/>
      <c r="S291" s="339"/>
      <c r="T291" s="353">
        <f t="shared" si="79"/>
        <v>0</v>
      </c>
      <c r="U291" s="70">
        <v>3</v>
      </c>
      <c r="V291" s="20"/>
      <c r="W291" s="52"/>
      <c r="X291" s="70">
        <v>3</v>
      </c>
      <c r="Y291" s="20" t="s">
        <v>771</v>
      </c>
      <c r="Z291" s="20"/>
      <c r="AA291" s="20"/>
      <c r="AB291" s="417"/>
      <c r="AC291" s="168"/>
      <c r="AD291" s="450"/>
      <c r="AE291" s="168"/>
      <c r="AF291" s="171"/>
      <c r="AG291" s="192"/>
      <c r="AH291" s="110"/>
      <c r="AI291" s="125"/>
      <c r="AJ291" s="189"/>
      <c r="AK291" s="435"/>
      <c r="AL291" s="476"/>
    </row>
    <row r="292" spans="1:73" ht="26.25" hidden="1" customHeight="1" thickBot="1" x14ac:dyDescent="0.3">
      <c r="B292" s="15"/>
      <c r="C292" s="6" t="s">
        <v>18</v>
      </c>
      <c r="D292" s="23" t="s">
        <v>40</v>
      </c>
      <c r="E292" s="104" t="s">
        <v>673</v>
      </c>
      <c r="F292" s="393"/>
      <c r="G292" s="19"/>
      <c r="H292" s="39"/>
      <c r="I292" s="360"/>
      <c r="J292" s="39"/>
      <c r="K292" s="309"/>
      <c r="L292" s="230"/>
      <c r="M292" s="117"/>
      <c r="N292" s="140"/>
      <c r="O292" s="39"/>
      <c r="P292" s="360"/>
      <c r="Q292" s="287" t="str">
        <f t="shared" si="74"/>
        <v>П15х4,5х4</v>
      </c>
      <c r="R292" s="377"/>
      <c r="S292" s="339"/>
      <c r="T292" s="353">
        <f t="shared" si="79"/>
        <v>0</v>
      </c>
      <c r="U292" s="70"/>
      <c r="V292" s="20"/>
      <c r="W292" s="52"/>
      <c r="X292" s="148">
        <f>85+300</f>
        <v>385</v>
      </c>
      <c r="Y292" s="20"/>
      <c r="Z292" s="20"/>
      <c r="AA292" s="20"/>
      <c r="AB292" s="417"/>
      <c r="AC292" s="168"/>
      <c r="AD292" s="450"/>
      <c r="AE292" s="168"/>
      <c r="AF292" s="171"/>
      <c r="AG292" s="192"/>
      <c r="AH292" s="110"/>
      <c r="AI292" s="125"/>
      <c r="AJ292" s="189"/>
      <c r="AK292" s="435"/>
      <c r="AL292" s="476"/>
    </row>
    <row r="293" spans="1:73" ht="26.25" hidden="1" customHeight="1" x14ac:dyDescent="0.25">
      <c r="B293" s="15"/>
      <c r="C293" s="6" t="s">
        <v>18</v>
      </c>
      <c r="D293" s="23" t="s">
        <v>40</v>
      </c>
      <c r="E293" s="104" t="s">
        <v>587</v>
      </c>
      <c r="F293" s="208">
        <v>1384</v>
      </c>
      <c r="G293" s="48" t="s">
        <v>0</v>
      </c>
      <c r="H293" s="39"/>
      <c r="I293" s="360">
        <v>0</v>
      </c>
      <c r="J293" s="39">
        <f t="shared" ref="J293:J324" si="86">N293+O293-H293</f>
        <v>0</v>
      </c>
      <c r="K293" s="309">
        <f>R293/1.4</f>
        <v>18.86</v>
      </c>
      <c r="L293" s="230">
        <f>K293*J586</f>
        <v>0</v>
      </c>
      <c r="M293" s="94" t="s">
        <v>590</v>
      </c>
      <c r="N293" s="140"/>
      <c r="O293" s="39"/>
      <c r="P293" s="360">
        <f t="shared" ref="P293:P303" si="87">K293*O293</f>
        <v>0</v>
      </c>
      <c r="Q293" s="259" t="str">
        <f t="shared" ref="Q293:Q324" si="88">E293</f>
        <v>Д27х5</v>
      </c>
      <c r="R293" s="377">
        <f t="shared" ref="R293:R303" si="89">S293*1.2</f>
        <v>26.4</v>
      </c>
      <c r="S293" s="319">
        <v>22</v>
      </c>
      <c r="T293" s="353">
        <f t="shared" si="79"/>
        <v>0</v>
      </c>
      <c r="U293" s="70">
        <v>13</v>
      </c>
      <c r="V293" s="20">
        <f t="shared" ref="V293:V324" si="90">N293</f>
        <v>0</v>
      </c>
      <c r="W293" s="52">
        <f t="shared" ref="W293:W324" si="91">X293-U293+V293</f>
        <v>0</v>
      </c>
      <c r="X293" s="70">
        <v>13</v>
      </c>
      <c r="Y293" s="20" t="s">
        <v>783</v>
      </c>
      <c r="Z293" s="20"/>
      <c r="AA293" s="20"/>
      <c r="AB293" s="417"/>
      <c r="AC293" s="168"/>
      <c r="AD293" s="450">
        <v>9.8000000000000007</v>
      </c>
      <c r="AE293" s="163"/>
      <c r="AF293" s="171"/>
      <c r="AG293" s="192">
        <v>98</v>
      </c>
      <c r="AH293" s="110"/>
      <c r="AI293" s="125"/>
      <c r="AJ293" s="185">
        <f>X293*AD293</f>
        <v>127.4</v>
      </c>
      <c r="AK293" s="435"/>
      <c r="AL293" s="476"/>
    </row>
    <row r="294" spans="1:73" ht="26.25" hidden="1" customHeight="1" x14ac:dyDescent="0.25">
      <c r="B294" s="15"/>
      <c r="C294" s="6" t="s">
        <v>18</v>
      </c>
      <c r="D294" s="23" t="s">
        <v>40</v>
      </c>
      <c r="E294" s="104" t="s">
        <v>563</v>
      </c>
      <c r="F294" s="208"/>
      <c r="G294" s="48"/>
      <c r="H294" s="39"/>
      <c r="I294" s="360">
        <v>0</v>
      </c>
      <c r="J294" s="39">
        <f t="shared" si="86"/>
        <v>0</v>
      </c>
      <c r="K294" s="309"/>
      <c r="L294" s="230"/>
      <c r="M294" s="94"/>
      <c r="N294" s="140"/>
      <c r="O294" s="39"/>
      <c r="P294" s="468">
        <f t="shared" si="87"/>
        <v>0</v>
      </c>
      <c r="Q294" s="266" t="str">
        <f t="shared" si="88"/>
        <v>Д8х3(5)х2</v>
      </c>
      <c r="R294" s="377">
        <f t="shared" si="89"/>
        <v>0.32</v>
      </c>
      <c r="S294" s="326">
        <v>0.27</v>
      </c>
      <c r="T294" s="353">
        <f t="shared" si="79"/>
        <v>0</v>
      </c>
      <c r="U294" s="70">
        <v>280</v>
      </c>
      <c r="V294" s="20">
        <f t="shared" si="90"/>
        <v>0</v>
      </c>
      <c r="W294" s="52">
        <f t="shared" si="91"/>
        <v>0</v>
      </c>
      <c r="X294" s="70">
        <v>280</v>
      </c>
      <c r="Y294" s="20"/>
      <c r="Z294" s="20"/>
      <c r="AA294" s="20">
        <v>2000</v>
      </c>
      <c r="AB294" s="417"/>
      <c r="AC294" s="168"/>
      <c r="AD294" s="450"/>
      <c r="AE294" s="163"/>
      <c r="AF294" s="171"/>
      <c r="AG294" s="192"/>
      <c r="AH294" s="110"/>
      <c r="AI294" s="125"/>
      <c r="AJ294" s="185"/>
      <c r="AK294" s="137"/>
      <c r="AL294" s="476"/>
    </row>
    <row r="295" spans="1:73" ht="26.25" hidden="1" customHeight="1" x14ac:dyDescent="0.25">
      <c r="B295" s="11"/>
      <c r="C295" s="6" t="s">
        <v>18</v>
      </c>
      <c r="D295" s="23" t="s">
        <v>40</v>
      </c>
      <c r="E295" s="464" t="s">
        <v>633</v>
      </c>
      <c r="F295" s="208">
        <v>1415</v>
      </c>
      <c r="G295" s="48"/>
      <c r="H295" s="39"/>
      <c r="I295" s="360">
        <v>0</v>
      </c>
      <c r="J295" s="39">
        <f t="shared" si="86"/>
        <v>0</v>
      </c>
      <c r="K295" s="471">
        <f t="shared" ref="K295:K303" si="92">R295/1.4</f>
        <v>3.43</v>
      </c>
      <c r="L295" s="230"/>
      <c r="M295" s="215" t="s">
        <v>654</v>
      </c>
      <c r="N295" s="140"/>
      <c r="O295" s="503"/>
      <c r="P295" s="309">
        <f t="shared" si="87"/>
        <v>0</v>
      </c>
      <c r="Q295" s="235" t="str">
        <f t="shared" si="88"/>
        <v>П25х8х6</v>
      </c>
      <c r="R295" s="377">
        <f t="shared" si="89"/>
        <v>4.8</v>
      </c>
      <c r="S295" s="326">
        <v>4</v>
      </c>
      <c r="T295" s="353">
        <f t="shared" ref="T295:T326" si="93">S295*J295</f>
        <v>0</v>
      </c>
      <c r="U295" s="20"/>
      <c r="V295" s="20">
        <f t="shared" si="90"/>
        <v>0</v>
      </c>
      <c r="W295" s="52">
        <f t="shared" si="91"/>
        <v>0</v>
      </c>
      <c r="X295" s="20"/>
      <c r="Y295" s="20"/>
      <c r="Z295" s="20"/>
      <c r="AA295" s="20"/>
      <c r="AB295" s="417"/>
      <c r="AC295" s="200"/>
      <c r="AD295" s="160"/>
      <c r="AE295" s="163"/>
      <c r="AF295" s="171"/>
      <c r="AG295" s="192"/>
      <c r="AH295" s="110"/>
      <c r="AI295" s="125"/>
      <c r="AJ295" s="185"/>
      <c r="AK295" s="137"/>
    </row>
    <row r="296" spans="1:73" ht="26.25" hidden="1" customHeight="1" x14ac:dyDescent="0.25">
      <c r="B296" s="11"/>
      <c r="C296" s="6" t="s">
        <v>18</v>
      </c>
      <c r="D296" s="23" t="s">
        <v>40</v>
      </c>
      <c r="E296" s="459" t="s">
        <v>618</v>
      </c>
      <c r="F296" s="208">
        <v>1397</v>
      </c>
      <c r="G296" s="48"/>
      <c r="H296" s="39"/>
      <c r="I296" s="360">
        <v>0</v>
      </c>
      <c r="J296" s="39">
        <f t="shared" si="86"/>
        <v>0</v>
      </c>
      <c r="K296" s="471">
        <f t="shared" si="92"/>
        <v>1.49</v>
      </c>
      <c r="L296" s="230"/>
      <c r="M296" s="215" t="s">
        <v>629</v>
      </c>
      <c r="N296" s="140"/>
      <c r="O296" s="39"/>
      <c r="P296" s="467">
        <f t="shared" si="87"/>
        <v>0</v>
      </c>
      <c r="Q296" s="51" t="str">
        <f t="shared" si="88"/>
        <v>П5х5х6</v>
      </c>
      <c r="R296" s="377">
        <f t="shared" si="89"/>
        <v>2.09</v>
      </c>
      <c r="S296" s="326">
        <v>1.74</v>
      </c>
      <c r="T296" s="353">
        <f t="shared" si="93"/>
        <v>0</v>
      </c>
      <c r="U296" s="20"/>
      <c r="V296" s="20">
        <f t="shared" si="90"/>
        <v>0</v>
      </c>
      <c r="W296" s="52">
        <f t="shared" si="91"/>
        <v>0</v>
      </c>
      <c r="X296" s="20"/>
      <c r="Y296" s="20"/>
      <c r="Z296" s="20"/>
      <c r="AA296" s="20"/>
      <c r="AB296" s="417"/>
      <c r="AC296" s="200"/>
      <c r="AD296" s="160"/>
      <c r="AE296" s="163"/>
      <c r="AF296" s="171"/>
      <c r="AG296" s="192"/>
      <c r="AH296" s="110"/>
      <c r="AI296" s="125"/>
      <c r="AJ296" s="185"/>
      <c r="AK296" s="137"/>
    </row>
    <row r="297" spans="1:73" ht="26.25" hidden="1" customHeight="1" x14ac:dyDescent="0.25">
      <c r="B297" s="11"/>
      <c r="C297" s="6" t="s">
        <v>18</v>
      </c>
      <c r="D297" s="23" t="s">
        <v>40</v>
      </c>
      <c r="E297" s="459" t="s">
        <v>790</v>
      </c>
      <c r="F297" s="208">
        <v>1406</v>
      </c>
      <c r="G297" s="48"/>
      <c r="H297" s="39"/>
      <c r="I297" s="360">
        <v>0</v>
      </c>
      <c r="J297" s="39">
        <f t="shared" si="86"/>
        <v>0</v>
      </c>
      <c r="K297" s="471">
        <f t="shared" si="92"/>
        <v>1.71</v>
      </c>
      <c r="L297" s="230"/>
      <c r="M297" s="215" t="s">
        <v>630</v>
      </c>
      <c r="N297" s="140"/>
      <c r="O297" s="513"/>
      <c r="P297" s="468">
        <f t="shared" si="87"/>
        <v>0</v>
      </c>
      <c r="Q297" s="442" t="str">
        <f t="shared" si="88"/>
        <v>ПС30х16х3</v>
      </c>
      <c r="R297" s="377">
        <f t="shared" si="89"/>
        <v>2.4</v>
      </c>
      <c r="S297" s="326">
        <v>2</v>
      </c>
      <c r="T297" s="353">
        <f t="shared" si="93"/>
        <v>0</v>
      </c>
      <c r="U297" s="70">
        <v>160</v>
      </c>
      <c r="V297" s="20">
        <f t="shared" si="90"/>
        <v>0</v>
      </c>
      <c r="W297" s="52">
        <f t="shared" si="91"/>
        <v>0</v>
      </c>
      <c r="X297" s="70">
        <v>160</v>
      </c>
      <c r="Y297" s="20"/>
      <c r="Z297" s="20"/>
      <c r="AA297" s="20"/>
      <c r="AB297" s="417"/>
      <c r="AC297" s="200"/>
      <c r="AD297" s="160"/>
      <c r="AE297" s="163"/>
      <c r="AF297" s="171"/>
      <c r="AG297" s="192"/>
      <c r="AH297" s="110"/>
      <c r="AI297" s="125"/>
      <c r="AJ297" s="185"/>
      <c r="AK297" s="137"/>
    </row>
    <row r="298" spans="1:73" ht="44.25" customHeight="1" x14ac:dyDescent="0.3">
      <c r="B298" s="11">
        <v>95</v>
      </c>
      <c r="C298" s="6" t="s">
        <v>18</v>
      </c>
      <c r="D298" s="23" t="s">
        <v>40</v>
      </c>
      <c r="E298" s="1" t="s">
        <v>497</v>
      </c>
      <c r="F298" s="383" t="s">
        <v>435</v>
      </c>
      <c r="G298" s="12" t="s">
        <v>0</v>
      </c>
      <c r="H298" s="39"/>
      <c r="I298" s="360">
        <v>0</v>
      </c>
      <c r="J298" s="39">
        <f t="shared" si="86"/>
        <v>901</v>
      </c>
      <c r="K298" s="309">
        <f t="shared" si="92"/>
        <v>1.45</v>
      </c>
      <c r="L298" s="230">
        <f>K298*J591</f>
        <v>0</v>
      </c>
      <c r="M298" s="218" t="s">
        <v>837</v>
      </c>
      <c r="N298" s="141">
        <f>800+101</f>
        <v>901</v>
      </c>
      <c r="O298" s="39"/>
      <c r="P298" s="309">
        <f t="shared" si="87"/>
        <v>0</v>
      </c>
      <c r="Q298" s="51" t="str">
        <f t="shared" si="88"/>
        <v>К11,2х7х15</v>
      </c>
      <c r="R298" s="306">
        <f t="shared" si="89"/>
        <v>2.0299999999999998</v>
      </c>
      <c r="S298" s="326">
        <v>1.69</v>
      </c>
      <c r="T298" s="353">
        <f t="shared" si="93"/>
        <v>1522.69</v>
      </c>
      <c r="U298" s="70">
        <v>3834</v>
      </c>
      <c r="V298" s="20">
        <f t="shared" si="90"/>
        <v>901</v>
      </c>
      <c r="W298" s="52">
        <f t="shared" si="91"/>
        <v>0</v>
      </c>
      <c r="X298" s="148">
        <f>13*210+203</f>
        <v>2933</v>
      </c>
      <c r="Y298" s="20" t="s">
        <v>788</v>
      </c>
      <c r="Z298" s="18"/>
      <c r="AA298" s="18">
        <v>2600</v>
      </c>
      <c r="AB298" s="418"/>
      <c r="AC298" s="168"/>
      <c r="AD298" s="450">
        <f>X298-AC298</f>
        <v>2933</v>
      </c>
      <c r="AE298" s="163"/>
      <c r="AF298" s="171"/>
      <c r="AG298" s="192"/>
      <c r="AH298" s="128"/>
      <c r="AI298" s="113"/>
      <c r="AJ298" s="185">
        <f t="shared" ref="AJ298:AJ303" si="94">X298*AD298</f>
        <v>8602489</v>
      </c>
      <c r="AK298" s="10"/>
      <c r="AL298" s="476"/>
    </row>
    <row r="299" spans="1:73" ht="26.25" hidden="1" customHeight="1" x14ac:dyDescent="0.25">
      <c r="B299" s="15"/>
      <c r="C299" s="6" t="s">
        <v>18</v>
      </c>
      <c r="D299" s="23" t="s">
        <v>40</v>
      </c>
      <c r="E299" s="104" t="s">
        <v>634</v>
      </c>
      <c r="F299" s="208">
        <v>380</v>
      </c>
      <c r="G299" s="48" t="s">
        <v>0</v>
      </c>
      <c r="H299" s="39">
        <v>0</v>
      </c>
      <c r="I299" s="309">
        <v>0</v>
      </c>
      <c r="J299" s="39">
        <f t="shared" si="86"/>
        <v>0</v>
      </c>
      <c r="K299" s="309">
        <f t="shared" si="92"/>
        <v>24.86</v>
      </c>
      <c r="L299" s="230">
        <f>K299*J592</f>
        <v>0</v>
      </c>
      <c r="M299" s="156" t="s">
        <v>655</v>
      </c>
      <c r="N299" s="140"/>
      <c r="O299" s="556">
        <v>0</v>
      </c>
      <c r="P299" s="490">
        <f t="shared" si="87"/>
        <v>0</v>
      </c>
      <c r="Q299" s="264" t="str">
        <f t="shared" si="88"/>
        <v>Д11х7х62</v>
      </c>
      <c r="R299" s="377">
        <f t="shared" si="89"/>
        <v>34.799999999999997</v>
      </c>
      <c r="S299" s="319">
        <v>29</v>
      </c>
      <c r="T299" s="353">
        <f t="shared" si="93"/>
        <v>0</v>
      </c>
      <c r="U299" s="20"/>
      <c r="V299" s="20">
        <f t="shared" si="90"/>
        <v>0</v>
      </c>
      <c r="W299" s="52">
        <f t="shared" si="91"/>
        <v>0</v>
      </c>
      <c r="X299" s="20"/>
      <c r="Y299" s="20"/>
      <c r="Z299" s="20"/>
      <c r="AA299" s="20"/>
      <c r="AB299" s="417"/>
      <c r="AC299" s="200"/>
      <c r="AD299" s="160">
        <v>0.7</v>
      </c>
      <c r="AE299" s="163"/>
      <c r="AF299" s="171"/>
      <c r="AG299" s="192">
        <v>7.97</v>
      </c>
      <c r="AH299" s="110"/>
      <c r="AI299" s="125"/>
      <c r="AJ299" s="185">
        <f t="shared" si="94"/>
        <v>0</v>
      </c>
      <c r="AK299" s="125"/>
    </row>
    <row r="300" spans="1:73" ht="26.25" hidden="1" customHeight="1" x14ac:dyDescent="0.25">
      <c r="B300" s="19"/>
      <c r="C300" s="6" t="s">
        <v>18</v>
      </c>
      <c r="D300" s="23" t="s">
        <v>40</v>
      </c>
      <c r="E300" s="106" t="s">
        <v>157</v>
      </c>
      <c r="F300" s="385" t="s">
        <v>218</v>
      </c>
      <c r="G300" s="48" t="s">
        <v>0</v>
      </c>
      <c r="H300" s="39"/>
      <c r="I300" s="309">
        <v>0</v>
      </c>
      <c r="J300" s="39">
        <f t="shared" si="86"/>
        <v>0</v>
      </c>
      <c r="K300" s="309">
        <f t="shared" si="92"/>
        <v>7.29</v>
      </c>
      <c r="L300" s="230">
        <f>K300*J593</f>
        <v>0</v>
      </c>
      <c r="M300" s="146" t="s">
        <v>609</v>
      </c>
      <c r="N300" s="141"/>
      <c r="O300" s="39"/>
      <c r="P300" s="507">
        <f t="shared" si="87"/>
        <v>0</v>
      </c>
      <c r="Q300" s="442" t="str">
        <f t="shared" si="88"/>
        <v>К12х3х4,5</v>
      </c>
      <c r="R300" s="377">
        <f t="shared" si="89"/>
        <v>10.199999999999999</v>
      </c>
      <c r="S300" s="326">
        <v>8.5</v>
      </c>
      <c r="T300" s="353">
        <f t="shared" si="93"/>
        <v>0</v>
      </c>
      <c r="U300" s="430">
        <v>537</v>
      </c>
      <c r="V300" s="20">
        <f t="shared" si="90"/>
        <v>0</v>
      </c>
      <c r="W300" s="52">
        <f t="shared" si="91"/>
        <v>0</v>
      </c>
      <c r="X300" s="430">
        <f>551-14</f>
        <v>537</v>
      </c>
      <c r="Y300" s="18" t="s">
        <v>395</v>
      </c>
      <c r="Z300" s="18"/>
      <c r="AA300" s="18"/>
      <c r="AB300" s="418"/>
      <c r="AC300" s="168"/>
      <c r="AD300" s="450">
        <v>0.4</v>
      </c>
      <c r="AE300" s="165"/>
      <c r="AF300" s="160"/>
      <c r="AG300" s="192">
        <v>13.9</v>
      </c>
      <c r="AH300" s="110"/>
      <c r="AI300" s="125"/>
      <c r="AJ300" s="185">
        <f t="shared" si="94"/>
        <v>214.8</v>
      </c>
      <c r="AK300" s="435"/>
      <c r="AL300" s="476"/>
    </row>
    <row r="301" spans="1:73" ht="26.25" hidden="1" customHeight="1" x14ac:dyDescent="0.3">
      <c r="B301" s="19"/>
      <c r="C301" s="6" t="s">
        <v>18</v>
      </c>
      <c r="D301" s="23" t="s">
        <v>40</v>
      </c>
      <c r="E301" s="106" t="s">
        <v>299</v>
      </c>
      <c r="F301" s="384">
        <v>876</v>
      </c>
      <c r="G301" s="48"/>
      <c r="H301" s="39"/>
      <c r="I301" s="360">
        <v>0</v>
      </c>
      <c r="J301" s="39">
        <f t="shared" si="86"/>
        <v>0</v>
      </c>
      <c r="K301" s="309">
        <f t="shared" si="92"/>
        <v>27</v>
      </c>
      <c r="L301" s="230"/>
      <c r="M301" s="203" t="s">
        <v>748</v>
      </c>
      <c r="N301" s="141"/>
      <c r="O301" s="39"/>
      <c r="P301" s="309">
        <f t="shared" si="87"/>
        <v>0</v>
      </c>
      <c r="Q301" s="51" t="str">
        <f t="shared" si="88"/>
        <v>К12,5х5,2х7</v>
      </c>
      <c r="R301" s="377">
        <f t="shared" si="89"/>
        <v>37.799999999999997</v>
      </c>
      <c r="S301" s="319">
        <v>31.5</v>
      </c>
      <c r="T301" s="353">
        <f t="shared" si="93"/>
        <v>0</v>
      </c>
      <c r="U301" s="70">
        <v>24</v>
      </c>
      <c r="V301" s="20">
        <f t="shared" si="90"/>
        <v>0</v>
      </c>
      <c r="W301" s="52">
        <f t="shared" si="91"/>
        <v>0</v>
      </c>
      <c r="X301" s="70">
        <v>24</v>
      </c>
      <c r="Y301" s="20"/>
      <c r="Z301" s="20"/>
      <c r="AA301" s="20"/>
      <c r="AB301" s="417"/>
      <c r="AC301" s="168"/>
      <c r="AD301" s="450"/>
      <c r="AE301" s="165"/>
      <c r="AF301" s="160"/>
      <c r="AG301" s="192">
        <v>5.32</v>
      </c>
      <c r="AH301" s="128"/>
      <c r="AI301" s="113" t="s">
        <v>418</v>
      </c>
      <c r="AJ301" s="185">
        <f t="shared" si="94"/>
        <v>0</v>
      </c>
      <c r="AK301" s="10"/>
      <c r="AL301" s="476"/>
    </row>
    <row r="302" spans="1:73" s="4" customFormat="1" ht="26.25" hidden="1" customHeight="1" x14ac:dyDescent="0.25">
      <c r="A302" s="10"/>
      <c r="B302" s="15"/>
      <c r="C302" s="6" t="s">
        <v>18</v>
      </c>
      <c r="D302" s="23" t="s">
        <v>40</v>
      </c>
      <c r="E302" s="106" t="s">
        <v>291</v>
      </c>
      <c r="F302" s="395">
        <v>1307</v>
      </c>
      <c r="G302" s="48" t="s">
        <v>0</v>
      </c>
      <c r="H302" s="39">
        <v>0</v>
      </c>
      <c r="I302" s="360">
        <v>0</v>
      </c>
      <c r="J302" s="39">
        <f t="shared" si="86"/>
        <v>0</v>
      </c>
      <c r="K302" s="309">
        <f t="shared" si="92"/>
        <v>1.71</v>
      </c>
      <c r="L302" s="230">
        <f>K302*J595</f>
        <v>0</v>
      </c>
      <c r="M302" s="215" t="s">
        <v>529</v>
      </c>
      <c r="N302" s="140"/>
      <c r="O302" s="513">
        <v>0</v>
      </c>
      <c r="P302" s="469">
        <f t="shared" si="87"/>
        <v>0</v>
      </c>
      <c r="Q302" s="264" t="str">
        <f t="shared" si="88"/>
        <v>К15х5х5</v>
      </c>
      <c r="R302" s="377">
        <f t="shared" si="89"/>
        <v>2.4</v>
      </c>
      <c r="S302" s="330">
        <v>2</v>
      </c>
      <c r="T302" s="353">
        <f t="shared" si="93"/>
        <v>0</v>
      </c>
      <c r="U302" s="70">
        <v>452</v>
      </c>
      <c r="V302" s="20">
        <f t="shared" si="90"/>
        <v>0</v>
      </c>
      <c r="W302" s="52">
        <f t="shared" si="91"/>
        <v>0</v>
      </c>
      <c r="X302" s="70">
        <v>452</v>
      </c>
      <c r="Y302" s="20"/>
      <c r="Z302" s="20"/>
      <c r="AA302" s="20"/>
      <c r="AB302" s="417"/>
      <c r="AC302" s="202">
        <v>48</v>
      </c>
      <c r="AD302" s="160">
        <v>0.45</v>
      </c>
      <c r="AE302" s="163"/>
      <c r="AF302" s="171"/>
      <c r="AG302" s="192">
        <v>5.33</v>
      </c>
      <c r="AH302" s="110"/>
      <c r="AI302" s="125"/>
      <c r="AJ302" s="185">
        <f t="shared" si="94"/>
        <v>203.4</v>
      </c>
      <c r="AK302" s="125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</row>
    <row r="303" spans="1:73" ht="26.25" hidden="1" customHeight="1" x14ac:dyDescent="0.25">
      <c r="B303" s="11"/>
      <c r="C303" s="6" t="s">
        <v>18</v>
      </c>
      <c r="D303" s="23" t="s">
        <v>40</v>
      </c>
      <c r="E303" s="106" t="s">
        <v>762</v>
      </c>
      <c r="F303" s="383" t="s">
        <v>560</v>
      </c>
      <c r="G303" s="48"/>
      <c r="H303" s="39"/>
      <c r="I303" s="360">
        <v>0</v>
      </c>
      <c r="J303" s="39">
        <f t="shared" si="86"/>
        <v>0</v>
      </c>
      <c r="K303" s="309">
        <f t="shared" si="92"/>
        <v>1.71</v>
      </c>
      <c r="L303" s="230"/>
      <c r="M303" s="297" t="s">
        <v>838</v>
      </c>
      <c r="N303" s="141"/>
      <c r="O303" s="39"/>
      <c r="P303" s="309">
        <f t="shared" si="87"/>
        <v>0</v>
      </c>
      <c r="Q303" s="51" t="str">
        <f t="shared" si="88"/>
        <v>К15х5х5с зенк</v>
      </c>
      <c r="R303" s="377">
        <f t="shared" si="89"/>
        <v>2.4</v>
      </c>
      <c r="S303" s="319">
        <v>2</v>
      </c>
      <c r="T303" s="353">
        <f t="shared" si="93"/>
        <v>0</v>
      </c>
      <c r="U303" s="70"/>
      <c r="V303" s="20">
        <f t="shared" si="90"/>
        <v>0</v>
      </c>
      <c r="W303" s="52">
        <f t="shared" si="91"/>
        <v>0</v>
      </c>
      <c r="X303" s="70"/>
      <c r="Y303" s="20"/>
      <c r="Z303" s="20"/>
      <c r="AA303" s="20"/>
      <c r="AB303" s="417"/>
      <c r="AC303" s="168"/>
      <c r="AD303" s="450">
        <v>0.5</v>
      </c>
      <c r="AE303" s="165"/>
      <c r="AF303" s="160"/>
      <c r="AG303" s="192">
        <v>5.9</v>
      </c>
      <c r="AH303" s="110"/>
      <c r="AI303" s="125"/>
      <c r="AJ303" s="185">
        <f t="shared" si="94"/>
        <v>0</v>
      </c>
      <c r="AK303" s="435"/>
      <c r="AL303" s="476"/>
    </row>
    <row r="304" spans="1:73" ht="26.25" hidden="1" customHeight="1" x14ac:dyDescent="0.3">
      <c r="B304" s="19"/>
      <c r="C304" s="6"/>
      <c r="D304" s="23"/>
      <c r="E304" s="106"/>
      <c r="F304" s="385"/>
      <c r="G304" s="48"/>
      <c r="H304" s="39"/>
      <c r="I304" s="360"/>
      <c r="J304" s="39">
        <f t="shared" si="86"/>
        <v>0</v>
      </c>
      <c r="K304" s="309"/>
      <c r="L304" s="230"/>
      <c r="M304" s="274"/>
      <c r="N304" s="141"/>
      <c r="O304" s="489"/>
      <c r="P304" s="467"/>
      <c r="Q304" s="441">
        <f t="shared" si="88"/>
        <v>0</v>
      </c>
      <c r="R304" s="377"/>
      <c r="T304" s="353">
        <f t="shared" si="93"/>
        <v>0</v>
      </c>
      <c r="U304" s="20"/>
      <c r="V304" s="20">
        <f t="shared" si="90"/>
        <v>0</v>
      </c>
      <c r="W304" s="52">
        <f t="shared" si="91"/>
        <v>0</v>
      </c>
      <c r="X304" s="20"/>
      <c r="Y304" s="20"/>
      <c r="Z304" s="20"/>
      <c r="AA304" s="20">
        <v>650</v>
      </c>
      <c r="AB304" s="417"/>
      <c r="AC304" s="200"/>
      <c r="AD304" s="160"/>
      <c r="AE304" s="165"/>
      <c r="AF304" s="160"/>
      <c r="AG304" s="192"/>
      <c r="AH304" s="110"/>
      <c r="AI304" s="125"/>
      <c r="AJ304" s="185"/>
      <c r="AK304" s="435"/>
      <c r="AL304" s="476"/>
    </row>
    <row r="305" spans="1:74" ht="26.25" hidden="1" customHeight="1" x14ac:dyDescent="0.25">
      <c r="B305" s="19"/>
      <c r="C305" s="6" t="s">
        <v>18</v>
      </c>
      <c r="D305" s="23" t="s">
        <v>40</v>
      </c>
      <c r="E305" s="106" t="s">
        <v>33</v>
      </c>
      <c r="F305" s="385" t="s">
        <v>377</v>
      </c>
      <c r="G305" s="48"/>
      <c r="H305" s="39"/>
      <c r="I305" s="309">
        <v>0</v>
      </c>
      <c r="J305" s="39">
        <f t="shared" si="86"/>
        <v>0</v>
      </c>
      <c r="K305" s="309">
        <f>R305/1.4</f>
        <v>3</v>
      </c>
      <c r="L305" s="230"/>
      <c r="M305" s="94" t="s">
        <v>591</v>
      </c>
      <c r="N305" s="141"/>
      <c r="O305" s="513"/>
      <c r="P305" s="497">
        <f t="shared" ref="P305:P321" si="95">K305*O305</f>
        <v>0</v>
      </c>
      <c r="Q305" s="264" t="str">
        <f t="shared" si="88"/>
        <v>К20х10х5</v>
      </c>
      <c r="R305" s="377">
        <f t="shared" ref="R305:R336" si="96">S305*1.2</f>
        <v>4.2</v>
      </c>
      <c r="S305" s="319">
        <v>3.5</v>
      </c>
      <c r="T305" s="353">
        <f t="shared" si="93"/>
        <v>0</v>
      </c>
      <c r="U305" s="20">
        <v>20</v>
      </c>
      <c r="V305" s="20">
        <f t="shared" si="90"/>
        <v>0</v>
      </c>
      <c r="W305" s="52">
        <f t="shared" si="91"/>
        <v>0</v>
      </c>
      <c r="X305" s="20">
        <v>20</v>
      </c>
      <c r="Y305" s="20"/>
      <c r="Z305" s="20"/>
      <c r="AA305" s="20"/>
      <c r="AB305" s="417"/>
      <c r="AC305" s="168"/>
      <c r="AD305" s="450">
        <v>0.85</v>
      </c>
      <c r="AE305" s="165"/>
      <c r="AF305" s="160"/>
      <c r="AG305" s="192">
        <v>8.83</v>
      </c>
      <c r="AH305" s="110"/>
      <c r="AI305" s="125"/>
      <c r="AJ305" s="185">
        <f>X305*AD305</f>
        <v>17</v>
      </c>
      <c r="AK305" s="435"/>
      <c r="AL305" s="476"/>
    </row>
    <row r="306" spans="1:74" ht="26.25" customHeight="1" x14ac:dyDescent="0.3">
      <c r="B306" s="11">
        <v>96</v>
      </c>
      <c r="C306" s="6" t="s">
        <v>18</v>
      </c>
      <c r="D306" s="23" t="s">
        <v>40</v>
      </c>
      <c r="E306" s="1" t="s">
        <v>337</v>
      </c>
      <c r="F306" s="383" t="s">
        <v>436</v>
      </c>
      <c r="G306" s="12" t="s">
        <v>0</v>
      </c>
      <c r="H306" s="39">
        <v>2</v>
      </c>
      <c r="I306" s="360">
        <v>51.42</v>
      </c>
      <c r="J306" s="39">
        <f t="shared" si="86"/>
        <v>0</v>
      </c>
      <c r="K306" s="309">
        <v>25.71</v>
      </c>
      <c r="L306" s="230">
        <f>K306*J599</f>
        <v>0</v>
      </c>
      <c r="M306" s="363"/>
      <c r="N306" s="141"/>
      <c r="O306" s="39">
        <v>2</v>
      </c>
      <c r="P306" s="309">
        <f t="shared" si="95"/>
        <v>51.42</v>
      </c>
      <c r="Q306" s="51" t="str">
        <f t="shared" si="88"/>
        <v>К20х8х5</v>
      </c>
      <c r="R306" s="377">
        <f t="shared" si="96"/>
        <v>36</v>
      </c>
      <c r="S306" s="319">
        <v>30</v>
      </c>
      <c r="T306" s="353">
        <f t="shared" si="93"/>
        <v>0</v>
      </c>
      <c r="U306" s="20"/>
      <c r="V306" s="20">
        <f t="shared" si="90"/>
        <v>0</v>
      </c>
      <c r="W306" s="52">
        <f t="shared" si="91"/>
        <v>0</v>
      </c>
      <c r="X306" s="20"/>
      <c r="Y306" s="20"/>
      <c r="Z306" s="20"/>
      <c r="AA306" s="20"/>
      <c r="AB306" s="417"/>
      <c r="AC306" s="200"/>
      <c r="AD306" s="160"/>
      <c r="AE306" s="165"/>
      <c r="AF306" s="160"/>
      <c r="AG306" s="192">
        <v>9.9</v>
      </c>
      <c r="AH306" s="128"/>
      <c r="AI306" s="113" t="s">
        <v>419</v>
      </c>
      <c r="AJ306" s="185">
        <f>X306*AD306</f>
        <v>0</v>
      </c>
      <c r="AK306" s="10"/>
    </row>
    <row r="307" spans="1:74" ht="26.25" customHeight="1" x14ac:dyDescent="0.3">
      <c r="B307" s="11">
        <v>97</v>
      </c>
      <c r="C307" s="6" t="s">
        <v>18</v>
      </c>
      <c r="D307" s="23" t="s">
        <v>40</v>
      </c>
      <c r="E307" s="402" t="s">
        <v>549</v>
      </c>
      <c r="F307" s="383">
        <v>1333</v>
      </c>
      <c r="G307" s="12" t="s">
        <v>0</v>
      </c>
      <c r="H307" s="39">
        <v>12</v>
      </c>
      <c r="I307" s="360">
        <v>843.48</v>
      </c>
      <c r="J307" s="39">
        <f t="shared" si="86"/>
        <v>0</v>
      </c>
      <c r="K307" s="309">
        <f t="shared" ref="K307:K321" si="97">R307/1.4</f>
        <v>70.290000000000006</v>
      </c>
      <c r="L307" s="230">
        <f>K307*J600</f>
        <v>0</v>
      </c>
      <c r="M307" s="64" t="s">
        <v>567</v>
      </c>
      <c r="N307" s="141"/>
      <c r="O307" s="39">
        <v>12</v>
      </c>
      <c r="P307" s="309">
        <f t="shared" si="95"/>
        <v>843.48</v>
      </c>
      <c r="Q307" s="51" t="str">
        <f t="shared" si="88"/>
        <v>К14,5х6х22, К29х6х22</v>
      </c>
      <c r="R307" s="377">
        <f t="shared" si="96"/>
        <v>98.4</v>
      </c>
      <c r="S307" s="339">
        <v>82</v>
      </c>
      <c r="T307" s="353">
        <f t="shared" si="93"/>
        <v>0</v>
      </c>
      <c r="U307" s="20"/>
      <c r="V307" s="20">
        <f t="shared" si="90"/>
        <v>0</v>
      </c>
      <c r="W307" s="52">
        <f t="shared" si="91"/>
        <v>0</v>
      </c>
      <c r="X307" s="20"/>
      <c r="Y307" s="20"/>
      <c r="Z307" s="20"/>
      <c r="AA307" s="20"/>
      <c r="AB307" s="417"/>
      <c r="AC307" s="200"/>
      <c r="AD307" s="160"/>
      <c r="AE307" s="165"/>
      <c r="AF307" s="160"/>
      <c r="AG307" s="192"/>
      <c r="AH307" s="128"/>
      <c r="AI307" s="206"/>
      <c r="AJ307" s="185"/>
      <c r="AK307" s="10"/>
    </row>
    <row r="308" spans="1:74" s="4" customFormat="1" ht="33" hidden="1" customHeight="1" x14ac:dyDescent="0.25">
      <c r="A308" s="10"/>
      <c r="B308" s="19"/>
      <c r="C308" s="6" t="s">
        <v>18</v>
      </c>
      <c r="D308" s="23" t="s">
        <v>40</v>
      </c>
      <c r="E308" s="402" t="s">
        <v>639</v>
      </c>
      <c r="F308" s="384">
        <v>1086</v>
      </c>
      <c r="G308" s="48" t="s">
        <v>0</v>
      </c>
      <c r="H308" s="39"/>
      <c r="I308" s="360">
        <v>0</v>
      </c>
      <c r="J308" s="39">
        <f t="shared" si="86"/>
        <v>0</v>
      </c>
      <c r="K308" s="309">
        <f t="shared" si="97"/>
        <v>3.43</v>
      </c>
      <c r="L308" s="230">
        <f>K308*J601</f>
        <v>0</v>
      </c>
      <c r="M308" s="64" t="s">
        <v>548</v>
      </c>
      <c r="N308" s="141"/>
      <c r="O308" s="555"/>
      <c r="P308" s="469">
        <f t="shared" si="95"/>
        <v>0</v>
      </c>
      <c r="Q308" s="443" t="str">
        <f t="shared" si="88"/>
        <v>K20х5(8)х5</v>
      </c>
      <c r="R308" s="306">
        <f t="shared" si="96"/>
        <v>4.8</v>
      </c>
      <c r="S308" s="339">
        <v>4</v>
      </c>
      <c r="T308" s="353">
        <f t="shared" si="93"/>
        <v>0</v>
      </c>
      <c r="U308" s="70">
        <v>7</v>
      </c>
      <c r="V308" s="20">
        <f t="shared" si="90"/>
        <v>0</v>
      </c>
      <c r="W308" s="52">
        <f t="shared" si="91"/>
        <v>0</v>
      </c>
      <c r="X308" s="70">
        <v>7</v>
      </c>
      <c r="Y308" s="20"/>
      <c r="Z308" s="20"/>
      <c r="AA308" s="20"/>
      <c r="AB308" s="417"/>
      <c r="AC308" s="200"/>
      <c r="AD308" s="160">
        <v>1.85</v>
      </c>
      <c r="AE308" s="165"/>
      <c r="AF308" s="160"/>
      <c r="AG308" s="192">
        <v>8.67</v>
      </c>
      <c r="AH308" s="128"/>
      <c r="AI308" s="129"/>
      <c r="AJ308" s="185">
        <f>X308*AD308</f>
        <v>13</v>
      </c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</row>
    <row r="309" spans="1:74" s="21" customFormat="1" ht="26.25" customHeight="1" x14ac:dyDescent="0.25">
      <c r="B309" s="11">
        <v>98</v>
      </c>
      <c r="C309" s="6" t="s">
        <v>136</v>
      </c>
      <c r="D309" s="23" t="s">
        <v>40</v>
      </c>
      <c r="E309" s="112" t="s">
        <v>363</v>
      </c>
      <c r="F309" s="208">
        <v>595</v>
      </c>
      <c r="G309" s="12" t="s">
        <v>0</v>
      </c>
      <c r="H309" s="39">
        <v>10</v>
      </c>
      <c r="I309" s="360">
        <v>61.7</v>
      </c>
      <c r="J309" s="39">
        <f t="shared" si="86"/>
        <v>0</v>
      </c>
      <c r="K309" s="309">
        <f t="shared" si="97"/>
        <v>5.23</v>
      </c>
      <c r="L309" s="230">
        <f>K309*J602</f>
        <v>0</v>
      </c>
      <c r="M309" s="94" t="s">
        <v>592</v>
      </c>
      <c r="N309" s="140">
        <v>5</v>
      </c>
      <c r="O309" s="39">
        <v>5</v>
      </c>
      <c r="P309" s="309">
        <f t="shared" si="95"/>
        <v>26.15</v>
      </c>
      <c r="Q309" s="51" t="str">
        <f t="shared" si="88"/>
        <v>К22х6,2х3,2(ПМ-36Б-200)</v>
      </c>
      <c r="R309" s="306">
        <f t="shared" si="96"/>
        <v>7.32</v>
      </c>
      <c r="S309" s="319">
        <v>6.1</v>
      </c>
      <c r="T309" s="353">
        <f t="shared" si="93"/>
        <v>0</v>
      </c>
      <c r="U309" s="70">
        <v>269</v>
      </c>
      <c r="V309" s="20">
        <f t="shared" si="90"/>
        <v>5</v>
      </c>
      <c r="W309" s="52">
        <f t="shared" si="91"/>
        <v>0</v>
      </c>
      <c r="X309" s="70">
        <f>281-12-5</f>
        <v>264</v>
      </c>
      <c r="Y309" s="103"/>
      <c r="Z309" s="103"/>
      <c r="AA309" s="103">
        <f>165+144</f>
        <v>309</v>
      </c>
      <c r="AB309" s="423"/>
      <c r="AC309" s="452"/>
      <c r="AD309" s="450">
        <v>1.85</v>
      </c>
      <c r="AE309" s="165"/>
      <c r="AF309" s="160"/>
      <c r="AG309" s="192">
        <v>8.67</v>
      </c>
      <c r="AH309" s="110"/>
      <c r="AI309" s="125"/>
      <c r="AJ309" s="185">
        <f>X309*AD309</f>
        <v>488.4</v>
      </c>
      <c r="AK309" s="435"/>
      <c r="AL309" s="480"/>
    </row>
    <row r="310" spans="1:74" ht="26.25" hidden="1" customHeight="1" x14ac:dyDescent="0.25">
      <c r="B310" s="11"/>
      <c r="C310" s="6" t="s">
        <v>18</v>
      </c>
      <c r="D310" s="23" t="s">
        <v>40</v>
      </c>
      <c r="E310" s="107" t="s">
        <v>467</v>
      </c>
      <c r="F310" s="386">
        <v>830</v>
      </c>
      <c r="G310" s="14" t="s">
        <v>0</v>
      </c>
      <c r="H310" s="39"/>
      <c r="I310" s="309">
        <v>0</v>
      </c>
      <c r="J310" s="39">
        <f t="shared" si="86"/>
        <v>0</v>
      </c>
      <c r="K310" s="309">
        <f t="shared" si="97"/>
        <v>17.23</v>
      </c>
      <c r="L310" s="230">
        <f>K310*J603</f>
        <v>0</v>
      </c>
      <c r="M310" s="47" t="s">
        <v>839</v>
      </c>
      <c r="N310" s="140"/>
      <c r="O310" s="39"/>
      <c r="P310" s="309">
        <f t="shared" si="95"/>
        <v>0</v>
      </c>
      <c r="Q310" s="51" t="str">
        <f t="shared" si="88"/>
        <v>К22,8х8,2х8,9</v>
      </c>
      <c r="R310" s="377">
        <f t="shared" si="96"/>
        <v>24.12</v>
      </c>
      <c r="S310" s="326">
        <v>20.100000000000001</v>
      </c>
      <c r="T310" s="353">
        <f t="shared" si="93"/>
        <v>0</v>
      </c>
      <c r="U310" s="430">
        <v>92</v>
      </c>
      <c r="V310" s="20">
        <f t="shared" si="90"/>
        <v>0</v>
      </c>
      <c r="W310" s="52">
        <f t="shared" si="91"/>
        <v>0</v>
      </c>
      <c r="X310" s="430">
        <f>60+38-6</f>
        <v>92</v>
      </c>
      <c r="Y310" s="18" t="s">
        <v>784</v>
      </c>
      <c r="Z310" s="18"/>
      <c r="AA310" s="18"/>
      <c r="AB310" s="418"/>
      <c r="AC310" s="168"/>
      <c r="AD310" s="450">
        <v>6</v>
      </c>
      <c r="AE310" s="165"/>
      <c r="AF310" s="160"/>
      <c r="AG310" s="192">
        <v>22</v>
      </c>
      <c r="AH310" s="110"/>
      <c r="AI310" s="125"/>
      <c r="AJ310" s="185">
        <f>X310*AD310</f>
        <v>552</v>
      </c>
      <c r="AK310" s="435"/>
      <c r="AL310" s="476"/>
    </row>
    <row r="311" spans="1:74" ht="26.25" hidden="1" customHeight="1" x14ac:dyDescent="0.3">
      <c r="B311" s="11"/>
      <c r="C311" s="6" t="s">
        <v>18</v>
      </c>
      <c r="D311" s="23" t="s">
        <v>40</v>
      </c>
      <c r="E311" s="112" t="s">
        <v>319</v>
      </c>
      <c r="F311" s="386">
        <v>1069</v>
      </c>
      <c r="G311" s="13" t="s">
        <v>0</v>
      </c>
      <c r="H311" s="39"/>
      <c r="I311" s="309">
        <v>0</v>
      </c>
      <c r="J311" s="39">
        <f t="shared" si="86"/>
        <v>0</v>
      </c>
      <c r="K311" s="309">
        <f t="shared" si="97"/>
        <v>21.43</v>
      </c>
      <c r="L311" s="230"/>
      <c r="M311" s="90"/>
      <c r="N311" s="140"/>
      <c r="O311" s="489"/>
      <c r="P311" s="490">
        <f t="shared" si="95"/>
        <v>0</v>
      </c>
      <c r="Q311" s="262" t="str">
        <f t="shared" si="88"/>
        <v>К26,6х11х0,7</v>
      </c>
      <c r="R311" s="377">
        <f t="shared" si="96"/>
        <v>30</v>
      </c>
      <c r="S311" s="322">
        <v>25</v>
      </c>
      <c r="T311" s="353">
        <f t="shared" si="93"/>
        <v>0</v>
      </c>
      <c r="U311" s="430">
        <v>30</v>
      </c>
      <c r="V311" s="20">
        <f t="shared" si="90"/>
        <v>0</v>
      </c>
      <c r="W311" s="52">
        <f t="shared" si="91"/>
        <v>0</v>
      </c>
      <c r="X311" s="430">
        <v>30</v>
      </c>
      <c r="Y311" s="18" t="s">
        <v>791</v>
      </c>
      <c r="Z311" s="18"/>
      <c r="AA311" s="18"/>
      <c r="AB311" s="418"/>
      <c r="AC311" s="168"/>
      <c r="AD311" s="450">
        <v>10</v>
      </c>
      <c r="AE311" s="165"/>
      <c r="AF311" s="160"/>
      <c r="AG311" s="192">
        <v>2.41</v>
      </c>
      <c r="AH311" s="128"/>
      <c r="AI311" s="113" t="s">
        <v>416</v>
      </c>
      <c r="AJ311" s="185">
        <f>X311*AD311</f>
        <v>300</v>
      </c>
      <c r="AK311" s="10"/>
      <c r="AL311" s="476"/>
    </row>
    <row r="312" spans="1:74" ht="26.25" hidden="1" customHeight="1" x14ac:dyDescent="0.3">
      <c r="B312" s="11"/>
      <c r="C312" s="6" t="s">
        <v>18</v>
      </c>
      <c r="D312" s="23" t="s">
        <v>40</v>
      </c>
      <c r="E312" s="112" t="s">
        <v>442</v>
      </c>
      <c r="F312" s="386">
        <v>1200</v>
      </c>
      <c r="G312" s="13"/>
      <c r="H312" s="39"/>
      <c r="I312" s="309">
        <v>0</v>
      </c>
      <c r="J312" s="39">
        <f t="shared" si="86"/>
        <v>0</v>
      </c>
      <c r="K312" s="309">
        <f t="shared" si="97"/>
        <v>10.39</v>
      </c>
      <c r="L312" s="230"/>
      <c r="M312" s="90"/>
      <c r="N312" s="140"/>
      <c r="O312" s="39"/>
      <c r="P312" s="309">
        <f t="shared" si="95"/>
        <v>0</v>
      </c>
      <c r="Q312" s="235" t="str">
        <f t="shared" si="88"/>
        <v>К30х5х5</v>
      </c>
      <c r="R312" s="377">
        <f t="shared" si="96"/>
        <v>14.54</v>
      </c>
      <c r="S312" s="319">
        <v>12.12</v>
      </c>
      <c r="T312" s="353">
        <f t="shared" si="93"/>
        <v>0</v>
      </c>
      <c r="U312" s="18"/>
      <c r="V312" s="20">
        <f t="shared" si="90"/>
        <v>0</v>
      </c>
      <c r="W312" s="52">
        <f t="shared" si="91"/>
        <v>0</v>
      </c>
      <c r="X312" s="18"/>
      <c r="Y312" s="18"/>
      <c r="Z312" s="18"/>
      <c r="AA312" s="18"/>
      <c r="AB312" s="418"/>
      <c r="AC312" s="168"/>
      <c r="AD312" s="450"/>
      <c r="AE312" s="165"/>
      <c r="AF312" s="160"/>
      <c r="AG312" s="192"/>
      <c r="AH312" s="128"/>
      <c r="AI312" s="206"/>
      <c r="AJ312" s="185"/>
      <c r="AK312" s="10"/>
      <c r="AL312" s="476"/>
    </row>
    <row r="313" spans="1:74" ht="26.25" hidden="1" customHeight="1" x14ac:dyDescent="0.25">
      <c r="B313" s="11"/>
      <c r="C313" s="6" t="s">
        <v>18</v>
      </c>
      <c r="D313" s="23" t="s">
        <v>40</v>
      </c>
      <c r="E313" s="276" t="s">
        <v>640</v>
      </c>
      <c r="F313" s="386"/>
      <c r="G313" s="13"/>
      <c r="H313" s="39"/>
      <c r="I313" s="309">
        <v>0</v>
      </c>
      <c r="J313" s="39">
        <f t="shared" si="86"/>
        <v>0</v>
      </c>
      <c r="K313" s="309">
        <f t="shared" si="97"/>
        <v>0</v>
      </c>
      <c r="L313" s="230"/>
      <c r="M313" s="90"/>
      <c r="N313" s="140"/>
      <c r="O313" s="39"/>
      <c r="P313" s="309">
        <f t="shared" si="95"/>
        <v>0</v>
      </c>
      <c r="Q313" s="235" t="str">
        <f t="shared" si="88"/>
        <v>К25х5,5(10)х3</v>
      </c>
      <c r="R313" s="377">
        <f t="shared" si="96"/>
        <v>0</v>
      </c>
      <c r="S313" s="326">
        <v>0</v>
      </c>
      <c r="T313" s="353">
        <f t="shared" si="93"/>
        <v>0</v>
      </c>
      <c r="U313" s="430">
        <v>10</v>
      </c>
      <c r="V313" s="20">
        <f t="shared" si="90"/>
        <v>0</v>
      </c>
      <c r="W313" s="52">
        <f t="shared" si="91"/>
        <v>0</v>
      </c>
      <c r="X313" s="430">
        <v>10</v>
      </c>
      <c r="Y313" s="18"/>
      <c r="Z313" s="18"/>
      <c r="AA313" s="18"/>
      <c r="AB313" s="418"/>
      <c r="AC313" s="200"/>
      <c r="AD313" s="160">
        <v>2.2000000000000002</v>
      </c>
      <c r="AE313" s="165"/>
      <c r="AF313" s="160"/>
      <c r="AG313" s="192">
        <v>22</v>
      </c>
      <c r="AH313" s="128"/>
      <c r="AI313" s="129"/>
      <c r="AJ313" s="185">
        <f t="shared" ref="AJ313:AJ323" si="98">X313*AD313</f>
        <v>22</v>
      </c>
      <c r="AK313" s="10"/>
    </row>
    <row r="314" spans="1:74" ht="26.25" hidden="1" customHeight="1" x14ac:dyDescent="0.25">
      <c r="B314" s="11"/>
      <c r="C314" s="6" t="s">
        <v>18</v>
      </c>
      <c r="D314" s="23" t="s">
        <v>40</v>
      </c>
      <c r="E314" s="276" t="s">
        <v>641</v>
      </c>
      <c r="F314" s="387"/>
      <c r="G314" s="12"/>
      <c r="H314" s="39"/>
      <c r="I314" s="309">
        <v>0</v>
      </c>
      <c r="J314" s="39">
        <f t="shared" si="86"/>
        <v>0</v>
      </c>
      <c r="K314" s="309">
        <f t="shared" si="97"/>
        <v>0</v>
      </c>
      <c r="L314" s="230">
        <f>K314*J607</f>
        <v>0</v>
      </c>
      <c r="M314" s="90" t="s">
        <v>150</v>
      </c>
      <c r="N314" s="140"/>
      <c r="O314" s="39"/>
      <c r="P314" s="309">
        <f t="shared" si="95"/>
        <v>0</v>
      </c>
      <c r="Q314" s="235" t="str">
        <f t="shared" si="88"/>
        <v>К31х12х22</v>
      </c>
      <c r="R314" s="377">
        <f t="shared" si="96"/>
        <v>0</v>
      </c>
      <c r="S314" s="319">
        <v>0</v>
      </c>
      <c r="T314" s="353">
        <f t="shared" si="93"/>
        <v>0</v>
      </c>
      <c r="U314" s="430">
        <v>9</v>
      </c>
      <c r="V314" s="20">
        <f t="shared" si="90"/>
        <v>0</v>
      </c>
      <c r="W314" s="52">
        <f t="shared" si="91"/>
        <v>0</v>
      </c>
      <c r="X314" s="430">
        <v>9</v>
      </c>
      <c r="Y314" s="18"/>
      <c r="Z314" s="18"/>
      <c r="AA314" s="18"/>
      <c r="AB314" s="418"/>
      <c r="AC314" s="200"/>
      <c r="AD314" s="160">
        <v>20</v>
      </c>
      <c r="AE314" s="164"/>
      <c r="AF314" s="160"/>
      <c r="AG314" s="176">
        <v>194.5</v>
      </c>
      <c r="AH314" s="120">
        <v>1600</v>
      </c>
      <c r="AI314" s="125"/>
      <c r="AJ314" s="185">
        <f t="shared" si="98"/>
        <v>180</v>
      </c>
      <c r="AK314" s="435"/>
      <c r="AL314" s="16"/>
    </row>
    <row r="315" spans="1:74" ht="26.25" customHeight="1" x14ac:dyDescent="0.25">
      <c r="B315" s="11">
        <v>99</v>
      </c>
      <c r="C315" s="6" t="s">
        <v>18</v>
      </c>
      <c r="D315" s="23" t="s">
        <v>40</v>
      </c>
      <c r="E315" s="463" t="s">
        <v>725</v>
      </c>
      <c r="F315" s="386">
        <v>1492</v>
      </c>
      <c r="G315" s="14"/>
      <c r="H315" s="39"/>
      <c r="I315" s="309">
        <v>0</v>
      </c>
      <c r="J315" s="39">
        <f t="shared" si="86"/>
        <v>50</v>
      </c>
      <c r="K315" s="309">
        <f t="shared" si="97"/>
        <v>152.57</v>
      </c>
      <c r="L315" s="230"/>
      <c r="M315" s="218" t="s">
        <v>805</v>
      </c>
      <c r="N315" s="140"/>
      <c r="O315" s="39">
        <v>50</v>
      </c>
      <c r="P315" s="309">
        <f t="shared" si="95"/>
        <v>7628.5</v>
      </c>
      <c r="Q315" s="235" t="str">
        <f t="shared" si="88"/>
        <v>К59х44х4</v>
      </c>
      <c r="R315" s="377">
        <f t="shared" si="96"/>
        <v>213.6</v>
      </c>
      <c r="S315" s="326">
        <v>178</v>
      </c>
      <c r="T315" s="353">
        <f t="shared" si="93"/>
        <v>8900</v>
      </c>
      <c r="U315" s="20"/>
      <c r="V315" s="20">
        <f t="shared" si="90"/>
        <v>0</v>
      </c>
      <c r="W315" s="52">
        <f t="shared" si="91"/>
        <v>0</v>
      </c>
      <c r="X315" s="20"/>
      <c r="Y315" s="20"/>
      <c r="Z315" s="20"/>
      <c r="AA315" s="20"/>
      <c r="AB315" s="417"/>
      <c r="AC315" s="168"/>
      <c r="AD315" s="450">
        <v>17</v>
      </c>
      <c r="AE315" s="164"/>
      <c r="AF315" s="160"/>
      <c r="AG315" s="176">
        <v>166</v>
      </c>
      <c r="AH315" s="120"/>
      <c r="AI315" s="125"/>
      <c r="AJ315" s="185">
        <f t="shared" si="98"/>
        <v>0</v>
      </c>
      <c r="AK315" s="435"/>
      <c r="AL315" s="476"/>
    </row>
    <row r="316" spans="1:74" ht="26.25" customHeight="1" x14ac:dyDescent="0.25">
      <c r="B316" s="11">
        <v>100</v>
      </c>
      <c r="C316" s="6" t="s">
        <v>18</v>
      </c>
      <c r="D316" s="23" t="s">
        <v>40</v>
      </c>
      <c r="E316" s="112" t="s">
        <v>494</v>
      </c>
      <c r="F316" s="526">
        <v>1332</v>
      </c>
      <c r="G316" s="12" t="s">
        <v>0</v>
      </c>
      <c r="H316" s="39"/>
      <c r="I316" s="360">
        <v>0</v>
      </c>
      <c r="J316" s="39">
        <f t="shared" si="86"/>
        <v>10</v>
      </c>
      <c r="K316" s="309">
        <f t="shared" si="97"/>
        <v>8.14</v>
      </c>
      <c r="L316" s="230"/>
      <c r="M316" s="219" t="s">
        <v>714</v>
      </c>
      <c r="N316" s="140">
        <v>10</v>
      </c>
      <c r="O316" s="503"/>
      <c r="P316" s="309">
        <f t="shared" si="95"/>
        <v>0</v>
      </c>
      <c r="Q316" s="235" t="str">
        <f t="shared" si="88"/>
        <v>К25х5,5(10)х5</v>
      </c>
      <c r="R316" s="377">
        <f t="shared" si="96"/>
        <v>11.4</v>
      </c>
      <c r="S316" s="326">
        <v>9.5</v>
      </c>
      <c r="T316" s="353">
        <f t="shared" si="93"/>
        <v>95</v>
      </c>
      <c r="U316" s="18"/>
      <c r="V316" s="20">
        <f t="shared" si="90"/>
        <v>10</v>
      </c>
      <c r="W316" s="52">
        <f t="shared" si="91"/>
        <v>10</v>
      </c>
      <c r="X316" s="18"/>
      <c r="Y316" s="18"/>
      <c r="Z316" s="18"/>
      <c r="AA316" s="18">
        <v>4</v>
      </c>
      <c r="AB316" s="418"/>
      <c r="AC316" s="168"/>
      <c r="AD316" s="450">
        <v>2.2000000000000002</v>
      </c>
      <c r="AE316" s="165"/>
      <c r="AF316" s="160"/>
      <c r="AG316" s="192">
        <v>22</v>
      </c>
      <c r="AH316" s="128"/>
      <c r="AI316" s="129"/>
      <c r="AJ316" s="185">
        <f t="shared" si="98"/>
        <v>0</v>
      </c>
      <c r="AK316" s="10"/>
      <c r="AL316" s="476"/>
    </row>
    <row r="317" spans="1:74" ht="26.25" hidden="1" customHeight="1" x14ac:dyDescent="0.25">
      <c r="B317" s="11"/>
      <c r="C317" s="6" t="s">
        <v>18</v>
      </c>
      <c r="D317" s="23" t="s">
        <v>40</v>
      </c>
      <c r="E317" s="106" t="s">
        <v>660</v>
      </c>
      <c r="F317" s="387" t="s">
        <v>192</v>
      </c>
      <c r="G317" s="12" t="s">
        <v>0</v>
      </c>
      <c r="H317" s="39"/>
      <c r="I317" s="309">
        <v>0</v>
      </c>
      <c r="J317" s="39">
        <f t="shared" si="86"/>
        <v>0</v>
      </c>
      <c r="K317" s="309">
        <f t="shared" si="97"/>
        <v>83.14</v>
      </c>
      <c r="L317" s="230">
        <f>K317*J610</f>
        <v>0</v>
      </c>
      <c r="M317" s="90" t="s">
        <v>150</v>
      </c>
      <c r="N317" s="140"/>
      <c r="O317" s="39"/>
      <c r="P317" s="490">
        <f t="shared" si="95"/>
        <v>0</v>
      </c>
      <c r="Q317" s="235" t="str">
        <f t="shared" si="88"/>
        <v>К47х8(12)х14,5</v>
      </c>
      <c r="R317" s="377">
        <f t="shared" si="96"/>
        <v>116.4</v>
      </c>
      <c r="S317" s="319">
        <v>97</v>
      </c>
      <c r="T317" s="353">
        <f t="shared" si="93"/>
        <v>0</v>
      </c>
      <c r="U317" s="430">
        <v>15</v>
      </c>
      <c r="V317" s="20">
        <f t="shared" si="90"/>
        <v>0</v>
      </c>
      <c r="W317" s="52">
        <f t="shared" si="91"/>
        <v>0</v>
      </c>
      <c r="X317" s="147">
        <v>15</v>
      </c>
      <c r="Y317" s="18" t="s">
        <v>788</v>
      </c>
      <c r="Z317" s="18"/>
      <c r="AA317" s="18"/>
      <c r="AB317" s="418"/>
      <c r="AC317" s="168"/>
      <c r="AD317" s="450">
        <v>20</v>
      </c>
      <c r="AE317" s="164"/>
      <c r="AF317" s="160"/>
      <c r="AG317" s="176">
        <v>194.5</v>
      </c>
      <c r="AH317" s="120">
        <v>1600</v>
      </c>
      <c r="AI317" s="125"/>
      <c r="AJ317" s="185">
        <f t="shared" si="98"/>
        <v>300</v>
      </c>
      <c r="AK317" s="435"/>
      <c r="AL317" s="476"/>
    </row>
    <row r="318" spans="1:74" ht="26.25" hidden="1" customHeight="1" x14ac:dyDescent="0.25">
      <c r="B318" s="11"/>
      <c r="C318" s="6" t="s">
        <v>18</v>
      </c>
      <c r="D318" s="23" t="s">
        <v>40</v>
      </c>
      <c r="E318" s="107" t="s">
        <v>311</v>
      </c>
      <c r="F318" s="386"/>
      <c r="G318" s="12" t="s">
        <v>0</v>
      </c>
      <c r="H318" s="39"/>
      <c r="I318" s="309">
        <v>0</v>
      </c>
      <c r="J318" s="39">
        <f t="shared" si="86"/>
        <v>0</v>
      </c>
      <c r="K318" s="309">
        <f t="shared" si="97"/>
        <v>0</v>
      </c>
      <c r="L318" s="230"/>
      <c r="M318" s="90"/>
      <c r="N318" s="140"/>
      <c r="O318" s="39"/>
      <c r="P318" s="309">
        <f t="shared" si="95"/>
        <v>0</v>
      </c>
      <c r="Q318" s="235" t="str">
        <f t="shared" si="88"/>
        <v>К47х20х15</v>
      </c>
      <c r="R318" s="377">
        <f t="shared" si="96"/>
        <v>0</v>
      </c>
      <c r="S318" s="319">
        <v>0</v>
      </c>
      <c r="T318" s="353">
        <f t="shared" si="93"/>
        <v>0</v>
      </c>
      <c r="U318" s="70">
        <v>10</v>
      </c>
      <c r="V318" s="20">
        <f t="shared" si="90"/>
        <v>0</v>
      </c>
      <c r="W318" s="52">
        <f t="shared" si="91"/>
        <v>0</v>
      </c>
      <c r="X318" s="70">
        <v>10</v>
      </c>
      <c r="Y318" s="20" t="s">
        <v>792</v>
      </c>
      <c r="Z318" s="20"/>
      <c r="AA318" s="20"/>
      <c r="AB318" s="417"/>
      <c r="AC318" s="168"/>
      <c r="AD318" s="450">
        <v>17</v>
      </c>
      <c r="AE318" s="164"/>
      <c r="AF318" s="160"/>
      <c r="AG318" s="176">
        <v>166</v>
      </c>
      <c r="AH318" s="120"/>
      <c r="AI318" s="125"/>
      <c r="AJ318" s="185">
        <f t="shared" si="98"/>
        <v>170</v>
      </c>
      <c r="AK318" s="435"/>
      <c r="AL318" s="476"/>
    </row>
    <row r="319" spans="1:74" ht="26.25" hidden="1" customHeight="1" x14ac:dyDescent="0.25">
      <c r="B319" s="11"/>
      <c r="C319" s="6" t="s">
        <v>18</v>
      </c>
      <c r="D319" s="23" t="s">
        <v>40</v>
      </c>
      <c r="E319" s="107" t="s">
        <v>778</v>
      </c>
      <c r="F319" s="386">
        <v>384</v>
      </c>
      <c r="G319" s="12" t="s">
        <v>0</v>
      </c>
      <c r="H319" s="39"/>
      <c r="I319" s="309">
        <v>0</v>
      </c>
      <c r="J319" s="39">
        <f t="shared" si="86"/>
        <v>0</v>
      </c>
      <c r="K319" s="309">
        <f t="shared" si="97"/>
        <v>75.430000000000007</v>
      </c>
      <c r="L319" s="230"/>
      <c r="M319" s="64"/>
      <c r="N319" s="140"/>
      <c r="O319" s="39"/>
      <c r="P319" s="309">
        <f t="shared" si="95"/>
        <v>0</v>
      </c>
      <c r="Q319" s="235" t="str">
        <f t="shared" si="88"/>
        <v>К53х23х15</v>
      </c>
      <c r="R319" s="377">
        <f t="shared" si="96"/>
        <v>105.6</v>
      </c>
      <c r="S319" s="319">
        <v>88</v>
      </c>
      <c r="T319" s="353">
        <f t="shared" si="93"/>
        <v>0</v>
      </c>
      <c r="U319" s="70">
        <v>1</v>
      </c>
      <c r="V319" s="20">
        <f t="shared" si="90"/>
        <v>0</v>
      </c>
      <c r="W319" s="52">
        <f t="shared" si="91"/>
        <v>0</v>
      </c>
      <c r="X319" s="70">
        <v>1</v>
      </c>
      <c r="Y319" s="20" t="s">
        <v>793</v>
      </c>
      <c r="Z319" s="20"/>
      <c r="AA319" s="20"/>
      <c r="AB319" s="417"/>
      <c r="AC319" s="200"/>
      <c r="AD319" s="160">
        <v>21</v>
      </c>
      <c r="AE319" s="164"/>
      <c r="AF319" s="160"/>
      <c r="AG319" s="176">
        <v>192</v>
      </c>
      <c r="AH319" s="120"/>
      <c r="AI319" s="125"/>
      <c r="AJ319" s="185">
        <f t="shared" si="98"/>
        <v>21</v>
      </c>
      <c r="AK319" s="125"/>
    </row>
    <row r="320" spans="1:74" ht="26.25" hidden="1" customHeight="1" x14ac:dyDescent="0.25">
      <c r="B320" s="11"/>
      <c r="C320" s="6" t="s">
        <v>18</v>
      </c>
      <c r="D320" s="23" t="s">
        <v>40</v>
      </c>
      <c r="E320" s="107" t="s">
        <v>393</v>
      </c>
      <c r="F320" s="386"/>
      <c r="G320" s="12" t="s">
        <v>0</v>
      </c>
      <c r="H320" s="39"/>
      <c r="I320" s="309">
        <v>0</v>
      </c>
      <c r="J320" s="39">
        <f t="shared" si="86"/>
        <v>0</v>
      </c>
      <c r="K320" s="309">
        <f t="shared" si="97"/>
        <v>0</v>
      </c>
      <c r="L320" s="230"/>
      <c r="M320" s="64"/>
      <c r="N320" s="140"/>
      <c r="O320" s="39"/>
      <c r="P320" s="309">
        <f t="shared" si="95"/>
        <v>0</v>
      </c>
      <c r="Q320" s="235" t="str">
        <f t="shared" si="88"/>
        <v>К60х36х20</v>
      </c>
      <c r="R320" s="377">
        <f t="shared" si="96"/>
        <v>0</v>
      </c>
      <c r="S320" s="319">
        <v>0</v>
      </c>
      <c r="T320" s="353">
        <f t="shared" si="93"/>
        <v>0</v>
      </c>
      <c r="U320" s="70">
        <v>13</v>
      </c>
      <c r="V320" s="20">
        <f t="shared" si="90"/>
        <v>0</v>
      </c>
      <c r="W320" s="52">
        <f t="shared" si="91"/>
        <v>0</v>
      </c>
      <c r="X320" s="148">
        <v>13</v>
      </c>
      <c r="Y320" s="20" t="s">
        <v>788</v>
      </c>
      <c r="Z320" s="20"/>
      <c r="AA320" s="20"/>
      <c r="AB320" s="417"/>
      <c r="AC320" s="168"/>
      <c r="AD320" s="450">
        <v>28</v>
      </c>
      <c r="AE320" s="164"/>
      <c r="AF320" s="160"/>
      <c r="AG320" s="176">
        <v>282</v>
      </c>
      <c r="AH320" s="120"/>
      <c r="AI320" s="125"/>
      <c r="AJ320" s="185">
        <f t="shared" si="98"/>
        <v>364</v>
      </c>
      <c r="AK320" s="435"/>
      <c r="AL320" s="476"/>
    </row>
    <row r="321" spans="2:53" ht="26.25" hidden="1" customHeight="1" x14ac:dyDescent="0.25">
      <c r="B321" s="11"/>
      <c r="C321" s="6" t="s">
        <v>18</v>
      </c>
      <c r="D321" s="23" t="s">
        <v>40</v>
      </c>
      <c r="E321" s="107" t="s">
        <v>392</v>
      </c>
      <c r="F321" s="386"/>
      <c r="G321" s="12" t="s">
        <v>0</v>
      </c>
      <c r="H321" s="39"/>
      <c r="I321" s="309">
        <v>0</v>
      </c>
      <c r="J321" s="39">
        <f t="shared" si="86"/>
        <v>0</v>
      </c>
      <c r="K321" s="309">
        <f t="shared" si="97"/>
        <v>0</v>
      </c>
      <c r="L321" s="230"/>
      <c r="M321" s="64"/>
      <c r="N321" s="140"/>
      <c r="O321" s="513"/>
      <c r="P321" s="497">
        <f t="shared" si="95"/>
        <v>0</v>
      </c>
      <c r="Q321" s="263" t="str">
        <f t="shared" si="88"/>
        <v>К80х10х10</v>
      </c>
      <c r="R321" s="377">
        <f t="shared" si="96"/>
        <v>0</v>
      </c>
      <c r="S321" s="319">
        <v>0</v>
      </c>
      <c r="T321" s="353">
        <f t="shared" si="93"/>
        <v>0</v>
      </c>
      <c r="U321" s="70">
        <v>6</v>
      </c>
      <c r="V321" s="20">
        <f t="shared" si="90"/>
        <v>0</v>
      </c>
      <c r="W321" s="52">
        <f t="shared" si="91"/>
        <v>0</v>
      </c>
      <c r="X321" s="70">
        <v>6</v>
      </c>
      <c r="Y321" s="20" t="s">
        <v>786</v>
      </c>
      <c r="Z321" s="20"/>
      <c r="AA321" s="20"/>
      <c r="AB321" s="417"/>
      <c r="AC321" s="168"/>
      <c r="AD321" s="450">
        <v>38</v>
      </c>
      <c r="AE321" s="164"/>
      <c r="AF321" s="160"/>
      <c r="AG321" s="176">
        <v>386</v>
      </c>
      <c r="AH321" s="120"/>
      <c r="AI321" s="125"/>
      <c r="AJ321" s="185">
        <f t="shared" si="98"/>
        <v>228</v>
      </c>
      <c r="AK321" s="435"/>
      <c r="AL321" s="476"/>
    </row>
    <row r="322" spans="2:53" ht="26.25" customHeight="1" x14ac:dyDescent="0.25">
      <c r="B322" s="11">
        <v>101</v>
      </c>
      <c r="C322" s="6" t="s">
        <v>18</v>
      </c>
      <c r="D322" s="23" t="s">
        <v>40</v>
      </c>
      <c r="E322" s="107" t="s">
        <v>138</v>
      </c>
      <c r="F322" s="396" t="s">
        <v>59</v>
      </c>
      <c r="G322" s="12" t="s">
        <v>0</v>
      </c>
      <c r="H322" s="39">
        <v>1000</v>
      </c>
      <c r="I322" s="360">
        <v>219.4</v>
      </c>
      <c r="J322" s="39">
        <f t="shared" si="86"/>
        <v>0</v>
      </c>
      <c r="K322" s="309">
        <v>0.22</v>
      </c>
      <c r="L322" s="230">
        <f>K322*J615</f>
        <v>0</v>
      </c>
      <c r="M322" s="249"/>
      <c r="N322" s="141"/>
      <c r="O322" s="39">
        <v>1000</v>
      </c>
      <c r="P322" s="309">
        <v>219.4</v>
      </c>
      <c r="Q322" s="51" t="str">
        <f t="shared" si="88"/>
        <v>П2,5х2,5х2</v>
      </c>
      <c r="R322" s="377">
        <f t="shared" si="96"/>
        <v>0.31</v>
      </c>
      <c r="S322" s="319">
        <v>0.25600000000000001</v>
      </c>
      <c r="T322" s="353">
        <f t="shared" si="93"/>
        <v>0</v>
      </c>
      <c r="U322" s="70">
        <v>2998</v>
      </c>
      <c r="V322" s="20">
        <f t="shared" si="90"/>
        <v>0</v>
      </c>
      <c r="W322" s="52">
        <f t="shared" si="91"/>
        <v>0</v>
      </c>
      <c r="X322" s="70">
        <f>3000-2</f>
        <v>2998</v>
      </c>
      <c r="Y322" s="20"/>
      <c r="Z322" s="20"/>
      <c r="AA322" s="20"/>
      <c r="AB322" s="417"/>
      <c r="AC322" s="168"/>
      <c r="AD322" s="450">
        <v>0.06</v>
      </c>
      <c r="AE322" s="348" t="s">
        <v>401</v>
      </c>
      <c r="AF322" s="171">
        <v>0.06</v>
      </c>
      <c r="AG322" s="192">
        <v>0.1</v>
      </c>
      <c r="AH322" s="110"/>
      <c r="AI322" s="125"/>
      <c r="AJ322" s="185">
        <f t="shared" si="98"/>
        <v>179.9</v>
      </c>
      <c r="AK322" s="435"/>
      <c r="AL322" s="476"/>
    </row>
    <row r="323" spans="2:53" ht="26.25" customHeight="1" x14ac:dyDescent="0.25">
      <c r="B323" s="11">
        <v>102</v>
      </c>
      <c r="C323" s="6" t="s">
        <v>18</v>
      </c>
      <c r="D323" s="23" t="s">
        <v>40</v>
      </c>
      <c r="E323" s="104" t="s">
        <v>128</v>
      </c>
      <c r="F323" s="208">
        <v>480</v>
      </c>
      <c r="G323" s="12" t="s">
        <v>0</v>
      </c>
      <c r="H323" s="39">
        <v>2000</v>
      </c>
      <c r="I323" s="360">
        <v>1400</v>
      </c>
      <c r="J323" s="39">
        <f t="shared" si="86"/>
        <v>1000</v>
      </c>
      <c r="K323" s="309">
        <f t="shared" ref="K323:K335" si="99">R323/1.4</f>
        <v>0.7</v>
      </c>
      <c r="L323" s="230">
        <f>K323*J616</f>
        <v>0</v>
      </c>
      <c r="M323" s="154" t="s">
        <v>840</v>
      </c>
      <c r="N323" s="140">
        <v>1000</v>
      </c>
      <c r="O323" s="39">
        <v>2000</v>
      </c>
      <c r="P323" s="309">
        <f t="shared" ref="P323:P335" si="100">K323*O323</f>
        <v>1400</v>
      </c>
      <c r="Q323" s="51" t="str">
        <f t="shared" si="88"/>
        <v>П3х3х4 (ЭПГ 111.022)</v>
      </c>
      <c r="R323" s="306">
        <f t="shared" si="96"/>
        <v>0.98</v>
      </c>
      <c r="S323" s="319">
        <v>0.82</v>
      </c>
      <c r="T323" s="353">
        <f t="shared" si="93"/>
        <v>820</v>
      </c>
      <c r="U323" s="70">
        <v>15650</v>
      </c>
      <c r="V323" s="20">
        <f t="shared" si="90"/>
        <v>1000</v>
      </c>
      <c r="W323" s="511">
        <f t="shared" si="91"/>
        <v>0</v>
      </c>
      <c r="X323" s="70">
        <f>15650-1000</f>
        <v>14650</v>
      </c>
      <c r="Y323" s="20" t="s">
        <v>782</v>
      </c>
      <c r="Z323" s="20">
        <v>1250</v>
      </c>
      <c r="AA323" s="20">
        <f>7020+1450</f>
        <v>8470</v>
      </c>
      <c r="AB323" s="417"/>
      <c r="AC323" s="168"/>
      <c r="AD323" s="450">
        <v>0.11</v>
      </c>
      <c r="AE323" s="163"/>
      <c r="AF323" s="171"/>
      <c r="AG323" s="192">
        <v>0.28000000000000003</v>
      </c>
      <c r="AH323" s="110"/>
      <c r="AI323" s="125"/>
      <c r="AJ323" s="185">
        <f t="shared" si="98"/>
        <v>1611.5</v>
      </c>
      <c r="AK323" s="435"/>
      <c r="AL323" s="476"/>
    </row>
    <row r="324" spans="2:53" ht="26.25" hidden="1" customHeight="1" thickBot="1" x14ac:dyDescent="0.3">
      <c r="B324" s="15"/>
      <c r="C324" s="6" t="s">
        <v>18</v>
      </c>
      <c r="D324" s="23" t="s">
        <v>40</v>
      </c>
      <c r="E324" s="286" t="s">
        <v>564</v>
      </c>
      <c r="F324" s="208">
        <v>1300</v>
      </c>
      <c r="G324" s="48" t="s">
        <v>0</v>
      </c>
      <c r="H324" s="39"/>
      <c r="I324" s="360">
        <v>0</v>
      </c>
      <c r="J324" s="39">
        <f t="shared" si="86"/>
        <v>0</v>
      </c>
      <c r="K324" s="309">
        <f t="shared" si="99"/>
        <v>4.29</v>
      </c>
      <c r="L324" s="230"/>
      <c r="M324" s="158" t="s">
        <v>522</v>
      </c>
      <c r="N324" s="140"/>
      <c r="O324" s="489"/>
      <c r="P324" s="467">
        <f t="shared" si="100"/>
        <v>0</v>
      </c>
      <c r="Q324" s="256" t="str">
        <f t="shared" si="88"/>
        <v>П4х4х3 б/п</v>
      </c>
      <c r="R324" s="377">
        <f t="shared" si="96"/>
        <v>6</v>
      </c>
      <c r="S324" s="326">
        <v>5</v>
      </c>
      <c r="T324" s="353">
        <f t="shared" si="93"/>
        <v>0</v>
      </c>
      <c r="U324" s="70">
        <v>4</v>
      </c>
      <c r="V324" s="20">
        <f t="shared" si="90"/>
        <v>0</v>
      </c>
      <c r="W324" s="52">
        <f t="shared" si="91"/>
        <v>0</v>
      </c>
      <c r="X324" s="70">
        <v>4</v>
      </c>
      <c r="Y324" s="20"/>
      <c r="Z324" s="20"/>
      <c r="AA324" s="20"/>
      <c r="AB324" s="417"/>
      <c r="AC324" s="168"/>
      <c r="AD324" s="450"/>
      <c r="AE324" s="163"/>
      <c r="AF324" s="171"/>
      <c r="AG324" s="192"/>
      <c r="AH324" s="110"/>
      <c r="AI324" s="125"/>
      <c r="AJ324" s="185"/>
      <c r="AK324" s="435"/>
      <c r="AL324" s="476"/>
    </row>
    <row r="325" spans="2:53" ht="26.25" hidden="1" customHeight="1" x14ac:dyDescent="0.25">
      <c r="B325" s="15"/>
      <c r="C325" s="6" t="s">
        <v>18</v>
      </c>
      <c r="D325" s="23" t="s">
        <v>40</v>
      </c>
      <c r="E325" s="286" t="s">
        <v>526</v>
      </c>
      <c r="F325" s="208">
        <v>1301</v>
      </c>
      <c r="G325" s="48" t="s">
        <v>0</v>
      </c>
      <c r="H325" s="39"/>
      <c r="I325" s="309">
        <v>0</v>
      </c>
      <c r="J325" s="39">
        <f t="shared" ref="J325:J356" si="101">N325+O325-H325</f>
        <v>0</v>
      </c>
      <c r="K325" s="309">
        <f t="shared" si="99"/>
        <v>4.29</v>
      </c>
      <c r="L325" s="230"/>
      <c r="M325" s="158" t="s">
        <v>522</v>
      </c>
      <c r="N325" s="140"/>
      <c r="O325" s="39"/>
      <c r="P325" s="497">
        <f t="shared" si="100"/>
        <v>0</v>
      </c>
      <c r="Q325" s="258" t="str">
        <f t="shared" ref="Q325:Q356" si="102">E325</f>
        <v>П7х6х2,5</v>
      </c>
      <c r="R325" s="377">
        <f t="shared" si="96"/>
        <v>6</v>
      </c>
      <c r="S325" s="326">
        <v>5</v>
      </c>
      <c r="T325" s="353">
        <f t="shared" si="93"/>
        <v>0</v>
      </c>
      <c r="U325" s="70">
        <v>41</v>
      </c>
      <c r="V325" s="20">
        <f t="shared" ref="V325:V356" si="103">N325</f>
        <v>0</v>
      </c>
      <c r="W325" s="52">
        <f t="shared" ref="W325:W356" si="104">X325-U325+V325</f>
        <v>0</v>
      </c>
      <c r="X325" s="70">
        <v>41</v>
      </c>
      <c r="Y325" s="20"/>
      <c r="Z325" s="20"/>
      <c r="AA325" s="20"/>
      <c r="AB325" s="417"/>
      <c r="AC325" s="168"/>
      <c r="AD325" s="450"/>
      <c r="AE325" s="163"/>
      <c r="AF325" s="171"/>
      <c r="AG325" s="192"/>
      <c r="AH325" s="110"/>
      <c r="AI325" s="125"/>
      <c r="AJ325" s="185"/>
      <c r="AK325" s="435"/>
      <c r="AL325" s="476"/>
    </row>
    <row r="326" spans="2:53" ht="26.25" hidden="1" customHeight="1" x14ac:dyDescent="0.3">
      <c r="B326" s="11"/>
      <c r="C326" s="6" t="s">
        <v>18</v>
      </c>
      <c r="D326" s="23" t="s">
        <v>40</v>
      </c>
      <c r="E326" s="104" t="s">
        <v>390</v>
      </c>
      <c r="F326" s="208">
        <v>951</v>
      </c>
      <c r="G326" s="12" t="s">
        <v>0</v>
      </c>
      <c r="H326" s="39"/>
      <c r="I326" s="309">
        <v>0</v>
      </c>
      <c r="J326" s="39">
        <f t="shared" si="101"/>
        <v>0</v>
      </c>
      <c r="K326" s="309">
        <f t="shared" si="99"/>
        <v>0.94</v>
      </c>
      <c r="L326" s="230">
        <f>K326*J619</f>
        <v>0</v>
      </c>
      <c r="M326" s="155" t="s">
        <v>715</v>
      </c>
      <c r="N326" s="140"/>
      <c r="O326" s="39"/>
      <c r="P326" s="309">
        <f t="shared" si="100"/>
        <v>0</v>
      </c>
      <c r="Q326" s="51" t="str">
        <f t="shared" si="102"/>
        <v xml:space="preserve">П3,5х2х4 </v>
      </c>
      <c r="R326" s="377">
        <f t="shared" si="96"/>
        <v>1.32</v>
      </c>
      <c r="S326" s="326">
        <v>1.1000000000000001</v>
      </c>
      <c r="T326" s="353">
        <f t="shared" si="93"/>
        <v>0</v>
      </c>
      <c r="U326" s="70">
        <v>715</v>
      </c>
      <c r="V326" s="20">
        <f t="shared" si="103"/>
        <v>0</v>
      </c>
      <c r="W326" s="52">
        <f t="shared" si="104"/>
        <v>0</v>
      </c>
      <c r="X326" s="70">
        <v>715</v>
      </c>
      <c r="Y326" s="20"/>
      <c r="Z326" s="20"/>
      <c r="AA326" s="20">
        <v>100</v>
      </c>
      <c r="AB326" s="417"/>
      <c r="AC326" s="168"/>
      <c r="AD326" s="450"/>
      <c r="AE326" s="163"/>
      <c r="AF326" s="171"/>
      <c r="AG326" s="192">
        <v>0.21</v>
      </c>
      <c r="AH326" s="110"/>
      <c r="AI326" s="113" t="s">
        <v>420</v>
      </c>
      <c r="AJ326" s="185">
        <f>X326*AD326</f>
        <v>0</v>
      </c>
      <c r="AK326" s="435"/>
      <c r="AL326" s="476"/>
    </row>
    <row r="327" spans="2:53" ht="26.25" hidden="1" customHeight="1" x14ac:dyDescent="0.25">
      <c r="B327" s="11"/>
      <c r="C327" s="6" t="s">
        <v>18</v>
      </c>
      <c r="D327" s="23" t="s">
        <v>40</v>
      </c>
      <c r="E327" s="104" t="s">
        <v>97</v>
      </c>
      <c r="F327" s="208"/>
      <c r="G327" s="12" t="s">
        <v>0</v>
      </c>
      <c r="H327" s="39"/>
      <c r="I327" s="309">
        <v>0</v>
      </c>
      <c r="J327" s="39">
        <f t="shared" si="101"/>
        <v>0</v>
      </c>
      <c r="K327" s="309">
        <f t="shared" si="99"/>
        <v>0</v>
      </c>
      <c r="L327" s="230"/>
      <c r="M327" s="158"/>
      <c r="N327" s="140"/>
      <c r="O327" s="39"/>
      <c r="P327" s="507">
        <f t="shared" si="100"/>
        <v>0</v>
      </c>
      <c r="Q327" s="264" t="str">
        <f t="shared" si="102"/>
        <v>П3х6х7</v>
      </c>
      <c r="R327" s="377">
        <f t="shared" si="96"/>
        <v>0</v>
      </c>
      <c r="S327" s="330">
        <v>0</v>
      </c>
      <c r="T327" s="353">
        <f>S327*J327</f>
        <v>0</v>
      </c>
      <c r="U327" s="70">
        <v>100</v>
      </c>
      <c r="V327" s="20">
        <f t="shared" si="103"/>
        <v>0</v>
      </c>
      <c r="W327" s="52">
        <f t="shared" si="104"/>
        <v>0</v>
      </c>
      <c r="X327" s="70">
        <v>100</v>
      </c>
      <c r="Y327" s="20"/>
      <c r="Z327" s="20"/>
      <c r="AA327" s="20"/>
      <c r="AB327" s="417"/>
      <c r="AC327" s="168"/>
      <c r="AD327" s="450">
        <v>0.1</v>
      </c>
      <c r="AE327" s="163"/>
      <c r="AF327" s="171"/>
      <c r="AG327" s="192">
        <v>1</v>
      </c>
      <c r="AH327" s="110"/>
      <c r="AI327" s="125"/>
      <c r="AJ327" s="185">
        <f>X327*AD327</f>
        <v>10</v>
      </c>
      <c r="AK327" s="435"/>
      <c r="AL327" s="476"/>
    </row>
    <row r="328" spans="2:53" ht="26.25" hidden="1" customHeight="1" x14ac:dyDescent="0.25">
      <c r="B328" s="11"/>
      <c r="C328" s="6" t="s">
        <v>18</v>
      </c>
      <c r="D328" s="23" t="s">
        <v>40</v>
      </c>
      <c r="E328" s="106" t="s">
        <v>273</v>
      </c>
      <c r="F328" s="526">
        <v>758</v>
      </c>
      <c r="G328" s="12" t="s">
        <v>0</v>
      </c>
      <c r="H328" s="39"/>
      <c r="I328" s="360">
        <v>0</v>
      </c>
      <c r="J328" s="39">
        <f t="shared" si="101"/>
        <v>0</v>
      </c>
      <c r="K328" s="309">
        <f t="shared" si="99"/>
        <v>7.31</v>
      </c>
      <c r="L328" s="230">
        <f>K328*J621</f>
        <v>0</v>
      </c>
      <c r="M328" s="155" t="s">
        <v>749</v>
      </c>
      <c r="N328" s="140"/>
      <c r="O328" s="513"/>
      <c r="P328" s="497">
        <f t="shared" si="100"/>
        <v>0</v>
      </c>
      <c r="Q328" s="442" t="str">
        <f t="shared" si="102"/>
        <v>П7х7х2,5</v>
      </c>
      <c r="R328" s="306">
        <f t="shared" si="96"/>
        <v>10.24</v>
      </c>
      <c r="S328" s="330">
        <v>8.5299999999999994</v>
      </c>
      <c r="T328" s="353">
        <f>S328*J328</f>
        <v>0</v>
      </c>
      <c r="U328" s="70">
        <v>24</v>
      </c>
      <c r="V328" s="20">
        <f t="shared" si="103"/>
        <v>0</v>
      </c>
      <c r="W328" s="52">
        <f t="shared" si="104"/>
        <v>0</v>
      </c>
      <c r="X328" s="70">
        <v>24</v>
      </c>
      <c r="Y328" s="20"/>
      <c r="Z328" s="20"/>
      <c r="AA328" s="20">
        <f>6+2</f>
        <v>8</v>
      </c>
      <c r="AB328" s="417"/>
      <c r="AC328" s="451"/>
      <c r="AD328" s="450">
        <v>0.15</v>
      </c>
      <c r="AE328" s="163"/>
      <c r="AF328" s="171"/>
      <c r="AG328" s="192">
        <v>1</v>
      </c>
      <c r="AH328" s="110"/>
      <c r="AI328" s="125"/>
      <c r="AJ328" s="185">
        <f>X328*AD328</f>
        <v>3.6</v>
      </c>
      <c r="AK328" s="435"/>
      <c r="AL328" s="476"/>
    </row>
    <row r="329" spans="2:53" ht="26.25" customHeight="1" x14ac:dyDescent="0.25">
      <c r="B329" s="11">
        <v>103</v>
      </c>
      <c r="C329" s="6" t="s">
        <v>18</v>
      </c>
      <c r="D329" s="23" t="s">
        <v>40</v>
      </c>
      <c r="E329" s="104" t="s">
        <v>673</v>
      </c>
      <c r="F329" s="526">
        <v>1437</v>
      </c>
      <c r="G329" s="12" t="s">
        <v>0</v>
      </c>
      <c r="H329" s="39">
        <v>100</v>
      </c>
      <c r="I329" s="309">
        <v>257</v>
      </c>
      <c r="J329" s="39">
        <f t="shared" si="101"/>
        <v>0</v>
      </c>
      <c r="K329" s="309">
        <f t="shared" si="99"/>
        <v>2.57</v>
      </c>
      <c r="L329" s="406">
        <f>K329*J622</f>
        <v>0</v>
      </c>
      <c r="M329" s="234" t="s">
        <v>684</v>
      </c>
      <c r="N329" s="41"/>
      <c r="O329" s="39">
        <v>100</v>
      </c>
      <c r="P329" s="309">
        <f t="shared" si="100"/>
        <v>257</v>
      </c>
      <c r="Q329" s="51" t="str">
        <f t="shared" si="102"/>
        <v>П15х4,5х4</v>
      </c>
      <c r="R329" s="377">
        <f t="shared" si="96"/>
        <v>3.6</v>
      </c>
      <c r="S329" s="330">
        <v>3</v>
      </c>
      <c r="T329" s="353">
        <f>S329*J329</f>
        <v>0</v>
      </c>
      <c r="U329" s="70">
        <v>20</v>
      </c>
      <c r="V329" s="20">
        <f t="shared" si="103"/>
        <v>0</v>
      </c>
      <c r="W329" s="52">
        <f t="shared" si="104"/>
        <v>0</v>
      </c>
      <c r="X329" s="70">
        <v>20</v>
      </c>
      <c r="Y329" s="20" t="s">
        <v>771</v>
      </c>
      <c r="Z329" s="70"/>
      <c r="AA329" s="70"/>
      <c r="AB329" s="421"/>
      <c r="AC329" s="407"/>
      <c r="AD329" s="190"/>
      <c r="AE329" s="408"/>
      <c r="AF329" s="409"/>
      <c r="AG329" s="410"/>
      <c r="AH329" s="411"/>
      <c r="AI329" s="126"/>
      <c r="AJ329" s="186"/>
      <c r="AK329" s="126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spans="2:53" ht="26.25" hidden="1" customHeight="1" x14ac:dyDescent="0.25">
      <c r="B330" s="11"/>
      <c r="C330" s="6" t="s">
        <v>18</v>
      </c>
      <c r="D330" s="23" t="s">
        <v>40</v>
      </c>
      <c r="E330" s="106" t="s">
        <v>380</v>
      </c>
      <c r="F330" s="210">
        <v>1169</v>
      </c>
      <c r="G330" s="12" t="s">
        <v>0</v>
      </c>
      <c r="H330" s="39"/>
      <c r="I330" s="309">
        <v>0</v>
      </c>
      <c r="J330" s="39">
        <f t="shared" si="101"/>
        <v>0</v>
      </c>
      <c r="K330" s="309">
        <f t="shared" si="99"/>
        <v>0.04</v>
      </c>
      <c r="L330" s="230">
        <f>K330*J623</f>
        <v>0</v>
      </c>
      <c r="M330" s="97" t="s">
        <v>388</v>
      </c>
      <c r="N330" s="41"/>
      <c r="O330" s="489"/>
      <c r="P330" s="490">
        <f t="shared" si="100"/>
        <v>0</v>
      </c>
      <c r="Q330" s="262" t="str">
        <f t="shared" si="102"/>
        <v>П8х3х0,7</v>
      </c>
      <c r="R330" s="377">
        <f t="shared" si="96"/>
        <v>0.05</v>
      </c>
      <c r="S330" s="339">
        <v>0.04</v>
      </c>
      <c r="T330" s="353">
        <f>S330*J330</f>
        <v>0</v>
      </c>
      <c r="U330" s="430">
        <v>45500</v>
      </c>
      <c r="V330" s="20">
        <f t="shared" si="103"/>
        <v>0</v>
      </c>
      <c r="W330" s="52">
        <f t="shared" si="104"/>
        <v>0</v>
      </c>
      <c r="X330" s="430">
        <f>46500-1000</f>
        <v>45500</v>
      </c>
      <c r="Y330" s="18"/>
      <c r="Z330" s="18"/>
      <c r="AA330" s="18"/>
      <c r="AB330" s="418"/>
      <c r="AC330" s="168"/>
      <c r="AD330" s="450"/>
      <c r="AE330" s="164"/>
      <c r="AF330" s="160"/>
      <c r="AG330" s="176">
        <v>0.13</v>
      </c>
      <c r="AH330" s="120"/>
      <c r="AI330" s="125" t="s">
        <v>421</v>
      </c>
      <c r="AJ330" s="185">
        <f t="shared" ref="AJ330:AJ337" si="105">X330*AD330</f>
        <v>0</v>
      </c>
      <c r="AK330" s="435"/>
      <c r="AL330" s="476"/>
    </row>
    <row r="331" spans="2:53" ht="26.25" hidden="1" customHeight="1" thickBot="1" x14ac:dyDescent="0.3">
      <c r="B331" s="19"/>
      <c r="C331" s="6" t="s">
        <v>18</v>
      </c>
      <c r="D331" s="23" t="s">
        <v>40</v>
      </c>
      <c r="E331" s="106" t="s">
        <v>196</v>
      </c>
      <c r="F331" s="387" t="s">
        <v>359</v>
      </c>
      <c r="G331" s="12" t="s">
        <v>0</v>
      </c>
      <c r="H331" s="39"/>
      <c r="I331" s="309">
        <v>0</v>
      </c>
      <c r="J331" s="39">
        <f t="shared" si="101"/>
        <v>0</v>
      </c>
      <c r="K331" s="309">
        <f t="shared" si="99"/>
        <v>4.24</v>
      </c>
      <c r="L331" s="230">
        <f>K331*J624</f>
        <v>0</v>
      </c>
      <c r="M331" s="99" t="s">
        <v>334</v>
      </c>
      <c r="N331" s="140"/>
      <c r="O331" s="39"/>
      <c r="P331" s="497">
        <f t="shared" si="100"/>
        <v>0</v>
      </c>
      <c r="Q331" s="263" t="str">
        <f t="shared" si="102"/>
        <v>П8,5х8,5х13</v>
      </c>
      <c r="R331" s="377">
        <f t="shared" si="96"/>
        <v>5.94</v>
      </c>
      <c r="S331" s="319">
        <v>4.95</v>
      </c>
      <c r="T331" s="353">
        <f>S331*J331</f>
        <v>0</v>
      </c>
      <c r="U331" s="70">
        <v>1313</v>
      </c>
      <c r="V331" s="20">
        <f t="shared" si="103"/>
        <v>0</v>
      </c>
      <c r="W331" s="52">
        <f t="shared" si="104"/>
        <v>0</v>
      </c>
      <c r="X331" s="70">
        <f>3*420+74-20-1</f>
        <v>1313</v>
      </c>
      <c r="Y331" s="20" t="s">
        <v>783</v>
      </c>
      <c r="Z331" s="20"/>
      <c r="AA331" s="20"/>
      <c r="AB331" s="417"/>
      <c r="AC331" s="168"/>
      <c r="AD331" s="450">
        <v>0.95</v>
      </c>
      <c r="AE331" s="164"/>
      <c r="AF331" s="160"/>
      <c r="AG331" s="176">
        <v>7.23</v>
      </c>
      <c r="AH331" s="120"/>
      <c r="AI331" s="125"/>
      <c r="AJ331" s="185">
        <f t="shared" si="105"/>
        <v>1247.4000000000001</v>
      </c>
      <c r="AK331" s="435"/>
      <c r="AL331" s="476"/>
    </row>
    <row r="332" spans="2:53" ht="26.25" hidden="1" customHeight="1" thickBot="1" x14ac:dyDescent="0.3">
      <c r="B332" s="19"/>
      <c r="C332" s="6" t="s">
        <v>18</v>
      </c>
      <c r="D332" s="23" t="s">
        <v>40</v>
      </c>
      <c r="E332" s="104" t="s">
        <v>77</v>
      </c>
      <c r="F332" s="522">
        <v>474</v>
      </c>
      <c r="G332" s="12" t="s">
        <v>0</v>
      </c>
      <c r="H332" s="39"/>
      <c r="I332" s="360">
        <v>0</v>
      </c>
      <c r="J332" s="39">
        <f t="shared" si="101"/>
        <v>0</v>
      </c>
      <c r="K332" s="309">
        <f t="shared" si="99"/>
        <v>4.24</v>
      </c>
      <c r="L332" s="230">
        <f>K332*J625</f>
        <v>0</v>
      </c>
      <c r="M332" s="155" t="s">
        <v>750</v>
      </c>
      <c r="N332" s="140"/>
      <c r="O332" s="503"/>
      <c r="P332" s="309">
        <f t="shared" si="100"/>
        <v>0</v>
      </c>
      <c r="Q332" s="265" t="str">
        <f t="shared" si="102"/>
        <v>П8,5х13х8,5</v>
      </c>
      <c r="R332" s="306">
        <f t="shared" si="96"/>
        <v>5.94</v>
      </c>
      <c r="S332" s="326">
        <v>4.95</v>
      </c>
      <c r="T332" s="353"/>
      <c r="U332" s="70">
        <v>1014</v>
      </c>
      <c r="V332" s="20">
        <f t="shared" si="103"/>
        <v>0</v>
      </c>
      <c r="W332" s="511">
        <f t="shared" si="104"/>
        <v>0</v>
      </c>
      <c r="X332" s="148">
        <v>1014</v>
      </c>
      <c r="Y332" s="20" t="s">
        <v>777</v>
      </c>
      <c r="Z332" s="20"/>
      <c r="AA332" s="20">
        <v>650</v>
      </c>
      <c r="AB332" s="417"/>
      <c r="AC332" s="168"/>
      <c r="AD332" s="450">
        <v>0.95</v>
      </c>
      <c r="AE332" s="163"/>
      <c r="AF332" s="171"/>
      <c r="AG332" s="192">
        <v>7.23</v>
      </c>
      <c r="AH332" s="110"/>
      <c r="AI332" s="125"/>
      <c r="AJ332" s="185">
        <f t="shared" si="105"/>
        <v>963.3</v>
      </c>
      <c r="AK332" s="435"/>
      <c r="AL332" s="476"/>
    </row>
    <row r="333" spans="2:53" ht="26.25" hidden="1" customHeight="1" x14ac:dyDescent="0.25">
      <c r="B333" s="19"/>
      <c r="C333" s="6" t="s">
        <v>18</v>
      </c>
      <c r="D333" s="23" t="s">
        <v>40</v>
      </c>
      <c r="E333" s="104" t="s">
        <v>313</v>
      </c>
      <c r="F333" s="208">
        <v>1108</v>
      </c>
      <c r="G333" s="48"/>
      <c r="H333" s="39"/>
      <c r="I333" s="309">
        <v>0</v>
      </c>
      <c r="J333" s="39">
        <f t="shared" si="101"/>
        <v>0</v>
      </c>
      <c r="K333" s="309">
        <f t="shared" si="99"/>
        <v>0.09</v>
      </c>
      <c r="L333" s="230"/>
      <c r="M333" s="116"/>
      <c r="N333" s="140"/>
      <c r="O333" s="39"/>
      <c r="P333" s="490">
        <f t="shared" si="100"/>
        <v>0</v>
      </c>
      <c r="Q333" s="262" t="str">
        <f t="shared" si="102"/>
        <v>П10х4х1</v>
      </c>
      <c r="R333" s="377">
        <f t="shared" si="96"/>
        <v>0.12</v>
      </c>
      <c r="S333" s="319">
        <v>0.1</v>
      </c>
      <c r="T333" s="353">
        <f t="shared" ref="T333:T364" si="106">S333*J333</f>
        <v>0</v>
      </c>
      <c r="U333" s="70">
        <v>7440</v>
      </c>
      <c r="V333" s="20">
        <f t="shared" si="103"/>
        <v>0</v>
      </c>
      <c r="W333" s="52">
        <f t="shared" si="104"/>
        <v>0</v>
      </c>
      <c r="X333" s="70">
        <f>7500-60</f>
        <v>7440</v>
      </c>
      <c r="Y333" s="20"/>
      <c r="Z333" s="20"/>
      <c r="AA333" s="20"/>
      <c r="AB333" s="417"/>
      <c r="AC333" s="168"/>
      <c r="AD333" s="450">
        <v>0.05</v>
      </c>
      <c r="AE333" s="162"/>
      <c r="AF333" s="171"/>
      <c r="AG333" s="176">
        <v>0.3</v>
      </c>
      <c r="AH333" s="120"/>
      <c r="AI333" s="125">
        <v>0.8</v>
      </c>
      <c r="AJ333" s="185">
        <f t="shared" si="105"/>
        <v>372</v>
      </c>
      <c r="AK333" s="435"/>
      <c r="AL333" s="476"/>
    </row>
    <row r="334" spans="2:53" ht="26.25" hidden="1" customHeight="1" x14ac:dyDescent="0.25">
      <c r="B334" s="19"/>
      <c r="C334" s="6" t="s">
        <v>18</v>
      </c>
      <c r="D334" s="23" t="s">
        <v>40</v>
      </c>
      <c r="E334" s="104" t="s">
        <v>385</v>
      </c>
      <c r="F334" s="208"/>
      <c r="G334" s="48"/>
      <c r="H334" s="39"/>
      <c r="I334" s="309">
        <v>0</v>
      </c>
      <c r="J334" s="39">
        <f t="shared" si="101"/>
        <v>0</v>
      </c>
      <c r="K334" s="309">
        <f t="shared" si="99"/>
        <v>0</v>
      </c>
      <c r="L334" s="230"/>
      <c r="M334" s="116"/>
      <c r="N334" s="140"/>
      <c r="O334" s="39"/>
      <c r="P334" s="309">
        <f t="shared" si="100"/>
        <v>0</v>
      </c>
      <c r="Q334" s="235" t="str">
        <f t="shared" si="102"/>
        <v>П10х10х0,5</v>
      </c>
      <c r="R334" s="377">
        <f t="shared" si="96"/>
        <v>0</v>
      </c>
      <c r="S334" s="319">
        <v>0</v>
      </c>
      <c r="T334" s="353">
        <f t="shared" si="106"/>
        <v>0</v>
      </c>
      <c r="U334" s="20">
        <v>192</v>
      </c>
      <c r="V334" s="20">
        <f t="shared" si="103"/>
        <v>0</v>
      </c>
      <c r="W334" s="52">
        <f t="shared" si="104"/>
        <v>0</v>
      </c>
      <c r="X334" s="20">
        <v>192</v>
      </c>
      <c r="Y334" s="20"/>
      <c r="Z334" s="20"/>
      <c r="AA334" s="20"/>
      <c r="AB334" s="417"/>
      <c r="AC334" s="168"/>
      <c r="AD334" s="450">
        <v>0.06</v>
      </c>
      <c r="AE334" s="162"/>
      <c r="AF334" s="171"/>
      <c r="AG334" s="176">
        <v>0.39</v>
      </c>
      <c r="AH334" s="120"/>
      <c r="AI334" s="125"/>
      <c r="AJ334" s="185">
        <f t="shared" si="105"/>
        <v>11.5</v>
      </c>
      <c r="AK334" s="435"/>
      <c r="AL334" s="476"/>
    </row>
    <row r="335" spans="2:53" ht="26.25" hidden="1" customHeight="1" x14ac:dyDescent="0.25">
      <c r="B335" s="15"/>
      <c r="C335" s="6" t="s">
        <v>18</v>
      </c>
      <c r="D335" s="23" t="s">
        <v>40</v>
      </c>
      <c r="E335" s="107" t="s">
        <v>100</v>
      </c>
      <c r="F335" s="208">
        <v>588</v>
      </c>
      <c r="G335" s="48"/>
      <c r="H335" s="39"/>
      <c r="I335" s="360">
        <v>0</v>
      </c>
      <c r="J335" s="39">
        <f t="shared" si="101"/>
        <v>0</v>
      </c>
      <c r="K335" s="309">
        <f t="shared" si="99"/>
        <v>2.61</v>
      </c>
      <c r="L335" s="230">
        <f>K335*J628</f>
        <v>0</v>
      </c>
      <c r="M335" s="363" t="s">
        <v>469</v>
      </c>
      <c r="N335" s="140"/>
      <c r="O335" s="513"/>
      <c r="P335" s="468">
        <f t="shared" si="100"/>
        <v>0</v>
      </c>
      <c r="Q335" s="263" t="str">
        <f t="shared" si="102"/>
        <v>П10х10х7</v>
      </c>
      <c r="R335" s="377">
        <f t="shared" si="96"/>
        <v>3.66</v>
      </c>
      <c r="S335" s="339">
        <v>3.05</v>
      </c>
      <c r="T335" s="353">
        <f t="shared" si="106"/>
        <v>0</v>
      </c>
      <c r="U335" s="70">
        <v>10</v>
      </c>
      <c r="V335" s="20">
        <f t="shared" si="103"/>
        <v>0</v>
      </c>
      <c r="W335" s="52">
        <f t="shared" si="104"/>
        <v>0</v>
      </c>
      <c r="X335" s="70">
        <v>10</v>
      </c>
      <c r="Y335" s="20" t="s">
        <v>771</v>
      </c>
      <c r="Z335" s="20"/>
      <c r="AA335" s="20"/>
      <c r="AB335" s="417"/>
      <c r="AC335" s="200"/>
      <c r="AD335" s="160">
        <v>0.27200000000000002</v>
      </c>
      <c r="AE335" s="163"/>
      <c r="AF335" s="171"/>
      <c r="AG335" s="192">
        <v>1.6</v>
      </c>
      <c r="AH335" s="110"/>
      <c r="AI335" s="125"/>
      <c r="AJ335" s="185">
        <f t="shared" si="105"/>
        <v>2.7</v>
      </c>
      <c r="AK335" s="435"/>
      <c r="AL335" s="16"/>
    </row>
    <row r="336" spans="2:53" ht="26.25" hidden="1" customHeight="1" x14ac:dyDescent="0.25">
      <c r="B336" s="19"/>
      <c r="C336" s="6" t="s">
        <v>18</v>
      </c>
      <c r="D336" s="23" t="s">
        <v>40</v>
      </c>
      <c r="E336" s="107" t="s">
        <v>364</v>
      </c>
      <c r="F336" s="208">
        <v>567</v>
      </c>
      <c r="G336" s="48"/>
      <c r="H336" s="39"/>
      <c r="I336" s="360"/>
      <c r="J336" s="39">
        <f t="shared" si="101"/>
        <v>0</v>
      </c>
      <c r="K336" s="309">
        <v>1.53</v>
      </c>
      <c r="L336" s="230"/>
      <c r="M336" s="154" t="s">
        <v>841</v>
      </c>
      <c r="N336" s="140"/>
      <c r="O336" s="359"/>
      <c r="P336" s="466"/>
      <c r="Q336" s="51" t="str">
        <f t="shared" si="102"/>
        <v>П14х7х2,5 для Рифтека</v>
      </c>
      <c r="R336" s="377">
        <f t="shared" si="96"/>
        <v>2.2799999999999998</v>
      </c>
      <c r="S336" s="319">
        <v>1.9</v>
      </c>
      <c r="T336" s="353">
        <f t="shared" si="106"/>
        <v>0</v>
      </c>
      <c r="U336" s="70">
        <v>1652</v>
      </c>
      <c r="V336" s="20">
        <f t="shared" si="103"/>
        <v>0</v>
      </c>
      <c r="W336" s="511">
        <f t="shared" si="104"/>
        <v>0</v>
      </c>
      <c r="X336" s="70">
        <f>852-200+1000</f>
        <v>1652</v>
      </c>
      <c r="Y336" s="20" t="s">
        <v>782</v>
      </c>
      <c r="Z336" s="20"/>
      <c r="AA336" s="20">
        <v>2000</v>
      </c>
      <c r="AB336" s="417"/>
      <c r="AC336" s="168"/>
      <c r="AD336" s="450">
        <v>0.25</v>
      </c>
      <c r="AE336" s="162"/>
      <c r="AF336" s="171"/>
      <c r="AG336" s="176">
        <v>1.7</v>
      </c>
      <c r="AH336" s="120"/>
      <c r="AI336" s="125">
        <v>2.6</v>
      </c>
      <c r="AJ336" s="185">
        <f t="shared" si="105"/>
        <v>413</v>
      </c>
      <c r="AK336" s="435"/>
      <c r="AL336" s="476"/>
    </row>
    <row r="337" spans="1:73" ht="26.25" customHeight="1" x14ac:dyDescent="0.25">
      <c r="B337" s="11">
        <v>104</v>
      </c>
      <c r="C337" s="6" t="s">
        <v>18</v>
      </c>
      <c r="D337" s="23" t="s">
        <v>40</v>
      </c>
      <c r="E337" s="107" t="s">
        <v>255</v>
      </c>
      <c r="F337" s="208">
        <v>588</v>
      </c>
      <c r="G337" s="12" t="s">
        <v>0</v>
      </c>
      <c r="H337" s="39">
        <v>212</v>
      </c>
      <c r="I337" s="360">
        <v>610.74</v>
      </c>
      <c r="J337" s="39">
        <f t="shared" si="101"/>
        <v>0</v>
      </c>
      <c r="K337" s="309">
        <f t="shared" ref="K337:K361" si="107">R337/1.4</f>
        <v>3.34</v>
      </c>
      <c r="L337" s="230">
        <f>K337*J630</f>
        <v>0</v>
      </c>
      <c r="M337" s="366"/>
      <c r="N337" s="141"/>
      <c r="O337" s="556">
        <v>212</v>
      </c>
      <c r="P337" s="490">
        <v>610.74</v>
      </c>
      <c r="Q337" s="262" t="str">
        <f t="shared" si="102"/>
        <v>П13,85х6,85х2,35</v>
      </c>
      <c r="R337" s="377">
        <f t="shared" ref="R337:R368" si="108">S337*1.2</f>
        <v>4.68</v>
      </c>
      <c r="S337" s="326">
        <v>3.9</v>
      </c>
      <c r="T337" s="353">
        <f t="shared" si="106"/>
        <v>0</v>
      </c>
      <c r="U337" s="430">
        <v>808</v>
      </c>
      <c r="V337" s="20">
        <f t="shared" si="103"/>
        <v>0</v>
      </c>
      <c r="W337" s="52">
        <f t="shared" si="104"/>
        <v>0</v>
      </c>
      <c r="X337" s="430">
        <v>808</v>
      </c>
      <c r="Y337" s="18" t="s">
        <v>782</v>
      </c>
      <c r="Z337" s="18"/>
      <c r="AA337" s="18"/>
      <c r="AB337" s="418"/>
      <c r="AC337" s="200"/>
      <c r="AD337" s="160">
        <v>0.27200000000000002</v>
      </c>
      <c r="AE337" s="165"/>
      <c r="AF337" s="160"/>
      <c r="AG337" s="192">
        <v>1.6</v>
      </c>
      <c r="AH337" s="110"/>
      <c r="AI337" s="125"/>
      <c r="AJ337" s="185">
        <f t="shared" si="105"/>
        <v>219.8</v>
      </c>
      <c r="AK337" s="125"/>
    </row>
    <row r="338" spans="1:73" ht="26.25" hidden="1" customHeight="1" thickBot="1" x14ac:dyDescent="0.3">
      <c r="B338" s="19"/>
      <c r="C338" s="6" t="s">
        <v>18</v>
      </c>
      <c r="D338" s="23" t="s">
        <v>40</v>
      </c>
      <c r="E338" s="107" t="s">
        <v>764</v>
      </c>
      <c r="F338" s="522">
        <v>1437</v>
      </c>
      <c r="G338" s="48" t="s">
        <v>0</v>
      </c>
      <c r="H338" s="39"/>
      <c r="I338" s="360">
        <v>0</v>
      </c>
      <c r="J338" s="39">
        <f t="shared" si="101"/>
        <v>0</v>
      </c>
      <c r="K338" s="309">
        <f t="shared" si="107"/>
        <v>2.57</v>
      </c>
      <c r="L338" s="230"/>
      <c r="M338" s="155" t="s">
        <v>716</v>
      </c>
      <c r="N338" s="141"/>
      <c r="O338" s="39"/>
      <c r="P338" s="467">
        <f t="shared" ref="P338:P370" si="109">K338*O338</f>
        <v>0</v>
      </c>
      <c r="Q338" s="256" t="str">
        <f t="shared" si="102"/>
        <v>П20х8х3</v>
      </c>
      <c r="R338" s="377">
        <f t="shared" si="108"/>
        <v>3.6</v>
      </c>
      <c r="S338" s="326">
        <v>3</v>
      </c>
      <c r="T338" s="353">
        <f t="shared" si="106"/>
        <v>0</v>
      </c>
      <c r="U338" s="430">
        <v>100</v>
      </c>
      <c r="V338" s="20">
        <f t="shared" si="103"/>
        <v>0</v>
      </c>
      <c r="W338" s="52">
        <f t="shared" si="104"/>
        <v>0</v>
      </c>
      <c r="X338" s="147">
        <v>100</v>
      </c>
      <c r="Y338" s="18"/>
      <c r="Z338" s="18"/>
      <c r="AA338" s="18">
        <v>174</v>
      </c>
      <c r="AB338" s="418"/>
      <c r="AC338" s="168"/>
      <c r="AD338" s="450"/>
      <c r="AE338" s="165"/>
      <c r="AF338" s="160"/>
      <c r="AG338" s="192"/>
      <c r="AH338" s="110"/>
      <c r="AI338" s="125"/>
      <c r="AJ338" s="185"/>
      <c r="AK338" s="435"/>
      <c r="AL338" s="476"/>
    </row>
    <row r="339" spans="1:73" s="4" customFormat="1" ht="26.25" hidden="1" customHeight="1" x14ac:dyDescent="0.25">
      <c r="A339" s="10"/>
      <c r="B339" s="14"/>
      <c r="C339" s="6" t="s">
        <v>18</v>
      </c>
      <c r="D339" s="23" t="s">
        <v>40</v>
      </c>
      <c r="E339" s="107" t="s">
        <v>672</v>
      </c>
      <c r="F339" s="208">
        <v>892</v>
      </c>
      <c r="G339" s="14" t="s">
        <v>0</v>
      </c>
      <c r="H339" s="39"/>
      <c r="I339" s="309">
        <v>0</v>
      </c>
      <c r="J339" s="39">
        <f t="shared" si="101"/>
        <v>0</v>
      </c>
      <c r="K339" s="309">
        <f t="shared" si="107"/>
        <v>1.03</v>
      </c>
      <c r="L339" s="230">
        <f>K339*J632</f>
        <v>0</v>
      </c>
      <c r="M339" s="72" t="s">
        <v>261</v>
      </c>
      <c r="N339" s="140"/>
      <c r="O339" s="39"/>
      <c r="P339" s="309">
        <f t="shared" si="109"/>
        <v>0</v>
      </c>
      <c r="Q339" s="262" t="str">
        <f t="shared" si="102"/>
        <v>П20х20х5</v>
      </c>
      <c r="R339" s="377">
        <f t="shared" si="108"/>
        <v>1.44</v>
      </c>
      <c r="S339" s="326">
        <v>1.2</v>
      </c>
      <c r="T339" s="353">
        <f t="shared" si="106"/>
        <v>0</v>
      </c>
      <c r="U339" s="430">
        <v>25</v>
      </c>
      <c r="V339" s="20">
        <f t="shared" si="103"/>
        <v>0</v>
      </c>
      <c r="W339" s="52">
        <f t="shared" si="104"/>
        <v>0</v>
      </c>
      <c r="X339" s="430">
        <v>25</v>
      </c>
      <c r="Y339" s="18"/>
      <c r="Z339" s="18"/>
      <c r="AA339" s="18"/>
      <c r="AB339" s="418"/>
      <c r="AC339" s="200"/>
      <c r="AD339" s="160">
        <v>0.2</v>
      </c>
      <c r="AE339" s="164"/>
      <c r="AF339" s="160"/>
      <c r="AG339" s="176">
        <v>1.6</v>
      </c>
      <c r="AH339" s="120"/>
      <c r="AI339" s="125"/>
      <c r="AJ339" s="185">
        <f>X339*AD339</f>
        <v>5</v>
      </c>
      <c r="AK339" s="125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</row>
    <row r="340" spans="1:73" ht="26.25" hidden="1" customHeight="1" x14ac:dyDescent="0.25">
      <c r="B340" s="15"/>
      <c r="C340" s="6" t="s">
        <v>18</v>
      </c>
      <c r="D340" s="23" t="s">
        <v>40</v>
      </c>
      <c r="E340" s="104" t="s">
        <v>149</v>
      </c>
      <c r="F340" s="387"/>
      <c r="G340" s="19"/>
      <c r="H340" s="39"/>
      <c r="I340" s="309">
        <v>0</v>
      </c>
      <c r="J340" s="39">
        <f t="shared" si="101"/>
        <v>0</v>
      </c>
      <c r="K340" s="309">
        <f t="shared" si="107"/>
        <v>0</v>
      </c>
      <c r="L340" s="230">
        <f>K340*J633</f>
        <v>0</v>
      </c>
      <c r="M340" s="90"/>
      <c r="N340" s="140"/>
      <c r="O340" s="39"/>
      <c r="P340" s="309">
        <f t="shared" si="109"/>
        <v>0</v>
      </c>
      <c r="Q340" s="235" t="str">
        <f t="shared" si="102"/>
        <v>П17х6х2</v>
      </c>
      <c r="R340" s="377">
        <f t="shared" si="108"/>
        <v>0</v>
      </c>
      <c r="S340" s="321">
        <v>0</v>
      </c>
      <c r="T340" s="353">
        <f t="shared" si="106"/>
        <v>0</v>
      </c>
      <c r="U340" s="430">
        <v>880</v>
      </c>
      <c r="V340" s="20">
        <f t="shared" si="103"/>
        <v>0</v>
      </c>
      <c r="W340" s="52">
        <f t="shared" si="104"/>
        <v>0</v>
      </c>
      <c r="X340" s="430">
        <v>880</v>
      </c>
      <c r="Y340" s="18"/>
      <c r="Z340" s="18"/>
      <c r="AA340" s="18"/>
      <c r="AB340" s="418"/>
      <c r="AC340" s="168"/>
      <c r="AD340" s="450">
        <v>0.2</v>
      </c>
      <c r="AE340" s="163"/>
      <c r="AF340" s="171"/>
      <c r="AG340" s="192">
        <v>1.57</v>
      </c>
      <c r="AH340" s="110"/>
      <c r="AI340" s="125"/>
      <c r="AJ340" s="185">
        <f>X340*AD340</f>
        <v>176</v>
      </c>
      <c r="AK340" s="435"/>
      <c r="AL340" s="476"/>
    </row>
    <row r="341" spans="1:73" ht="26.25" hidden="1" customHeight="1" x14ac:dyDescent="0.25">
      <c r="B341" s="15"/>
      <c r="C341" s="6" t="s">
        <v>18</v>
      </c>
      <c r="D341" s="23" t="s">
        <v>40</v>
      </c>
      <c r="E341" s="104" t="s">
        <v>445</v>
      </c>
      <c r="F341" s="387" t="s">
        <v>448</v>
      </c>
      <c r="G341" s="19"/>
      <c r="H341" s="39"/>
      <c r="I341" s="309">
        <v>0</v>
      </c>
      <c r="J341" s="39">
        <f t="shared" si="101"/>
        <v>0</v>
      </c>
      <c r="K341" s="309">
        <f t="shared" si="107"/>
        <v>1.04</v>
      </c>
      <c r="L341" s="230"/>
      <c r="M341" s="90"/>
      <c r="N341" s="140"/>
      <c r="O341" s="39"/>
      <c r="P341" s="309">
        <f t="shared" si="109"/>
        <v>0</v>
      </c>
      <c r="Q341" s="235" t="str">
        <f t="shared" si="102"/>
        <v>П20х5х2</v>
      </c>
      <c r="R341" s="377">
        <f t="shared" si="108"/>
        <v>1.45</v>
      </c>
      <c r="S341" s="320">
        <v>1.21</v>
      </c>
      <c r="T341" s="353">
        <f t="shared" si="106"/>
        <v>0</v>
      </c>
      <c r="U341" s="430">
        <v>24</v>
      </c>
      <c r="V341" s="20">
        <f t="shared" si="103"/>
        <v>0</v>
      </c>
      <c r="W341" s="52">
        <f t="shared" si="104"/>
        <v>0</v>
      </c>
      <c r="X341" s="430">
        <v>24</v>
      </c>
      <c r="Y341" s="18" t="s">
        <v>771</v>
      </c>
      <c r="Z341" s="18"/>
      <c r="AA341" s="18"/>
      <c r="AB341" s="418"/>
      <c r="AC341" s="168"/>
      <c r="AD341" s="450"/>
      <c r="AE341" s="163"/>
      <c r="AF341" s="171"/>
      <c r="AG341" s="192"/>
      <c r="AH341" s="110"/>
      <c r="AI341" s="125"/>
      <c r="AJ341" s="185"/>
      <c r="AK341" s="435"/>
      <c r="AL341" s="476"/>
    </row>
    <row r="342" spans="1:73" ht="26.25" hidden="1" customHeight="1" thickBot="1" x14ac:dyDescent="0.3">
      <c r="B342" s="15"/>
      <c r="C342" s="6" t="s">
        <v>18</v>
      </c>
      <c r="D342" s="23" t="s">
        <v>40</v>
      </c>
      <c r="E342" s="104" t="s">
        <v>763</v>
      </c>
      <c r="F342" s="387" t="s">
        <v>449</v>
      </c>
      <c r="G342" s="19"/>
      <c r="H342" s="39"/>
      <c r="I342" s="309">
        <v>0</v>
      </c>
      <c r="J342" s="39">
        <f t="shared" si="101"/>
        <v>0</v>
      </c>
      <c r="K342" s="309">
        <f t="shared" si="107"/>
        <v>1.56</v>
      </c>
      <c r="L342" s="230"/>
      <c r="M342" s="90"/>
      <c r="N342" s="140"/>
      <c r="O342" s="39"/>
      <c r="P342" s="309">
        <f t="shared" si="109"/>
        <v>0</v>
      </c>
      <c r="Q342" s="263" t="str">
        <f t="shared" si="102"/>
        <v>П26х15х4 б/п</v>
      </c>
      <c r="R342" s="377">
        <f t="shared" si="108"/>
        <v>2.19</v>
      </c>
      <c r="S342" s="320">
        <v>1.825</v>
      </c>
      <c r="T342" s="353">
        <f t="shared" si="106"/>
        <v>0</v>
      </c>
      <c r="U342" s="430">
        <v>5</v>
      </c>
      <c r="V342" s="20">
        <f t="shared" si="103"/>
        <v>0</v>
      </c>
      <c r="W342" s="52">
        <f t="shared" si="104"/>
        <v>0</v>
      </c>
      <c r="X342" s="430">
        <v>5</v>
      </c>
      <c r="Y342" s="18"/>
      <c r="Z342" s="18"/>
      <c r="AA342" s="18"/>
      <c r="AB342" s="418"/>
      <c r="AC342" s="200"/>
      <c r="AD342" s="160"/>
      <c r="AE342" s="163"/>
      <c r="AF342" s="171"/>
      <c r="AG342" s="192"/>
      <c r="AH342" s="110"/>
      <c r="AI342" s="125"/>
      <c r="AJ342" s="185"/>
      <c r="AK342" s="125"/>
    </row>
    <row r="343" spans="1:73" ht="26.25" hidden="1" customHeight="1" x14ac:dyDescent="0.25">
      <c r="B343" s="15"/>
      <c r="C343" s="6" t="s">
        <v>18</v>
      </c>
      <c r="D343" s="23" t="s">
        <v>40</v>
      </c>
      <c r="E343" s="107" t="s">
        <v>249</v>
      </c>
      <c r="F343" s="208">
        <v>541</v>
      </c>
      <c r="G343" s="12" t="s">
        <v>0</v>
      </c>
      <c r="H343" s="39"/>
      <c r="I343" s="309">
        <v>0</v>
      </c>
      <c r="J343" s="39">
        <f t="shared" si="101"/>
        <v>0</v>
      </c>
      <c r="K343" s="309">
        <f t="shared" si="107"/>
        <v>5.14</v>
      </c>
      <c r="L343" s="230"/>
      <c r="M343" s="158" t="s">
        <v>503</v>
      </c>
      <c r="N343" s="140"/>
      <c r="O343" s="39"/>
      <c r="P343" s="309">
        <f t="shared" si="109"/>
        <v>0</v>
      </c>
      <c r="Q343" s="403" t="str">
        <f t="shared" si="102"/>
        <v>П20х10х7,5</v>
      </c>
      <c r="R343" s="377">
        <f t="shared" si="108"/>
        <v>7.2</v>
      </c>
      <c r="S343" s="326">
        <v>6</v>
      </c>
      <c r="T343" s="353">
        <f t="shared" si="106"/>
        <v>0</v>
      </c>
      <c r="U343" s="430">
        <v>295</v>
      </c>
      <c r="V343" s="20">
        <f t="shared" si="103"/>
        <v>0</v>
      </c>
      <c r="W343" s="52">
        <f t="shared" si="104"/>
        <v>0</v>
      </c>
      <c r="X343" s="430">
        <f>240+55</f>
        <v>295</v>
      </c>
      <c r="Y343" s="18" t="s">
        <v>783</v>
      </c>
      <c r="Z343" s="18"/>
      <c r="AA343" s="18"/>
      <c r="AB343" s="418"/>
      <c r="AC343" s="168"/>
      <c r="AD343" s="450">
        <v>1.64</v>
      </c>
      <c r="AE343" s="165"/>
      <c r="AF343" s="160"/>
      <c r="AG343" s="192">
        <v>11.55</v>
      </c>
      <c r="AH343" s="110"/>
      <c r="AI343" s="125">
        <v>8</v>
      </c>
      <c r="AJ343" s="185">
        <f>X343*AD343</f>
        <v>483.8</v>
      </c>
      <c r="AK343" s="435"/>
      <c r="AL343" s="476"/>
    </row>
    <row r="344" spans="1:73" ht="26.25" customHeight="1" x14ac:dyDescent="0.25">
      <c r="B344" s="14">
        <v>105</v>
      </c>
      <c r="C344" s="6" t="s">
        <v>18</v>
      </c>
      <c r="D344" s="23" t="s">
        <v>40</v>
      </c>
      <c r="E344" s="107" t="s">
        <v>387</v>
      </c>
      <c r="F344" s="208">
        <v>1123</v>
      </c>
      <c r="G344" s="12" t="s">
        <v>0</v>
      </c>
      <c r="H344" s="39">
        <v>50</v>
      </c>
      <c r="I344" s="360">
        <v>253</v>
      </c>
      <c r="J344" s="39">
        <f t="shared" si="101"/>
        <v>50</v>
      </c>
      <c r="K344" s="309">
        <f t="shared" si="107"/>
        <v>5.0599999999999996</v>
      </c>
      <c r="L344" s="230"/>
      <c r="M344" s="47" t="s">
        <v>842</v>
      </c>
      <c r="N344" s="140">
        <v>50</v>
      </c>
      <c r="O344" s="39">
        <v>50</v>
      </c>
      <c r="P344" s="360">
        <f t="shared" si="109"/>
        <v>253</v>
      </c>
      <c r="Q344" s="51" t="str">
        <f t="shared" si="102"/>
        <v>П20х10х5</v>
      </c>
      <c r="R344" s="377">
        <f t="shared" si="108"/>
        <v>7.08</v>
      </c>
      <c r="S344" s="319">
        <v>5.9</v>
      </c>
      <c r="T344" s="353">
        <f t="shared" si="106"/>
        <v>295</v>
      </c>
      <c r="U344" s="70">
        <v>130</v>
      </c>
      <c r="V344" s="20">
        <f t="shared" si="103"/>
        <v>50</v>
      </c>
      <c r="W344" s="52">
        <f t="shared" si="104"/>
        <v>0</v>
      </c>
      <c r="X344" s="70">
        <v>80</v>
      </c>
      <c r="Y344" s="20" t="s">
        <v>771</v>
      </c>
      <c r="Z344" s="20"/>
      <c r="AA344" s="20">
        <v>400</v>
      </c>
      <c r="AB344" s="417"/>
      <c r="AC344" s="168"/>
      <c r="AD344" s="450">
        <v>1.6</v>
      </c>
      <c r="AE344" s="165"/>
      <c r="AF344" s="160"/>
      <c r="AG344" s="192">
        <v>15.6</v>
      </c>
      <c r="AH344" s="110"/>
      <c r="AI344" s="125"/>
      <c r="AJ344" s="185">
        <f>X344*AD344</f>
        <v>128</v>
      </c>
      <c r="AK344" s="435"/>
      <c r="AL344" s="476"/>
    </row>
    <row r="345" spans="1:73" ht="26.25" hidden="1" customHeight="1" x14ac:dyDescent="0.25">
      <c r="B345" s="14"/>
      <c r="C345" s="6" t="s">
        <v>18</v>
      </c>
      <c r="D345" s="23" t="s">
        <v>40</v>
      </c>
      <c r="E345" s="107" t="s">
        <v>312</v>
      </c>
      <c r="F345" s="208"/>
      <c r="G345" s="14"/>
      <c r="H345" s="39"/>
      <c r="I345" s="309">
        <v>0</v>
      </c>
      <c r="J345" s="39">
        <f t="shared" si="101"/>
        <v>0</v>
      </c>
      <c r="K345" s="309">
        <f t="shared" si="107"/>
        <v>0</v>
      </c>
      <c r="L345" s="230"/>
      <c r="M345" s="273"/>
      <c r="N345" s="140"/>
      <c r="O345" s="39"/>
      <c r="P345" s="309">
        <f t="shared" si="109"/>
        <v>0</v>
      </c>
      <c r="Q345" s="262" t="str">
        <f t="shared" si="102"/>
        <v>П18х18х3</v>
      </c>
      <c r="R345" s="377">
        <f t="shared" si="108"/>
        <v>0</v>
      </c>
      <c r="S345" s="319">
        <v>0</v>
      </c>
      <c r="T345" s="353">
        <f t="shared" si="106"/>
        <v>0</v>
      </c>
      <c r="U345" s="70">
        <v>50</v>
      </c>
      <c r="V345" s="20">
        <f t="shared" si="103"/>
        <v>0</v>
      </c>
      <c r="W345" s="52">
        <f t="shared" si="104"/>
        <v>0</v>
      </c>
      <c r="X345" s="70">
        <v>50</v>
      </c>
      <c r="Y345" s="20" t="s">
        <v>395</v>
      </c>
      <c r="Z345" s="20"/>
      <c r="AA345" s="20"/>
      <c r="AB345" s="417"/>
      <c r="AC345" s="168"/>
      <c r="AD345" s="450">
        <v>0.75</v>
      </c>
      <c r="AE345" s="165"/>
      <c r="AF345" s="160"/>
      <c r="AG345" s="192">
        <v>7.5</v>
      </c>
      <c r="AH345" s="110"/>
      <c r="AI345" s="125"/>
      <c r="AJ345" s="185">
        <f>X345*AD345</f>
        <v>37.5</v>
      </c>
      <c r="AK345" s="435"/>
      <c r="AL345" s="476"/>
    </row>
    <row r="346" spans="1:73" ht="26.25" hidden="1" customHeight="1" x14ac:dyDescent="0.25">
      <c r="B346" s="14"/>
      <c r="C346" s="6" t="s">
        <v>18</v>
      </c>
      <c r="D346" s="23" t="s">
        <v>40</v>
      </c>
      <c r="E346" s="107" t="s">
        <v>254</v>
      </c>
      <c r="F346" s="208">
        <v>757</v>
      </c>
      <c r="G346" s="48" t="s">
        <v>0</v>
      </c>
      <c r="H346" s="39"/>
      <c r="I346" s="309">
        <v>0</v>
      </c>
      <c r="J346" s="39">
        <f t="shared" si="101"/>
        <v>0</v>
      </c>
      <c r="K346" s="309">
        <f t="shared" si="107"/>
        <v>4.63</v>
      </c>
      <c r="L346" s="230"/>
      <c r="M346" s="94" t="s">
        <v>718</v>
      </c>
      <c r="N346" s="140"/>
      <c r="O346" s="39"/>
      <c r="P346" s="309">
        <f t="shared" si="109"/>
        <v>0</v>
      </c>
      <c r="Q346" s="263" t="str">
        <f t="shared" si="102"/>
        <v>П26х19х3</v>
      </c>
      <c r="R346" s="377">
        <f t="shared" si="108"/>
        <v>6.48</v>
      </c>
      <c r="S346" s="319">
        <v>5.4</v>
      </c>
      <c r="T346" s="353">
        <f t="shared" si="106"/>
        <v>0</v>
      </c>
      <c r="U346" s="70">
        <v>2</v>
      </c>
      <c r="V346" s="20">
        <f t="shared" si="103"/>
        <v>0</v>
      </c>
      <c r="W346" s="52">
        <f t="shared" si="104"/>
        <v>0</v>
      </c>
      <c r="X346" s="70">
        <v>2</v>
      </c>
      <c r="Y346" s="20"/>
      <c r="Z346" s="20"/>
      <c r="AA346" s="20"/>
      <c r="AB346" s="417"/>
      <c r="AC346" s="168"/>
      <c r="AD346" s="450">
        <v>7.8</v>
      </c>
      <c r="AE346" s="165"/>
      <c r="AF346" s="160"/>
      <c r="AG346" s="192">
        <v>11</v>
      </c>
      <c r="AH346" s="110"/>
      <c r="AI346" s="125"/>
      <c r="AJ346" s="185">
        <f>X346*AD346</f>
        <v>15.6</v>
      </c>
      <c r="AK346" s="435"/>
      <c r="AL346" s="476"/>
    </row>
    <row r="347" spans="1:73" ht="26.25" hidden="1" customHeight="1" x14ac:dyDescent="0.25">
      <c r="B347" s="14"/>
      <c r="C347" s="6" t="s">
        <v>18</v>
      </c>
      <c r="D347" s="23" t="s">
        <v>40</v>
      </c>
      <c r="E347" s="107" t="s">
        <v>722</v>
      </c>
      <c r="F347" s="208">
        <v>1398</v>
      </c>
      <c r="G347" s="48"/>
      <c r="H347" s="39"/>
      <c r="I347" s="360">
        <v>0</v>
      </c>
      <c r="J347" s="39">
        <f t="shared" si="101"/>
        <v>0</v>
      </c>
      <c r="K347" s="309">
        <f t="shared" si="107"/>
        <v>38.57</v>
      </c>
      <c r="L347" s="230"/>
      <c r="M347" s="297" t="s">
        <v>806</v>
      </c>
      <c r="N347" s="140"/>
      <c r="O347" s="39"/>
      <c r="P347" s="360">
        <f t="shared" si="109"/>
        <v>0</v>
      </c>
      <c r="Q347" s="260" t="str">
        <f t="shared" si="102"/>
        <v>П31х35х8</v>
      </c>
      <c r="R347" s="377">
        <f t="shared" si="108"/>
        <v>54</v>
      </c>
      <c r="S347" s="319">
        <v>45</v>
      </c>
      <c r="T347" s="353">
        <f t="shared" si="106"/>
        <v>0</v>
      </c>
      <c r="U347" s="70"/>
      <c r="V347" s="20">
        <f t="shared" si="103"/>
        <v>0</v>
      </c>
      <c r="W347" s="52">
        <f t="shared" si="104"/>
        <v>0</v>
      </c>
      <c r="X347" s="70"/>
      <c r="Y347" s="20"/>
      <c r="Z347" s="20"/>
      <c r="AA347" s="20"/>
      <c r="AB347" s="417"/>
      <c r="AC347" s="168"/>
      <c r="AD347" s="450"/>
      <c r="AE347" s="165"/>
      <c r="AF347" s="160"/>
      <c r="AG347" s="192"/>
      <c r="AH347" s="110"/>
      <c r="AI347" s="125"/>
      <c r="AJ347" s="185"/>
      <c r="AK347" s="435"/>
      <c r="AL347" s="476"/>
    </row>
    <row r="348" spans="1:73" ht="26.25" hidden="1" customHeight="1" x14ac:dyDescent="0.25">
      <c r="B348" s="14"/>
      <c r="C348" s="6" t="s">
        <v>18</v>
      </c>
      <c r="D348" s="23" t="s">
        <v>40</v>
      </c>
      <c r="E348" s="459" t="s">
        <v>758</v>
      </c>
      <c r="F348" s="208">
        <v>1332</v>
      </c>
      <c r="G348" s="48"/>
      <c r="H348" s="39"/>
      <c r="I348" s="360">
        <v>0</v>
      </c>
      <c r="J348" s="39">
        <f t="shared" si="101"/>
        <v>0</v>
      </c>
      <c r="K348" s="309">
        <f t="shared" si="107"/>
        <v>8.14</v>
      </c>
      <c r="L348" s="230"/>
      <c r="M348" s="297" t="s">
        <v>807</v>
      </c>
      <c r="N348" s="140"/>
      <c r="O348" s="39"/>
      <c r="P348" s="360">
        <f t="shared" si="109"/>
        <v>0</v>
      </c>
      <c r="Q348" s="51" t="str">
        <f t="shared" si="102"/>
        <v>К25х5(10)х5</v>
      </c>
      <c r="R348" s="377">
        <f t="shared" si="108"/>
        <v>11.4</v>
      </c>
      <c r="S348" s="319">
        <v>9.5</v>
      </c>
      <c r="T348" s="353">
        <f t="shared" si="106"/>
        <v>0</v>
      </c>
      <c r="U348" s="70">
        <v>3</v>
      </c>
      <c r="V348" s="20">
        <f t="shared" si="103"/>
        <v>0</v>
      </c>
      <c r="W348" s="52">
        <f t="shared" si="104"/>
        <v>0</v>
      </c>
      <c r="X348" s="70">
        <v>3</v>
      </c>
      <c r="Y348" s="20"/>
      <c r="Z348" s="20"/>
      <c r="AA348" s="20"/>
      <c r="AB348" s="417"/>
      <c r="AC348" s="168"/>
      <c r="AD348" s="450"/>
      <c r="AE348" s="165"/>
      <c r="AF348" s="160"/>
      <c r="AG348" s="192"/>
      <c r="AH348" s="110"/>
      <c r="AI348" s="125"/>
      <c r="AJ348" s="185"/>
      <c r="AK348" s="435"/>
      <c r="AL348" s="476"/>
    </row>
    <row r="349" spans="1:73" ht="26.25" hidden="1" customHeight="1" x14ac:dyDescent="0.25">
      <c r="B349" s="14"/>
      <c r="C349" s="6" t="s">
        <v>18</v>
      </c>
      <c r="D349" s="23" t="s">
        <v>40</v>
      </c>
      <c r="E349" s="107" t="s">
        <v>381</v>
      </c>
      <c r="F349" s="208"/>
      <c r="G349" s="14"/>
      <c r="H349" s="39"/>
      <c r="I349" s="309">
        <v>0</v>
      </c>
      <c r="J349" s="39">
        <f t="shared" si="101"/>
        <v>0</v>
      </c>
      <c r="K349" s="309">
        <f t="shared" si="107"/>
        <v>0</v>
      </c>
      <c r="L349" s="230"/>
      <c r="M349" s="273"/>
      <c r="N349" s="140"/>
      <c r="O349" s="39"/>
      <c r="P349" s="309">
        <f t="shared" si="109"/>
        <v>0</v>
      </c>
      <c r="Q349" s="262" t="str">
        <f t="shared" si="102"/>
        <v xml:space="preserve">п30х16х3 R50 </v>
      </c>
      <c r="R349" s="377">
        <f t="shared" si="108"/>
        <v>0</v>
      </c>
      <c r="S349" s="319">
        <v>0</v>
      </c>
      <c r="T349" s="353">
        <f t="shared" si="106"/>
        <v>0</v>
      </c>
      <c r="U349" s="70">
        <v>160</v>
      </c>
      <c r="V349" s="20">
        <f t="shared" si="103"/>
        <v>0</v>
      </c>
      <c r="W349" s="52">
        <f t="shared" si="104"/>
        <v>0</v>
      </c>
      <c r="X349" s="70">
        <v>160</v>
      </c>
      <c r="Y349" s="20" t="s">
        <v>794</v>
      </c>
      <c r="Z349" s="20"/>
      <c r="AA349" s="20"/>
      <c r="AB349" s="417"/>
      <c r="AC349" s="168"/>
      <c r="AD349" s="450">
        <v>1.1000000000000001</v>
      </c>
      <c r="AE349" s="165"/>
      <c r="AF349" s="160"/>
      <c r="AG349" s="192">
        <v>11</v>
      </c>
      <c r="AH349" s="110"/>
      <c r="AI349" s="125"/>
      <c r="AJ349" s="185">
        <f>X349*AD349</f>
        <v>176</v>
      </c>
      <c r="AK349" s="435"/>
      <c r="AL349" s="476"/>
    </row>
    <row r="350" spans="1:73" ht="26.25" hidden="1" customHeight="1" x14ac:dyDescent="0.25">
      <c r="B350" s="14"/>
      <c r="C350" s="6" t="s">
        <v>18</v>
      </c>
      <c r="D350" s="23" t="s">
        <v>40</v>
      </c>
      <c r="E350" s="107" t="s">
        <v>446</v>
      </c>
      <c r="F350" s="208"/>
      <c r="G350" s="14"/>
      <c r="H350" s="39"/>
      <c r="I350" s="309">
        <v>0</v>
      </c>
      <c r="J350" s="39">
        <f t="shared" si="101"/>
        <v>0</v>
      </c>
      <c r="K350" s="309">
        <f t="shared" si="107"/>
        <v>0</v>
      </c>
      <c r="L350" s="230"/>
      <c r="M350" s="273"/>
      <c r="N350" s="140"/>
      <c r="O350" s="39"/>
      <c r="P350" s="309">
        <f t="shared" si="109"/>
        <v>0</v>
      </c>
      <c r="Q350" s="235" t="str">
        <f t="shared" si="102"/>
        <v>П5х2х20</v>
      </c>
      <c r="R350" s="377">
        <f t="shared" si="108"/>
        <v>0</v>
      </c>
      <c r="S350" s="339">
        <v>0</v>
      </c>
      <c r="T350" s="353">
        <f t="shared" si="106"/>
        <v>0</v>
      </c>
      <c r="U350" s="70">
        <v>10</v>
      </c>
      <c r="V350" s="20">
        <f t="shared" si="103"/>
        <v>0</v>
      </c>
      <c r="W350" s="52">
        <f t="shared" si="104"/>
        <v>0</v>
      </c>
      <c r="X350" s="70">
        <v>10</v>
      </c>
      <c r="Y350" s="20" t="s">
        <v>771</v>
      </c>
      <c r="Z350" s="20"/>
      <c r="AA350" s="20"/>
      <c r="AB350" s="417"/>
      <c r="AC350" s="168"/>
      <c r="AD350" s="450"/>
      <c r="AE350" s="165"/>
      <c r="AF350" s="160"/>
      <c r="AG350" s="192"/>
      <c r="AH350" s="110"/>
      <c r="AI350" s="125"/>
      <c r="AJ350" s="185"/>
      <c r="AK350" s="435"/>
      <c r="AL350" s="476"/>
    </row>
    <row r="351" spans="1:73" ht="26.25" hidden="1" customHeight="1" x14ac:dyDescent="0.25">
      <c r="B351" s="14"/>
      <c r="C351" s="6" t="s">
        <v>18</v>
      </c>
      <c r="D351" s="23" t="s">
        <v>40</v>
      </c>
      <c r="E351" s="1" t="s">
        <v>613</v>
      </c>
      <c r="F351" s="208">
        <v>1207</v>
      </c>
      <c r="G351" s="14"/>
      <c r="H351" s="39"/>
      <c r="I351" s="309">
        <v>0</v>
      </c>
      <c r="J351" s="39">
        <f t="shared" si="101"/>
        <v>0</v>
      </c>
      <c r="K351" s="309">
        <f t="shared" si="107"/>
        <v>34.29</v>
      </c>
      <c r="L351" s="230"/>
      <c r="M351" s="273"/>
      <c r="N351" s="140"/>
      <c r="O351" s="39"/>
      <c r="P351" s="309">
        <f t="shared" si="109"/>
        <v>0</v>
      </c>
      <c r="Q351" s="235" t="str">
        <f t="shared" si="102"/>
        <v>П30х10х4</v>
      </c>
      <c r="R351" s="377">
        <f t="shared" si="108"/>
        <v>48</v>
      </c>
      <c r="S351" s="319">
        <v>40</v>
      </c>
      <c r="T351" s="353">
        <f t="shared" si="106"/>
        <v>0</v>
      </c>
      <c r="U351" s="70">
        <v>73</v>
      </c>
      <c r="V351" s="20">
        <f t="shared" si="103"/>
        <v>0</v>
      </c>
      <c r="W351" s="52">
        <f t="shared" si="104"/>
        <v>0</v>
      </c>
      <c r="X351" s="70">
        <v>73</v>
      </c>
      <c r="Y351" s="20"/>
      <c r="Z351" s="20"/>
      <c r="AA351" s="20"/>
      <c r="AB351" s="417"/>
      <c r="AC351" s="168"/>
      <c r="AD351" s="450"/>
      <c r="AE351" s="165"/>
      <c r="AF351" s="160"/>
      <c r="AG351" s="192"/>
      <c r="AH351" s="110"/>
      <c r="AI351" s="125"/>
      <c r="AJ351" s="185"/>
      <c r="AK351" s="435"/>
      <c r="AL351" s="476"/>
    </row>
    <row r="352" spans="1:73" ht="26.25" hidden="1" customHeight="1" x14ac:dyDescent="0.25">
      <c r="B352" s="14"/>
      <c r="C352" s="6" t="s">
        <v>18</v>
      </c>
      <c r="D352" s="23" t="s">
        <v>40</v>
      </c>
      <c r="E352" s="107" t="s">
        <v>690</v>
      </c>
      <c r="F352" s="208">
        <v>1194</v>
      </c>
      <c r="G352" s="14"/>
      <c r="H352" s="39"/>
      <c r="I352" s="309">
        <v>0</v>
      </c>
      <c r="J352" s="39">
        <f t="shared" si="101"/>
        <v>0</v>
      </c>
      <c r="K352" s="309">
        <f t="shared" si="107"/>
        <v>3.13</v>
      </c>
      <c r="L352" s="230"/>
      <c r="M352" s="273"/>
      <c r="N352" s="140"/>
      <c r="O352" s="39"/>
      <c r="P352" s="309">
        <f t="shared" si="109"/>
        <v>0</v>
      </c>
      <c r="Q352" s="235" t="str">
        <f t="shared" si="102"/>
        <v>П30х16х10</v>
      </c>
      <c r="R352" s="377">
        <f t="shared" si="108"/>
        <v>4.38</v>
      </c>
      <c r="S352" s="319">
        <v>3.65</v>
      </c>
      <c r="T352" s="353">
        <f t="shared" si="106"/>
        <v>0</v>
      </c>
      <c r="U352" s="70">
        <v>9</v>
      </c>
      <c r="V352" s="20">
        <f t="shared" si="103"/>
        <v>0</v>
      </c>
      <c r="W352" s="52">
        <f t="shared" si="104"/>
        <v>0</v>
      </c>
      <c r="X352" s="70">
        <v>9</v>
      </c>
      <c r="Y352" s="20"/>
      <c r="Z352" s="20"/>
      <c r="AA352" s="20"/>
      <c r="AB352" s="417"/>
      <c r="AC352" s="168"/>
      <c r="AD352" s="450"/>
      <c r="AE352" s="165"/>
      <c r="AF352" s="160"/>
      <c r="AG352" s="192"/>
      <c r="AH352" s="110"/>
      <c r="AI352" s="125"/>
      <c r="AJ352" s="185"/>
      <c r="AK352" s="435"/>
      <c r="AL352" s="476"/>
    </row>
    <row r="353" spans="1:73" ht="26.25" hidden="1" customHeight="1" x14ac:dyDescent="0.25">
      <c r="B353" s="14"/>
      <c r="C353" s="6" t="s">
        <v>18</v>
      </c>
      <c r="D353" s="23" t="s">
        <v>40</v>
      </c>
      <c r="E353" s="107" t="s">
        <v>584</v>
      </c>
      <c r="F353" s="208">
        <v>1345</v>
      </c>
      <c r="G353" s="14"/>
      <c r="H353" s="39"/>
      <c r="I353" s="309">
        <v>0</v>
      </c>
      <c r="J353" s="39">
        <f t="shared" si="101"/>
        <v>0</v>
      </c>
      <c r="K353" s="309">
        <f t="shared" si="107"/>
        <v>3</v>
      </c>
      <c r="L353" s="230"/>
      <c r="M353" s="155" t="s">
        <v>593</v>
      </c>
      <c r="N353" s="140"/>
      <c r="O353" s="39"/>
      <c r="P353" s="309">
        <f t="shared" si="109"/>
        <v>0</v>
      </c>
      <c r="Q353" s="235" t="str">
        <f t="shared" si="102"/>
        <v>П25х14х7</v>
      </c>
      <c r="R353" s="377">
        <f t="shared" si="108"/>
        <v>4.2</v>
      </c>
      <c r="S353" s="319">
        <v>3.5</v>
      </c>
      <c r="T353" s="353">
        <f t="shared" si="106"/>
        <v>0</v>
      </c>
      <c r="U353" s="70">
        <v>785</v>
      </c>
      <c r="V353" s="20">
        <f t="shared" si="103"/>
        <v>0</v>
      </c>
      <c r="W353" s="52">
        <f t="shared" si="104"/>
        <v>0</v>
      </c>
      <c r="X353" s="70">
        <f>126*6+29</f>
        <v>785</v>
      </c>
      <c r="Y353" s="20" t="s">
        <v>784</v>
      </c>
      <c r="Z353" s="20"/>
      <c r="AA353" s="20">
        <v>400</v>
      </c>
      <c r="AB353" s="417"/>
      <c r="AC353" s="168"/>
      <c r="AD353" s="450">
        <v>0.60199999999999998</v>
      </c>
      <c r="AE353" s="165"/>
      <c r="AF353" s="160"/>
      <c r="AG353" s="192"/>
      <c r="AH353" s="110"/>
      <c r="AI353" s="125"/>
      <c r="AJ353" s="185"/>
      <c r="AK353" s="435"/>
      <c r="AL353" s="476"/>
    </row>
    <row r="354" spans="1:73" ht="26.25" hidden="1" customHeight="1" x14ac:dyDescent="0.25">
      <c r="B354" s="14"/>
      <c r="C354" s="6" t="s">
        <v>18</v>
      </c>
      <c r="D354" s="23" t="s">
        <v>40</v>
      </c>
      <c r="E354" s="107" t="s">
        <v>222</v>
      </c>
      <c r="F354" s="208"/>
      <c r="G354" s="14"/>
      <c r="H354" s="39"/>
      <c r="I354" s="309">
        <v>0</v>
      </c>
      <c r="J354" s="39">
        <f t="shared" si="101"/>
        <v>0</v>
      </c>
      <c r="K354" s="309">
        <f t="shared" si="107"/>
        <v>0</v>
      </c>
      <c r="L354" s="230"/>
      <c r="M354" s="273"/>
      <c r="N354" s="140"/>
      <c r="O354" s="39"/>
      <c r="P354" s="309">
        <f t="shared" si="109"/>
        <v>0</v>
      </c>
      <c r="Q354" s="235" t="str">
        <f t="shared" si="102"/>
        <v>П40х20х10</v>
      </c>
      <c r="R354" s="377">
        <f t="shared" si="108"/>
        <v>0</v>
      </c>
      <c r="S354" s="326">
        <v>0</v>
      </c>
      <c r="T354" s="353">
        <f t="shared" si="106"/>
        <v>0</v>
      </c>
      <c r="U354" s="70">
        <v>60</v>
      </c>
      <c r="V354" s="20">
        <f t="shared" si="103"/>
        <v>0</v>
      </c>
      <c r="W354" s="52">
        <f t="shared" si="104"/>
        <v>0</v>
      </c>
      <c r="X354" s="70">
        <v>60</v>
      </c>
      <c r="Y354" s="20" t="s">
        <v>797</v>
      </c>
      <c r="Z354" s="20"/>
      <c r="AA354" s="20"/>
      <c r="AB354" s="417"/>
      <c r="AC354" s="168"/>
      <c r="AD354" s="450">
        <v>4.5</v>
      </c>
      <c r="AE354" s="165"/>
      <c r="AF354" s="160"/>
      <c r="AG354" s="192">
        <v>45</v>
      </c>
      <c r="AH354" s="110"/>
      <c r="AI354" s="125"/>
      <c r="AJ354" s="185">
        <f t="shared" ref="AJ354:AJ367" si="110">X354*AD354</f>
        <v>270</v>
      </c>
      <c r="AK354" s="435"/>
      <c r="AL354" s="476"/>
    </row>
    <row r="355" spans="1:73" s="4" customFormat="1" ht="26.25" hidden="1" customHeight="1" x14ac:dyDescent="0.25">
      <c r="A355" s="10"/>
      <c r="B355" s="14"/>
      <c r="C355" s="6" t="s">
        <v>18</v>
      </c>
      <c r="D355" s="23" t="s">
        <v>40</v>
      </c>
      <c r="E355" s="107" t="s">
        <v>633</v>
      </c>
      <c r="F355" s="208"/>
      <c r="G355" s="14"/>
      <c r="H355" s="39"/>
      <c r="I355" s="309">
        <v>0</v>
      </c>
      <c r="J355" s="39">
        <f t="shared" si="101"/>
        <v>0</v>
      </c>
      <c r="K355" s="309">
        <f t="shared" si="107"/>
        <v>0</v>
      </c>
      <c r="L355" s="230"/>
      <c r="M355" s="273"/>
      <c r="N355" s="140"/>
      <c r="O355" s="39"/>
      <c r="P355" s="309">
        <f t="shared" si="109"/>
        <v>0</v>
      </c>
      <c r="Q355" s="235" t="str">
        <f t="shared" si="102"/>
        <v>П25х8х6</v>
      </c>
      <c r="R355" s="377">
        <f t="shared" si="108"/>
        <v>0</v>
      </c>
      <c r="S355" s="319">
        <v>0</v>
      </c>
      <c r="T355" s="353">
        <f t="shared" si="106"/>
        <v>0</v>
      </c>
      <c r="U355" s="70">
        <v>2</v>
      </c>
      <c r="V355" s="20">
        <f t="shared" si="103"/>
        <v>0</v>
      </c>
      <c r="W355" s="52">
        <f t="shared" si="104"/>
        <v>0</v>
      </c>
      <c r="X355" s="70">
        <v>2</v>
      </c>
      <c r="Y355" s="20"/>
      <c r="Z355" s="20"/>
      <c r="AA355" s="20"/>
      <c r="AB355" s="417"/>
      <c r="AC355" s="200"/>
      <c r="AD355" s="160">
        <v>2.4</v>
      </c>
      <c r="AE355" s="165"/>
      <c r="AF355" s="160"/>
      <c r="AG355" s="192">
        <v>23.4</v>
      </c>
      <c r="AH355" s="110"/>
      <c r="AI355" s="125"/>
      <c r="AJ355" s="185">
        <f t="shared" si="110"/>
        <v>4.8</v>
      </c>
      <c r="AK355" s="125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</row>
    <row r="356" spans="1:73" ht="26.25" hidden="1" customHeight="1" x14ac:dyDescent="0.25">
      <c r="B356" s="14"/>
      <c r="C356" s="6" t="s">
        <v>18</v>
      </c>
      <c r="D356" s="23" t="s">
        <v>40</v>
      </c>
      <c r="E356" s="112" t="s">
        <v>320</v>
      </c>
      <c r="F356" s="208">
        <v>912</v>
      </c>
      <c r="G356" s="13" t="s">
        <v>0</v>
      </c>
      <c r="H356" s="39"/>
      <c r="I356" s="309">
        <v>0</v>
      </c>
      <c r="J356" s="39">
        <f t="shared" si="101"/>
        <v>0</v>
      </c>
      <c r="K356" s="309">
        <f t="shared" si="107"/>
        <v>10.29</v>
      </c>
      <c r="L356" s="230"/>
      <c r="M356" s="273"/>
      <c r="N356" s="140"/>
      <c r="O356" s="39"/>
      <c r="P356" s="309">
        <f t="shared" si="109"/>
        <v>0</v>
      </c>
      <c r="Q356" s="235" t="str">
        <f t="shared" si="102"/>
        <v>П31х26х4</v>
      </c>
      <c r="R356" s="377">
        <f t="shared" si="108"/>
        <v>14.4</v>
      </c>
      <c r="S356" s="319">
        <v>12</v>
      </c>
      <c r="T356" s="353">
        <f t="shared" si="106"/>
        <v>0</v>
      </c>
      <c r="U356" s="70">
        <v>18</v>
      </c>
      <c r="V356" s="20">
        <f t="shared" si="103"/>
        <v>0</v>
      </c>
      <c r="W356" s="52">
        <f t="shared" si="104"/>
        <v>0</v>
      </c>
      <c r="X356" s="70">
        <v>18</v>
      </c>
      <c r="Y356" s="20"/>
      <c r="Z356" s="20"/>
      <c r="AA356" s="20"/>
      <c r="AB356" s="417"/>
      <c r="AC356" s="168"/>
      <c r="AD356" s="450">
        <v>3.2</v>
      </c>
      <c r="AE356" s="165"/>
      <c r="AF356" s="160"/>
      <c r="AG356" s="192">
        <v>24</v>
      </c>
      <c r="AH356" s="110"/>
      <c r="AI356" s="125"/>
      <c r="AJ356" s="185">
        <f t="shared" si="110"/>
        <v>57.6</v>
      </c>
      <c r="AK356" s="435"/>
      <c r="AL356" s="476"/>
    </row>
    <row r="357" spans="1:73" ht="26.25" hidden="1" customHeight="1" x14ac:dyDescent="0.25">
      <c r="B357" s="14"/>
      <c r="C357" s="6" t="s">
        <v>18</v>
      </c>
      <c r="D357" s="23" t="s">
        <v>40</v>
      </c>
      <c r="E357" s="107" t="s">
        <v>305</v>
      </c>
      <c r="F357" s="208">
        <v>860</v>
      </c>
      <c r="G357" s="14"/>
      <c r="H357" s="39"/>
      <c r="I357" s="309">
        <v>0</v>
      </c>
      <c r="J357" s="39">
        <f t="shared" ref="J357:J373" si="111">N357+O357-H357</f>
        <v>0</v>
      </c>
      <c r="K357" s="309">
        <f t="shared" si="107"/>
        <v>2.83</v>
      </c>
      <c r="L357" s="230">
        <f>K357*J650</f>
        <v>0</v>
      </c>
      <c r="M357" s="273"/>
      <c r="N357" s="140"/>
      <c r="O357" s="39"/>
      <c r="P357" s="309">
        <f t="shared" si="109"/>
        <v>0</v>
      </c>
      <c r="Q357" s="235" t="str">
        <f t="shared" ref="Q357:Q388" si="112">E357</f>
        <v>П41,5х23х1,5</v>
      </c>
      <c r="R357" s="377">
        <f t="shared" si="108"/>
        <v>3.96</v>
      </c>
      <c r="S357" s="319">
        <v>3.3</v>
      </c>
      <c r="T357" s="353">
        <f t="shared" si="106"/>
        <v>0</v>
      </c>
      <c r="U357" s="70">
        <v>270</v>
      </c>
      <c r="V357" s="20">
        <f t="shared" ref="V357:V373" si="113">N357</f>
        <v>0</v>
      </c>
      <c r="W357" s="52">
        <f t="shared" ref="W357:W368" si="114">X357-U357+V357</f>
        <v>0</v>
      </c>
      <c r="X357" s="70">
        <v>270</v>
      </c>
      <c r="Y357" s="20" t="s">
        <v>786</v>
      </c>
      <c r="Z357" s="20"/>
      <c r="AA357" s="20"/>
      <c r="AB357" s="417"/>
      <c r="AC357" s="168"/>
      <c r="AD357" s="450">
        <v>1.1000000000000001</v>
      </c>
      <c r="AE357" s="164"/>
      <c r="AF357" s="160"/>
      <c r="AG357" s="176">
        <v>10.7</v>
      </c>
      <c r="AH357" s="120"/>
      <c r="AI357" s="125"/>
      <c r="AJ357" s="185">
        <f t="shared" si="110"/>
        <v>297</v>
      </c>
      <c r="AK357" s="435"/>
      <c r="AL357" s="476"/>
    </row>
    <row r="358" spans="1:73" ht="26.25" hidden="1" customHeight="1" x14ac:dyDescent="0.25">
      <c r="B358" s="14"/>
      <c r="C358" s="6" t="s">
        <v>18</v>
      </c>
      <c r="D358" s="23" t="s">
        <v>40</v>
      </c>
      <c r="E358" s="107" t="s">
        <v>382</v>
      </c>
      <c r="F358" s="208"/>
      <c r="G358" s="14"/>
      <c r="H358" s="39"/>
      <c r="I358" s="309">
        <v>0</v>
      </c>
      <c r="J358" s="39">
        <f t="shared" si="111"/>
        <v>0</v>
      </c>
      <c r="K358" s="309">
        <f t="shared" si="107"/>
        <v>0</v>
      </c>
      <c r="L358" s="230"/>
      <c r="M358" s="273"/>
      <c r="N358" s="140"/>
      <c r="O358" s="39"/>
      <c r="P358" s="309">
        <f t="shared" si="109"/>
        <v>0</v>
      </c>
      <c r="Q358" s="235" t="str">
        <f t="shared" si="112"/>
        <v>П40х40х2</v>
      </c>
      <c r="R358" s="377">
        <f t="shared" si="108"/>
        <v>0</v>
      </c>
      <c r="S358" s="319">
        <v>0</v>
      </c>
      <c r="T358" s="353">
        <f t="shared" si="106"/>
        <v>0</v>
      </c>
      <c r="U358" s="70">
        <v>110</v>
      </c>
      <c r="V358" s="20">
        <f t="shared" si="113"/>
        <v>0</v>
      </c>
      <c r="W358" s="52">
        <f t="shared" si="114"/>
        <v>0</v>
      </c>
      <c r="X358" s="70">
        <v>110</v>
      </c>
      <c r="Y358" s="20" t="s">
        <v>771</v>
      </c>
      <c r="Z358" s="20"/>
      <c r="AA358" s="20"/>
      <c r="AB358" s="417"/>
      <c r="AC358" s="168"/>
      <c r="AD358" s="450">
        <v>2.4</v>
      </c>
      <c r="AE358" s="164"/>
      <c r="AF358" s="160"/>
      <c r="AG358" s="176">
        <v>24</v>
      </c>
      <c r="AH358" s="120"/>
      <c r="AI358" s="125"/>
      <c r="AJ358" s="185">
        <f t="shared" si="110"/>
        <v>264</v>
      </c>
      <c r="AK358" s="435"/>
      <c r="AL358" s="476"/>
    </row>
    <row r="359" spans="1:73" ht="26.25" hidden="1" customHeight="1" thickBot="1" x14ac:dyDescent="0.3">
      <c r="B359" s="14"/>
      <c r="C359" s="6" t="s">
        <v>18</v>
      </c>
      <c r="D359" s="23" t="s">
        <v>40</v>
      </c>
      <c r="E359" s="107" t="s">
        <v>314</v>
      </c>
      <c r="F359" s="208">
        <v>1393</v>
      </c>
      <c r="G359" s="14"/>
      <c r="H359" s="39"/>
      <c r="I359" s="309">
        <v>0</v>
      </c>
      <c r="J359" s="39">
        <f t="shared" si="111"/>
        <v>0</v>
      </c>
      <c r="K359" s="309">
        <f t="shared" si="107"/>
        <v>6.43</v>
      </c>
      <c r="L359" s="230"/>
      <c r="M359" s="155" t="s">
        <v>717</v>
      </c>
      <c r="N359" s="140"/>
      <c r="O359" s="39"/>
      <c r="P359" s="309">
        <f t="shared" si="109"/>
        <v>0</v>
      </c>
      <c r="Q359" s="263" t="str">
        <f t="shared" si="112"/>
        <v>П30х20х10</v>
      </c>
      <c r="R359" s="377">
        <f t="shared" si="108"/>
        <v>9</v>
      </c>
      <c r="S359" s="319">
        <v>7.5</v>
      </c>
      <c r="T359" s="353">
        <f t="shared" si="106"/>
        <v>0</v>
      </c>
      <c r="U359" s="70">
        <v>29</v>
      </c>
      <c r="V359" s="20">
        <f t="shared" si="113"/>
        <v>0</v>
      </c>
      <c r="W359" s="52">
        <f t="shared" si="114"/>
        <v>0</v>
      </c>
      <c r="X359" s="70">
        <v>29</v>
      </c>
      <c r="Y359" s="20" t="s">
        <v>783</v>
      </c>
      <c r="Z359" s="20"/>
      <c r="AA359" s="20"/>
      <c r="AB359" s="417"/>
      <c r="AC359" s="168"/>
      <c r="AD359" s="450">
        <v>1.3</v>
      </c>
      <c r="AE359" s="164"/>
      <c r="AF359" s="160"/>
      <c r="AG359" s="176">
        <v>13.2</v>
      </c>
      <c r="AH359" s="120"/>
      <c r="AI359" s="125"/>
      <c r="AJ359" s="185">
        <f t="shared" si="110"/>
        <v>37.700000000000003</v>
      </c>
      <c r="AK359" s="435"/>
      <c r="AL359" s="476"/>
    </row>
    <row r="360" spans="1:73" ht="26.25" hidden="1" customHeight="1" thickBot="1" x14ac:dyDescent="0.3">
      <c r="B360" s="14"/>
      <c r="C360" s="6" t="s">
        <v>18</v>
      </c>
      <c r="D360" s="23" t="s">
        <v>40</v>
      </c>
      <c r="E360" s="107" t="s">
        <v>386</v>
      </c>
      <c r="F360" s="208">
        <v>1257</v>
      </c>
      <c r="G360" s="12" t="s">
        <v>0</v>
      </c>
      <c r="H360" s="39"/>
      <c r="I360" s="309">
        <v>0</v>
      </c>
      <c r="J360" s="39">
        <f t="shared" si="111"/>
        <v>0</v>
      </c>
      <c r="K360" s="309">
        <f t="shared" si="107"/>
        <v>11.06</v>
      </c>
      <c r="L360" s="230">
        <f>K360*J653</f>
        <v>0</v>
      </c>
      <c r="M360" s="158" t="s">
        <v>504</v>
      </c>
      <c r="N360" s="140"/>
      <c r="O360" s="39"/>
      <c r="P360" s="309">
        <f t="shared" si="109"/>
        <v>0</v>
      </c>
      <c r="Q360" s="265" t="str">
        <f t="shared" si="112"/>
        <v>П40х10х10</v>
      </c>
      <c r="R360" s="377">
        <f t="shared" si="108"/>
        <v>15.49</v>
      </c>
      <c r="S360" s="319">
        <v>12.912000000000001</v>
      </c>
      <c r="T360" s="353">
        <f t="shared" si="106"/>
        <v>0</v>
      </c>
      <c r="U360" s="70">
        <v>9</v>
      </c>
      <c r="V360" s="20">
        <f t="shared" si="113"/>
        <v>0</v>
      </c>
      <c r="W360" s="52">
        <f t="shared" si="114"/>
        <v>0</v>
      </c>
      <c r="X360" s="70">
        <v>9</v>
      </c>
      <c r="Y360" s="20"/>
      <c r="Z360" s="20"/>
      <c r="AA360" s="20"/>
      <c r="AB360" s="417"/>
      <c r="AC360" s="168"/>
      <c r="AD360" s="450">
        <v>3</v>
      </c>
      <c r="AE360" s="164"/>
      <c r="AF360" s="160"/>
      <c r="AG360" s="176">
        <v>30</v>
      </c>
      <c r="AH360" s="120"/>
      <c r="AI360" s="125"/>
      <c r="AJ360" s="185">
        <f t="shared" si="110"/>
        <v>27</v>
      </c>
      <c r="AK360" s="435"/>
      <c r="AL360" s="476"/>
    </row>
    <row r="361" spans="1:73" ht="26.25" hidden="1" customHeight="1" x14ac:dyDescent="0.3">
      <c r="B361" s="14"/>
      <c r="C361" s="6" t="s">
        <v>18</v>
      </c>
      <c r="D361" s="23" t="s">
        <v>40</v>
      </c>
      <c r="E361" s="106" t="s">
        <v>370</v>
      </c>
      <c r="F361" s="208">
        <v>1488</v>
      </c>
      <c r="G361" s="14"/>
      <c r="H361" s="39"/>
      <c r="I361" s="309">
        <v>0</v>
      </c>
      <c r="J361" s="39">
        <f t="shared" si="111"/>
        <v>0</v>
      </c>
      <c r="K361" s="309">
        <f t="shared" si="107"/>
        <v>5.14</v>
      </c>
      <c r="L361" s="230"/>
      <c r="M361" s="47" t="s">
        <v>843</v>
      </c>
      <c r="N361" s="140"/>
      <c r="O361" s="39"/>
      <c r="P361" s="309">
        <f t="shared" si="109"/>
        <v>0</v>
      </c>
      <c r="Q361" s="262" t="str">
        <f t="shared" si="112"/>
        <v>П40х10х5</v>
      </c>
      <c r="R361" s="377">
        <f t="shared" si="108"/>
        <v>7.2</v>
      </c>
      <c r="S361" s="319">
        <v>6</v>
      </c>
      <c r="T361" s="353">
        <f t="shared" si="106"/>
        <v>0</v>
      </c>
      <c r="U361" s="431"/>
      <c r="V361" s="20">
        <f t="shared" si="113"/>
        <v>0</v>
      </c>
      <c r="W361" s="52">
        <f t="shared" si="114"/>
        <v>0</v>
      </c>
      <c r="X361" s="431"/>
      <c r="Y361" s="200" t="s">
        <v>795</v>
      </c>
      <c r="Z361" s="74"/>
      <c r="AA361" s="74"/>
      <c r="AB361" s="422"/>
      <c r="AC361" s="168"/>
      <c r="AD361" s="450">
        <v>2.68</v>
      </c>
      <c r="AE361" s="164"/>
      <c r="AF361" s="160"/>
      <c r="AG361" s="176">
        <v>15</v>
      </c>
      <c r="AH361" s="120"/>
      <c r="AI361" s="125"/>
      <c r="AJ361" s="185">
        <f t="shared" si="110"/>
        <v>0</v>
      </c>
      <c r="AK361" s="435"/>
      <c r="AL361" s="476"/>
    </row>
    <row r="362" spans="1:73" ht="26.25" hidden="1" customHeight="1" x14ac:dyDescent="0.25">
      <c r="B362" s="19"/>
      <c r="C362" s="6" t="s">
        <v>18</v>
      </c>
      <c r="D362" s="23" t="s">
        <v>40</v>
      </c>
      <c r="E362" s="106" t="s">
        <v>202</v>
      </c>
      <c r="F362" s="385" t="s">
        <v>219</v>
      </c>
      <c r="G362" s="48" t="s">
        <v>0</v>
      </c>
      <c r="H362" s="39"/>
      <c r="I362" s="360">
        <v>0</v>
      </c>
      <c r="J362" s="39">
        <f t="shared" si="111"/>
        <v>0</v>
      </c>
      <c r="K362" s="309">
        <v>21.43</v>
      </c>
      <c r="L362" s="230">
        <f>K362*J655</f>
        <v>0</v>
      </c>
      <c r="M362" s="363" t="s">
        <v>518</v>
      </c>
      <c r="N362" s="141"/>
      <c r="O362" s="39"/>
      <c r="P362" s="360">
        <f t="shared" si="109"/>
        <v>0</v>
      </c>
      <c r="Q362" s="235" t="str">
        <f t="shared" si="112"/>
        <v>П40х40х8</v>
      </c>
      <c r="R362" s="377">
        <f t="shared" si="108"/>
        <v>30</v>
      </c>
      <c r="S362" s="319">
        <v>25</v>
      </c>
      <c r="T362" s="353">
        <f t="shared" si="106"/>
        <v>0</v>
      </c>
      <c r="U362" s="70">
        <v>7</v>
      </c>
      <c r="V362" s="20">
        <f t="shared" si="113"/>
        <v>0</v>
      </c>
      <c r="W362" s="52">
        <f t="shared" si="114"/>
        <v>0</v>
      </c>
      <c r="X362" s="70">
        <v>7</v>
      </c>
      <c r="Y362" s="20" t="s">
        <v>783</v>
      </c>
      <c r="Z362" s="20"/>
      <c r="AA362" s="20">
        <v>222</v>
      </c>
      <c r="AB362" s="417"/>
      <c r="AC362" s="168"/>
      <c r="AD362" s="450">
        <v>6.15</v>
      </c>
      <c r="AE362" s="165"/>
      <c r="AF362" s="160"/>
      <c r="AG362" s="192">
        <v>100</v>
      </c>
      <c r="AH362" s="110"/>
      <c r="AI362" s="125"/>
      <c r="AJ362" s="185">
        <f t="shared" si="110"/>
        <v>43.1</v>
      </c>
      <c r="AK362" s="435"/>
      <c r="AL362" s="476"/>
    </row>
    <row r="363" spans="1:73" ht="36" hidden="1" customHeight="1" x14ac:dyDescent="0.25">
      <c r="B363" s="19"/>
      <c r="C363" s="6" t="s">
        <v>18</v>
      </c>
      <c r="D363" s="23" t="s">
        <v>40</v>
      </c>
      <c r="E363" s="84" t="s">
        <v>253</v>
      </c>
      <c r="F363" s="393" t="s">
        <v>258</v>
      </c>
      <c r="G363" s="48" t="s">
        <v>0</v>
      </c>
      <c r="H363" s="39"/>
      <c r="I363" s="309">
        <v>0</v>
      </c>
      <c r="J363" s="39">
        <f t="shared" si="111"/>
        <v>0</v>
      </c>
      <c r="K363" s="309">
        <f t="shared" ref="K363:K370" si="115">R363/1.4</f>
        <v>25.71</v>
      </c>
      <c r="L363" s="230">
        <f>K363*J656</f>
        <v>0</v>
      </c>
      <c r="M363" s="117" t="s">
        <v>259</v>
      </c>
      <c r="N363" s="141"/>
      <c r="O363" s="39"/>
      <c r="P363" s="309">
        <f t="shared" si="109"/>
        <v>0</v>
      </c>
      <c r="Q363" s="235" t="str">
        <f t="shared" si="112"/>
        <v>П40х40х10</v>
      </c>
      <c r="R363" s="377">
        <f t="shared" si="108"/>
        <v>36</v>
      </c>
      <c r="S363" s="339">
        <v>30</v>
      </c>
      <c r="T363" s="353">
        <f t="shared" si="106"/>
        <v>0</v>
      </c>
      <c r="U363" s="70">
        <v>9</v>
      </c>
      <c r="V363" s="20">
        <f t="shared" si="113"/>
        <v>0</v>
      </c>
      <c r="W363" s="52">
        <f t="shared" si="114"/>
        <v>0</v>
      </c>
      <c r="X363" s="70">
        <v>9</v>
      </c>
      <c r="Y363" s="542" t="s">
        <v>798</v>
      </c>
      <c r="Z363" s="20"/>
      <c r="AA363" s="20"/>
      <c r="AB363" s="417"/>
      <c r="AC363" s="168"/>
      <c r="AD363" s="450">
        <v>12.5</v>
      </c>
      <c r="AE363" s="165"/>
      <c r="AF363" s="160"/>
      <c r="AG363" s="192">
        <v>125</v>
      </c>
      <c r="AH363" s="110"/>
      <c r="AI363" s="125"/>
      <c r="AJ363" s="185">
        <f t="shared" si="110"/>
        <v>112.5</v>
      </c>
      <c r="AK363" s="435"/>
      <c r="AL363" s="476"/>
    </row>
    <row r="364" spans="1:73" s="4" customFormat="1" ht="26.25" hidden="1" customHeight="1" x14ac:dyDescent="0.25">
      <c r="A364" s="10"/>
      <c r="B364" s="19"/>
      <c r="C364" s="6" t="s">
        <v>18</v>
      </c>
      <c r="D364" s="23" t="s">
        <v>40</v>
      </c>
      <c r="E364" s="84" t="s">
        <v>202</v>
      </c>
      <c r="F364" s="393" t="s">
        <v>626</v>
      </c>
      <c r="G364" s="48" t="s">
        <v>0</v>
      </c>
      <c r="H364" s="39"/>
      <c r="I364" s="309">
        <v>0</v>
      </c>
      <c r="J364" s="39">
        <f t="shared" si="111"/>
        <v>0</v>
      </c>
      <c r="K364" s="309">
        <f t="shared" si="115"/>
        <v>43.71</v>
      </c>
      <c r="L364" s="230">
        <f>K364*J657</f>
        <v>0</v>
      </c>
      <c r="M364" s="155" t="s">
        <v>631</v>
      </c>
      <c r="N364" s="141"/>
      <c r="O364" s="39"/>
      <c r="P364" s="309">
        <f t="shared" si="109"/>
        <v>0</v>
      </c>
      <c r="Q364" s="235" t="str">
        <f t="shared" si="112"/>
        <v>П40х40х8</v>
      </c>
      <c r="R364" s="377">
        <f t="shared" si="108"/>
        <v>61.2</v>
      </c>
      <c r="S364" s="319">
        <v>51</v>
      </c>
      <c r="T364" s="353">
        <f t="shared" si="106"/>
        <v>0</v>
      </c>
      <c r="U364" s="70">
        <v>24</v>
      </c>
      <c r="V364" s="20">
        <f t="shared" si="113"/>
        <v>0</v>
      </c>
      <c r="W364" s="52">
        <f t="shared" si="114"/>
        <v>0</v>
      </c>
      <c r="X364" s="70">
        <v>24</v>
      </c>
      <c r="Y364" s="20" t="s">
        <v>796</v>
      </c>
      <c r="Z364" s="20"/>
      <c r="AA364" s="20"/>
      <c r="AB364" s="417"/>
      <c r="AC364" s="200"/>
      <c r="AD364" s="160">
        <v>7.8</v>
      </c>
      <c r="AE364" s="165"/>
      <c r="AF364" s="160"/>
      <c r="AG364" s="192">
        <v>61.6</v>
      </c>
      <c r="AH364" s="110"/>
      <c r="AI364" s="125"/>
      <c r="AJ364" s="185">
        <f t="shared" si="110"/>
        <v>187.2</v>
      </c>
      <c r="AK364" s="125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1:73" ht="26.25" hidden="1" customHeight="1" x14ac:dyDescent="0.25">
      <c r="B365" s="19"/>
      <c r="C365" s="6" t="s">
        <v>18</v>
      </c>
      <c r="D365" s="23" t="s">
        <v>40</v>
      </c>
      <c r="E365" s="106" t="s">
        <v>662</v>
      </c>
      <c r="F365" s="385" t="s">
        <v>200</v>
      </c>
      <c r="G365" s="48" t="s">
        <v>0</v>
      </c>
      <c r="H365" s="39"/>
      <c r="I365" s="309">
        <v>0</v>
      </c>
      <c r="J365" s="39">
        <f t="shared" si="111"/>
        <v>0</v>
      </c>
      <c r="K365" s="309">
        <f t="shared" si="115"/>
        <v>45.43</v>
      </c>
      <c r="L365" s="230">
        <f>K365*J658</f>
        <v>0</v>
      </c>
      <c r="M365" s="72" t="s">
        <v>206</v>
      </c>
      <c r="N365" s="141"/>
      <c r="O365" s="39"/>
      <c r="P365" s="309">
        <f t="shared" si="109"/>
        <v>0</v>
      </c>
      <c r="Q365" s="235" t="str">
        <f t="shared" si="112"/>
        <v>П40х20х20(ЭПГ111.039)с д3,5</v>
      </c>
      <c r="R365" s="377">
        <f t="shared" si="108"/>
        <v>63.6</v>
      </c>
      <c r="S365" s="319">
        <v>53</v>
      </c>
      <c r="T365" s="353">
        <f t="shared" ref="T365:T396" si="116">S365*J365</f>
        <v>0</v>
      </c>
      <c r="U365" s="70">
        <v>94</v>
      </c>
      <c r="V365" s="20">
        <f t="shared" si="113"/>
        <v>0</v>
      </c>
      <c r="W365" s="52">
        <f t="shared" si="114"/>
        <v>0</v>
      </c>
      <c r="X365" s="70">
        <v>94</v>
      </c>
      <c r="Y365" s="20" t="s">
        <v>783</v>
      </c>
      <c r="Z365" s="20"/>
      <c r="AA365" s="20"/>
      <c r="AB365" s="417"/>
      <c r="AC365" s="168"/>
      <c r="AD365" s="450">
        <v>9.9499999999999993</v>
      </c>
      <c r="AE365" s="165"/>
      <c r="AF365" s="160"/>
      <c r="AG365" s="192">
        <v>120</v>
      </c>
      <c r="AH365" s="110"/>
      <c r="AI365" s="125"/>
      <c r="AJ365" s="185">
        <f t="shared" si="110"/>
        <v>935.3</v>
      </c>
      <c r="AK365" s="435"/>
      <c r="AL365" s="476"/>
    </row>
    <row r="366" spans="1:73" ht="26.25" hidden="1" customHeight="1" x14ac:dyDescent="0.3">
      <c r="B366" s="19"/>
      <c r="C366" s="6" t="s">
        <v>18</v>
      </c>
      <c r="D366" s="23" t="s">
        <v>40</v>
      </c>
      <c r="E366" s="84" t="s">
        <v>304</v>
      </c>
      <c r="F366" s="385"/>
      <c r="G366" s="48"/>
      <c r="H366" s="39"/>
      <c r="I366" s="309">
        <v>0</v>
      </c>
      <c r="J366" s="39">
        <f t="shared" si="111"/>
        <v>0</v>
      </c>
      <c r="K366" s="309">
        <f t="shared" si="115"/>
        <v>0</v>
      </c>
      <c r="L366" s="230"/>
      <c r="M366" s="72"/>
      <c r="N366" s="141"/>
      <c r="O366" s="39"/>
      <c r="P366" s="309">
        <f t="shared" si="109"/>
        <v>0</v>
      </c>
      <c r="Q366" s="263" t="str">
        <f t="shared" si="112"/>
        <v>П50х30х5</v>
      </c>
      <c r="R366" s="377">
        <f t="shared" si="108"/>
        <v>0</v>
      </c>
      <c r="S366" s="319">
        <v>0</v>
      </c>
      <c r="T366" s="353">
        <f t="shared" si="116"/>
        <v>0</v>
      </c>
      <c r="U366" s="431">
        <v>42</v>
      </c>
      <c r="V366" s="20">
        <f t="shared" si="113"/>
        <v>0</v>
      </c>
      <c r="W366" s="52">
        <f t="shared" si="114"/>
        <v>0</v>
      </c>
      <c r="X366" s="431">
        <v>42</v>
      </c>
      <c r="Y366" s="200" t="s">
        <v>795</v>
      </c>
      <c r="Z366" s="74"/>
      <c r="AA366" s="74"/>
      <c r="AB366" s="422"/>
      <c r="AC366" s="168"/>
      <c r="AD366" s="450">
        <v>6.88</v>
      </c>
      <c r="AE366" s="165"/>
      <c r="AF366" s="160"/>
      <c r="AG366" s="192">
        <v>56.25</v>
      </c>
      <c r="AH366" s="110"/>
      <c r="AI366" s="125"/>
      <c r="AJ366" s="185">
        <f t="shared" si="110"/>
        <v>289</v>
      </c>
      <c r="AK366" s="435"/>
      <c r="AL366" s="476"/>
    </row>
    <row r="367" spans="1:73" ht="26.25" hidden="1" customHeight="1" x14ac:dyDescent="0.25">
      <c r="B367" s="11"/>
      <c r="C367" s="6" t="s">
        <v>18</v>
      </c>
      <c r="D367" s="23" t="s">
        <v>40</v>
      </c>
      <c r="E367" s="112" t="s">
        <v>321</v>
      </c>
      <c r="F367" s="383" t="s">
        <v>322</v>
      </c>
      <c r="G367" s="13" t="s">
        <v>0</v>
      </c>
      <c r="H367" s="39"/>
      <c r="I367" s="360">
        <v>0</v>
      </c>
      <c r="J367" s="39">
        <f t="shared" si="111"/>
        <v>0</v>
      </c>
      <c r="K367" s="309">
        <f t="shared" si="115"/>
        <v>30</v>
      </c>
      <c r="L367" s="230"/>
      <c r="M367" s="154" t="s">
        <v>844</v>
      </c>
      <c r="N367" s="141"/>
      <c r="O367" s="503"/>
      <c r="P367" s="309">
        <f t="shared" si="109"/>
        <v>0</v>
      </c>
      <c r="Q367" s="235" t="str">
        <f t="shared" si="112"/>
        <v>П50х43х12,5</v>
      </c>
      <c r="R367" s="377">
        <f t="shared" si="108"/>
        <v>42</v>
      </c>
      <c r="S367" s="319">
        <v>35</v>
      </c>
      <c r="T367" s="353">
        <f t="shared" si="116"/>
        <v>0</v>
      </c>
      <c r="U367" s="70">
        <v>39</v>
      </c>
      <c r="V367" s="20">
        <f t="shared" si="113"/>
        <v>0</v>
      </c>
      <c r="W367" s="52">
        <f t="shared" si="114"/>
        <v>0</v>
      </c>
      <c r="X367" s="70">
        <v>39</v>
      </c>
      <c r="Y367" s="20" t="s">
        <v>799</v>
      </c>
      <c r="Z367" s="20"/>
      <c r="AA367" s="20"/>
      <c r="AB367" s="417"/>
      <c r="AC367" s="168"/>
      <c r="AD367" s="450">
        <v>12</v>
      </c>
      <c r="AE367" s="200" t="s">
        <v>399</v>
      </c>
      <c r="AF367" s="160"/>
      <c r="AG367" s="192">
        <v>210</v>
      </c>
      <c r="AH367" s="110"/>
      <c r="AI367" s="125"/>
      <c r="AJ367" s="185">
        <f t="shared" si="110"/>
        <v>468</v>
      </c>
      <c r="AK367" s="435"/>
      <c r="AL367" s="476"/>
    </row>
    <row r="368" spans="1:73" ht="26.25" hidden="1" customHeight="1" x14ac:dyDescent="0.25">
      <c r="B368" s="11"/>
      <c r="C368" s="6" t="s">
        <v>18</v>
      </c>
      <c r="D368" s="23" t="s">
        <v>40</v>
      </c>
      <c r="E368" s="112" t="s">
        <v>691</v>
      </c>
      <c r="F368" s="385"/>
      <c r="G368" s="13"/>
      <c r="H368" s="39"/>
      <c r="I368" s="360">
        <v>0</v>
      </c>
      <c r="J368" s="39">
        <f t="shared" si="111"/>
        <v>0</v>
      </c>
      <c r="K368" s="309">
        <f t="shared" si="115"/>
        <v>0</v>
      </c>
      <c r="L368" s="230"/>
      <c r="M368" s="366"/>
      <c r="N368" s="141"/>
      <c r="O368" s="503"/>
      <c r="P368" s="309">
        <f t="shared" si="109"/>
        <v>0</v>
      </c>
      <c r="Q368" s="262" t="str">
        <f t="shared" si="112"/>
        <v>П55х16х25</v>
      </c>
      <c r="R368" s="377">
        <f t="shared" si="108"/>
        <v>0</v>
      </c>
      <c r="T368" s="353">
        <f t="shared" si="116"/>
        <v>0</v>
      </c>
      <c r="U368" s="70">
        <v>1</v>
      </c>
      <c r="V368" s="20">
        <f t="shared" si="113"/>
        <v>0</v>
      </c>
      <c r="W368" s="52">
        <f t="shared" si="114"/>
        <v>0</v>
      </c>
      <c r="X368" s="70">
        <v>1</v>
      </c>
      <c r="Y368" s="20" t="s">
        <v>771</v>
      </c>
      <c r="Z368" s="20"/>
      <c r="AA368" s="20"/>
      <c r="AB368" s="417"/>
      <c r="AC368" s="168"/>
      <c r="AD368" s="450"/>
      <c r="AE368" s="200"/>
      <c r="AF368" s="160"/>
      <c r="AG368" s="192"/>
      <c r="AH368" s="110"/>
      <c r="AI368" s="125"/>
      <c r="AJ368" s="185"/>
      <c r="AK368" s="435"/>
      <c r="AL368" s="476"/>
    </row>
    <row r="369" spans="2:38" ht="26.25" hidden="1" customHeight="1" x14ac:dyDescent="0.25">
      <c r="B369" s="11"/>
      <c r="C369" s="6" t="s">
        <v>18</v>
      </c>
      <c r="D369" s="23" t="s">
        <v>40</v>
      </c>
      <c r="E369" s="112" t="s">
        <v>692</v>
      </c>
      <c r="F369" s="383" t="s">
        <v>704</v>
      </c>
      <c r="G369" s="13"/>
      <c r="H369" s="39"/>
      <c r="I369" s="360">
        <v>0</v>
      </c>
      <c r="J369" s="39">
        <f t="shared" si="111"/>
        <v>0</v>
      </c>
      <c r="K369" s="309">
        <f t="shared" si="115"/>
        <v>34.29</v>
      </c>
      <c r="L369" s="230"/>
      <c r="M369" s="155" t="s">
        <v>719</v>
      </c>
      <c r="N369" s="141"/>
      <c r="O369" s="503"/>
      <c r="P369" s="309">
        <f t="shared" si="109"/>
        <v>0</v>
      </c>
      <c r="Q369" s="262" t="str">
        <f t="shared" si="112"/>
        <v>П55х18х5</v>
      </c>
      <c r="R369" s="377">
        <f>S369*1.2</f>
        <v>48</v>
      </c>
      <c r="S369" s="319">
        <v>40</v>
      </c>
      <c r="T369" s="353">
        <f t="shared" si="116"/>
        <v>0</v>
      </c>
      <c r="U369" s="70">
        <v>4</v>
      </c>
      <c r="V369" s="20">
        <f t="shared" si="113"/>
        <v>0</v>
      </c>
      <c r="W369" s="52"/>
      <c r="X369" s="70">
        <v>4</v>
      </c>
      <c r="Y369" s="20" t="s">
        <v>771</v>
      </c>
      <c r="Z369" s="20"/>
      <c r="AA369" s="20"/>
      <c r="AB369" s="417"/>
      <c r="AC369" s="168"/>
      <c r="AD369" s="450"/>
      <c r="AE369" s="200"/>
      <c r="AF369" s="160"/>
      <c r="AG369" s="192"/>
      <c r="AH369" s="110"/>
      <c r="AI369" s="125"/>
      <c r="AJ369" s="185"/>
      <c r="AK369" s="435"/>
      <c r="AL369" s="476"/>
    </row>
    <row r="370" spans="2:38" ht="26.25" hidden="1" customHeight="1" x14ac:dyDescent="0.25">
      <c r="B370" s="19"/>
      <c r="C370" s="6" t="s">
        <v>18</v>
      </c>
      <c r="D370" s="23" t="s">
        <v>40</v>
      </c>
      <c r="E370" s="112" t="s">
        <v>761</v>
      </c>
      <c r="F370" s="385"/>
      <c r="G370" s="13"/>
      <c r="H370" s="39"/>
      <c r="I370" s="309">
        <v>0</v>
      </c>
      <c r="J370" s="39">
        <f t="shared" si="111"/>
        <v>0</v>
      </c>
      <c r="K370" s="309">
        <f t="shared" si="115"/>
        <v>0</v>
      </c>
      <c r="L370" s="230"/>
      <c r="M370" s="72"/>
      <c r="N370" s="141"/>
      <c r="O370" s="39"/>
      <c r="P370" s="490">
        <f t="shared" si="109"/>
        <v>0</v>
      </c>
      <c r="Q370" s="262" t="str">
        <f t="shared" si="112"/>
        <v>П50х50х24</v>
      </c>
      <c r="R370" s="377">
        <f>S370*1.2</f>
        <v>0</v>
      </c>
      <c r="S370" s="319">
        <v>0</v>
      </c>
      <c r="T370" s="353">
        <f t="shared" si="116"/>
        <v>0</v>
      </c>
      <c r="U370" s="70">
        <v>3</v>
      </c>
      <c r="V370" s="20">
        <f t="shared" si="113"/>
        <v>0</v>
      </c>
      <c r="W370" s="52">
        <f>X370-U370+V370</f>
        <v>0</v>
      </c>
      <c r="X370" s="70">
        <v>3</v>
      </c>
      <c r="Y370" s="20" t="s">
        <v>783</v>
      </c>
      <c r="Z370" s="20"/>
      <c r="AA370" s="20"/>
      <c r="AB370" s="417"/>
      <c r="AC370" s="168"/>
      <c r="AD370" s="450">
        <v>68</v>
      </c>
      <c r="AE370" s="165"/>
      <c r="AF370" s="160"/>
      <c r="AG370" s="192">
        <v>585</v>
      </c>
      <c r="AH370" s="110"/>
      <c r="AI370" s="125"/>
      <c r="AJ370" s="185">
        <f>X370*AD370</f>
        <v>204</v>
      </c>
      <c r="AK370" s="435"/>
      <c r="AL370" s="476"/>
    </row>
    <row r="371" spans="2:38" ht="26.25" hidden="1" customHeight="1" x14ac:dyDescent="0.25">
      <c r="B371" s="19"/>
      <c r="C371" s="6" t="s">
        <v>18</v>
      </c>
      <c r="D371" s="23" t="s">
        <v>40</v>
      </c>
      <c r="E371" s="112" t="s">
        <v>731</v>
      </c>
      <c r="F371" s="385"/>
      <c r="G371" s="13"/>
      <c r="H371" s="39"/>
      <c r="I371" s="309"/>
      <c r="J371" s="39">
        <f t="shared" si="111"/>
        <v>0</v>
      </c>
      <c r="K371" s="309"/>
      <c r="L371" s="230"/>
      <c r="M371" s="72"/>
      <c r="N371" s="141"/>
      <c r="O371" s="39"/>
      <c r="P371" s="309"/>
      <c r="Q371" s="262" t="str">
        <f t="shared" si="112"/>
        <v>П80х40х20</v>
      </c>
      <c r="R371" s="377"/>
      <c r="T371" s="353">
        <f t="shared" si="116"/>
        <v>0</v>
      </c>
      <c r="U371" s="70">
        <v>9</v>
      </c>
      <c r="V371" s="20">
        <f t="shared" si="113"/>
        <v>0</v>
      </c>
      <c r="W371" s="52">
        <f>X371-U371+V371</f>
        <v>0</v>
      </c>
      <c r="X371" s="70">
        <v>9</v>
      </c>
      <c r="Y371" s="20" t="s">
        <v>786</v>
      </c>
      <c r="Z371" s="20"/>
      <c r="AA371" s="20"/>
      <c r="AB371" s="417"/>
      <c r="AC371" s="168"/>
      <c r="AD371" s="450"/>
      <c r="AE371" s="165"/>
      <c r="AF371" s="160"/>
      <c r="AG371" s="192"/>
      <c r="AH371" s="110"/>
      <c r="AI371" s="125"/>
      <c r="AJ371" s="185"/>
      <c r="AK371" s="435"/>
      <c r="AL371" s="476"/>
    </row>
    <row r="372" spans="2:38" ht="26.25" hidden="1" customHeight="1" x14ac:dyDescent="0.25">
      <c r="B372" s="19"/>
      <c r="C372" s="6" t="s">
        <v>18</v>
      </c>
      <c r="D372" s="23" t="s">
        <v>40</v>
      </c>
      <c r="E372" s="112" t="s">
        <v>588</v>
      </c>
      <c r="F372" s="385"/>
      <c r="G372" s="13"/>
      <c r="H372" s="39"/>
      <c r="I372" s="309"/>
      <c r="J372" s="39">
        <f t="shared" si="111"/>
        <v>0</v>
      </c>
      <c r="K372" s="309"/>
      <c r="L372" s="230"/>
      <c r="M372" s="72"/>
      <c r="N372" s="141"/>
      <c r="O372" s="39"/>
      <c r="P372" s="309"/>
      <c r="Q372" s="262" t="str">
        <f t="shared" si="112"/>
        <v>П50х20х20</v>
      </c>
      <c r="R372" s="377"/>
      <c r="T372" s="353">
        <f t="shared" si="116"/>
        <v>0</v>
      </c>
      <c r="U372" s="70">
        <v>36</v>
      </c>
      <c r="V372" s="20">
        <f t="shared" si="113"/>
        <v>0</v>
      </c>
      <c r="W372" s="52">
        <f>X372-U372+V372</f>
        <v>0</v>
      </c>
      <c r="X372" s="70">
        <v>36</v>
      </c>
      <c r="Y372" s="20" t="s">
        <v>784</v>
      </c>
      <c r="Z372" s="20"/>
      <c r="AA372" s="20"/>
      <c r="AB372" s="417"/>
      <c r="AC372" s="168"/>
      <c r="AD372" s="450"/>
      <c r="AE372" s="165"/>
      <c r="AF372" s="160"/>
      <c r="AG372" s="192"/>
      <c r="AH372" s="110"/>
      <c r="AI372" s="125"/>
      <c r="AJ372" s="185"/>
      <c r="AK372" s="435"/>
      <c r="AL372" s="476"/>
    </row>
    <row r="373" spans="2:38" ht="26.25" hidden="1" customHeight="1" x14ac:dyDescent="0.25">
      <c r="B373" s="19"/>
      <c r="C373" s="6" t="s">
        <v>18</v>
      </c>
      <c r="D373" s="23" t="s">
        <v>40</v>
      </c>
      <c r="E373" s="112" t="s">
        <v>391</v>
      </c>
      <c r="F373" s="385"/>
      <c r="G373" s="13"/>
      <c r="H373" s="39"/>
      <c r="I373" s="309">
        <v>0</v>
      </c>
      <c r="J373" s="39">
        <f t="shared" si="111"/>
        <v>0</v>
      </c>
      <c r="K373" s="309">
        <f>R373/1.4</f>
        <v>0</v>
      </c>
      <c r="L373" s="230"/>
      <c r="M373" s="72"/>
      <c r="N373" s="141"/>
      <c r="O373" s="39"/>
      <c r="P373" s="309">
        <f>K373*O373</f>
        <v>0</v>
      </c>
      <c r="Q373" s="235" t="str">
        <f t="shared" si="112"/>
        <v>П88х50х12,5</v>
      </c>
      <c r="R373" s="377">
        <f>S373*1.2</f>
        <v>0</v>
      </c>
      <c r="S373" s="319">
        <v>0</v>
      </c>
      <c r="T373" s="353">
        <f t="shared" si="116"/>
        <v>0</v>
      </c>
      <c r="U373" s="70">
        <v>1</v>
      </c>
      <c r="V373" s="20">
        <f t="shared" si="113"/>
        <v>0</v>
      </c>
      <c r="W373" s="52">
        <f>X373-U373+V373</f>
        <v>0</v>
      </c>
      <c r="X373" s="70">
        <v>1</v>
      </c>
      <c r="Y373" s="20" t="s">
        <v>771</v>
      </c>
      <c r="Z373" s="20"/>
      <c r="AA373" s="20"/>
      <c r="AB373" s="417"/>
      <c r="AC373" s="168"/>
      <c r="AD373" s="450">
        <v>4.7</v>
      </c>
      <c r="AE373" s="165"/>
      <c r="AF373" s="160"/>
      <c r="AG373" s="192">
        <v>47</v>
      </c>
      <c r="AH373" s="110"/>
      <c r="AI373" s="125"/>
      <c r="AJ373" s="185">
        <f>X373*AD373</f>
        <v>4.7</v>
      </c>
      <c r="AK373" s="435"/>
      <c r="AL373" s="476"/>
    </row>
    <row r="374" spans="2:38" ht="26.25" hidden="1" customHeight="1" x14ac:dyDescent="0.25">
      <c r="B374" s="19"/>
      <c r="C374" s="6" t="s">
        <v>18</v>
      </c>
      <c r="D374" s="23" t="s">
        <v>40</v>
      </c>
      <c r="E374" s="112" t="s">
        <v>768</v>
      </c>
      <c r="F374" s="385"/>
      <c r="G374" s="13"/>
      <c r="H374" s="39"/>
      <c r="I374" s="309"/>
      <c r="J374" s="39"/>
      <c r="K374" s="309"/>
      <c r="L374" s="230"/>
      <c r="M374" s="72"/>
      <c r="N374" s="141"/>
      <c r="O374" s="39"/>
      <c r="P374" s="309"/>
      <c r="Q374" s="235" t="str">
        <f t="shared" si="112"/>
        <v>П70х4х11</v>
      </c>
      <c r="R374" s="377"/>
      <c r="T374" s="353">
        <f t="shared" si="116"/>
        <v>0</v>
      </c>
      <c r="U374" s="70">
        <v>30</v>
      </c>
      <c r="V374" s="20"/>
      <c r="W374" s="52"/>
      <c r="X374" s="70">
        <v>30</v>
      </c>
      <c r="Y374" s="20" t="s">
        <v>769</v>
      </c>
      <c r="Z374" s="20"/>
      <c r="AA374" s="20"/>
      <c r="AB374" s="417"/>
      <c r="AC374" s="168"/>
      <c r="AD374" s="450"/>
      <c r="AE374" s="165"/>
      <c r="AF374" s="160"/>
      <c r="AG374" s="192"/>
      <c r="AH374" s="110"/>
      <c r="AI374" s="125"/>
      <c r="AJ374" s="185"/>
      <c r="AK374" s="435"/>
      <c r="AL374" s="476"/>
    </row>
    <row r="375" spans="2:38" ht="26.25" hidden="1" customHeight="1" x14ac:dyDescent="0.25">
      <c r="B375" s="19"/>
      <c r="C375" s="6" t="s">
        <v>18</v>
      </c>
      <c r="D375" s="23" t="s">
        <v>40</v>
      </c>
      <c r="E375" s="112" t="s">
        <v>770</v>
      </c>
      <c r="F375" s="385"/>
      <c r="G375" s="13"/>
      <c r="H375" s="39"/>
      <c r="I375" s="309"/>
      <c r="J375" s="39"/>
      <c r="K375" s="309"/>
      <c r="L375" s="230"/>
      <c r="M375" s="72"/>
      <c r="N375" s="141"/>
      <c r="O375" s="39"/>
      <c r="P375" s="309"/>
      <c r="Q375" s="235" t="str">
        <f t="shared" si="112"/>
        <v>П80х40х20 и П88х24х12,5</v>
      </c>
      <c r="R375" s="377"/>
      <c r="T375" s="353">
        <f t="shared" si="116"/>
        <v>0</v>
      </c>
      <c r="U375" s="70">
        <v>2</v>
      </c>
      <c r="V375" s="20"/>
      <c r="W375" s="52"/>
      <c r="X375" s="70">
        <v>2</v>
      </c>
      <c r="Y375" s="20" t="s">
        <v>771</v>
      </c>
      <c r="Z375" s="20"/>
      <c r="AA375" s="20"/>
      <c r="AB375" s="417"/>
      <c r="AC375" s="168"/>
      <c r="AD375" s="450"/>
      <c r="AE375" s="165"/>
      <c r="AF375" s="160"/>
      <c r="AG375" s="192"/>
      <c r="AH375" s="110"/>
      <c r="AI375" s="125"/>
      <c r="AJ375" s="185"/>
      <c r="AK375" s="435"/>
      <c r="AL375" s="476"/>
    </row>
    <row r="376" spans="2:38" ht="26.25" hidden="1" customHeight="1" x14ac:dyDescent="0.25">
      <c r="B376" s="19"/>
      <c r="C376" s="6" t="s">
        <v>18</v>
      </c>
      <c r="D376" s="23" t="s">
        <v>40</v>
      </c>
      <c r="E376" s="112" t="s">
        <v>222</v>
      </c>
      <c r="F376" s="385"/>
      <c r="G376" s="13"/>
      <c r="H376" s="39"/>
      <c r="I376" s="309"/>
      <c r="J376" s="39"/>
      <c r="K376" s="309"/>
      <c r="L376" s="230"/>
      <c r="M376" s="72"/>
      <c r="N376" s="141"/>
      <c r="O376" s="39"/>
      <c r="P376" s="309"/>
      <c r="Q376" s="235" t="str">
        <f t="shared" si="112"/>
        <v>П40х20х10</v>
      </c>
      <c r="R376" s="377"/>
      <c r="T376" s="353">
        <f t="shared" si="116"/>
        <v>0</v>
      </c>
      <c r="U376" s="70"/>
      <c r="V376" s="20"/>
      <c r="W376" s="52"/>
      <c r="X376" s="70"/>
      <c r="Y376" s="20"/>
      <c r="Z376" s="20"/>
      <c r="AA376" s="20"/>
      <c r="AB376" s="417"/>
      <c r="AC376" s="168"/>
      <c r="AD376" s="450"/>
      <c r="AE376" s="165"/>
      <c r="AF376" s="160"/>
      <c r="AG376" s="192"/>
      <c r="AH376" s="110"/>
      <c r="AI376" s="125"/>
      <c r="AJ376" s="185"/>
      <c r="AK376" s="435"/>
      <c r="AL376" s="476"/>
    </row>
    <row r="377" spans="2:38" ht="26.25" hidden="1" customHeight="1" x14ac:dyDescent="0.3">
      <c r="B377" s="19"/>
      <c r="C377" s="6" t="s">
        <v>18</v>
      </c>
      <c r="D377" s="23" t="s">
        <v>40</v>
      </c>
      <c r="E377" s="106" t="s">
        <v>168</v>
      </c>
      <c r="F377" s="385"/>
      <c r="G377" s="48"/>
      <c r="H377" s="39"/>
      <c r="I377" s="309">
        <v>0</v>
      </c>
      <c r="J377" s="39">
        <f t="shared" ref="J377:J408" si="117">N377+O377-H377</f>
        <v>0</v>
      </c>
      <c r="K377" s="309">
        <f>R377/1.4</f>
        <v>5.66</v>
      </c>
      <c r="L377" s="230">
        <f>K377*J667</f>
        <v>0</v>
      </c>
      <c r="M377" s="275" t="s">
        <v>169</v>
      </c>
      <c r="N377" s="141"/>
      <c r="O377" s="39"/>
      <c r="P377" s="309">
        <f t="shared" ref="P377:P385" si="118">K377*O377</f>
        <v>0</v>
      </c>
      <c r="Q377" s="235" t="str">
        <f t="shared" si="112"/>
        <v>СК95х56х40х3,2</v>
      </c>
      <c r="R377" s="377">
        <f t="shared" ref="R377:R404" si="119">S377*1.2</f>
        <v>7.92</v>
      </c>
      <c r="S377" s="319">
        <v>6.6</v>
      </c>
      <c r="T377" s="353">
        <f t="shared" si="116"/>
        <v>0</v>
      </c>
      <c r="U377" s="70">
        <v>10351</v>
      </c>
      <c r="V377" s="20">
        <f t="shared" ref="V377:V421" si="120">N377</f>
        <v>0</v>
      </c>
      <c r="W377" s="52">
        <f t="shared" ref="W377:W383" si="121">X377-U377+V377</f>
        <v>0</v>
      </c>
      <c r="X377" s="70">
        <f>5439+5000-88</f>
        <v>10351</v>
      </c>
      <c r="Y377" s="20"/>
      <c r="Z377" s="20"/>
      <c r="AA377" s="20"/>
      <c r="AB377" s="417"/>
      <c r="AC377" s="168"/>
      <c r="AD377" s="450">
        <v>1.3</v>
      </c>
      <c r="AE377" s="164"/>
      <c r="AF377" s="160"/>
      <c r="AG377" s="176">
        <v>13</v>
      </c>
      <c r="AH377" s="120"/>
      <c r="AI377" s="125"/>
      <c r="AJ377" s="185">
        <f>X377*AD377</f>
        <v>13456.3</v>
      </c>
      <c r="AK377" s="435"/>
      <c r="AL377" s="481">
        <f>SUM(AJ218:AJ377)</f>
        <v>8721026.5999999996</v>
      </c>
    </row>
    <row r="378" spans="2:38" ht="26.25" hidden="1" customHeight="1" x14ac:dyDescent="0.25">
      <c r="B378" s="11"/>
      <c r="C378" s="6" t="s">
        <v>18</v>
      </c>
      <c r="D378" s="23" t="s">
        <v>25</v>
      </c>
      <c r="E378" s="104" t="s">
        <v>316</v>
      </c>
      <c r="F378" s="387"/>
      <c r="G378" s="14" t="s">
        <v>0</v>
      </c>
      <c r="H378" s="39"/>
      <c r="I378" s="309">
        <v>0</v>
      </c>
      <c r="J378" s="39">
        <f t="shared" si="117"/>
        <v>0</v>
      </c>
      <c r="K378" s="309">
        <f>R378/1.4</f>
        <v>0</v>
      </c>
      <c r="L378" s="230">
        <f>K378*J668</f>
        <v>0</v>
      </c>
      <c r="M378" s="90" t="s">
        <v>132</v>
      </c>
      <c r="N378" s="140"/>
      <c r="O378" s="39"/>
      <c r="P378" s="309">
        <f t="shared" si="118"/>
        <v>0</v>
      </c>
      <c r="Q378" s="235" t="str">
        <f t="shared" si="112"/>
        <v>Д9,5х4х40</v>
      </c>
      <c r="R378" s="377">
        <f t="shared" si="119"/>
        <v>0</v>
      </c>
      <c r="S378" s="319">
        <v>0</v>
      </c>
      <c r="T378" s="353">
        <f t="shared" si="116"/>
        <v>0</v>
      </c>
      <c r="U378" s="430">
        <v>50</v>
      </c>
      <c r="V378" s="20">
        <f t="shared" si="120"/>
        <v>0</v>
      </c>
      <c r="W378" s="52">
        <f t="shared" si="121"/>
        <v>0</v>
      </c>
      <c r="X378" s="430">
        <v>50</v>
      </c>
      <c r="Y378" s="18"/>
      <c r="Z378" s="18"/>
      <c r="AA378" s="18"/>
      <c r="AB378" s="418"/>
      <c r="AC378" s="200"/>
      <c r="AD378" s="160">
        <v>0.4</v>
      </c>
      <c r="AE378" s="163"/>
      <c r="AF378" s="171"/>
      <c r="AG378" s="192"/>
      <c r="AH378" s="16"/>
      <c r="AI378" s="16"/>
      <c r="AJ378" s="185">
        <f>X378*AD378</f>
        <v>20</v>
      </c>
      <c r="AK378" s="435"/>
      <c r="AL378" s="476"/>
    </row>
    <row r="379" spans="2:38" ht="26.25" hidden="1" customHeight="1" x14ac:dyDescent="0.25">
      <c r="B379" s="11"/>
      <c r="C379" s="6" t="s">
        <v>18</v>
      </c>
      <c r="D379" s="23" t="s">
        <v>25</v>
      </c>
      <c r="E379" s="104" t="s">
        <v>471</v>
      </c>
      <c r="F379" s="387" t="s">
        <v>473</v>
      </c>
      <c r="G379" s="14"/>
      <c r="H379" s="39"/>
      <c r="I379" s="309">
        <v>0</v>
      </c>
      <c r="J379" s="39">
        <f t="shared" si="117"/>
        <v>0</v>
      </c>
      <c r="K379" s="309">
        <f>R379/1.4</f>
        <v>12.86</v>
      </c>
      <c r="L379" s="230"/>
      <c r="M379" s="214" t="s">
        <v>476</v>
      </c>
      <c r="N379" s="140"/>
      <c r="O379" s="39"/>
      <c r="P379" s="309">
        <f t="shared" si="118"/>
        <v>0</v>
      </c>
      <c r="Q379" s="263" t="str">
        <f t="shared" si="112"/>
        <v>П24х14х10</v>
      </c>
      <c r="R379" s="306">
        <f t="shared" si="119"/>
        <v>18</v>
      </c>
      <c r="S379" s="319">
        <v>15</v>
      </c>
      <c r="T379" s="353">
        <f t="shared" si="116"/>
        <v>0</v>
      </c>
      <c r="U379" s="20"/>
      <c r="V379" s="20">
        <f t="shared" si="120"/>
        <v>0</v>
      </c>
      <c r="W379" s="52">
        <f t="shared" si="121"/>
        <v>0</v>
      </c>
      <c r="X379" s="20"/>
      <c r="Y379" s="20"/>
      <c r="Z379" s="20"/>
      <c r="AA379" s="20"/>
      <c r="AB379" s="417"/>
      <c r="AC379" s="200"/>
      <c r="AD379" s="160"/>
      <c r="AE379" s="163"/>
      <c r="AF379" s="171"/>
      <c r="AG379" s="192"/>
      <c r="AH379" s="16"/>
      <c r="AI379" s="16"/>
      <c r="AJ379" s="185"/>
      <c r="AK379" s="125"/>
    </row>
    <row r="380" spans="2:38" ht="43.5" customHeight="1" x14ac:dyDescent="0.25">
      <c r="B380" s="19">
        <v>106</v>
      </c>
      <c r="C380" s="6" t="s">
        <v>18</v>
      </c>
      <c r="D380" s="23" t="s">
        <v>25</v>
      </c>
      <c r="E380" s="104" t="s">
        <v>24</v>
      </c>
      <c r="F380" s="208">
        <v>311</v>
      </c>
      <c r="G380" s="12" t="s">
        <v>0</v>
      </c>
      <c r="H380" s="39">
        <v>200</v>
      </c>
      <c r="I380" s="360">
        <v>566</v>
      </c>
      <c r="J380" s="39">
        <f t="shared" si="117"/>
        <v>0</v>
      </c>
      <c r="K380" s="309">
        <f>R380/1.4</f>
        <v>2.83</v>
      </c>
      <c r="L380" s="230">
        <f>K380*J670</f>
        <v>0</v>
      </c>
      <c r="M380" s="470" t="s">
        <v>685</v>
      </c>
      <c r="N380" s="140"/>
      <c r="O380" s="503">
        <v>200</v>
      </c>
      <c r="P380" s="309">
        <f t="shared" si="118"/>
        <v>566</v>
      </c>
      <c r="Q380" s="51" t="str">
        <f t="shared" si="112"/>
        <v>Д22,7хд8,2х8,9 ЭПГ 112.001</v>
      </c>
      <c r="R380" s="306">
        <f t="shared" si="119"/>
        <v>3.96</v>
      </c>
      <c r="S380" s="320">
        <v>3.3</v>
      </c>
      <c r="T380" s="353">
        <f t="shared" si="116"/>
        <v>0</v>
      </c>
      <c r="U380" s="70">
        <v>2232</v>
      </c>
      <c r="V380" s="20">
        <f t="shared" si="120"/>
        <v>0</v>
      </c>
      <c r="W380" s="52">
        <f t="shared" si="121"/>
        <v>0</v>
      </c>
      <c r="X380" s="70">
        <v>2232</v>
      </c>
      <c r="Y380" s="20"/>
      <c r="Z380" s="20"/>
      <c r="AA380" s="20">
        <v>1200</v>
      </c>
      <c r="AB380" s="417"/>
      <c r="AC380" s="200">
        <v>2272</v>
      </c>
      <c r="AD380" s="160">
        <v>0.49</v>
      </c>
      <c r="AE380" s="163"/>
      <c r="AF380" s="171"/>
      <c r="AG380" s="192"/>
      <c r="AH380" s="16"/>
      <c r="AI380" s="16"/>
      <c r="AJ380" s="185">
        <f>X380*AD380</f>
        <v>1093.7</v>
      </c>
      <c r="AK380" s="125"/>
    </row>
    <row r="381" spans="2:38" ht="26.25" customHeight="1" x14ac:dyDescent="0.25">
      <c r="B381" s="11">
        <v>107</v>
      </c>
      <c r="C381" s="6" t="s">
        <v>18</v>
      </c>
      <c r="D381" s="23" t="s">
        <v>25</v>
      </c>
      <c r="E381" s="107" t="s">
        <v>137</v>
      </c>
      <c r="F381" s="210" t="s">
        <v>180</v>
      </c>
      <c r="G381" s="48" t="s">
        <v>0</v>
      </c>
      <c r="H381" s="39">
        <v>200</v>
      </c>
      <c r="I381" s="360">
        <v>1866</v>
      </c>
      <c r="J381" s="39">
        <f t="shared" si="117"/>
        <v>0</v>
      </c>
      <c r="K381" s="309">
        <f>R381/1.4</f>
        <v>9.33</v>
      </c>
      <c r="L381" s="230">
        <f>K381*J671</f>
        <v>0</v>
      </c>
      <c r="M381" s="94" t="s">
        <v>845</v>
      </c>
      <c r="N381" s="140"/>
      <c r="O381" s="503">
        <v>200</v>
      </c>
      <c r="P381" s="309">
        <f t="shared" si="118"/>
        <v>1866</v>
      </c>
      <c r="Q381" s="235" t="str">
        <f t="shared" si="112"/>
        <v>К21х7х25</v>
      </c>
      <c r="R381" s="306">
        <f t="shared" si="119"/>
        <v>13.06</v>
      </c>
      <c r="S381" s="319">
        <v>10.88</v>
      </c>
      <c r="T381" s="353">
        <f t="shared" si="116"/>
        <v>0</v>
      </c>
      <c r="U381" s="70">
        <v>430</v>
      </c>
      <c r="V381" s="20">
        <f t="shared" si="120"/>
        <v>0</v>
      </c>
      <c r="W381" s="52">
        <f t="shared" si="121"/>
        <v>0</v>
      </c>
      <c r="X381" s="70">
        <v>430</v>
      </c>
      <c r="Y381" s="20"/>
      <c r="Z381" s="20"/>
      <c r="AA381" s="20">
        <v>150</v>
      </c>
      <c r="AB381" s="417"/>
      <c r="AC381" s="200"/>
      <c r="AD381" s="160">
        <v>2.1</v>
      </c>
      <c r="AE381" s="163"/>
      <c r="AF381" s="171"/>
      <c r="AG381" s="192"/>
      <c r="AH381" s="16"/>
      <c r="AI381" s="16"/>
      <c r="AJ381" s="185">
        <f>X381*AD381</f>
        <v>903</v>
      </c>
      <c r="AK381" s="435"/>
      <c r="AL381" s="476"/>
    </row>
    <row r="382" spans="2:38" ht="26.25" hidden="1" customHeight="1" x14ac:dyDescent="0.25">
      <c r="B382" s="11"/>
      <c r="C382" s="6" t="s">
        <v>18</v>
      </c>
      <c r="D382" s="23" t="s">
        <v>72</v>
      </c>
      <c r="E382" s="107" t="s">
        <v>211</v>
      </c>
      <c r="F382" s="210"/>
      <c r="G382" s="48"/>
      <c r="H382" s="39"/>
      <c r="I382" s="309">
        <v>0</v>
      </c>
      <c r="J382" s="39">
        <f t="shared" si="117"/>
        <v>0</v>
      </c>
      <c r="K382" s="309"/>
      <c r="L382" s="230"/>
      <c r="M382" s="96"/>
      <c r="N382" s="140"/>
      <c r="O382" s="39"/>
      <c r="P382" s="490">
        <f t="shared" si="118"/>
        <v>0</v>
      </c>
      <c r="Q382" s="262" t="str">
        <f t="shared" si="112"/>
        <v>Д3х2</v>
      </c>
      <c r="R382" s="377">
        <f t="shared" si="119"/>
        <v>0</v>
      </c>
      <c r="S382" s="319">
        <v>0</v>
      </c>
      <c r="T382" s="353">
        <f t="shared" si="116"/>
        <v>0</v>
      </c>
      <c r="U382" s="20">
        <v>34</v>
      </c>
      <c r="V382" s="20">
        <f t="shared" si="120"/>
        <v>0</v>
      </c>
      <c r="W382" s="52">
        <f t="shared" si="121"/>
        <v>0</v>
      </c>
      <c r="X382" s="20">
        <v>34</v>
      </c>
      <c r="Y382" s="20">
        <v>1</v>
      </c>
      <c r="Z382" s="20"/>
      <c r="AA382" s="20"/>
      <c r="AB382" s="417"/>
      <c r="AC382" s="200"/>
      <c r="AD382" s="160"/>
      <c r="AE382" s="163"/>
      <c r="AF382" s="171"/>
      <c r="AG382" s="192"/>
      <c r="AH382" s="16"/>
      <c r="AI382" s="16"/>
      <c r="AJ382" s="185"/>
      <c r="AK382" s="435"/>
      <c r="AL382" s="476"/>
    </row>
    <row r="383" spans="2:38" ht="26.25" hidden="1" customHeight="1" x14ac:dyDescent="0.35">
      <c r="B383" s="14"/>
      <c r="C383" s="6" t="s">
        <v>18</v>
      </c>
      <c r="D383" s="23" t="s">
        <v>72</v>
      </c>
      <c r="E383" s="104" t="s">
        <v>243</v>
      </c>
      <c r="F383" s="386"/>
      <c r="G383" s="48" t="s">
        <v>0</v>
      </c>
      <c r="H383" s="39"/>
      <c r="I383" s="309">
        <v>0</v>
      </c>
      <c r="J383" s="39">
        <f t="shared" si="117"/>
        <v>0</v>
      </c>
      <c r="K383" s="309">
        <f>R383/1.4</f>
        <v>0.12</v>
      </c>
      <c r="L383" s="230">
        <f>K383*J673</f>
        <v>0</v>
      </c>
      <c r="M383" s="213" t="s">
        <v>162</v>
      </c>
      <c r="N383" s="140"/>
      <c r="O383" s="39"/>
      <c r="P383" s="309">
        <f t="shared" si="118"/>
        <v>0</v>
      </c>
      <c r="Q383" s="263" t="str">
        <f t="shared" si="112"/>
        <v>Д3х5</v>
      </c>
      <c r="R383" s="377">
        <f t="shared" si="119"/>
        <v>0.17</v>
      </c>
      <c r="S383" s="319">
        <v>0.14000000000000001</v>
      </c>
      <c r="T383" s="353">
        <f t="shared" si="116"/>
        <v>0</v>
      </c>
      <c r="U383" s="430">
        <v>800</v>
      </c>
      <c r="V383" s="20">
        <f t="shared" si="120"/>
        <v>0</v>
      </c>
      <c r="W383" s="52">
        <f t="shared" si="121"/>
        <v>0</v>
      </c>
      <c r="X383" s="430">
        <v>800</v>
      </c>
      <c r="Y383" s="18">
        <v>1</v>
      </c>
      <c r="Z383" s="18"/>
      <c r="AA383" s="18"/>
      <c r="AB383" s="418"/>
      <c r="AC383" s="200"/>
      <c r="AD383" s="160"/>
      <c r="AE383" s="162"/>
      <c r="AF383" s="171"/>
      <c r="AG383" s="176"/>
      <c r="AH383" s="115"/>
      <c r="AI383" s="113"/>
      <c r="AJ383" s="185">
        <f>X383*AD383</f>
        <v>0</v>
      </c>
      <c r="AK383" s="435"/>
      <c r="AL383" s="476"/>
    </row>
    <row r="384" spans="2:38" ht="26.25" hidden="1" customHeight="1" x14ac:dyDescent="0.35">
      <c r="B384" s="14"/>
      <c r="C384" s="6" t="s">
        <v>18</v>
      </c>
      <c r="D384" s="23" t="s">
        <v>72</v>
      </c>
      <c r="E384" s="104" t="s">
        <v>695</v>
      </c>
      <c r="F384" s="526">
        <v>1447</v>
      </c>
      <c r="G384" s="48"/>
      <c r="H384" s="39"/>
      <c r="I384" s="360">
        <v>0</v>
      </c>
      <c r="J384" s="39">
        <f t="shared" si="117"/>
        <v>0</v>
      </c>
      <c r="K384" s="309">
        <f>R384/1.4</f>
        <v>5.14</v>
      </c>
      <c r="L384" s="230"/>
      <c r="M384" s="213" t="s">
        <v>720</v>
      </c>
      <c r="N384" s="140"/>
      <c r="O384" s="503"/>
      <c r="P384" s="309">
        <f t="shared" si="118"/>
        <v>0</v>
      </c>
      <c r="Q384" s="263" t="str">
        <f t="shared" si="112"/>
        <v>Д5х8</v>
      </c>
      <c r="R384" s="377">
        <f t="shared" si="119"/>
        <v>7.2</v>
      </c>
      <c r="S384" s="319">
        <v>6</v>
      </c>
      <c r="T384" s="353">
        <f t="shared" si="116"/>
        <v>0</v>
      </c>
      <c r="U384" s="20"/>
      <c r="V384" s="20">
        <f t="shared" si="120"/>
        <v>0</v>
      </c>
      <c r="W384" s="52"/>
      <c r="X384" s="20"/>
      <c r="Y384" s="20"/>
      <c r="Z384" s="20"/>
      <c r="AA384" s="20"/>
      <c r="AB384" s="417"/>
      <c r="AC384" s="200"/>
      <c r="AD384" s="160"/>
      <c r="AE384" s="162"/>
      <c r="AF384" s="171"/>
      <c r="AG384" s="176"/>
      <c r="AH384" s="115"/>
      <c r="AI384" s="113"/>
      <c r="AJ384" s="185"/>
      <c r="AK384" s="435"/>
      <c r="AL384" s="476"/>
    </row>
    <row r="385" spans="2:38" ht="26.25" customHeight="1" x14ac:dyDescent="0.35">
      <c r="B385" s="11">
        <v>108</v>
      </c>
      <c r="C385" s="6" t="s">
        <v>18</v>
      </c>
      <c r="D385" s="23" t="s">
        <v>72</v>
      </c>
      <c r="E385" s="104" t="s">
        <v>289</v>
      </c>
      <c r="F385" s="208">
        <v>447</v>
      </c>
      <c r="G385" s="48" t="s">
        <v>0</v>
      </c>
      <c r="H385" s="39">
        <v>365</v>
      </c>
      <c r="I385" s="360">
        <v>248.2</v>
      </c>
      <c r="J385" s="39">
        <f t="shared" si="117"/>
        <v>0</v>
      </c>
      <c r="K385" s="309">
        <v>0.68</v>
      </c>
      <c r="L385" s="230">
        <f>K385*J675</f>
        <v>0</v>
      </c>
      <c r="M385" s="94"/>
      <c r="N385" s="140"/>
      <c r="O385" s="503">
        <v>365</v>
      </c>
      <c r="P385" s="309">
        <f t="shared" si="118"/>
        <v>248.2</v>
      </c>
      <c r="Q385" s="263" t="str">
        <f t="shared" si="112"/>
        <v>Д8х3</v>
      </c>
      <c r="R385" s="377">
        <f t="shared" si="119"/>
        <v>2.04</v>
      </c>
      <c r="S385" s="319">
        <v>1.7</v>
      </c>
      <c r="T385" s="353">
        <f t="shared" si="116"/>
        <v>0</v>
      </c>
      <c r="U385" s="20">
        <v>270</v>
      </c>
      <c r="V385" s="20">
        <f t="shared" si="120"/>
        <v>0</v>
      </c>
      <c r="W385" s="52">
        <f>X385-U385+V385</f>
        <v>0</v>
      </c>
      <c r="X385" s="20">
        <v>270</v>
      </c>
      <c r="Y385" s="20">
        <v>1</v>
      </c>
      <c r="Z385" s="20"/>
      <c r="AA385" s="20"/>
      <c r="AB385" s="417"/>
      <c r="AC385" s="200"/>
      <c r="AD385" s="160"/>
      <c r="AE385" s="162"/>
      <c r="AF385" s="171"/>
      <c r="AG385" s="176"/>
      <c r="AH385" s="115"/>
      <c r="AI385" s="113"/>
      <c r="AJ385" s="185">
        <f>X385*AD385</f>
        <v>0</v>
      </c>
      <c r="AK385" s="435"/>
      <c r="AL385" s="476"/>
    </row>
    <row r="386" spans="2:38" ht="26.25" hidden="1" customHeight="1" x14ac:dyDescent="0.35">
      <c r="B386" s="11"/>
      <c r="C386" s="6" t="s">
        <v>18</v>
      </c>
      <c r="D386" s="23" t="s">
        <v>72</v>
      </c>
      <c r="E386" s="104" t="s">
        <v>669</v>
      </c>
      <c r="F386" s="510">
        <v>1427</v>
      </c>
      <c r="G386" s="48"/>
      <c r="H386" s="39"/>
      <c r="I386" s="360"/>
      <c r="J386" s="39">
        <f t="shared" si="117"/>
        <v>0</v>
      </c>
      <c r="K386" s="309"/>
      <c r="L386" s="230"/>
      <c r="M386" s="94"/>
      <c r="N386" s="140"/>
      <c r="O386" s="503"/>
      <c r="P386" s="309"/>
      <c r="Q386" s="263" t="str">
        <f t="shared" si="112"/>
        <v>Д8х5</v>
      </c>
      <c r="R386" s="377">
        <f t="shared" si="119"/>
        <v>8.4</v>
      </c>
      <c r="S386" s="319">
        <v>7</v>
      </c>
      <c r="T386" s="353">
        <f t="shared" si="116"/>
        <v>0</v>
      </c>
      <c r="U386" s="20"/>
      <c r="V386" s="20">
        <f t="shared" si="120"/>
        <v>0</v>
      </c>
      <c r="W386" s="52"/>
      <c r="X386" s="20"/>
      <c r="Y386" s="20"/>
      <c r="Z386" s="20"/>
      <c r="AA386" s="20"/>
      <c r="AB386" s="417"/>
      <c r="AC386" s="200"/>
      <c r="AD386" s="160"/>
      <c r="AE386" s="162"/>
      <c r="AF386" s="171"/>
      <c r="AG386" s="176"/>
      <c r="AH386" s="115"/>
      <c r="AI386" s="113"/>
      <c r="AJ386" s="185"/>
      <c r="AK386" s="435"/>
      <c r="AL386" s="476"/>
    </row>
    <row r="387" spans="2:38" ht="26.25" hidden="1" customHeight="1" x14ac:dyDescent="0.35">
      <c r="B387" s="11"/>
      <c r="C387" s="6" t="s">
        <v>18</v>
      </c>
      <c r="D387" s="23" t="s">
        <v>72</v>
      </c>
      <c r="E387" s="104" t="s">
        <v>668</v>
      </c>
      <c r="F387" s="510">
        <v>1420</v>
      </c>
      <c r="G387" s="48"/>
      <c r="H387" s="39"/>
      <c r="I387" s="360"/>
      <c r="J387" s="39">
        <f t="shared" si="117"/>
        <v>0</v>
      </c>
      <c r="K387" s="309"/>
      <c r="L387" s="230"/>
      <c r="M387" s="94"/>
      <c r="N387" s="140"/>
      <c r="O387" s="503"/>
      <c r="P387" s="309"/>
      <c r="Q387" s="263" t="str">
        <f t="shared" si="112"/>
        <v>Д8х7</v>
      </c>
      <c r="R387" s="377">
        <f t="shared" si="119"/>
        <v>8.4</v>
      </c>
      <c r="S387" s="319">
        <v>7</v>
      </c>
      <c r="T387" s="353">
        <f t="shared" si="116"/>
        <v>0</v>
      </c>
      <c r="U387" s="20"/>
      <c r="V387" s="20">
        <f t="shared" si="120"/>
        <v>0</v>
      </c>
      <c r="W387" s="52"/>
      <c r="X387" s="20"/>
      <c r="Y387" s="20"/>
      <c r="Z387" s="20"/>
      <c r="AA387" s="20"/>
      <c r="AB387" s="417"/>
      <c r="AC387" s="200"/>
      <c r="AD387" s="160"/>
      <c r="AE387" s="162"/>
      <c r="AF387" s="171"/>
      <c r="AG387" s="176"/>
      <c r="AH387" s="115"/>
      <c r="AI387" s="113"/>
      <c r="AJ387" s="185"/>
      <c r="AK387" s="435"/>
      <c r="AL387" s="476"/>
    </row>
    <row r="388" spans="2:38" ht="26.25" hidden="1" customHeight="1" x14ac:dyDescent="0.35">
      <c r="B388" s="15"/>
      <c r="C388" s="6" t="s">
        <v>18</v>
      </c>
      <c r="D388" s="23" t="s">
        <v>72</v>
      </c>
      <c r="E388" s="106" t="s">
        <v>495</v>
      </c>
      <c r="F388" s="210"/>
      <c r="G388" s="13"/>
      <c r="H388" s="39"/>
      <c r="I388" s="309">
        <v>0</v>
      </c>
      <c r="J388" s="39">
        <f t="shared" si="117"/>
        <v>0</v>
      </c>
      <c r="K388" s="309">
        <f>R388/1.4</f>
        <v>1.8</v>
      </c>
      <c r="L388" s="230">
        <f>K388*J678</f>
        <v>0</v>
      </c>
      <c r="M388" s="90"/>
      <c r="N388" s="140"/>
      <c r="O388" s="39"/>
      <c r="P388" s="490">
        <f t="shared" ref="P388:P404" si="122">K388*O388</f>
        <v>0</v>
      </c>
      <c r="Q388" s="264" t="str">
        <f t="shared" si="112"/>
        <v>Д8х10</v>
      </c>
      <c r="R388" s="377">
        <f t="shared" si="119"/>
        <v>2.52</v>
      </c>
      <c r="S388" s="319">
        <v>2.1</v>
      </c>
      <c r="T388" s="353">
        <f t="shared" si="116"/>
        <v>0</v>
      </c>
      <c r="U388" s="18">
        <v>87980</v>
      </c>
      <c r="V388" s="20">
        <f t="shared" si="120"/>
        <v>0</v>
      </c>
      <c r="W388" s="52">
        <f t="shared" ref="W388:W397" si="123">X388-U388+V388</f>
        <v>0</v>
      </c>
      <c r="X388" s="18">
        <v>87980</v>
      </c>
      <c r="Y388" s="18">
        <v>1</v>
      </c>
      <c r="Z388" s="18"/>
      <c r="AA388" s="18"/>
      <c r="AB388" s="418"/>
      <c r="AC388" s="200"/>
      <c r="AD388" s="160">
        <v>0.95</v>
      </c>
      <c r="AE388" s="162"/>
      <c r="AF388" s="171"/>
      <c r="AG388" s="176"/>
      <c r="AH388" s="115"/>
      <c r="AI388" s="113"/>
      <c r="AJ388" s="185">
        <f>X388*AD388</f>
        <v>83581</v>
      </c>
      <c r="AK388" s="435"/>
      <c r="AL388" s="476"/>
    </row>
    <row r="389" spans="2:38" ht="26.25" hidden="1" customHeight="1" x14ac:dyDescent="0.35">
      <c r="B389" s="15"/>
      <c r="C389" s="6" t="s">
        <v>18</v>
      </c>
      <c r="D389" s="23" t="s">
        <v>72</v>
      </c>
      <c r="E389" s="106" t="s">
        <v>527</v>
      </c>
      <c r="F389" s="210">
        <v>1419</v>
      </c>
      <c r="G389" s="13"/>
      <c r="H389" s="39"/>
      <c r="I389" s="309">
        <v>0</v>
      </c>
      <c r="J389" s="39">
        <f t="shared" si="117"/>
        <v>0</v>
      </c>
      <c r="K389" s="309">
        <f>R389/1.4</f>
        <v>1.71</v>
      </c>
      <c r="L389" s="230">
        <f>K389*J679</f>
        <v>0</v>
      </c>
      <c r="M389" s="155" t="s">
        <v>686</v>
      </c>
      <c r="N389" s="140"/>
      <c r="O389" s="503"/>
      <c r="P389" s="309">
        <f t="shared" si="122"/>
        <v>0</v>
      </c>
      <c r="Q389" s="51" t="str">
        <f t="shared" ref="Q389:Q397" si="124">E389</f>
        <v>Д5х2,5</v>
      </c>
      <c r="R389" s="377">
        <f t="shared" si="119"/>
        <v>2.4</v>
      </c>
      <c r="S389" s="319">
        <v>2</v>
      </c>
      <c r="T389" s="353">
        <f t="shared" si="116"/>
        <v>0</v>
      </c>
      <c r="U389" s="20">
        <v>75</v>
      </c>
      <c r="V389" s="20">
        <f t="shared" si="120"/>
        <v>0</v>
      </c>
      <c r="W389" s="52">
        <f t="shared" si="123"/>
        <v>0</v>
      </c>
      <c r="X389" s="20">
        <v>75</v>
      </c>
      <c r="Y389" s="20">
        <v>1</v>
      </c>
      <c r="Z389" s="20"/>
      <c r="AA389" s="20"/>
      <c r="AB389" s="417"/>
      <c r="AC389" s="200"/>
      <c r="AD389" s="160"/>
      <c r="AE389" s="162"/>
      <c r="AF389" s="171"/>
      <c r="AG389" s="176"/>
      <c r="AH389" s="115"/>
      <c r="AI389" s="113"/>
      <c r="AJ389" s="185"/>
      <c r="AK389" s="435"/>
      <c r="AL389" s="476"/>
    </row>
    <row r="390" spans="2:38" ht="26.25" hidden="1" customHeight="1" x14ac:dyDescent="0.35">
      <c r="B390" s="15"/>
      <c r="C390" s="6" t="s">
        <v>18</v>
      </c>
      <c r="D390" s="23" t="s">
        <v>72</v>
      </c>
      <c r="E390" s="106" t="s">
        <v>287</v>
      </c>
      <c r="F390" s="210">
        <v>1388</v>
      </c>
      <c r="G390" s="13"/>
      <c r="H390" s="39"/>
      <c r="I390" s="309">
        <v>0</v>
      </c>
      <c r="J390" s="39">
        <f t="shared" si="117"/>
        <v>0</v>
      </c>
      <c r="K390" s="309">
        <f>R390/1.4</f>
        <v>3.43</v>
      </c>
      <c r="L390" s="230"/>
      <c r="M390" s="215" t="s">
        <v>610</v>
      </c>
      <c r="N390" s="140"/>
      <c r="O390" s="39"/>
      <c r="P390" s="490">
        <f t="shared" si="122"/>
        <v>0</v>
      </c>
      <c r="Q390" s="442" t="str">
        <f t="shared" si="124"/>
        <v>Д10х2</v>
      </c>
      <c r="R390" s="377">
        <f t="shared" si="119"/>
        <v>4.8</v>
      </c>
      <c r="S390" s="319">
        <v>4</v>
      </c>
      <c r="T390" s="353">
        <f t="shared" si="116"/>
        <v>0</v>
      </c>
      <c r="U390" s="20">
        <v>4</v>
      </c>
      <c r="V390" s="20">
        <f t="shared" si="120"/>
        <v>0</v>
      </c>
      <c r="W390" s="52">
        <f t="shared" si="123"/>
        <v>0</v>
      </c>
      <c r="X390" s="20">
        <v>4</v>
      </c>
      <c r="Y390" s="20">
        <v>1</v>
      </c>
      <c r="Z390" s="20"/>
      <c r="AA390" s="20"/>
      <c r="AB390" s="417"/>
      <c r="AC390" s="200"/>
      <c r="AD390" s="160"/>
      <c r="AE390" s="162"/>
      <c r="AF390" s="171"/>
      <c r="AG390" s="176"/>
      <c r="AH390" s="115"/>
      <c r="AI390" s="113"/>
      <c r="AJ390" s="185"/>
      <c r="AK390" s="435"/>
      <c r="AL390" s="476"/>
    </row>
    <row r="391" spans="2:38" ht="26.25" hidden="1" customHeight="1" x14ac:dyDescent="0.35">
      <c r="B391" s="15"/>
      <c r="C391" s="6" t="s">
        <v>18</v>
      </c>
      <c r="D391" s="23" t="s">
        <v>72</v>
      </c>
      <c r="E391" s="106" t="s">
        <v>565</v>
      </c>
      <c r="F391" s="210">
        <v>841</v>
      </c>
      <c r="G391" s="13"/>
      <c r="H391" s="39"/>
      <c r="I391" s="309">
        <v>0</v>
      </c>
      <c r="J391" s="39">
        <f t="shared" si="117"/>
        <v>0</v>
      </c>
      <c r="K391" s="309">
        <f>R391/1.4</f>
        <v>12</v>
      </c>
      <c r="L391" s="230"/>
      <c r="M391" s="155" t="s">
        <v>687</v>
      </c>
      <c r="N391" s="140"/>
      <c r="O391" s="503"/>
      <c r="P391" s="309">
        <f t="shared" si="122"/>
        <v>0</v>
      </c>
      <c r="Q391" s="51" t="str">
        <f t="shared" si="124"/>
        <v>Д10х5</v>
      </c>
      <c r="R391" s="377">
        <f t="shared" si="119"/>
        <v>16.8</v>
      </c>
      <c r="S391" s="319">
        <v>14</v>
      </c>
      <c r="T391" s="353">
        <f t="shared" si="116"/>
        <v>0</v>
      </c>
      <c r="U391" s="20">
        <v>4</v>
      </c>
      <c r="V391" s="20">
        <f t="shared" si="120"/>
        <v>0</v>
      </c>
      <c r="W391" s="52">
        <f t="shared" si="123"/>
        <v>0</v>
      </c>
      <c r="X391" s="20">
        <v>4</v>
      </c>
      <c r="Y391" s="20">
        <v>1</v>
      </c>
      <c r="Z391" s="20"/>
      <c r="AA391" s="20"/>
      <c r="AB391" s="417"/>
      <c r="AC391" s="200"/>
      <c r="AD391" s="160"/>
      <c r="AE391" s="162"/>
      <c r="AF391" s="171"/>
      <c r="AG391" s="176"/>
      <c r="AH391" s="115"/>
      <c r="AI391" s="113"/>
      <c r="AJ391" s="185"/>
      <c r="AK391" s="435"/>
      <c r="AL391" s="476"/>
    </row>
    <row r="392" spans="2:38" ht="26.25" hidden="1" customHeight="1" x14ac:dyDescent="0.35">
      <c r="B392" s="15"/>
      <c r="C392" s="6" t="s">
        <v>18</v>
      </c>
      <c r="D392" s="23" t="s">
        <v>72</v>
      </c>
      <c r="E392" s="106" t="s">
        <v>486</v>
      </c>
      <c r="F392" s="210"/>
      <c r="G392" s="13"/>
      <c r="H392" s="39"/>
      <c r="I392" s="309">
        <v>0</v>
      </c>
      <c r="J392" s="39">
        <f t="shared" si="117"/>
        <v>0</v>
      </c>
      <c r="K392" s="309">
        <f>R392/1.4</f>
        <v>0</v>
      </c>
      <c r="L392" s="230"/>
      <c r="M392" s="90"/>
      <c r="N392" s="140"/>
      <c r="O392" s="39"/>
      <c r="P392" s="490">
        <f t="shared" si="122"/>
        <v>0</v>
      </c>
      <c r="Q392" s="235" t="str">
        <f t="shared" si="124"/>
        <v>Д40х5х3</v>
      </c>
      <c r="R392" s="377">
        <f t="shared" si="119"/>
        <v>0</v>
      </c>
      <c r="S392" s="319">
        <v>0</v>
      </c>
      <c r="T392" s="353">
        <f t="shared" si="116"/>
        <v>0</v>
      </c>
      <c r="U392" s="20">
        <v>5</v>
      </c>
      <c r="V392" s="20">
        <f t="shared" si="120"/>
        <v>0</v>
      </c>
      <c r="W392" s="52">
        <f t="shared" si="123"/>
        <v>0</v>
      </c>
      <c r="X392" s="20">
        <v>5</v>
      </c>
      <c r="Y392" s="20">
        <v>1</v>
      </c>
      <c r="Z392" s="20"/>
      <c r="AA392" s="20"/>
      <c r="AB392" s="417"/>
      <c r="AC392" s="200"/>
      <c r="AD392" s="160"/>
      <c r="AE392" s="162"/>
      <c r="AF392" s="171"/>
      <c r="AG392" s="176"/>
      <c r="AH392" s="115"/>
      <c r="AI392" s="113"/>
      <c r="AJ392" s="185"/>
      <c r="AK392" s="435"/>
      <c r="AL392" s="476"/>
    </row>
    <row r="393" spans="2:38" ht="26.25" hidden="1" customHeight="1" x14ac:dyDescent="0.35">
      <c r="B393" s="15"/>
      <c r="C393" s="6" t="s">
        <v>18</v>
      </c>
      <c r="D393" s="23" t="s">
        <v>72</v>
      </c>
      <c r="E393" s="106" t="s">
        <v>487</v>
      </c>
      <c r="F393" s="210"/>
      <c r="G393" s="13"/>
      <c r="H393" s="39"/>
      <c r="I393" s="309">
        <v>0</v>
      </c>
      <c r="J393" s="39">
        <f t="shared" si="117"/>
        <v>0</v>
      </c>
      <c r="K393" s="309"/>
      <c r="L393" s="230"/>
      <c r="M393" s="90"/>
      <c r="N393" s="140"/>
      <c r="O393" s="39"/>
      <c r="P393" s="309">
        <f t="shared" si="122"/>
        <v>0</v>
      </c>
      <c r="Q393" s="235" t="str">
        <f t="shared" si="124"/>
        <v>Д40х5х2</v>
      </c>
      <c r="R393" s="377">
        <f t="shared" si="119"/>
        <v>0</v>
      </c>
      <c r="S393" s="319">
        <v>0</v>
      </c>
      <c r="T393" s="353">
        <f t="shared" si="116"/>
        <v>0</v>
      </c>
      <c r="U393" s="20">
        <v>2</v>
      </c>
      <c r="V393" s="20">
        <f t="shared" si="120"/>
        <v>0</v>
      </c>
      <c r="W393" s="52">
        <f t="shared" si="123"/>
        <v>0</v>
      </c>
      <c r="X393" s="20">
        <v>2</v>
      </c>
      <c r="Y393" s="20">
        <v>1</v>
      </c>
      <c r="Z393" s="20"/>
      <c r="AA393" s="20"/>
      <c r="AB393" s="417"/>
      <c r="AC393" s="200"/>
      <c r="AD393" s="160"/>
      <c r="AE393" s="162"/>
      <c r="AF393" s="171"/>
      <c r="AG393" s="176"/>
      <c r="AH393" s="115"/>
      <c r="AI393" s="113"/>
      <c r="AJ393" s="185"/>
      <c r="AK393" s="435"/>
      <c r="AL393" s="476"/>
    </row>
    <row r="394" spans="2:38" ht="26.25" customHeight="1" x14ac:dyDescent="0.35">
      <c r="B394" s="15">
        <v>109</v>
      </c>
      <c r="C394" s="6" t="s">
        <v>18</v>
      </c>
      <c r="D394" s="23" t="s">
        <v>72</v>
      </c>
      <c r="E394" s="104" t="s">
        <v>468</v>
      </c>
      <c r="F394" s="210">
        <v>1249</v>
      </c>
      <c r="G394" s="48" t="s">
        <v>0</v>
      </c>
      <c r="H394" s="39"/>
      <c r="I394" s="309">
        <v>0</v>
      </c>
      <c r="J394" s="39">
        <f t="shared" si="117"/>
        <v>140</v>
      </c>
      <c r="K394" s="309">
        <f t="shared" ref="K394:K402" si="125">R394/1.4</f>
        <v>1.68</v>
      </c>
      <c r="L394" s="230">
        <f>K394*J684</f>
        <v>0</v>
      </c>
      <c r="M394" s="154" t="s">
        <v>688</v>
      </c>
      <c r="N394" s="140">
        <v>140</v>
      </c>
      <c r="O394" s="503"/>
      <c r="P394" s="309">
        <f t="shared" si="122"/>
        <v>0</v>
      </c>
      <c r="Q394" s="235" t="str">
        <f t="shared" si="124"/>
        <v>П5х5х3</v>
      </c>
      <c r="R394" s="377">
        <f t="shared" si="119"/>
        <v>2.35</v>
      </c>
      <c r="S394" s="319">
        <v>1.96</v>
      </c>
      <c r="T394" s="353">
        <f t="shared" si="116"/>
        <v>274.39999999999998</v>
      </c>
      <c r="U394" s="20">
        <v>226</v>
      </c>
      <c r="V394" s="20">
        <f t="shared" si="120"/>
        <v>140</v>
      </c>
      <c r="W394" s="52">
        <f t="shared" si="123"/>
        <v>0</v>
      </c>
      <c r="X394" s="148">
        <f>124+60+42-140</f>
        <v>86</v>
      </c>
      <c r="Y394" s="20"/>
      <c r="Z394" s="20"/>
      <c r="AA394" s="20">
        <v>300</v>
      </c>
      <c r="AB394" s="417"/>
      <c r="AC394" s="200"/>
      <c r="AD394" s="160"/>
      <c r="AE394" s="162"/>
      <c r="AF394" s="171"/>
      <c r="AG394" s="176"/>
      <c r="AH394" s="115"/>
      <c r="AI394" s="113"/>
      <c r="AJ394" s="185"/>
      <c r="AK394" s="435"/>
      <c r="AL394" s="476"/>
    </row>
    <row r="395" spans="2:38" ht="26.25" hidden="1" customHeight="1" x14ac:dyDescent="0.35">
      <c r="B395" s="15"/>
      <c r="C395" s="6" t="s">
        <v>18</v>
      </c>
      <c r="D395" s="23" t="s">
        <v>72</v>
      </c>
      <c r="E395" s="347" t="s">
        <v>481</v>
      </c>
      <c r="F395" s="210">
        <v>1235</v>
      </c>
      <c r="G395" s="13"/>
      <c r="H395" s="39"/>
      <c r="I395" s="309">
        <v>0</v>
      </c>
      <c r="J395" s="39">
        <f t="shared" si="117"/>
        <v>0</v>
      </c>
      <c r="K395" s="309">
        <f t="shared" si="125"/>
        <v>3.46</v>
      </c>
      <c r="L395" s="230"/>
      <c r="M395" s="155" t="s">
        <v>464</v>
      </c>
      <c r="N395" s="140"/>
      <c r="O395" s="39"/>
      <c r="P395" s="490">
        <f t="shared" si="122"/>
        <v>0</v>
      </c>
      <c r="Q395" s="263" t="str">
        <f t="shared" si="124"/>
        <v>Д16х3 ВМ-1950.5679.13.03.003</v>
      </c>
      <c r="R395" s="377">
        <f t="shared" si="119"/>
        <v>4.84</v>
      </c>
      <c r="S395" s="319">
        <v>4.03</v>
      </c>
      <c r="T395" s="353">
        <f t="shared" si="116"/>
        <v>0</v>
      </c>
      <c r="U395" s="20">
        <v>100</v>
      </c>
      <c r="V395" s="20">
        <f t="shared" si="120"/>
        <v>0</v>
      </c>
      <c r="W395" s="52">
        <f t="shared" si="123"/>
        <v>0</v>
      </c>
      <c r="X395" s="20">
        <v>100</v>
      </c>
      <c r="Y395" s="20">
        <v>1</v>
      </c>
      <c r="Z395" s="20"/>
      <c r="AA395" s="20"/>
      <c r="AB395" s="417"/>
      <c r="AC395" s="200"/>
      <c r="AD395" s="160"/>
      <c r="AE395" s="162"/>
      <c r="AF395" s="171"/>
      <c r="AG395" s="176"/>
      <c r="AH395" s="115"/>
      <c r="AI395" s="113"/>
      <c r="AJ395" s="185"/>
      <c r="AK395" s="435"/>
      <c r="AL395" s="476"/>
    </row>
    <row r="396" spans="2:38" ht="32.25" customHeight="1" x14ac:dyDescent="0.25">
      <c r="B396" s="11">
        <v>110</v>
      </c>
      <c r="C396" s="6" t="s">
        <v>18</v>
      </c>
      <c r="D396" s="23" t="s">
        <v>72</v>
      </c>
      <c r="E396" s="104" t="s">
        <v>97</v>
      </c>
      <c r="F396" s="208">
        <v>509</v>
      </c>
      <c r="G396" s="48" t="s">
        <v>0</v>
      </c>
      <c r="H396" s="39">
        <v>2000</v>
      </c>
      <c r="I396" s="360">
        <v>3260</v>
      </c>
      <c r="J396" s="39">
        <f t="shared" si="117"/>
        <v>0</v>
      </c>
      <c r="K396" s="309">
        <f t="shared" si="125"/>
        <v>1.63</v>
      </c>
      <c r="L396" s="230">
        <f>K396*J686</f>
        <v>0</v>
      </c>
      <c r="M396" s="233" t="s">
        <v>846</v>
      </c>
      <c r="N396" s="140"/>
      <c r="O396" s="503">
        <v>2000</v>
      </c>
      <c r="P396" s="309">
        <f t="shared" si="122"/>
        <v>3260</v>
      </c>
      <c r="Q396" s="235" t="str">
        <f t="shared" si="124"/>
        <v>П3х6х7</v>
      </c>
      <c r="R396" s="306">
        <f t="shared" si="119"/>
        <v>2.2799999999999998</v>
      </c>
      <c r="S396" s="319">
        <v>1.9</v>
      </c>
      <c r="T396" s="353">
        <f t="shared" si="116"/>
        <v>0</v>
      </c>
      <c r="U396" s="70">
        <v>3140</v>
      </c>
      <c r="V396" s="20">
        <f t="shared" si="120"/>
        <v>0</v>
      </c>
      <c r="W396" s="52">
        <f t="shared" si="123"/>
        <v>0</v>
      </c>
      <c r="X396" s="70">
        <f>1920*2+100-800</f>
        <v>3140</v>
      </c>
      <c r="Y396" s="20"/>
      <c r="Z396" s="20"/>
      <c r="AA396" s="20">
        <v>5200</v>
      </c>
      <c r="AB396" s="417"/>
      <c r="AC396" s="200"/>
      <c r="AD396" s="160">
        <v>0.36499999999999999</v>
      </c>
      <c r="AE396" s="163"/>
      <c r="AF396" s="171"/>
      <c r="AG396" s="192">
        <v>1</v>
      </c>
      <c r="AH396" s="16"/>
      <c r="AI396" s="16"/>
      <c r="AJ396" s="185">
        <f>X396*AD396</f>
        <v>1146.0999999999999</v>
      </c>
      <c r="AK396" s="435"/>
      <c r="AL396" s="476"/>
    </row>
    <row r="397" spans="2:38" ht="26.25" hidden="1" customHeight="1" x14ac:dyDescent="0.25">
      <c r="B397" s="19"/>
      <c r="C397" s="6" t="s">
        <v>18</v>
      </c>
      <c r="D397" s="23" t="s">
        <v>72</v>
      </c>
      <c r="E397" s="104" t="s">
        <v>92</v>
      </c>
      <c r="F397" s="208">
        <v>557</v>
      </c>
      <c r="G397" s="48" t="s">
        <v>0</v>
      </c>
      <c r="H397" s="39"/>
      <c r="I397" s="360">
        <v>0</v>
      </c>
      <c r="J397" s="39">
        <f t="shared" si="117"/>
        <v>0</v>
      </c>
      <c r="K397" s="309">
        <f t="shared" si="125"/>
        <v>1.63</v>
      </c>
      <c r="L397" s="230">
        <f>K397*J687</f>
        <v>0</v>
      </c>
      <c r="M397" s="68" t="s">
        <v>847</v>
      </c>
      <c r="N397" s="140"/>
      <c r="O397" s="503"/>
      <c r="P397" s="309">
        <f t="shared" si="122"/>
        <v>0</v>
      </c>
      <c r="Q397" s="235" t="str">
        <f t="shared" si="124"/>
        <v>П5х5х2</v>
      </c>
      <c r="R397" s="306">
        <f t="shared" si="119"/>
        <v>2.2799999999999998</v>
      </c>
      <c r="S397" s="319">
        <v>1.9</v>
      </c>
      <c r="T397" s="353">
        <f t="shared" ref="T397:T421" si="126">S397*J397</f>
        <v>0</v>
      </c>
      <c r="U397" s="70">
        <v>437</v>
      </c>
      <c r="V397" s="20">
        <f t="shared" si="120"/>
        <v>0</v>
      </c>
      <c r="W397" s="52">
        <f t="shared" si="123"/>
        <v>0</v>
      </c>
      <c r="X397" s="148">
        <f>257+191+27+36+100+26-200</f>
        <v>437</v>
      </c>
      <c r="Y397" s="20"/>
      <c r="Z397" s="20"/>
      <c r="AA397" s="20">
        <v>600</v>
      </c>
      <c r="AB397" s="417"/>
      <c r="AC397" s="200"/>
      <c r="AD397" s="160"/>
      <c r="AE397" s="163"/>
      <c r="AF397" s="171"/>
      <c r="AG397" s="192">
        <v>0.4</v>
      </c>
      <c r="AH397" s="16"/>
      <c r="AI397" s="16"/>
      <c r="AJ397" s="185">
        <f>X397*AD397</f>
        <v>0</v>
      </c>
      <c r="AK397" s="435"/>
      <c r="AL397" s="476"/>
    </row>
    <row r="398" spans="2:38" ht="26.25" hidden="1" customHeight="1" x14ac:dyDescent="0.25">
      <c r="B398" s="19"/>
      <c r="C398" s="6" t="s">
        <v>18</v>
      </c>
      <c r="D398" s="23" t="s">
        <v>72</v>
      </c>
      <c r="E398" s="104" t="s">
        <v>670</v>
      </c>
      <c r="F398" s="208">
        <v>1416</v>
      </c>
      <c r="G398" s="48"/>
      <c r="H398" s="39"/>
      <c r="I398" s="360">
        <v>0</v>
      </c>
      <c r="J398" s="39">
        <f t="shared" si="117"/>
        <v>0</v>
      </c>
      <c r="K398" s="309">
        <f t="shared" si="125"/>
        <v>1.63</v>
      </c>
      <c r="L398" s="230"/>
      <c r="M398" s="234" t="s">
        <v>689</v>
      </c>
      <c r="N398" s="140"/>
      <c r="O398" s="503"/>
      <c r="P398" s="309">
        <f t="shared" si="122"/>
        <v>0</v>
      </c>
      <c r="Q398" s="235"/>
      <c r="R398" s="306">
        <f t="shared" si="119"/>
        <v>2.2799999999999998</v>
      </c>
      <c r="S398" s="319">
        <v>1.9</v>
      </c>
      <c r="T398" s="353">
        <f t="shared" si="126"/>
        <v>0</v>
      </c>
      <c r="U398" s="70">
        <v>20</v>
      </c>
      <c r="V398" s="20">
        <f t="shared" si="120"/>
        <v>0</v>
      </c>
      <c r="W398" s="52"/>
      <c r="X398" s="70">
        <v>20</v>
      </c>
      <c r="Y398" s="20"/>
      <c r="Z398" s="20"/>
      <c r="AA398" s="20"/>
      <c r="AB398" s="417"/>
      <c r="AC398" s="200"/>
      <c r="AD398" s="160"/>
      <c r="AE398" s="163"/>
      <c r="AF398" s="171"/>
      <c r="AG398" s="192"/>
      <c r="AH398" s="16"/>
      <c r="AI398" s="16"/>
      <c r="AJ398" s="185"/>
      <c r="AK398" s="435"/>
      <c r="AL398" s="476"/>
    </row>
    <row r="399" spans="2:38" ht="26.25" customHeight="1" x14ac:dyDescent="0.25">
      <c r="B399" s="11">
        <v>111</v>
      </c>
      <c r="C399" s="6" t="s">
        <v>18</v>
      </c>
      <c r="D399" s="23" t="s">
        <v>72</v>
      </c>
      <c r="E399" s="104" t="s">
        <v>145</v>
      </c>
      <c r="F399" s="208">
        <v>726</v>
      </c>
      <c r="G399" s="48" t="s">
        <v>0</v>
      </c>
      <c r="H399" s="40">
        <v>290</v>
      </c>
      <c r="I399" s="360">
        <v>1467.4</v>
      </c>
      <c r="J399" s="39">
        <f t="shared" si="117"/>
        <v>0</v>
      </c>
      <c r="K399" s="309">
        <f t="shared" si="125"/>
        <v>5.0599999999999996</v>
      </c>
      <c r="L399" s="230">
        <f>K399*J689</f>
        <v>0</v>
      </c>
      <c r="M399" s="367"/>
      <c r="N399" s="140"/>
      <c r="O399" s="504">
        <v>290</v>
      </c>
      <c r="P399" s="309">
        <f t="shared" si="122"/>
        <v>1467.4</v>
      </c>
      <c r="Q399" s="235" t="str">
        <f t="shared" ref="Q399:Q404" si="127">E399</f>
        <v>П7х7х4,8</v>
      </c>
      <c r="R399" s="377">
        <f t="shared" si="119"/>
        <v>7.08</v>
      </c>
      <c r="S399" s="343">
        <v>5.9</v>
      </c>
      <c r="T399" s="353">
        <f t="shared" si="126"/>
        <v>0</v>
      </c>
      <c r="U399" s="430">
        <v>757</v>
      </c>
      <c r="V399" s="20">
        <f t="shared" si="120"/>
        <v>0</v>
      </c>
      <c r="W399" s="52">
        <f t="shared" ref="W399:W404" si="128">X399-U399+V399</f>
        <v>0</v>
      </c>
      <c r="X399" s="430">
        <f>350+407</f>
        <v>757</v>
      </c>
      <c r="Y399" s="18">
        <v>1</v>
      </c>
      <c r="Z399" s="18"/>
      <c r="AA399" s="18"/>
      <c r="AB399" s="418"/>
      <c r="AC399" s="200"/>
      <c r="AD399" s="160">
        <v>0.61</v>
      </c>
      <c r="AE399" s="165"/>
      <c r="AF399" s="160"/>
      <c r="AG399" s="192">
        <v>1.9</v>
      </c>
      <c r="AH399" s="16"/>
      <c r="AI399" s="16"/>
      <c r="AJ399" s="185">
        <f>X399*AD399</f>
        <v>461.8</v>
      </c>
      <c r="AK399" s="435"/>
      <c r="AL399" s="476"/>
    </row>
    <row r="400" spans="2:38" ht="26.25" hidden="1" customHeight="1" x14ac:dyDescent="0.25">
      <c r="B400" s="11"/>
      <c r="C400" s="6" t="s">
        <v>18</v>
      </c>
      <c r="D400" s="23" t="s">
        <v>72</v>
      </c>
      <c r="E400" s="104" t="s">
        <v>273</v>
      </c>
      <c r="F400" s="522">
        <v>758</v>
      </c>
      <c r="G400" s="48" t="s">
        <v>0</v>
      </c>
      <c r="H400" s="40"/>
      <c r="I400" s="360">
        <v>0</v>
      </c>
      <c r="J400" s="39">
        <f t="shared" si="117"/>
        <v>0</v>
      </c>
      <c r="K400" s="309">
        <f t="shared" si="125"/>
        <v>7.31</v>
      </c>
      <c r="L400" s="230"/>
      <c r="M400" s="366" t="s">
        <v>611</v>
      </c>
      <c r="N400" s="140"/>
      <c r="O400" s="40"/>
      <c r="P400" s="469">
        <f t="shared" si="122"/>
        <v>0</v>
      </c>
      <c r="Q400" s="51" t="str">
        <f t="shared" si="127"/>
        <v>П7х7х2,5</v>
      </c>
      <c r="R400" s="377">
        <f t="shared" si="119"/>
        <v>10.24</v>
      </c>
      <c r="S400" s="343">
        <v>8.5299999999999994</v>
      </c>
      <c r="T400" s="353">
        <f t="shared" si="126"/>
        <v>0</v>
      </c>
      <c r="U400" s="18">
        <v>3</v>
      </c>
      <c r="V400" s="20">
        <f t="shared" si="120"/>
        <v>0</v>
      </c>
      <c r="W400" s="52">
        <f t="shared" si="128"/>
        <v>0</v>
      </c>
      <c r="X400" s="18">
        <f>6-3</f>
        <v>3</v>
      </c>
      <c r="Y400" s="18">
        <v>1</v>
      </c>
      <c r="Z400" s="18"/>
      <c r="AA400" s="18"/>
      <c r="AB400" s="418"/>
      <c r="AC400" s="200"/>
      <c r="AD400" s="160"/>
      <c r="AE400" s="165"/>
      <c r="AF400" s="160"/>
      <c r="AG400" s="192"/>
      <c r="AH400" s="16"/>
      <c r="AI400" s="30"/>
      <c r="AJ400" s="185"/>
      <c r="AK400" s="137"/>
      <c r="AL400" s="476"/>
    </row>
    <row r="401" spans="1:50" ht="26.25" hidden="1" customHeight="1" x14ac:dyDescent="0.25">
      <c r="B401" s="11"/>
      <c r="C401" s="6" t="s">
        <v>18</v>
      </c>
      <c r="D401" s="23" t="s">
        <v>72</v>
      </c>
      <c r="E401" s="104" t="s">
        <v>484</v>
      </c>
      <c r="F401" s="270">
        <v>494</v>
      </c>
      <c r="G401" s="48"/>
      <c r="H401" s="40"/>
      <c r="I401" s="309">
        <v>0</v>
      </c>
      <c r="J401" s="39">
        <f t="shared" si="117"/>
        <v>0</v>
      </c>
      <c r="K401" s="309">
        <f t="shared" si="125"/>
        <v>4.5</v>
      </c>
      <c r="L401" s="230"/>
      <c r="M401" s="234" t="s">
        <v>657</v>
      </c>
      <c r="N401" s="140"/>
      <c r="O401" s="504"/>
      <c r="P401" s="309">
        <f t="shared" si="122"/>
        <v>0</v>
      </c>
      <c r="Q401" s="262" t="str">
        <f t="shared" si="127"/>
        <v>П14х7х2,4</v>
      </c>
      <c r="R401" s="377">
        <f t="shared" si="119"/>
        <v>6.3</v>
      </c>
      <c r="S401" s="343">
        <v>5.25</v>
      </c>
      <c r="T401" s="353">
        <f t="shared" si="126"/>
        <v>0</v>
      </c>
      <c r="U401" s="18">
        <v>79</v>
      </c>
      <c r="V401" s="20">
        <f t="shared" si="120"/>
        <v>0</v>
      </c>
      <c r="W401" s="52">
        <f t="shared" si="128"/>
        <v>0</v>
      </c>
      <c r="X401" s="18">
        <v>79</v>
      </c>
      <c r="Y401" s="18">
        <v>1</v>
      </c>
      <c r="Z401" s="18"/>
      <c r="AA401" s="18"/>
      <c r="AB401" s="418"/>
      <c r="AC401" s="200"/>
      <c r="AD401" s="160"/>
      <c r="AE401" s="165"/>
      <c r="AF401" s="160"/>
      <c r="AG401" s="192"/>
      <c r="AH401" s="16"/>
      <c r="AI401" s="30"/>
      <c r="AJ401" s="185"/>
      <c r="AK401" s="137"/>
      <c r="AL401" s="476"/>
    </row>
    <row r="402" spans="1:50" ht="26.25" hidden="1" customHeight="1" x14ac:dyDescent="0.25">
      <c r="B402" s="11"/>
      <c r="C402" s="6" t="s">
        <v>18</v>
      </c>
      <c r="D402" s="23" t="s">
        <v>72</v>
      </c>
      <c r="E402" s="104" t="s">
        <v>485</v>
      </c>
      <c r="F402" s="270"/>
      <c r="G402" s="48"/>
      <c r="H402" s="40"/>
      <c r="I402" s="309">
        <v>0</v>
      </c>
      <c r="J402" s="39">
        <f t="shared" si="117"/>
        <v>0</v>
      </c>
      <c r="K402" s="309">
        <f t="shared" si="125"/>
        <v>0</v>
      </c>
      <c r="L402" s="230"/>
      <c r="M402" s="64"/>
      <c r="N402" s="140"/>
      <c r="O402" s="40"/>
      <c r="P402" s="490">
        <f t="shared" si="122"/>
        <v>0</v>
      </c>
      <c r="Q402" s="263" t="str">
        <f t="shared" si="127"/>
        <v>П7х6х3</v>
      </c>
      <c r="R402" s="377">
        <f t="shared" si="119"/>
        <v>0</v>
      </c>
      <c r="S402" s="343">
        <v>0</v>
      </c>
      <c r="T402" s="353">
        <f t="shared" si="126"/>
        <v>0</v>
      </c>
      <c r="U402" s="18">
        <v>9</v>
      </c>
      <c r="V402" s="20">
        <f t="shared" si="120"/>
        <v>0</v>
      </c>
      <c r="W402" s="52">
        <f t="shared" si="128"/>
        <v>0</v>
      </c>
      <c r="X402" s="18">
        <v>9</v>
      </c>
      <c r="Y402" s="18">
        <v>1</v>
      </c>
      <c r="Z402" s="18"/>
      <c r="AA402" s="18"/>
      <c r="AB402" s="418"/>
      <c r="AC402" s="200"/>
      <c r="AD402" s="160"/>
      <c r="AE402" s="165"/>
      <c r="AF402" s="160"/>
      <c r="AG402" s="192"/>
      <c r="AH402" s="16"/>
      <c r="AI402" s="30"/>
      <c r="AJ402" s="185"/>
      <c r="AK402" s="137"/>
      <c r="AL402" s="476"/>
    </row>
    <row r="403" spans="1:50" ht="26.25" customHeight="1" x14ac:dyDescent="0.25">
      <c r="B403" s="11">
        <v>112</v>
      </c>
      <c r="C403" s="6" t="s">
        <v>18</v>
      </c>
      <c r="D403" s="23" t="s">
        <v>72</v>
      </c>
      <c r="E403" s="107" t="s">
        <v>496</v>
      </c>
      <c r="F403" s="526">
        <v>1268</v>
      </c>
      <c r="G403" s="48" t="s">
        <v>0</v>
      </c>
      <c r="H403" s="40">
        <v>2</v>
      </c>
      <c r="I403" s="360">
        <v>12.26</v>
      </c>
      <c r="J403" s="39">
        <f t="shared" si="117"/>
        <v>0</v>
      </c>
      <c r="K403" s="309">
        <v>6.13</v>
      </c>
      <c r="L403" s="230">
        <f>K403*J693</f>
        <v>0</v>
      </c>
      <c r="M403" s="368"/>
      <c r="N403" s="140"/>
      <c r="O403" s="504">
        <v>2</v>
      </c>
      <c r="P403" s="309">
        <f t="shared" si="122"/>
        <v>12.26</v>
      </c>
      <c r="Q403" s="235" t="str">
        <f t="shared" si="127"/>
        <v>П10х10х4</v>
      </c>
      <c r="R403" s="377">
        <f t="shared" si="119"/>
        <v>8.58</v>
      </c>
      <c r="S403" s="343">
        <v>7.15</v>
      </c>
      <c r="T403" s="353">
        <f t="shared" si="126"/>
        <v>0</v>
      </c>
      <c r="U403" s="18">
        <v>8</v>
      </c>
      <c r="V403" s="20">
        <f t="shared" si="120"/>
        <v>0</v>
      </c>
      <c r="W403" s="52">
        <f t="shared" si="128"/>
        <v>0</v>
      </c>
      <c r="X403" s="18">
        <v>8</v>
      </c>
      <c r="Y403" s="18">
        <v>1</v>
      </c>
      <c r="Z403" s="18"/>
      <c r="AA403" s="18"/>
      <c r="AB403" s="418"/>
      <c r="AC403" s="200"/>
      <c r="AD403" s="160"/>
      <c r="AE403" s="163"/>
      <c r="AF403" s="171"/>
      <c r="AG403" s="192">
        <v>1.9</v>
      </c>
      <c r="AH403" s="128"/>
      <c r="AI403" s="129"/>
      <c r="AJ403" s="185">
        <f>X403*AD403</f>
        <v>0</v>
      </c>
      <c r="AK403" s="10"/>
      <c r="AL403" s="476"/>
    </row>
    <row r="404" spans="1:50" ht="26.25" hidden="1" customHeight="1" x14ac:dyDescent="0.25">
      <c r="B404" s="11"/>
      <c r="C404" s="6" t="s">
        <v>18</v>
      </c>
      <c r="D404" s="23" t="s">
        <v>72</v>
      </c>
      <c r="E404" s="107" t="s">
        <v>664</v>
      </c>
      <c r="F404" s="386">
        <v>1255</v>
      </c>
      <c r="G404" s="12"/>
      <c r="H404" s="40"/>
      <c r="I404" s="309">
        <v>0</v>
      </c>
      <c r="J404" s="39">
        <f t="shared" si="117"/>
        <v>0</v>
      </c>
      <c r="K404" s="309">
        <f>R404/1.4</f>
        <v>12</v>
      </c>
      <c r="L404" s="230"/>
      <c r="M404" s="96" t="s">
        <v>475</v>
      </c>
      <c r="N404" s="140"/>
      <c r="O404" s="40"/>
      <c r="P404" s="490">
        <f t="shared" si="122"/>
        <v>0</v>
      </c>
      <c r="Q404" s="262" t="str">
        <f t="shared" si="127"/>
        <v>П12х10х20 (скл. Интеграл)</v>
      </c>
      <c r="R404" s="377">
        <f t="shared" si="119"/>
        <v>16.8</v>
      </c>
      <c r="S404" s="343">
        <v>14</v>
      </c>
      <c r="T404" s="353">
        <f t="shared" si="126"/>
        <v>0</v>
      </c>
      <c r="U404" s="18">
        <v>8</v>
      </c>
      <c r="V404" s="20">
        <f t="shared" si="120"/>
        <v>0</v>
      </c>
      <c r="W404" s="52">
        <f t="shared" si="128"/>
        <v>0</v>
      </c>
      <c r="X404" s="18">
        <v>8</v>
      </c>
      <c r="Y404" s="18">
        <v>1</v>
      </c>
      <c r="Z404" s="18"/>
      <c r="AA404" s="18"/>
      <c r="AB404" s="418"/>
      <c r="AC404" s="200"/>
      <c r="AD404" s="160"/>
      <c r="AE404" s="163"/>
      <c r="AF404" s="171"/>
      <c r="AG404" s="192">
        <v>8</v>
      </c>
      <c r="AH404" s="128"/>
      <c r="AI404" s="129"/>
      <c r="AJ404" s="185">
        <f>X404*AD404</f>
        <v>0</v>
      </c>
      <c r="AK404" s="10"/>
      <c r="AL404" s="476"/>
    </row>
    <row r="405" spans="1:50" ht="26.25" hidden="1" customHeight="1" x14ac:dyDescent="0.25">
      <c r="B405" s="11"/>
      <c r="C405" s="6"/>
      <c r="D405" s="23"/>
      <c r="E405" s="1" t="s">
        <v>330</v>
      </c>
      <c r="F405" s="386"/>
      <c r="G405" s="12"/>
      <c r="H405" s="40"/>
      <c r="I405" s="309"/>
      <c r="J405" s="39">
        <f t="shared" si="117"/>
        <v>0</v>
      </c>
      <c r="K405" s="309"/>
      <c r="L405" s="230"/>
      <c r="M405" s="96"/>
      <c r="N405" s="140"/>
      <c r="O405" s="40"/>
      <c r="P405" s="309"/>
      <c r="Q405" s="262"/>
      <c r="R405" s="377"/>
      <c r="S405" s="343"/>
      <c r="T405" s="353">
        <f t="shared" si="126"/>
        <v>0</v>
      </c>
      <c r="U405" s="18"/>
      <c r="V405" s="20">
        <f t="shared" si="120"/>
        <v>0</v>
      </c>
      <c r="W405" s="52"/>
      <c r="X405" s="18"/>
      <c r="Y405" s="18"/>
      <c r="Z405" s="18"/>
      <c r="AA405" s="18"/>
      <c r="AB405" s="418"/>
      <c r="AC405" s="200"/>
      <c r="AD405" s="160"/>
      <c r="AE405" s="163"/>
      <c r="AF405" s="171"/>
      <c r="AG405" s="192"/>
      <c r="AH405" s="128"/>
      <c r="AI405" s="129"/>
      <c r="AJ405" s="185"/>
      <c r="AK405" s="10"/>
      <c r="AL405" s="476"/>
    </row>
    <row r="406" spans="1:50" ht="26.25" hidden="1" customHeight="1" x14ac:dyDescent="0.25">
      <c r="B406" s="11"/>
      <c r="C406" s="6" t="s">
        <v>18</v>
      </c>
      <c r="D406" s="23" t="s">
        <v>72</v>
      </c>
      <c r="E406" s="1" t="s">
        <v>249</v>
      </c>
      <c r="F406" s="386">
        <v>1222</v>
      </c>
      <c r="G406" s="12"/>
      <c r="H406" s="40"/>
      <c r="I406" s="309">
        <v>0</v>
      </c>
      <c r="J406" s="39">
        <f t="shared" si="117"/>
        <v>0</v>
      </c>
      <c r="K406" s="309">
        <f t="shared" ref="K406:K432" si="129">R406/1.4</f>
        <v>7.97</v>
      </c>
      <c r="L406" s="230"/>
      <c r="M406" s="96" t="s">
        <v>335</v>
      </c>
      <c r="N406" s="140"/>
      <c r="O406" s="40"/>
      <c r="P406" s="309">
        <f t="shared" ref="P406:P420" si="130">K406*O406</f>
        <v>0</v>
      </c>
      <c r="Q406" s="235" t="str">
        <f t="shared" ref="Q406:Q432" si="131">E406</f>
        <v>П20х10х7,5</v>
      </c>
      <c r="R406" s="377">
        <f t="shared" ref="R406:R432" si="132">S406*1.2</f>
        <v>11.16</v>
      </c>
      <c r="S406" s="343">
        <v>9.3000000000000007</v>
      </c>
      <c r="T406" s="353">
        <f t="shared" si="126"/>
        <v>0</v>
      </c>
      <c r="U406" s="18">
        <v>680</v>
      </c>
      <c r="V406" s="20">
        <f t="shared" si="120"/>
        <v>0</v>
      </c>
      <c r="W406" s="52">
        <f t="shared" ref="W406:W421" si="133">X406-U406+V406</f>
        <v>0</v>
      </c>
      <c r="X406" s="18">
        <f>162*4+32</f>
        <v>680</v>
      </c>
      <c r="Y406" s="18">
        <v>1</v>
      </c>
      <c r="Z406" s="18"/>
      <c r="AA406" s="18"/>
      <c r="AB406" s="418"/>
      <c r="AC406" s="200"/>
      <c r="AD406" s="160"/>
      <c r="AE406" s="163"/>
      <c r="AF406" s="171"/>
      <c r="AG406" s="192">
        <v>12</v>
      </c>
      <c r="AH406" s="128"/>
      <c r="AI406" s="129"/>
      <c r="AJ406" s="185">
        <f>X406*AD406</f>
        <v>0</v>
      </c>
      <c r="AK406" s="10"/>
      <c r="AL406" s="476"/>
    </row>
    <row r="407" spans="1:50" ht="26.25" hidden="1" customHeight="1" x14ac:dyDescent="0.25">
      <c r="B407" s="19"/>
      <c r="C407" s="6" t="s">
        <v>18</v>
      </c>
      <c r="D407" s="23" t="s">
        <v>72</v>
      </c>
      <c r="E407" s="106" t="s">
        <v>247</v>
      </c>
      <c r="F407" s="386"/>
      <c r="G407" s="13" t="s">
        <v>0</v>
      </c>
      <c r="H407" s="39"/>
      <c r="I407" s="309">
        <v>0</v>
      </c>
      <c r="J407" s="39">
        <f t="shared" si="117"/>
        <v>0</v>
      </c>
      <c r="K407" s="309">
        <f t="shared" si="129"/>
        <v>197.14</v>
      </c>
      <c r="L407" s="230"/>
      <c r="M407" s="217" t="s">
        <v>279</v>
      </c>
      <c r="N407" s="140"/>
      <c r="O407" s="39"/>
      <c r="P407" s="309">
        <f t="shared" si="130"/>
        <v>0</v>
      </c>
      <c r="Q407" s="235" t="str">
        <f t="shared" si="131"/>
        <v>П30х30х15</v>
      </c>
      <c r="R407" s="377">
        <f t="shared" si="132"/>
        <v>276</v>
      </c>
      <c r="S407" s="319">
        <v>230</v>
      </c>
      <c r="T407" s="353">
        <f t="shared" si="126"/>
        <v>0</v>
      </c>
      <c r="U407" s="18">
        <v>2</v>
      </c>
      <c r="V407" s="20">
        <f t="shared" si="120"/>
        <v>0</v>
      </c>
      <c r="W407" s="52">
        <f t="shared" si="133"/>
        <v>0</v>
      </c>
      <c r="X407" s="18">
        <v>2</v>
      </c>
      <c r="Y407" s="18">
        <v>1</v>
      </c>
      <c r="Z407" s="18"/>
      <c r="AA407" s="18"/>
      <c r="AB407" s="418"/>
      <c r="AC407" s="200"/>
      <c r="AD407" s="160"/>
      <c r="AE407" s="163"/>
      <c r="AF407" s="171"/>
      <c r="AG407" s="192">
        <v>108</v>
      </c>
      <c r="AH407" s="16"/>
      <c r="AI407" s="16"/>
      <c r="AJ407" s="185">
        <f>X407*AD407</f>
        <v>0</v>
      </c>
      <c r="AK407" s="435"/>
      <c r="AL407" s="476"/>
    </row>
    <row r="408" spans="1:50" ht="26.25" hidden="1" customHeight="1" x14ac:dyDescent="0.25">
      <c r="B408" s="19"/>
      <c r="C408" s="6" t="s">
        <v>18</v>
      </c>
      <c r="D408" s="23" t="s">
        <v>72</v>
      </c>
      <c r="E408" s="106" t="s">
        <v>483</v>
      </c>
      <c r="F408" s="386"/>
      <c r="G408" s="13"/>
      <c r="H408" s="39"/>
      <c r="I408" s="309">
        <v>0</v>
      </c>
      <c r="J408" s="39">
        <f t="shared" si="117"/>
        <v>0</v>
      </c>
      <c r="K408" s="309">
        <f t="shared" si="129"/>
        <v>14.66</v>
      </c>
      <c r="L408" s="230">
        <f>K408*J698</f>
        <v>0</v>
      </c>
      <c r="M408" s="90"/>
      <c r="N408" s="140"/>
      <c r="O408" s="39"/>
      <c r="P408" s="309">
        <f t="shared" si="130"/>
        <v>0</v>
      </c>
      <c r="Q408" s="235" t="str">
        <f t="shared" si="131"/>
        <v>П55х24х3</v>
      </c>
      <c r="R408" s="377">
        <f t="shared" si="132"/>
        <v>20.52</v>
      </c>
      <c r="S408" s="319">
        <v>17.100000000000001</v>
      </c>
      <c r="T408" s="353">
        <f t="shared" si="126"/>
        <v>0</v>
      </c>
      <c r="U408" s="18">
        <v>139</v>
      </c>
      <c r="V408" s="20">
        <f t="shared" si="120"/>
        <v>0</v>
      </c>
      <c r="W408" s="52">
        <f t="shared" si="133"/>
        <v>0</v>
      </c>
      <c r="X408" s="18">
        <f>16*8+11</f>
        <v>139</v>
      </c>
      <c r="Y408" s="18">
        <v>1</v>
      </c>
      <c r="Z408" s="18"/>
      <c r="AA408" s="18"/>
      <c r="AB408" s="418"/>
      <c r="AC408" s="200"/>
      <c r="AD408" s="160"/>
      <c r="AE408" s="163"/>
      <c r="AF408" s="171"/>
      <c r="AG408" s="192">
        <v>31.5</v>
      </c>
      <c r="AH408" s="16"/>
      <c r="AI408" s="16"/>
      <c r="AJ408" s="185">
        <f>X408*AD408</f>
        <v>0</v>
      </c>
      <c r="AK408" s="435"/>
      <c r="AL408" s="476"/>
    </row>
    <row r="409" spans="1:50" ht="26.25" hidden="1" customHeight="1" x14ac:dyDescent="0.25">
      <c r="B409" s="19"/>
      <c r="C409" s="6" t="s">
        <v>18</v>
      </c>
      <c r="D409" s="23" t="s">
        <v>72</v>
      </c>
      <c r="E409" s="106" t="s">
        <v>254</v>
      </c>
      <c r="F409" s="386"/>
      <c r="G409" s="13"/>
      <c r="H409" s="39"/>
      <c r="I409" s="309">
        <v>0</v>
      </c>
      <c r="J409" s="39">
        <f t="shared" ref="J409:J432" si="134">N409+O409-H409</f>
        <v>0</v>
      </c>
      <c r="K409" s="309">
        <f t="shared" si="129"/>
        <v>0</v>
      </c>
      <c r="L409" s="230"/>
      <c r="M409" s="90"/>
      <c r="N409" s="140"/>
      <c r="O409" s="39"/>
      <c r="P409" s="309">
        <f t="shared" si="130"/>
        <v>0</v>
      </c>
      <c r="Q409" s="235" t="str">
        <f t="shared" si="131"/>
        <v>П26х19х3</v>
      </c>
      <c r="R409" s="377">
        <f t="shared" si="132"/>
        <v>0</v>
      </c>
      <c r="S409" s="319">
        <v>0</v>
      </c>
      <c r="T409" s="353">
        <f t="shared" si="126"/>
        <v>0</v>
      </c>
      <c r="U409" s="18">
        <v>4</v>
      </c>
      <c r="V409" s="20">
        <f t="shared" si="120"/>
        <v>0</v>
      </c>
      <c r="W409" s="52">
        <f t="shared" si="133"/>
        <v>0</v>
      </c>
      <c r="X409" s="18">
        <v>4</v>
      </c>
      <c r="Y409" s="18">
        <v>1</v>
      </c>
      <c r="Z409" s="18"/>
      <c r="AA409" s="18"/>
      <c r="AB409" s="418"/>
      <c r="AC409" s="200"/>
      <c r="AD409" s="160"/>
      <c r="AE409" s="163"/>
      <c r="AF409" s="171"/>
      <c r="AG409" s="192"/>
      <c r="AH409" s="16"/>
      <c r="AI409" s="16"/>
      <c r="AJ409" s="185"/>
      <c r="AK409" s="435"/>
      <c r="AL409" s="476"/>
    </row>
    <row r="410" spans="1:50" ht="26.25" hidden="1" customHeight="1" x14ac:dyDescent="0.25">
      <c r="B410" s="19"/>
      <c r="C410" s="6" t="s">
        <v>18</v>
      </c>
      <c r="D410" s="23" t="s">
        <v>72</v>
      </c>
      <c r="E410" s="106" t="s">
        <v>387</v>
      </c>
      <c r="F410" s="386"/>
      <c r="G410" s="13"/>
      <c r="H410" s="39"/>
      <c r="I410" s="309">
        <v>0</v>
      </c>
      <c r="J410" s="39">
        <f t="shared" si="134"/>
        <v>0</v>
      </c>
      <c r="K410" s="309">
        <f t="shared" si="129"/>
        <v>0</v>
      </c>
      <c r="L410" s="230"/>
      <c r="M410" s="90"/>
      <c r="N410" s="140"/>
      <c r="O410" s="39"/>
      <c r="P410" s="309">
        <f t="shared" si="130"/>
        <v>0</v>
      </c>
      <c r="Q410" s="235" t="str">
        <f t="shared" si="131"/>
        <v>П20х10х5</v>
      </c>
      <c r="R410" s="377">
        <f t="shared" si="132"/>
        <v>0</v>
      </c>
      <c r="S410" s="319">
        <v>0</v>
      </c>
      <c r="T410" s="353">
        <f t="shared" si="126"/>
        <v>0</v>
      </c>
      <c r="U410" s="18">
        <v>40</v>
      </c>
      <c r="V410" s="20">
        <f t="shared" si="120"/>
        <v>0</v>
      </c>
      <c r="W410" s="52">
        <f t="shared" si="133"/>
        <v>0</v>
      </c>
      <c r="X410" s="18">
        <v>40</v>
      </c>
      <c r="Y410" s="18">
        <v>1</v>
      </c>
      <c r="Z410" s="18"/>
      <c r="AA410" s="18"/>
      <c r="AB410" s="418"/>
      <c r="AC410" s="200"/>
      <c r="AD410" s="160"/>
      <c r="AE410" s="163"/>
      <c r="AF410" s="171"/>
      <c r="AG410" s="192"/>
      <c r="AH410" s="16"/>
      <c r="AI410" s="16"/>
      <c r="AJ410" s="185"/>
      <c r="AK410" s="435"/>
      <c r="AL410" s="476"/>
    </row>
    <row r="411" spans="1:50" ht="26.25" hidden="1" customHeight="1" x14ac:dyDescent="0.25">
      <c r="B411" s="19"/>
      <c r="C411" s="6" t="s">
        <v>18</v>
      </c>
      <c r="D411" s="23" t="s">
        <v>72</v>
      </c>
      <c r="E411" s="106" t="s">
        <v>510</v>
      </c>
      <c r="F411" s="386">
        <v>1066</v>
      </c>
      <c r="G411" s="48" t="s">
        <v>0</v>
      </c>
      <c r="H411" s="39"/>
      <c r="I411" s="360">
        <v>0</v>
      </c>
      <c r="J411" s="39">
        <f t="shared" si="134"/>
        <v>0</v>
      </c>
      <c r="K411" s="309">
        <f t="shared" si="129"/>
        <v>54.43</v>
      </c>
      <c r="L411" s="230"/>
      <c r="M411" s="91" t="s">
        <v>568</v>
      </c>
      <c r="N411" s="140"/>
      <c r="O411" s="39"/>
      <c r="P411" s="360">
        <f t="shared" si="130"/>
        <v>0</v>
      </c>
      <c r="Q411" s="235" t="str">
        <f t="shared" si="131"/>
        <v>П50х8,5х2,7(БРАС757157.001-01)</v>
      </c>
      <c r="R411" s="377">
        <f t="shared" si="132"/>
        <v>76.2</v>
      </c>
      <c r="S411" s="319">
        <v>63.5</v>
      </c>
      <c r="T411" s="353">
        <f t="shared" si="126"/>
        <v>0</v>
      </c>
      <c r="U411" s="462">
        <v>2</v>
      </c>
      <c r="V411" s="20">
        <f t="shared" si="120"/>
        <v>0</v>
      </c>
      <c r="W411" s="52">
        <f t="shared" si="133"/>
        <v>0</v>
      </c>
      <c r="X411" s="462">
        <v>2</v>
      </c>
      <c r="Y411" s="462">
        <v>1</v>
      </c>
      <c r="Z411" s="18"/>
      <c r="AA411" s="18"/>
      <c r="AB411" s="418"/>
      <c r="AC411" s="200"/>
      <c r="AD411" s="160"/>
      <c r="AE411" s="163"/>
      <c r="AF411" s="171"/>
      <c r="AG411" s="192"/>
      <c r="AH411" s="16"/>
      <c r="AI411" s="16"/>
      <c r="AJ411" s="185"/>
      <c r="AK411" s="435"/>
      <c r="AL411" s="476"/>
    </row>
    <row r="412" spans="1:50" ht="26.25" hidden="1" customHeight="1" x14ac:dyDescent="0.25">
      <c r="B412" s="19"/>
      <c r="C412" s="6" t="s">
        <v>18</v>
      </c>
      <c r="D412" s="23" t="s">
        <v>72</v>
      </c>
      <c r="E412" s="106" t="s">
        <v>509</v>
      </c>
      <c r="F412" s="386">
        <v>1059</v>
      </c>
      <c r="G412" s="48" t="s">
        <v>0</v>
      </c>
      <c r="H412" s="39"/>
      <c r="I412" s="360">
        <v>0</v>
      </c>
      <c r="J412" s="39">
        <f t="shared" si="134"/>
        <v>0</v>
      </c>
      <c r="K412" s="309">
        <f t="shared" si="129"/>
        <v>54.43</v>
      </c>
      <c r="L412" s="230"/>
      <c r="M412" s="91" t="s">
        <v>568</v>
      </c>
      <c r="N412" s="140"/>
      <c r="O412" s="39"/>
      <c r="P412" s="360">
        <f t="shared" si="130"/>
        <v>0</v>
      </c>
      <c r="Q412" s="235" t="str">
        <f t="shared" si="131"/>
        <v>П50х8,5х2,7(БРАС757157.001)</v>
      </c>
      <c r="R412" s="377">
        <f t="shared" si="132"/>
        <v>76.2</v>
      </c>
      <c r="S412" s="319">
        <v>63.5</v>
      </c>
      <c r="T412" s="353">
        <f t="shared" si="126"/>
        <v>0</v>
      </c>
      <c r="U412" s="462">
        <v>2</v>
      </c>
      <c r="V412" s="20">
        <f t="shared" si="120"/>
        <v>0</v>
      </c>
      <c r="W412" s="52">
        <f t="shared" si="133"/>
        <v>0</v>
      </c>
      <c r="X412" s="462">
        <v>2</v>
      </c>
      <c r="Y412" s="462">
        <v>1</v>
      </c>
      <c r="Z412" s="18"/>
      <c r="AA412" s="18"/>
      <c r="AB412" s="418"/>
      <c r="AC412" s="200"/>
      <c r="AD412" s="160"/>
      <c r="AE412" s="163"/>
      <c r="AF412" s="171"/>
      <c r="AG412" s="192"/>
      <c r="AH412" s="16"/>
      <c r="AI412" s="16"/>
      <c r="AJ412" s="185"/>
      <c r="AK412" s="435"/>
      <c r="AL412" s="476"/>
    </row>
    <row r="413" spans="1:50" ht="26.25" hidden="1" customHeight="1" x14ac:dyDescent="0.25">
      <c r="B413" s="19"/>
      <c r="C413" s="6" t="s">
        <v>18</v>
      </c>
      <c r="D413" s="23" t="s">
        <v>72</v>
      </c>
      <c r="E413" s="106" t="s">
        <v>569</v>
      </c>
      <c r="F413" s="386"/>
      <c r="G413" s="13"/>
      <c r="H413" s="39"/>
      <c r="I413" s="309">
        <v>0</v>
      </c>
      <c r="J413" s="39">
        <f t="shared" si="134"/>
        <v>0</v>
      </c>
      <c r="K413" s="309">
        <f t="shared" si="129"/>
        <v>17.14</v>
      </c>
      <c r="L413" s="230">
        <f>K413*J703</f>
        <v>0</v>
      </c>
      <c r="M413" s="90"/>
      <c r="N413" s="140"/>
      <c r="O413" s="39"/>
      <c r="P413" s="309">
        <f t="shared" si="130"/>
        <v>0</v>
      </c>
      <c r="Q413" s="235" t="str">
        <f t="shared" si="131"/>
        <v>П10х7х2,5</v>
      </c>
      <c r="R413" s="377">
        <f t="shared" si="132"/>
        <v>24</v>
      </c>
      <c r="S413" s="319">
        <v>20</v>
      </c>
      <c r="T413" s="353">
        <f t="shared" si="126"/>
        <v>0</v>
      </c>
      <c r="U413" s="18">
        <v>79</v>
      </c>
      <c r="V413" s="20">
        <f t="shared" si="120"/>
        <v>0</v>
      </c>
      <c r="W413" s="52">
        <f t="shared" si="133"/>
        <v>0</v>
      </c>
      <c r="X413" s="18">
        <f>30+49</f>
        <v>79</v>
      </c>
      <c r="Y413" s="18">
        <v>1</v>
      </c>
      <c r="Z413" s="18"/>
      <c r="AA413" s="18"/>
      <c r="AB413" s="418"/>
      <c r="AC413" s="200"/>
      <c r="AD413" s="160"/>
      <c r="AE413" s="163"/>
      <c r="AF413" s="171"/>
      <c r="AG413" s="192">
        <v>46.2</v>
      </c>
      <c r="AH413" s="16"/>
      <c r="AI413" s="16"/>
      <c r="AJ413" s="185">
        <f t="shared" ref="AJ413:AJ419" si="135">X413*AD413</f>
        <v>0</v>
      </c>
      <c r="AK413" s="435"/>
      <c r="AL413" s="476"/>
    </row>
    <row r="414" spans="1:50" ht="26.25" hidden="1" customHeight="1" x14ac:dyDescent="0.25">
      <c r="B414" s="19"/>
      <c r="C414" s="6" t="s">
        <v>18</v>
      </c>
      <c r="D414" s="23" t="s">
        <v>72</v>
      </c>
      <c r="E414" s="106" t="s">
        <v>482</v>
      </c>
      <c r="F414" s="386"/>
      <c r="G414" s="13" t="s">
        <v>0</v>
      </c>
      <c r="H414" s="39"/>
      <c r="I414" s="309">
        <v>0</v>
      </c>
      <c r="J414" s="39">
        <f t="shared" si="134"/>
        <v>0</v>
      </c>
      <c r="K414" s="309">
        <f t="shared" si="129"/>
        <v>0</v>
      </c>
      <c r="L414" s="230">
        <f>K414*J704</f>
        <v>0</v>
      </c>
      <c r="M414" s="64"/>
      <c r="N414" s="140"/>
      <c r="O414" s="39"/>
      <c r="P414" s="309">
        <f t="shared" si="130"/>
        <v>0</v>
      </c>
      <c r="Q414" s="235" t="str">
        <f t="shared" si="131"/>
        <v>П55х40х3</v>
      </c>
      <c r="R414" s="377">
        <f t="shared" si="132"/>
        <v>0</v>
      </c>
      <c r="S414" s="319">
        <v>0</v>
      </c>
      <c r="T414" s="353">
        <f t="shared" si="126"/>
        <v>0</v>
      </c>
      <c r="U414" s="18">
        <v>225</v>
      </c>
      <c r="V414" s="20">
        <f t="shared" si="120"/>
        <v>0</v>
      </c>
      <c r="W414" s="52">
        <f t="shared" si="133"/>
        <v>0</v>
      </c>
      <c r="X414" s="18">
        <f>20*11+5</f>
        <v>225</v>
      </c>
      <c r="Y414" s="18">
        <v>1</v>
      </c>
      <c r="Z414" s="18"/>
      <c r="AA414" s="18"/>
      <c r="AB414" s="418"/>
      <c r="AC414" s="200"/>
      <c r="AD414" s="160"/>
      <c r="AE414" s="163"/>
      <c r="AF414" s="171"/>
      <c r="AG414" s="192">
        <v>52.8</v>
      </c>
      <c r="AH414" s="16"/>
      <c r="AI414" s="16"/>
      <c r="AJ414" s="185">
        <f t="shared" si="135"/>
        <v>0</v>
      </c>
      <c r="AK414" s="435"/>
      <c r="AL414" s="476"/>
    </row>
    <row r="415" spans="1:50" ht="26.25" hidden="1" customHeight="1" x14ac:dyDescent="0.25">
      <c r="B415" s="19"/>
      <c r="C415" s="6" t="s">
        <v>18</v>
      </c>
      <c r="D415" s="23" t="s">
        <v>72</v>
      </c>
      <c r="E415" s="106" t="s">
        <v>274</v>
      </c>
      <c r="F415" s="386"/>
      <c r="G415" s="13"/>
      <c r="H415" s="39"/>
      <c r="I415" s="309">
        <v>0</v>
      </c>
      <c r="J415" s="39">
        <f t="shared" si="134"/>
        <v>0</v>
      </c>
      <c r="K415" s="309">
        <f t="shared" si="129"/>
        <v>0</v>
      </c>
      <c r="L415" s="230"/>
      <c r="M415" s="116"/>
      <c r="N415" s="140"/>
      <c r="O415" s="39"/>
      <c r="P415" s="497">
        <f t="shared" si="130"/>
        <v>0</v>
      </c>
      <c r="Q415" s="235" t="str">
        <f t="shared" si="131"/>
        <v>П42х42х47</v>
      </c>
      <c r="R415" s="377">
        <f t="shared" si="132"/>
        <v>0</v>
      </c>
      <c r="S415" s="319">
        <v>0</v>
      </c>
      <c r="T415" s="353">
        <f t="shared" si="126"/>
        <v>0</v>
      </c>
      <c r="U415" s="18"/>
      <c r="V415" s="20">
        <f t="shared" si="120"/>
        <v>0</v>
      </c>
      <c r="W415" s="52">
        <f t="shared" si="133"/>
        <v>0</v>
      </c>
      <c r="X415" s="18"/>
      <c r="Y415" s="18">
        <v>1</v>
      </c>
      <c r="Z415" s="18"/>
      <c r="AA415" s="18"/>
      <c r="AB415" s="418"/>
      <c r="AC415" s="200"/>
      <c r="AD415" s="160"/>
      <c r="AE415" s="163"/>
      <c r="AF415" s="171"/>
      <c r="AG415" s="192">
        <v>663</v>
      </c>
      <c r="AH415" s="16"/>
      <c r="AI415" s="16"/>
      <c r="AJ415" s="185">
        <f t="shared" si="135"/>
        <v>0</v>
      </c>
      <c r="AK415" s="435"/>
      <c r="AL415" s="476"/>
    </row>
    <row r="416" spans="1:50" s="4" customFormat="1" ht="26.25" hidden="1" customHeight="1" x14ac:dyDescent="0.25">
      <c r="A416" s="10"/>
      <c r="B416" s="19"/>
      <c r="C416" s="6" t="s">
        <v>18</v>
      </c>
      <c r="D416" s="23" t="s">
        <v>72</v>
      </c>
      <c r="E416" s="87" t="s">
        <v>635</v>
      </c>
      <c r="F416" s="397">
        <v>693</v>
      </c>
      <c r="G416" s="13"/>
      <c r="H416" s="39"/>
      <c r="I416" s="360">
        <v>0</v>
      </c>
      <c r="J416" s="39">
        <f t="shared" si="134"/>
        <v>0</v>
      </c>
      <c r="K416" s="309">
        <f t="shared" si="129"/>
        <v>3.51</v>
      </c>
      <c r="L416" s="230"/>
      <c r="M416" s="234" t="s">
        <v>656</v>
      </c>
      <c r="N416" s="140"/>
      <c r="O416" s="503"/>
      <c r="P416" s="309">
        <f t="shared" si="130"/>
        <v>0</v>
      </c>
      <c r="Q416" s="235" t="str">
        <f t="shared" si="131"/>
        <v>П10х7х2,4</v>
      </c>
      <c r="R416" s="306">
        <f t="shared" si="132"/>
        <v>4.92</v>
      </c>
      <c r="S416" s="319">
        <v>4.0999999999999996</v>
      </c>
      <c r="T416" s="353">
        <f t="shared" si="126"/>
        <v>0</v>
      </c>
      <c r="U416" s="18"/>
      <c r="V416" s="20">
        <f t="shared" si="120"/>
        <v>0</v>
      </c>
      <c r="W416" s="52">
        <f t="shared" si="133"/>
        <v>0</v>
      </c>
      <c r="X416" s="18"/>
      <c r="Y416" s="18">
        <v>1</v>
      </c>
      <c r="Z416" s="18"/>
      <c r="AA416" s="18"/>
      <c r="AB416" s="418"/>
      <c r="AC416" s="200"/>
      <c r="AD416" s="160"/>
      <c r="AE416" s="163"/>
      <c r="AF416" s="171"/>
      <c r="AG416" s="192"/>
      <c r="AH416" s="128"/>
      <c r="AI416" s="129"/>
      <c r="AJ416" s="185">
        <f t="shared" si="135"/>
        <v>0</v>
      </c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38" ht="26.25" hidden="1" customHeight="1" x14ac:dyDescent="0.25">
      <c r="B417" s="15"/>
      <c r="C417" s="6" t="s">
        <v>18</v>
      </c>
      <c r="D417" s="23" t="s">
        <v>72</v>
      </c>
      <c r="E417" s="1" t="s">
        <v>480</v>
      </c>
      <c r="F417" s="386">
        <v>1148</v>
      </c>
      <c r="G417" s="13"/>
      <c r="H417" s="39"/>
      <c r="I417" s="309">
        <v>0</v>
      </c>
      <c r="J417" s="39">
        <f t="shared" si="134"/>
        <v>0</v>
      </c>
      <c r="K417" s="309">
        <f t="shared" si="129"/>
        <v>6</v>
      </c>
      <c r="L417" s="230"/>
      <c r="M417" s="217" t="s">
        <v>278</v>
      </c>
      <c r="N417" s="140"/>
      <c r="O417" s="39"/>
      <c r="P417" s="490">
        <f t="shared" si="130"/>
        <v>0</v>
      </c>
      <c r="Q417" s="235" t="str">
        <f t="shared" si="131"/>
        <v>П50х40х5</v>
      </c>
      <c r="R417" s="377">
        <f t="shared" si="132"/>
        <v>8.4</v>
      </c>
      <c r="S417" s="319">
        <v>7</v>
      </c>
      <c r="T417" s="353">
        <f t="shared" si="126"/>
        <v>0</v>
      </c>
      <c r="U417" s="18">
        <v>13</v>
      </c>
      <c r="V417" s="20">
        <f t="shared" si="120"/>
        <v>0</v>
      </c>
      <c r="W417" s="52">
        <f t="shared" si="133"/>
        <v>0</v>
      </c>
      <c r="X417" s="18">
        <v>13</v>
      </c>
      <c r="Y417" s="18">
        <v>1</v>
      </c>
      <c r="Z417" s="18"/>
      <c r="AA417" s="18"/>
      <c r="AB417" s="418"/>
      <c r="AC417" s="200"/>
      <c r="AD417" s="160">
        <v>12.8</v>
      </c>
      <c r="AE417" s="163"/>
      <c r="AF417" s="171"/>
      <c r="AG417" s="192"/>
      <c r="AH417" s="128"/>
      <c r="AI417" s="129"/>
      <c r="AJ417" s="185">
        <f t="shared" si="135"/>
        <v>166.4</v>
      </c>
      <c r="AK417" s="10"/>
      <c r="AL417" s="476"/>
    </row>
    <row r="418" spans="2:38" ht="26.25" hidden="1" customHeight="1" x14ac:dyDescent="0.25">
      <c r="B418" s="15"/>
      <c r="C418" s="6" t="s">
        <v>18</v>
      </c>
      <c r="D418" s="23" t="s">
        <v>72</v>
      </c>
      <c r="E418" s="1" t="s">
        <v>479</v>
      </c>
      <c r="F418" s="386">
        <v>1150</v>
      </c>
      <c r="G418" s="13"/>
      <c r="H418" s="39"/>
      <c r="I418" s="309">
        <v>0</v>
      </c>
      <c r="J418" s="39">
        <f t="shared" si="134"/>
        <v>0</v>
      </c>
      <c r="K418" s="309">
        <f t="shared" si="129"/>
        <v>21.43</v>
      </c>
      <c r="L418" s="230"/>
      <c r="M418" s="217" t="s">
        <v>278</v>
      </c>
      <c r="N418" s="140"/>
      <c r="O418" s="39"/>
      <c r="P418" s="309">
        <f t="shared" si="130"/>
        <v>0</v>
      </c>
      <c r="Q418" s="235" t="str">
        <f t="shared" si="131"/>
        <v>П50х40х10</v>
      </c>
      <c r="R418" s="377">
        <f t="shared" si="132"/>
        <v>30</v>
      </c>
      <c r="S418" s="319">
        <v>25</v>
      </c>
      <c r="T418" s="353">
        <f t="shared" si="126"/>
        <v>0</v>
      </c>
      <c r="U418" s="18">
        <v>41</v>
      </c>
      <c r="V418" s="20">
        <f t="shared" si="120"/>
        <v>0</v>
      </c>
      <c r="W418" s="52">
        <f t="shared" si="133"/>
        <v>0</v>
      </c>
      <c r="X418" s="18">
        <v>41</v>
      </c>
      <c r="Y418" s="18">
        <v>1</v>
      </c>
      <c r="Z418" s="18"/>
      <c r="AA418" s="18"/>
      <c r="AB418" s="418"/>
      <c r="AC418" s="200"/>
      <c r="AD418" s="160">
        <v>23.5</v>
      </c>
      <c r="AE418" s="163"/>
      <c r="AF418" s="171"/>
      <c r="AG418" s="192"/>
      <c r="AH418" s="128"/>
      <c r="AI418" s="129"/>
      <c r="AJ418" s="185">
        <f t="shared" si="135"/>
        <v>963.5</v>
      </c>
      <c r="AK418" s="10"/>
      <c r="AL418" s="476"/>
    </row>
    <row r="419" spans="2:38" ht="26.25" hidden="1" customHeight="1" x14ac:dyDescent="0.25">
      <c r="B419" s="11"/>
      <c r="C419" s="6" t="s">
        <v>18</v>
      </c>
      <c r="D419" s="23" t="s">
        <v>72</v>
      </c>
      <c r="E419" s="112" t="s">
        <v>362</v>
      </c>
      <c r="F419" s="208">
        <v>1136</v>
      </c>
      <c r="G419" s="48" t="s">
        <v>0</v>
      </c>
      <c r="H419" s="39"/>
      <c r="I419" s="309">
        <v>0</v>
      </c>
      <c r="J419" s="39">
        <f t="shared" si="134"/>
        <v>0</v>
      </c>
      <c r="K419" s="309">
        <f t="shared" si="129"/>
        <v>3.46</v>
      </c>
      <c r="L419" s="230">
        <f>K419*J709</f>
        <v>0</v>
      </c>
      <c r="M419" s="93" t="s">
        <v>365</v>
      </c>
      <c r="N419" s="140"/>
      <c r="O419" s="39"/>
      <c r="P419" s="309">
        <f t="shared" si="130"/>
        <v>0</v>
      </c>
      <c r="Q419" s="263" t="str">
        <f t="shared" si="131"/>
        <v>ВМ-1950.5679.13.03.003 (Д16х3)</v>
      </c>
      <c r="R419" s="377">
        <f t="shared" si="132"/>
        <v>4.84</v>
      </c>
      <c r="S419" s="319">
        <v>4.03</v>
      </c>
      <c r="T419" s="353">
        <f t="shared" si="126"/>
        <v>0</v>
      </c>
      <c r="U419" s="20"/>
      <c r="V419" s="20">
        <f t="shared" si="120"/>
        <v>0</v>
      </c>
      <c r="W419" s="52">
        <f t="shared" si="133"/>
        <v>0</v>
      </c>
      <c r="X419" s="20"/>
      <c r="Y419" s="20"/>
      <c r="Z419" s="20"/>
      <c r="AA419" s="20"/>
      <c r="AB419" s="417"/>
      <c r="AC419" s="200"/>
      <c r="AD419" s="160"/>
      <c r="AE419" s="163"/>
      <c r="AF419" s="171"/>
      <c r="AG419" s="192"/>
      <c r="AH419" s="110"/>
      <c r="AI419" s="125"/>
      <c r="AJ419" s="185">
        <f t="shared" si="135"/>
        <v>0</v>
      </c>
      <c r="AK419" s="125"/>
    </row>
    <row r="420" spans="2:38" ht="26.25" customHeight="1" x14ac:dyDescent="0.25">
      <c r="B420" s="11">
        <v>113</v>
      </c>
      <c r="C420" s="6" t="s">
        <v>26</v>
      </c>
      <c r="D420" s="23" t="s">
        <v>40</v>
      </c>
      <c r="E420" s="105" t="s">
        <v>73</v>
      </c>
      <c r="F420" s="208" t="s">
        <v>60</v>
      </c>
      <c r="G420" s="48" t="s">
        <v>0</v>
      </c>
      <c r="H420" s="39"/>
      <c r="I420" s="360">
        <v>0</v>
      </c>
      <c r="J420" s="39">
        <f t="shared" si="134"/>
        <v>190</v>
      </c>
      <c r="K420" s="309">
        <f t="shared" si="129"/>
        <v>52.24</v>
      </c>
      <c r="L420" s="230">
        <f>K420*J710</f>
        <v>0</v>
      </c>
      <c r="M420" s="197" t="s">
        <v>213</v>
      </c>
      <c r="N420" s="140">
        <v>150</v>
      </c>
      <c r="O420" s="503">
        <v>40</v>
      </c>
      <c r="P420" s="309">
        <f t="shared" si="130"/>
        <v>2089.6</v>
      </c>
      <c r="Q420" s="235" t="str">
        <f t="shared" si="131"/>
        <v>Стержневой  СКЛ Д32-175</v>
      </c>
      <c r="R420" s="306">
        <f t="shared" si="132"/>
        <v>73.14</v>
      </c>
      <c r="S420" s="319">
        <v>60.95</v>
      </c>
      <c r="T420" s="353">
        <f t="shared" si="126"/>
        <v>11580.5</v>
      </c>
      <c r="U420" s="20"/>
      <c r="V420" s="20">
        <f t="shared" si="120"/>
        <v>150</v>
      </c>
      <c r="W420" s="52">
        <f t="shared" si="133"/>
        <v>190</v>
      </c>
      <c r="X420" s="148">
        <v>40</v>
      </c>
      <c r="Y420" s="20"/>
      <c r="Z420" s="20">
        <v>42</v>
      </c>
      <c r="AA420" s="20">
        <v>312</v>
      </c>
      <c r="AB420" s="417"/>
      <c r="AC420" s="200"/>
      <c r="AD420" s="160"/>
      <c r="AE420" s="163"/>
      <c r="AF420" s="171"/>
      <c r="AG420" s="192"/>
      <c r="AH420" s="110"/>
      <c r="AI420" s="125"/>
      <c r="AJ420" s="185"/>
      <c r="AK420" s="125"/>
    </row>
    <row r="421" spans="2:38" ht="26.25" customHeight="1" x14ac:dyDescent="0.25">
      <c r="B421" s="11">
        <v>114</v>
      </c>
      <c r="C421" s="6" t="s">
        <v>26</v>
      </c>
      <c r="D421" s="23" t="s">
        <v>9</v>
      </c>
      <c r="E421" s="237" t="s">
        <v>133</v>
      </c>
      <c r="F421" s="208">
        <v>658</v>
      </c>
      <c r="G421" s="48" t="s">
        <v>0</v>
      </c>
      <c r="H421" s="39">
        <v>16</v>
      </c>
      <c r="I421" s="360">
        <v>71.66</v>
      </c>
      <c r="J421" s="39">
        <f t="shared" si="134"/>
        <v>0</v>
      </c>
      <c r="K421" s="309">
        <f t="shared" si="129"/>
        <v>4.47</v>
      </c>
      <c r="L421" s="230">
        <f>K421*J711</f>
        <v>0</v>
      </c>
      <c r="M421" s="94"/>
      <c r="N421" s="279"/>
      <c r="O421" s="503">
        <v>16</v>
      </c>
      <c r="P421" s="466">
        <f>I421</f>
        <v>71.66</v>
      </c>
      <c r="Q421" s="235" t="str">
        <f t="shared" si="131"/>
        <v>СКЛ   Д22х90</v>
      </c>
      <c r="R421" s="306">
        <f t="shared" si="132"/>
        <v>6.26</v>
      </c>
      <c r="S421" s="319">
        <v>5.22</v>
      </c>
      <c r="T421" s="353">
        <f t="shared" si="126"/>
        <v>0</v>
      </c>
      <c r="U421" s="20">
        <v>9</v>
      </c>
      <c r="V421" s="20">
        <f t="shared" si="120"/>
        <v>0</v>
      </c>
      <c r="W421" s="52">
        <f t="shared" si="133"/>
        <v>0</v>
      </c>
      <c r="X421" s="20">
        <v>9</v>
      </c>
      <c r="Y421" s="20"/>
      <c r="Z421" s="20"/>
      <c r="AA421" s="20"/>
      <c r="AB421" s="417"/>
      <c r="AC421" s="200"/>
      <c r="AD421" s="160"/>
      <c r="AE421" s="163"/>
      <c r="AF421" s="171"/>
      <c r="AG421" s="192"/>
      <c r="AH421" s="16"/>
      <c r="AI421" s="16"/>
      <c r="AJ421" s="185"/>
      <c r="AK421" s="435"/>
      <c r="AL421" s="476"/>
    </row>
    <row r="422" spans="2:38" ht="26.25" hidden="1" customHeight="1" x14ac:dyDescent="0.25">
      <c r="B422" s="11"/>
      <c r="C422" s="6" t="s">
        <v>811</v>
      </c>
      <c r="D422" s="23" t="s">
        <v>9</v>
      </c>
      <c r="E422" s="237" t="s">
        <v>812</v>
      </c>
      <c r="F422" s="208">
        <v>1425</v>
      </c>
      <c r="G422" s="48"/>
      <c r="H422" s="39"/>
      <c r="I422" s="360">
        <v>0</v>
      </c>
      <c r="J422" s="39">
        <f t="shared" si="134"/>
        <v>0</v>
      </c>
      <c r="K422" s="309">
        <f t="shared" si="129"/>
        <v>12</v>
      </c>
      <c r="L422" s="230"/>
      <c r="M422" s="297"/>
      <c r="N422" s="279"/>
      <c r="O422" s="503"/>
      <c r="P422" s="309">
        <f t="shared" ref="P422:P432" si="136">K422*O422</f>
        <v>0</v>
      </c>
      <c r="Q422" s="235" t="str">
        <f t="shared" si="131"/>
        <v>Планка магнитная 0,5 м</v>
      </c>
      <c r="R422" s="306">
        <f t="shared" si="132"/>
        <v>16.8</v>
      </c>
      <c r="S422" s="319">
        <v>14</v>
      </c>
      <c r="T422" s="353"/>
      <c r="U422" s="20"/>
      <c r="V422" s="20"/>
      <c r="W422" s="52"/>
      <c r="X422" s="20"/>
      <c r="Y422" s="20"/>
      <c r="Z422" s="20"/>
      <c r="AA422" s="20"/>
      <c r="AB422" s="417"/>
      <c r="AC422" s="200"/>
      <c r="AD422" s="160"/>
      <c r="AE422" s="163"/>
      <c r="AF422" s="171"/>
      <c r="AG422" s="192"/>
      <c r="AH422" s="16"/>
      <c r="AI422" s="30"/>
      <c r="AJ422" s="188"/>
      <c r="AK422" s="137"/>
      <c r="AL422" s="476"/>
    </row>
    <row r="423" spans="2:38" ht="26.25" hidden="1" customHeight="1" x14ac:dyDescent="0.25">
      <c r="B423" s="11"/>
      <c r="C423" s="6" t="s">
        <v>811</v>
      </c>
      <c r="D423" s="23" t="s">
        <v>9</v>
      </c>
      <c r="E423" s="237" t="s">
        <v>814</v>
      </c>
      <c r="F423" s="208">
        <v>1385</v>
      </c>
      <c r="G423" s="48"/>
      <c r="H423" s="39"/>
      <c r="I423" s="360">
        <v>0</v>
      </c>
      <c r="J423" s="39">
        <f t="shared" si="134"/>
        <v>0</v>
      </c>
      <c r="K423" s="309">
        <f t="shared" si="129"/>
        <v>14.31</v>
      </c>
      <c r="L423" s="230"/>
      <c r="M423" s="297"/>
      <c r="N423" s="279"/>
      <c r="O423" s="503"/>
      <c r="P423" s="309">
        <f t="shared" si="136"/>
        <v>0</v>
      </c>
      <c r="Q423" s="235" t="str">
        <f t="shared" si="131"/>
        <v>Планка магнитная 0,75 м</v>
      </c>
      <c r="R423" s="306">
        <f t="shared" si="132"/>
        <v>20.04</v>
      </c>
      <c r="S423" s="319">
        <v>16.7</v>
      </c>
      <c r="T423" s="353"/>
      <c r="U423" s="20"/>
      <c r="V423" s="20"/>
      <c r="W423" s="52"/>
      <c r="X423" s="20"/>
      <c r="Y423" s="20"/>
      <c r="Z423" s="20"/>
      <c r="AA423" s="20"/>
      <c r="AB423" s="417"/>
      <c r="AC423" s="200"/>
      <c r="AD423" s="160"/>
      <c r="AE423" s="163"/>
      <c r="AF423" s="171"/>
      <c r="AG423" s="192"/>
      <c r="AH423" s="16"/>
      <c r="AI423" s="30"/>
      <c r="AJ423" s="188"/>
      <c r="AK423" s="137"/>
      <c r="AL423" s="476"/>
    </row>
    <row r="424" spans="2:38" ht="26.25" hidden="1" customHeight="1" x14ac:dyDescent="0.25">
      <c r="B424" s="11"/>
      <c r="C424" s="6" t="s">
        <v>811</v>
      </c>
      <c r="D424" s="23" t="s">
        <v>9</v>
      </c>
      <c r="E424" s="237" t="s">
        <v>813</v>
      </c>
      <c r="F424" s="208">
        <v>1483</v>
      </c>
      <c r="G424" s="48"/>
      <c r="H424" s="39"/>
      <c r="I424" s="360">
        <v>0</v>
      </c>
      <c r="J424" s="39">
        <f t="shared" si="134"/>
        <v>0</v>
      </c>
      <c r="K424" s="309">
        <f t="shared" si="129"/>
        <v>18</v>
      </c>
      <c r="L424" s="230"/>
      <c r="M424" s="297"/>
      <c r="N424" s="279"/>
      <c r="O424" s="503"/>
      <c r="P424" s="309">
        <f t="shared" si="136"/>
        <v>0</v>
      </c>
      <c r="Q424" s="235" t="str">
        <f t="shared" si="131"/>
        <v>Планка магнитная  1 м</v>
      </c>
      <c r="R424" s="306">
        <f t="shared" si="132"/>
        <v>25.2</v>
      </c>
      <c r="S424" s="319">
        <v>21</v>
      </c>
      <c r="T424" s="353"/>
      <c r="U424" s="20"/>
      <c r="V424" s="20"/>
      <c r="W424" s="52"/>
      <c r="X424" s="20"/>
      <c r="Y424" s="20"/>
      <c r="Z424" s="20"/>
      <c r="AA424" s="20"/>
      <c r="AB424" s="417"/>
      <c r="AC424" s="200"/>
      <c r="AD424" s="160"/>
      <c r="AE424" s="163"/>
      <c r="AF424" s="171"/>
      <c r="AG424" s="192"/>
      <c r="AH424" s="16"/>
      <c r="AI424" s="30"/>
      <c r="AJ424" s="188"/>
      <c r="AK424" s="137"/>
      <c r="AL424" s="476"/>
    </row>
    <row r="425" spans="2:38" ht="26.25" customHeight="1" x14ac:dyDescent="0.25">
      <c r="B425" s="11">
        <v>115</v>
      </c>
      <c r="C425" s="6" t="s">
        <v>431</v>
      </c>
      <c r="D425" s="23" t="s">
        <v>72</v>
      </c>
      <c r="E425" s="87" t="s">
        <v>432</v>
      </c>
      <c r="F425" s="526">
        <v>1190</v>
      </c>
      <c r="G425" s="48" t="s">
        <v>0</v>
      </c>
      <c r="H425" s="39">
        <v>200</v>
      </c>
      <c r="I425" s="360">
        <v>960</v>
      </c>
      <c r="J425" s="39">
        <f t="shared" si="134"/>
        <v>0</v>
      </c>
      <c r="K425" s="309">
        <f t="shared" si="129"/>
        <v>4.8</v>
      </c>
      <c r="L425" s="230">
        <f>K425*J712</f>
        <v>0</v>
      </c>
      <c r="M425" s="368"/>
      <c r="N425" s="140"/>
      <c r="O425" s="503">
        <v>200</v>
      </c>
      <c r="P425" s="309">
        <f t="shared" si="136"/>
        <v>960</v>
      </c>
      <c r="Q425" s="235" t="str">
        <f t="shared" si="131"/>
        <v>ПМ-8</v>
      </c>
      <c r="R425" s="377">
        <f t="shared" si="132"/>
        <v>6.72</v>
      </c>
      <c r="S425" s="319">
        <v>5.6</v>
      </c>
      <c r="T425" s="353">
        <f>S425*J425</f>
        <v>0</v>
      </c>
      <c r="U425" s="18">
        <v>300</v>
      </c>
      <c r="V425" s="20">
        <f t="shared" ref="V425:V432" si="137">N425</f>
        <v>0</v>
      </c>
      <c r="W425" s="52">
        <f>X425-U425+V425</f>
        <v>0</v>
      </c>
      <c r="X425" s="18">
        <v>300</v>
      </c>
      <c r="Y425" s="18"/>
      <c r="Z425" s="18"/>
      <c r="AA425" s="18"/>
      <c r="AB425" s="418"/>
      <c r="AC425" s="200"/>
      <c r="AD425" s="160"/>
      <c r="AE425" s="163"/>
      <c r="AF425" s="171"/>
      <c r="AG425" s="192"/>
      <c r="AH425" s="128"/>
      <c r="AI425" s="129"/>
      <c r="AK425" s="10"/>
      <c r="AL425" s="476"/>
    </row>
    <row r="426" spans="2:38" ht="26.25" customHeight="1" x14ac:dyDescent="0.25">
      <c r="B426" s="11">
        <v>116</v>
      </c>
      <c r="C426" s="6" t="s">
        <v>26</v>
      </c>
      <c r="D426" s="23" t="s">
        <v>40</v>
      </c>
      <c r="E426" s="107" t="s">
        <v>251</v>
      </c>
      <c r="F426" s="208">
        <v>1056</v>
      </c>
      <c r="G426" s="48" t="s">
        <v>0</v>
      </c>
      <c r="H426" s="39">
        <v>100</v>
      </c>
      <c r="I426" s="360">
        <v>2399</v>
      </c>
      <c r="J426" s="39">
        <f t="shared" si="134"/>
        <v>0</v>
      </c>
      <c r="K426" s="309">
        <f t="shared" si="129"/>
        <v>23.99</v>
      </c>
      <c r="L426" s="230">
        <f>K426*J713</f>
        <v>0</v>
      </c>
      <c r="M426" s="203" t="s">
        <v>213</v>
      </c>
      <c r="N426" s="140"/>
      <c r="O426" s="503">
        <v>100</v>
      </c>
      <c r="P426" s="309">
        <f t="shared" si="136"/>
        <v>2399</v>
      </c>
      <c r="Q426" s="263" t="str">
        <f t="shared" si="131"/>
        <v>СМУ-СКЛ НЖБ- 22х120</v>
      </c>
      <c r="R426" s="377">
        <f t="shared" si="132"/>
        <v>33.58</v>
      </c>
      <c r="S426" s="320">
        <v>27.98</v>
      </c>
      <c r="T426" s="353">
        <f>S426*J426</f>
        <v>0</v>
      </c>
      <c r="U426" s="20"/>
      <c r="V426" s="20">
        <f t="shared" si="137"/>
        <v>0</v>
      </c>
      <c r="W426" s="52">
        <f>X426-U426+V426</f>
        <v>19</v>
      </c>
      <c r="X426" s="148">
        <v>19</v>
      </c>
      <c r="Y426" s="20"/>
      <c r="Z426" s="20"/>
      <c r="AA426" s="20">
        <v>255</v>
      </c>
      <c r="AB426" s="417"/>
      <c r="AC426" s="168"/>
      <c r="AD426" s="450"/>
      <c r="AE426" s="163"/>
      <c r="AF426" s="171"/>
      <c r="AG426" s="192"/>
      <c r="AH426" s="110"/>
      <c r="AI426" s="125"/>
      <c r="AJ426" s="185"/>
      <c r="AK426" s="435"/>
      <c r="AL426" s="476"/>
    </row>
    <row r="427" spans="2:38" ht="26.25" hidden="1" customHeight="1" x14ac:dyDescent="0.25">
      <c r="B427" s="15"/>
      <c r="C427" s="6" t="s">
        <v>26</v>
      </c>
      <c r="D427" s="23" t="s">
        <v>40</v>
      </c>
      <c r="E427" s="1" t="s">
        <v>754</v>
      </c>
      <c r="F427" s="528">
        <v>1479</v>
      </c>
      <c r="G427" s="9" t="s">
        <v>0</v>
      </c>
      <c r="H427" s="43"/>
      <c r="I427" s="360">
        <v>0</v>
      </c>
      <c r="J427" s="39">
        <f t="shared" si="134"/>
        <v>0</v>
      </c>
      <c r="K427" s="309">
        <f t="shared" si="129"/>
        <v>548.57000000000005</v>
      </c>
      <c r="L427" s="230">
        <f>K427*J714</f>
        <v>0</v>
      </c>
      <c r="M427" s="197" t="s">
        <v>213</v>
      </c>
      <c r="N427" s="554"/>
      <c r="O427" s="505"/>
      <c r="P427" s="309">
        <f t="shared" si="136"/>
        <v>0</v>
      </c>
      <c r="Q427" s="51" t="str">
        <f t="shared" si="131"/>
        <v>СМр1 Д220-170/7</v>
      </c>
      <c r="R427" s="377">
        <f t="shared" si="132"/>
        <v>768</v>
      </c>
      <c r="S427" s="320">
        <v>640</v>
      </c>
      <c r="T427" s="353">
        <f t="shared" ref="T427:T432" si="138">S427*J427</f>
        <v>0</v>
      </c>
      <c r="U427" s="20"/>
      <c r="V427" s="20">
        <f t="shared" si="137"/>
        <v>0</v>
      </c>
      <c r="W427" s="52">
        <f>X427-U427+V427</f>
        <v>0</v>
      </c>
      <c r="X427" s="20"/>
      <c r="Y427" s="20"/>
      <c r="Z427" s="20"/>
      <c r="AA427" s="20"/>
      <c r="AB427" s="417"/>
      <c r="AC427" s="200"/>
      <c r="AD427" s="160">
        <f>X427-AC427</f>
        <v>0</v>
      </c>
      <c r="AE427" s="163"/>
      <c r="AF427" s="171"/>
      <c r="AG427" s="192"/>
      <c r="AH427" s="128"/>
      <c r="AI427" s="129"/>
      <c r="AK427" s="10"/>
    </row>
    <row r="428" spans="2:38" ht="26.25" customHeight="1" x14ac:dyDescent="0.25">
      <c r="B428" s="15">
        <v>117</v>
      </c>
      <c r="C428" s="6" t="s">
        <v>26</v>
      </c>
      <c r="D428" s="23" t="s">
        <v>40</v>
      </c>
      <c r="E428" s="558" t="s">
        <v>856</v>
      </c>
      <c r="F428" s="528">
        <v>1494</v>
      </c>
      <c r="G428" s="48" t="s">
        <v>0</v>
      </c>
      <c r="H428" s="43"/>
      <c r="I428" s="360">
        <v>0</v>
      </c>
      <c r="J428" s="39">
        <f t="shared" si="134"/>
        <v>3</v>
      </c>
      <c r="K428" s="309">
        <f t="shared" si="129"/>
        <v>1457.14</v>
      </c>
      <c r="L428" s="230"/>
      <c r="M428" s="197" t="s">
        <v>213</v>
      </c>
      <c r="N428" s="283">
        <v>3</v>
      </c>
      <c r="O428" s="505"/>
      <c r="P428" s="309">
        <f t="shared" si="136"/>
        <v>0</v>
      </c>
      <c r="Q428" s="51" t="str">
        <f t="shared" si="131"/>
        <v>СМР1 300х250/5 с корпусом</v>
      </c>
      <c r="R428" s="306">
        <f t="shared" si="132"/>
        <v>2040</v>
      </c>
      <c r="S428" s="320">
        <v>1700</v>
      </c>
      <c r="T428" s="353">
        <f t="shared" si="138"/>
        <v>5100</v>
      </c>
      <c r="U428" s="20"/>
      <c r="V428" s="20">
        <f t="shared" si="137"/>
        <v>3</v>
      </c>
      <c r="W428" s="52"/>
      <c r="X428" s="20"/>
      <c r="Y428" s="20"/>
      <c r="Z428" s="20"/>
      <c r="AA428" s="20"/>
      <c r="AB428" s="417"/>
      <c r="AC428" s="200"/>
      <c r="AD428" s="160"/>
      <c r="AE428" s="163"/>
      <c r="AF428" s="171"/>
      <c r="AG428" s="192"/>
      <c r="AH428" s="128"/>
      <c r="AI428" s="129"/>
      <c r="AK428" s="10"/>
    </row>
    <row r="429" spans="2:38" ht="26.25" customHeight="1" thickBot="1" x14ac:dyDescent="0.3">
      <c r="B429" s="15">
        <v>118</v>
      </c>
      <c r="C429" s="6" t="s">
        <v>26</v>
      </c>
      <c r="D429" s="23" t="s">
        <v>40</v>
      </c>
      <c r="E429" s="463" t="s">
        <v>857</v>
      </c>
      <c r="F429" s="210">
        <v>1474</v>
      </c>
      <c r="G429" s="48" t="s">
        <v>0</v>
      </c>
      <c r="H429" s="39"/>
      <c r="I429" s="360">
        <v>0</v>
      </c>
      <c r="J429" s="39">
        <f t="shared" si="134"/>
        <v>1</v>
      </c>
      <c r="K429" s="309">
        <f t="shared" si="129"/>
        <v>5142.8599999999997</v>
      </c>
      <c r="L429" s="230">
        <f>K429*J716</f>
        <v>0</v>
      </c>
      <c r="M429" s="197" t="s">
        <v>213</v>
      </c>
      <c r="N429" s="279">
        <v>1</v>
      </c>
      <c r="O429" s="503"/>
      <c r="P429" s="309">
        <f t="shared" si="136"/>
        <v>0</v>
      </c>
      <c r="Q429" s="51" t="str">
        <f t="shared" si="131"/>
        <v>СМБ1-305/400</v>
      </c>
      <c r="R429" s="306">
        <f t="shared" si="132"/>
        <v>7200</v>
      </c>
      <c r="S429" s="320">
        <v>6000</v>
      </c>
      <c r="T429" s="353">
        <f t="shared" si="138"/>
        <v>6000</v>
      </c>
      <c r="U429" s="20"/>
      <c r="V429" s="20">
        <f t="shared" si="137"/>
        <v>1</v>
      </c>
      <c r="W429" s="52">
        <f>X429-U429+V429</f>
        <v>1</v>
      </c>
      <c r="X429" s="20"/>
      <c r="Y429" s="20"/>
      <c r="Z429" s="20"/>
      <c r="AA429" s="20"/>
      <c r="AB429" s="417"/>
      <c r="AC429" s="200"/>
      <c r="AD429" s="160">
        <f>X429-AC429</f>
        <v>0</v>
      </c>
      <c r="AE429" s="163"/>
      <c r="AF429" s="171"/>
      <c r="AG429" s="192"/>
      <c r="AH429" s="128"/>
      <c r="AI429" s="129"/>
      <c r="AK429" s="10"/>
    </row>
    <row r="430" spans="2:38" ht="26.25" hidden="1" customHeight="1" x14ac:dyDescent="0.25">
      <c r="B430" s="11"/>
      <c r="C430" s="6" t="s">
        <v>26</v>
      </c>
      <c r="D430" s="23" t="s">
        <v>40</v>
      </c>
      <c r="E430" s="463" t="s">
        <v>757</v>
      </c>
      <c r="F430" s="388">
        <v>1467</v>
      </c>
      <c r="G430" s="48" t="s">
        <v>0</v>
      </c>
      <c r="H430" s="39"/>
      <c r="I430" s="360">
        <v>0</v>
      </c>
      <c r="J430" s="39">
        <f t="shared" si="134"/>
        <v>0</v>
      </c>
      <c r="K430" s="309">
        <f t="shared" si="129"/>
        <v>497.14</v>
      </c>
      <c r="L430" s="230">
        <f>K430*J717</f>
        <v>0</v>
      </c>
      <c r="M430" s="197" t="s">
        <v>213</v>
      </c>
      <c r="N430" s="279"/>
      <c r="O430" s="39"/>
      <c r="P430" s="309">
        <f t="shared" si="136"/>
        <v>0</v>
      </c>
      <c r="Q430" s="51" t="str">
        <f t="shared" si="131"/>
        <v>СМР1 L175х15/7</v>
      </c>
      <c r="R430" s="377">
        <f t="shared" si="132"/>
        <v>696</v>
      </c>
      <c r="S430" s="463">
        <v>580</v>
      </c>
      <c r="T430" s="353">
        <f t="shared" si="138"/>
        <v>0</v>
      </c>
      <c r="U430" s="18"/>
      <c r="V430" s="20">
        <f t="shared" si="137"/>
        <v>0</v>
      </c>
      <c r="W430" s="52">
        <f>X430-U430+V430</f>
        <v>0</v>
      </c>
      <c r="X430" s="18"/>
      <c r="Y430" s="18"/>
      <c r="Z430" s="18"/>
      <c r="AA430" s="18"/>
      <c r="AB430" s="418"/>
      <c r="AC430" s="200"/>
      <c r="AD430" s="160">
        <f>X430-AC430</f>
        <v>0</v>
      </c>
      <c r="AE430" s="163"/>
      <c r="AF430" s="171"/>
      <c r="AG430" s="192"/>
      <c r="AH430" s="128"/>
      <c r="AI430" s="129"/>
      <c r="AK430" s="10"/>
    </row>
    <row r="431" spans="2:38" ht="26.25" hidden="1" customHeight="1" x14ac:dyDescent="0.25">
      <c r="B431" s="15"/>
      <c r="C431" s="6" t="s">
        <v>26</v>
      </c>
      <c r="D431" s="23" t="s">
        <v>40</v>
      </c>
      <c r="E431" s="463" t="s">
        <v>556</v>
      </c>
      <c r="F431" s="388">
        <v>1298</v>
      </c>
      <c r="G431" s="48" t="s">
        <v>0</v>
      </c>
      <c r="H431" s="39"/>
      <c r="I431" s="360">
        <v>0</v>
      </c>
      <c r="J431" s="39">
        <f t="shared" si="134"/>
        <v>0</v>
      </c>
      <c r="K431" s="309">
        <f t="shared" si="129"/>
        <v>8.57</v>
      </c>
      <c r="L431" s="230">
        <f>K431*J718</f>
        <v>0</v>
      </c>
      <c r="M431" s="197" t="s">
        <v>213</v>
      </c>
      <c r="N431" s="279"/>
      <c r="O431" s="503"/>
      <c r="P431" s="490">
        <f t="shared" si="136"/>
        <v>0</v>
      </c>
      <c r="Q431" s="262" t="str">
        <f t="shared" si="131"/>
        <v>магнит в оправе Д20+-0,5</v>
      </c>
      <c r="R431" s="377">
        <f t="shared" si="132"/>
        <v>12</v>
      </c>
      <c r="S431" s="463">
        <v>10</v>
      </c>
      <c r="T431" s="353">
        <f t="shared" si="138"/>
        <v>0</v>
      </c>
      <c r="U431" s="18"/>
      <c r="V431" s="20">
        <f t="shared" si="137"/>
        <v>0</v>
      </c>
      <c r="W431" s="52">
        <f>X431-U431+V431</f>
        <v>0</v>
      </c>
      <c r="X431" s="18"/>
      <c r="Y431" s="18"/>
      <c r="Z431" s="18"/>
      <c r="AA431" s="18"/>
      <c r="AB431" s="418"/>
      <c r="AC431" s="200"/>
      <c r="AD431" s="160"/>
      <c r="AE431" s="163"/>
      <c r="AF431" s="171"/>
      <c r="AG431" s="192"/>
      <c r="AH431" s="128"/>
      <c r="AI431" s="129"/>
      <c r="AK431" s="10"/>
    </row>
    <row r="432" spans="2:38" ht="31.5" hidden="1" customHeight="1" thickBot="1" x14ac:dyDescent="0.3">
      <c r="B432" s="15"/>
      <c r="C432" s="6" t="s">
        <v>26</v>
      </c>
      <c r="D432" s="23" t="s">
        <v>40</v>
      </c>
      <c r="E432" s="463" t="s">
        <v>760</v>
      </c>
      <c r="F432" s="383">
        <v>1468</v>
      </c>
      <c r="G432" s="12" t="s">
        <v>0</v>
      </c>
      <c r="H432" s="39"/>
      <c r="I432" s="309">
        <v>0</v>
      </c>
      <c r="J432" s="39">
        <f t="shared" si="134"/>
        <v>0</v>
      </c>
      <c r="K432" s="309">
        <f t="shared" si="129"/>
        <v>655.71</v>
      </c>
      <c r="L432" s="406">
        <f>K432*J719</f>
        <v>0</v>
      </c>
      <c r="M432" s="197" t="s">
        <v>213</v>
      </c>
      <c r="N432" s="553"/>
      <c r="O432" s="39"/>
      <c r="P432" s="309">
        <f t="shared" si="136"/>
        <v>0</v>
      </c>
      <c r="Q432" s="51" t="str">
        <f t="shared" si="131"/>
        <v>СМР1 L220х165/7</v>
      </c>
      <c r="R432" s="306">
        <f t="shared" si="132"/>
        <v>918</v>
      </c>
      <c r="S432" s="320">
        <v>765</v>
      </c>
      <c r="T432" s="353">
        <f t="shared" si="138"/>
        <v>0</v>
      </c>
      <c r="U432" s="18">
        <v>0</v>
      </c>
      <c r="V432" s="20">
        <f t="shared" si="137"/>
        <v>0</v>
      </c>
      <c r="W432" s="52">
        <f>X432-U432+V432</f>
        <v>0</v>
      </c>
      <c r="X432" s="18">
        <v>0</v>
      </c>
      <c r="Y432" s="18"/>
      <c r="Z432" s="18"/>
      <c r="AA432" s="18"/>
      <c r="AB432" s="418"/>
      <c r="AC432" s="200"/>
      <c r="AD432" s="160"/>
      <c r="AE432" s="163"/>
      <c r="AF432" s="171"/>
      <c r="AG432" s="192"/>
      <c r="AH432" s="128"/>
      <c r="AI432" s="129"/>
      <c r="AK432" s="10"/>
    </row>
    <row r="433" spans="2:241" ht="26.25" customHeight="1" thickBot="1" x14ac:dyDescent="0.3">
      <c r="B433" s="548">
        <v>119</v>
      </c>
      <c r="C433" s="267"/>
      <c r="D433" s="252"/>
      <c r="E433" s="253" t="s">
        <v>3</v>
      </c>
      <c r="F433" s="549"/>
      <c r="G433" s="254"/>
      <c r="H433" s="550">
        <f>SUM(H6:H432)</f>
        <v>257292</v>
      </c>
      <c r="I433" s="551">
        <f>SUM(I6:I432)</f>
        <v>123762.33</v>
      </c>
      <c r="J433" s="552">
        <f>N136+O136-H136</f>
        <v>0</v>
      </c>
      <c r="K433" s="358"/>
      <c r="L433" s="268">
        <f>SUBTOTAL(9,L6:L432)</f>
        <v>1079</v>
      </c>
      <c r="M433" s="559"/>
      <c r="N433" s="255">
        <f>SUBTOTAL(9,N7:N429)</f>
        <v>102431</v>
      </c>
      <c r="O433" s="506">
        <f>SUBTOTAL(9,O6:O432)</f>
        <v>246674</v>
      </c>
      <c r="P433" s="551">
        <f>SUBTOTAL(9,P6:P432)</f>
        <v>130616.19</v>
      </c>
      <c r="Q433" s="256"/>
      <c r="R433" s="307">
        <v>350</v>
      </c>
      <c r="S433" s="344"/>
      <c r="T433" s="354">
        <f>SUBTOTAL(9,T6:T432)</f>
        <v>74809.23</v>
      </c>
      <c r="U433" s="73">
        <f>SUBTOTAL(9,U5:U432)</f>
        <v>782233</v>
      </c>
      <c r="V433" s="20"/>
      <c r="W433" s="52"/>
      <c r="X433" s="73">
        <f>SUBTOTAL(9,X5:X432)</f>
        <v>902648</v>
      </c>
      <c r="Y433" s="198"/>
      <c r="Z433" s="198"/>
      <c r="AA433" s="198"/>
      <c r="AB433" s="424"/>
      <c r="AC433" s="200"/>
      <c r="AD433" s="160"/>
      <c r="AE433" s="163"/>
      <c r="AF433" s="171"/>
      <c r="AG433" s="176"/>
      <c r="AH433" s="19">
        <f>SUBTOTAL(9,AH6:AH91)</f>
        <v>331.2</v>
      </c>
      <c r="AI433" s="19"/>
      <c r="AJ433" s="180"/>
      <c r="AK433" s="439"/>
      <c r="AL433" s="482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  <c r="CG433" s="24"/>
      <c r="CH433" s="24"/>
      <c r="CI433" s="24"/>
      <c r="CJ433" s="24"/>
      <c r="CK433" s="24"/>
      <c r="CL433" s="24"/>
      <c r="CM433" s="24"/>
      <c r="CN433" s="24"/>
      <c r="CO433" s="24"/>
      <c r="CP433" s="24"/>
      <c r="CQ433" s="24"/>
      <c r="CR433" s="24"/>
      <c r="CS433" s="24"/>
      <c r="CT433" s="24"/>
      <c r="CU433" s="24"/>
      <c r="CV433" s="24"/>
      <c r="CW433" s="24"/>
      <c r="CX433" s="24"/>
      <c r="CY433" s="24"/>
      <c r="CZ433" s="24"/>
      <c r="DA433" s="24"/>
      <c r="DB433" s="24"/>
      <c r="DC433" s="24"/>
      <c r="DD433" s="24"/>
      <c r="DE433" s="24"/>
      <c r="DF433" s="24"/>
      <c r="DG433" s="24"/>
      <c r="DH433" s="24"/>
      <c r="DI433" s="24"/>
      <c r="DJ433" s="24"/>
      <c r="DK433" s="24"/>
      <c r="DL433" s="24"/>
      <c r="DM433" s="24"/>
      <c r="DN433" s="24"/>
      <c r="DO433" s="24"/>
      <c r="DP433" s="24"/>
      <c r="DQ433" s="24"/>
      <c r="DR433" s="24"/>
      <c r="DS433" s="24"/>
      <c r="DT433" s="24"/>
      <c r="DU433" s="24"/>
      <c r="DV433" s="24"/>
      <c r="DW433" s="24"/>
      <c r="DX433" s="24"/>
      <c r="DY433" s="24"/>
      <c r="DZ433" s="24"/>
      <c r="EA433" s="24"/>
      <c r="EB433" s="24"/>
      <c r="EC433" s="24"/>
      <c r="ED433" s="24"/>
      <c r="EE433" s="24"/>
      <c r="EF433" s="24"/>
      <c r="EG433" s="24"/>
      <c r="EH433" s="24"/>
      <c r="EI433" s="24"/>
      <c r="EJ433" s="24"/>
      <c r="EK433" s="24"/>
      <c r="EL433" s="24"/>
      <c r="EM433" s="24"/>
      <c r="EN433" s="24"/>
      <c r="EO433" s="24"/>
      <c r="EP433" s="24"/>
      <c r="EQ433" s="24"/>
      <c r="ER433" s="24"/>
      <c r="ES433" s="24"/>
      <c r="ET433" s="24"/>
      <c r="EU433" s="24"/>
      <c r="EV433" s="24"/>
      <c r="EW433" s="24"/>
      <c r="EX433" s="24"/>
      <c r="EY433" s="24"/>
      <c r="EZ433" s="24"/>
      <c r="FA433" s="24"/>
      <c r="FB433" s="24"/>
      <c r="FC433" s="24"/>
      <c r="FD433" s="24"/>
      <c r="FE433" s="24"/>
      <c r="FF433" s="24"/>
      <c r="FG433" s="24"/>
      <c r="FH433" s="24"/>
      <c r="FI433" s="24"/>
      <c r="FJ433" s="24"/>
      <c r="FK433" s="24"/>
      <c r="FL433" s="24"/>
      <c r="FM433" s="24"/>
      <c r="FN433" s="24"/>
      <c r="FO433" s="24"/>
      <c r="FP433" s="24"/>
      <c r="FQ433" s="24"/>
      <c r="FR433" s="24"/>
      <c r="FS433" s="24"/>
      <c r="FT433" s="24"/>
      <c r="FU433" s="24"/>
      <c r="FV433" s="24"/>
      <c r="FW433" s="24"/>
      <c r="FX433" s="24"/>
      <c r="FY433" s="24"/>
      <c r="FZ433" s="24"/>
      <c r="GA433" s="24"/>
      <c r="GB433" s="24"/>
      <c r="GC433" s="24"/>
      <c r="GD433" s="24"/>
      <c r="GE433" s="24"/>
      <c r="GF433" s="24"/>
      <c r="GG433" s="24"/>
      <c r="GH433" s="24"/>
      <c r="GI433" s="24"/>
      <c r="GJ433" s="24"/>
      <c r="GK433" s="24"/>
      <c r="GL433" s="24"/>
      <c r="GM433" s="24"/>
      <c r="GN433" s="24"/>
      <c r="GO433" s="24"/>
      <c r="GP433" s="24"/>
      <c r="GQ433" s="24"/>
      <c r="GR433" s="24"/>
      <c r="GS433" s="24"/>
      <c r="GT433" s="24"/>
      <c r="GU433" s="24"/>
      <c r="GV433" s="24"/>
      <c r="GW433" s="24"/>
      <c r="GX433" s="24"/>
      <c r="GY433" s="24"/>
      <c r="GZ433" s="24"/>
      <c r="HA433" s="24"/>
      <c r="HB433" s="24"/>
      <c r="HC433" s="24"/>
      <c r="HD433" s="24"/>
      <c r="HE433" s="24"/>
      <c r="HF433" s="24"/>
      <c r="HG433" s="24"/>
      <c r="HH433" s="24"/>
      <c r="HI433" s="24"/>
      <c r="HJ433" s="24"/>
      <c r="HK433" s="24"/>
      <c r="HL433" s="24"/>
      <c r="HM433" s="24"/>
      <c r="HN433" s="24"/>
      <c r="HO433" s="24"/>
      <c r="HP433" s="24"/>
      <c r="HQ433" s="24"/>
      <c r="HR433" s="24"/>
      <c r="HS433" s="24"/>
      <c r="HT433" s="24"/>
      <c r="HU433" s="24"/>
      <c r="HV433" s="24"/>
      <c r="HW433" s="24"/>
      <c r="HX433" s="24"/>
      <c r="HY433" s="24"/>
      <c r="HZ433" s="24"/>
      <c r="IA433" s="24"/>
      <c r="IB433" s="24"/>
      <c r="IC433" s="24"/>
      <c r="ID433" s="24"/>
      <c r="IE433" s="24"/>
      <c r="IF433" s="24"/>
      <c r="IG433" s="24"/>
    </row>
    <row r="434" spans="2:241" s="26" customFormat="1" ht="26.25" customHeight="1" x14ac:dyDescent="0.3">
      <c r="B434" s="33">
        <v>1110</v>
      </c>
      <c r="C434" s="26" t="s">
        <v>820</v>
      </c>
      <c r="D434" s="80"/>
      <c r="E434" s="108"/>
      <c r="F434" s="524"/>
      <c r="G434" s="49"/>
      <c r="H434" s="44"/>
      <c r="I434" s="311"/>
      <c r="J434" s="44">
        <f>N137+O137-H137</f>
        <v>0</v>
      </c>
      <c r="K434" s="310" t="s">
        <v>34</v>
      </c>
      <c r="L434" s="231"/>
      <c r="M434" s="38"/>
      <c r="N434" s="144"/>
      <c r="O434" s="61"/>
      <c r="P434" s="312">
        <v>130616.19</v>
      </c>
      <c r="Q434" s="251"/>
      <c r="R434" s="293"/>
      <c r="S434" s="345"/>
      <c r="T434" s="355"/>
      <c r="U434" s="134"/>
      <c r="V434" s="153"/>
      <c r="W434" s="133"/>
      <c r="X434" s="134"/>
      <c r="Y434" s="134"/>
      <c r="Z434" s="134"/>
      <c r="AA434" s="166"/>
      <c r="AB434" s="425"/>
      <c r="AF434" s="169"/>
      <c r="AG434" s="172"/>
      <c r="AJ434" s="181"/>
    </row>
    <row r="435" spans="2:241" s="28" customFormat="1" ht="20.25" hidden="1" x14ac:dyDescent="0.3">
      <c r="B435" s="27"/>
      <c r="D435" s="81"/>
      <c r="E435" s="108"/>
      <c r="F435" s="389"/>
      <c r="H435" s="44"/>
      <c r="I435" s="308"/>
      <c r="J435" s="44"/>
      <c r="K435" s="311"/>
      <c r="L435" s="232"/>
      <c r="M435" s="71"/>
      <c r="N435" s="145"/>
      <c r="O435" s="46"/>
      <c r="P435" s="312">
        <f>P433-P434</f>
        <v>0</v>
      </c>
      <c r="Q435" s="37"/>
      <c r="R435" s="293"/>
      <c r="S435" s="345"/>
      <c r="T435" s="355"/>
      <c r="U435" s="134"/>
      <c r="V435" s="153"/>
      <c r="W435" s="133"/>
      <c r="X435" s="134"/>
      <c r="Y435" s="134"/>
      <c r="Z435" s="134"/>
      <c r="AA435" s="166"/>
      <c r="AB435" s="425"/>
      <c r="AC435" s="26"/>
      <c r="AD435" s="118"/>
      <c r="AE435" s="121"/>
      <c r="AF435" s="170"/>
      <c r="AG435" s="177"/>
      <c r="AH435" s="136"/>
      <c r="AJ435" s="187"/>
    </row>
    <row r="436" spans="2:241" s="30" customFormat="1" ht="20.25" hidden="1" x14ac:dyDescent="0.3">
      <c r="B436" s="29"/>
      <c r="D436" s="81"/>
      <c r="E436" s="108"/>
      <c r="F436" s="389"/>
      <c r="G436" s="49"/>
      <c r="H436" s="44"/>
      <c r="I436" s="311"/>
      <c r="J436" s="44"/>
      <c r="K436" s="311"/>
      <c r="L436" s="232"/>
      <c r="M436" s="71"/>
      <c r="N436" s="145"/>
      <c r="O436" s="46"/>
      <c r="P436" s="312"/>
      <c r="Q436" s="37"/>
      <c r="R436" s="293"/>
      <c r="S436" s="345"/>
      <c r="T436" s="355"/>
      <c r="U436" s="134"/>
      <c r="V436" s="153"/>
      <c r="W436" s="133"/>
      <c r="X436" s="134"/>
      <c r="Y436" s="134"/>
      <c r="Z436" s="134"/>
      <c r="AA436" s="166"/>
      <c r="AB436" s="425"/>
      <c r="AC436" s="26"/>
      <c r="AD436" s="118"/>
      <c r="AE436" s="121"/>
      <c r="AF436" s="170"/>
      <c r="AG436" s="193"/>
      <c r="AH436" s="137"/>
      <c r="AJ436" s="188"/>
    </row>
    <row r="437" spans="2:241" s="30" customFormat="1" ht="20.25" x14ac:dyDescent="0.3">
      <c r="B437" s="29"/>
      <c r="D437" s="81"/>
      <c r="E437" s="108"/>
      <c r="F437" s="389"/>
      <c r="H437" s="44"/>
      <c r="I437" s="311"/>
      <c r="J437" s="44"/>
      <c r="K437" s="311"/>
      <c r="L437" s="232"/>
      <c r="M437" s="71"/>
      <c r="N437" s="145"/>
      <c r="O437" s="46"/>
      <c r="P437" s="312"/>
      <c r="Q437" s="37"/>
      <c r="R437" s="293"/>
      <c r="S437" s="345"/>
      <c r="T437" s="355"/>
      <c r="U437" s="134"/>
      <c r="V437" s="153"/>
      <c r="W437" s="133"/>
      <c r="X437" s="134"/>
      <c r="Y437" s="134"/>
      <c r="Z437" s="134"/>
      <c r="AA437" s="166"/>
      <c r="AB437" s="425"/>
      <c r="AC437" s="26"/>
      <c r="AD437" s="118"/>
      <c r="AE437" s="121"/>
      <c r="AF437" s="170"/>
      <c r="AG437" s="193"/>
      <c r="AH437" s="137"/>
      <c r="AJ437" s="188"/>
    </row>
    <row r="438" spans="2:241" s="30" customFormat="1" ht="20.25" x14ac:dyDescent="0.3">
      <c r="B438" s="31"/>
      <c r="C438" s="26"/>
      <c r="D438" s="81"/>
      <c r="E438" s="108"/>
      <c r="F438" s="389"/>
      <c r="G438" s="32"/>
      <c r="H438" s="44"/>
      <c r="I438" s="311"/>
      <c r="J438" s="44"/>
      <c r="K438" s="311"/>
      <c r="L438" s="232"/>
      <c r="M438" s="71"/>
      <c r="N438" s="145"/>
      <c r="O438" s="46"/>
      <c r="P438" s="312"/>
      <c r="Q438" s="37"/>
      <c r="R438" s="293"/>
      <c r="S438" s="345"/>
      <c r="T438" s="355"/>
      <c r="U438" s="134"/>
      <c r="V438" s="153"/>
      <c r="W438" s="133"/>
      <c r="X438" s="134"/>
      <c r="Y438" s="134"/>
      <c r="Z438" s="134"/>
      <c r="AA438" s="166"/>
      <c r="AB438" s="425"/>
      <c r="AC438" s="26"/>
      <c r="AD438" s="118"/>
      <c r="AE438" s="121"/>
      <c r="AF438" s="170"/>
      <c r="AG438" s="193"/>
      <c r="AH438" s="137"/>
      <c r="AJ438" s="188"/>
    </row>
    <row r="439" spans="2:241" s="30" customFormat="1" ht="20.25" x14ac:dyDescent="0.3">
      <c r="B439" s="31"/>
      <c r="D439" s="81"/>
      <c r="E439" s="45"/>
      <c r="F439" s="389"/>
      <c r="G439" s="49"/>
      <c r="H439" s="44"/>
      <c r="I439" s="311"/>
      <c r="J439" s="44"/>
      <c r="K439" s="311"/>
      <c r="L439" s="232"/>
      <c r="M439" s="225"/>
      <c r="N439" s="145"/>
      <c r="O439" s="45"/>
      <c r="P439" s="405"/>
      <c r="Q439" s="37"/>
      <c r="R439" s="293"/>
      <c r="S439" s="345"/>
      <c r="T439" s="355"/>
      <c r="U439" s="134"/>
      <c r="V439" s="153"/>
      <c r="W439" s="133"/>
      <c r="X439" s="134"/>
      <c r="Y439" s="134"/>
      <c r="Z439" s="166"/>
      <c r="AA439" s="166"/>
      <c r="AB439" s="426"/>
      <c r="AC439" s="453"/>
      <c r="AD439" s="453"/>
      <c r="AE439" s="137"/>
      <c r="AF439" s="169"/>
      <c r="AG439" s="193"/>
      <c r="AH439" s="137"/>
      <c r="AJ439" s="188"/>
    </row>
    <row r="440" spans="2:241" s="30" customFormat="1" ht="20.25" x14ac:dyDescent="0.3">
      <c r="B440" s="27"/>
      <c r="D440" s="81"/>
      <c r="E440" s="45"/>
      <c r="F440" s="389"/>
      <c r="G440" s="49"/>
      <c r="H440" s="44"/>
      <c r="I440" s="311"/>
      <c r="J440" s="44"/>
      <c r="K440" s="311"/>
      <c r="L440" s="232"/>
      <c r="M440" s="225"/>
      <c r="N440" s="145"/>
      <c r="O440" s="45"/>
      <c r="P440" s="311"/>
      <c r="Q440" s="149"/>
      <c r="R440" s="293"/>
      <c r="S440" s="345"/>
      <c r="T440" s="355"/>
      <c r="U440" s="134"/>
      <c r="V440" s="153"/>
      <c r="W440" s="133"/>
      <c r="X440" s="134"/>
      <c r="Y440" s="134"/>
      <c r="Z440" s="166"/>
      <c r="AA440" s="166"/>
      <c r="AB440" s="426"/>
      <c r="AC440" s="453"/>
      <c r="AD440" s="453"/>
      <c r="AE440" s="137"/>
      <c r="AF440" s="169"/>
      <c r="AG440" s="193"/>
      <c r="AH440" s="137"/>
      <c r="AJ440" s="188"/>
    </row>
    <row r="441" spans="2:241" s="30" customFormat="1" ht="20.25" x14ac:dyDescent="0.3">
      <c r="B441" s="27"/>
      <c r="D441" s="81"/>
      <c r="E441" s="45"/>
      <c r="F441" s="389"/>
      <c r="G441" s="49"/>
      <c r="H441" s="44"/>
      <c r="I441" s="311"/>
      <c r="J441" s="44"/>
      <c r="K441" s="311"/>
      <c r="L441" s="232"/>
      <c r="M441" s="225"/>
      <c r="N441" s="145"/>
      <c r="O441" s="45"/>
      <c r="P441" s="311"/>
      <c r="Q441" s="149"/>
      <c r="R441" s="293"/>
      <c r="S441" s="345"/>
      <c r="T441" s="355"/>
      <c r="U441" s="134"/>
      <c r="V441" s="153"/>
      <c r="W441" s="133"/>
      <c r="X441" s="134"/>
      <c r="Y441" s="134"/>
      <c r="Z441" s="166"/>
      <c r="AA441" s="166"/>
      <c r="AB441" s="426"/>
      <c r="AC441" s="453"/>
      <c r="AD441" s="453"/>
      <c r="AE441" s="137"/>
      <c r="AF441" s="169"/>
      <c r="AG441" s="193"/>
      <c r="AH441" s="137"/>
      <c r="AJ441" s="188"/>
    </row>
    <row r="442" spans="2:241" s="30" customFormat="1" ht="20.25" x14ac:dyDescent="0.3">
      <c r="B442" s="27"/>
      <c r="D442" s="81"/>
      <c r="E442" s="45"/>
      <c r="F442" s="389"/>
      <c r="G442" s="49"/>
      <c r="H442" s="44"/>
      <c r="I442" s="311"/>
      <c r="J442" s="44"/>
      <c r="K442" s="311"/>
      <c r="L442" s="232"/>
      <c r="M442" s="225"/>
      <c r="N442" s="380"/>
      <c r="O442" s="45"/>
      <c r="P442" s="311"/>
      <c r="Q442" s="149"/>
      <c r="R442" s="293"/>
      <c r="S442" s="345"/>
      <c r="T442" s="355"/>
      <c r="U442" s="134"/>
      <c r="V442" s="153"/>
      <c r="W442" s="133"/>
      <c r="X442" s="134"/>
      <c r="Y442" s="540"/>
      <c r="Z442" s="166"/>
      <c r="AA442" s="166"/>
      <c r="AB442" s="426"/>
      <c r="AC442" s="453"/>
      <c r="AD442" s="453"/>
      <c r="AE442" s="137"/>
      <c r="AF442" s="169"/>
      <c r="AG442" s="193"/>
      <c r="AH442" s="137"/>
      <c r="AJ442" s="188"/>
    </row>
    <row r="443" spans="2:241" s="30" customFormat="1" ht="20.25" x14ac:dyDescent="0.3">
      <c r="B443" s="27"/>
      <c r="D443" s="81"/>
      <c r="E443" s="45"/>
      <c r="F443" s="389"/>
      <c r="G443" s="49"/>
      <c r="H443" s="44"/>
      <c r="I443" s="311"/>
      <c r="J443" s="44"/>
      <c r="K443" s="311"/>
      <c r="L443" s="232"/>
      <c r="M443" s="225"/>
      <c r="N443" s="380"/>
      <c r="O443" s="45"/>
      <c r="P443" s="311"/>
      <c r="Q443" s="149"/>
      <c r="R443" s="293"/>
      <c r="S443" s="345"/>
      <c r="T443" s="355"/>
      <c r="U443" s="134"/>
      <c r="V443" s="153"/>
      <c r="W443" s="133"/>
      <c r="X443" s="134"/>
      <c r="Y443" s="540"/>
      <c r="Z443" s="166"/>
      <c r="AA443" s="166"/>
      <c r="AB443" s="426"/>
      <c r="AC443" s="453"/>
      <c r="AD443" s="453"/>
      <c r="AE443" s="137"/>
      <c r="AF443" s="169"/>
      <c r="AG443" s="193"/>
      <c r="AH443" s="137"/>
      <c r="AJ443" s="188"/>
    </row>
    <row r="444" spans="2:241" s="30" customFormat="1" ht="20.25" x14ac:dyDescent="0.3">
      <c r="B444" s="27"/>
      <c r="D444" s="81"/>
      <c r="E444" s="45"/>
      <c r="F444" s="389"/>
      <c r="G444" s="49"/>
      <c r="H444" s="44"/>
      <c r="I444" s="311"/>
      <c r="J444" s="44"/>
      <c r="K444" s="311"/>
      <c r="L444" s="232"/>
      <c r="M444" s="225"/>
      <c r="N444" s="380"/>
      <c r="O444" s="45"/>
      <c r="P444" s="311"/>
      <c r="Q444" s="149"/>
      <c r="R444" s="293"/>
      <c r="S444" s="345"/>
      <c r="T444" s="355"/>
      <c r="U444" s="134"/>
      <c r="V444" s="153"/>
      <c r="W444" s="133"/>
      <c r="X444" s="134"/>
      <c r="Y444" s="540"/>
      <c r="Z444" s="166"/>
      <c r="AA444" s="166"/>
      <c r="AB444" s="426"/>
      <c r="AC444" s="453"/>
      <c r="AD444" s="453"/>
      <c r="AE444" s="137"/>
      <c r="AF444" s="169"/>
      <c r="AG444" s="193"/>
      <c r="AH444" s="137"/>
      <c r="AJ444" s="188"/>
    </row>
    <row r="445" spans="2:241" s="30" customFormat="1" ht="20.25" x14ac:dyDescent="0.3">
      <c r="B445" s="27"/>
      <c r="D445" s="81"/>
      <c r="E445" s="45"/>
      <c r="F445" s="389"/>
      <c r="G445" s="49"/>
      <c r="H445" s="44"/>
      <c r="I445" s="311"/>
      <c r="J445" s="44"/>
      <c r="K445" s="311"/>
      <c r="L445" s="232"/>
      <c r="M445" s="225"/>
      <c r="N445" s="380"/>
      <c r="O445" s="45"/>
      <c r="P445" s="311"/>
      <c r="Q445" s="149"/>
      <c r="R445" s="293"/>
      <c r="S445" s="345"/>
      <c r="T445" s="355"/>
      <c r="U445" s="134"/>
      <c r="V445" s="153"/>
      <c r="W445" s="133"/>
      <c r="X445" s="134"/>
      <c r="Y445" s="540"/>
      <c r="Z445" s="166"/>
      <c r="AA445" s="166"/>
      <c r="AB445" s="426"/>
      <c r="AC445" s="453"/>
      <c r="AD445" s="453"/>
      <c r="AE445" s="137"/>
      <c r="AF445" s="169"/>
      <c r="AG445" s="193"/>
      <c r="AH445" s="137"/>
      <c r="AJ445" s="188"/>
    </row>
    <row r="446" spans="2:241" s="30" customFormat="1" ht="20.25" x14ac:dyDescent="0.3">
      <c r="B446" s="27"/>
      <c r="D446" s="81"/>
      <c r="E446" s="45"/>
      <c r="F446" s="389"/>
      <c r="G446" s="49"/>
      <c r="H446" s="44"/>
      <c r="I446" s="311"/>
      <c r="J446" s="44"/>
      <c r="K446" s="311"/>
      <c r="L446" s="232"/>
      <c r="M446" s="225"/>
      <c r="N446" s="380"/>
      <c r="O446" s="45"/>
      <c r="P446" s="311"/>
      <c r="Q446" s="149"/>
      <c r="R446" s="293"/>
      <c r="S446" s="345"/>
      <c r="T446" s="355"/>
      <c r="U446" s="134"/>
      <c r="V446" s="153"/>
      <c r="W446" s="133"/>
      <c r="X446" s="134"/>
      <c r="Y446" s="540"/>
      <c r="Z446" s="166"/>
      <c r="AA446" s="166"/>
      <c r="AB446" s="426"/>
      <c r="AC446" s="453"/>
      <c r="AD446" s="453"/>
      <c r="AE446" s="137"/>
      <c r="AF446" s="169"/>
      <c r="AG446" s="193"/>
      <c r="AH446" s="137"/>
      <c r="AJ446" s="188"/>
    </row>
    <row r="447" spans="2:241" s="30" customFormat="1" x14ac:dyDescent="0.25">
      <c r="B447" s="27"/>
      <c r="D447" s="81"/>
      <c r="E447" s="45"/>
      <c r="F447" s="389"/>
      <c r="G447" s="49"/>
      <c r="H447" s="44"/>
      <c r="I447" s="311"/>
      <c r="J447" s="44"/>
      <c r="K447" s="311"/>
      <c r="L447" s="232"/>
      <c r="M447" s="225"/>
      <c r="N447" s="380"/>
      <c r="O447" s="45"/>
      <c r="P447" s="311"/>
      <c r="Q447" s="149"/>
      <c r="R447" s="293"/>
      <c r="S447" s="316"/>
      <c r="T447" s="349"/>
      <c r="U447" s="111"/>
      <c r="V447" s="111"/>
      <c r="X447" s="111"/>
      <c r="Y447" s="111"/>
      <c r="Z447" s="111"/>
      <c r="AA447" s="111"/>
      <c r="AB447" s="427"/>
      <c r="AC447" s="454"/>
      <c r="AD447" s="455"/>
      <c r="AE447" s="166"/>
      <c r="AF447" s="169"/>
      <c r="AG447" s="172"/>
      <c r="AH447" s="150"/>
      <c r="AI447" s="137"/>
      <c r="AJ447" s="188"/>
      <c r="AK447" s="137"/>
    </row>
    <row r="448" spans="2:241" s="30" customFormat="1" x14ac:dyDescent="0.25">
      <c r="B448" s="27"/>
      <c r="D448" s="81"/>
      <c r="E448" s="45"/>
      <c r="F448" s="389"/>
      <c r="G448" s="49"/>
      <c r="H448" s="44"/>
      <c r="I448" s="311"/>
      <c r="J448" s="44"/>
      <c r="K448" s="311"/>
      <c r="L448" s="232"/>
      <c r="M448" s="225"/>
      <c r="N448" s="380"/>
      <c r="O448" s="45"/>
      <c r="P448" s="311"/>
      <c r="Q448" s="149"/>
      <c r="R448" s="293"/>
      <c r="S448" s="316"/>
      <c r="T448" s="349"/>
      <c r="U448" s="111"/>
      <c r="V448" s="111"/>
      <c r="X448" s="111"/>
      <c r="Y448" s="111"/>
      <c r="Z448" s="111"/>
      <c r="AA448" s="111"/>
      <c r="AB448" s="427"/>
      <c r="AC448" s="454"/>
      <c r="AD448" s="455"/>
      <c r="AE448" s="166"/>
      <c r="AF448" s="169"/>
      <c r="AG448" s="172"/>
      <c r="AH448" s="150"/>
      <c r="AI448" s="137"/>
      <c r="AJ448" s="188"/>
      <c r="AK448" s="137"/>
    </row>
    <row r="449" spans="2:37" s="30" customFormat="1" x14ac:dyDescent="0.25">
      <c r="B449" s="27"/>
      <c r="D449" s="81"/>
      <c r="E449" s="45"/>
      <c r="F449" s="389"/>
      <c r="G449" s="49"/>
      <c r="H449" s="44"/>
      <c r="I449" s="311"/>
      <c r="J449" s="44"/>
      <c r="K449" s="311"/>
      <c r="L449" s="232"/>
      <c r="M449" s="225"/>
      <c r="N449" s="380"/>
      <c r="O449" s="45"/>
      <c r="P449" s="311"/>
      <c r="Q449" s="149"/>
      <c r="R449" s="293"/>
      <c r="S449" s="316"/>
      <c r="T449" s="355"/>
      <c r="U449" s="111"/>
      <c r="V449" s="111"/>
      <c r="X449" s="111"/>
      <c r="Y449" s="111"/>
      <c r="Z449" s="111"/>
      <c r="AA449" s="111"/>
      <c r="AB449" s="427"/>
      <c r="AC449" s="454"/>
      <c r="AD449" s="455"/>
      <c r="AE449" s="166"/>
      <c r="AF449" s="169"/>
      <c r="AG449" s="172"/>
      <c r="AH449" s="150"/>
      <c r="AI449" s="137"/>
      <c r="AJ449" s="188"/>
      <c r="AK449" s="137"/>
    </row>
    <row r="450" spans="2:37" s="30" customFormat="1" x14ac:dyDescent="0.25">
      <c r="B450" s="27"/>
      <c r="D450" s="81"/>
      <c r="E450" s="45"/>
      <c r="F450" s="389"/>
      <c r="G450" s="49"/>
      <c r="H450" s="44"/>
      <c r="I450" s="311"/>
      <c r="J450" s="44"/>
      <c r="K450" s="311"/>
      <c r="L450" s="232"/>
      <c r="M450" s="225"/>
      <c r="N450" s="380"/>
      <c r="O450" s="45"/>
      <c r="P450" s="311"/>
      <c r="Q450" s="149"/>
      <c r="R450" s="293"/>
      <c r="S450" s="316"/>
      <c r="T450" s="355"/>
      <c r="U450" s="111"/>
      <c r="V450" s="111"/>
      <c r="X450" s="111"/>
      <c r="Y450" s="111"/>
      <c r="Z450" s="111"/>
      <c r="AA450" s="111"/>
      <c r="AB450" s="427"/>
      <c r="AC450" s="454"/>
      <c r="AD450" s="455"/>
      <c r="AE450" s="166"/>
      <c r="AF450" s="169"/>
      <c r="AG450" s="172"/>
      <c r="AH450" s="150"/>
      <c r="AI450" s="137"/>
      <c r="AJ450" s="188"/>
      <c r="AK450" s="137"/>
    </row>
    <row r="451" spans="2:37" s="30" customFormat="1" x14ac:dyDescent="0.25">
      <c r="B451" s="27"/>
      <c r="D451" s="81"/>
      <c r="E451" s="45"/>
      <c r="F451" s="389"/>
      <c r="G451" s="49"/>
      <c r="H451" s="44"/>
      <c r="I451" s="311"/>
      <c r="J451" s="44"/>
      <c r="K451" s="311"/>
      <c r="L451" s="232"/>
      <c r="M451" s="225"/>
      <c r="N451" s="380"/>
      <c r="O451" s="45"/>
      <c r="P451" s="311"/>
      <c r="Q451" s="149"/>
      <c r="R451" s="293"/>
      <c r="S451" s="316"/>
      <c r="T451" s="355"/>
      <c r="U451" s="111"/>
      <c r="V451" s="111"/>
      <c r="X451" s="111"/>
      <c r="Y451" s="111"/>
      <c r="Z451" s="111"/>
      <c r="AA451" s="111"/>
      <c r="AB451" s="427"/>
      <c r="AC451" s="454"/>
      <c r="AD451" s="455"/>
      <c r="AE451" s="166"/>
      <c r="AF451" s="169"/>
      <c r="AG451" s="172"/>
      <c r="AH451" s="150"/>
      <c r="AI451" s="137"/>
      <c r="AJ451" s="188"/>
      <c r="AK451" s="137"/>
    </row>
    <row r="452" spans="2:37" s="30" customFormat="1" x14ac:dyDescent="0.25">
      <c r="B452" s="27"/>
      <c r="D452" s="81"/>
      <c r="E452" s="45"/>
      <c r="F452" s="389"/>
      <c r="G452" s="49"/>
      <c r="H452" s="44"/>
      <c r="I452" s="311"/>
      <c r="J452" s="44"/>
      <c r="K452" s="311"/>
      <c r="L452" s="232"/>
      <c r="M452" s="225"/>
      <c r="N452" s="380"/>
      <c r="O452" s="45"/>
      <c r="P452" s="311"/>
      <c r="Q452" s="149"/>
      <c r="R452" s="293"/>
      <c r="S452" s="316"/>
      <c r="T452" s="355"/>
      <c r="U452" s="111"/>
      <c r="V452" s="111"/>
      <c r="X452" s="111"/>
      <c r="Y452" s="111"/>
      <c r="Z452" s="111"/>
      <c r="AA452" s="111"/>
      <c r="AB452" s="427"/>
      <c r="AC452" s="454"/>
      <c r="AD452" s="455"/>
      <c r="AE452" s="166"/>
      <c r="AF452" s="169"/>
      <c r="AG452" s="172"/>
      <c r="AH452" s="150"/>
      <c r="AI452" s="137"/>
      <c r="AJ452" s="188"/>
      <c r="AK452" s="137"/>
    </row>
    <row r="453" spans="2:37" s="30" customFormat="1" x14ac:dyDescent="0.25">
      <c r="B453" s="27"/>
      <c r="D453" s="81"/>
      <c r="E453" s="45"/>
      <c r="F453" s="389"/>
      <c r="G453" s="49"/>
      <c r="H453" s="44"/>
      <c r="I453" s="311"/>
      <c r="J453" s="44"/>
      <c r="K453" s="311"/>
      <c r="L453" s="232"/>
      <c r="M453" s="225"/>
      <c r="N453" s="380"/>
      <c r="O453" s="45"/>
      <c r="P453" s="311"/>
      <c r="Q453" s="149"/>
      <c r="R453" s="293"/>
      <c r="S453" s="316"/>
      <c r="T453" s="355"/>
      <c r="U453" s="111"/>
      <c r="V453" s="111"/>
      <c r="X453" s="111"/>
      <c r="Y453" s="111"/>
      <c r="Z453" s="111"/>
      <c r="AA453" s="111"/>
      <c r="AB453" s="427"/>
      <c r="AC453" s="454"/>
      <c r="AD453" s="455"/>
      <c r="AE453" s="166"/>
      <c r="AF453" s="169"/>
      <c r="AG453" s="172"/>
      <c r="AH453" s="150"/>
      <c r="AI453" s="137"/>
      <c r="AJ453" s="188"/>
      <c r="AK453" s="137"/>
    </row>
    <row r="454" spans="2:37" s="30" customFormat="1" x14ac:dyDescent="0.25">
      <c r="B454" s="27"/>
      <c r="D454" s="81"/>
      <c r="E454" s="45"/>
      <c r="F454" s="389"/>
      <c r="G454" s="49"/>
      <c r="H454" s="44"/>
      <c r="I454" s="311"/>
      <c r="J454" s="44"/>
      <c r="K454" s="311"/>
      <c r="L454" s="232"/>
      <c r="M454" s="225"/>
      <c r="N454" s="380"/>
      <c r="O454" s="45"/>
      <c r="P454" s="311"/>
      <c r="Q454" s="149"/>
      <c r="R454" s="293"/>
      <c r="S454" s="316"/>
      <c r="T454" s="355"/>
      <c r="U454" s="111"/>
      <c r="V454" s="111"/>
      <c r="X454" s="111"/>
      <c r="Y454" s="111"/>
      <c r="Z454" s="111"/>
      <c r="AA454" s="111"/>
      <c r="AB454" s="427"/>
      <c r="AC454" s="454"/>
      <c r="AD454" s="455"/>
      <c r="AE454" s="166"/>
      <c r="AF454" s="169"/>
      <c r="AG454" s="172"/>
      <c r="AH454" s="150"/>
      <c r="AI454" s="137"/>
      <c r="AJ454" s="188"/>
      <c r="AK454" s="137"/>
    </row>
    <row r="455" spans="2:37" s="30" customFormat="1" x14ac:dyDescent="0.25">
      <c r="B455" s="27"/>
      <c r="D455" s="81"/>
      <c r="E455" s="45"/>
      <c r="F455" s="389"/>
      <c r="G455" s="49"/>
      <c r="H455" s="44"/>
      <c r="I455" s="311"/>
      <c r="J455" s="44"/>
      <c r="K455" s="311"/>
      <c r="L455" s="232"/>
      <c r="M455" s="225"/>
      <c r="N455" s="380"/>
      <c r="O455" s="45"/>
      <c r="P455" s="311"/>
      <c r="Q455" s="149"/>
      <c r="R455" s="293"/>
      <c r="S455" s="316"/>
      <c r="T455" s="355"/>
      <c r="U455" s="111"/>
      <c r="V455" s="111"/>
      <c r="X455" s="111"/>
      <c r="Y455" s="111"/>
      <c r="Z455" s="111"/>
      <c r="AA455" s="111"/>
      <c r="AB455" s="427"/>
      <c r="AC455" s="454"/>
      <c r="AD455" s="455"/>
      <c r="AE455" s="166"/>
      <c r="AF455" s="169"/>
      <c r="AG455" s="172"/>
      <c r="AH455" s="150"/>
      <c r="AI455" s="137"/>
      <c r="AJ455" s="188"/>
      <c r="AK455" s="137"/>
    </row>
    <row r="456" spans="2:37" s="30" customFormat="1" x14ac:dyDescent="0.25">
      <c r="B456" s="27"/>
      <c r="D456" s="81"/>
      <c r="E456" s="45"/>
      <c r="F456" s="389"/>
      <c r="G456" s="49"/>
      <c r="H456" s="44"/>
      <c r="I456" s="311"/>
      <c r="J456" s="44"/>
      <c r="K456" s="311"/>
      <c r="L456" s="232"/>
      <c r="M456" s="225"/>
      <c r="N456" s="380"/>
      <c r="O456" s="45"/>
      <c r="P456" s="311"/>
      <c r="Q456" s="149"/>
      <c r="R456" s="293"/>
      <c r="S456" s="316"/>
      <c r="T456" s="355"/>
      <c r="U456" s="111"/>
      <c r="V456" s="111"/>
      <c r="X456" s="111"/>
      <c r="Y456" s="111"/>
      <c r="Z456" s="111"/>
      <c r="AA456" s="111"/>
      <c r="AB456" s="427"/>
      <c r="AC456" s="454"/>
      <c r="AD456" s="455"/>
      <c r="AE456" s="166"/>
      <c r="AF456" s="169"/>
      <c r="AG456" s="172"/>
      <c r="AH456" s="150"/>
      <c r="AI456" s="137"/>
      <c r="AJ456" s="188"/>
      <c r="AK456" s="137"/>
    </row>
    <row r="457" spans="2:37" s="30" customFormat="1" x14ac:dyDescent="0.25">
      <c r="B457" s="27"/>
      <c r="D457" s="81"/>
      <c r="E457" s="45"/>
      <c r="F457" s="389"/>
      <c r="G457" s="49"/>
      <c r="H457" s="44"/>
      <c r="I457" s="311"/>
      <c r="J457" s="44"/>
      <c r="K457" s="311"/>
      <c r="L457" s="232"/>
      <c r="M457" s="225"/>
      <c r="N457" s="380"/>
      <c r="O457" s="45"/>
      <c r="P457" s="311"/>
      <c r="Q457" s="149"/>
      <c r="R457" s="293"/>
      <c r="S457" s="316"/>
      <c r="T457" s="355"/>
      <c r="U457" s="111"/>
      <c r="V457" s="111"/>
      <c r="X457" s="111"/>
      <c r="Y457" s="111"/>
      <c r="Z457" s="111"/>
      <c r="AA457" s="111"/>
      <c r="AB457" s="427"/>
      <c r="AC457" s="454"/>
      <c r="AD457" s="455"/>
      <c r="AE457" s="166"/>
      <c r="AF457" s="169"/>
      <c r="AG457" s="172"/>
      <c r="AH457" s="150"/>
      <c r="AI457" s="137"/>
      <c r="AJ457" s="188"/>
      <c r="AK457" s="137"/>
    </row>
    <row r="458" spans="2:37" s="30" customFormat="1" x14ac:dyDescent="0.25">
      <c r="B458" s="27"/>
      <c r="D458" s="81"/>
      <c r="E458" s="45"/>
      <c r="F458" s="389"/>
      <c r="G458" s="49"/>
      <c r="H458" s="44"/>
      <c r="I458" s="311"/>
      <c r="J458" s="44"/>
      <c r="K458" s="311"/>
      <c r="L458" s="232"/>
      <c r="M458" s="225"/>
      <c r="N458" s="380"/>
      <c r="O458" s="45"/>
      <c r="P458" s="311"/>
      <c r="Q458" s="149"/>
      <c r="R458" s="293"/>
      <c r="S458" s="316"/>
      <c r="T458" s="355"/>
      <c r="U458" s="111"/>
      <c r="V458" s="111"/>
      <c r="X458" s="111"/>
      <c r="Y458" s="111"/>
      <c r="Z458" s="111"/>
      <c r="AA458" s="111"/>
      <c r="AB458" s="427"/>
      <c r="AC458" s="454"/>
      <c r="AD458" s="455"/>
      <c r="AE458" s="166"/>
      <c r="AF458" s="169"/>
      <c r="AG458" s="172"/>
      <c r="AH458" s="150"/>
      <c r="AI458" s="137"/>
      <c r="AJ458" s="188"/>
      <c r="AK458" s="137"/>
    </row>
    <row r="459" spans="2:37" s="30" customFormat="1" x14ac:dyDescent="0.25">
      <c r="B459" s="27"/>
      <c r="D459" s="81"/>
      <c r="E459" s="45"/>
      <c r="F459" s="389"/>
      <c r="G459" s="49"/>
      <c r="H459" s="44"/>
      <c r="I459" s="311"/>
      <c r="J459" s="44"/>
      <c r="K459" s="311"/>
      <c r="L459" s="232"/>
      <c r="M459" s="225"/>
      <c r="N459" s="380"/>
      <c r="O459" s="45"/>
      <c r="P459" s="311"/>
      <c r="Q459" s="149"/>
      <c r="R459" s="293"/>
      <c r="S459" s="316"/>
      <c r="T459" s="355"/>
      <c r="U459" s="111"/>
      <c r="V459" s="111"/>
      <c r="X459" s="111"/>
      <c r="Y459" s="111"/>
      <c r="Z459" s="111"/>
      <c r="AA459" s="111"/>
      <c r="AB459" s="427"/>
      <c r="AC459" s="454"/>
      <c r="AD459" s="455"/>
      <c r="AE459" s="166"/>
      <c r="AF459" s="169"/>
      <c r="AG459" s="172"/>
      <c r="AH459" s="150"/>
      <c r="AI459" s="137"/>
      <c r="AJ459" s="188"/>
      <c r="AK459" s="137"/>
    </row>
    <row r="460" spans="2:37" s="30" customFormat="1" x14ac:dyDescent="0.25">
      <c r="B460" s="27"/>
      <c r="D460" s="81"/>
      <c r="E460" s="45"/>
      <c r="F460" s="389"/>
      <c r="G460" s="49"/>
      <c r="H460" s="44"/>
      <c r="I460" s="311"/>
      <c r="J460" s="44"/>
      <c r="K460" s="311"/>
      <c r="L460" s="232"/>
      <c r="M460" s="225"/>
      <c r="N460" s="380"/>
      <c r="O460" s="45"/>
      <c r="P460" s="311"/>
      <c r="Q460" s="149"/>
      <c r="R460" s="293"/>
      <c r="S460" s="316"/>
      <c r="T460" s="355"/>
      <c r="U460" s="111"/>
      <c r="V460" s="111"/>
      <c r="X460" s="111"/>
      <c r="Y460" s="111"/>
      <c r="Z460" s="111"/>
      <c r="AA460" s="111"/>
      <c r="AB460" s="427"/>
      <c r="AC460" s="454"/>
      <c r="AD460" s="455"/>
      <c r="AE460" s="166"/>
      <c r="AF460" s="169"/>
      <c r="AG460" s="172"/>
      <c r="AH460" s="150"/>
      <c r="AI460" s="137"/>
      <c r="AJ460" s="188"/>
      <c r="AK460" s="137"/>
    </row>
    <row r="461" spans="2:37" s="30" customFormat="1" x14ac:dyDescent="0.25">
      <c r="B461" s="27"/>
      <c r="D461" s="81"/>
      <c r="E461" s="45"/>
      <c r="F461" s="389"/>
      <c r="G461" s="49"/>
      <c r="H461" s="44"/>
      <c r="I461" s="311"/>
      <c r="J461" s="44"/>
      <c r="K461" s="311"/>
      <c r="L461" s="232"/>
      <c r="M461" s="225"/>
      <c r="N461" s="380"/>
      <c r="O461" s="45"/>
      <c r="P461" s="311"/>
      <c r="Q461" s="149"/>
      <c r="R461" s="293"/>
      <c r="S461" s="316"/>
      <c r="T461" s="355"/>
      <c r="U461" s="111"/>
      <c r="V461" s="111"/>
      <c r="X461" s="111"/>
      <c r="Y461" s="111"/>
      <c r="Z461" s="111"/>
      <c r="AA461" s="111"/>
      <c r="AB461" s="427"/>
      <c r="AC461" s="454"/>
      <c r="AD461" s="455"/>
      <c r="AE461" s="166"/>
      <c r="AF461" s="169"/>
      <c r="AG461" s="172"/>
      <c r="AH461" s="150"/>
      <c r="AI461" s="137"/>
      <c r="AJ461" s="188"/>
      <c r="AK461" s="137"/>
    </row>
    <row r="462" spans="2:37" s="30" customFormat="1" x14ac:dyDescent="0.25">
      <c r="B462" s="27"/>
      <c r="D462" s="81"/>
      <c r="E462" s="45"/>
      <c r="F462" s="389"/>
      <c r="G462" s="49"/>
      <c r="H462" s="44"/>
      <c r="I462" s="311"/>
      <c r="J462" s="44"/>
      <c r="K462" s="311"/>
      <c r="L462" s="232"/>
      <c r="M462" s="225"/>
      <c r="N462" s="380"/>
      <c r="O462" s="45"/>
      <c r="P462" s="311"/>
      <c r="Q462" s="149"/>
      <c r="R462" s="293"/>
      <c r="S462" s="316"/>
      <c r="T462" s="355"/>
      <c r="U462" s="111"/>
      <c r="V462" s="111"/>
      <c r="X462" s="111"/>
      <c r="Y462" s="111"/>
      <c r="Z462" s="111"/>
      <c r="AA462" s="111"/>
      <c r="AB462" s="427"/>
      <c r="AC462" s="454"/>
      <c r="AD462" s="455"/>
      <c r="AE462" s="166"/>
      <c r="AF462" s="169"/>
      <c r="AG462" s="172"/>
      <c r="AH462" s="150"/>
      <c r="AI462" s="137"/>
      <c r="AJ462" s="188"/>
      <c r="AK462" s="137"/>
    </row>
    <row r="463" spans="2:37" s="30" customFormat="1" x14ac:dyDescent="0.25">
      <c r="B463" s="27"/>
      <c r="D463" s="81"/>
      <c r="E463" s="45"/>
      <c r="F463" s="389"/>
      <c r="G463" s="49"/>
      <c r="H463" s="44"/>
      <c r="I463" s="311"/>
      <c r="J463" s="44"/>
      <c r="K463" s="311"/>
      <c r="L463" s="232"/>
      <c r="M463" s="225"/>
      <c r="N463" s="380"/>
      <c r="O463" s="45"/>
      <c r="P463" s="311"/>
      <c r="Q463" s="149"/>
      <c r="R463" s="293"/>
      <c r="S463" s="316"/>
      <c r="T463" s="355"/>
      <c r="U463" s="111"/>
      <c r="V463" s="111"/>
      <c r="X463" s="111"/>
      <c r="Y463" s="111"/>
      <c r="Z463" s="111"/>
      <c r="AA463" s="111"/>
      <c r="AB463" s="427"/>
      <c r="AC463" s="454"/>
      <c r="AD463" s="455"/>
      <c r="AE463" s="166"/>
      <c r="AF463" s="169"/>
      <c r="AG463" s="172"/>
      <c r="AH463" s="150"/>
      <c r="AI463" s="137"/>
      <c r="AJ463" s="188"/>
      <c r="AK463" s="137"/>
    </row>
    <row r="464" spans="2:37" s="30" customFormat="1" x14ac:dyDescent="0.25">
      <c r="B464" s="27"/>
      <c r="D464" s="81"/>
      <c r="E464" s="45"/>
      <c r="F464" s="389"/>
      <c r="G464" s="49"/>
      <c r="H464" s="44"/>
      <c r="I464" s="311"/>
      <c r="J464" s="44"/>
      <c r="K464" s="311"/>
      <c r="L464" s="232"/>
      <c r="M464" s="225"/>
      <c r="N464" s="380"/>
      <c r="O464" s="45"/>
      <c r="P464" s="311"/>
      <c r="Q464" s="149"/>
      <c r="R464" s="293"/>
      <c r="S464" s="316"/>
      <c r="T464" s="355"/>
      <c r="U464" s="111"/>
      <c r="V464" s="111"/>
      <c r="X464" s="111"/>
      <c r="Y464" s="111"/>
      <c r="Z464" s="111"/>
      <c r="AA464" s="111"/>
      <c r="AB464" s="427"/>
      <c r="AC464" s="454"/>
      <c r="AD464" s="455"/>
      <c r="AE464" s="166"/>
      <c r="AF464" s="169"/>
      <c r="AG464" s="172"/>
      <c r="AH464" s="150"/>
      <c r="AI464" s="137"/>
      <c r="AJ464" s="188"/>
      <c r="AK464" s="137"/>
    </row>
    <row r="465" spans="2:37" s="30" customFormat="1" x14ac:dyDescent="0.25">
      <c r="B465" s="27"/>
      <c r="D465" s="81"/>
      <c r="E465" s="45"/>
      <c r="F465" s="389"/>
      <c r="G465" s="49"/>
      <c r="H465" s="44"/>
      <c r="I465" s="311"/>
      <c r="J465" s="44"/>
      <c r="K465" s="311"/>
      <c r="L465" s="232"/>
      <c r="M465" s="225"/>
      <c r="N465" s="380"/>
      <c r="O465" s="45"/>
      <c r="P465" s="311"/>
      <c r="Q465" s="149"/>
      <c r="R465" s="293"/>
      <c r="S465" s="316"/>
      <c r="T465" s="355"/>
      <c r="U465" s="111"/>
      <c r="V465" s="111"/>
      <c r="X465" s="111"/>
      <c r="Y465" s="111"/>
      <c r="Z465" s="111"/>
      <c r="AA465" s="111"/>
      <c r="AB465" s="427"/>
      <c r="AC465" s="454"/>
      <c r="AD465" s="455"/>
      <c r="AE465" s="166"/>
      <c r="AF465" s="169"/>
      <c r="AG465" s="172"/>
      <c r="AH465" s="150"/>
      <c r="AI465" s="137"/>
      <c r="AJ465" s="188"/>
      <c r="AK465" s="137"/>
    </row>
    <row r="466" spans="2:37" s="30" customFormat="1" x14ac:dyDescent="0.25">
      <c r="B466" s="27"/>
      <c r="D466" s="81"/>
      <c r="E466" s="45"/>
      <c r="F466" s="389"/>
      <c r="G466" s="49"/>
      <c r="H466" s="44"/>
      <c r="I466" s="311"/>
      <c r="J466" s="44"/>
      <c r="K466" s="311"/>
      <c r="L466" s="232"/>
      <c r="M466" s="225"/>
      <c r="N466" s="380"/>
      <c r="O466" s="45"/>
      <c r="P466" s="311"/>
      <c r="Q466" s="149"/>
      <c r="R466" s="293"/>
      <c r="S466" s="316"/>
      <c r="T466" s="355"/>
      <c r="U466" s="111"/>
      <c r="V466" s="111"/>
      <c r="X466" s="111"/>
      <c r="Y466" s="111"/>
      <c r="Z466" s="111"/>
      <c r="AA466" s="111"/>
      <c r="AB466" s="427"/>
      <c r="AC466" s="454"/>
      <c r="AD466" s="455"/>
      <c r="AE466" s="166"/>
      <c r="AF466" s="169"/>
      <c r="AG466" s="172"/>
      <c r="AH466" s="150"/>
      <c r="AI466" s="137"/>
      <c r="AJ466" s="188"/>
      <c r="AK466" s="137"/>
    </row>
    <row r="467" spans="2:37" s="30" customFormat="1" x14ac:dyDescent="0.25">
      <c r="B467" s="27"/>
      <c r="D467" s="81"/>
      <c r="E467" s="45"/>
      <c r="F467" s="389"/>
      <c r="G467" s="49"/>
      <c r="H467" s="44"/>
      <c r="I467" s="311"/>
      <c r="J467" s="44"/>
      <c r="K467" s="311"/>
      <c r="L467" s="232"/>
      <c r="M467" s="225"/>
      <c r="N467" s="380"/>
      <c r="O467" s="45"/>
      <c r="P467" s="311"/>
      <c r="Q467" s="149"/>
      <c r="R467" s="293"/>
      <c r="S467" s="316"/>
      <c r="T467" s="355"/>
      <c r="U467" s="111"/>
      <c r="V467" s="111"/>
      <c r="X467" s="111"/>
      <c r="Y467" s="111"/>
      <c r="Z467" s="111"/>
      <c r="AA467" s="111"/>
      <c r="AB467" s="427"/>
      <c r="AC467" s="454"/>
      <c r="AD467" s="455"/>
      <c r="AE467" s="166"/>
      <c r="AF467" s="169"/>
      <c r="AG467" s="172"/>
      <c r="AH467" s="150"/>
      <c r="AI467" s="137"/>
      <c r="AJ467" s="188"/>
      <c r="AK467" s="137"/>
    </row>
    <row r="468" spans="2:37" s="30" customFormat="1" x14ac:dyDescent="0.25">
      <c r="B468" s="27"/>
      <c r="D468" s="81"/>
      <c r="E468" s="45"/>
      <c r="F468" s="389"/>
      <c r="G468" s="49"/>
      <c r="H468" s="44"/>
      <c r="I468" s="311"/>
      <c r="J468" s="44"/>
      <c r="K468" s="311"/>
      <c r="L468" s="232"/>
      <c r="M468" s="225"/>
      <c r="N468" s="380"/>
      <c r="O468" s="45"/>
      <c r="P468" s="311"/>
      <c r="Q468" s="149"/>
      <c r="R468" s="293"/>
      <c r="S468" s="316"/>
      <c r="T468" s="355"/>
      <c r="U468" s="111"/>
      <c r="V468" s="111"/>
      <c r="X468" s="111"/>
      <c r="Y468" s="111"/>
      <c r="Z468" s="111"/>
      <c r="AA468" s="111"/>
      <c r="AB468" s="427"/>
      <c r="AC468" s="454"/>
      <c r="AD468" s="455"/>
      <c r="AE468" s="166"/>
      <c r="AF468" s="169"/>
      <c r="AG468" s="172"/>
      <c r="AH468" s="150"/>
      <c r="AI468" s="137"/>
      <c r="AJ468" s="188"/>
      <c r="AK468" s="137"/>
    </row>
    <row r="469" spans="2:37" s="30" customFormat="1" x14ac:dyDescent="0.25">
      <c r="B469" s="27"/>
      <c r="D469" s="81"/>
      <c r="E469" s="45"/>
      <c r="F469" s="389"/>
      <c r="G469" s="49"/>
      <c r="H469" s="44"/>
      <c r="I469" s="311"/>
      <c r="J469" s="44"/>
      <c r="K469" s="311"/>
      <c r="L469" s="232"/>
      <c r="M469" s="225"/>
      <c r="N469" s="380"/>
      <c r="O469" s="45"/>
      <c r="P469" s="311"/>
      <c r="Q469" s="149"/>
      <c r="R469" s="293"/>
      <c r="S469" s="316"/>
      <c r="T469" s="355"/>
      <c r="U469" s="111"/>
      <c r="V469" s="111"/>
      <c r="X469" s="111"/>
      <c r="Y469" s="111"/>
      <c r="Z469" s="111"/>
      <c r="AA469" s="111"/>
      <c r="AB469" s="427"/>
      <c r="AC469" s="454"/>
      <c r="AD469" s="455"/>
      <c r="AE469" s="166"/>
      <c r="AF469" s="169"/>
      <c r="AG469" s="172"/>
      <c r="AH469" s="150"/>
      <c r="AI469" s="137"/>
      <c r="AJ469" s="188"/>
      <c r="AK469" s="137"/>
    </row>
    <row r="470" spans="2:37" s="30" customFormat="1" x14ac:dyDescent="0.25">
      <c r="B470" s="27"/>
      <c r="D470" s="81"/>
      <c r="E470" s="45"/>
      <c r="F470" s="389"/>
      <c r="G470" s="49"/>
      <c r="H470" s="44"/>
      <c r="I470" s="311"/>
      <c r="J470" s="44"/>
      <c r="K470" s="311"/>
      <c r="L470" s="232"/>
      <c r="M470" s="225"/>
      <c r="N470" s="380"/>
      <c r="O470" s="45"/>
      <c r="P470" s="311"/>
      <c r="Q470" s="149"/>
      <c r="R470" s="293"/>
      <c r="S470" s="316"/>
      <c r="T470" s="355"/>
      <c r="U470" s="111"/>
      <c r="V470" s="111"/>
      <c r="X470" s="111"/>
      <c r="Y470" s="111"/>
      <c r="Z470" s="111"/>
      <c r="AA470" s="111"/>
      <c r="AB470" s="427"/>
      <c r="AC470" s="454"/>
      <c r="AD470" s="455"/>
      <c r="AE470" s="166"/>
      <c r="AF470" s="169"/>
      <c r="AG470" s="172"/>
      <c r="AH470" s="150"/>
      <c r="AI470" s="137"/>
      <c r="AJ470" s="188"/>
      <c r="AK470" s="137"/>
    </row>
    <row r="471" spans="2:37" s="30" customFormat="1" x14ac:dyDescent="0.25">
      <c r="B471" s="27"/>
      <c r="D471" s="81"/>
      <c r="E471" s="45"/>
      <c r="F471" s="389"/>
      <c r="G471" s="49"/>
      <c r="H471" s="44"/>
      <c r="I471" s="311"/>
      <c r="J471" s="44"/>
      <c r="K471" s="311"/>
      <c r="L471" s="232"/>
      <c r="M471" s="225"/>
      <c r="N471" s="380"/>
      <c r="O471" s="45"/>
      <c r="P471" s="311"/>
      <c r="Q471" s="149"/>
      <c r="R471" s="293"/>
      <c r="S471" s="316"/>
      <c r="T471" s="355"/>
      <c r="U471" s="111"/>
      <c r="V471" s="111"/>
      <c r="X471" s="111"/>
      <c r="Y471" s="111"/>
      <c r="Z471" s="111"/>
      <c r="AA471" s="111"/>
      <c r="AB471" s="427"/>
      <c r="AC471" s="454"/>
      <c r="AD471" s="455"/>
      <c r="AE471" s="166"/>
      <c r="AF471" s="169"/>
      <c r="AG471" s="172"/>
      <c r="AH471" s="150"/>
      <c r="AI471" s="137"/>
      <c r="AJ471" s="188"/>
      <c r="AK471" s="137"/>
    </row>
    <row r="472" spans="2:37" s="30" customFormat="1" x14ac:dyDescent="0.25">
      <c r="B472" s="27"/>
      <c r="D472" s="81"/>
      <c r="E472" s="45"/>
      <c r="F472" s="389"/>
      <c r="G472" s="49"/>
      <c r="H472" s="44"/>
      <c r="I472" s="311"/>
      <c r="J472" s="44"/>
      <c r="K472" s="311"/>
      <c r="L472" s="232"/>
      <c r="M472" s="225"/>
      <c r="N472" s="380"/>
      <c r="O472" s="45"/>
      <c r="P472" s="311"/>
      <c r="Q472" s="149"/>
      <c r="R472" s="293"/>
      <c r="S472" s="316"/>
      <c r="T472" s="355"/>
      <c r="U472" s="111"/>
      <c r="V472" s="111"/>
      <c r="X472" s="111"/>
      <c r="Y472" s="111"/>
      <c r="Z472" s="111"/>
      <c r="AA472" s="111"/>
      <c r="AB472" s="427"/>
      <c r="AC472" s="454"/>
      <c r="AD472" s="455"/>
      <c r="AE472" s="166"/>
      <c r="AF472" s="169"/>
      <c r="AG472" s="172"/>
      <c r="AH472" s="150"/>
      <c r="AI472" s="137"/>
      <c r="AJ472" s="188"/>
      <c r="AK472" s="137"/>
    </row>
    <row r="473" spans="2:37" s="30" customFormat="1" x14ac:dyDescent="0.25">
      <c r="B473" s="27"/>
      <c r="D473" s="81"/>
      <c r="E473" s="45"/>
      <c r="F473" s="389"/>
      <c r="G473" s="49"/>
      <c r="H473" s="44"/>
      <c r="I473" s="311"/>
      <c r="J473" s="44"/>
      <c r="K473" s="311"/>
      <c r="L473" s="232"/>
      <c r="M473" s="225"/>
      <c r="N473" s="380"/>
      <c r="O473" s="45"/>
      <c r="P473" s="311"/>
      <c r="Q473" s="149"/>
      <c r="R473" s="293"/>
      <c r="S473" s="316"/>
      <c r="T473" s="355"/>
      <c r="U473" s="111"/>
      <c r="V473" s="111"/>
      <c r="X473" s="111"/>
      <c r="Y473" s="111"/>
      <c r="Z473" s="111"/>
      <c r="AA473" s="111"/>
      <c r="AB473" s="427"/>
      <c r="AC473" s="454"/>
      <c r="AD473" s="455"/>
      <c r="AE473" s="166"/>
      <c r="AF473" s="169"/>
      <c r="AG473" s="172"/>
      <c r="AH473" s="150"/>
      <c r="AI473" s="137"/>
      <c r="AJ473" s="188"/>
      <c r="AK473" s="137"/>
    </row>
    <row r="474" spans="2:37" s="30" customFormat="1" x14ac:dyDescent="0.25">
      <c r="B474" s="27"/>
      <c r="D474" s="81"/>
      <c r="E474" s="45"/>
      <c r="F474" s="389"/>
      <c r="G474" s="49"/>
      <c r="H474" s="44"/>
      <c r="I474" s="311"/>
      <c r="J474" s="44"/>
      <c r="K474" s="311"/>
      <c r="L474" s="232"/>
      <c r="M474" s="225"/>
      <c r="N474" s="380"/>
      <c r="O474" s="45"/>
      <c r="P474" s="311"/>
      <c r="Q474" s="149"/>
      <c r="R474" s="293"/>
      <c r="S474" s="316"/>
      <c r="T474" s="355"/>
      <c r="U474" s="111"/>
      <c r="V474" s="111"/>
      <c r="X474" s="111"/>
      <c r="Y474" s="111"/>
      <c r="Z474" s="111"/>
      <c r="AA474" s="111"/>
      <c r="AB474" s="427"/>
      <c r="AC474" s="454"/>
      <c r="AD474" s="455"/>
      <c r="AE474" s="166"/>
      <c r="AF474" s="169"/>
      <c r="AG474" s="172"/>
      <c r="AH474" s="150"/>
      <c r="AI474" s="137"/>
      <c r="AJ474" s="188"/>
      <c r="AK474" s="137"/>
    </row>
    <row r="475" spans="2:37" s="30" customFormat="1" x14ac:dyDescent="0.25">
      <c r="B475" s="27"/>
      <c r="D475" s="81"/>
      <c r="E475" s="45"/>
      <c r="F475" s="389"/>
      <c r="G475" s="49"/>
      <c r="H475" s="44"/>
      <c r="I475" s="311"/>
      <c r="J475" s="44"/>
      <c r="K475" s="311"/>
      <c r="L475" s="232"/>
      <c r="M475" s="225"/>
      <c r="N475" s="380"/>
      <c r="O475" s="45"/>
      <c r="P475" s="311"/>
      <c r="Q475" s="149"/>
      <c r="R475" s="293"/>
      <c r="S475" s="316"/>
      <c r="T475" s="355"/>
      <c r="U475" s="111"/>
      <c r="V475" s="111"/>
      <c r="X475" s="111"/>
      <c r="Y475" s="111"/>
      <c r="Z475" s="111"/>
      <c r="AA475" s="111"/>
      <c r="AB475" s="427"/>
      <c r="AC475" s="454"/>
      <c r="AD475" s="455"/>
      <c r="AE475" s="166"/>
      <c r="AF475" s="169"/>
      <c r="AG475" s="172"/>
      <c r="AH475" s="150"/>
      <c r="AI475" s="137"/>
      <c r="AJ475" s="188"/>
      <c r="AK475" s="137"/>
    </row>
    <row r="476" spans="2:37" s="30" customFormat="1" x14ac:dyDescent="0.25">
      <c r="B476" s="27"/>
      <c r="D476" s="81"/>
      <c r="E476" s="45"/>
      <c r="F476" s="389"/>
      <c r="G476" s="49"/>
      <c r="H476" s="44"/>
      <c r="I476" s="311"/>
      <c r="J476" s="44"/>
      <c r="K476" s="311"/>
      <c r="L476" s="232"/>
      <c r="M476" s="225"/>
      <c r="N476" s="380"/>
      <c r="O476" s="45"/>
      <c r="P476" s="311"/>
      <c r="Q476" s="149"/>
      <c r="R476" s="293"/>
      <c r="S476" s="316"/>
      <c r="T476" s="355"/>
      <c r="U476" s="111"/>
      <c r="V476" s="111"/>
      <c r="X476" s="111"/>
      <c r="Y476" s="111"/>
      <c r="Z476" s="111"/>
      <c r="AA476" s="111"/>
      <c r="AB476" s="427"/>
      <c r="AC476" s="454"/>
      <c r="AD476" s="455"/>
      <c r="AE476" s="166"/>
      <c r="AF476" s="169"/>
      <c r="AG476" s="172"/>
      <c r="AH476" s="150"/>
      <c r="AI476" s="137"/>
      <c r="AJ476" s="188"/>
      <c r="AK476" s="137"/>
    </row>
    <row r="477" spans="2:37" s="30" customFormat="1" x14ac:dyDescent="0.25">
      <c r="B477" s="27"/>
      <c r="D477" s="81"/>
      <c r="E477" s="45"/>
      <c r="F477" s="389"/>
      <c r="G477" s="49"/>
      <c r="H477" s="44"/>
      <c r="I477" s="311"/>
      <c r="J477" s="44"/>
      <c r="K477" s="311"/>
      <c r="L477" s="232"/>
      <c r="M477" s="225"/>
      <c r="N477" s="380"/>
      <c r="O477" s="45"/>
      <c r="P477" s="311"/>
      <c r="Q477" s="149"/>
      <c r="R477" s="293"/>
      <c r="S477" s="316"/>
      <c r="T477" s="355"/>
      <c r="U477" s="111"/>
      <c r="V477" s="111"/>
      <c r="X477" s="111"/>
      <c r="Y477" s="111"/>
      <c r="Z477" s="111"/>
      <c r="AA477" s="111"/>
      <c r="AB477" s="427"/>
      <c r="AC477" s="454"/>
      <c r="AD477" s="455"/>
      <c r="AE477" s="166"/>
      <c r="AF477" s="169"/>
      <c r="AG477" s="172"/>
      <c r="AH477" s="150"/>
      <c r="AI477" s="137"/>
      <c r="AJ477" s="188"/>
      <c r="AK477" s="137"/>
    </row>
    <row r="478" spans="2:37" s="30" customFormat="1" x14ac:dyDescent="0.25">
      <c r="B478" s="27"/>
      <c r="D478" s="81"/>
      <c r="E478" s="45"/>
      <c r="F478" s="389"/>
      <c r="G478" s="49"/>
      <c r="H478" s="44"/>
      <c r="I478" s="311"/>
      <c r="J478" s="44"/>
      <c r="K478" s="311"/>
      <c r="L478" s="232"/>
      <c r="M478" s="225"/>
      <c r="N478" s="380"/>
      <c r="O478" s="45"/>
      <c r="P478" s="311"/>
      <c r="Q478" s="149"/>
      <c r="R478" s="293"/>
      <c r="S478" s="316"/>
      <c r="T478" s="355"/>
      <c r="U478" s="111"/>
      <c r="V478" s="111"/>
      <c r="X478" s="111"/>
      <c r="Y478" s="111"/>
      <c r="Z478" s="111"/>
      <c r="AA478" s="111"/>
      <c r="AB478" s="427"/>
      <c r="AC478" s="454"/>
      <c r="AD478" s="455"/>
      <c r="AE478" s="166"/>
      <c r="AF478" s="169"/>
      <c r="AG478" s="172"/>
      <c r="AH478" s="150"/>
      <c r="AI478" s="137"/>
      <c r="AJ478" s="188"/>
      <c r="AK478" s="137"/>
    </row>
    <row r="479" spans="2:37" s="30" customFormat="1" x14ac:dyDescent="0.25">
      <c r="B479" s="27"/>
      <c r="D479" s="81"/>
      <c r="E479" s="45"/>
      <c r="F479" s="389"/>
      <c r="G479" s="49"/>
      <c r="H479" s="44"/>
      <c r="I479" s="311"/>
      <c r="J479" s="44"/>
      <c r="K479" s="311"/>
      <c r="L479" s="232"/>
      <c r="M479" s="225"/>
      <c r="N479" s="380"/>
      <c r="O479" s="45"/>
      <c r="P479" s="311"/>
      <c r="Q479" s="149"/>
      <c r="R479" s="293"/>
      <c r="S479" s="316"/>
      <c r="T479" s="355"/>
      <c r="U479" s="111"/>
      <c r="V479" s="111"/>
      <c r="X479" s="111"/>
      <c r="Y479" s="111"/>
      <c r="Z479" s="111"/>
      <c r="AA479" s="111"/>
      <c r="AB479" s="427"/>
      <c r="AC479" s="454"/>
      <c r="AD479" s="455"/>
      <c r="AE479" s="166"/>
      <c r="AF479" s="169"/>
      <c r="AG479" s="172"/>
      <c r="AH479" s="150"/>
      <c r="AI479" s="137"/>
      <c r="AJ479" s="188"/>
      <c r="AK479" s="137"/>
    </row>
    <row r="480" spans="2:37" s="30" customFormat="1" x14ac:dyDescent="0.25">
      <c r="B480" s="27"/>
      <c r="D480" s="81"/>
      <c r="E480" s="45"/>
      <c r="F480" s="389"/>
      <c r="G480" s="49"/>
      <c r="H480" s="44"/>
      <c r="I480" s="311"/>
      <c r="J480" s="44"/>
      <c r="K480" s="311"/>
      <c r="L480" s="232"/>
      <c r="M480" s="225"/>
      <c r="N480" s="380"/>
      <c r="O480" s="45"/>
      <c r="P480" s="311"/>
      <c r="Q480" s="149"/>
      <c r="R480" s="293"/>
      <c r="S480" s="316"/>
      <c r="T480" s="355"/>
      <c r="U480" s="111"/>
      <c r="V480" s="111"/>
      <c r="X480" s="111"/>
      <c r="Y480" s="111"/>
      <c r="Z480" s="111"/>
      <c r="AA480" s="111"/>
      <c r="AB480" s="427"/>
      <c r="AC480" s="454"/>
      <c r="AD480" s="455"/>
      <c r="AE480" s="166"/>
      <c r="AF480" s="169"/>
      <c r="AG480" s="172"/>
      <c r="AH480" s="150"/>
      <c r="AI480" s="137"/>
      <c r="AJ480" s="188"/>
      <c r="AK480" s="137"/>
    </row>
    <row r="481" spans="2:37" s="30" customFormat="1" x14ac:dyDescent="0.25">
      <c r="B481" s="27"/>
      <c r="D481" s="81"/>
      <c r="E481" s="45"/>
      <c r="F481" s="389"/>
      <c r="G481" s="49"/>
      <c r="H481" s="44"/>
      <c r="I481" s="311"/>
      <c r="J481" s="44"/>
      <c r="K481" s="311"/>
      <c r="L481" s="232"/>
      <c r="M481" s="225"/>
      <c r="N481" s="380"/>
      <c r="O481" s="45"/>
      <c r="P481" s="311"/>
      <c r="Q481" s="149"/>
      <c r="R481" s="293"/>
      <c r="S481" s="316"/>
      <c r="T481" s="355"/>
      <c r="U481" s="111"/>
      <c r="V481" s="111"/>
      <c r="X481" s="111"/>
      <c r="Y481" s="111"/>
      <c r="Z481" s="111"/>
      <c r="AA481" s="111"/>
      <c r="AB481" s="427"/>
      <c r="AC481" s="454"/>
      <c r="AD481" s="455"/>
      <c r="AE481" s="166"/>
      <c r="AF481" s="169"/>
      <c r="AG481" s="172"/>
      <c r="AH481" s="150"/>
      <c r="AI481" s="137"/>
      <c r="AJ481" s="188"/>
      <c r="AK481" s="137"/>
    </row>
    <row r="482" spans="2:37" s="30" customFormat="1" x14ac:dyDescent="0.25">
      <c r="B482" s="27"/>
      <c r="D482" s="81"/>
      <c r="E482" s="45"/>
      <c r="F482" s="389"/>
      <c r="G482" s="49"/>
      <c r="H482" s="44"/>
      <c r="I482" s="311"/>
      <c r="J482" s="44"/>
      <c r="K482" s="311"/>
      <c r="L482" s="232"/>
      <c r="M482" s="225"/>
      <c r="N482" s="380"/>
      <c r="O482" s="45"/>
      <c r="P482" s="311"/>
      <c r="Q482" s="149"/>
      <c r="R482" s="293"/>
      <c r="S482" s="316"/>
      <c r="T482" s="355"/>
      <c r="U482" s="111"/>
      <c r="V482" s="111"/>
      <c r="X482" s="111"/>
      <c r="Y482" s="111"/>
      <c r="Z482" s="111"/>
      <c r="AA482" s="111"/>
      <c r="AB482" s="427"/>
      <c r="AC482" s="454"/>
      <c r="AD482" s="455"/>
      <c r="AE482" s="166"/>
      <c r="AF482" s="169"/>
      <c r="AG482" s="172"/>
      <c r="AH482" s="150"/>
      <c r="AI482" s="137"/>
      <c r="AJ482" s="188"/>
      <c r="AK482" s="137"/>
    </row>
    <row r="483" spans="2:37" s="30" customFormat="1" x14ac:dyDescent="0.25">
      <c r="B483" s="27"/>
      <c r="D483" s="81"/>
      <c r="E483" s="45"/>
      <c r="F483" s="389"/>
      <c r="G483" s="49"/>
      <c r="H483" s="44"/>
      <c r="I483" s="311"/>
      <c r="J483" s="44"/>
      <c r="K483" s="311"/>
      <c r="L483" s="232"/>
      <c r="M483" s="225"/>
      <c r="N483" s="380"/>
      <c r="O483" s="45"/>
      <c r="P483" s="311"/>
      <c r="Q483" s="149"/>
      <c r="R483" s="293"/>
      <c r="S483" s="316"/>
      <c r="T483" s="355"/>
      <c r="U483" s="111"/>
      <c r="V483" s="111"/>
      <c r="X483" s="111"/>
      <c r="Y483" s="111"/>
      <c r="Z483" s="111"/>
      <c r="AA483" s="111"/>
      <c r="AB483" s="427"/>
      <c r="AC483" s="454"/>
      <c r="AD483" s="455"/>
      <c r="AE483" s="166"/>
      <c r="AF483" s="169"/>
      <c r="AG483" s="172"/>
      <c r="AH483" s="150"/>
      <c r="AI483" s="137"/>
      <c r="AJ483" s="188"/>
      <c r="AK483" s="137"/>
    </row>
    <row r="484" spans="2:37" s="30" customFormat="1" x14ac:dyDescent="0.25">
      <c r="B484" s="27"/>
      <c r="D484" s="81"/>
      <c r="E484" s="45"/>
      <c r="F484" s="389"/>
      <c r="G484" s="49"/>
      <c r="H484" s="44"/>
      <c r="I484" s="311"/>
      <c r="J484" s="44"/>
      <c r="K484" s="311"/>
      <c r="L484" s="232"/>
      <c r="M484" s="225"/>
      <c r="N484" s="380"/>
      <c r="O484" s="45"/>
      <c r="P484" s="311"/>
      <c r="Q484" s="149"/>
      <c r="R484" s="293"/>
      <c r="S484" s="316"/>
      <c r="T484" s="355"/>
      <c r="U484" s="111"/>
      <c r="V484" s="111"/>
      <c r="X484" s="111"/>
      <c r="Y484" s="111"/>
      <c r="Z484" s="111"/>
      <c r="AA484" s="111"/>
      <c r="AB484" s="427"/>
      <c r="AC484" s="454"/>
      <c r="AD484" s="455"/>
      <c r="AE484" s="166"/>
      <c r="AF484" s="169"/>
      <c r="AG484" s="172"/>
      <c r="AH484" s="150"/>
      <c r="AI484" s="137"/>
      <c r="AJ484" s="188"/>
      <c r="AK484" s="137"/>
    </row>
    <row r="485" spans="2:37" s="30" customFormat="1" x14ac:dyDescent="0.25">
      <c r="B485" s="27"/>
      <c r="D485" s="81"/>
      <c r="E485" s="45"/>
      <c r="F485" s="389"/>
      <c r="G485" s="49"/>
      <c r="H485" s="44"/>
      <c r="I485" s="311"/>
      <c r="J485" s="44"/>
      <c r="K485" s="311"/>
      <c r="L485" s="232"/>
      <c r="M485" s="225"/>
      <c r="N485" s="380"/>
      <c r="O485" s="45"/>
      <c r="P485" s="311"/>
      <c r="Q485" s="149"/>
      <c r="R485" s="293"/>
      <c r="S485" s="316"/>
      <c r="T485" s="355"/>
      <c r="U485" s="111"/>
      <c r="V485" s="111"/>
      <c r="X485" s="111"/>
      <c r="Y485" s="111"/>
      <c r="Z485" s="111"/>
      <c r="AA485" s="111"/>
      <c r="AB485" s="427"/>
      <c r="AC485" s="454"/>
      <c r="AD485" s="455"/>
      <c r="AE485" s="166"/>
      <c r="AF485" s="169"/>
      <c r="AG485" s="172"/>
      <c r="AH485" s="150"/>
      <c r="AI485" s="137"/>
      <c r="AJ485" s="188"/>
      <c r="AK485" s="137"/>
    </row>
    <row r="486" spans="2:37" s="30" customFormat="1" x14ac:dyDescent="0.25">
      <c r="B486" s="27"/>
      <c r="D486" s="81"/>
      <c r="E486" s="45"/>
      <c r="F486" s="389"/>
      <c r="G486" s="49"/>
      <c r="H486" s="44"/>
      <c r="I486" s="311"/>
      <c r="J486" s="44"/>
      <c r="K486" s="311"/>
      <c r="L486" s="232"/>
      <c r="M486" s="225"/>
      <c r="N486" s="380"/>
      <c r="O486" s="45"/>
      <c r="P486" s="311"/>
      <c r="Q486" s="149"/>
      <c r="R486" s="293"/>
      <c r="S486" s="316"/>
      <c r="T486" s="355"/>
      <c r="U486" s="111"/>
      <c r="V486" s="111"/>
      <c r="X486" s="111"/>
      <c r="Y486" s="111"/>
      <c r="Z486" s="111"/>
      <c r="AA486" s="111"/>
      <c r="AB486" s="427"/>
      <c r="AC486" s="454"/>
      <c r="AD486" s="455"/>
      <c r="AE486" s="166"/>
      <c r="AF486" s="169"/>
      <c r="AG486" s="172"/>
      <c r="AH486" s="150"/>
      <c r="AI486" s="137"/>
      <c r="AJ486" s="188"/>
      <c r="AK486" s="137"/>
    </row>
    <row r="487" spans="2:37" s="30" customFormat="1" x14ac:dyDescent="0.25">
      <c r="B487" s="27"/>
      <c r="D487" s="81"/>
      <c r="E487" s="45"/>
      <c r="F487" s="389"/>
      <c r="G487" s="49"/>
      <c r="H487" s="44"/>
      <c r="I487" s="311"/>
      <c r="J487" s="44"/>
      <c r="K487" s="311"/>
      <c r="L487" s="232"/>
      <c r="M487" s="225"/>
      <c r="N487" s="380"/>
      <c r="O487" s="45"/>
      <c r="P487" s="311"/>
      <c r="Q487" s="149"/>
      <c r="R487" s="293"/>
      <c r="S487" s="316"/>
      <c r="T487" s="355"/>
      <c r="U487" s="111"/>
      <c r="V487" s="111"/>
      <c r="X487" s="111"/>
      <c r="Y487" s="111"/>
      <c r="Z487" s="111"/>
      <c r="AA487" s="111"/>
      <c r="AB487" s="427"/>
      <c r="AC487" s="454"/>
      <c r="AD487" s="455"/>
      <c r="AE487" s="166"/>
      <c r="AF487" s="169"/>
      <c r="AG487" s="172"/>
      <c r="AH487" s="150"/>
      <c r="AI487" s="137"/>
      <c r="AJ487" s="188"/>
      <c r="AK487" s="137"/>
    </row>
    <row r="488" spans="2:37" s="30" customFormat="1" x14ac:dyDescent="0.25">
      <c r="B488" s="27"/>
      <c r="D488" s="81"/>
      <c r="E488" s="45"/>
      <c r="F488" s="389"/>
      <c r="G488" s="49"/>
      <c r="H488" s="44"/>
      <c r="I488" s="311"/>
      <c r="J488" s="44"/>
      <c r="K488" s="311"/>
      <c r="L488" s="232"/>
      <c r="M488" s="225"/>
      <c r="N488" s="380"/>
      <c r="O488" s="45"/>
      <c r="P488" s="311"/>
      <c r="Q488" s="149"/>
      <c r="R488" s="293"/>
      <c r="S488" s="316"/>
      <c r="T488" s="355"/>
      <c r="U488" s="111"/>
      <c r="V488" s="111"/>
      <c r="X488" s="111"/>
      <c r="Y488" s="111"/>
      <c r="Z488" s="111"/>
      <c r="AA488" s="111"/>
      <c r="AB488" s="427"/>
      <c r="AC488" s="454"/>
      <c r="AD488" s="455"/>
      <c r="AE488" s="166"/>
      <c r="AF488" s="169"/>
      <c r="AG488" s="172"/>
      <c r="AH488" s="150"/>
      <c r="AI488" s="137"/>
      <c r="AJ488" s="188"/>
      <c r="AK488" s="137"/>
    </row>
    <row r="489" spans="2:37" s="30" customFormat="1" x14ac:dyDescent="0.25">
      <c r="B489" s="27"/>
      <c r="D489" s="81"/>
      <c r="E489" s="45"/>
      <c r="F489" s="389"/>
      <c r="G489" s="49"/>
      <c r="H489" s="44"/>
      <c r="I489" s="311"/>
      <c r="J489" s="44"/>
      <c r="K489" s="311"/>
      <c r="L489" s="232"/>
      <c r="M489" s="225"/>
      <c r="N489" s="380"/>
      <c r="O489" s="45"/>
      <c r="P489" s="311"/>
      <c r="Q489" s="149"/>
      <c r="R489" s="293"/>
      <c r="S489" s="316"/>
      <c r="T489" s="355"/>
      <c r="U489" s="111"/>
      <c r="V489" s="111"/>
      <c r="X489" s="111"/>
      <c r="Y489" s="111"/>
      <c r="Z489" s="111"/>
      <c r="AA489" s="111"/>
      <c r="AB489" s="427"/>
      <c r="AC489" s="454"/>
      <c r="AD489" s="455"/>
      <c r="AE489" s="166"/>
      <c r="AF489" s="169"/>
      <c r="AG489" s="172"/>
      <c r="AH489" s="150"/>
      <c r="AI489" s="137"/>
      <c r="AJ489" s="188"/>
      <c r="AK489" s="137"/>
    </row>
    <row r="490" spans="2:37" s="30" customFormat="1" x14ac:dyDescent="0.25">
      <c r="B490" s="27"/>
      <c r="D490" s="81"/>
      <c r="E490" s="45"/>
      <c r="F490" s="389"/>
      <c r="G490" s="49"/>
      <c r="H490" s="44"/>
      <c r="I490" s="311"/>
      <c r="J490" s="44"/>
      <c r="K490" s="311"/>
      <c r="L490" s="232"/>
      <c r="M490" s="225"/>
      <c r="N490" s="380"/>
      <c r="O490" s="45"/>
      <c r="P490" s="311"/>
      <c r="Q490" s="149"/>
      <c r="R490" s="293"/>
      <c r="S490" s="316"/>
      <c r="T490" s="355"/>
      <c r="U490" s="111"/>
      <c r="V490" s="111"/>
      <c r="X490" s="111"/>
      <c r="Y490" s="111"/>
      <c r="Z490" s="111"/>
      <c r="AA490" s="111"/>
      <c r="AB490" s="427"/>
      <c r="AC490" s="454"/>
      <c r="AD490" s="455"/>
      <c r="AE490" s="166"/>
      <c r="AF490" s="169"/>
      <c r="AG490" s="172"/>
      <c r="AH490" s="150"/>
      <c r="AI490" s="137"/>
      <c r="AJ490" s="188"/>
      <c r="AK490" s="137"/>
    </row>
    <row r="491" spans="2:37" s="30" customFormat="1" x14ac:dyDescent="0.25">
      <c r="B491" s="27"/>
      <c r="D491" s="81"/>
      <c r="E491" s="45"/>
      <c r="F491" s="389"/>
      <c r="G491" s="49"/>
      <c r="H491" s="44"/>
      <c r="I491" s="311"/>
      <c r="J491" s="44"/>
      <c r="K491" s="311"/>
      <c r="L491" s="232"/>
      <c r="M491" s="225"/>
      <c r="N491" s="380"/>
      <c r="O491" s="45"/>
      <c r="P491" s="311"/>
      <c r="Q491" s="149"/>
      <c r="R491" s="293"/>
      <c r="S491" s="316"/>
      <c r="T491" s="355"/>
      <c r="U491" s="111"/>
      <c r="V491" s="111"/>
      <c r="X491" s="111"/>
      <c r="Y491" s="111"/>
      <c r="Z491" s="111"/>
      <c r="AA491" s="111"/>
      <c r="AB491" s="427"/>
      <c r="AC491" s="454"/>
      <c r="AD491" s="455"/>
      <c r="AE491" s="166"/>
      <c r="AF491" s="169"/>
      <c r="AG491" s="172"/>
      <c r="AH491" s="150"/>
      <c r="AI491" s="137"/>
      <c r="AJ491" s="188"/>
      <c r="AK491" s="137"/>
    </row>
    <row r="492" spans="2:37" s="30" customFormat="1" x14ac:dyDescent="0.25">
      <c r="B492" s="27"/>
      <c r="D492" s="81"/>
      <c r="E492" s="45"/>
      <c r="F492" s="389"/>
      <c r="G492" s="49"/>
      <c r="H492" s="44"/>
      <c r="I492" s="311"/>
      <c r="J492" s="44"/>
      <c r="K492" s="311"/>
      <c r="L492" s="232"/>
      <c r="M492" s="225"/>
      <c r="N492" s="380"/>
      <c r="O492" s="45"/>
      <c r="P492" s="311"/>
      <c r="Q492" s="149"/>
      <c r="R492" s="293"/>
      <c r="S492" s="316"/>
      <c r="T492" s="355"/>
      <c r="U492" s="111"/>
      <c r="V492" s="111"/>
      <c r="X492" s="111"/>
      <c r="Y492" s="111"/>
      <c r="Z492" s="111"/>
      <c r="AA492" s="111"/>
      <c r="AB492" s="427"/>
      <c r="AC492" s="454"/>
      <c r="AD492" s="455"/>
      <c r="AE492" s="166"/>
      <c r="AF492" s="169"/>
      <c r="AG492" s="172"/>
      <c r="AH492" s="150"/>
      <c r="AI492" s="137"/>
      <c r="AJ492" s="188"/>
      <c r="AK492" s="137"/>
    </row>
    <row r="493" spans="2:37" s="30" customFormat="1" x14ac:dyDescent="0.25">
      <c r="B493" s="27"/>
      <c r="D493" s="81"/>
      <c r="E493" s="45"/>
      <c r="F493" s="389"/>
      <c r="G493" s="49"/>
      <c r="H493" s="44"/>
      <c r="I493" s="311"/>
      <c r="J493" s="44"/>
      <c r="K493" s="311"/>
      <c r="L493" s="232"/>
      <c r="M493" s="225"/>
      <c r="N493" s="380"/>
      <c r="O493" s="45"/>
      <c r="P493" s="311"/>
      <c r="Q493" s="149"/>
      <c r="R493" s="293"/>
      <c r="S493" s="316"/>
      <c r="T493" s="355"/>
      <c r="U493" s="111"/>
      <c r="V493" s="111"/>
      <c r="X493" s="111"/>
      <c r="Y493" s="111"/>
      <c r="Z493" s="111"/>
      <c r="AA493" s="111"/>
      <c r="AB493" s="427"/>
      <c r="AC493" s="454"/>
      <c r="AD493" s="455"/>
      <c r="AE493" s="166"/>
      <c r="AF493" s="169"/>
      <c r="AG493" s="172"/>
      <c r="AH493" s="150"/>
      <c r="AI493" s="137"/>
      <c r="AJ493" s="188"/>
      <c r="AK493" s="137"/>
    </row>
    <row r="494" spans="2:37" s="30" customFormat="1" x14ac:dyDescent="0.25">
      <c r="B494" s="27"/>
      <c r="D494" s="81"/>
      <c r="E494" s="45"/>
      <c r="F494" s="389"/>
      <c r="G494" s="49"/>
      <c r="H494" s="44"/>
      <c r="I494" s="311"/>
      <c r="J494" s="44"/>
      <c r="K494" s="311"/>
      <c r="L494" s="232"/>
      <c r="M494" s="225"/>
      <c r="N494" s="380"/>
      <c r="O494" s="45"/>
      <c r="P494" s="311"/>
      <c r="Q494" s="149"/>
      <c r="R494" s="293"/>
      <c r="S494" s="316"/>
      <c r="T494" s="355"/>
      <c r="U494" s="111"/>
      <c r="V494" s="111"/>
      <c r="X494" s="111"/>
      <c r="Y494" s="111"/>
      <c r="Z494" s="111"/>
      <c r="AA494" s="111"/>
      <c r="AB494" s="427"/>
      <c r="AC494" s="454"/>
      <c r="AD494" s="455"/>
      <c r="AE494" s="166"/>
      <c r="AF494" s="169"/>
      <c r="AG494" s="172"/>
      <c r="AH494" s="150"/>
      <c r="AI494" s="137"/>
      <c r="AJ494" s="188"/>
      <c r="AK494" s="137"/>
    </row>
    <row r="495" spans="2:37" s="30" customFormat="1" x14ac:dyDescent="0.25">
      <c r="B495" s="27"/>
      <c r="D495" s="81"/>
      <c r="E495" s="45"/>
      <c r="F495" s="389"/>
      <c r="G495" s="49"/>
      <c r="H495" s="44"/>
      <c r="I495" s="311"/>
      <c r="J495" s="44"/>
      <c r="K495" s="311"/>
      <c r="L495" s="232"/>
      <c r="M495" s="225"/>
      <c r="N495" s="380"/>
      <c r="O495" s="45"/>
      <c r="P495" s="311"/>
      <c r="Q495" s="149"/>
      <c r="R495" s="293"/>
      <c r="S495" s="316"/>
      <c r="T495" s="355"/>
      <c r="U495" s="111"/>
      <c r="V495" s="111"/>
      <c r="X495" s="111"/>
      <c r="Y495" s="111"/>
      <c r="Z495" s="111"/>
      <c r="AA495" s="111"/>
      <c r="AB495" s="427"/>
      <c r="AC495" s="454"/>
      <c r="AD495" s="455"/>
      <c r="AE495" s="166"/>
      <c r="AF495" s="169"/>
      <c r="AG495" s="172"/>
      <c r="AH495" s="150"/>
      <c r="AI495" s="137"/>
      <c r="AJ495" s="188"/>
      <c r="AK495" s="137"/>
    </row>
    <row r="496" spans="2:37" s="30" customFormat="1" x14ac:dyDescent="0.25">
      <c r="B496" s="27"/>
      <c r="D496" s="81"/>
      <c r="E496" s="45"/>
      <c r="F496" s="389"/>
      <c r="G496" s="49"/>
      <c r="H496" s="44"/>
      <c r="I496" s="311"/>
      <c r="J496" s="44"/>
      <c r="K496" s="311"/>
      <c r="L496" s="232"/>
      <c r="M496" s="225"/>
      <c r="N496" s="380"/>
      <c r="O496" s="45"/>
      <c r="P496" s="311"/>
      <c r="Q496" s="149"/>
      <c r="R496" s="293"/>
      <c r="S496" s="316"/>
      <c r="T496" s="355"/>
      <c r="U496" s="111"/>
      <c r="V496" s="111"/>
      <c r="X496" s="111"/>
      <c r="Y496" s="111"/>
      <c r="Z496" s="111"/>
      <c r="AA496" s="111"/>
      <c r="AB496" s="427"/>
      <c r="AC496" s="454"/>
      <c r="AD496" s="455"/>
      <c r="AE496" s="166"/>
      <c r="AF496" s="169"/>
      <c r="AG496" s="172"/>
      <c r="AH496" s="150"/>
      <c r="AI496" s="137"/>
      <c r="AJ496" s="188"/>
      <c r="AK496" s="137"/>
    </row>
    <row r="497" spans="2:37" s="30" customFormat="1" x14ac:dyDescent="0.25">
      <c r="B497" s="27"/>
      <c r="D497" s="81"/>
      <c r="E497" s="45"/>
      <c r="F497" s="389"/>
      <c r="G497" s="49"/>
      <c r="H497" s="44"/>
      <c r="I497" s="311"/>
      <c r="J497" s="44"/>
      <c r="K497" s="311"/>
      <c r="L497" s="232"/>
      <c r="M497" s="225"/>
      <c r="N497" s="380"/>
      <c r="O497" s="45"/>
      <c r="P497" s="311"/>
      <c r="Q497" s="149"/>
      <c r="R497" s="293"/>
      <c r="S497" s="316"/>
      <c r="T497" s="355"/>
      <c r="U497" s="111"/>
      <c r="V497" s="111"/>
      <c r="X497" s="111"/>
      <c r="Y497" s="111"/>
      <c r="Z497" s="111"/>
      <c r="AA497" s="111"/>
      <c r="AB497" s="427"/>
      <c r="AC497" s="454"/>
      <c r="AD497" s="455"/>
      <c r="AE497" s="166"/>
      <c r="AF497" s="169"/>
      <c r="AG497" s="172"/>
      <c r="AH497" s="150"/>
      <c r="AI497" s="137"/>
      <c r="AJ497" s="188"/>
      <c r="AK497" s="137"/>
    </row>
    <row r="498" spans="2:37" s="30" customFormat="1" x14ac:dyDescent="0.25">
      <c r="B498" s="27"/>
      <c r="D498" s="81"/>
      <c r="E498" s="45"/>
      <c r="F498" s="389"/>
      <c r="G498" s="49"/>
      <c r="H498" s="44"/>
      <c r="I498" s="311"/>
      <c r="J498" s="44"/>
      <c r="K498" s="311"/>
      <c r="L498" s="232"/>
      <c r="M498" s="225"/>
      <c r="N498" s="380"/>
      <c r="O498" s="45"/>
      <c r="P498" s="311"/>
      <c r="Q498" s="149"/>
      <c r="R498" s="293"/>
      <c r="S498" s="316"/>
      <c r="T498" s="355"/>
      <c r="U498" s="111"/>
      <c r="V498" s="111"/>
      <c r="X498" s="111"/>
      <c r="Y498" s="111"/>
      <c r="Z498" s="111"/>
      <c r="AA498" s="111"/>
      <c r="AB498" s="427"/>
      <c r="AC498" s="454"/>
      <c r="AD498" s="455"/>
      <c r="AE498" s="166"/>
      <c r="AF498" s="169"/>
      <c r="AG498" s="172"/>
      <c r="AH498" s="150"/>
      <c r="AI498" s="137"/>
      <c r="AJ498" s="188"/>
      <c r="AK498" s="137"/>
    </row>
    <row r="499" spans="2:37" s="30" customFormat="1" x14ac:dyDescent="0.25">
      <c r="B499" s="27"/>
      <c r="D499" s="81"/>
      <c r="E499" s="45"/>
      <c r="F499" s="389"/>
      <c r="G499" s="49"/>
      <c r="H499" s="44"/>
      <c r="I499" s="311"/>
      <c r="J499" s="44"/>
      <c r="K499" s="311"/>
      <c r="L499" s="232"/>
      <c r="M499" s="225"/>
      <c r="N499" s="380"/>
      <c r="O499" s="45"/>
      <c r="P499" s="311"/>
      <c r="Q499" s="149"/>
      <c r="R499" s="293"/>
      <c r="S499" s="316"/>
      <c r="T499" s="355"/>
      <c r="U499" s="111"/>
      <c r="V499" s="111"/>
      <c r="X499" s="111"/>
      <c r="Y499" s="111"/>
      <c r="Z499" s="111"/>
      <c r="AA499" s="111"/>
      <c r="AB499" s="427"/>
      <c r="AC499" s="454"/>
      <c r="AD499" s="455"/>
      <c r="AE499" s="166"/>
      <c r="AF499" s="169"/>
      <c r="AG499" s="172"/>
      <c r="AH499" s="150"/>
      <c r="AI499" s="137"/>
      <c r="AJ499" s="188"/>
      <c r="AK499" s="137"/>
    </row>
    <row r="500" spans="2:37" s="30" customFormat="1" x14ac:dyDescent="0.25">
      <c r="B500" s="27"/>
      <c r="D500" s="81"/>
      <c r="E500" s="45"/>
      <c r="F500" s="389"/>
      <c r="G500" s="49"/>
      <c r="H500" s="44"/>
      <c r="I500" s="311"/>
      <c r="J500" s="44"/>
      <c r="K500" s="311"/>
      <c r="L500" s="232"/>
      <c r="M500" s="225"/>
      <c r="N500" s="380"/>
      <c r="O500" s="45"/>
      <c r="P500" s="311"/>
      <c r="Q500" s="149"/>
      <c r="R500" s="293"/>
      <c r="S500" s="316"/>
      <c r="T500" s="355"/>
      <c r="U500" s="111"/>
      <c r="V500" s="111"/>
      <c r="X500" s="111"/>
      <c r="Y500" s="111"/>
      <c r="Z500" s="111"/>
      <c r="AA500" s="111"/>
      <c r="AB500" s="427"/>
      <c r="AC500" s="454"/>
      <c r="AD500" s="455"/>
      <c r="AE500" s="166"/>
      <c r="AF500" s="169"/>
      <c r="AG500" s="172"/>
      <c r="AH500" s="150"/>
      <c r="AI500" s="137"/>
      <c r="AJ500" s="188"/>
      <c r="AK500" s="137"/>
    </row>
    <row r="501" spans="2:37" s="30" customFormat="1" x14ac:dyDescent="0.25">
      <c r="B501" s="27"/>
      <c r="D501" s="81"/>
      <c r="E501" s="45"/>
      <c r="F501" s="389"/>
      <c r="G501" s="49"/>
      <c r="H501" s="44"/>
      <c r="I501" s="311"/>
      <c r="J501" s="44"/>
      <c r="K501" s="311"/>
      <c r="L501" s="232"/>
      <c r="M501" s="225"/>
      <c r="N501" s="380"/>
      <c r="O501" s="45"/>
      <c r="P501" s="311"/>
      <c r="Q501" s="149"/>
      <c r="R501" s="293"/>
      <c r="S501" s="316"/>
      <c r="T501" s="355"/>
      <c r="U501" s="111"/>
      <c r="V501" s="111"/>
      <c r="X501" s="111"/>
      <c r="Y501" s="111"/>
      <c r="Z501" s="111"/>
      <c r="AA501" s="111"/>
      <c r="AB501" s="427"/>
      <c r="AC501" s="454"/>
      <c r="AD501" s="455"/>
      <c r="AE501" s="166"/>
      <c r="AF501" s="169"/>
      <c r="AG501" s="172"/>
      <c r="AH501" s="150"/>
      <c r="AI501" s="137"/>
      <c r="AJ501" s="188"/>
      <c r="AK501" s="137"/>
    </row>
    <row r="502" spans="2:37" s="30" customFormat="1" x14ac:dyDescent="0.25">
      <c r="B502" s="27"/>
      <c r="D502" s="81"/>
      <c r="E502" s="45"/>
      <c r="F502" s="389"/>
      <c r="G502" s="49"/>
      <c r="H502" s="44"/>
      <c r="I502" s="311"/>
      <c r="J502" s="44"/>
      <c r="K502" s="311"/>
      <c r="L502" s="232"/>
      <c r="M502" s="225"/>
      <c r="N502" s="380"/>
      <c r="O502" s="45"/>
      <c r="P502" s="311"/>
      <c r="Q502" s="149"/>
      <c r="R502" s="293"/>
      <c r="S502" s="316"/>
      <c r="T502" s="355"/>
      <c r="U502" s="111"/>
      <c r="V502" s="111"/>
      <c r="X502" s="111"/>
      <c r="Y502" s="111"/>
      <c r="Z502" s="111"/>
      <c r="AA502" s="111"/>
      <c r="AB502" s="427"/>
      <c r="AC502" s="454"/>
      <c r="AD502" s="455"/>
      <c r="AE502" s="166"/>
      <c r="AF502" s="169"/>
      <c r="AG502" s="172"/>
      <c r="AH502" s="150"/>
      <c r="AI502" s="137"/>
      <c r="AJ502" s="188"/>
      <c r="AK502" s="137"/>
    </row>
    <row r="503" spans="2:37" s="30" customFormat="1" x14ac:dyDescent="0.25">
      <c r="B503" s="27"/>
      <c r="D503" s="81"/>
      <c r="E503" s="45"/>
      <c r="F503" s="389"/>
      <c r="G503" s="49"/>
      <c r="H503" s="44"/>
      <c r="I503" s="311"/>
      <c r="J503" s="44"/>
      <c r="K503" s="311"/>
      <c r="L503" s="232"/>
      <c r="M503" s="225"/>
      <c r="N503" s="380"/>
      <c r="O503" s="45"/>
      <c r="P503" s="311"/>
      <c r="Q503" s="149"/>
      <c r="R503" s="293"/>
      <c r="S503" s="316"/>
      <c r="T503" s="355"/>
      <c r="U503" s="111"/>
      <c r="V503" s="111"/>
      <c r="X503" s="111"/>
      <c r="Y503" s="111"/>
      <c r="Z503" s="111"/>
      <c r="AA503" s="111"/>
      <c r="AB503" s="427"/>
      <c r="AC503" s="454"/>
      <c r="AD503" s="455"/>
      <c r="AE503" s="166"/>
      <c r="AF503" s="169"/>
      <c r="AG503" s="172"/>
      <c r="AH503" s="150"/>
      <c r="AI503" s="137"/>
      <c r="AJ503" s="188"/>
      <c r="AK503" s="137"/>
    </row>
    <row r="504" spans="2:37" s="30" customFormat="1" x14ac:dyDescent="0.25">
      <c r="B504" s="27"/>
      <c r="D504" s="81"/>
      <c r="E504" s="45"/>
      <c r="F504" s="389"/>
      <c r="G504" s="49"/>
      <c r="H504" s="44"/>
      <c r="I504" s="311"/>
      <c r="J504" s="44"/>
      <c r="K504" s="311"/>
      <c r="L504" s="232"/>
      <c r="M504" s="225"/>
      <c r="N504" s="380"/>
      <c r="O504" s="45"/>
      <c r="P504" s="311"/>
      <c r="Q504" s="149"/>
      <c r="R504" s="293"/>
      <c r="S504" s="316"/>
      <c r="T504" s="355"/>
      <c r="U504" s="111"/>
      <c r="V504" s="111"/>
      <c r="X504" s="111"/>
      <c r="Y504" s="111"/>
      <c r="Z504" s="111"/>
      <c r="AA504" s="111"/>
      <c r="AB504" s="427"/>
      <c r="AC504" s="454"/>
      <c r="AD504" s="455"/>
      <c r="AE504" s="166"/>
      <c r="AF504" s="169"/>
      <c r="AG504" s="172"/>
      <c r="AH504" s="150"/>
      <c r="AI504" s="137"/>
      <c r="AJ504" s="188"/>
      <c r="AK504" s="137"/>
    </row>
    <row r="505" spans="2:37" s="30" customFormat="1" x14ac:dyDescent="0.25">
      <c r="B505" s="27"/>
      <c r="D505" s="81"/>
      <c r="E505" s="45"/>
      <c r="F505" s="389"/>
      <c r="G505" s="49"/>
      <c r="H505" s="44"/>
      <c r="I505" s="311"/>
      <c r="J505" s="44"/>
      <c r="K505" s="311"/>
      <c r="L505" s="232"/>
      <c r="M505" s="225"/>
      <c r="N505" s="380"/>
      <c r="O505" s="45"/>
      <c r="P505" s="311"/>
      <c r="Q505" s="149"/>
      <c r="R505" s="293"/>
      <c r="S505" s="316"/>
      <c r="T505" s="355"/>
      <c r="U505" s="111"/>
      <c r="V505" s="111"/>
      <c r="X505" s="111"/>
      <c r="Y505" s="111"/>
      <c r="Z505" s="111"/>
      <c r="AA505" s="111"/>
      <c r="AB505" s="427"/>
      <c r="AC505" s="454"/>
      <c r="AD505" s="455"/>
      <c r="AE505" s="166"/>
      <c r="AF505" s="169"/>
      <c r="AG505" s="172"/>
      <c r="AH505" s="150"/>
      <c r="AI505" s="137"/>
      <c r="AJ505" s="188"/>
      <c r="AK505" s="137"/>
    </row>
    <row r="506" spans="2:37" s="30" customFormat="1" x14ac:dyDescent="0.25">
      <c r="B506" s="27"/>
      <c r="D506" s="81"/>
      <c r="E506" s="45"/>
      <c r="F506" s="389"/>
      <c r="G506" s="49"/>
      <c r="H506" s="44"/>
      <c r="I506" s="311"/>
      <c r="J506" s="44"/>
      <c r="K506" s="311"/>
      <c r="L506" s="232"/>
      <c r="M506" s="225"/>
      <c r="N506" s="380"/>
      <c r="O506" s="45"/>
      <c r="P506" s="311"/>
      <c r="Q506" s="149"/>
      <c r="R506" s="293"/>
      <c r="S506" s="316"/>
      <c r="T506" s="355"/>
      <c r="U506" s="111"/>
      <c r="V506" s="111"/>
      <c r="X506" s="111"/>
      <c r="Y506" s="111"/>
      <c r="Z506" s="111"/>
      <c r="AA506" s="111"/>
      <c r="AB506" s="427"/>
      <c r="AC506" s="454"/>
      <c r="AD506" s="455"/>
      <c r="AE506" s="166"/>
      <c r="AF506" s="169"/>
      <c r="AG506" s="172"/>
      <c r="AH506" s="150"/>
      <c r="AI506" s="137"/>
      <c r="AJ506" s="188"/>
      <c r="AK506" s="137"/>
    </row>
    <row r="507" spans="2:37" s="30" customFormat="1" x14ac:dyDescent="0.25">
      <c r="B507" s="27"/>
      <c r="D507" s="81"/>
      <c r="E507" s="45"/>
      <c r="F507" s="524"/>
      <c r="G507" s="49"/>
      <c r="H507" s="45"/>
      <c r="I507" s="314"/>
      <c r="J507" s="44"/>
      <c r="K507" s="311"/>
      <c r="L507" s="232"/>
      <c r="M507" s="225"/>
      <c r="N507" s="380"/>
      <c r="O507" s="45"/>
      <c r="P507" s="311"/>
      <c r="Q507" s="149"/>
      <c r="R507" s="293"/>
      <c r="S507" s="316"/>
      <c r="T507" s="355"/>
      <c r="V507" s="111"/>
      <c r="Y507" s="541"/>
      <c r="AB507" s="428"/>
      <c r="AC507" s="454"/>
      <c r="AD507" s="455"/>
      <c r="AE507" s="166"/>
      <c r="AF507" s="169"/>
      <c r="AG507" s="172"/>
      <c r="AH507" s="150"/>
      <c r="AI507" s="137"/>
      <c r="AJ507" s="188"/>
      <c r="AK507" s="137"/>
    </row>
    <row r="508" spans="2:37" s="30" customFormat="1" x14ac:dyDescent="0.25">
      <c r="B508" s="27"/>
      <c r="D508" s="81"/>
      <c r="E508" s="45"/>
      <c r="F508" s="524"/>
      <c r="G508" s="49"/>
      <c r="H508" s="45"/>
      <c r="I508" s="314"/>
      <c r="J508" s="44"/>
      <c r="K508" s="311"/>
      <c r="L508" s="232"/>
      <c r="M508" s="225"/>
      <c r="N508" s="380"/>
      <c r="O508" s="45"/>
      <c r="P508" s="311"/>
      <c r="Q508" s="149"/>
      <c r="R508" s="293"/>
      <c r="S508" s="316"/>
      <c r="T508" s="355"/>
      <c r="V508" s="111"/>
      <c r="Y508" s="541"/>
      <c r="AB508" s="428"/>
      <c r="AC508" s="454"/>
      <c r="AD508" s="455"/>
      <c r="AE508" s="166"/>
      <c r="AF508" s="169"/>
      <c r="AG508" s="172"/>
      <c r="AH508" s="150"/>
      <c r="AI508" s="137"/>
      <c r="AJ508" s="188"/>
      <c r="AK508" s="137"/>
    </row>
    <row r="509" spans="2:37" s="30" customFormat="1" x14ac:dyDescent="0.25">
      <c r="B509" s="27"/>
      <c r="D509" s="81"/>
      <c r="E509" s="45"/>
      <c r="F509" s="524"/>
      <c r="G509" s="49"/>
      <c r="H509" s="45"/>
      <c r="I509" s="314"/>
      <c r="J509" s="44"/>
      <c r="K509" s="311"/>
      <c r="L509" s="232"/>
      <c r="M509" s="225"/>
      <c r="N509" s="380"/>
      <c r="O509" s="45"/>
      <c r="P509" s="311"/>
      <c r="Q509" s="149"/>
      <c r="R509" s="293"/>
      <c r="S509" s="316"/>
      <c r="T509" s="355"/>
      <c r="V509" s="111"/>
      <c r="Y509" s="541"/>
      <c r="AB509" s="428"/>
      <c r="AC509" s="454"/>
      <c r="AD509" s="455"/>
      <c r="AE509" s="166"/>
      <c r="AF509" s="169"/>
      <c r="AG509" s="172"/>
      <c r="AH509" s="150"/>
      <c r="AI509" s="137"/>
      <c r="AJ509" s="188"/>
      <c r="AK509" s="137"/>
    </row>
    <row r="510" spans="2:37" s="30" customFormat="1" x14ac:dyDescent="0.25">
      <c r="B510" s="27"/>
      <c r="D510" s="81"/>
      <c r="E510" s="45"/>
      <c r="F510" s="524"/>
      <c r="G510" s="49"/>
      <c r="H510" s="45"/>
      <c r="I510" s="314"/>
      <c r="J510" s="44"/>
      <c r="K510" s="311"/>
      <c r="L510" s="232"/>
      <c r="M510" s="225"/>
      <c r="N510" s="380"/>
      <c r="O510" s="45"/>
      <c r="P510" s="311"/>
      <c r="Q510" s="149"/>
      <c r="R510" s="293"/>
      <c r="S510" s="316"/>
      <c r="T510" s="355"/>
      <c r="V510" s="111"/>
      <c r="Y510" s="541"/>
      <c r="AB510" s="428"/>
      <c r="AC510" s="454"/>
      <c r="AD510" s="455"/>
      <c r="AE510" s="166"/>
      <c r="AF510" s="169"/>
      <c r="AG510" s="172"/>
      <c r="AH510" s="150"/>
      <c r="AI510" s="137"/>
      <c r="AJ510" s="188"/>
      <c r="AK510" s="137"/>
    </row>
    <row r="511" spans="2:37" s="30" customFormat="1" x14ac:dyDescent="0.25">
      <c r="B511" s="27"/>
      <c r="D511" s="81"/>
      <c r="E511" s="45"/>
      <c r="F511" s="524"/>
      <c r="G511" s="49"/>
      <c r="H511" s="45"/>
      <c r="I511" s="314"/>
      <c r="J511" s="44"/>
      <c r="K511" s="311"/>
      <c r="L511" s="232"/>
      <c r="M511" s="225"/>
      <c r="N511" s="380"/>
      <c r="O511" s="45"/>
      <c r="P511" s="311"/>
      <c r="Q511" s="149"/>
      <c r="R511" s="293"/>
      <c r="S511" s="316"/>
      <c r="T511" s="355"/>
      <c r="V511" s="111"/>
      <c r="Y511" s="541"/>
      <c r="AB511" s="428"/>
      <c r="AC511" s="454"/>
      <c r="AD511" s="455"/>
      <c r="AE511" s="166"/>
      <c r="AF511" s="169"/>
      <c r="AG511" s="172"/>
      <c r="AH511" s="150"/>
      <c r="AI511" s="137"/>
      <c r="AJ511" s="188"/>
      <c r="AK511" s="137"/>
    </row>
    <row r="512" spans="2:37" s="30" customFormat="1" x14ac:dyDescent="0.25">
      <c r="B512" s="27"/>
      <c r="D512" s="81"/>
      <c r="E512" s="45"/>
      <c r="F512" s="524"/>
      <c r="G512" s="49"/>
      <c r="H512" s="45"/>
      <c r="I512" s="314"/>
      <c r="J512" s="44"/>
      <c r="K512" s="311"/>
      <c r="L512" s="232"/>
      <c r="M512" s="225"/>
      <c r="N512" s="380"/>
      <c r="O512" s="45"/>
      <c r="P512" s="311"/>
      <c r="Q512" s="149"/>
      <c r="R512" s="293"/>
      <c r="S512" s="316"/>
      <c r="T512" s="355"/>
      <c r="V512" s="111"/>
      <c r="Y512" s="541"/>
      <c r="AB512" s="428"/>
      <c r="AC512" s="454"/>
      <c r="AD512" s="455"/>
      <c r="AE512" s="166"/>
      <c r="AF512" s="169"/>
      <c r="AG512" s="172"/>
      <c r="AH512" s="150"/>
      <c r="AI512" s="137"/>
      <c r="AJ512" s="188"/>
      <c r="AK512" s="137"/>
    </row>
    <row r="513" spans="2:37" s="30" customFormat="1" x14ac:dyDescent="0.25">
      <c r="B513" s="27"/>
      <c r="D513" s="81"/>
      <c r="E513" s="45"/>
      <c r="F513" s="524"/>
      <c r="G513" s="49"/>
      <c r="H513" s="45"/>
      <c r="I513" s="314"/>
      <c r="J513" s="44"/>
      <c r="K513" s="311"/>
      <c r="L513" s="232"/>
      <c r="M513" s="225"/>
      <c r="N513" s="380"/>
      <c r="O513" s="45"/>
      <c r="P513" s="311"/>
      <c r="Q513" s="149"/>
      <c r="R513" s="293"/>
      <c r="S513" s="316"/>
      <c r="T513" s="355"/>
      <c r="V513" s="111"/>
      <c r="Y513" s="541"/>
      <c r="AB513" s="428"/>
      <c r="AC513" s="454"/>
      <c r="AD513" s="455"/>
      <c r="AE513" s="166"/>
      <c r="AF513" s="169"/>
      <c r="AG513" s="172"/>
      <c r="AH513" s="150"/>
      <c r="AI513" s="137"/>
      <c r="AJ513" s="188"/>
      <c r="AK513" s="137"/>
    </row>
    <row r="514" spans="2:37" s="30" customFormat="1" x14ac:dyDescent="0.25">
      <c r="B514" s="27"/>
      <c r="D514" s="81"/>
      <c r="E514" s="45"/>
      <c r="F514" s="524"/>
      <c r="G514" s="49"/>
      <c r="H514" s="44"/>
      <c r="I514" s="314"/>
      <c r="J514" s="44"/>
      <c r="K514" s="311"/>
      <c r="L514" s="232"/>
      <c r="M514" s="225"/>
      <c r="N514" s="380"/>
      <c r="O514" s="45"/>
      <c r="P514" s="311"/>
      <c r="Q514" s="149"/>
      <c r="R514" s="293"/>
      <c r="S514" s="316"/>
      <c r="T514" s="355"/>
      <c r="V514" s="111"/>
      <c r="Y514" s="541"/>
      <c r="AB514" s="428"/>
      <c r="AC514" s="454"/>
      <c r="AD514" s="455"/>
      <c r="AE514" s="166"/>
      <c r="AF514" s="169"/>
      <c r="AG514" s="172"/>
      <c r="AH514" s="150"/>
      <c r="AI514" s="137"/>
      <c r="AJ514" s="188"/>
      <c r="AK514" s="137"/>
    </row>
    <row r="515" spans="2:37" s="30" customFormat="1" x14ac:dyDescent="0.25">
      <c r="B515" s="27"/>
      <c r="D515" s="81"/>
      <c r="E515" s="45"/>
      <c r="F515" s="524"/>
      <c r="G515" s="151"/>
      <c r="H515" s="44"/>
      <c r="I515" s="314"/>
      <c r="J515" s="44"/>
      <c r="K515" s="311"/>
      <c r="L515" s="232"/>
      <c r="M515" s="225"/>
      <c r="N515" s="380"/>
      <c r="O515" s="45"/>
      <c r="P515" s="311"/>
      <c r="Q515" s="149"/>
      <c r="R515" s="293"/>
      <c r="S515" s="316"/>
      <c r="T515" s="355"/>
      <c r="V515" s="111"/>
      <c r="Y515" s="541"/>
      <c r="AB515" s="428"/>
      <c r="AC515" s="454"/>
      <c r="AD515" s="455"/>
      <c r="AE515" s="166"/>
      <c r="AF515" s="169"/>
      <c r="AG515" s="172"/>
      <c r="AH515" s="150"/>
      <c r="AI515" s="137"/>
      <c r="AJ515" s="188"/>
      <c r="AK515" s="137"/>
    </row>
    <row r="516" spans="2:37" s="30" customFormat="1" x14ac:dyDescent="0.25">
      <c r="B516" s="27"/>
      <c r="D516" s="81"/>
      <c r="E516" s="45"/>
      <c r="F516" s="524"/>
      <c r="G516" s="151"/>
      <c r="H516" s="44"/>
      <c r="I516" s="314"/>
      <c r="J516" s="44"/>
      <c r="K516" s="311"/>
      <c r="L516" s="232"/>
      <c r="M516" s="225"/>
      <c r="N516" s="380"/>
      <c r="O516" s="45"/>
      <c r="P516" s="311"/>
      <c r="Q516" s="149"/>
      <c r="R516" s="293"/>
      <c r="S516" s="316"/>
      <c r="T516" s="355"/>
      <c r="V516" s="111"/>
      <c r="Y516" s="541"/>
      <c r="AB516" s="428"/>
      <c r="AC516" s="454"/>
      <c r="AD516" s="455"/>
      <c r="AE516" s="166"/>
      <c r="AF516" s="169"/>
      <c r="AG516" s="172"/>
      <c r="AH516" s="150"/>
      <c r="AI516" s="137"/>
      <c r="AJ516" s="188"/>
      <c r="AK516" s="137"/>
    </row>
    <row r="517" spans="2:37" s="30" customFormat="1" x14ac:dyDescent="0.25">
      <c r="B517" s="27"/>
      <c r="D517" s="81"/>
      <c r="E517" s="45"/>
      <c r="F517" s="524"/>
      <c r="G517" s="49"/>
      <c r="H517" s="44"/>
      <c r="I517" s="314"/>
      <c r="J517" s="44"/>
      <c r="K517" s="311"/>
      <c r="L517" s="232"/>
      <c r="M517" s="225"/>
      <c r="N517" s="380"/>
      <c r="O517" s="45"/>
      <c r="P517" s="311"/>
      <c r="Q517" s="149"/>
      <c r="R517" s="293"/>
      <c r="S517" s="316"/>
      <c r="T517" s="355"/>
      <c r="V517" s="111"/>
      <c r="Y517" s="541"/>
      <c r="AB517" s="428"/>
      <c r="AC517" s="454"/>
      <c r="AD517" s="455"/>
      <c r="AE517" s="166"/>
      <c r="AF517" s="169"/>
      <c r="AG517" s="172"/>
      <c r="AH517" s="150"/>
      <c r="AI517" s="137"/>
      <c r="AJ517" s="188"/>
      <c r="AK517" s="137"/>
    </row>
    <row r="518" spans="2:37" s="30" customFormat="1" x14ac:dyDescent="0.25">
      <c r="B518" s="27"/>
      <c r="D518" s="81"/>
      <c r="E518" s="45"/>
      <c r="F518" s="524"/>
      <c r="G518" s="151"/>
      <c r="H518" s="44"/>
      <c r="I518" s="314"/>
      <c r="J518" s="44"/>
      <c r="K518" s="311"/>
      <c r="L518" s="232"/>
      <c r="M518" s="225"/>
      <c r="N518" s="380"/>
      <c r="O518" s="45"/>
      <c r="P518" s="311"/>
      <c r="Q518" s="149"/>
      <c r="R518" s="293"/>
      <c r="S518" s="316"/>
      <c r="T518" s="355"/>
      <c r="V518" s="111"/>
      <c r="Y518" s="541"/>
      <c r="AB518" s="428"/>
      <c r="AC518" s="454"/>
      <c r="AD518" s="455"/>
      <c r="AE518" s="166"/>
      <c r="AF518" s="169"/>
      <c r="AG518" s="172"/>
      <c r="AH518" s="150"/>
      <c r="AI518" s="137"/>
      <c r="AJ518" s="188"/>
      <c r="AK518" s="137"/>
    </row>
    <row r="519" spans="2:37" s="30" customFormat="1" x14ac:dyDescent="0.25">
      <c r="B519" s="27"/>
      <c r="D519" s="81"/>
      <c r="E519" s="45"/>
      <c r="F519" s="524"/>
      <c r="G519" s="151"/>
      <c r="H519" s="44"/>
      <c r="I519" s="314"/>
      <c r="J519" s="44"/>
      <c r="K519" s="311"/>
      <c r="L519" s="232"/>
      <c r="M519" s="225"/>
      <c r="N519" s="380"/>
      <c r="O519" s="45"/>
      <c r="P519" s="311"/>
      <c r="Q519" s="149"/>
      <c r="R519" s="293"/>
      <c r="S519" s="316"/>
      <c r="T519" s="355"/>
      <c r="V519" s="111"/>
      <c r="Y519" s="541"/>
      <c r="AB519" s="428"/>
      <c r="AC519" s="454"/>
      <c r="AD519" s="455"/>
      <c r="AE519" s="166"/>
      <c r="AF519" s="169"/>
      <c r="AG519" s="172"/>
      <c r="AH519" s="150"/>
      <c r="AI519" s="137"/>
      <c r="AJ519" s="188"/>
      <c r="AK519" s="137"/>
    </row>
    <row r="520" spans="2:37" s="30" customFormat="1" x14ac:dyDescent="0.25">
      <c r="B520" s="27"/>
      <c r="D520" s="81"/>
      <c r="E520" s="45"/>
      <c r="F520" s="524"/>
      <c r="G520" s="49"/>
      <c r="H520" s="44"/>
      <c r="I520" s="314"/>
      <c r="J520" s="44"/>
      <c r="K520" s="311"/>
      <c r="L520" s="232"/>
      <c r="M520" s="225"/>
      <c r="N520" s="380"/>
      <c r="O520" s="45"/>
      <c r="P520" s="311"/>
      <c r="Q520" s="149"/>
      <c r="R520" s="293"/>
      <c r="S520" s="316"/>
      <c r="T520" s="355"/>
      <c r="V520" s="111"/>
      <c r="Y520" s="541"/>
      <c r="AB520" s="428"/>
      <c r="AC520" s="454"/>
      <c r="AD520" s="455"/>
      <c r="AE520" s="166"/>
      <c r="AF520" s="169"/>
      <c r="AG520" s="172"/>
      <c r="AH520" s="150"/>
      <c r="AI520" s="137"/>
      <c r="AJ520" s="188"/>
      <c r="AK520" s="137"/>
    </row>
    <row r="521" spans="2:37" s="30" customFormat="1" x14ac:dyDescent="0.25">
      <c r="B521" s="27"/>
      <c r="D521" s="81"/>
      <c r="E521" s="45"/>
      <c r="F521" s="524"/>
      <c r="G521" s="49"/>
      <c r="H521" s="44"/>
      <c r="I521" s="314"/>
      <c r="J521" s="44"/>
      <c r="K521" s="311"/>
      <c r="L521" s="232"/>
      <c r="M521" s="225"/>
      <c r="N521" s="380"/>
      <c r="O521" s="45"/>
      <c r="P521" s="311"/>
      <c r="Q521" s="149"/>
      <c r="R521" s="293"/>
      <c r="S521" s="316"/>
      <c r="T521" s="355"/>
      <c r="V521" s="111"/>
      <c r="Y521" s="541"/>
      <c r="AB521" s="428"/>
      <c r="AC521" s="454"/>
      <c r="AD521" s="455"/>
      <c r="AE521" s="166"/>
      <c r="AF521" s="169"/>
      <c r="AG521" s="172"/>
      <c r="AH521" s="150"/>
      <c r="AI521" s="137"/>
      <c r="AJ521" s="188"/>
      <c r="AK521" s="137"/>
    </row>
    <row r="522" spans="2:37" s="30" customFormat="1" x14ac:dyDescent="0.25">
      <c r="B522" s="27"/>
      <c r="D522" s="81"/>
      <c r="E522" s="45"/>
      <c r="F522" s="524"/>
      <c r="G522" s="49"/>
      <c r="H522" s="44"/>
      <c r="I522" s="314"/>
      <c r="J522" s="44"/>
      <c r="K522" s="311"/>
      <c r="L522" s="232"/>
      <c r="M522" s="225"/>
      <c r="N522" s="380"/>
      <c r="O522" s="45"/>
      <c r="P522" s="311"/>
      <c r="Q522" s="149"/>
      <c r="R522" s="293"/>
      <c r="S522" s="316"/>
      <c r="T522" s="355"/>
      <c r="V522" s="111"/>
      <c r="Y522" s="541"/>
      <c r="AB522" s="428"/>
      <c r="AC522" s="454"/>
      <c r="AD522" s="455"/>
      <c r="AE522" s="166"/>
      <c r="AF522" s="169"/>
      <c r="AG522" s="172"/>
      <c r="AH522" s="150"/>
      <c r="AI522" s="137"/>
      <c r="AJ522" s="188"/>
      <c r="AK522" s="137"/>
    </row>
    <row r="523" spans="2:37" s="30" customFormat="1" x14ac:dyDescent="0.25">
      <c r="B523" s="27"/>
      <c r="D523" s="81"/>
      <c r="E523" s="45"/>
      <c r="F523" s="524"/>
      <c r="G523" s="151"/>
      <c r="H523" s="44"/>
      <c r="I523" s="314"/>
      <c r="J523" s="44"/>
      <c r="K523" s="311"/>
      <c r="L523" s="232"/>
      <c r="M523" s="225"/>
      <c r="N523" s="380"/>
      <c r="O523" s="45"/>
      <c r="P523" s="311"/>
      <c r="Q523" s="149"/>
      <c r="R523" s="293"/>
      <c r="S523" s="316"/>
      <c r="T523" s="355"/>
      <c r="V523" s="111"/>
      <c r="Y523" s="541"/>
      <c r="AB523" s="428"/>
      <c r="AC523" s="454"/>
      <c r="AD523" s="455"/>
      <c r="AE523" s="166"/>
      <c r="AF523" s="169"/>
      <c r="AG523" s="172"/>
      <c r="AH523" s="150"/>
      <c r="AI523" s="137"/>
      <c r="AJ523" s="188"/>
      <c r="AK523" s="137"/>
    </row>
    <row r="524" spans="2:37" s="30" customFormat="1" x14ac:dyDescent="0.25">
      <c r="B524" s="27"/>
      <c r="D524" s="81"/>
      <c r="E524" s="45"/>
      <c r="F524" s="524"/>
      <c r="G524" s="151"/>
      <c r="H524" s="44"/>
      <c r="I524" s="314"/>
      <c r="J524" s="44"/>
      <c r="K524" s="311"/>
      <c r="L524" s="232"/>
      <c r="M524" s="225"/>
      <c r="N524" s="380"/>
      <c r="O524" s="45"/>
      <c r="P524" s="311"/>
      <c r="Q524" s="149"/>
      <c r="R524" s="293"/>
      <c r="S524" s="316"/>
      <c r="T524" s="355"/>
      <c r="V524" s="111"/>
      <c r="Y524" s="541"/>
      <c r="AB524" s="428"/>
      <c r="AC524" s="454"/>
      <c r="AD524" s="455"/>
      <c r="AE524" s="166"/>
      <c r="AF524" s="169"/>
      <c r="AG524" s="172"/>
      <c r="AH524" s="150"/>
      <c r="AI524" s="137"/>
      <c r="AJ524" s="188"/>
      <c r="AK524" s="137"/>
    </row>
    <row r="525" spans="2:37" s="30" customFormat="1" x14ac:dyDescent="0.25">
      <c r="B525" s="27"/>
      <c r="D525" s="81"/>
      <c r="E525" s="45"/>
      <c r="F525" s="524"/>
      <c r="G525" s="151"/>
      <c r="H525" s="44"/>
      <c r="I525" s="314"/>
      <c r="J525" s="44"/>
      <c r="K525" s="311"/>
      <c r="L525" s="232"/>
      <c r="M525" s="225"/>
      <c r="N525" s="380"/>
      <c r="O525" s="45"/>
      <c r="P525" s="311"/>
      <c r="Q525" s="149"/>
      <c r="R525" s="293"/>
      <c r="S525" s="316"/>
      <c r="T525" s="355"/>
      <c r="V525" s="111"/>
      <c r="Y525" s="541"/>
      <c r="AB525" s="428"/>
      <c r="AC525" s="454"/>
      <c r="AD525" s="455"/>
      <c r="AE525" s="166"/>
      <c r="AF525" s="169"/>
      <c r="AG525" s="172"/>
      <c r="AH525" s="150"/>
      <c r="AI525" s="137"/>
      <c r="AJ525" s="188"/>
      <c r="AK525" s="137"/>
    </row>
    <row r="526" spans="2:37" s="30" customFormat="1" x14ac:dyDescent="0.25">
      <c r="B526" s="27"/>
      <c r="D526" s="81"/>
      <c r="E526" s="45"/>
      <c r="F526" s="524"/>
      <c r="G526" s="49"/>
      <c r="H526" s="44"/>
      <c r="I526" s="314"/>
      <c r="J526" s="44"/>
      <c r="K526" s="311"/>
      <c r="L526" s="232"/>
      <c r="M526" s="225"/>
      <c r="N526" s="380"/>
      <c r="O526" s="45"/>
      <c r="P526" s="311"/>
      <c r="Q526" s="149"/>
      <c r="R526" s="293"/>
      <c r="S526" s="316"/>
      <c r="T526" s="355"/>
      <c r="V526" s="111"/>
      <c r="Y526" s="541"/>
      <c r="AB526" s="428"/>
      <c r="AC526" s="454"/>
      <c r="AD526" s="455"/>
      <c r="AE526" s="166"/>
      <c r="AF526" s="169"/>
      <c r="AG526" s="172"/>
      <c r="AH526" s="150"/>
      <c r="AI526" s="137"/>
      <c r="AJ526" s="188"/>
      <c r="AK526" s="137"/>
    </row>
    <row r="527" spans="2:37" s="30" customFormat="1" x14ac:dyDescent="0.25">
      <c r="B527" s="27"/>
      <c r="D527" s="81"/>
      <c r="E527" s="45"/>
      <c r="F527" s="524"/>
      <c r="G527" s="151"/>
      <c r="H527" s="44"/>
      <c r="I527" s="314"/>
      <c r="J527" s="44"/>
      <c r="K527" s="311"/>
      <c r="L527" s="232"/>
      <c r="M527" s="225"/>
      <c r="N527" s="380"/>
      <c r="O527" s="45"/>
      <c r="P527" s="311"/>
      <c r="Q527" s="149"/>
      <c r="R527" s="293"/>
      <c r="S527" s="316"/>
      <c r="T527" s="355"/>
      <c r="V527" s="111"/>
      <c r="Y527" s="541"/>
      <c r="AB527" s="428"/>
      <c r="AC527" s="454"/>
      <c r="AD527" s="455"/>
      <c r="AE527" s="166"/>
      <c r="AF527" s="169"/>
      <c r="AG527" s="172"/>
      <c r="AH527" s="150"/>
      <c r="AI527" s="137"/>
      <c r="AJ527" s="188"/>
      <c r="AK527" s="137"/>
    </row>
    <row r="528" spans="2:37" s="30" customFormat="1" x14ac:dyDescent="0.25">
      <c r="B528" s="27"/>
      <c r="D528" s="81"/>
      <c r="E528" s="45"/>
      <c r="F528" s="524"/>
      <c r="G528" s="49"/>
      <c r="H528" s="44"/>
      <c r="I528" s="314"/>
      <c r="J528" s="44"/>
      <c r="K528" s="311"/>
      <c r="L528" s="232"/>
      <c r="M528" s="225"/>
      <c r="N528" s="380"/>
      <c r="O528" s="45"/>
      <c r="P528" s="311"/>
      <c r="Q528" s="149"/>
      <c r="R528" s="293"/>
      <c r="S528" s="316"/>
      <c r="T528" s="355"/>
      <c r="V528" s="111"/>
      <c r="Y528" s="541"/>
      <c r="AB528" s="428"/>
      <c r="AC528" s="454"/>
      <c r="AD528" s="455"/>
      <c r="AE528" s="166"/>
      <c r="AF528" s="169"/>
      <c r="AG528" s="172"/>
      <c r="AH528" s="150"/>
      <c r="AI528" s="137"/>
      <c r="AJ528" s="188"/>
      <c r="AK528" s="137"/>
    </row>
    <row r="529" spans="2:37" s="30" customFormat="1" x14ac:dyDescent="0.25">
      <c r="B529" s="27"/>
      <c r="D529" s="81"/>
      <c r="E529" s="45"/>
      <c r="F529" s="524"/>
      <c r="G529" s="49"/>
      <c r="H529" s="44"/>
      <c r="I529" s="314"/>
      <c r="J529" s="44"/>
      <c r="K529" s="311"/>
      <c r="L529" s="232"/>
      <c r="M529" s="225"/>
      <c r="N529" s="380"/>
      <c r="O529" s="45"/>
      <c r="P529" s="311"/>
      <c r="Q529" s="149"/>
      <c r="R529" s="293"/>
      <c r="S529" s="316"/>
      <c r="T529" s="355"/>
      <c r="V529" s="111"/>
      <c r="Y529" s="541"/>
      <c r="AB529" s="428"/>
      <c r="AC529" s="454"/>
      <c r="AD529" s="455"/>
      <c r="AE529" s="166"/>
      <c r="AF529" s="169"/>
      <c r="AG529" s="172"/>
      <c r="AH529" s="150"/>
      <c r="AI529" s="137"/>
      <c r="AJ529" s="188"/>
      <c r="AK529" s="137"/>
    </row>
    <row r="530" spans="2:37" s="30" customFormat="1" x14ac:dyDescent="0.25">
      <c r="B530" s="27"/>
      <c r="D530" s="81"/>
      <c r="E530" s="45"/>
      <c r="F530" s="524"/>
      <c r="G530" s="151"/>
      <c r="H530" s="44"/>
      <c r="I530" s="314"/>
      <c r="J530" s="44"/>
      <c r="K530" s="311"/>
      <c r="L530" s="232"/>
      <c r="M530" s="225"/>
      <c r="N530" s="380"/>
      <c r="O530" s="45"/>
      <c r="P530" s="311"/>
      <c r="Q530" s="149"/>
      <c r="R530" s="293"/>
      <c r="S530" s="316"/>
      <c r="T530" s="355"/>
      <c r="V530" s="111"/>
      <c r="Y530" s="541"/>
      <c r="AB530" s="428"/>
      <c r="AC530" s="454"/>
      <c r="AD530" s="455"/>
      <c r="AE530" s="166"/>
      <c r="AF530" s="169"/>
      <c r="AG530" s="172"/>
      <c r="AH530" s="150"/>
      <c r="AI530" s="137"/>
      <c r="AJ530" s="188"/>
      <c r="AK530" s="137"/>
    </row>
    <row r="531" spans="2:37" s="30" customFormat="1" x14ac:dyDescent="0.25">
      <c r="B531" s="27"/>
      <c r="D531" s="81"/>
      <c r="E531" s="45"/>
      <c r="F531" s="524"/>
      <c r="G531" s="49"/>
      <c r="H531" s="44"/>
      <c r="I531" s="314"/>
      <c r="J531" s="44"/>
      <c r="K531" s="311"/>
      <c r="L531" s="232"/>
      <c r="M531" s="225"/>
      <c r="N531" s="380"/>
      <c r="O531" s="45"/>
      <c r="P531" s="311"/>
      <c r="Q531" s="149"/>
      <c r="R531" s="293"/>
      <c r="S531" s="316"/>
      <c r="T531" s="355"/>
      <c r="V531" s="111"/>
      <c r="Y531" s="541"/>
      <c r="AB531" s="428"/>
      <c r="AC531" s="454"/>
      <c r="AD531" s="455"/>
      <c r="AE531" s="166"/>
      <c r="AF531" s="169"/>
      <c r="AG531" s="172"/>
      <c r="AH531" s="150"/>
      <c r="AI531" s="137"/>
      <c r="AJ531" s="188"/>
      <c r="AK531" s="137"/>
    </row>
    <row r="532" spans="2:37" s="30" customFormat="1" x14ac:dyDescent="0.25">
      <c r="B532" s="27"/>
      <c r="D532" s="81"/>
      <c r="E532" s="45"/>
      <c r="F532" s="524"/>
      <c r="G532" s="49"/>
      <c r="H532" s="44"/>
      <c r="I532" s="314"/>
      <c r="J532" s="44"/>
      <c r="K532" s="311"/>
      <c r="L532" s="232"/>
      <c r="M532" s="225"/>
      <c r="N532" s="380"/>
      <c r="O532" s="45"/>
      <c r="P532" s="311"/>
      <c r="Q532" s="149"/>
      <c r="R532" s="293"/>
      <c r="S532" s="316"/>
      <c r="T532" s="355"/>
      <c r="V532" s="111"/>
      <c r="Y532" s="541"/>
      <c r="AB532" s="428"/>
      <c r="AC532" s="454"/>
      <c r="AD532" s="455"/>
      <c r="AE532" s="166"/>
      <c r="AF532" s="169"/>
      <c r="AG532" s="172"/>
      <c r="AH532" s="150"/>
      <c r="AI532" s="137"/>
      <c r="AJ532" s="188"/>
      <c r="AK532" s="137"/>
    </row>
    <row r="533" spans="2:37" s="30" customFormat="1" x14ac:dyDescent="0.25">
      <c r="B533" s="27"/>
      <c r="D533" s="81"/>
      <c r="E533" s="45"/>
      <c r="F533" s="524"/>
      <c r="G533" s="151"/>
      <c r="H533" s="44"/>
      <c r="I533" s="314"/>
      <c r="J533" s="44"/>
      <c r="K533" s="311"/>
      <c r="L533" s="232"/>
      <c r="M533" s="225"/>
      <c r="N533" s="380"/>
      <c r="O533" s="45"/>
      <c r="P533" s="311"/>
      <c r="Q533" s="149"/>
      <c r="R533" s="293"/>
      <c r="S533" s="316"/>
      <c r="T533" s="355"/>
      <c r="V533" s="111"/>
      <c r="Y533" s="541"/>
      <c r="AB533" s="428"/>
      <c r="AC533" s="454"/>
      <c r="AD533" s="455"/>
      <c r="AE533" s="166"/>
      <c r="AF533" s="169"/>
      <c r="AG533" s="172"/>
      <c r="AH533" s="150"/>
      <c r="AI533" s="137"/>
      <c r="AJ533" s="188"/>
      <c r="AK533" s="137"/>
    </row>
    <row r="534" spans="2:37" s="30" customFormat="1" x14ac:dyDescent="0.25">
      <c r="B534" s="27"/>
      <c r="D534" s="81"/>
      <c r="E534" s="45"/>
      <c r="F534" s="524"/>
      <c r="G534" s="151"/>
      <c r="H534" s="44"/>
      <c r="I534" s="314"/>
      <c r="J534" s="44"/>
      <c r="K534" s="311"/>
      <c r="L534" s="232"/>
      <c r="M534" s="225"/>
      <c r="N534" s="380"/>
      <c r="O534" s="45"/>
      <c r="P534" s="311"/>
      <c r="Q534" s="149"/>
      <c r="R534" s="293"/>
      <c r="S534" s="316"/>
      <c r="T534" s="355"/>
      <c r="V534" s="111"/>
      <c r="Y534" s="541"/>
      <c r="AB534" s="428"/>
      <c r="AC534" s="454"/>
      <c r="AD534" s="455"/>
      <c r="AE534" s="166"/>
      <c r="AF534" s="169"/>
      <c r="AG534" s="172"/>
      <c r="AH534" s="150"/>
      <c r="AI534" s="137"/>
      <c r="AJ534" s="188"/>
      <c r="AK534" s="137"/>
    </row>
    <row r="535" spans="2:37" s="30" customFormat="1" x14ac:dyDescent="0.25">
      <c r="B535" s="27"/>
      <c r="D535" s="81"/>
      <c r="E535" s="45"/>
      <c r="F535" s="524"/>
      <c r="G535" s="49"/>
      <c r="H535" s="44"/>
      <c r="I535" s="314"/>
      <c r="J535" s="44"/>
      <c r="K535" s="311"/>
      <c r="L535" s="232"/>
      <c r="M535" s="225"/>
      <c r="N535" s="380"/>
      <c r="O535" s="45"/>
      <c r="P535" s="311"/>
      <c r="Q535" s="149"/>
      <c r="R535" s="293"/>
      <c r="S535" s="316"/>
      <c r="T535" s="355"/>
      <c r="V535" s="111"/>
      <c r="Y535" s="541"/>
      <c r="AB535" s="428"/>
      <c r="AC535" s="454"/>
      <c r="AD535" s="455"/>
      <c r="AE535" s="166"/>
      <c r="AF535" s="169"/>
      <c r="AG535" s="172"/>
      <c r="AH535" s="150"/>
      <c r="AI535" s="137"/>
      <c r="AJ535" s="188"/>
      <c r="AK535" s="137"/>
    </row>
    <row r="536" spans="2:37" s="30" customFormat="1" x14ac:dyDescent="0.25">
      <c r="B536" s="27"/>
      <c r="D536" s="81"/>
      <c r="E536" s="45"/>
      <c r="F536" s="524"/>
      <c r="G536" s="151"/>
      <c r="H536" s="44"/>
      <c r="I536" s="314"/>
      <c r="J536" s="44"/>
      <c r="K536" s="311"/>
      <c r="L536" s="232"/>
      <c r="M536" s="225"/>
      <c r="N536" s="380"/>
      <c r="O536" s="45"/>
      <c r="P536" s="311"/>
      <c r="Q536" s="149"/>
      <c r="R536" s="293"/>
      <c r="S536" s="316"/>
      <c r="T536" s="355"/>
      <c r="V536" s="111"/>
      <c r="Y536" s="541"/>
      <c r="AB536" s="428"/>
      <c r="AC536" s="454"/>
      <c r="AD536" s="455"/>
      <c r="AE536" s="166"/>
      <c r="AF536" s="169"/>
      <c r="AG536" s="172"/>
      <c r="AH536" s="150"/>
      <c r="AI536" s="137"/>
      <c r="AJ536" s="188"/>
      <c r="AK536" s="137"/>
    </row>
    <row r="537" spans="2:37" s="30" customFormat="1" x14ac:dyDescent="0.25">
      <c r="B537" s="27"/>
      <c r="D537" s="81"/>
      <c r="E537" s="45"/>
      <c r="F537" s="524"/>
      <c r="G537" s="151"/>
      <c r="H537" s="44"/>
      <c r="I537" s="314"/>
      <c r="J537" s="44"/>
      <c r="K537" s="311"/>
      <c r="L537" s="232"/>
      <c r="M537" s="225"/>
      <c r="N537" s="380"/>
      <c r="O537" s="45"/>
      <c r="P537" s="311"/>
      <c r="Q537" s="149"/>
      <c r="R537" s="293"/>
      <c r="S537" s="316"/>
      <c r="T537" s="355"/>
      <c r="V537" s="111"/>
      <c r="Y537" s="541"/>
      <c r="AB537" s="428"/>
      <c r="AC537" s="454"/>
      <c r="AD537" s="455"/>
      <c r="AE537" s="166"/>
      <c r="AF537" s="169"/>
      <c r="AG537" s="172"/>
      <c r="AH537" s="150"/>
      <c r="AI537" s="137"/>
      <c r="AJ537" s="188"/>
      <c r="AK537" s="137"/>
    </row>
    <row r="538" spans="2:37" s="30" customFormat="1" x14ac:dyDescent="0.25">
      <c r="B538" s="27"/>
      <c r="D538" s="81"/>
      <c r="E538" s="45"/>
      <c r="F538" s="524"/>
      <c r="G538" s="151"/>
      <c r="H538" s="44"/>
      <c r="I538" s="314"/>
      <c r="J538" s="44"/>
      <c r="K538" s="311"/>
      <c r="L538" s="232"/>
      <c r="M538" s="225"/>
      <c r="N538" s="380"/>
      <c r="O538" s="45"/>
      <c r="P538" s="311"/>
      <c r="Q538" s="149"/>
      <c r="R538" s="293"/>
      <c r="S538" s="316"/>
      <c r="T538" s="355"/>
      <c r="V538" s="111"/>
      <c r="Y538" s="541"/>
      <c r="AB538" s="428"/>
      <c r="AC538" s="454"/>
      <c r="AD538" s="455"/>
      <c r="AE538" s="166"/>
      <c r="AF538" s="169"/>
      <c r="AG538" s="172"/>
      <c r="AH538" s="150"/>
      <c r="AI538" s="137"/>
      <c r="AJ538" s="188"/>
      <c r="AK538" s="137"/>
    </row>
    <row r="539" spans="2:37" s="30" customFormat="1" x14ac:dyDescent="0.25">
      <c r="B539" s="27"/>
      <c r="D539" s="81"/>
      <c r="E539" s="45"/>
      <c r="F539" s="524"/>
      <c r="G539" s="151"/>
      <c r="H539" s="44"/>
      <c r="I539" s="314"/>
      <c r="J539" s="44"/>
      <c r="K539" s="311"/>
      <c r="L539" s="232"/>
      <c r="M539" s="225"/>
      <c r="N539" s="380"/>
      <c r="O539" s="45"/>
      <c r="P539" s="311"/>
      <c r="Q539" s="149"/>
      <c r="R539" s="293"/>
      <c r="S539" s="316"/>
      <c r="T539" s="355"/>
      <c r="V539" s="111"/>
      <c r="Y539" s="541"/>
      <c r="AB539" s="428"/>
      <c r="AC539" s="454"/>
      <c r="AD539" s="455"/>
      <c r="AE539" s="166"/>
      <c r="AF539" s="169"/>
      <c r="AG539" s="172"/>
      <c r="AH539" s="150"/>
      <c r="AI539" s="137"/>
      <c r="AJ539" s="188"/>
      <c r="AK539" s="137"/>
    </row>
    <row r="540" spans="2:37" s="30" customFormat="1" x14ac:dyDescent="0.25">
      <c r="B540" s="27"/>
      <c r="D540" s="81"/>
      <c r="E540" s="45"/>
      <c r="F540" s="524"/>
      <c r="G540" s="151"/>
      <c r="H540" s="44"/>
      <c r="I540" s="314"/>
      <c r="J540" s="44"/>
      <c r="K540" s="311"/>
      <c r="L540" s="232"/>
      <c r="M540" s="225"/>
      <c r="N540" s="380"/>
      <c r="O540" s="45"/>
      <c r="P540" s="311"/>
      <c r="Q540" s="149"/>
      <c r="R540" s="293"/>
      <c r="S540" s="316"/>
      <c r="T540" s="355"/>
      <c r="V540" s="111"/>
      <c r="Y540" s="541"/>
      <c r="AB540" s="428"/>
      <c r="AC540" s="454"/>
      <c r="AD540" s="455"/>
      <c r="AE540" s="166"/>
      <c r="AF540" s="169"/>
      <c r="AG540" s="172"/>
      <c r="AH540" s="150"/>
      <c r="AI540" s="137"/>
      <c r="AJ540" s="188"/>
      <c r="AK540" s="137"/>
    </row>
    <row r="541" spans="2:37" s="30" customFormat="1" x14ac:dyDescent="0.25">
      <c r="B541" s="27"/>
      <c r="D541" s="81"/>
      <c r="E541" s="45"/>
      <c r="F541" s="524"/>
      <c r="G541" s="151"/>
      <c r="H541" s="44"/>
      <c r="I541" s="314"/>
      <c r="J541" s="44"/>
      <c r="K541" s="311"/>
      <c r="L541" s="232"/>
      <c r="M541" s="225"/>
      <c r="N541" s="380"/>
      <c r="O541" s="45"/>
      <c r="P541" s="311"/>
      <c r="Q541" s="149"/>
      <c r="R541" s="293"/>
      <c r="S541" s="316"/>
      <c r="T541" s="355"/>
      <c r="V541" s="111"/>
      <c r="Y541" s="541"/>
      <c r="AB541" s="428"/>
      <c r="AC541" s="454"/>
      <c r="AD541" s="455"/>
      <c r="AE541" s="166"/>
      <c r="AF541" s="169"/>
      <c r="AG541" s="172"/>
      <c r="AH541" s="150"/>
      <c r="AI541" s="137"/>
      <c r="AJ541" s="188"/>
      <c r="AK541" s="137"/>
    </row>
    <row r="542" spans="2:37" s="30" customFormat="1" x14ac:dyDescent="0.25">
      <c r="B542" s="27"/>
      <c r="D542" s="81"/>
      <c r="E542" s="45"/>
      <c r="F542" s="524"/>
      <c r="G542" s="151"/>
      <c r="H542" s="44"/>
      <c r="I542" s="314"/>
      <c r="J542" s="44"/>
      <c r="K542" s="311"/>
      <c r="L542" s="232"/>
      <c r="M542" s="225"/>
      <c r="N542" s="380"/>
      <c r="O542" s="45"/>
      <c r="P542" s="311"/>
      <c r="Q542" s="149"/>
      <c r="R542" s="293"/>
      <c r="S542" s="316"/>
      <c r="T542" s="355"/>
      <c r="V542" s="111"/>
      <c r="Y542" s="541"/>
      <c r="AB542" s="428"/>
      <c r="AC542" s="454"/>
      <c r="AD542" s="455"/>
      <c r="AE542" s="166"/>
      <c r="AF542" s="169"/>
      <c r="AG542" s="172"/>
      <c r="AH542" s="150"/>
      <c r="AI542" s="137"/>
      <c r="AJ542" s="188"/>
      <c r="AK542" s="137"/>
    </row>
    <row r="543" spans="2:37" s="30" customFormat="1" x14ac:dyDescent="0.25">
      <c r="B543" s="27"/>
      <c r="D543" s="81"/>
      <c r="E543" s="45"/>
      <c r="F543" s="524"/>
      <c r="G543" s="151"/>
      <c r="H543" s="44"/>
      <c r="I543" s="314"/>
      <c r="J543" s="44"/>
      <c r="K543" s="311"/>
      <c r="L543" s="232"/>
      <c r="M543" s="225"/>
      <c r="N543" s="380"/>
      <c r="O543" s="45"/>
      <c r="P543" s="311"/>
      <c r="Q543" s="149"/>
      <c r="R543" s="293"/>
      <c r="S543" s="316"/>
      <c r="T543" s="355"/>
      <c r="V543" s="111"/>
      <c r="Y543" s="541"/>
      <c r="AB543" s="428"/>
      <c r="AC543" s="454"/>
      <c r="AD543" s="455"/>
      <c r="AE543" s="166"/>
      <c r="AF543" s="169"/>
      <c r="AG543" s="172"/>
      <c r="AH543" s="150"/>
      <c r="AI543" s="137"/>
      <c r="AJ543" s="188"/>
      <c r="AK543" s="137"/>
    </row>
    <row r="544" spans="2:37" s="30" customFormat="1" x14ac:dyDescent="0.25">
      <c r="B544" s="27"/>
      <c r="D544" s="81"/>
      <c r="E544" s="45"/>
      <c r="F544" s="524"/>
      <c r="G544" s="151"/>
      <c r="H544" s="44"/>
      <c r="I544" s="314"/>
      <c r="J544" s="44"/>
      <c r="K544" s="311"/>
      <c r="L544" s="232"/>
      <c r="M544" s="225"/>
      <c r="N544" s="380"/>
      <c r="O544" s="45"/>
      <c r="P544" s="311"/>
      <c r="Q544" s="149"/>
      <c r="R544" s="293"/>
      <c r="S544" s="316"/>
      <c r="T544" s="355"/>
      <c r="V544" s="111"/>
      <c r="Y544" s="541"/>
      <c r="AB544" s="428"/>
      <c r="AC544" s="454"/>
      <c r="AD544" s="455"/>
      <c r="AE544" s="166"/>
      <c r="AF544" s="169"/>
      <c r="AG544" s="172"/>
      <c r="AH544" s="150"/>
      <c r="AI544" s="137"/>
      <c r="AJ544" s="188"/>
      <c r="AK544" s="137"/>
    </row>
    <row r="545" spans="2:37" s="30" customFormat="1" x14ac:dyDescent="0.25">
      <c r="B545" s="27"/>
      <c r="D545" s="81"/>
      <c r="E545" s="45"/>
      <c r="F545" s="524"/>
      <c r="G545" s="151"/>
      <c r="H545" s="44"/>
      <c r="I545" s="314"/>
      <c r="J545" s="44"/>
      <c r="K545" s="311"/>
      <c r="L545" s="232"/>
      <c r="M545" s="225"/>
      <c r="N545" s="380"/>
      <c r="O545" s="45"/>
      <c r="P545" s="311"/>
      <c r="Q545" s="149"/>
      <c r="R545" s="293"/>
      <c r="S545" s="316"/>
      <c r="T545" s="355"/>
      <c r="V545" s="111"/>
      <c r="Y545" s="541"/>
      <c r="AB545" s="428"/>
      <c r="AC545" s="454"/>
      <c r="AD545" s="455"/>
      <c r="AE545" s="166"/>
      <c r="AF545" s="169"/>
      <c r="AG545" s="172"/>
      <c r="AH545" s="150"/>
      <c r="AI545" s="137"/>
      <c r="AJ545" s="188"/>
      <c r="AK545" s="137"/>
    </row>
    <row r="546" spans="2:37" s="30" customFormat="1" x14ac:dyDescent="0.25">
      <c r="B546" s="27"/>
      <c r="D546" s="81"/>
      <c r="E546" s="45"/>
      <c r="F546" s="524"/>
      <c r="G546" s="151"/>
      <c r="H546" s="44"/>
      <c r="I546" s="314"/>
      <c r="J546" s="44"/>
      <c r="K546" s="311"/>
      <c r="L546" s="232"/>
      <c r="M546" s="225"/>
      <c r="N546" s="380"/>
      <c r="O546" s="45"/>
      <c r="P546" s="311"/>
      <c r="Q546" s="149"/>
      <c r="R546" s="293"/>
      <c r="S546" s="316"/>
      <c r="T546" s="355"/>
      <c r="V546" s="111"/>
      <c r="Y546" s="541"/>
      <c r="AB546" s="428"/>
      <c r="AC546" s="454"/>
      <c r="AD546" s="455"/>
      <c r="AE546" s="166"/>
      <c r="AF546" s="169"/>
      <c r="AG546" s="172"/>
      <c r="AH546" s="150"/>
      <c r="AI546" s="137"/>
      <c r="AJ546" s="188"/>
      <c r="AK546" s="137"/>
    </row>
    <row r="547" spans="2:37" s="30" customFormat="1" x14ac:dyDescent="0.25">
      <c r="B547" s="27"/>
      <c r="D547" s="81"/>
      <c r="E547" s="45"/>
      <c r="F547" s="524"/>
      <c r="G547" s="151"/>
      <c r="H547" s="44"/>
      <c r="I547" s="314"/>
      <c r="J547" s="44"/>
      <c r="K547" s="311"/>
      <c r="L547" s="232"/>
      <c r="M547" s="225"/>
      <c r="N547" s="380"/>
      <c r="O547" s="45"/>
      <c r="P547" s="311"/>
      <c r="Q547" s="149"/>
      <c r="R547" s="293"/>
      <c r="S547" s="316"/>
      <c r="T547" s="355"/>
      <c r="V547" s="111"/>
      <c r="Y547" s="541"/>
      <c r="AB547" s="428"/>
      <c r="AC547" s="454"/>
      <c r="AD547" s="455"/>
      <c r="AE547" s="166"/>
      <c r="AF547" s="169"/>
      <c r="AG547" s="172"/>
      <c r="AH547" s="150"/>
      <c r="AI547" s="137"/>
      <c r="AJ547" s="188"/>
      <c r="AK547" s="137"/>
    </row>
    <row r="548" spans="2:37" s="30" customFormat="1" x14ac:dyDescent="0.25">
      <c r="B548" s="27"/>
      <c r="D548" s="81"/>
      <c r="E548" s="45"/>
      <c r="F548" s="524"/>
      <c r="G548" s="151"/>
      <c r="H548" s="44"/>
      <c r="I548" s="314"/>
      <c r="J548" s="44"/>
      <c r="K548" s="311"/>
      <c r="L548" s="232"/>
      <c r="M548" s="225"/>
      <c r="N548" s="380"/>
      <c r="O548" s="45"/>
      <c r="P548" s="311"/>
      <c r="Q548" s="149"/>
      <c r="R548" s="293"/>
      <c r="S548" s="316"/>
      <c r="T548" s="355"/>
      <c r="V548" s="111"/>
      <c r="Y548" s="541"/>
      <c r="AB548" s="428"/>
      <c r="AC548" s="454"/>
      <c r="AD548" s="455"/>
      <c r="AE548" s="166"/>
      <c r="AF548" s="169"/>
      <c r="AG548" s="172"/>
      <c r="AH548" s="150"/>
      <c r="AI548" s="137"/>
      <c r="AJ548" s="188"/>
      <c r="AK548" s="137"/>
    </row>
    <row r="549" spans="2:37" s="30" customFormat="1" x14ac:dyDescent="0.25">
      <c r="B549" s="27"/>
      <c r="D549" s="81"/>
      <c r="E549" s="45"/>
      <c r="F549" s="524"/>
      <c r="G549" s="151"/>
      <c r="H549" s="44"/>
      <c r="I549" s="314"/>
      <c r="J549" s="44"/>
      <c r="K549" s="311"/>
      <c r="L549" s="232"/>
      <c r="M549" s="225"/>
      <c r="N549" s="380"/>
      <c r="O549" s="45"/>
      <c r="P549" s="311"/>
      <c r="Q549" s="149"/>
      <c r="R549" s="293"/>
      <c r="S549" s="316"/>
      <c r="T549" s="355"/>
      <c r="V549" s="111"/>
      <c r="Y549" s="541"/>
      <c r="AB549" s="428"/>
      <c r="AC549" s="454"/>
      <c r="AD549" s="455"/>
      <c r="AE549" s="166"/>
      <c r="AF549" s="169"/>
      <c r="AG549" s="172"/>
      <c r="AH549" s="150"/>
      <c r="AI549" s="137"/>
      <c r="AJ549" s="188"/>
      <c r="AK549" s="137"/>
    </row>
    <row r="550" spans="2:37" s="30" customFormat="1" x14ac:dyDescent="0.25">
      <c r="B550" s="27"/>
      <c r="D550" s="81"/>
      <c r="E550" s="45"/>
      <c r="F550" s="524"/>
      <c r="G550" s="151"/>
      <c r="H550" s="44"/>
      <c r="I550" s="314"/>
      <c r="J550" s="44"/>
      <c r="K550" s="311"/>
      <c r="L550" s="232"/>
      <c r="M550" s="225"/>
      <c r="N550" s="380"/>
      <c r="O550" s="45"/>
      <c r="P550" s="311"/>
      <c r="Q550" s="149"/>
      <c r="R550" s="293"/>
      <c r="S550" s="316"/>
      <c r="T550" s="355"/>
      <c r="V550" s="111"/>
      <c r="Y550" s="541"/>
      <c r="AB550" s="428"/>
      <c r="AC550" s="454"/>
      <c r="AD550" s="455"/>
      <c r="AE550" s="166"/>
      <c r="AF550" s="169"/>
      <c r="AG550" s="172"/>
      <c r="AH550" s="150"/>
      <c r="AI550" s="137"/>
      <c r="AJ550" s="188"/>
      <c r="AK550" s="137"/>
    </row>
    <row r="551" spans="2:37" s="30" customFormat="1" x14ac:dyDescent="0.25">
      <c r="B551" s="27"/>
      <c r="D551" s="81"/>
      <c r="E551" s="45"/>
      <c r="F551" s="524"/>
      <c r="G551" s="151"/>
      <c r="H551" s="44"/>
      <c r="I551" s="314"/>
      <c r="J551" s="44"/>
      <c r="K551" s="311"/>
      <c r="L551" s="232"/>
      <c r="M551" s="225"/>
      <c r="N551" s="380"/>
      <c r="O551" s="45"/>
      <c r="P551" s="311"/>
      <c r="Q551" s="149"/>
      <c r="R551" s="293"/>
      <c r="S551" s="316"/>
      <c r="T551" s="355"/>
      <c r="V551" s="111"/>
      <c r="Y551" s="541"/>
      <c r="AB551" s="428"/>
      <c r="AC551" s="454"/>
      <c r="AD551" s="455"/>
      <c r="AE551" s="166"/>
      <c r="AF551" s="169"/>
      <c r="AG551" s="172"/>
      <c r="AH551" s="150"/>
      <c r="AI551" s="137"/>
      <c r="AJ551" s="188"/>
      <c r="AK551" s="137"/>
    </row>
    <row r="552" spans="2:37" s="30" customFormat="1" x14ac:dyDescent="0.25">
      <c r="B552" s="27"/>
      <c r="D552" s="81"/>
      <c r="E552" s="45"/>
      <c r="F552" s="524"/>
      <c r="G552" s="151"/>
      <c r="H552" s="44"/>
      <c r="I552" s="314"/>
      <c r="J552" s="44"/>
      <c r="K552" s="311"/>
      <c r="L552" s="232"/>
      <c r="M552" s="225"/>
      <c r="N552" s="380"/>
      <c r="O552" s="45"/>
      <c r="P552" s="311"/>
      <c r="Q552" s="149"/>
      <c r="R552" s="293"/>
      <c r="S552" s="316"/>
      <c r="T552" s="355"/>
      <c r="V552" s="111"/>
      <c r="Y552" s="541"/>
      <c r="AB552" s="428"/>
      <c r="AC552" s="454"/>
      <c r="AD552" s="455"/>
      <c r="AE552" s="166"/>
      <c r="AF552" s="169"/>
      <c r="AG552" s="172"/>
      <c r="AH552" s="150"/>
      <c r="AI552" s="137"/>
      <c r="AJ552" s="188"/>
      <c r="AK552" s="137"/>
    </row>
    <row r="553" spans="2:37" s="30" customFormat="1" x14ac:dyDescent="0.25">
      <c r="B553" s="27"/>
      <c r="D553" s="81"/>
      <c r="E553" s="45"/>
      <c r="F553" s="524"/>
      <c r="G553" s="49"/>
      <c r="H553" s="44"/>
      <c r="I553" s="314"/>
      <c r="J553" s="44"/>
      <c r="K553" s="311"/>
      <c r="L553" s="232"/>
      <c r="M553" s="225"/>
      <c r="N553" s="380"/>
      <c r="O553" s="45"/>
      <c r="P553" s="311"/>
      <c r="Q553" s="149"/>
      <c r="R553" s="293"/>
      <c r="S553" s="316"/>
      <c r="T553" s="355"/>
      <c r="V553" s="111"/>
      <c r="Y553" s="541"/>
      <c r="AB553" s="428"/>
      <c r="AC553" s="454"/>
      <c r="AD553" s="455"/>
      <c r="AE553" s="166"/>
      <c r="AF553" s="169"/>
      <c r="AG553" s="172"/>
      <c r="AH553" s="150"/>
      <c r="AI553" s="137"/>
      <c r="AJ553" s="188"/>
      <c r="AK553" s="137"/>
    </row>
    <row r="554" spans="2:37" s="30" customFormat="1" x14ac:dyDescent="0.25">
      <c r="B554" s="27"/>
      <c r="D554" s="81"/>
      <c r="E554" s="45"/>
      <c r="F554" s="524"/>
      <c r="G554" s="49"/>
      <c r="H554" s="44"/>
      <c r="I554" s="314"/>
      <c r="J554" s="44"/>
      <c r="K554" s="311"/>
      <c r="L554" s="232"/>
      <c r="M554" s="225"/>
      <c r="N554" s="380"/>
      <c r="O554" s="45"/>
      <c r="P554" s="311"/>
      <c r="Q554" s="149"/>
      <c r="R554" s="293"/>
      <c r="S554" s="316"/>
      <c r="T554" s="355"/>
      <c r="V554" s="111"/>
      <c r="Y554" s="541"/>
      <c r="AB554" s="428"/>
      <c r="AC554" s="454"/>
      <c r="AD554" s="455"/>
      <c r="AE554" s="166"/>
      <c r="AF554" s="169"/>
      <c r="AG554" s="172"/>
      <c r="AH554" s="150"/>
      <c r="AI554" s="137"/>
      <c r="AJ554" s="188"/>
      <c r="AK554" s="137"/>
    </row>
    <row r="555" spans="2:37" s="30" customFormat="1" x14ac:dyDescent="0.25">
      <c r="B555" s="27"/>
      <c r="D555" s="81"/>
      <c r="E555" s="45"/>
      <c r="F555" s="524"/>
      <c r="G555" s="49"/>
      <c r="H555" s="45"/>
      <c r="I555" s="314"/>
      <c r="J555" s="44"/>
      <c r="K555" s="311"/>
      <c r="L555" s="232"/>
      <c r="M555" s="225"/>
      <c r="N555" s="380"/>
      <c r="O555" s="45"/>
      <c r="P555" s="311"/>
      <c r="Q555" s="149"/>
      <c r="R555" s="293"/>
      <c r="S555" s="316"/>
      <c r="T555" s="355"/>
      <c r="V555" s="111"/>
      <c r="Y555" s="541"/>
      <c r="AB555" s="428"/>
      <c r="AC555" s="454"/>
      <c r="AD555" s="455"/>
      <c r="AE555" s="166"/>
      <c r="AF555" s="169"/>
      <c r="AG555" s="172"/>
      <c r="AH555" s="150"/>
      <c r="AI555" s="137"/>
      <c r="AJ555" s="188"/>
      <c r="AK555" s="137"/>
    </row>
    <row r="556" spans="2:37" s="30" customFormat="1" x14ac:dyDescent="0.25">
      <c r="B556" s="27"/>
      <c r="D556" s="81"/>
      <c r="E556" s="45"/>
      <c r="F556" s="524"/>
      <c r="G556" s="49"/>
      <c r="H556" s="45"/>
      <c r="I556" s="314"/>
      <c r="J556" s="44"/>
      <c r="K556" s="311"/>
      <c r="L556" s="232"/>
      <c r="M556" s="225"/>
      <c r="N556" s="380"/>
      <c r="O556" s="45"/>
      <c r="P556" s="311"/>
      <c r="Q556" s="149"/>
      <c r="R556" s="293"/>
      <c r="S556" s="316"/>
      <c r="T556" s="355"/>
      <c r="V556" s="111"/>
      <c r="Y556" s="541"/>
      <c r="AB556" s="428"/>
      <c r="AC556" s="454"/>
      <c r="AD556" s="455"/>
      <c r="AE556" s="166"/>
      <c r="AF556" s="169"/>
      <c r="AG556" s="172"/>
      <c r="AH556" s="150"/>
      <c r="AI556" s="137"/>
      <c r="AJ556" s="188"/>
      <c r="AK556" s="137"/>
    </row>
    <row r="557" spans="2:37" s="30" customFormat="1" x14ac:dyDescent="0.25">
      <c r="B557" s="27"/>
      <c r="D557" s="81"/>
      <c r="E557" s="45"/>
      <c r="F557" s="524"/>
      <c r="G557" s="49"/>
      <c r="H557" s="45"/>
      <c r="I557" s="314"/>
      <c r="J557" s="44"/>
      <c r="K557" s="311"/>
      <c r="L557" s="232"/>
      <c r="M557" s="225"/>
      <c r="N557" s="380"/>
      <c r="O557" s="45"/>
      <c r="P557" s="311"/>
      <c r="Q557" s="149"/>
      <c r="R557" s="293"/>
      <c r="S557" s="316"/>
      <c r="T557" s="355"/>
      <c r="V557" s="111"/>
      <c r="Y557" s="541"/>
      <c r="AB557" s="428"/>
      <c r="AC557" s="454"/>
      <c r="AD557" s="455"/>
      <c r="AE557" s="166"/>
      <c r="AF557" s="169"/>
      <c r="AG557" s="172"/>
      <c r="AH557" s="150"/>
      <c r="AI557" s="137"/>
      <c r="AJ557" s="188"/>
      <c r="AK557" s="137"/>
    </row>
    <row r="558" spans="2:37" s="30" customFormat="1" x14ac:dyDescent="0.25">
      <c r="B558" s="27"/>
      <c r="D558" s="81"/>
      <c r="E558" s="45"/>
      <c r="F558" s="524"/>
      <c r="G558" s="49"/>
      <c r="H558" s="45"/>
      <c r="I558" s="314"/>
      <c r="J558" s="44"/>
      <c r="K558" s="311"/>
      <c r="L558" s="232"/>
      <c r="M558" s="225"/>
      <c r="N558" s="380"/>
      <c r="O558" s="45"/>
      <c r="P558" s="311"/>
      <c r="Q558" s="149"/>
      <c r="R558" s="293"/>
      <c r="S558" s="316"/>
      <c r="T558" s="355"/>
      <c r="V558" s="111"/>
      <c r="Y558" s="541"/>
      <c r="AB558" s="428"/>
      <c r="AC558" s="454"/>
      <c r="AD558" s="455"/>
      <c r="AE558" s="166"/>
      <c r="AF558" s="169"/>
      <c r="AG558" s="172"/>
      <c r="AH558" s="150"/>
      <c r="AI558" s="137"/>
      <c r="AJ558" s="188"/>
      <c r="AK558" s="137"/>
    </row>
    <row r="559" spans="2:37" s="30" customFormat="1" x14ac:dyDescent="0.25">
      <c r="B559" s="27"/>
      <c r="D559" s="81"/>
      <c r="E559" s="45"/>
      <c r="F559" s="524"/>
      <c r="G559" s="49"/>
      <c r="H559" s="45"/>
      <c r="I559" s="314"/>
      <c r="J559" s="44"/>
      <c r="K559" s="311"/>
      <c r="L559" s="232"/>
      <c r="M559" s="225"/>
      <c r="N559" s="380"/>
      <c r="O559" s="45"/>
      <c r="P559" s="311"/>
      <c r="Q559" s="149"/>
      <c r="R559" s="293"/>
      <c r="S559" s="316"/>
      <c r="T559" s="355"/>
      <c r="V559" s="111"/>
      <c r="Y559" s="541"/>
      <c r="AB559" s="428"/>
      <c r="AC559" s="454"/>
      <c r="AD559" s="455"/>
      <c r="AE559" s="166"/>
      <c r="AF559" s="169"/>
      <c r="AG559" s="172"/>
      <c r="AH559" s="150"/>
      <c r="AI559" s="137"/>
      <c r="AJ559" s="188"/>
      <c r="AK559" s="137"/>
    </row>
    <row r="560" spans="2:37" s="30" customFormat="1" x14ac:dyDescent="0.25">
      <c r="B560" s="27"/>
      <c r="D560" s="81"/>
      <c r="E560" s="45"/>
      <c r="F560" s="524"/>
      <c r="G560" s="49"/>
      <c r="H560" s="45"/>
      <c r="I560" s="314"/>
      <c r="J560" s="44"/>
      <c r="K560" s="311"/>
      <c r="L560" s="232"/>
      <c r="M560" s="225"/>
      <c r="N560" s="380"/>
      <c r="O560" s="45"/>
      <c r="P560" s="311"/>
      <c r="Q560" s="149"/>
      <c r="R560" s="293"/>
      <c r="S560" s="316"/>
      <c r="T560" s="355"/>
      <c r="V560" s="111"/>
      <c r="Y560" s="541"/>
      <c r="AB560" s="428"/>
      <c r="AC560" s="454"/>
      <c r="AD560" s="455"/>
      <c r="AE560" s="166"/>
      <c r="AF560" s="169"/>
      <c r="AG560" s="172"/>
      <c r="AH560" s="150"/>
      <c r="AI560" s="137"/>
      <c r="AJ560" s="188"/>
      <c r="AK560" s="137"/>
    </row>
    <row r="561" spans="2:37" s="30" customFormat="1" x14ac:dyDescent="0.25">
      <c r="B561" s="27"/>
      <c r="D561" s="81"/>
      <c r="E561" s="45"/>
      <c r="F561" s="524"/>
      <c r="G561" s="49"/>
      <c r="H561" s="45"/>
      <c r="I561" s="314"/>
      <c r="J561" s="44"/>
      <c r="K561" s="311"/>
      <c r="L561" s="232"/>
      <c r="M561" s="225"/>
      <c r="N561" s="380"/>
      <c r="O561" s="45"/>
      <c r="P561" s="311"/>
      <c r="Q561" s="149"/>
      <c r="R561" s="293"/>
      <c r="S561" s="316"/>
      <c r="T561" s="355"/>
      <c r="V561" s="111"/>
      <c r="Y561" s="541"/>
      <c r="AB561" s="428"/>
      <c r="AC561" s="454"/>
      <c r="AD561" s="455"/>
      <c r="AE561" s="166"/>
      <c r="AF561" s="169"/>
      <c r="AG561" s="172"/>
      <c r="AH561" s="150"/>
      <c r="AI561" s="137"/>
      <c r="AJ561" s="188"/>
      <c r="AK561" s="137"/>
    </row>
    <row r="562" spans="2:37" s="30" customFormat="1" x14ac:dyDescent="0.25">
      <c r="B562" s="27"/>
      <c r="D562" s="81"/>
      <c r="E562" s="45"/>
      <c r="F562" s="524"/>
      <c r="G562" s="49"/>
      <c r="H562" s="45"/>
      <c r="I562" s="314"/>
      <c r="J562" s="44"/>
      <c r="K562" s="311"/>
      <c r="L562" s="232"/>
      <c r="M562" s="225"/>
      <c r="N562" s="380"/>
      <c r="O562" s="45"/>
      <c r="P562" s="311"/>
      <c r="Q562" s="149"/>
      <c r="R562" s="293"/>
      <c r="S562" s="316"/>
      <c r="T562" s="355"/>
      <c r="V562" s="111"/>
      <c r="Y562" s="541"/>
      <c r="AB562" s="428"/>
      <c r="AC562" s="454"/>
      <c r="AD562" s="455"/>
      <c r="AE562" s="166"/>
      <c r="AF562" s="169"/>
      <c r="AG562" s="172"/>
      <c r="AH562" s="150"/>
      <c r="AI562" s="137"/>
      <c r="AJ562" s="188"/>
      <c r="AK562" s="137"/>
    </row>
    <row r="563" spans="2:37" s="30" customFormat="1" x14ac:dyDescent="0.25">
      <c r="B563" s="27"/>
      <c r="D563" s="81"/>
      <c r="E563" s="45"/>
      <c r="F563" s="524"/>
      <c r="G563" s="49"/>
      <c r="H563" s="45"/>
      <c r="I563" s="314"/>
      <c r="J563" s="44"/>
      <c r="K563" s="311"/>
      <c r="L563" s="232"/>
      <c r="M563" s="225"/>
      <c r="N563" s="380"/>
      <c r="O563" s="45"/>
      <c r="P563" s="311"/>
      <c r="Q563" s="149"/>
      <c r="R563" s="293"/>
      <c r="S563" s="316"/>
      <c r="T563" s="355"/>
      <c r="V563" s="111"/>
      <c r="Y563" s="541"/>
      <c r="AB563" s="428"/>
      <c r="AC563" s="454"/>
      <c r="AD563" s="455"/>
      <c r="AE563" s="166"/>
      <c r="AF563" s="169"/>
      <c r="AG563" s="172"/>
      <c r="AH563" s="150"/>
      <c r="AI563" s="137"/>
      <c r="AJ563" s="188"/>
      <c r="AK563" s="137"/>
    </row>
    <row r="564" spans="2:37" s="30" customFormat="1" x14ac:dyDescent="0.25">
      <c r="B564" s="27"/>
      <c r="D564" s="81"/>
      <c r="E564" s="45"/>
      <c r="F564" s="524"/>
      <c r="G564" s="49"/>
      <c r="H564" s="45"/>
      <c r="I564" s="314"/>
      <c r="J564" s="44"/>
      <c r="K564" s="311"/>
      <c r="L564" s="232"/>
      <c r="M564" s="225"/>
      <c r="N564" s="380"/>
      <c r="O564" s="45"/>
      <c r="P564" s="311"/>
      <c r="Q564" s="149"/>
      <c r="R564" s="293"/>
      <c r="S564" s="316"/>
      <c r="T564" s="355"/>
      <c r="V564" s="111"/>
      <c r="Y564" s="541"/>
      <c r="AB564" s="428"/>
      <c r="AC564" s="454"/>
      <c r="AD564" s="455"/>
      <c r="AE564" s="166"/>
      <c r="AF564" s="169"/>
      <c r="AG564" s="172"/>
      <c r="AH564" s="150"/>
      <c r="AI564" s="137"/>
      <c r="AJ564" s="188"/>
      <c r="AK564" s="137"/>
    </row>
    <row r="565" spans="2:37" s="30" customFormat="1" x14ac:dyDescent="0.25">
      <c r="B565" s="27"/>
      <c r="D565" s="81"/>
      <c r="E565" s="45"/>
      <c r="F565" s="524"/>
      <c r="G565" s="49"/>
      <c r="H565" s="45"/>
      <c r="I565" s="314"/>
      <c r="J565" s="44"/>
      <c r="K565" s="311"/>
      <c r="L565" s="232"/>
      <c r="M565" s="225"/>
      <c r="N565" s="380"/>
      <c r="O565" s="45"/>
      <c r="P565" s="311"/>
      <c r="Q565" s="149"/>
      <c r="R565" s="293"/>
      <c r="S565" s="316"/>
      <c r="T565" s="355"/>
      <c r="V565" s="111"/>
      <c r="Y565" s="541"/>
      <c r="AB565" s="428"/>
      <c r="AC565" s="454"/>
      <c r="AD565" s="455"/>
      <c r="AE565" s="166"/>
      <c r="AF565" s="169"/>
      <c r="AG565" s="172"/>
      <c r="AH565" s="150"/>
      <c r="AI565" s="137"/>
      <c r="AJ565" s="188"/>
      <c r="AK565" s="137"/>
    </row>
    <row r="566" spans="2:37" s="30" customFormat="1" x14ac:dyDescent="0.25">
      <c r="B566" s="27"/>
      <c r="D566" s="81"/>
      <c r="E566" s="45"/>
      <c r="F566" s="524"/>
      <c r="G566" s="49"/>
      <c r="H566" s="45"/>
      <c r="I566" s="314"/>
      <c r="J566" s="44"/>
      <c r="K566" s="311"/>
      <c r="L566" s="232"/>
      <c r="M566" s="225"/>
      <c r="N566" s="380"/>
      <c r="O566" s="45"/>
      <c r="P566" s="311"/>
      <c r="Q566" s="149"/>
      <c r="R566" s="293"/>
      <c r="S566" s="316"/>
      <c r="T566" s="355"/>
      <c r="V566" s="111"/>
      <c r="Y566" s="541"/>
      <c r="AB566" s="428"/>
      <c r="AC566" s="454"/>
      <c r="AD566" s="455"/>
      <c r="AE566" s="166"/>
      <c r="AF566" s="169"/>
      <c r="AG566" s="172"/>
      <c r="AH566" s="150"/>
      <c r="AI566" s="137"/>
      <c r="AJ566" s="188"/>
      <c r="AK566" s="137"/>
    </row>
    <row r="567" spans="2:37" s="30" customFormat="1" x14ac:dyDescent="0.25">
      <c r="B567" s="27"/>
      <c r="D567" s="81"/>
      <c r="E567" s="45"/>
      <c r="F567" s="524"/>
      <c r="G567" s="49"/>
      <c r="H567" s="45"/>
      <c r="I567" s="314"/>
      <c r="J567" s="44"/>
      <c r="K567" s="311"/>
      <c r="L567" s="232"/>
      <c r="M567" s="225"/>
      <c r="N567" s="380"/>
      <c r="O567" s="45"/>
      <c r="P567" s="311"/>
      <c r="Q567" s="149"/>
      <c r="R567" s="293"/>
      <c r="S567" s="316"/>
      <c r="T567" s="355"/>
      <c r="V567" s="111"/>
      <c r="Y567" s="541"/>
      <c r="AB567" s="428"/>
      <c r="AC567" s="454"/>
      <c r="AD567" s="455"/>
      <c r="AE567" s="166"/>
      <c r="AF567" s="169"/>
      <c r="AG567" s="172"/>
      <c r="AH567" s="150"/>
      <c r="AI567" s="137"/>
      <c r="AJ567" s="188"/>
      <c r="AK567" s="137"/>
    </row>
    <row r="568" spans="2:37" s="30" customFormat="1" x14ac:dyDescent="0.25">
      <c r="B568" s="27"/>
      <c r="D568" s="81"/>
      <c r="E568" s="45"/>
      <c r="F568" s="524"/>
      <c r="G568" s="49"/>
      <c r="H568" s="45"/>
      <c r="I568" s="314"/>
      <c r="J568" s="44"/>
      <c r="K568" s="311"/>
      <c r="L568" s="232"/>
      <c r="M568" s="225"/>
      <c r="N568" s="380"/>
      <c r="O568" s="45"/>
      <c r="P568" s="311"/>
      <c r="Q568" s="149"/>
      <c r="R568" s="293"/>
      <c r="S568" s="316"/>
      <c r="T568" s="355"/>
      <c r="V568" s="111"/>
      <c r="Y568" s="541"/>
      <c r="AB568" s="428"/>
      <c r="AC568" s="454"/>
      <c r="AD568" s="455"/>
      <c r="AE568" s="166"/>
      <c r="AF568" s="169"/>
      <c r="AG568" s="172"/>
      <c r="AH568" s="150"/>
      <c r="AI568" s="137"/>
      <c r="AJ568" s="188"/>
      <c r="AK568" s="137"/>
    </row>
    <row r="569" spans="2:37" s="30" customFormat="1" x14ac:dyDescent="0.25">
      <c r="B569" s="27"/>
      <c r="D569" s="81"/>
      <c r="E569" s="45"/>
      <c r="F569" s="524"/>
      <c r="G569" s="49"/>
      <c r="H569" s="45"/>
      <c r="I569" s="314"/>
      <c r="J569" s="44"/>
      <c r="K569" s="311"/>
      <c r="L569" s="232"/>
      <c r="M569" s="225"/>
      <c r="N569" s="380"/>
      <c r="O569" s="45"/>
      <c r="P569" s="311"/>
      <c r="Q569" s="149"/>
      <c r="R569" s="293"/>
      <c r="S569" s="316"/>
      <c r="T569" s="355"/>
      <c r="V569" s="111"/>
      <c r="Y569" s="541"/>
      <c r="AB569" s="428"/>
      <c r="AC569" s="454"/>
      <c r="AD569" s="455"/>
      <c r="AE569" s="166"/>
      <c r="AF569" s="169"/>
      <c r="AG569" s="172"/>
      <c r="AH569" s="150"/>
      <c r="AI569" s="137"/>
      <c r="AJ569" s="188"/>
      <c r="AK569" s="137"/>
    </row>
    <row r="570" spans="2:37" s="30" customFormat="1" x14ac:dyDescent="0.25">
      <c r="B570" s="27"/>
      <c r="D570" s="81"/>
      <c r="E570" s="45"/>
      <c r="F570" s="524"/>
      <c r="G570" s="49"/>
      <c r="H570" s="45"/>
      <c r="I570" s="314"/>
      <c r="J570" s="44"/>
      <c r="K570" s="311"/>
      <c r="L570" s="232"/>
      <c r="M570" s="225"/>
      <c r="N570" s="380"/>
      <c r="O570" s="45"/>
      <c r="P570" s="311"/>
      <c r="Q570" s="149"/>
      <c r="R570" s="293"/>
      <c r="S570" s="316"/>
      <c r="T570" s="355"/>
      <c r="V570" s="111"/>
      <c r="Y570" s="541"/>
      <c r="AB570" s="428"/>
      <c r="AC570" s="454"/>
      <c r="AD570" s="455"/>
      <c r="AE570" s="166"/>
      <c r="AF570" s="169"/>
      <c r="AG570" s="172"/>
      <c r="AH570" s="150"/>
      <c r="AI570" s="137"/>
      <c r="AJ570" s="188"/>
      <c r="AK570" s="137"/>
    </row>
    <row r="571" spans="2:37" s="30" customFormat="1" x14ac:dyDescent="0.25">
      <c r="B571" s="27"/>
      <c r="D571" s="81"/>
      <c r="E571" s="45"/>
      <c r="F571" s="524"/>
      <c r="G571" s="49"/>
      <c r="H571" s="45"/>
      <c r="I571" s="314"/>
      <c r="J571" s="44"/>
      <c r="K571" s="311"/>
      <c r="L571" s="232"/>
      <c r="M571" s="225"/>
      <c r="N571" s="380"/>
      <c r="O571" s="45"/>
      <c r="P571" s="311"/>
      <c r="Q571" s="149"/>
      <c r="R571" s="293"/>
      <c r="S571" s="316"/>
      <c r="T571" s="355"/>
      <c r="V571" s="111"/>
      <c r="Y571" s="541"/>
      <c r="AB571" s="428"/>
      <c r="AC571" s="454"/>
      <c r="AD571" s="455"/>
      <c r="AE571" s="166"/>
      <c r="AF571" s="169"/>
      <c r="AG571" s="172"/>
      <c r="AH571" s="150"/>
      <c r="AI571" s="137"/>
      <c r="AJ571" s="188"/>
      <c r="AK571" s="137"/>
    </row>
    <row r="572" spans="2:37" s="30" customFormat="1" x14ac:dyDescent="0.25">
      <c r="B572" s="27"/>
      <c r="D572" s="81"/>
      <c r="E572" s="45"/>
      <c r="F572" s="524"/>
      <c r="G572" s="49"/>
      <c r="H572" s="45"/>
      <c r="I572" s="314"/>
      <c r="J572" s="44"/>
      <c r="K572" s="311"/>
      <c r="L572" s="232"/>
      <c r="M572" s="225"/>
      <c r="N572" s="380"/>
      <c r="O572" s="45"/>
      <c r="P572" s="311"/>
      <c r="Q572" s="149"/>
      <c r="R572" s="293"/>
      <c r="S572" s="316"/>
      <c r="T572" s="355"/>
      <c r="V572" s="111"/>
      <c r="Y572" s="541"/>
      <c r="AB572" s="428"/>
      <c r="AC572" s="454"/>
      <c r="AD572" s="455"/>
      <c r="AE572" s="166"/>
      <c r="AF572" s="169"/>
      <c r="AG572" s="172"/>
      <c r="AH572" s="150"/>
      <c r="AI572" s="137"/>
      <c r="AJ572" s="188"/>
      <c r="AK572" s="137"/>
    </row>
    <row r="573" spans="2:37" s="30" customFormat="1" x14ac:dyDescent="0.25">
      <c r="B573" s="27"/>
      <c r="D573" s="81"/>
      <c r="E573" s="45"/>
      <c r="F573" s="524"/>
      <c r="G573" s="49"/>
      <c r="H573" s="45"/>
      <c r="I573" s="314"/>
      <c r="J573" s="44"/>
      <c r="K573" s="311"/>
      <c r="L573" s="232"/>
      <c r="M573" s="225"/>
      <c r="N573" s="380"/>
      <c r="O573" s="45"/>
      <c r="P573" s="311"/>
      <c r="Q573" s="149"/>
      <c r="R573" s="293"/>
      <c r="S573" s="316"/>
      <c r="T573" s="355"/>
      <c r="V573" s="111"/>
      <c r="Y573" s="541"/>
      <c r="AB573" s="428"/>
      <c r="AC573" s="454"/>
      <c r="AD573" s="455"/>
      <c r="AE573" s="166"/>
      <c r="AF573" s="169"/>
      <c r="AG573" s="172"/>
      <c r="AH573" s="150"/>
      <c r="AI573" s="137"/>
      <c r="AJ573" s="188"/>
      <c r="AK573" s="137"/>
    </row>
    <row r="574" spans="2:37" s="30" customFormat="1" x14ac:dyDescent="0.25">
      <c r="B574" s="27"/>
      <c r="D574" s="81"/>
      <c r="E574" s="45"/>
      <c r="F574" s="524"/>
      <c r="G574" s="49"/>
      <c r="H574" s="45"/>
      <c r="I574" s="314"/>
      <c r="J574" s="44"/>
      <c r="K574" s="311"/>
      <c r="L574" s="232"/>
      <c r="M574" s="225"/>
      <c r="N574" s="380"/>
      <c r="O574" s="45"/>
      <c r="P574" s="311"/>
      <c r="Q574" s="149"/>
      <c r="R574" s="293"/>
      <c r="S574" s="316"/>
      <c r="T574" s="355"/>
      <c r="V574" s="111"/>
      <c r="Y574" s="541"/>
      <c r="AB574" s="428"/>
      <c r="AC574" s="454"/>
      <c r="AD574" s="455"/>
      <c r="AE574" s="166"/>
      <c r="AF574" s="169"/>
      <c r="AG574" s="172"/>
      <c r="AH574" s="150"/>
      <c r="AI574" s="137"/>
      <c r="AJ574" s="188"/>
      <c r="AK574" s="137"/>
    </row>
    <row r="575" spans="2:37" s="30" customFormat="1" x14ac:dyDescent="0.25">
      <c r="B575" s="27"/>
      <c r="D575" s="81"/>
      <c r="E575" s="45"/>
      <c r="F575" s="524"/>
      <c r="G575" s="49"/>
      <c r="H575" s="45"/>
      <c r="I575" s="314"/>
      <c r="J575" s="44"/>
      <c r="K575" s="311"/>
      <c r="L575" s="232"/>
      <c r="M575" s="225"/>
      <c r="N575" s="380"/>
      <c r="O575" s="45"/>
      <c r="P575" s="311"/>
      <c r="Q575" s="149"/>
      <c r="R575" s="293"/>
      <c r="S575" s="316"/>
      <c r="T575" s="355"/>
      <c r="V575" s="111"/>
      <c r="Y575" s="541"/>
      <c r="AB575" s="428"/>
      <c r="AC575" s="454"/>
      <c r="AD575" s="455"/>
      <c r="AE575" s="166"/>
      <c r="AF575" s="169"/>
      <c r="AG575" s="172"/>
      <c r="AH575" s="150"/>
      <c r="AI575" s="137"/>
      <c r="AJ575" s="188"/>
      <c r="AK575" s="137"/>
    </row>
    <row r="576" spans="2:37" s="30" customFormat="1" x14ac:dyDescent="0.25">
      <c r="B576" s="27"/>
      <c r="D576" s="81"/>
      <c r="E576" s="45"/>
      <c r="F576" s="524"/>
      <c r="G576" s="49"/>
      <c r="H576" s="45"/>
      <c r="I576" s="314"/>
      <c r="J576" s="44"/>
      <c r="K576" s="311"/>
      <c r="L576" s="232"/>
      <c r="M576" s="225"/>
      <c r="N576" s="380"/>
      <c r="O576" s="45"/>
      <c r="P576" s="311"/>
      <c r="Q576" s="149"/>
      <c r="R576" s="293"/>
      <c r="S576" s="316"/>
      <c r="T576" s="355"/>
      <c r="V576" s="111"/>
      <c r="Y576" s="541"/>
      <c r="AB576" s="428"/>
      <c r="AC576" s="454"/>
      <c r="AD576" s="455"/>
      <c r="AE576" s="166"/>
      <c r="AF576" s="169"/>
      <c r="AG576" s="172"/>
      <c r="AH576" s="150"/>
      <c r="AI576" s="137"/>
      <c r="AJ576" s="188"/>
      <c r="AK576" s="137"/>
    </row>
    <row r="577" spans="2:37" s="30" customFormat="1" x14ac:dyDescent="0.25">
      <c r="B577" s="27"/>
      <c r="D577" s="81"/>
      <c r="E577" s="45"/>
      <c r="F577" s="524"/>
      <c r="G577" s="49"/>
      <c r="H577" s="45"/>
      <c r="I577" s="314"/>
      <c r="J577" s="44"/>
      <c r="K577" s="311"/>
      <c r="L577" s="232"/>
      <c r="M577" s="225"/>
      <c r="N577" s="380"/>
      <c r="O577" s="45"/>
      <c r="P577" s="311"/>
      <c r="Q577" s="149"/>
      <c r="R577" s="293"/>
      <c r="S577" s="316"/>
      <c r="T577" s="355"/>
      <c r="V577" s="111"/>
      <c r="Y577" s="541"/>
      <c r="AB577" s="428"/>
      <c r="AC577" s="454"/>
      <c r="AD577" s="455"/>
      <c r="AE577" s="166"/>
      <c r="AF577" s="169"/>
      <c r="AG577" s="172"/>
      <c r="AH577" s="150"/>
      <c r="AI577" s="137"/>
      <c r="AJ577" s="188"/>
      <c r="AK577" s="137"/>
    </row>
    <row r="578" spans="2:37" s="30" customFormat="1" x14ac:dyDescent="0.25">
      <c r="B578" s="27"/>
      <c r="D578" s="81"/>
      <c r="E578" s="45"/>
      <c r="F578" s="524"/>
      <c r="G578" s="49"/>
      <c r="H578" s="45"/>
      <c r="I578" s="314"/>
      <c r="J578" s="44"/>
      <c r="K578" s="311"/>
      <c r="L578" s="232"/>
      <c r="M578" s="225"/>
      <c r="N578" s="380"/>
      <c r="O578" s="45"/>
      <c r="P578" s="311"/>
      <c r="Q578" s="149"/>
      <c r="R578" s="293"/>
      <c r="S578" s="316"/>
      <c r="T578" s="355"/>
      <c r="V578" s="111"/>
      <c r="Y578" s="541"/>
      <c r="AB578" s="428"/>
      <c r="AC578" s="454"/>
      <c r="AD578" s="455"/>
      <c r="AE578" s="166"/>
      <c r="AF578" s="169"/>
      <c r="AG578" s="172"/>
      <c r="AH578" s="150"/>
      <c r="AI578" s="137"/>
      <c r="AJ578" s="188"/>
      <c r="AK578" s="137"/>
    </row>
    <row r="579" spans="2:37" s="30" customFormat="1" x14ac:dyDescent="0.25">
      <c r="B579" s="27"/>
      <c r="D579" s="81"/>
      <c r="E579" s="45"/>
      <c r="F579" s="524"/>
      <c r="G579" s="49"/>
      <c r="H579" s="45"/>
      <c r="I579" s="314"/>
      <c r="J579" s="44"/>
      <c r="K579" s="311"/>
      <c r="L579" s="232"/>
      <c r="M579" s="225"/>
      <c r="N579" s="380"/>
      <c r="O579" s="45"/>
      <c r="P579" s="311"/>
      <c r="Q579" s="149"/>
      <c r="R579" s="293"/>
      <c r="S579" s="316"/>
      <c r="T579" s="355"/>
      <c r="V579" s="111"/>
      <c r="Y579" s="541"/>
      <c r="AB579" s="428"/>
      <c r="AC579" s="454"/>
      <c r="AD579" s="455"/>
      <c r="AE579" s="166"/>
      <c r="AF579" s="169"/>
      <c r="AG579" s="172"/>
      <c r="AH579" s="150"/>
      <c r="AI579" s="137"/>
      <c r="AJ579" s="188"/>
      <c r="AK579" s="137"/>
    </row>
    <row r="580" spans="2:37" s="30" customFormat="1" x14ac:dyDescent="0.25">
      <c r="B580" s="27"/>
      <c r="D580" s="81"/>
      <c r="E580" s="45"/>
      <c r="F580" s="524"/>
      <c r="G580" s="49"/>
      <c r="H580" s="45"/>
      <c r="I580" s="314"/>
      <c r="J580" s="44"/>
      <c r="K580" s="311"/>
      <c r="L580" s="232"/>
      <c r="M580" s="225"/>
      <c r="N580" s="380"/>
      <c r="O580" s="45"/>
      <c r="P580" s="311"/>
      <c r="Q580" s="149"/>
      <c r="R580" s="293"/>
      <c r="S580" s="316"/>
      <c r="T580" s="355"/>
      <c r="V580" s="111"/>
      <c r="Y580" s="541"/>
      <c r="AB580" s="428"/>
      <c r="AC580" s="454"/>
      <c r="AD580" s="455"/>
      <c r="AE580" s="166"/>
      <c r="AF580" s="169"/>
      <c r="AG580" s="172"/>
      <c r="AH580" s="150"/>
      <c r="AI580" s="137"/>
      <c r="AJ580" s="188"/>
      <c r="AK580" s="137"/>
    </row>
    <row r="581" spans="2:37" s="30" customFormat="1" x14ac:dyDescent="0.25">
      <c r="B581" s="27"/>
      <c r="D581" s="81"/>
      <c r="E581" s="45"/>
      <c r="F581" s="524"/>
      <c r="G581" s="49"/>
      <c r="H581" s="45"/>
      <c r="I581" s="314"/>
      <c r="J581" s="44"/>
      <c r="K581" s="311"/>
      <c r="L581" s="232"/>
      <c r="M581" s="225"/>
      <c r="N581" s="380"/>
      <c r="O581" s="45"/>
      <c r="P581" s="311"/>
      <c r="Q581" s="149"/>
      <c r="R581" s="293"/>
      <c r="S581" s="316"/>
      <c r="T581" s="355"/>
      <c r="V581" s="111"/>
      <c r="Y581" s="541"/>
      <c r="AB581" s="428"/>
      <c r="AC581" s="454"/>
      <c r="AD581" s="455"/>
      <c r="AE581" s="166"/>
      <c r="AF581" s="169"/>
      <c r="AG581" s="172"/>
      <c r="AH581" s="150"/>
      <c r="AI581" s="137"/>
      <c r="AJ581" s="188"/>
      <c r="AK581" s="137"/>
    </row>
    <row r="582" spans="2:37" s="30" customFormat="1" x14ac:dyDescent="0.25">
      <c r="B582" s="27"/>
      <c r="D582" s="81"/>
      <c r="E582" s="45"/>
      <c r="F582" s="524"/>
      <c r="G582" s="49"/>
      <c r="H582" s="45"/>
      <c r="I582" s="314"/>
      <c r="J582" s="44"/>
      <c r="K582" s="311"/>
      <c r="L582" s="232"/>
      <c r="M582" s="225"/>
      <c r="N582" s="380"/>
      <c r="O582" s="45"/>
      <c r="P582" s="311"/>
      <c r="Q582" s="149"/>
      <c r="R582" s="293"/>
      <c r="S582" s="316"/>
      <c r="T582" s="355"/>
      <c r="V582" s="111"/>
      <c r="Y582" s="541"/>
      <c r="AB582" s="428"/>
      <c r="AC582" s="454"/>
      <c r="AD582" s="455"/>
      <c r="AE582" s="166"/>
      <c r="AF582" s="169"/>
      <c r="AG582" s="172"/>
      <c r="AH582" s="150"/>
      <c r="AI582" s="137"/>
      <c r="AJ582" s="188"/>
      <c r="AK582" s="137"/>
    </row>
    <row r="583" spans="2:37" s="30" customFormat="1" x14ac:dyDescent="0.25">
      <c r="B583" s="27"/>
      <c r="D583" s="81"/>
      <c r="E583" s="45"/>
      <c r="F583" s="524"/>
      <c r="G583" s="49"/>
      <c r="H583" s="45"/>
      <c r="I583" s="314"/>
      <c r="J583" s="44"/>
      <c r="K583" s="311"/>
      <c r="L583" s="232"/>
      <c r="M583" s="225"/>
      <c r="N583" s="380"/>
      <c r="O583" s="45"/>
      <c r="P583" s="311"/>
      <c r="Q583" s="149"/>
      <c r="R583" s="293"/>
      <c r="S583" s="316"/>
      <c r="T583" s="355"/>
      <c r="V583" s="111"/>
      <c r="Y583" s="541"/>
      <c r="AB583" s="428"/>
      <c r="AC583" s="454"/>
      <c r="AD583" s="455"/>
      <c r="AE583" s="166"/>
      <c r="AF583" s="169"/>
      <c r="AG583" s="172"/>
      <c r="AH583" s="150"/>
      <c r="AI583" s="137"/>
      <c r="AJ583" s="188"/>
      <c r="AK583" s="137"/>
    </row>
    <row r="584" spans="2:37" s="30" customFormat="1" x14ac:dyDescent="0.25">
      <c r="B584" s="27"/>
      <c r="D584" s="81"/>
      <c r="E584" s="45"/>
      <c r="F584" s="524"/>
      <c r="G584" s="49"/>
      <c r="H584" s="45"/>
      <c r="I584" s="314"/>
      <c r="J584" s="44"/>
      <c r="K584" s="311"/>
      <c r="L584" s="232"/>
      <c r="M584" s="225"/>
      <c r="N584" s="380"/>
      <c r="O584" s="45"/>
      <c r="P584" s="311"/>
      <c r="Q584" s="149"/>
      <c r="R584" s="293"/>
      <c r="S584" s="316"/>
      <c r="T584" s="355"/>
      <c r="V584" s="111"/>
      <c r="Y584" s="541"/>
      <c r="AB584" s="428"/>
      <c r="AC584" s="454"/>
      <c r="AD584" s="455"/>
      <c r="AE584" s="166"/>
      <c r="AF584" s="169"/>
      <c r="AG584" s="172"/>
      <c r="AH584" s="150"/>
      <c r="AI584" s="137"/>
      <c r="AJ584" s="188"/>
      <c r="AK584" s="137"/>
    </row>
    <row r="585" spans="2:37" s="30" customFormat="1" x14ac:dyDescent="0.25">
      <c r="B585" s="27"/>
      <c r="D585" s="81"/>
      <c r="E585" s="45"/>
      <c r="F585" s="524"/>
      <c r="G585" s="49"/>
      <c r="H585" s="45"/>
      <c r="I585" s="314"/>
      <c r="J585" s="44"/>
      <c r="K585" s="311"/>
      <c r="L585" s="232"/>
      <c r="M585" s="225"/>
      <c r="N585" s="380"/>
      <c r="O585" s="45"/>
      <c r="P585" s="311"/>
      <c r="Q585" s="149"/>
      <c r="R585" s="293"/>
      <c r="S585" s="316"/>
      <c r="T585" s="355"/>
      <c r="V585" s="111"/>
      <c r="Y585" s="541"/>
      <c r="AB585" s="428"/>
      <c r="AC585" s="454"/>
      <c r="AD585" s="455"/>
      <c r="AE585" s="166"/>
      <c r="AF585" s="169"/>
      <c r="AG585" s="172"/>
      <c r="AH585" s="150"/>
      <c r="AI585" s="137"/>
      <c r="AJ585" s="188"/>
      <c r="AK585" s="137"/>
    </row>
    <row r="586" spans="2:37" s="30" customFormat="1" x14ac:dyDescent="0.25">
      <c r="B586" s="27"/>
      <c r="D586" s="81"/>
      <c r="E586" s="45"/>
      <c r="F586" s="524"/>
      <c r="G586" s="49"/>
      <c r="H586" s="45"/>
      <c r="I586" s="314"/>
      <c r="J586" s="44"/>
      <c r="K586" s="311"/>
      <c r="L586" s="232"/>
      <c r="M586" s="225"/>
      <c r="N586" s="380"/>
      <c r="O586" s="45"/>
      <c r="P586" s="311"/>
      <c r="Q586" s="149"/>
      <c r="R586" s="293"/>
      <c r="S586" s="316"/>
      <c r="T586" s="355"/>
      <c r="V586" s="111"/>
      <c r="Y586" s="541"/>
      <c r="AB586" s="428"/>
      <c r="AC586" s="454"/>
      <c r="AD586" s="455"/>
      <c r="AE586" s="166"/>
      <c r="AF586" s="169"/>
      <c r="AG586" s="172"/>
      <c r="AH586" s="150"/>
      <c r="AI586" s="137"/>
      <c r="AJ586" s="188"/>
      <c r="AK586" s="137"/>
    </row>
    <row r="587" spans="2:37" s="30" customFormat="1" x14ac:dyDescent="0.25">
      <c r="B587" s="27"/>
      <c r="D587" s="81"/>
      <c r="E587" s="45"/>
      <c r="F587" s="524"/>
      <c r="G587" s="49"/>
      <c r="H587" s="45"/>
      <c r="I587" s="314"/>
      <c r="J587" s="44"/>
      <c r="K587" s="311"/>
      <c r="L587" s="232"/>
      <c r="M587" s="225"/>
      <c r="N587" s="380"/>
      <c r="O587" s="45"/>
      <c r="P587" s="311"/>
      <c r="Q587" s="149"/>
      <c r="R587" s="293"/>
      <c r="S587" s="316"/>
      <c r="T587" s="355"/>
      <c r="V587" s="111"/>
      <c r="Y587" s="541"/>
      <c r="AB587" s="428"/>
      <c r="AC587" s="454"/>
      <c r="AD587" s="455"/>
      <c r="AE587" s="166"/>
      <c r="AF587" s="169"/>
      <c r="AG587" s="172"/>
      <c r="AH587" s="150"/>
      <c r="AI587" s="137"/>
      <c r="AJ587" s="188"/>
      <c r="AK587" s="137"/>
    </row>
    <row r="588" spans="2:37" s="30" customFormat="1" x14ac:dyDescent="0.25">
      <c r="B588" s="27"/>
      <c r="D588" s="81"/>
      <c r="E588" s="45"/>
      <c r="F588" s="524"/>
      <c r="G588" s="49"/>
      <c r="H588" s="45"/>
      <c r="I588" s="314"/>
      <c r="J588" s="44"/>
      <c r="K588" s="311"/>
      <c r="L588" s="232"/>
      <c r="M588" s="225"/>
      <c r="N588" s="380"/>
      <c r="O588" s="45"/>
      <c r="P588" s="311"/>
      <c r="Q588" s="149"/>
      <c r="R588" s="293"/>
      <c r="S588" s="316"/>
      <c r="T588" s="355"/>
      <c r="V588" s="111"/>
      <c r="Y588" s="541"/>
      <c r="AB588" s="428"/>
      <c r="AC588" s="454"/>
      <c r="AD588" s="455"/>
      <c r="AE588" s="166"/>
      <c r="AF588" s="169"/>
      <c r="AG588" s="172"/>
      <c r="AH588" s="150"/>
      <c r="AI588" s="137"/>
      <c r="AJ588" s="188"/>
      <c r="AK588" s="137"/>
    </row>
    <row r="589" spans="2:37" s="30" customFormat="1" x14ac:dyDescent="0.25">
      <c r="B589" s="27"/>
      <c r="D589" s="81"/>
      <c r="E589" s="45"/>
      <c r="F589" s="524"/>
      <c r="G589" s="49"/>
      <c r="H589" s="45"/>
      <c r="I589" s="314"/>
      <c r="J589" s="44"/>
      <c r="K589" s="311"/>
      <c r="L589" s="232"/>
      <c r="M589" s="225"/>
      <c r="N589" s="380"/>
      <c r="O589" s="45"/>
      <c r="P589" s="311"/>
      <c r="Q589" s="149"/>
      <c r="R589" s="293"/>
      <c r="S589" s="316"/>
      <c r="T589" s="355"/>
      <c r="V589" s="111"/>
      <c r="Y589" s="541"/>
      <c r="AB589" s="428"/>
      <c r="AC589" s="454"/>
      <c r="AD589" s="455"/>
      <c r="AE589" s="166"/>
      <c r="AF589" s="169"/>
      <c r="AG589" s="172"/>
      <c r="AH589" s="150"/>
      <c r="AI589" s="137"/>
      <c r="AJ589" s="188"/>
      <c r="AK589" s="137"/>
    </row>
    <row r="590" spans="2:37" s="30" customFormat="1" x14ac:dyDescent="0.25">
      <c r="B590" s="27"/>
      <c r="D590" s="81"/>
      <c r="E590" s="45"/>
      <c r="F590" s="524"/>
      <c r="G590" s="49"/>
      <c r="H590" s="45"/>
      <c r="I590" s="314"/>
      <c r="J590" s="44"/>
      <c r="K590" s="311"/>
      <c r="L590" s="232"/>
      <c r="M590" s="225"/>
      <c r="N590" s="380"/>
      <c r="O590" s="45"/>
      <c r="P590" s="311"/>
      <c r="Q590" s="149"/>
      <c r="R590" s="293"/>
      <c r="S590" s="316"/>
      <c r="T590" s="355"/>
      <c r="V590" s="111"/>
      <c r="Y590" s="541"/>
      <c r="AB590" s="428"/>
      <c r="AC590" s="454"/>
      <c r="AD590" s="455"/>
      <c r="AE590" s="166"/>
      <c r="AF590" s="169"/>
      <c r="AG590" s="172"/>
      <c r="AH590" s="150"/>
      <c r="AI590" s="137"/>
      <c r="AJ590" s="188"/>
      <c r="AK590" s="137"/>
    </row>
    <row r="591" spans="2:37" s="30" customFormat="1" x14ac:dyDescent="0.25">
      <c r="B591" s="27"/>
      <c r="D591" s="81"/>
      <c r="E591" s="45"/>
      <c r="F591" s="524"/>
      <c r="G591" s="49"/>
      <c r="H591" s="45"/>
      <c r="I591" s="314"/>
      <c r="J591" s="44"/>
      <c r="K591" s="311"/>
      <c r="L591" s="232"/>
      <c r="M591" s="225"/>
      <c r="N591" s="380"/>
      <c r="O591" s="45"/>
      <c r="P591" s="311"/>
      <c r="Q591" s="149"/>
      <c r="R591" s="293"/>
      <c r="S591" s="316"/>
      <c r="T591" s="355"/>
      <c r="V591" s="111"/>
      <c r="Y591" s="541"/>
      <c r="AB591" s="428"/>
      <c r="AC591" s="454"/>
      <c r="AD591" s="455"/>
      <c r="AE591" s="166"/>
      <c r="AF591" s="169"/>
      <c r="AG591" s="172"/>
      <c r="AH591" s="150"/>
      <c r="AI591" s="137"/>
      <c r="AJ591" s="188"/>
      <c r="AK591" s="137"/>
    </row>
    <row r="592" spans="2:37" s="30" customFormat="1" x14ac:dyDescent="0.25">
      <c r="B592" s="27"/>
      <c r="D592" s="81"/>
      <c r="E592" s="45"/>
      <c r="F592" s="524"/>
      <c r="G592" s="49"/>
      <c r="H592" s="45"/>
      <c r="I592" s="314"/>
      <c r="J592" s="44"/>
      <c r="K592" s="311"/>
      <c r="L592" s="232"/>
      <c r="M592" s="225"/>
      <c r="N592" s="380"/>
      <c r="O592" s="45"/>
      <c r="P592" s="311"/>
      <c r="Q592" s="149"/>
      <c r="R592" s="293"/>
      <c r="S592" s="316"/>
      <c r="T592" s="355"/>
      <c r="V592" s="111"/>
      <c r="Y592" s="541"/>
      <c r="AB592" s="428"/>
      <c r="AC592" s="454"/>
      <c r="AD592" s="455"/>
      <c r="AE592" s="166"/>
      <c r="AF592" s="169"/>
      <c r="AG592" s="172"/>
      <c r="AH592" s="150"/>
      <c r="AI592" s="137"/>
      <c r="AJ592" s="188"/>
      <c r="AK592" s="137"/>
    </row>
    <row r="593" spans="2:37" s="30" customFormat="1" x14ac:dyDescent="0.25">
      <c r="B593" s="27"/>
      <c r="D593" s="81"/>
      <c r="E593" s="45"/>
      <c r="F593" s="524"/>
      <c r="G593" s="49"/>
      <c r="H593" s="45"/>
      <c r="I593" s="314"/>
      <c r="J593" s="44"/>
      <c r="K593" s="311"/>
      <c r="L593" s="232"/>
      <c r="M593" s="225"/>
      <c r="N593" s="380"/>
      <c r="O593" s="45"/>
      <c r="P593" s="311"/>
      <c r="Q593" s="149"/>
      <c r="R593" s="293"/>
      <c r="S593" s="316"/>
      <c r="T593" s="355"/>
      <c r="V593" s="111"/>
      <c r="Y593" s="541"/>
      <c r="AB593" s="428"/>
      <c r="AC593" s="454"/>
      <c r="AD593" s="455"/>
      <c r="AE593" s="166"/>
      <c r="AF593" s="169"/>
      <c r="AG593" s="172"/>
      <c r="AH593" s="150"/>
      <c r="AI593" s="137"/>
      <c r="AJ593" s="188"/>
      <c r="AK593" s="137"/>
    </row>
    <row r="594" spans="2:37" s="30" customFormat="1" x14ac:dyDescent="0.25">
      <c r="B594" s="27"/>
      <c r="D594" s="81"/>
      <c r="E594" s="45"/>
      <c r="F594" s="524"/>
      <c r="G594" s="49"/>
      <c r="H594" s="45"/>
      <c r="I594" s="314"/>
      <c r="J594" s="44"/>
      <c r="K594" s="311"/>
      <c r="L594" s="232"/>
      <c r="M594" s="225"/>
      <c r="N594" s="380"/>
      <c r="O594" s="45"/>
      <c r="P594" s="311"/>
      <c r="Q594" s="149"/>
      <c r="R594" s="293"/>
      <c r="S594" s="316"/>
      <c r="T594" s="355"/>
      <c r="V594" s="111"/>
      <c r="Y594" s="541"/>
      <c r="AB594" s="428"/>
      <c r="AC594" s="454"/>
      <c r="AD594" s="455"/>
      <c r="AE594" s="166"/>
      <c r="AF594" s="169"/>
      <c r="AG594" s="172"/>
      <c r="AH594" s="150"/>
      <c r="AI594" s="137"/>
      <c r="AJ594" s="188"/>
      <c r="AK594" s="137"/>
    </row>
    <row r="595" spans="2:37" s="30" customFormat="1" x14ac:dyDescent="0.25">
      <c r="B595" s="27"/>
      <c r="D595" s="81"/>
      <c r="E595" s="45"/>
      <c r="F595" s="524"/>
      <c r="G595" s="49"/>
      <c r="H595" s="45"/>
      <c r="I595" s="314"/>
      <c r="J595" s="44"/>
      <c r="K595" s="311"/>
      <c r="L595" s="232"/>
      <c r="M595" s="225"/>
      <c r="N595" s="380"/>
      <c r="O595" s="45"/>
      <c r="P595" s="311"/>
      <c r="Q595" s="149"/>
      <c r="R595" s="293"/>
      <c r="S595" s="316"/>
      <c r="T595" s="355"/>
      <c r="V595" s="111"/>
      <c r="Y595" s="541"/>
      <c r="AB595" s="428"/>
      <c r="AC595" s="454"/>
      <c r="AD595" s="455"/>
      <c r="AE595" s="166"/>
      <c r="AF595" s="169"/>
      <c r="AG595" s="172"/>
      <c r="AH595" s="150"/>
      <c r="AI595" s="137"/>
      <c r="AJ595" s="188"/>
      <c r="AK595" s="137"/>
    </row>
    <row r="596" spans="2:37" s="30" customFormat="1" x14ac:dyDescent="0.25">
      <c r="B596" s="27"/>
      <c r="D596" s="81"/>
      <c r="E596" s="45"/>
      <c r="F596" s="524"/>
      <c r="G596" s="49"/>
      <c r="H596" s="45"/>
      <c r="I596" s="314"/>
      <c r="J596" s="44"/>
      <c r="K596" s="311"/>
      <c r="L596" s="232"/>
      <c r="M596" s="225"/>
      <c r="N596" s="380"/>
      <c r="O596" s="45"/>
      <c r="P596" s="311"/>
      <c r="Q596" s="149"/>
      <c r="R596" s="293"/>
      <c r="S596" s="316"/>
      <c r="T596" s="355"/>
      <c r="V596" s="111"/>
      <c r="Y596" s="541"/>
      <c r="AB596" s="428"/>
      <c r="AC596" s="454"/>
      <c r="AD596" s="455"/>
      <c r="AE596" s="166"/>
      <c r="AF596" s="169"/>
      <c r="AG596" s="172"/>
      <c r="AH596" s="150"/>
      <c r="AI596" s="137"/>
      <c r="AJ596" s="188"/>
      <c r="AK596" s="137"/>
    </row>
    <row r="597" spans="2:37" s="30" customFormat="1" x14ac:dyDescent="0.25">
      <c r="B597" s="27"/>
      <c r="D597" s="81"/>
      <c r="E597" s="45"/>
      <c r="F597" s="524"/>
      <c r="G597" s="49"/>
      <c r="H597" s="45"/>
      <c r="I597" s="314"/>
      <c r="J597" s="44"/>
      <c r="K597" s="311"/>
      <c r="L597" s="232"/>
      <c r="M597" s="225"/>
      <c r="N597" s="380"/>
      <c r="O597" s="45"/>
      <c r="P597" s="311"/>
      <c r="Q597" s="149"/>
      <c r="R597" s="293"/>
      <c r="S597" s="316"/>
      <c r="T597" s="355"/>
      <c r="V597" s="111"/>
      <c r="Y597" s="541"/>
      <c r="AB597" s="428"/>
      <c r="AC597" s="454"/>
      <c r="AD597" s="455"/>
      <c r="AE597" s="166"/>
      <c r="AF597" s="169"/>
      <c r="AG597" s="172"/>
      <c r="AH597" s="150"/>
      <c r="AI597" s="137"/>
      <c r="AJ597" s="188"/>
      <c r="AK597" s="137"/>
    </row>
    <row r="598" spans="2:37" s="30" customFormat="1" x14ac:dyDescent="0.25">
      <c r="B598" s="27"/>
      <c r="D598" s="81"/>
      <c r="E598" s="45"/>
      <c r="F598" s="524"/>
      <c r="G598" s="49"/>
      <c r="H598" s="45"/>
      <c r="I598" s="314"/>
      <c r="J598" s="44"/>
      <c r="K598" s="311"/>
      <c r="L598" s="232"/>
      <c r="M598" s="225"/>
      <c r="N598" s="380"/>
      <c r="O598" s="45"/>
      <c r="P598" s="311"/>
      <c r="Q598" s="149"/>
      <c r="R598" s="293"/>
      <c r="S598" s="316"/>
      <c r="T598" s="355"/>
      <c r="V598" s="111"/>
      <c r="Y598" s="541"/>
      <c r="AB598" s="428"/>
      <c r="AC598" s="454"/>
      <c r="AD598" s="455"/>
      <c r="AE598" s="166"/>
      <c r="AF598" s="169"/>
      <c r="AG598" s="172"/>
      <c r="AH598" s="150"/>
      <c r="AI598" s="137"/>
      <c r="AJ598" s="188"/>
      <c r="AK598" s="137"/>
    </row>
    <row r="599" spans="2:37" s="30" customFormat="1" x14ac:dyDescent="0.25">
      <c r="B599" s="27"/>
      <c r="D599" s="81"/>
      <c r="E599" s="45"/>
      <c r="F599" s="524"/>
      <c r="G599" s="49"/>
      <c r="H599" s="45"/>
      <c r="I599" s="314"/>
      <c r="J599" s="44"/>
      <c r="K599" s="311"/>
      <c r="L599" s="232"/>
      <c r="M599" s="225"/>
      <c r="N599" s="380"/>
      <c r="O599" s="45"/>
      <c r="P599" s="311"/>
      <c r="Q599" s="149"/>
      <c r="R599" s="293"/>
      <c r="S599" s="316"/>
      <c r="T599" s="355"/>
      <c r="V599" s="111"/>
      <c r="Y599" s="541"/>
      <c r="AB599" s="428"/>
      <c r="AC599" s="454"/>
      <c r="AD599" s="455"/>
      <c r="AE599" s="166"/>
      <c r="AF599" s="169"/>
      <c r="AG599" s="172"/>
      <c r="AH599" s="150"/>
      <c r="AI599" s="137"/>
      <c r="AJ599" s="188"/>
      <c r="AK599" s="137"/>
    </row>
    <row r="600" spans="2:37" s="30" customFormat="1" x14ac:dyDescent="0.25">
      <c r="B600" s="27"/>
      <c r="D600" s="81"/>
      <c r="E600" s="45"/>
      <c r="F600" s="524"/>
      <c r="G600" s="49"/>
      <c r="H600" s="45"/>
      <c r="I600" s="314"/>
      <c r="J600" s="44"/>
      <c r="K600" s="311"/>
      <c r="L600" s="232"/>
      <c r="M600" s="225"/>
      <c r="N600" s="380"/>
      <c r="O600" s="45"/>
      <c r="P600" s="311"/>
      <c r="Q600" s="149"/>
      <c r="R600" s="293"/>
      <c r="S600" s="316"/>
      <c r="T600" s="355"/>
      <c r="V600" s="111"/>
      <c r="Y600" s="541"/>
      <c r="AB600" s="428"/>
      <c r="AC600" s="454"/>
      <c r="AD600" s="455"/>
      <c r="AE600" s="166"/>
      <c r="AF600" s="169"/>
      <c r="AG600" s="172"/>
      <c r="AH600" s="150"/>
      <c r="AI600" s="137"/>
      <c r="AJ600" s="188"/>
      <c r="AK600" s="137"/>
    </row>
    <row r="601" spans="2:37" s="30" customFormat="1" x14ac:dyDescent="0.25">
      <c r="B601" s="27"/>
      <c r="D601" s="81"/>
      <c r="E601" s="45"/>
      <c r="F601" s="524"/>
      <c r="G601" s="49"/>
      <c r="H601" s="45"/>
      <c r="I601" s="314"/>
      <c r="J601" s="44"/>
      <c r="K601" s="311"/>
      <c r="L601" s="232"/>
      <c r="M601" s="225"/>
      <c r="N601" s="380"/>
      <c r="O601" s="45"/>
      <c r="P601" s="311"/>
      <c r="Q601" s="149"/>
      <c r="R601" s="293"/>
      <c r="S601" s="316"/>
      <c r="T601" s="355"/>
      <c r="V601" s="111"/>
      <c r="Y601" s="541"/>
      <c r="AB601" s="428"/>
      <c r="AC601" s="454"/>
      <c r="AD601" s="455"/>
      <c r="AE601" s="166"/>
      <c r="AF601" s="169"/>
      <c r="AG601" s="172"/>
      <c r="AH601" s="150"/>
      <c r="AI601" s="137"/>
      <c r="AJ601" s="188"/>
      <c r="AK601" s="137"/>
    </row>
    <row r="602" spans="2:37" s="30" customFormat="1" x14ac:dyDescent="0.25">
      <c r="B602" s="27"/>
      <c r="D602" s="81"/>
      <c r="E602" s="45"/>
      <c r="F602" s="524"/>
      <c r="G602" s="49"/>
      <c r="H602" s="45"/>
      <c r="I602" s="314"/>
      <c r="J602" s="44"/>
      <c r="K602" s="311"/>
      <c r="L602" s="232"/>
      <c r="M602" s="225"/>
      <c r="N602" s="380"/>
      <c r="O602" s="45"/>
      <c r="P602" s="311"/>
      <c r="Q602" s="149"/>
      <c r="R602" s="293"/>
      <c r="S602" s="316"/>
      <c r="T602" s="355"/>
      <c r="V602" s="111"/>
      <c r="Y602" s="541"/>
      <c r="AB602" s="428"/>
      <c r="AC602" s="454"/>
      <c r="AD602" s="455"/>
      <c r="AE602" s="166"/>
      <c r="AF602" s="169"/>
      <c r="AG602" s="172"/>
      <c r="AH602" s="150"/>
      <c r="AI602" s="137"/>
      <c r="AJ602" s="188"/>
      <c r="AK602" s="137"/>
    </row>
    <row r="603" spans="2:37" s="30" customFormat="1" x14ac:dyDescent="0.25">
      <c r="B603" s="27"/>
      <c r="D603" s="81"/>
      <c r="E603" s="45"/>
      <c r="F603" s="524"/>
      <c r="G603" s="49"/>
      <c r="H603" s="45"/>
      <c r="I603" s="314"/>
      <c r="J603" s="44"/>
      <c r="K603" s="311"/>
      <c r="L603" s="232"/>
      <c r="M603" s="225"/>
      <c r="N603" s="380"/>
      <c r="O603" s="45"/>
      <c r="P603" s="311"/>
      <c r="Q603" s="149"/>
      <c r="R603" s="293"/>
      <c r="S603" s="316"/>
      <c r="T603" s="355"/>
      <c r="V603" s="111"/>
      <c r="Y603" s="541"/>
      <c r="AB603" s="428"/>
      <c r="AC603" s="454"/>
      <c r="AD603" s="455"/>
      <c r="AE603" s="166"/>
      <c r="AF603" s="169"/>
      <c r="AG603" s="172"/>
      <c r="AH603" s="150"/>
      <c r="AI603" s="137"/>
      <c r="AJ603" s="188"/>
      <c r="AK603" s="137"/>
    </row>
    <row r="604" spans="2:37" s="30" customFormat="1" x14ac:dyDescent="0.25">
      <c r="B604" s="27"/>
      <c r="D604" s="81"/>
      <c r="E604" s="45"/>
      <c r="F604" s="524"/>
      <c r="G604" s="49"/>
      <c r="H604" s="45"/>
      <c r="I604" s="314"/>
      <c r="J604" s="44"/>
      <c r="K604" s="311"/>
      <c r="L604" s="232"/>
      <c r="M604" s="225"/>
      <c r="N604" s="380"/>
      <c r="O604" s="45"/>
      <c r="P604" s="311"/>
      <c r="Q604" s="149"/>
      <c r="R604" s="293"/>
      <c r="S604" s="316"/>
      <c r="T604" s="355"/>
      <c r="V604" s="111"/>
      <c r="Y604" s="541"/>
      <c r="AB604" s="428"/>
      <c r="AC604" s="454"/>
      <c r="AD604" s="455"/>
      <c r="AE604" s="166"/>
      <c r="AF604" s="169"/>
      <c r="AG604" s="172"/>
      <c r="AH604" s="150"/>
      <c r="AI604" s="137"/>
      <c r="AJ604" s="188"/>
      <c r="AK604" s="137"/>
    </row>
    <row r="605" spans="2:37" s="30" customFormat="1" x14ac:dyDescent="0.25">
      <c r="B605" s="27"/>
      <c r="D605" s="81"/>
      <c r="E605" s="45"/>
      <c r="F605" s="524"/>
      <c r="G605" s="49"/>
      <c r="H605" s="45"/>
      <c r="I605" s="314"/>
      <c r="J605" s="44"/>
      <c r="K605" s="311"/>
      <c r="L605" s="232"/>
      <c r="M605" s="225"/>
      <c r="N605" s="380"/>
      <c r="O605" s="45"/>
      <c r="P605" s="311"/>
      <c r="Q605" s="149"/>
      <c r="R605" s="293"/>
      <c r="S605" s="316"/>
      <c r="T605" s="355"/>
      <c r="V605" s="111"/>
      <c r="Y605" s="541"/>
      <c r="AB605" s="428"/>
      <c r="AC605" s="454"/>
      <c r="AD605" s="455"/>
      <c r="AE605" s="166"/>
      <c r="AF605" s="169"/>
      <c r="AG605" s="172"/>
      <c r="AH605" s="150"/>
      <c r="AI605" s="137"/>
      <c r="AJ605" s="188"/>
      <c r="AK605" s="137"/>
    </row>
    <row r="606" spans="2:37" s="30" customFormat="1" x14ac:dyDescent="0.25">
      <c r="B606" s="27"/>
      <c r="D606" s="81"/>
      <c r="E606" s="45"/>
      <c r="F606" s="524"/>
      <c r="G606" s="49"/>
      <c r="H606" s="45"/>
      <c r="I606" s="314"/>
      <c r="J606" s="44"/>
      <c r="K606" s="311"/>
      <c r="L606" s="232"/>
      <c r="M606" s="225"/>
      <c r="N606" s="380"/>
      <c r="O606" s="45"/>
      <c r="P606" s="311"/>
      <c r="Q606" s="149"/>
      <c r="R606" s="293"/>
      <c r="S606" s="316"/>
      <c r="T606" s="355"/>
      <c r="V606" s="111"/>
      <c r="Y606" s="541"/>
      <c r="AB606" s="428"/>
      <c r="AC606" s="454"/>
      <c r="AD606" s="455"/>
      <c r="AE606" s="166"/>
      <c r="AF606" s="169"/>
      <c r="AG606" s="172"/>
      <c r="AH606" s="150"/>
      <c r="AI606" s="137"/>
      <c r="AJ606" s="188"/>
      <c r="AK606" s="137"/>
    </row>
    <row r="607" spans="2:37" s="30" customFormat="1" x14ac:dyDescent="0.25">
      <c r="B607" s="27"/>
      <c r="D607" s="81"/>
      <c r="E607" s="45"/>
      <c r="F607" s="524"/>
      <c r="G607" s="49"/>
      <c r="H607" s="45"/>
      <c r="I607" s="314"/>
      <c r="J607" s="44"/>
      <c r="K607" s="311"/>
      <c r="L607" s="232"/>
      <c r="M607" s="225"/>
      <c r="N607" s="380"/>
      <c r="O607" s="45"/>
      <c r="P607" s="311"/>
      <c r="Q607" s="149"/>
      <c r="R607" s="293"/>
      <c r="S607" s="316"/>
      <c r="T607" s="355"/>
      <c r="V607" s="111"/>
      <c r="Y607" s="541"/>
      <c r="AB607" s="428"/>
      <c r="AC607" s="454"/>
      <c r="AD607" s="455"/>
      <c r="AE607" s="166"/>
      <c r="AF607" s="169"/>
      <c r="AG607" s="172"/>
      <c r="AH607" s="150"/>
      <c r="AI607" s="137"/>
      <c r="AJ607" s="188"/>
      <c r="AK607" s="137"/>
    </row>
    <row r="608" spans="2:37" s="30" customFormat="1" x14ac:dyDescent="0.25">
      <c r="B608" s="27"/>
      <c r="D608" s="81"/>
      <c r="E608" s="45"/>
      <c r="F608" s="524"/>
      <c r="G608" s="49"/>
      <c r="H608" s="45"/>
      <c r="I608" s="314"/>
      <c r="J608" s="44"/>
      <c r="K608" s="311"/>
      <c r="L608" s="232"/>
      <c r="M608" s="225"/>
      <c r="N608" s="380"/>
      <c r="O608" s="45"/>
      <c r="P608" s="311"/>
      <c r="Q608" s="149"/>
      <c r="R608" s="293"/>
      <c r="S608" s="316"/>
      <c r="T608" s="355"/>
      <c r="V608" s="111"/>
      <c r="Y608" s="541"/>
      <c r="AB608" s="428"/>
      <c r="AC608" s="454"/>
      <c r="AD608" s="455"/>
      <c r="AE608" s="166"/>
      <c r="AF608" s="169"/>
      <c r="AG608" s="172"/>
      <c r="AH608" s="150"/>
      <c r="AI608" s="137"/>
      <c r="AJ608" s="188"/>
      <c r="AK608" s="137"/>
    </row>
    <row r="609" spans="2:37" s="30" customFormat="1" x14ac:dyDescent="0.25">
      <c r="B609" s="27"/>
      <c r="D609" s="81"/>
      <c r="E609" s="45"/>
      <c r="F609" s="524"/>
      <c r="G609" s="49"/>
      <c r="H609" s="45"/>
      <c r="I609" s="314"/>
      <c r="J609" s="44"/>
      <c r="K609" s="311"/>
      <c r="L609" s="232"/>
      <c r="M609" s="225"/>
      <c r="N609" s="380"/>
      <c r="O609" s="45"/>
      <c r="P609" s="311"/>
      <c r="Q609" s="149"/>
      <c r="R609" s="293"/>
      <c r="S609" s="316"/>
      <c r="T609" s="355"/>
      <c r="V609" s="111"/>
      <c r="Y609" s="541"/>
      <c r="AB609" s="428"/>
      <c r="AC609" s="454"/>
      <c r="AD609" s="455"/>
      <c r="AE609" s="166"/>
      <c r="AF609" s="169"/>
      <c r="AG609" s="172"/>
      <c r="AH609" s="150"/>
      <c r="AI609" s="137"/>
      <c r="AJ609" s="188"/>
      <c r="AK609" s="137"/>
    </row>
    <row r="610" spans="2:37" s="30" customFormat="1" x14ac:dyDescent="0.25">
      <c r="B610" s="27"/>
      <c r="D610" s="81"/>
      <c r="E610" s="45"/>
      <c r="F610" s="524"/>
      <c r="G610" s="49"/>
      <c r="H610" s="45"/>
      <c r="I610" s="314"/>
      <c r="J610" s="44"/>
      <c r="K610" s="311"/>
      <c r="L610" s="232"/>
      <c r="M610" s="225"/>
      <c r="N610" s="380"/>
      <c r="O610" s="45"/>
      <c r="P610" s="311"/>
      <c r="Q610" s="149"/>
      <c r="R610" s="293"/>
      <c r="S610" s="316"/>
      <c r="T610" s="355"/>
      <c r="V610" s="111"/>
      <c r="Y610" s="541"/>
      <c r="AB610" s="428"/>
      <c r="AC610" s="454"/>
      <c r="AD610" s="455"/>
      <c r="AE610" s="166"/>
      <c r="AF610" s="169"/>
      <c r="AG610" s="172"/>
      <c r="AH610" s="150"/>
      <c r="AI610" s="137"/>
      <c r="AJ610" s="188"/>
      <c r="AK610" s="137"/>
    </row>
    <row r="611" spans="2:37" s="30" customFormat="1" x14ac:dyDescent="0.25">
      <c r="B611" s="27"/>
      <c r="D611" s="81"/>
      <c r="E611" s="45"/>
      <c r="F611" s="524"/>
      <c r="G611" s="49"/>
      <c r="H611" s="45"/>
      <c r="I611" s="314"/>
      <c r="J611" s="44"/>
      <c r="K611" s="311"/>
      <c r="L611" s="232"/>
      <c r="M611" s="225"/>
      <c r="N611" s="380"/>
      <c r="O611" s="45"/>
      <c r="P611" s="311"/>
      <c r="Q611" s="149"/>
      <c r="R611" s="293"/>
      <c r="S611" s="316"/>
      <c r="T611" s="355"/>
      <c r="V611" s="111"/>
      <c r="Y611" s="541"/>
      <c r="AB611" s="428"/>
      <c r="AC611" s="454"/>
      <c r="AD611" s="455"/>
      <c r="AE611" s="166"/>
      <c r="AF611" s="169"/>
      <c r="AG611" s="172"/>
      <c r="AH611" s="150"/>
      <c r="AI611" s="137"/>
      <c r="AJ611" s="188"/>
      <c r="AK611" s="137"/>
    </row>
    <row r="612" spans="2:37" s="30" customFormat="1" x14ac:dyDescent="0.25">
      <c r="B612" s="27"/>
      <c r="D612" s="81"/>
      <c r="E612" s="45"/>
      <c r="F612" s="524"/>
      <c r="G612" s="49"/>
      <c r="H612" s="45"/>
      <c r="I612" s="314"/>
      <c r="J612" s="44"/>
      <c r="K612" s="311"/>
      <c r="L612" s="232"/>
      <c r="M612" s="225"/>
      <c r="N612" s="380"/>
      <c r="O612" s="45"/>
      <c r="P612" s="311"/>
      <c r="Q612" s="149"/>
      <c r="R612" s="293"/>
      <c r="S612" s="316"/>
      <c r="T612" s="355"/>
      <c r="V612" s="111"/>
      <c r="Y612" s="541"/>
      <c r="AB612" s="428"/>
      <c r="AC612" s="454"/>
      <c r="AD612" s="455"/>
      <c r="AE612" s="166"/>
      <c r="AF612" s="169"/>
      <c r="AG612" s="172"/>
      <c r="AH612" s="150"/>
      <c r="AI612" s="137"/>
      <c r="AJ612" s="188"/>
      <c r="AK612" s="137"/>
    </row>
    <row r="613" spans="2:37" s="30" customFormat="1" x14ac:dyDescent="0.25">
      <c r="B613" s="27"/>
      <c r="D613" s="81"/>
      <c r="E613" s="45"/>
      <c r="F613" s="524"/>
      <c r="G613" s="49"/>
      <c r="H613" s="45"/>
      <c r="I613" s="314"/>
      <c r="J613" s="44"/>
      <c r="K613" s="311"/>
      <c r="L613" s="232"/>
      <c r="M613" s="225"/>
      <c r="N613" s="380"/>
      <c r="O613" s="45"/>
      <c r="P613" s="311"/>
      <c r="Q613" s="149"/>
      <c r="R613" s="293"/>
      <c r="S613" s="316"/>
      <c r="T613" s="355"/>
      <c r="V613" s="111"/>
      <c r="Y613" s="541"/>
      <c r="AB613" s="428"/>
      <c r="AC613" s="454"/>
      <c r="AD613" s="455"/>
      <c r="AE613" s="166"/>
      <c r="AF613" s="169"/>
      <c r="AG613" s="172"/>
      <c r="AH613" s="150"/>
      <c r="AI613" s="137"/>
      <c r="AJ613" s="188"/>
      <c r="AK613" s="137"/>
    </row>
    <row r="614" spans="2:37" s="30" customFormat="1" x14ac:dyDescent="0.25">
      <c r="B614" s="27"/>
      <c r="D614" s="81"/>
      <c r="E614" s="45"/>
      <c r="F614" s="524"/>
      <c r="G614" s="49"/>
      <c r="H614" s="45"/>
      <c r="I614" s="314"/>
      <c r="J614" s="44"/>
      <c r="K614" s="311"/>
      <c r="L614" s="232"/>
      <c r="M614" s="225"/>
      <c r="N614" s="380"/>
      <c r="O614" s="45"/>
      <c r="P614" s="311"/>
      <c r="Q614" s="149"/>
      <c r="R614" s="293"/>
      <c r="S614" s="316"/>
      <c r="T614" s="355"/>
      <c r="V614" s="111"/>
      <c r="Y614" s="541"/>
      <c r="AB614" s="428"/>
      <c r="AC614" s="454"/>
      <c r="AD614" s="455"/>
      <c r="AE614" s="166"/>
      <c r="AF614" s="169"/>
      <c r="AG614" s="172"/>
      <c r="AH614" s="150"/>
      <c r="AI614" s="137"/>
      <c r="AJ614" s="188"/>
      <c r="AK614" s="137"/>
    </row>
    <row r="615" spans="2:37" s="30" customFormat="1" x14ac:dyDescent="0.25">
      <c r="B615" s="27"/>
      <c r="D615" s="81"/>
      <c r="E615" s="45"/>
      <c r="F615" s="524"/>
      <c r="G615" s="49"/>
      <c r="H615" s="45"/>
      <c r="I615" s="314"/>
      <c r="J615" s="44"/>
      <c r="K615" s="311"/>
      <c r="L615" s="232"/>
      <c r="M615" s="225"/>
      <c r="N615" s="380"/>
      <c r="O615" s="45"/>
      <c r="P615" s="311"/>
      <c r="Q615" s="149"/>
      <c r="R615" s="293"/>
      <c r="S615" s="316"/>
      <c r="T615" s="355"/>
      <c r="V615" s="111"/>
      <c r="Y615" s="541"/>
      <c r="AB615" s="428"/>
      <c r="AC615" s="454"/>
      <c r="AD615" s="455"/>
      <c r="AE615" s="166"/>
      <c r="AF615" s="169"/>
      <c r="AG615" s="172"/>
      <c r="AH615" s="150"/>
      <c r="AI615" s="137"/>
      <c r="AJ615" s="188"/>
      <c r="AK615" s="137"/>
    </row>
    <row r="616" spans="2:37" s="30" customFormat="1" x14ac:dyDescent="0.25">
      <c r="B616" s="27"/>
      <c r="D616" s="81"/>
      <c r="E616" s="45"/>
      <c r="F616" s="524"/>
      <c r="G616" s="49"/>
      <c r="H616" s="45"/>
      <c r="I616" s="314"/>
      <c r="J616" s="44"/>
      <c r="K616" s="311"/>
      <c r="L616" s="232"/>
      <c r="M616" s="225"/>
      <c r="N616" s="380"/>
      <c r="O616" s="45"/>
      <c r="P616" s="311"/>
      <c r="Q616" s="149"/>
      <c r="R616" s="293"/>
      <c r="S616" s="316"/>
      <c r="T616" s="355"/>
      <c r="V616" s="111"/>
      <c r="Y616" s="541"/>
      <c r="AB616" s="428"/>
      <c r="AC616" s="454"/>
      <c r="AD616" s="455"/>
      <c r="AE616" s="166"/>
      <c r="AF616" s="169"/>
      <c r="AG616" s="172"/>
      <c r="AH616" s="150"/>
      <c r="AI616" s="137"/>
      <c r="AJ616" s="188"/>
      <c r="AK616" s="137"/>
    </row>
    <row r="617" spans="2:37" s="30" customFormat="1" x14ac:dyDescent="0.25">
      <c r="B617" s="27"/>
      <c r="D617" s="81"/>
      <c r="E617" s="45"/>
      <c r="F617" s="524"/>
      <c r="G617" s="49"/>
      <c r="H617" s="45"/>
      <c r="I617" s="314"/>
      <c r="J617" s="44"/>
      <c r="K617" s="311"/>
      <c r="L617" s="232"/>
      <c r="M617" s="225"/>
      <c r="N617" s="380"/>
      <c r="O617" s="45"/>
      <c r="P617" s="311"/>
      <c r="Q617" s="149"/>
      <c r="R617" s="293"/>
      <c r="S617" s="316"/>
      <c r="T617" s="355"/>
      <c r="V617" s="111"/>
      <c r="Y617" s="541"/>
      <c r="AB617" s="428"/>
      <c r="AC617" s="454"/>
      <c r="AD617" s="455"/>
      <c r="AE617" s="166"/>
      <c r="AF617" s="169"/>
      <c r="AG617" s="172"/>
      <c r="AH617" s="150"/>
      <c r="AI617" s="137"/>
      <c r="AJ617" s="188"/>
      <c r="AK617" s="137"/>
    </row>
    <row r="618" spans="2:37" s="30" customFormat="1" x14ac:dyDescent="0.25">
      <c r="B618" s="27"/>
      <c r="D618" s="81"/>
      <c r="E618" s="45"/>
      <c r="F618" s="524"/>
      <c r="G618" s="49"/>
      <c r="H618" s="45"/>
      <c r="I618" s="314"/>
      <c r="J618" s="44"/>
      <c r="K618" s="311"/>
      <c r="L618" s="232"/>
      <c r="M618" s="225"/>
      <c r="N618" s="380"/>
      <c r="O618" s="45"/>
      <c r="P618" s="311"/>
      <c r="Q618" s="149"/>
      <c r="R618" s="293"/>
      <c r="S618" s="316"/>
      <c r="T618" s="355"/>
      <c r="V618" s="111"/>
      <c r="Y618" s="541"/>
      <c r="AB618" s="428"/>
      <c r="AC618" s="454"/>
      <c r="AD618" s="455"/>
      <c r="AE618" s="166"/>
      <c r="AF618" s="169"/>
      <c r="AG618" s="172"/>
      <c r="AH618" s="150"/>
      <c r="AI618" s="137"/>
      <c r="AJ618" s="188"/>
      <c r="AK618" s="137"/>
    </row>
    <row r="619" spans="2:37" s="30" customFormat="1" x14ac:dyDescent="0.25">
      <c r="B619" s="27"/>
      <c r="D619" s="81"/>
      <c r="E619" s="45"/>
      <c r="F619" s="524"/>
      <c r="G619" s="49"/>
      <c r="H619" s="45"/>
      <c r="I619" s="314"/>
      <c r="J619" s="44"/>
      <c r="K619" s="311"/>
      <c r="L619" s="232"/>
      <c r="M619" s="225"/>
      <c r="N619" s="380"/>
      <c r="O619" s="45"/>
      <c r="P619" s="311"/>
      <c r="Q619" s="149"/>
      <c r="R619" s="293"/>
      <c r="S619" s="316"/>
      <c r="T619" s="355"/>
      <c r="V619" s="111"/>
      <c r="Y619" s="541"/>
      <c r="AB619" s="428"/>
      <c r="AC619" s="454"/>
      <c r="AD619" s="455"/>
      <c r="AE619" s="166"/>
      <c r="AF619" s="169"/>
      <c r="AG619" s="172"/>
      <c r="AH619" s="150"/>
      <c r="AI619" s="137"/>
      <c r="AJ619" s="188"/>
      <c r="AK619" s="137"/>
    </row>
    <row r="620" spans="2:37" s="30" customFormat="1" x14ac:dyDescent="0.25">
      <c r="B620" s="27"/>
      <c r="D620" s="81"/>
      <c r="E620" s="45"/>
      <c r="F620" s="524"/>
      <c r="G620" s="49"/>
      <c r="H620" s="45"/>
      <c r="I620" s="314"/>
      <c r="J620" s="44"/>
      <c r="K620" s="311"/>
      <c r="L620" s="232"/>
      <c r="M620" s="225"/>
      <c r="N620" s="380"/>
      <c r="O620" s="45"/>
      <c r="P620" s="311"/>
      <c r="Q620" s="149"/>
      <c r="R620" s="293"/>
      <c r="S620" s="316"/>
      <c r="T620" s="355"/>
      <c r="V620" s="111"/>
      <c r="Y620" s="541"/>
      <c r="AB620" s="428"/>
      <c r="AC620" s="454"/>
      <c r="AD620" s="455"/>
      <c r="AE620" s="166"/>
      <c r="AF620" s="169"/>
      <c r="AG620" s="172"/>
      <c r="AH620" s="150"/>
      <c r="AI620" s="137"/>
      <c r="AJ620" s="188"/>
      <c r="AK620" s="137"/>
    </row>
    <row r="621" spans="2:37" s="30" customFormat="1" x14ac:dyDescent="0.25">
      <c r="B621" s="27"/>
      <c r="D621" s="81"/>
      <c r="E621" s="45"/>
      <c r="F621" s="524"/>
      <c r="G621" s="49"/>
      <c r="H621" s="45"/>
      <c r="I621" s="314"/>
      <c r="J621" s="44"/>
      <c r="K621" s="311"/>
      <c r="L621" s="232"/>
      <c r="M621" s="225"/>
      <c r="N621" s="380"/>
      <c r="O621" s="45"/>
      <c r="P621" s="311"/>
      <c r="Q621" s="149"/>
      <c r="R621" s="293"/>
      <c r="S621" s="316"/>
      <c r="T621" s="355"/>
      <c r="V621" s="111"/>
      <c r="Y621" s="541"/>
      <c r="AB621" s="428"/>
      <c r="AC621" s="454"/>
      <c r="AD621" s="455"/>
      <c r="AE621" s="166"/>
      <c r="AF621" s="169"/>
      <c r="AG621" s="172"/>
      <c r="AH621" s="150"/>
      <c r="AI621" s="137"/>
      <c r="AJ621" s="188"/>
      <c r="AK621" s="137"/>
    </row>
    <row r="622" spans="2:37" s="30" customFormat="1" x14ac:dyDescent="0.25">
      <c r="B622" s="27"/>
      <c r="D622" s="81"/>
      <c r="E622" s="45"/>
      <c r="F622" s="524"/>
      <c r="G622" s="49"/>
      <c r="H622" s="45"/>
      <c r="I622" s="314"/>
      <c r="J622" s="44"/>
      <c r="K622" s="311"/>
      <c r="L622" s="232"/>
      <c r="M622" s="225"/>
      <c r="N622" s="380"/>
      <c r="O622" s="45"/>
      <c r="P622" s="311"/>
      <c r="Q622" s="149"/>
      <c r="R622" s="293"/>
      <c r="S622" s="316"/>
      <c r="T622" s="355"/>
      <c r="V622" s="111"/>
      <c r="Y622" s="541"/>
      <c r="AB622" s="428"/>
      <c r="AC622" s="454"/>
      <c r="AD622" s="455"/>
      <c r="AE622" s="166"/>
      <c r="AF622" s="169"/>
      <c r="AG622" s="172"/>
      <c r="AH622" s="150"/>
      <c r="AI622" s="137"/>
      <c r="AJ622" s="188"/>
      <c r="AK622" s="137"/>
    </row>
    <row r="623" spans="2:37" s="30" customFormat="1" x14ac:dyDescent="0.25">
      <c r="B623" s="27"/>
      <c r="D623" s="81"/>
      <c r="E623" s="45"/>
      <c r="F623" s="524"/>
      <c r="G623" s="49"/>
      <c r="H623" s="45"/>
      <c r="I623" s="314"/>
      <c r="J623" s="44"/>
      <c r="K623" s="311"/>
      <c r="L623" s="232"/>
      <c r="M623" s="225"/>
      <c r="N623" s="380"/>
      <c r="O623" s="45"/>
      <c r="P623" s="311"/>
      <c r="Q623" s="149"/>
      <c r="R623" s="293"/>
      <c r="S623" s="316"/>
      <c r="T623" s="355"/>
      <c r="V623" s="111"/>
      <c r="Y623" s="541"/>
      <c r="AB623" s="428"/>
      <c r="AC623" s="454"/>
      <c r="AD623" s="455"/>
      <c r="AE623" s="166"/>
      <c r="AF623" s="169"/>
      <c r="AG623" s="172"/>
      <c r="AH623" s="150"/>
      <c r="AI623" s="137"/>
      <c r="AJ623" s="188"/>
      <c r="AK623" s="137"/>
    </row>
    <row r="624" spans="2:37" s="30" customFormat="1" x14ac:dyDescent="0.25">
      <c r="B624" s="27"/>
      <c r="D624" s="81"/>
      <c r="E624" s="45"/>
      <c r="F624" s="524"/>
      <c r="G624" s="49"/>
      <c r="H624" s="45"/>
      <c r="I624" s="314"/>
      <c r="J624" s="44"/>
      <c r="K624" s="311"/>
      <c r="L624" s="232"/>
      <c r="M624" s="225"/>
      <c r="N624" s="380"/>
      <c r="O624" s="45"/>
      <c r="P624" s="311"/>
      <c r="Q624" s="149"/>
      <c r="R624" s="293"/>
      <c r="S624" s="316"/>
      <c r="T624" s="355"/>
      <c r="V624" s="111"/>
      <c r="Y624" s="541"/>
      <c r="AB624" s="428"/>
      <c r="AC624" s="454"/>
      <c r="AD624" s="455"/>
      <c r="AE624" s="166"/>
      <c r="AF624" s="169"/>
      <c r="AG624" s="172"/>
      <c r="AH624" s="150"/>
      <c r="AI624" s="137"/>
      <c r="AJ624" s="188"/>
      <c r="AK624" s="137"/>
    </row>
    <row r="625" spans="2:37" s="30" customFormat="1" x14ac:dyDescent="0.25">
      <c r="B625" s="27"/>
      <c r="D625" s="81"/>
      <c r="E625" s="45"/>
      <c r="F625" s="524"/>
      <c r="G625" s="49"/>
      <c r="H625" s="45"/>
      <c r="I625" s="314"/>
      <c r="J625" s="44"/>
      <c r="K625" s="311"/>
      <c r="L625" s="232"/>
      <c r="M625" s="225"/>
      <c r="N625" s="380"/>
      <c r="O625" s="45"/>
      <c r="P625" s="311"/>
      <c r="Q625" s="149"/>
      <c r="R625" s="293"/>
      <c r="S625" s="316"/>
      <c r="T625" s="355"/>
      <c r="V625" s="111"/>
      <c r="Y625" s="541"/>
      <c r="AB625" s="428"/>
      <c r="AC625" s="454"/>
      <c r="AD625" s="455"/>
      <c r="AE625" s="166"/>
      <c r="AF625" s="169"/>
      <c r="AG625" s="172"/>
      <c r="AH625" s="150"/>
      <c r="AI625" s="137"/>
      <c r="AJ625" s="188"/>
      <c r="AK625" s="137"/>
    </row>
    <row r="626" spans="2:37" s="30" customFormat="1" x14ac:dyDescent="0.25">
      <c r="B626" s="27"/>
      <c r="D626" s="81"/>
      <c r="E626" s="45"/>
      <c r="F626" s="524"/>
      <c r="G626" s="49"/>
      <c r="H626" s="45"/>
      <c r="I626" s="314"/>
      <c r="J626" s="44"/>
      <c r="K626" s="311"/>
      <c r="L626" s="232"/>
      <c r="M626" s="225"/>
      <c r="N626" s="380"/>
      <c r="O626" s="45"/>
      <c r="P626" s="311"/>
      <c r="Q626" s="149"/>
      <c r="R626" s="293"/>
      <c r="S626" s="316"/>
      <c r="T626" s="355"/>
      <c r="V626" s="111"/>
      <c r="Y626" s="541"/>
      <c r="AB626" s="428"/>
      <c r="AC626" s="454"/>
      <c r="AD626" s="455"/>
      <c r="AE626" s="166"/>
      <c r="AF626" s="169"/>
      <c r="AG626" s="172"/>
      <c r="AH626" s="150"/>
      <c r="AI626" s="137"/>
      <c r="AJ626" s="188"/>
      <c r="AK626" s="137"/>
    </row>
    <row r="627" spans="2:37" s="30" customFormat="1" x14ac:dyDescent="0.25">
      <c r="B627" s="27"/>
      <c r="D627" s="81"/>
      <c r="E627" s="45"/>
      <c r="F627" s="524"/>
      <c r="G627" s="49"/>
      <c r="H627" s="45"/>
      <c r="I627" s="314"/>
      <c r="J627" s="44"/>
      <c r="K627" s="311"/>
      <c r="L627" s="232"/>
      <c r="M627" s="225"/>
      <c r="N627" s="380"/>
      <c r="O627" s="45"/>
      <c r="P627" s="311"/>
      <c r="Q627" s="149"/>
      <c r="R627" s="293"/>
      <c r="S627" s="316"/>
      <c r="T627" s="355"/>
      <c r="V627" s="111"/>
      <c r="Y627" s="541"/>
      <c r="AB627" s="428"/>
      <c r="AC627" s="454"/>
      <c r="AD627" s="455"/>
      <c r="AE627" s="166"/>
      <c r="AF627" s="169"/>
      <c r="AG627" s="172"/>
      <c r="AH627" s="150"/>
      <c r="AI627" s="137"/>
      <c r="AJ627" s="188"/>
      <c r="AK627" s="137"/>
    </row>
    <row r="628" spans="2:37" s="30" customFormat="1" x14ac:dyDescent="0.25">
      <c r="B628" s="27"/>
      <c r="D628" s="81"/>
      <c r="E628" s="45"/>
      <c r="F628" s="524"/>
      <c r="G628" s="49"/>
      <c r="H628" s="45"/>
      <c r="I628" s="314"/>
      <c r="J628" s="44"/>
      <c r="K628" s="311"/>
      <c r="L628" s="232"/>
      <c r="M628" s="225"/>
      <c r="N628" s="380"/>
      <c r="O628" s="45"/>
      <c r="P628" s="311"/>
      <c r="Q628" s="149"/>
      <c r="R628" s="293"/>
      <c r="S628" s="316"/>
      <c r="T628" s="355"/>
      <c r="V628" s="111"/>
      <c r="Y628" s="541"/>
      <c r="AB628" s="428"/>
      <c r="AC628" s="454"/>
      <c r="AD628" s="455"/>
      <c r="AE628" s="166"/>
      <c r="AF628" s="169"/>
      <c r="AG628" s="172"/>
      <c r="AH628" s="150"/>
      <c r="AI628" s="137"/>
      <c r="AJ628" s="188"/>
      <c r="AK628" s="137"/>
    </row>
    <row r="629" spans="2:37" s="30" customFormat="1" x14ac:dyDescent="0.25">
      <c r="B629" s="27"/>
      <c r="D629" s="81"/>
      <c r="E629" s="45"/>
      <c r="F629" s="524"/>
      <c r="G629" s="49"/>
      <c r="H629" s="45"/>
      <c r="I629" s="314"/>
      <c r="J629" s="44"/>
      <c r="K629" s="311"/>
      <c r="L629" s="232"/>
      <c r="M629" s="225"/>
      <c r="N629" s="380"/>
      <c r="O629" s="45"/>
      <c r="P629" s="311"/>
      <c r="Q629" s="149"/>
      <c r="R629" s="293"/>
      <c r="S629" s="316"/>
      <c r="T629" s="355"/>
      <c r="V629" s="111"/>
      <c r="Y629" s="541"/>
      <c r="AB629" s="428"/>
      <c r="AC629" s="454"/>
      <c r="AD629" s="455"/>
      <c r="AE629" s="166"/>
      <c r="AF629" s="169"/>
      <c r="AG629" s="172"/>
      <c r="AH629" s="150"/>
      <c r="AI629" s="137"/>
      <c r="AJ629" s="188"/>
      <c r="AK629" s="137"/>
    </row>
    <row r="630" spans="2:37" s="30" customFormat="1" x14ac:dyDescent="0.25">
      <c r="B630" s="27"/>
      <c r="D630" s="81"/>
      <c r="E630" s="45"/>
      <c r="F630" s="524"/>
      <c r="G630" s="49"/>
      <c r="H630" s="45"/>
      <c r="I630" s="314"/>
      <c r="J630" s="44"/>
      <c r="K630" s="311"/>
      <c r="L630" s="232"/>
      <c r="M630" s="225"/>
      <c r="N630" s="380"/>
      <c r="O630" s="45"/>
      <c r="P630" s="311"/>
      <c r="Q630" s="149"/>
      <c r="R630" s="293"/>
      <c r="S630" s="316"/>
      <c r="T630" s="355"/>
      <c r="V630" s="111"/>
      <c r="Y630" s="541"/>
      <c r="AB630" s="428"/>
      <c r="AC630" s="454"/>
      <c r="AD630" s="455"/>
      <c r="AE630" s="166"/>
      <c r="AF630" s="169"/>
      <c r="AG630" s="172"/>
      <c r="AH630" s="150"/>
      <c r="AI630" s="137"/>
      <c r="AJ630" s="188"/>
      <c r="AK630" s="137"/>
    </row>
    <row r="631" spans="2:37" s="30" customFormat="1" x14ac:dyDescent="0.25">
      <c r="B631" s="27"/>
      <c r="D631" s="81"/>
      <c r="E631" s="45"/>
      <c r="F631" s="524"/>
      <c r="G631" s="49"/>
      <c r="H631" s="45"/>
      <c r="I631" s="314"/>
      <c r="J631" s="44"/>
      <c r="K631" s="311"/>
      <c r="L631" s="232"/>
      <c r="M631" s="225"/>
      <c r="N631" s="380"/>
      <c r="O631" s="45"/>
      <c r="P631" s="311"/>
      <c r="Q631" s="149"/>
      <c r="R631" s="293"/>
      <c r="S631" s="316"/>
      <c r="T631" s="355"/>
      <c r="V631" s="111"/>
      <c r="Y631" s="541"/>
      <c r="AB631" s="428"/>
      <c r="AC631" s="454"/>
      <c r="AD631" s="455"/>
      <c r="AE631" s="166"/>
      <c r="AF631" s="169"/>
      <c r="AG631" s="172"/>
      <c r="AH631" s="150"/>
      <c r="AI631" s="137"/>
      <c r="AJ631" s="188"/>
      <c r="AK631" s="137"/>
    </row>
    <row r="632" spans="2:37" s="30" customFormat="1" x14ac:dyDescent="0.25">
      <c r="B632" s="27"/>
      <c r="D632" s="81"/>
      <c r="E632" s="45"/>
      <c r="F632" s="524"/>
      <c r="G632" s="49"/>
      <c r="H632" s="45"/>
      <c r="I632" s="314"/>
      <c r="J632" s="44"/>
      <c r="K632" s="311"/>
      <c r="L632" s="232"/>
      <c r="M632" s="225"/>
      <c r="N632" s="380"/>
      <c r="O632" s="45"/>
      <c r="P632" s="311"/>
      <c r="Q632" s="149"/>
      <c r="R632" s="293"/>
      <c r="S632" s="316"/>
      <c r="T632" s="355"/>
      <c r="V632" s="111"/>
      <c r="Y632" s="541"/>
      <c r="AB632" s="428"/>
      <c r="AC632" s="454"/>
      <c r="AD632" s="455"/>
      <c r="AE632" s="166"/>
      <c r="AF632" s="169"/>
      <c r="AG632" s="172"/>
      <c r="AH632" s="150"/>
      <c r="AI632" s="137"/>
      <c r="AJ632" s="188"/>
      <c r="AK632" s="137"/>
    </row>
    <row r="633" spans="2:37" s="30" customFormat="1" x14ac:dyDescent="0.25">
      <c r="B633" s="27"/>
      <c r="D633" s="81"/>
      <c r="E633" s="45"/>
      <c r="F633" s="524"/>
      <c r="G633" s="49"/>
      <c r="H633" s="45"/>
      <c r="I633" s="314"/>
      <c r="J633" s="44"/>
      <c r="K633" s="311"/>
      <c r="L633" s="232"/>
      <c r="M633" s="225"/>
      <c r="N633" s="380"/>
      <c r="O633" s="45"/>
      <c r="P633" s="311"/>
      <c r="Q633" s="149"/>
      <c r="R633" s="293"/>
      <c r="S633" s="316"/>
      <c r="T633" s="355"/>
      <c r="V633" s="111"/>
      <c r="Y633" s="541"/>
      <c r="AB633" s="428"/>
      <c r="AC633" s="454"/>
      <c r="AD633" s="455"/>
      <c r="AE633" s="166"/>
      <c r="AF633" s="169"/>
      <c r="AG633" s="172"/>
      <c r="AH633" s="150"/>
      <c r="AI633" s="137"/>
      <c r="AJ633" s="188"/>
      <c r="AK633" s="137"/>
    </row>
    <row r="634" spans="2:37" s="30" customFormat="1" x14ac:dyDescent="0.25">
      <c r="B634" s="27"/>
      <c r="D634" s="81"/>
      <c r="E634" s="45"/>
      <c r="F634" s="524"/>
      <c r="G634" s="49"/>
      <c r="H634" s="45"/>
      <c r="I634" s="314"/>
      <c r="J634" s="44"/>
      <c r="K634" s="311"/>
      <c r="L634" s="232"/>
      <c r="M634" s="225"/>
      <c r="N634" s="380"/>
      <c r="O634" s="45"/>
      <c r="P634" s="311"/>
      <c r="Q634" s="149"/>
      <c r="R634" s="293"/>
      <c r="S634" s="316"/>
      <c r="T634" s="355"/>
      <c r="V634" s="111"/>
      <c r="Y634" s="541"/>
      <c r="AB634" s="428"/>
      <c r="AC634" s="454"/>
      <c r="AD634" s="455"/>
      <c r="AE634" s="166"/>
      <c r="AF634" s="169"/>
      <c r="AG634" s="172"/>
      <c r="AH634" s="150"/>
      <c r="AI634" s="137"/>
      <c r="AJ634" s="188"/>
      <c r="AK634" s="137"/>
    </row>
    <row r="635" spans="2:37" s="30" customFormat="1" x14ac:dyDescent="0.25">
      <c r="B635" s="27"/>
      <c r="D635" s="81"/>
      <c r="E635" s="45"/>
      <c r="F635" s="524"/>
      <c r="G635" s="49"/>
      <c r="H635" s="45"/>
      <c r="I635" s="314"/>
      <c r="J635" s="44"/>
      <c r="K635" s="311"/>
      <c r="L635" s="232"/>
      <c r="M635" s="225"/>
      <c r="N635" s="380"/>
      <c r="O635" s="45"/>
      <c r="P635" s="311"/>
      <c r="Q635" s="149"/>
      <c r="R635" s="293"/>
      <c r="S635" s="316"/>
      <c r="T635" s="355"/>
      <c r="V635" s="111"/>
      <c r="Y635" s="541"/>
      <c r="AB635" s="428"/>
      <c r="AC635" s="454"/>
      <c r="AD635" s="455"/>
      <c r="AE635" s="166"/>
      <c r="AF635" s="169"/>
      <c r="AG635" s="172"/>
      <c r="AH635" s="150"/>
      <c r="AI635" s="137"/>
      <c r="AJ635" s="188"/>
      <c r="AK635" s="137"/>
    </row>
    <row r="636" spans="2:37" s="30" customFormat="1" x14ac:dyDescent="0.25">
      <c r="B636" s="27"/>
      <c r="D636" s="81"/>
      <c r="E636" s="45"/>
      <c r="F636" s="524"/>
      <c r="G636" s="49"/>
      <c r="H636" s="45"/>
      <c r="I636" s="314"/>
      <c r="J636" s="44"/>
      <c r="K636" s="311"/>
      <c r="L636" s="232"/>
      <c r="M636" s="225"/>
      <c r="N636" s="380"/>
      <c r="O636" s="45"/>
      <c r="P636" s="311"/>
      <c r="Q636" s="149"/>
      <c r="R636" s="293"/>
      <c r="S636" s="316"/>
      <c r="T636" s="355"/>
      <c r="V636" s="111"/>
      <c r="Y636" s="541"/>
      <c r="AB636" s="428"/>
      <c r="AC636" s="454"/>
      <c r="AD636" s="455"/>
      <c r="AE636" s="166"/>
      <c r="AF636" s="169"/>
      <c r="AG636" s="172"/>
      <c r="AH636" s="150"/>
      <c r="AI636" s="137"/>
      <c r="AJ636" s="188"/>
      <c r="AK636" s="137"/>
    </row>
    <row r="637" spans="2:37" s="30" customFormat="1" x14ac:dyDescent="0.25">
      <c r="B637" s="27"/>
      <c r="D637" s="81"/>
      <c r="E637" s="45"/>
      <c r="F637" s="524"/>
      <c r="G637" s="49"/>
      <c r="H637" s="45"/>
      <c r="I637" s="314"/>
      <c r="J637" s="44"/>
      <c r="K637" s="311"/>
      <c r="L637" s="232"/>
      <c r="M637" s="225"/>
      <c r="N637" s="380"/>
      <c r="O637" s="45"/>
      <c r="P637" s="311"/>
      <c r="Q637" s="149"/>
      <c r="R637" s="293"/>
      <c r="S637" s="316"/>
      <c r="T637" s="355"/>
      <c r="V637" s="111"/>
      <c r="Y637" s="541"/>
      <c r="AB637" s="428"/>
      <c r="AC637" s="454"/>
      <c r="AD637" s="455"/>
      <c r="AE637" s="166"/>
      <c r="AF637" s="169"/>
      <c r="AG637" s="172"/>
      <c r="AH637" s="150"/>
      <c r="AI637" s="137"/>
      <c r="AJ637" s="188"/>
      <c r="AK637" s="137"/>
    </row>
    <row r="638" spans="2:37" s="30" customFormat="1" x14ac:dyDescent="0.25">
      <c r="B638" s="27"/>
      <c r="D638" s="81"/>
      <c r="E638" s="45"/>
      <c r="F638" s="524"/>
      <c r="G638" s="49"/>
      <c r="H638" s="45"/>
      <c r="I638" s="314"/>
      <c r="J638" s="44"/>
      <c r="K638" s="311"/>
      <c r="L638" s="232"/>
      <c r="M638" s="225"/>
      <c r="N638" s="380"/>
      <c r="O638" s="45"/>
      <c r="P638" s="311"/>
      <c r="Q638" s="149"/>
      <c r="R638" s="293"/>
      <c r="S638" s="316"/>
      <c r="T638" s="355"/>
      <c r="V638" s="111"/>
      <c r="Y638" s="541"/>
      <c r="AB638" s="428"/>
      <c r="AC638" s="454"/>
      <c r="AD638" s="455"/>
      <c r="AE638" s="166"/>
      <c r="AF638" s="169"/>
      <c r="AG638" s="172"/>
      <c r="AH638" s="150"/>
      <c r="AI638" s="137"/>
      <c r="AJ638" s="188"/>
      <c r="AK638" s="137"/>
    </row>
    <row r="639" spans="2:37" s="30" customFormat="1" x14ac:dyDescent="0.25">
      <c r="B639" s="27"/>
      <c r="D639" s="81"/>
      <c r="E639" s="45"/>
      <c r="F639" s="524"/>
      <c r="G639" s="49"/>
      <c r="H639" s="45"/>
      <c r="I639" s="314"/>
      <c r="J639" s="44"/>
      <c r="K639" s="311"/>
      <c r="L639" s="232"/>
      <c r="M639" s="225"/>
      <c r="N639" s="380"/>
      <c r="O639" s="45"/>
      <c r="P639" s="311"/>
      <c r="Q639" s="149"/>
      <c r="R639" s="293"/>
      <c r="S639" s="316"/>
      <c r="T639" s="355"/>
      <c r="V639" s="111"/>
      <c r="Y639" s="541"/>
      <c r="AB639" s="428"/>
      <c r="AC639" s="454"/>
      <c r="AD639" s="455"/>
      <c r="AE639" s="166"/>
      <c r="AF639" s="169"/>
      <c r="AG639" s="172"/>
      <c r="AH639" s="150"/>
      <c r="AI639" s="137"/>
      <c r="AJ639" s="188"/>
      <c r="AK639" s="137"/>
    </row>
    <row r="640" spans="2:37" s="30" customFormat="1" x14ac:dyDescent="0.25">
      <c r="B640" s="27"/>
      <c r="D640" s="81"/>
      <c r="E640" s="45"/>
      <c r="F640" s="524"/>
      <c r="G640" s="49"/>
      <c r="H640" s="45"/>
      <c r="I640" s="314"/>
      <c r="J640" s="44"/>
      <c r="K640" s="311"/>
      <c r="L640" s="232"/>
      <c r="M640" s="225"/>
      <c r="N640" s="380"/>
      <c r="O640" s="45"/>
      <c r="P640" s="311"/>
      <c r="Q640" s="149"/>
      <c r="R640" s="293"/>
      <c r="S640" s="316"/>
      <c r="T640" s="355"/>
      <c r="V640" s="111"/>
      <c r="Y640" s="541"/>
      <c r="AB640" s="428"/>
      <c r="AC640" s="454"/>
      <c r="AD640" s="455"/>
      <c r="AE640" s="166"/>
      <c r="AF640" s="169"/>
      <c r="AG640" s="172"/>
      <c r="AH640" s="150"/>
      <c r="AI640" s="137"/>
      <c r="AJ640" s="188"/>
      <c r="AK640" s="137"/>
    </row>
    <row r="641" spans="2:37" s="30" customFormat="1" x14ac:dyDescent="0.25">
      <c r="B641" s="27"/>
      <c r="D641" s="81"/>
      <c r="E641" s="45"/>
      <c r="F641" s="524"/>
      <c r="G641" s="49"/>
      <c r="H641" s="45"/>
      <c r="I641" s="314"/>
      <c r="J641" s="44"/>
      <c r="K641" s="311"/>
      <c r="L641" s="232"/>
      <c r="M641" s="225"/>
      <c r="N641" s="380"/>
      <c r="O641" s="45"/>
      <c r="P641" s="311"/>
      <c r="Q641" s="149"/>
      <c r="R641" s="293"/>
      <c r="S641" s="316"/>
      <c r="T641" s="355"/>
      <c r="V641" s="111"/>
      <c r="Y641" s="541"/>
      <c r="AB641" s="428"/>
      <c r="AC641" s="454"/>
      <c r="AD641" s="455"/>
      <c r="AE641" s="166"/>
      <c r="AF641" s="169"/>
      <c r="AG641" s="172"/>
      <c r="AH641" s="150"/>
      <c r="AI641" s="137"/>
      <c r="AJ641" s="188"/>
      <c r="AK641" s="137"/>
    </row>
    <row r="642" spans="2:37" s="30" customFormat="1" x14ac:dyDescent="0.25">
      <c r="B642" s="27"/>
      <c r="D642" s="81"/>
      <c r="E642" s="45"/>
      <c r="F642" s="524"/>
      <c r="G642" s="49"/>
      <c r="H642" s="45"/>
      <c r="I642" s="314"/>
      <c r="J642" s="44"/>
      <c r="K642" s="311"/>
      <c r="L642" s="232"/>
      <c r="M642" s="225"/>
      <c r="N642" s="380"/>
      <c r="O642" s="45"/>
      <c r="P642" s="311"/>
      <c r="Q642" s="149"/>
      <c r="R642" s="293"/>
      <c r="S642" s="316"/>
      <c r="T642" s="355"/>
      <c r="V642" s="111"/>
      <c r="Y642" s="541"/>
      <c r="AB642" s="428"/>
      <c r="AC642" s="454"/>
      <c r="AD642" s="455"/>
      <c r="AE642" s="166"/>
      <c r="AF642" s="169"/>
      <c r="AG642" s="172"/>
      <c r="AH642" s="150"/>
      <c r="AI642" s="137"/>
      <c r="AJ642" s="188"/>
      <c r="AK642" s="137"/>
    </row>
    <row r="643" spans="2:37" s="30" customFormat="1" x14ac:dyDescent="0.25">
      <c r="B643" s="27"/>
      <c r="D643" s="81"/>
      <c r="E643" s="45"/>
      <c r="F643" s="524"/>
      <c r="G643" s="49"/>
      <c r="H643" s="45"/>
      <c r="I643" s="314"/>
      <c r="J643" s="44"/>
      <c r="K643" s="311"/>
      <c r="L643" s="232"/>
      <c r="M643" s="225"/>
      <c r="N643" s="380"/>
      <c r="O643" s="45"/>
      <c r="P643" s="311"/>
      <c r="Q643" s="149"/>
      <c r="R643" s="293"/>
      <c r="S643" s="316"/>
      <c r="T643" s="355"/>
      <c r="V643" s="111"/>
      <c r="Y643" s="541"/>
      <c r="AB643" s="428"/>
      <c r="AC643" s="454"/>
      <c r="AD643" s="455"/>
      <c r="AE643" s="166"/>
      <c r="AF643" s="169"/>
      <c r="AG643" s="172"/>
      <c r="AH643" s="150"/>
      <c r="AI643" s="137"/>
      <c r="AJ643" s="188"/>
      <c r="AK643" s="137"/>
    </row>
    <row r="644" spans="2:37" s="30" customFormat="1" x14ac:dyDescent="0.25">
      <c r="B644" s="27"/>
      <c r="D644" s="81"/>
      <c r="E644" s="45"/>
      <c r="F644" s="524"/>
      <c r="G644" s="49"/>
      <c r="H644" s="45"/>
      <c r="I644" s="314"/>
      <c r="J644" s="44"/>
      <c r="K644" s="311"/>
      <c r="L644" s="232"/>
      <c r="M644" s="225"/>
      <c r="N644" s="380"/>
      <c r="O644" s="45"/>
      <c r="P644" s="311"/>
      <c r="Q644" s="149"/>
      <c r="R644" s="293"/>
      <c r="S644" s="316"/>
      <c r="T644" s="355"/>
      <c r="V644" s="111"/>
      <c r="Y644" s="541"/>
      <c r="AB644" s="428"/>
      <c r="AC644" s="454"/>
      <c r="AD644" s="455"/>
      <c r="AE644" s="166"/>
      <c r="AF644" s="169"/>
      <c r="AG644" s="172"/>
      <c r="AH644" s="150"/>
      <c r="AI644" s="137"/>
      <c r="AJ644" s="188"/>
      <c r="AK644" s="137"/>
    </row>
    <row r="645" spans="2:37" s="30" customFormat="1" x14ac:dyDescent="0.25">
      <c r="B645" s="27"/>
      <c r="D645" s="81"/>
      <c r="E645" s="45"/>
      <c r="F645" s="524"/>
      <c r="G645" s="49"/>
      <c r="H645" s="45"/>
      <c r="I645" s="314"/>
      <c r="J645" s="44"/>
      <c r="K645" s="311"/>
      <c r="L645" s="232"/>
      <c r="M645" s="225"/>
      <c r="N645" s="380"/>
      <c r="O645" s="45"/>
      <c r="P645" s="311"/>
      <c r="Q645" s="149"/>
      <c r="R645" s="293"/>
      <c r="S645" s="316"/>
      <c r="T645" s="355"/>
      <c r="V645" s="111"/>
      <c r="Y645" s="541"/>
      <c r="AB645" s="428"/>
      <c r="AC645" s="454"/>
      <c r="AD645" s="455"/>
      <c r="AE645" s="166"/>
      <c r="AF645" s="169"/>
      <c r="AG645" s="172"/>
      <c r="AH645" s="150"/>
      <c r="AI645" s="137"/>
      <c r="AJ645" s="188"/>
      <c r="AK645" s="137"/>
    </row>
    <row r="646" spans="2:37" s="30" customFormat="1" x14ac:dyDescent="0.25">
      <c r="B646" s="27"/>
      <c r="D646" s="81"/>
      <c r="E646" s="45"/>
      <c r="F646" s="524"/>
      <c r="G646" s="49"/>
      <c r="H646" s="45"/>
      <c r="I646" s="314"/>
      <c r="J646" s="44"/>
      <c r="K646" s="311"/>
      <c r="L646" s="232"/>
      <c r="M646" s="225"/>
      <c r="N646" s="380"/>
      <c r="O646" s="45"/>
      <c r="P646" s="311"/>
      <c r="Q646" s="149"/>
      <c r="R646" s="293"/>
      <c r="S646" s="316"/>
      <c r="T646" s="355"/>
      <c r="V646" s="111"/>
      <c r="Y646" s="541"/>
      <c r="AB646" s="428"/>
      <c r="AC646" s="454"/>
      <c r="AD646" s="455"/>
      <c r="AE646" s="166"/>
      <c r="AF646" s="169"/>
      <c r="AG646" s="172"/>
      <c r="AH646" s="150"/>
      <c r="AI646" s="137"/>
      <c r="AJ646" s="188"/>
      <c r="AK646" s="137"/>
    </row>
    <row r="647" spans="2:37" s="30" customFormat="1" x14ac:dyDescent="0.25">
      <c r="B647" s="27"/>
      <c r="D647" s="81"/>
      <c r="E647" s="45"/>
      <c r="F647" s="524"/>
      <c r="G647" s="49"/>
      <c r="H647" s="45"/>
      <c r="I647" s="314"/>
      <c r="J647" s="44"/>
      <c r="K647" s="311"/>
      <c r="L647" s="232"/>
      <c r="M647" s="225"/>
      <c r="N647" s="380"/>
      <c r="O647" s="45"/>
      <c r="P647" s="311"/>
      <c r="Q647" s="149"/>
      <c r="R647" s="293"/>
      <c r="S647" s="316"/>
      <c r="T647" s="355"/>
      <c r="V647" s="111"/>
      <c r="Y647" s="541"/>
      <c r="AB647" s="428"/>
      <c r="AC647" s="454"/>
      <c r="AD647" s="455"/>
      <c r="AE647" s="166"/>
      <c r="AF647" s="169"/>
      <c r="AG647" s="172"/>
      <c r="AH647" s="150"/>
      <c r="AI647" s="137"/>
      <c r="AJ647" s="188"/>
      <c r="AK647" s="137"/>
    </row>
    <row r="648" spans="2:37" s="30" customFormat="1" x14ac:dyDescent="0.25">
      <c r="B648" s="27"/>
      <c r="D648" s="81"/>
      <c r="E648" s="45"/>
      <c r="F648" s="524"/>
      <c r="G648" s="49"/>
      <c r="H648" s="45"/>
      <c r="I648" s="314"/>
      <c r="J648" s="44"/>
      <c r="K648" s="311"/>
      <c r="L648" s="232"/>
      <c r="M648" s="225"/>
      <c r="N648" s="380"/>
      <c r="O648" s="45"/>
      <c r="P648" s="311"/>
      <c r="Q648" s="149"/>
      <c r="R648" s="293"/>
      <c r="S648" s="316"/>
      <c r="T648" s="355"/>
      <c r="V648" s="111"/>
      <c r="Y648" s="541"/>
      <c r="AB648" s="428"/>
      <c r="AC648" s="454"/>
      <c r="AD648" s="455"/>
      <c r="AE648" s="166"/>
      <c r="AF648" s="169"/>
      <c r="AG648" s="172"/>
      <c r="AH648" s="150"/>
      <c r="AI648" s="137"/>
      <c r="AJ648" s="188"/>
      <c r="AK648" s="137"/>
    </row>
    <row r="649" spans="2:37" s="30" customFormat="1" x14ac:dyDescent="0.25">
      <c r="B649" s="27"/>
      <c r="D649" s="81"/>
      <c r="E649" s="45"/>
      <c r="F649" s="524"/>
      <c r="G649" s="49"/>
      <c r="H649" s="45"/>
      <c r="I649" s="314"/>
      <c r="J649" s="44"/>
      <c r="K649" s="311"/>
      <c r="L649" s="232"/>
      <c r="M649" s="225"/>
      <c r="N649" s="380"/>
      <c r="O649" s="45"/>
      <c r="P649" s="311"/>
      <c r="Q649" s="149"/>
      <c r="R649" s="293"/>
      <c r="S649" s="316"/>
      <c r="T649" s="355"/>
      <c r="V649" s="111"/>
      <c r="Y649" s="541"/>
      <c r="AB649" s="428"/>
      <c r="AC649" s="454"/>
      <c r="AD649" s="455"/>
      <c r="AE649" s="166"/>
      <c r="AF649" s="169"/>
      <c r="AG649" s="172"/>
      <c r="AH649" s="150"/>
      <c r="AI649" s="137"/>
      <c r="AJ649" s="188"/>
      <c r="AK649" s="137"/>
    </row>
    <row r="650" spans="2:37" s="30" customFormat="1" x14ac:dyDescent="0.25">
      <c r="B650" s="27"/>
      <c r="D650" s="81"/>
      <c r="E650" s="45"/>
      <c r="F650" s="524"/>
      <c r="G650" s="49"/>
      <c r="H650" s="45"/>
      <c r="I650" s="314"/>
      <c r="J650" s="44"/>
      <c r="K650" s="311"/>
      <c r="L650" s="232"/>
      <c r="M650" s="225"/>
      <c r="N650" s="380"/>
      <c r="O650" s="45"/>
      <c r="P650" s="311"/>
      <c r="Q650" s="149"/>
      <c r="R650" s="293"/>
      <c r="S650" s="316"/>
      <c r="T650" s="355"/>
      <c r="V650" s="111"/>
      <c r="Y650" s="541"/>
      <c r="AB650" s="428"/>
      <c r="AC650" s="454"/>
      <c r="AD650" s="455"/>
      <c r="AE650" s="166"/>
      <c r="AF650" s="169"/>
      <c r="AG650" s="172"/>
      <c r="AH650" s="150"/>
      <c r="AI650" s="137"/>
      <c r="AJ650" s="188"/>
      <c r="AK650" s="137"/>
    </row>
    <row r="651" spans="2:37" s="30" customFormat="1" x14ac:dyDescent="0.25">
      <c r="B651" s="27"/>
      <c r="D651" s="81"/>
      <c r="E651" s="45"/>
      <c r="F651" s="524"/>
      <c r="G651" s="49"/>
      <c r="H651" s="45"/>
      <c r="I651" s="314"/>
      <c r="J651" s="44"/>
      <c r="K651" s="311"/>
      <c r="L651" s="232"/>
      <c r="M651" s="225"/>
      <c r="N651" s="380"/>
      <c r="O651" s="45"/>
      <c r="P651" s="311"/>
      <c r="Q651" s="149"/>
      <c r="R651" s="293"/>
      <c r="S651" s="316"/>
      <c r="T651" s="355"/>
      <c r="V651" s="111"/>
      <c r="Y651" s="541"/>
      <c r="AB651" s="428"/>
      <c r="AC651" s="454"/>
      <c r="AD651" s="455"/>
      <c r="AE651" s="166"/>
      <c r="AF651" s="169"/>
      <c r="AG651" s="172"/>
      <c r="AH651" s="150"/>
      <c r="AI651" s="137"/>
      <c r="AJ651" s="188"/>
      <c r="AK651" s="137"/>
    </row>
    <row r="652" spans="2:37" s="30" customFormat="1" x14ac:dyDescent="0.25">
      <c r="B652" s="27"/>
      <c r="D652" s="81"/>
      <c r="E652" s="45"/>
      <c r="F652" s="524"/>
      <c r="G652" s="49"/>
      <c r="H652" s="45"/>
      <c r="I652" s="314"/>
      <c r="J652" s="44"/>
      <c r="K652" s="311"/>
      <c r="L652" s="232"/>
      <c r="M652" s="225"/>
      <c r="N652" s="380"/>
      <c r="O652" s="45"/>
      <c r="P652" s="311"/>
      <c r="Q652" s="149"/>
      <c r="R652" s="293"/>
      <c r="S652" s="316"/>
      <c r="T652" s="355"/>
      <c r="V652" s="111"/>
      <c r="Y652" s="541"/>
      <c r="AB652" s="428"/>
      <c r="AC652" s="454"/>
      <c r="AD652" s="455"/>
      <c r="AE652" s="166"/>
      <c r="AF652" s="169"/>
      <c r="AG652" s="172"/>
      <c r="AH652" s="150"/>
      <c r="AI652" s="137"/>
      <c r="AJ652" s="188"/>
      <c r="AK652" s="137"/>
    </row>
    <row r="653" spans="2:37" s="30" customFormat="1" x14ac:dyDescent="0.25">
      <c r="B653" s="27"/>
      <c r="D653" s="81"/>
      <c r="E653" s="45"/>
      <c r="F653" s="524"/>
      <c r="G653" s="49"/>
      <c r="H653" s="45"/>
      <c r="I653" s="314"/>
      <c r="J653" s="44"/>
      <c r="K653" s="311"/>
      <c r="L653" s="232"/>
      <c r="M653" s="225"/>
      <c r="N653" s="380"/>
      <c r="O653" s="45"/>
      <c r="P653" s="311"/>
      <c r="Q653" s="149"/>
      <c r="R653" s="293"/>
      <c r="S653" s="316"/>
      <c r="T653" s="355"/>
      <c r="V653" s="111"/>
      <c r="Y653" s="541"/>
      <c r="AB653" s="428"/>
      <c r="AC653" s="454"/>
      <c r="AD653" s="455"/>
      <c r="AE653" s="166"/>
      <c r="AF653" s="169"/>
      <c r="AG653" s="172"/>
      <c r="AH653" s="150"/>
      <c r="AI653" s="137"/>
      <c r="AJ653" s="188"/>
      <c r="AK653" s="137"/>
    </row>
    <row r="654" spans="2:37" s="30" customFormat="1" x14ac:dyDescent="0.25">
      <c r="B654" s="27"/>
      <c r="D654" s="81"/>
      <c r="E654" s="45"/>
      <c r="F654" s="524"/>
      <c r="G654" s="49"/>
      <c r="H654" s="45"/>
      <c r="I654" s="314"/>
      <c r="J654" s="44"/>
      <c r="K654" s="311"/>
      <c r="L654" s="232"/>
      <c r="M654" s="225"/>
      <c r="N654" s="380"/>
      <c r="O654" s="45"/>
      <c r="P654" s="311"/>
      <c r="Q654" s="149"/>
      <c r="R654" s="293"/>
      <c r="S654" s="316"/>
      <c r="T654" s="355"/>
      <c r="V654" s="111"/>
      <c r="Y654" s="541"/>
      <c r="AB654" s="428"/>
      <c r="AC654" s="454"/>
      <c r="AD654" s="455"/>
      <c r="AE654" s="166"/>
      <c r="AF654" s="169"/>
      <c r="AG654" s="172"/>
      <c r="AH654" s="150"/>
      <c r="AI654" s="137"/>
      <c r="AJ654" s="188"/>
      <c r="AK654" s="137"/>
    </row>
    <row r="655" spans="2:37" s="30" customFormat="1" x14ac:dyDescent="0.25">
      <c r="B655" s="27"/>
      <c r="D655" s="81"/>
      <c r="E655" s="45"/>
      <c r="F655" s="524"/>
      <c r="G655" s="49"/>
      <c r="H655" s="45"/>
      <c r="I655" s="314"/>
      <c r="J655" s="44"/>
      <c r="K655" s="311"/>
      <c r="L655" s="232"/>
      <c r="M655" s="225"/>
      <c r="N655" s="380"/>
      <c r="O655" s="45"/>
      <c r="P655" s="311"/>
      <c r="Q655" s="149"/>
      <c r="R655" s="293"/>
      <c r="S655" s="316"/>
      <c r="T655" s="355"/>
      <c r="V655" s="111"/>
      <c r="Y655" s="541"/>
      <c r="AB655" s="428"/>
      <c r="AC655" s="454"/>
      <c r="AD655" s="455"/>
      <c r="AE655" s="166"/>
      <c r="AF655" s="169"/>
      <c r="AG655" s="172"/>
      <c r="AH655" s="150"/>
      <c r="AI655" s="137"/>
      <c r="AJ655" s="188"/>
      <c r="AK655" s="137"/>
    </row>
    <row r="656" spans="2:37" s="30" customFormat="1" x14ac:dyDescent="0.25">
      <c r="B656" s="27"/>
      <c r="D656" s="81"/>
      <c r="E656" s="45"/>
      <c r="F656" s="524"/>
      <c r="G656" s="49"/>
      <c r="H656" s="45"/>
      <c r="I656" s="314"/>
      <c r="J656" s="44"/>
      <c r="K656" s="311"/>
      <c r="L656" s="232"/>
      <c r="M656" s="225"/>
      <c r="N656" s="380"/>
      <c r="O656" s="45"/>
      <c r="P656" s="311"/>
      <c r="Q656" s="149"/>
      <c r="R656" s="293"/>
      <c r="S656" s="316"/>
      <c r="T656" s="355"/>
      <c r="V656" s="111"/>
      <c r="Y656" s="541"/>
      <c r="AB656" s="428"/>
      <c r="AC656" s="454"/>
      <c r="AD656" s="455"/>
      <c r="AE656" s="166"/>
      <c r="AF656" s="169"/>
      <c r="AG656" s="172"/>
      <c r="AH656" s="150"/>
      <c r="AI656" s="137"/>
      <c r="AJ656" s="188"/>
      <c r="AK656" s="137"/>
    </row>
    <row r="657" spans="2:37" s="30" customFormat="1" x14ac:dyDescent="0.25">
      <c r="B657" s="27"/>
      <c r="D657" s="81"/>
      <c r="E657" s="45"/>
      <c r="F657" s="524"/>
      <c r="G657" s="49"/>
      <c r="H657" s="45"/>
      <c r="I657" s="314"/>
      <c r="J657" s="44"/>
      <c r="K657" s="311"/>
      <c r="L657" s="232"/>
      <c r="M657" s="225"/>
      <c r="N657" s="380"/>
      <c r="O657" s="45"/>
      <c r="P657" s="311"/>
      <c r="Q657" s="149"/>
      <c r="R657" s="293"/>
      <c r="S657" s="316"/>
      <c r="T657" s="355"/>
      <c r="V657" s="111"/>
      <c r="Y657" s="541"/>
      <c r="AB657" s="428"/>
      <c r="AC657" s="454"/>
      <c r="AD657" s="455"/>
      <c r="AE657" s="166"/>
      <c r="AF657" s="169"/>
      <c r="AG657" s="172"/>
      <c r="AH657" s="150"/>
      <c r="AI657" s="137"/>
      <c r="AJ657" s="188"/>
      <c r="AK657" s="137"/>
    </row>
    <row r="658" spans="2:37" s="30" customFormat="1" x14ac:dyDescent="0.25">
      <c r="B658" s="27"/>
      <c r="D658" s="81"/>
      <c r="E658" s="45"/>
      <c r="F658" s="524"/>
      <c r="G658" s="49"/>
      <c r="H658" s="45"/>
      <c r="I658" s="314"/>
      <c r="J658" s="44"/>
      <c r="K658" s="311"/>
      <c r="L658" s="232"/>
      <c r="M658" s="225"/>
      <c r="N658" s="380"/>
      <c r="O658" s="45"/>
      <c r="P658" s="311"/>
      <c r="Q658" s="149"/>
      <c r="R658" s="293"/>
      <c r="S658" s="316"/>
      <c r="T658" s="355"/>
      <c r="V658" s="111"/>
      <c r="Y658" s="541"/>
      <c r="AB658" s="428"/>
      <c r="AC658" s="454"/>
      <c r="AD658" s="455"/>
      <c r="AE658" s="166"/>
      <c r="AF658" s="169"/>
      <c r="AG658" s="172"/>
      <c r="AH658" s="150"/>
      <c r="AI658" s="137"/>
      <c r="AJ658" s="188"/>
      <c r="AK658" s="137"/>
    </row>
    <row r="659" spans="2:37" s="30" customFormat="1" x14ac:dyDescent="0.25">
      <c r="B659" s="27"/>
      <c r="D659" s="81"/>
      <c r="E659" s="45"/>
      <c r="F659" s="524"/>
      <c r="G659" s="49"/>
      <c r="H659" s="45"/>
      <c r="I659" s="314"/>
      <c r="J659" s="44"/>
      <c r="K659" s="311"/>
      <c r="L659" s="232"/>
      <c r="M659" s="225"/>
      <c r="N659" s="380"/>
      <c r="O659" s="45"/>
      <c r="P659" s="311"/>
      <c r="Q659" s="149"/>
      <c r="R659" s="293"/>
      <c r="S659" s="316"/>
      <c r="T659" s="355"/>
      <c r="V659" s="111"/>
      <c r="Y659" s="541"/>
      <c r="AB659" s="428"/>
      <c r="AC659" s="454"/>
      <c r="AD659" s="455"/>
      <c r="AE659" s="166"/>
      <c r="AF659" s="169"/>
      <c r="AG659" s="172"/>
      <c r="AH659" s="150"/>
      <c r="AI659" s="137"/>
      <c r="AJ659" s="188"/>
      <c r="AK659" s="137"/>
    </row>
    <row r="660" spans="2:37" s="30" customFormat="1" x14ac:dyDescent="0.25">
      <c r="B660" s="27"/>
      <c r="D660" s="81"/>
      <c r="E660" s="45"/>
      <c r="F660" s="524"/>
      <c r="G660" s="49"/>
      <c r="H660" s="45"/>
      <c r="I660" s="314"/>
      <c r="J660" s="44"/>
      <c r="K660" s="311"/>
      <c r="L660" s="232"/>
      <c r="M660" s="225"/>
      <c r="N660" s="380"/>
      <c r="O660" s="45"/>
      <c r="P660" s="311"/>
      <c r="Q660" s="149"/>
      <c r="R660" s="293"/>
      <c r="S660" s="316"/>
      <c r="T660" s="355"/>
      <c r="V660" s="111"/>
      <c r="Y660" s="541"/>
      <c r="AB660" s="428"/>
      <c r="AC660" s="454"/>
      <c r="AD660" s="455"/>
      <c r="AE660" s="166"/>
      <c r="AF660" s="169"/>
      <c r="AG660" s="172"/>
      <c r="AH660" s="150"/>
      <c r="AI660" s="137"/>
      <c r="AJ660" s="188"/>
      <c r="AK660" s="137"/>
    </row>
    <row r="661" spans="2:37" s="30" customFormat="1" x14ac:dyDescent="0.25">
      <c r="B661" s="27"/>
      <c r="D661" s="81"/>
      <c r="E661" s="45"/>
      <c r="F661" s="524"/>
      <c r="G661" s="49"/>
      <c r="H661" s="45"/>
      <c r="I661" s="314"/>
      <c r="J661" s="44"/>
      <c r="K661" s="311"/>
      <c r="L661" s="232"/>
      <c r="M661" s="225"/>
      <c r="N661" s="380"/>
      <c r="O661" s="45"/>
      <c r="P661" s="311"/>
      <c r="Q661" s="149"/>
      <c r="R661" s="293"/>
      <c r="S661" s="316"/>
      <c r="T661" s="355"/>
      <c r="V661" s="111"/>
      <c r="Y661" s="541"/>
      <c r="AB661" s="428"/>
      <c r="AC661" s="454"/>
      <c r="AD661" s="455"/>
      <c r="AE661" s="166"/>
      <c r="AF661" s="169"/>
      <c r="AG661" s="172"/>
      <c r="AH661" s="150"/>
      <c r="AI661" s="137"/>
      <c r="AJ661" s="188"/>
      <c r="AK661" s="137"/>
    </row>
    <row r="662" spans="2:37" s="30" customFormat="1" x14ac:dyDescent="0.25">
      <c r="B662" s="27"/>
      <c r="D662" s="81"/>
      <c r="E662" s="45"/>
      <c r="F662" s="524"/>
      <c r="G662" s="49"/>
      <c r="H662" s="45"/>
      <c r="I662" s="314"/>
      <c r="J662" s="44"/>
      <c r="K662" s="311"/>
      <c r="L662" s="232"/>
      <c r="M662" s="225"/>
      <c r="N662" s="380"/>
      <c r="O662" s="45"/>
      <c r="P662" s="311"/>
      <c r="Q662" s="149"/>
      <c r="R662" s="293"/>
      <c r="S662" s="316"/>
      <c r="T662" s="355"/>
      <c r="V662" s="111"/>
      <c r="Y662" s="541"/>
      <c r="AB662" s="428"/>
      <c r="AC662" s="454"/>
      <c r="AD662" s="455"/>
      <c r="AE662" s="166"/>
      <c r="AF662" s="169"/>
      <c r="AG662" s="172"/>
      <c r="AH662" s="150"/>
      <c r="AI662" s="137"/>
      <c r="AJ662" s="188"/>
      <c r="AK662" s="137"/>
    </row>
    <row r="663" spans="2:37" s="30" customFormat="1" x14ac:dyDescent="0.25">
      <c r="B663" s="27"/>
      <c r="D663" s="81"/>
      <c r="E663" s="45"/>
      <c r="F663" s="524"/>
      <c r="G663" s="49"/>
      <c r="H663" s="45"/>
      <c r="I663" s="314"/>
      <c r="J663" s="44"/>
      <c r="K663" s="311"/>
      <c r="L663" s="232"/>
      <c r="M663" s="225"/>
      <c r="N663" s="380"/>
      <c r="O663" s="45"/>
      <c r="P663" s="311"/>
      <c r="Q663" s="149"/>
      <c r="R663" s="293"/>
      <c r="S663" s="316"/>
      <c r="T663" s="355"/>
      <c r="V663" s="111"/>
      <c r="Y663" s="541"/>
      <c r="AB663" s="428"/>
      <c r="AC663" s="454"/>
      <c r="AD663" s="455"/>
      <c r="AE663" s="166"/>
      <c r="AF663" s="169"/>
      <c r="AG663" s="172"/>
      <c r="AH663" s="150"/>
      <c r="AI663" s="137"/>
      <c r="AJ663" s="188"/>
      <c r="AK663" s="137"/>
    </row>
    <row r="664" spans="2:37" s="30" customFormat="1" x14ac:dyDescent="0.25">
      <c r="B664" s="27"/>
      <c r="D664" s="81"/>
      <c r="E664" s="45"/>
      <c r="F664" s="524"/>
      <c r="G664" s="49"/>
      <c r="H664" s="45"/>
      <c r="I664" s="314"/>
      <c r="J664" s="44"/>
      <c r="K664" s="311"/>
      <c r="L664" s="232"/>
      <c r="M664" s="225"/>
      <c r="N664" s="380"/>
      <c r="O664" s="45"/>
      <c r="P664" s="311"/>
      <c r="Q664" s="149"/>
      <c r="R664" s="293"/>
      <c r="S664" s="316"/>
      <c r="T664" s="355"/>
      <c r="V664" s="111"/>
      <c r="Y664" s="541"/>
      <c r="AB664" s="428"/>
      <c r="AC664" s="454"/>
      <c r="AD664" s="455"/>
      <c r="AE664" s="166"/>
      <c r="AF664" s="169"/>
      <c r="AG664" s="172"/>
      <c r="AH664" s="150"/>
      <c r="AI664" s="137"/>
      <c r="AJ664" s="188"/>
      <c r="AK664" s="137"/>
    </row>
    <row r="665" spans="2:37" s="30" customFormat="1" x14ac:dyDescent="0.25">
      <c r="B665" s="27"/>
      <c r="D665" s="81"/>
      <c r="E665" s="45"/>
      <c r="F665" s="524"/>
      <c r="G665" s="49"/>
      <c r="H665" s="45"/>
      <c r="I665" s="314"/>
      <c r="J665" s="44"/>
      <c r="K665" s="311"/>
      <c r="L665" s="232"/>
      <c r="M665" s="225"/>
      <c r="N665" s="380"/>
      <c r="O665" s="45"/>
      <c r="P665" s="311"/>
      <c r="Q665" s="149"/>
      <c r="R665" s="293"/>
      <c r="S665" s="316"/>
      <c r="T665" s="355"/>
      <c r="V665" s="111"/>
      <c r="Y665" s="541"/>
      <c r="AB665" s="428"/>
      <c r="AC665" s="454"/>
      <c r="AD665" s="455"/>
      <c r="AE665" s="166"/>
      <c r="AF665" s="169"/>
      <c r="AG665" s="172"/>
      <c r="AH665" s="150"/>
      <c r="AI665" s="137"/>
      <c r="AJ665" s="188"/>
      <c r="AK665" s="137"/>
    </row>
    <row r="666" spans="2:37" s="30" customFormat="1" x14ac:dyDescent="0.25">
      <c r="B666" s="27"/>
      <c r="D666" s="81"/>
      <c r="E666" s="45"/>
      <c r="F666" s="524"/>
      <c r="G666" s="49"/>
      <c r="H666" s="45"/>
      <c r="I666" s="314"/>
      <c r="J666" s="44"/>
      <c r="K666" s="311"/>
      <c r="L666" s="232"/>
      <c r="M666" s="225"/>
      <c r="N666" s="380"/>
      <c r="O666" s="45"/>
      <c r="P666" s="311"/>
      <c r="Q666" s="149"/>
      <c r="R666" s="293"/>
      <c r="S666" s="316"/>
      <c r="T666" s="355"/>
      <c r="V666" s="111"/>
      <c r="Y666" s="541"/>
      <c r="AB666" s="428"/>
      <c r="AC666" s="454"/>
      <c r="AD666" s="455"/>
      <c r="AE666" s="166"/>
      <c r="AF666" s="169"/>
      <c r="AG666" s="172"/>
      <c r="AH666" s="150"/>
      <c r="AI666" s="137"/>
      <c r="AJ666" s="188"/>
      <c r="AK666" s="137"/>
    </row>
    <row r="667" spans="2:37" s="30" customFormat="1" x14ac:dyDescent="0.25">
      <c r="B667" s="27"/>
      <c r="D667" s="81"/>
      <c r="E667" s="45"/>
      <c r="F667" s="524"/>
      <c r="G667" s="49"/>
      <c r="H667" s="45"/>
      <c r="I667" s="314"/>
      <c r="J667" s="44"/>
      <c r="K667" s="311"/>
      <c r="L667" s="232"/>
      <c r="M667" s="225"/>
      <c r="N667" s="380"/>
      <c r="O667" s="45"/>
      <c r="P667" s="311"/>
      <c r="Q667" s="149"/>
      <c r="R667" s="293"/>
      <c r="S667" s="316"/>
      <c r="T667" s="355"/>
      <c r="V667" s="111"/>
      <c r="Y667" s="541"/>
      <c r="AB667" s="428"/>
      <c r="AC667" s="454"/>
      <c r="AD667" s="455"/>
      <c r="AE667" s="166"/>
      <c r="AF667" s="169"/>
      <c r="AG667" s="172"/>
      <c r="AH667" s="150"/>
      <c r="AI667" s="137"/>
      <c r="AJ667" s="188"/>
      <c r="AK667" s="137"/>
    </row>
    <row r="668" spans="2:37" s="30" customFormat="1" x14ac:dyDescent="0.25">
      <c r="B668" s="27"/>
      <c r="D668" s="81"/>
      <c r="E668" s="45"/>
      <c r="F668" s="524"/>
      <c r="G668" s="49"/>
      <c r="H668" s="45"/>
      <c r="I668" s="314"/>
      <c r="J668" s="44"/>
      <c r="K668" s="311"/>
      <c r="L668" s="232"/>
      <c r="M668" s="225"/>
      <c r="N668" s="380"/>
      <c r="O668" s="45"/>
      <c r="P668" s="311"/>
      <c r="Q668" s="149"/>
      <c r="R668" s="293"/>
      <c r="S668" s="316"/>
      <c r="T668" s="355"/>
      <c r="V668" s="111"/>
      <c r="Y668" s="541"/>
      <c r="AB668" s="428"/>
      <c r="AC668" s="454"/>
      <c r="AD668" s="455"/>
      <c r="AE668" s="166"/>
      <c r="AF668" s="169"/>
      <c r="AG668" s="172"/>
      <c r="AH668" s="150"/>
      <c r="AI668" s="137"/>
      <c r="AJ668" s="188"/>
      <c r="AK668" s="137"/>
    </row>
    <row r="669" spans="2:37" s="30" customFormat="1" x14ac:dyDescent="0.25">
      <c r="B669" s="27"/>
      <c r="D669" s="81"/>
      <c r="E669" s="45"/>
      <c r="F669" s="524"/>
      <c r="G669" s="49"/>
      <c r="H669" s="45"/>
      <c r="I669" s="314"/>
      <c r="J669" s="44"/>
      <c r="K669" s="311"/>
      <c r="L669" s="232"/>
      <c r="M669" s="225"/>
      <c r="N669" s="380"/>
      <c r="O669" s="45"/>
      <c r="P669" s="311"/>
      <c r="Q669" s="149"/>
      <c r="R669" s="293"/>
      <c r="S669" s="316"/>
      <c r="T669" s="355"/>
      <c r="V669" s="111"/>
      <c r="Y669" s="541"/>
      <c r="AB669" s="428"/>
      <c r="AC669" s="454"/>
      <c r="AD669" s="455"/>
      <c r="AE669" s="166"/>
      <c r="AF669" s="169"/>
      <c r="AG669" s="172"/>
      <c r="AH669" s="150"/>
      <c r="AI669" s="137"/>
      <c r="AJ669" s="188"/>
      <c r="AK669" s="137"/>
    </row>
    <row r="670" spans="2:37" s="30" customFormat="1" x14ac:dyDescent="0.25">
      <c r="B670" s="27"/>
      <c r="D670" s="81"/>
      <c r="E670" s="45"/>
      <c r="F670" s="524"/>
      <c r="G670" s="49"/>
      <c r="H670" s="45"/>
      <c r="I670" s="314"/>
      <c r="J670" s="44"/>
      <c r="K670" s="311"/>
      <c r="L670" s="232"/>
      <c r="M670" s="225"/>
      <c r="N670" s="380"/>
      <c r="O670" s="45"/>
      <c r="P670" s="311"/>
      <c r="Q670" s="149"/>
      <c r="R670" s="293"/>
      <c r="S670" s="316"/>
      <c r="T670" s="355"/>
      <c r="V670" s="111"/>
      <c r="Y670" s="541"/>
      <c r="AB670" s="428"/>
      <c r="AC670" s="454"/>
      <c r="AD670" s="455"/>
      <c r="AE670" s="166"/>
      <c r="AF670" s="169"/>
      <c r="AG670" s="172"/>
      <c r="AH670" s="150"/>
      <c r="AI670" s="137"/>
      <c r="AJ670" s="188"/>
      <c r="AK670" s="137"/>
    </row>
    <row r="671" spans="2:37" s="30" customFormat="1" x14ac:dyDescent="0.25">
      <c r="B671" s="27"/>
      <c r="D671" s="81"/>
      <c r="E671" s="45"/>
      <c r="F671" s="524"/>
      <c r="G671" s="49"/>
      <c r="H671" s="45"/>
      <c r="I671" s="314"/>
      <c r="J671" s="44"/>
      <c r="K671" s="311"/>
      <c r="L671" s="232"/>
      <c r="M671" s="225"/>
      <c r="N671" s="380"/>
      <c r="O671" s="45"/>
      <c r="P671" s="311"/>
      <c r="Q671" s="149"/>
      <c r="R671" s="293"/>
      <c r="S671" s="316"/>
      <c r="T671" s="355"/>
      <c r="V671" s="111"/>
      <c r="Y671" s="541"/>
      <c r="AB671" s="428"/>
      <c r="AC671" s="454"/>
      <c r="AD671" s="455"/>
      <c r="AE671" s="166"/>
      <c r="AF671" s="169"/>
      <c r="AG671" s="172"/>
      <c r="AH671" s="150"/>
      <c r="AI671" s="137"/>
      <c r="AJ671" s="188"/>
      <c r="AK671" s="137"/>
    </row>
    <row r="672" spans="2:37" s="30" customFormat="1" x14ac:dyDescent="0.25">
      <c r="B672" s="27"/>
      <c r="D672" s="81"/>
      <c r="E672" s="45"/>
      <c r="F672" s="524"/>
      <c r="G672" s="49"/>
      <c r="H672" s="45"/>
      <c r="I672" s="314"/>
      <c r="J672" s="44"/>
      <c r="K672" s="311"/>
      <c r="L672" s="232"/>
      <c r="M672" s="225"/>
      <c r="N672" s="380"/>
      <c r="O672" s="45"/>
      <c r="P672" s="311"/>
      <c r="Q672" s="149"/>
      <c r="R672" s="293"/>
      <c r="S672" s="316"/>
      <c r="T672" s="355"/>
      <c r="V672" s="111"/>
      <c r="Y672" s="541"/>
      <c r="AB672" s="428"/>
      <c r="AC672" s="454"/>
      <c r="AD672" s="455"/>
      <c r="AE672" s="166"/>
      <c r="AF672" s="169"/>
      <c r="AG672" s="172"/>
      <c r="AH672" s="150"/>
      <c r="AI672" s="137"/>
      <c r="AJ672" s="188"/>
      <c r="AK672" s="137"/>
    </row>
    <row r="673" spans="2:37" s="30" customFormat="1" x14ac:dyDescent="0.25">
      <c r="B673" s="27"/>
      <c r="D673" s="81"/>
      <c r="E673" s="45"/>
      <c r="F673" s="524"/>
      <c r="G673" s="49"/>
      <c r="H673" s="45"/>
      <c r="I673" s="314"/>
      <c r="J673" s="44"/>
      <c r="K673" s="311"/>
      <c r="L673" s="232"/>
      <c r="M673" s="225"/>
      <c r="N673" s="380"/>
      <c r="O673" s="45"/>
      <c r="P673" s="311"/>
      <c r="Q673" s="149"/>
      <c r="R673" s="293"/>
      <c r="S673" s="316"/>
      <c r="T673" s="355"/>
      <c r="V673" s="111"/>
      <c r="Y673" s="541"/>
      <c r="AB673" s="428"/>
      <c r="AC673" s="454"/>
      <c r="AD673" s="455"/>
      <c r="AE673" s="166"/>
      <c r="AF673" s="169"/>
      <c r="AG673" s="172"/>
      <c r="AH673" s="150"/>
      <c r="AI673" s="137"/>
      <c r="AJ673" s="188"/>
      <c r="AK673" s="137"/>
    </row>
    <row r="674" spans="2:37" s="30" customFormat="1" x14ac:dyDescent="0.25">
      <c r="B674" s="27"/>
      <c r="D674" s="81"/>
      <c r="E674" s="45"/>
      <c r="F674" s="524"/>
      <c r="G674" s="49"/>
      <c r="H674" s="45"/>
      <c r="I674" s="314"/>
      <c r="J674" s="44"/>
      <c r="K674" s="311"/>
      <c r="L674" s="232"/>
      <c r="M674" s="225"/>
      <c r="N674" s="380"/>
      <c r="O674" s="45"/>
      <c r="P674" s="311"/>
      <c r="Q674" s="149"/>
      <c r="R674" s="293"/>
      <c r="S674" s="316"/>
      <c r="T674" s="355"/>
      <c r="V674" s="111"/>
      <c r="Y674" s="541"/>
      <c r="AB674" s="428"/>
      <c r="AC674" s="454"/>
      <c r="AD674" s="455"/>
      <c r="AE674" s="166"/>
      <c r="AF674" s="169"/>
      <c r="AG674" s="172"/>
      <c r="AH674" s="150"/>
      <c r="AI674" s="137"/>
      <c r="AJ674" s="188"/>
      <c r="AK674" s="137"/>
    </row>
    <row r="675" spans="2:37" s="30" customFormat="1" x14ac:dyDescent="0.25">
      <c r="B675" s="27"/>
      <c r="D675" s="81"/>
      <c r="E675" s="45"/>
      <c r="F675" s="524"/>
      <c r="G675" s="49"/>
      <c r="H675" s="45"/>
      <c r="I675" s="314"/>
      <c r="J675" s="44"/>
      <c r="K675" s="311"/>
      <c r="L675" s="232"/>
      <c r="M675" s="225"/>
      <c r="N675" s="380"/>
      <c r="O675" s="45"/>
      <c r="P675" s="311"/>
      <c r="Q675" s="149"/>
      <c r="R675" s="293"/>
      <c r="S675" s="316"/>
      <c r="T675" s="355"/>
      <c r="V675" s="111"/>
      <c r="Y675" s="541"/>
      <c r="AB675" s="428"/>
      <c r="AC675" s="454"/>
      <c r="AD675" s="455"/>
      <c r="AE675" s="166"/>
      <c r="AF675" s="169"/>
      <c r="AG675" s="172"/>
      <c r="AH675" s="150"/>
      <c r="AI675" s="137"/>
      <c r="AJ675" s="188"/>
      <c r="AK675" s="137"/>
    </row>
    <row r="676" spans="2:37" s="30" customFormat="1" x14ac:dyDescent="0.25">
      <c r="B676" s="27"/>
      <c r="D676" s="81"/>
      <c r="E676" s="45"/>
      <c r="F676" s="524"/>
      <c r="G676" s="49"/>
      <c r="H676" s="45"/>
      <c r="I676" s="314"/>
      <c r="J676" s="44"/>
      <c r="K676" s="311"/>
      <c r="L676" s="232"/>
      <c r="M676" s="225"/>
      <c r="N676" s="380"/>
      <c r="O676" s="45"/>
      <c r="P676" s="311"/>
      <c r="Q676" s="149"/>
      <c r="R676" s="293"/>
      <c r="S676" s="316"/>
      <c r="T676" s="355"/>
      <c r="V676" s="111"/>
      <c r="Y676" s="541"/>
      <c r="AB676" s="428"/>
      <c r="AC676" s="454"/>
      <c r="AD676" s="455"/>
      <c r="AE676" s="166"/>
      <c r="AF676" s="169"/>
      <c r="AG676" s="172"/>
      <c r="AH676" s="150"/>
      <c r="AI676" s="137"/>
      <c r="AJ676" s="188"/>
      <c r="AK676" s="137"/>
    </row>
    <row r="677" spans="2:37" s="30" customFormat="1" x14ac:dyDescent="0.25">
      <c r="B677" s="27"/>
      <c r="D677" s="81"/>
      <c r="E677" s="45"/>
      <c r="F677" s="524"/>
      <c r="G677" s="49"/>
      <c r="H677" s="45"/>
      <c r="I677" s="314"/>
      <c r="J677" s="44"/>
      <c r="K677" s="311"/>
      <c r="L677" s="232"/>
      <c r="M677" s="225"/>
      <c r="N677" s="380"/>
      <c r="O677" s="45"/>
      <c r="P677" s="311"/>
      <c r="Q677" s="149"/>
      <c r="R677" s="293"/>
      <c r="S677" s="316"/>
      <c r="T677" s="355"/>
      <c r="V677" s="111"/>
      <c r="Y677" s="541"/>
      <c r="AB677" s="428"/>
      <c r="AC677" s="454"/>
      <c r="AD677" s="455"/>
      <c r="AE677" s="166"/>
      <c r="AF677" s="169"/>
      <c r="AG677" s="172"/>
      <c r="AH677" s="150"/>
      <c r="AI677" s="137"/>
      <c r="AJ677" s="188"/>
      <c r="AK677" s="137"/>
    </row>
    <row r="678" spans="2:37" s="30" customFormat="1" x14ac:dyDescent="0.25">
      <c r="B678" s="27"/>
      <c r="D678" s="81"/>
      <c r="E678" s="45"/>
      <c r="F678" s="524"/>
      <c r="G678" s="49"/>
      <c r="H678" s="45"/>
      <c r="I678" s="314"/>
      <c r="J678" s="44"/>
      <c r="K678" s="311"/>
      <c r="L678" s="232"/>
      <c r="M678" s="225"/>
      <c r="N678" s="380"/>
      <c r="O678" s="45"/>
      <c r="P678" s="311"/>
      <c r="Q678" s="149"/>
      <c r="R678" s="293"/>
      <c r="S678" s="316"/>
      <c r="T678" s="355"/>
      <c r="V678" s="111"/>
      <c r="Y678" s="541"/>
      <c r="AB678" s="428"/>
      <c r="AC678" s="454"/>
      <c r="AD678" s="455"/>
      <c r="AE678" s="166"/>
      <c r="AF678" s="169"/>
      <c r="AG678" s="172"/>
      <c r="AH678" s="150"/>
      <c r="AI678" s="137"/>
      <c r="AJ678" s="188"/>
      <c r="AK678" s="137"/>
    </row>
    <row r="679" spans="2:37" s="30" customFormat="1" x14ac:dyDescent="0.25">
      <c r="B679" s="27"/>
      <c r="D679" s="81"/>
      <c r="E679" s="45"/>
      <c r="F679" s="524"/>
      <c r="G679" s="49"/>
      <c r="H679" s="45"/>
      <c r="I679" s="314"/>
      <c r="J679" s="44"/>
      <c r="K679" s="311"/>
      <c r="L679" s="232"/>
      <c r="M679" s="225"/>
      <c r="N679" s="380"/>
      <c r="O679" s="45"/>
      <c r="P679" s="311"/>
      <c r="Q679" s="149"/>
      <c r="R679" s="293"/>
      <c r="S679" s="316"/>
      <c r="T679" s="355"/>
      <c r="V679" s="111"/>
      <c r="Y679" s="541"/>
      <c r="AB679" s="428"/>
      <c r="AC679" s="454"/>
      <c r="AD679" s="455"/>
      <c r="AE679" s="166"/>
      <c r="AF679" s="169"/>
      <c r="AG679" s="172"/>
      <c r="AH679" s="150"/>
      <c r="AI679" s="137"/>
      <c r="AJ679" s="188"/>
      <c r="AK679" s="137"/>
    </row>
    <row r="680" spans="2:37" s="30" customFormat="1" x14ac:dyDescent="0.25">
      <c r="B680" s="27"/>
      <c r="D680" s="81"/>
      <c r="E680" s="45"/>
      <c r="F680" s="524"/>
      <c r="G680" s="49"/>
      <c r="H680" s="45"/>
      <c r="I680" s="314"/>
      <c r="J680" s="44"/>
      <c r="K680" s="311"/>
      <c r="L680" s="232"/>
      <c r="M680" s="225"/>
      <c r="N680" s="380"/>
      <c r="O680" s="45"/>
      <c r="P680" s="311"/>
      <c r="Q680" s="149"/>
      <c r="R680" s="293"/>
      <c r="S680" s="316"/>
      <c r="T680" s="355"/>
      <c r="V680" s="111"/>
      <c r="Y680" s="541"/>
      <c r="AB680" s="428"/>
      <c r="AC680" s="454"/>
      <c r="AD680" s="455"/>
      <c r="AE680" s="166"/>
      <c r="AF680" s="169"/>
      <c r="AG680" s="172"/>
      <c r="AH680" s="150"/>
      <c r="AI680" s="137"/>
      <c r="AJ680" s="188"/>
      <c r="AK680" s="137"/>
    </row>
    <row r="681" spans="2:37" s="30" customFormat="1" x14ac:dyDescent="0.25">
      <c r="B681" s="27"/>
      <c r="D681" s="81"/>
      <c r="E681" s="45"/>
      <c r="F681" s="524"/>
      <c r="G681" s="49"/>
      <c r="H681" s="45"/>
      <c r="I681" s="314"/>
      <c r="J681" s="44"/>
      <c r="K681" s="311"/>
      <c r="L681" s="232"/>
      <c r="M681" s="225"/>
      <c r="N681" s="380"/>
      <c r="O681" s="45"/>
      <c r="P681" s="311"/>
      <c r="Q681" s="149"/>
      <c r="R681" s="293"/>
      <c r="S681" s="316"/>
      <c r="T681" s="355"/>
      <c r="V681" s="111"/>
      <c r="Y681" s="541"/>
      <c r="AB681" s="428"/>
      <c r="AC681" s="454"/>
      <c r="AD681" s="455"/>
      <c r="AE681" s="166"/>
      <c r="AF681" s="169"/>
      <c r="AG681" s="172"/>
      <c r="AH681" s="150"/>
      <c r="AI681" s="137"/>
      <c r="AJ681" s="188"/>
      <c r="AK681" s="137"/>
    </row>
    <row r="682" spans="2:37" s="30" customFormat="1" x14ac:dyDescent="0.25">
      <c r="B682" s="27"/>
      <c r="D682" s="81"/>
      <c r="E682" s="45"/>
      <c r="F682" s="524"/>
      <c r="G682" s="49"/>
      <c r="H682" s="45"/>
      <c r="I682" s="314"/>
      <c r="J682" s="44"/>
      <c r="K682" s="311"/>
      <c r="L682" s="232"/>
      <c r="M682" s="225"/>
      <c r="N682" s="380"/>
      <c r="O682" s="45"/>
      <c r="P682" s="311"/>
      <c r="Q682" s="149"/>
      <c r="R682" s="293"/>
      <c r="S682" s="316"/>
      <c r="T682" s="355"/>
      <c r="V682" s="111"/>
      <c r="Y682" s="541"/>
      <c r="AB682" s="428"/>
      <c r="AC682" s="454"/>
      <c r="AD682" s="455"/>
      <c r="AE682" s="166"/>
      <c r="AF682" s="169"/>
      <c r="AG682" s="172"/>
      <c r="AH682" s="150"/>
      <c r="AI682" s="137"/>
      <c r="AJ682" s="188"/>
      <c r="AK682" s="137"/>
    </row>
    <row r="683" spans="2:37" s="30" customFormat="1" x14ac:dyDescent="0.25">
      <c r="B683" s="27"/>
      <c r="D683" s="81"/>
      <c r="E683" s="45"/>
      <c r="F683" s="524"/>
      <c r="G683" s="49"/>
      <c r="H683" s="45"/>
      <c r="I683" s="314"/>
      <c r="J683" s="44"/>
      <c r="K683" s="311"/>
      <c r="L683" s="232"/>
      <c r="M683" s="225"/>
      <c r="N683" s="380"/>
      <c r="O683" s="45"/>
      <c r="P683" s="311"/>
      <c r="Q683" s="149"/>
      <c r="R683" s="293"/>
      <c r="S683" s="316"/>
      <c r="T683" s="355"/>
      <c r="V683" s="111"/>
      <c r="Y683" s="541"/>
      <c r="AB683" s="428"/>
      <c r="AC683" s="454"/>
      <c r="AD683" s="455"/>
      <c r="AE683" s="166"/>
      <c r="AF683" s="169"/>
      <c r="AG683" s="172"/>
      <c r="AH683" s="150"/>
      <c r="AI683" s="137"/>
      <c r="AJ683" s="188"/>
      <c r="AK683" s="137"/>
    </row>
    <row r="684" spans="2:37" s="30" customFormat="1" x14ac:dyDescent="0.25">
      <c r="B684" s="27"/>
      <c r="D684" s="81"/>
      <c r="E684" s="45"/>
      <c r="F684" s="524"/>
      <c r="G684" s="49"/>
      <c r="H684" s="45"/>
      <c r="I684" s="314"/>
      <c r="J684" s="44"/>
      <c r="K684" s="311"/>
      <c r="L684" s="232"/>
      <c r="M684" s="225"/>
      <c r="N684" s="380"/>
      <c r="O684" s="45"/>
      <c r="P684" s="311"/>
      <c r="Q684" s="149"/>
      <c r="R684" s="293"/>
      <c r="S684" s="316"/>
      <c r="T684" s="355"/>
      <c r="V684" s="111"/>
      <c r="Y684" s="541"/>
      <c r="AB684" s="428"/>
      <c r="AC684" s="454"/>
      <c r="AD684" s="455"/>
      <c r="AE684" s="166"/>
      <c r="AF684" s="169"/>
      <c r="AG684" s="172"/>
      <c r="AH684" s="150"/>
      <c r="AI684" s="137"/>
      <c r="AJ684" s="188"/>
      <c r="AK684" s="137"/>
    </row>
    <row r="685" spans="2:37" s="30" customFormat="1" x14ac:dyDescent="0.25">
      <c r="B685" s="27"/>
      <c r="D685" s="81"/>
      <c r="E685" s="45"/>
      <c r="F685" s="524"/>
      <c r="G685" s="49"/>
      <c r="H685" s="45"/>
      <c r="I685" s="314"/>
      <c r="J685" s="44"/>
      <c r="K685" s="311"/>
      <c r="L685" s="232"/>
      <c r="M685" s="225"/>
      <c r="N685" s="380"/>
      <c r="O685" s="45"/>
      <c r="P685" s="311"/>
      <c r="Q685" s="149"/>
      <c r="R685" s="293"/>
      <c r="S685" s="316"/>
      <c r="T685" s="355"/>
      <c r="V685" s="111"/>
      <c r="Y685" s="541"/>
      <c r="AB685" s="428"/>
      <c r="AC685" s="454"/>
      <c r="AD685" s="455"/>
      <c r="AE685" s="166"/>
      <c r="AF685" s="169"/>
      <c r="AG685" s="172"/>
      <c r="AH685" s="150"/>
      <c r="AI685" s="137"/>
      <c r="AJ685" s="188"/>
      <c r="AK685" s="137"/>
    </row>
    <row r="686" spans="2:37" s="30" customFormat="1" x14ac:dyDescent="0.25">
      <c r="B686" s="27"/>
      <c r="D686" s="81"/>
      <c r="E686" s="45"/>
      <c r="F686" s="524"/>
      <c r="G686" s="49"/>
      <c r="H686" s="45"/>
      <c r="I686" s="314"/>
      <c r="J686" s="44"/>
      <c r="K686" s="311"/>
      <c r="L686" s="232"/>
      <c r="M686" s="225"/>
      <c r="N686" s="380"/>
      <c r="O686" s="45"/>
      <c r="P686" s="311"/>
      <c r="Q686" s="149"/>
      <c r="R686" s="293"/>
      <c r="S686" s="316"/>
      <c r="T686" s="355"/>
      <c r="V686" s="111"/>
      <c r="Y686" s="541"/>
      <c r="AB686" s="428"/>
      <c r="AC686" s="454"/>
      <c r="AD686" s="455"/>
      <c r="AE686" s="166"/>
      <c r="AF686" s="169"/>
      <c r="AG686" s="172"/>
      <c r="AH686" s="150"/>
      <c r="AI686" s="137"/>
      <c r="AJ686" s="188"/>
      <c r="AK686" s="137"/>
    </row>
    <row r="687" spans="2:37" s="30" customFormat="1" x14ac:dyDescent="0.25">
      <c r="B687" s="27"/>
      <c r="D687" s="81"/>
      <c r="E687" s="45"/>
      <c r="F687" s="524"/>
      <c r="G687" s="49"/>
      <c r="H687" s="45"/>
      <c r="I687" s="314"/>
      <c r="J687" s="44"/>
      <c r="K687" s="311"/>
      <c r="L687" s="232"/>
      <c r="M687" s="225"/>
      <c r="N687" s="380"/>
      <c r="O687" s="45"/>
      <c r="P687" s="311"/>
      <c r="Q687" s="149"/>
      <c r="R687" s="293"/>
      <c r="S687" s="316"/>
      <c r="T687" s="355"/>
      <c r="V687" s="111"/>
      <c r="Y687" s="541"/>
      <c r="AB687" s="428"/>
      <c r="AC687" s="454"/>
      <c r="AD687" s="455"/>
      <c r="AE687" s="166"/>
      <c r="AF687" s="169"/>
      <c r="AG687" s="172"/>
      <c r="AH687" s="150"/>
      <c r="AI687" s="137"/>
      <c r="AJ687" s="188"/>
      <c r="AK687" s="137"/>
    </row>
    <row r="688" spans="2:37" s="30" customFormat="1" x14ac:dyDescent="0.25">
      <c r="B688" s="27"/>
      <c r="D688" s="81"/>
      <c r="E688" s="45"/>
      <c r="F688" s="524"/>
      <c r="G688" s="49"/>
      <c r="H688" s="45"/>
      <c r="I688" s="314"/>
      <c r="J688" s="44"/>
      <c r="K688" s="311"/>
      <c r="L688" s="232"/>
      <c r="M688" s="225"/>
      <c r="N688" s="380"/>
      <c r="O688" s="45"/>
      <c r="P688" s="311"/>
      <c r="Q688" s="149"/>
      <c r="R688" s="293"/>
      <c r="S688" s="316"/>
      <c r="T688" s="355"/>
      <c r="V688" s="111"/>
      <c r="Y688" s="541"/>
      <c r="AB688" s="428"/>
      <c r="AC688" s="454"/>
      <c r="AD688" s="455"/>
      <c r="AE688" s="166"/>
      <c r="AF688" s="169"/>
      <c r="AG688" s="172"/>
      <c r="AH688" s="150"/>
      <c r="AI688" s="137"/>
      <c r="AJ688" s="188"/>
      <c r="AK688" s="137"/>
    </row>
    <row r="689" spans="2:37" s="30" customFormat="1" x14ac:dyDescent="0.25">
      <c r="B689" s="27"/>
      <c r="D689" s="81"/>
      <c r="E689" s="45"/>
      <c r="F689" s="524"/>
      <c r="G689" s="49"/>
      <c r="H689" s="45"/>
      <c r="I689" s="314"/>
      <c r="J689" s="44"/>
      <c r="K689" s="311"/>
      <c r="L689" s="232"/>
      <c r="M689" s="225"/>
      <c r="N689" s="380"/>
      <c r="O689" s="45"/>
      <c r="P689" s="311"/>
      <c r="Q689" s="149"/>
      <c r="R689" s="293"/>
      <c r="S689" s="316"/>
      <c r="T689" s="355"/>
      <c r="V689" s="111"/>
      <c r="Y689" s="541"/>
      <c r="AB689" s="428"/>
      <c r="AC689" s="454"/>
      <c r="AD689" s="455"/>
      <c r="AE689" s="166"/>
      <c r="AF689" s="169"/>
      <c r="AG689" s="172"/>
      <c r="AH689" s="150"/>
      <c r="AI689" s="137"/>
      <c r="AJ689" s="188"/>
      <c r="AK689" s="137"/>
    </row>
    <row r="690" spans="2:37" s="30" customFormat="1" x14ac:dyDescent="0.25">
      <c r="B690" s="27"/>
      <c r="D690" s="81"/>
      <c r="E690" s="45"/>
      <c r="F690" s="524"/>
      <c r="G690" s="49"/>
      <c r="H690" s="45"/>
      <c r="I690" s="314"/>
      <c r="J690" s="44"/>
      <c r="K690" s="311"/>
      <c r="L690" s="232"/>
      <c r="M690" s="225"/>
      <c r="N690" s="380"/>
      <c r="O690" s="45"/>
      <c r="P690" s="311"/>
      <c r="Q690" s="149"/>
      <c r="R690" s="293"/>
      <c r="S690" s="316"/>
      <c r="T690" s="355"/>
      <c r="V690" s="111"/>
      <c r="Y690" s="541"/>
      <c r="AB690" s="428"/>
      <c r="AC690" s="454"/>
      <c r="AD690" s="455"/>
      <c r="AE690" s="166"/>
      <c r="AF690" s="169"/>
      <c r="AG690" s="172"/>
      <c r="AH690" s="150"/>
      <c r="AI690" s="137"/>
      <c r="AJ690" s="188"/>
      <c r="AK690" s="137"/>
    </row>
    <row r="691" spans="2:37" s="30" customFormat="1" x14ac:dyDescent="0.25">
      <c r="B691" s="27"/>
      <c r="D691" s="81"/>
      <c r="E691" s="45"/>
      <c r="F691" s="524"/>
      <c r="G691" s="49"/>
      <c r="H691" s="45"/>
      <c r="I691" s="314"/>
      <c r="J691" s="44"/>
      <c r="K691" s="311"/>
      <c r="L691" s="232"/>
      <c r="M691" s="225"/>
      <c r="N691" s="380"/>
      <c r="O691" s="45"/>
      <c r="P691" s="311"/>
      <c r="Q691" s="149"/>
      <c r="R691" s="293"/>
      <c r="S691" s="316"/>
      <c r="T691" s="355"/>
      <c r="V691" s="111"/>
      <c r="Y691" s="541"/>
      <c r="AB691" s="428"/>
      <c r="AC691" s="454"/>
      <c r="AD691" s="455"/>
      <c r="AE691" s="166"/>
      <c r="AF691" s="169"/>
      <c r="AG691" s="172"/>
      <c r="AH691" s="150"/>
      <c r="AI691" s="137"/>
      <c r="AJ691" s="188"/>
      <c r="AK691" s="137"/>
    </row>
    <row r="692" spans="2:37" s="30" customFormat="1" x14ac:dyDescent="0.25">
      <c r="B692" s="27"/>
      <c r="D692" s="81"/>
      <c r="E692" s="45"/>
      <c r="F692" s="524"/>
      <c r="G692" s="49"/>
      <c r="H692" s="45"/>
      <c r="I692" s="314"/>
      <c r="J692" s="44"/>
      <c r="K692" s="311"/>
      <c r="L692" s="232"/>
      <c r="M692" s="225"/>
      <c r="N692" s="380"/>
      <c r="O692" s="45"/>
      <c r="P692" s="311"/>
      <c r="Q692" s="149"/>
      <c r="R692" s="293"/>
      <c r="S692" s="316"/>
      <c r="T692" s="355"/>
      <c r="V692" s="111"/>
      <c r="Y692" s="541"/>
      <c r="AB692" s="428"/>
      <c r="AC692" s="454"/>
      <c r="AD692" s="455"/>
      <c r="AE692" s="166"/>
      <c r="AF692" s="169"/>
      <c r="AG692" s="172"/>
      <c r="AH692" s="150"/>
      <c r="AI692" s="137"/>
      <c r="AJ692" s="188"/>
      <c r="AK692" s="137"/>
    </row>
    <row r="693" spans="2:37" s="30" customFormat="1" x14ac:dyDescent="0.25">
      <c r="B693" s="27"/>
      <c r="D693" s="81"/>
      <c r="E693" s="45"/>
      <c r="F693" s="524"/>
      <c r="G693" s="49"/>
      <c r="H693" s="45"/>
      <c r="I693" s="314"/>
      <c r="J693" s="44"/>
      <c r="K693" s="311"/>
      <c r="L693" s="232"/>
      <c r="M693" s="225"/>
      <c r="N693" s="380"/>
      <c r="O693" s="45"/>
      <c r="P693" s="311"/>
      <c r="Q693" s="149"/>
      <c r="R693" s="293"/>
      <c r="S693" s="316"/>
      <c r="T693" s="355"/>
      <c r="V693" s="111"/>
      <c r="Y693" s="541"/>
      <c r="AB693" s="428"/>
      <c r="AC693" s="454"/>
      <c r="AD693" s="455"/>
      <c r="AE693" s="166"/>
      <c r="AF693" s="169"/>
      <c r="AG693" s="172"/>
      <c r="AH693" s="150"/>
      <c r="AI693" s="137"/>
      <c r="AJ693" s="188"/>
      <c r="AK693" s="137"/>
    </row>
    <row r="694" spans="2:37" s="30" customFormat="1" x14ac:dyDescent="0.25">
      <c r="B694" s="27"/>
      <c r="D694" s="81"/>
      <c r="E694" s="45"/>
      <c r="F694" s="524"/>
      <c r="G694" s="49"/>
      <c r="H694" s="45"/>
      <c r="I694" s="314"/>
      <c r="J694" s="44"/>
      <c r="K694" s="311"/>
      <c r="L694" s="232"/>
      <c r="M694" s="225"/>
      <c r="N694" s="380"/>
      <c r="O694" s="45"/>
      <c r="P694" s="311"/>
      <c r="Q694" s="149"/>
      <c r="R694" s="293"/>
      <c r="S694" s="316"/>
      <c r="T694" s="355"/>
      <c r="V694" s="111"/>
      <c r="Y694" s="541"/>
      <c r="AB694" s="428"/>
      <c r="AC694" s="454"/>
      <c r="AD694" s="455"/>
      <c r="AE694" s="166"/>
      <c r="AF694" s="169"/>
      <c r="AG694" s="172"/>
      <c r="AH694" s="150"/>
      <c r="AI694" s="137"/>
      <c r="AJ694" s="188"/>
      <c r="AK694" s="137"/>
    </row>
    <row r="695" spans="2:37" s="30" customFormat="1" x14ac:dyDescent="0.25">
      <c r="B695" s="27"/>
      <c r="D695" s="81"/>
      <c r="E695" s="45"/>
      <c r="F695" s="524"/>
      <c r="G695" s="49"/>
      <c r="H695" s="45"/>
      <c r="I695" s="314"/>
      <c r="J695" s="44"/>
      <c r="K695" s="311"/>
      <c r="L695" s="232"/>
      <c r="M695" s="225"/>
      <c r="N695" s="380"/>
      <c r="O695" s="45"/>
      <c r="P695" s="311"/>
      <c r="Q695" s="149"/>
      <c r="R695" s="293"/>
      <c r="S695" s="316"/>
      <c r="T695" s="355"/>
      <c r="V695" s="111"/>
      <c r="Y695" s="541"/>
      <c r="AB695" s="428"/>
      <c r="AC695" s="454"/>
      <c r="AD695" s="455"/>
      <c r="AE695" s="166"/>
      <c r="AF695" s="169"/>
      <c r="AG695" s="172"/>
      <c r="AH695" s="150"/>
      <c r="AI695" s="137"/>
      <c r="AJ695" s="188"/>
      <c r="AK695" s="137"/>
    </row>
    <row r="696" spans="2:37" s="30" customFormat="1" x14ac:dyDescent="0.25">
      <c r="B696" s="27"/>
      <c r="D696" s="81"/>
      <c r="E696" s="45"/>
      <c r="F696" s="524"/>
      <c r="G696" s="49"/>
      <c r="H696" s="45"/>
      <c r="I696" s="314"/>
      <c r="J696" s="44"/>
      <c r="K696" s="311"/>
      <c r="L696" s="232"/>
      <c r="M696" s="225"/>
      <c r="N696" s="380"/>
      <c r="O696" s="45"/>
      <c r="P696" s="311"/>
      <c r="Q696" s="149"/>
      <c r="R696" s="293"/>
      <c r="S696" s="316"/>
      <c r="T696" s="355"/>
      <c r="V696" s="111"/>
      <c r="Y696" s="541"/>
      <c r="AB696" s="428"/>
      <c r="AC696" s="454"/>
      <c r="AD696" s="455"/>
      <c r="AE696" s="166"/>
      <c r="AF696" s="169"/>
      <c r="AG696" s="172"/>
      <c r="AH696" s="150"/>
      <c r="AI696" s="137"/>
      <c r="AJ696" s="188"/>
      <c r="AK696" s="137"/>
    </row>
    <row r="697" spans="2:37" s="30" customFormat="1" x14ac:dyDescent="0.25">
      <c r="B697" s="27"/>
      <c r="D697" s="81"/>
      <c r="E697" s="45"/>
      <c r="F697" s="524"/>
      <c r="G697" s="49"/>
      <c r="H697" s="45"/>
      <c r="I697" s="314"/>
      <c r="J697" s="44"/>
      <c r="K697" s="311"/>
      <c r="L697" s="232"/>
      <c r="M697" s="225"/>
      <c r="N697" s="380"/>
      <c r="O697" s="45"/>
      <c r="P697" s="311"/>
      <c r="Q697" s="149"/>
      <c r="R697" s="293"/>
      <c r="S697" s="316"/>
      <c r="T697" s="355"/>
      <c r="V697" s="111"/>
      <c r="Y697" s="541"/>
      <c r="AB697" s="428"/>
      <c r="AC697" s="454"/>
      <c r="AD697" s="455"/>
      <c r="AE697" s="166"/>
      <c r="AF697" s="169"/>
      <c r="AG697" s="172"/>
      <c r="AH697" s="150"/>
      <c r="AI697" s="137"/>
      <c r="AJ697" s="188"/>
      <c r="AK697" s="137"/>
    </row>
    <row r="698" spans="2:37" s="30" customFormat="1" x14ac:dyDescent="0.25">
      <c r="B698" s="27"/>
      <c r="D698" s="81"/>
      <c r="E698" s="45"/>
      <c r="F698" s="524"/>
      <c r="G698" s="49"/>
      <c r="H698" s="45"/>
      <c r="I698" s="314"/>
      <c r="J698" s="44"/>
      <c r="K698" s="311"/>
      <c r="L698" s="232"/>
      <c r="M698" s="225"/>
      <c r="N698" s="380"/>
      <c r="O698" s="45"/>
      <c r="P698" s="311"/>
      <c r="Q698" s="149"/>
      <c r="R698" s="293"/>
      <c r="S698" s="316"/>
      <c r="T698" s="355"/>
      <c r="V698" s="111"/>
      <c r="Y698" s="541"/>
      <c r="AB698" s="428"/>
      <c r="AC698" s="454"/>
      <c r="AD698" s="455"/>
      <c r="AE698" s="166"/>
      <c r="AF698" s="169"/>
      <c r="AG698" s="172"/>
      <c r="AH698" s="150"/>
      <c r="AI698" s="137"/>
      <c r="AJ698" s="188"/>
      <c r="AK698" s="137"/>
    </row>
    <row r="699" spans="2:37" s="30" customFormat="1" x14ac:dyDescent="0.25">
      <c r="B699" s="27"/>
      <c r="D699" s="81"/>
      <c r="E699" s="45"/>
      <c r="F699" s="524"/>
      <c r="G699" s="49"/>
      <c r="H699" s="45"/>
      <c r="I699" s="314"/>
      <c r="J699" s="44"/>
      <c r="K699" s="311"/>
      <c r="L699" s="232"/>
      <c r="M699" s="225"/>
      <c r="N699" s="380"/>
      <c r="O699" s="45"/>
      <c r="P699" s="311"/>
      <c r="Q699" s="149"/>
      <c r="R699" s="293"/>
      <c r="S699" s="316"/>
      <c r="T699" s="355"/>
      <c r="V699" s="111"/>
      <c r="Y699" s="541"/>
      <c r="AB699" s="428"/>
      <c r="AC699" s="454"/>
      <c r="AD699" s="455"/>
      <c r="AE699" s="166"/>
      <c r="AF699" s="169"/>
      <c r="AG699" s="172"/>
      <c r="AH699" s="150"/>
      <c r="AI699" s="137"/>
      <c r="AJ699" s="188"/>
      <c r="AK699" s="137"/>
    </row>
    <row r="700" spans="2:37" s="30" customFormat="1" x14ac:dyDescent="0.25">
      <c r="B700" s="27"/>
      <c r="D700" s="81"/>
      <c r="E700" s="45"/>
      <c r="F700" s="524"/>
      <c r="G700" s="49"/>
      <c r="H700" s="45"/>
      <c r="I700" s="314"/>
      <c r="J700" s="44"/>
      <c r="K700" s="311"/>
      <c r="L700" s="232"/>
      <c r="M700" s="225"/>
      <c r="N700" s="380"/>
      <c r="O700" s="45"/>
      <c r="P700" s="311"/>
      <c r="Q700" s="149"/>
      <c r="R700" s="293"/>
      <c r="S700" s="316"/>
      <c r="T700" s="355"/>
      <c r="V700" s="111"/>
      <c r="Y700" s="541"/>
      <c r="AB700" s="428"/>
      <c r="AC700" s="454"/>
      <c r="AD700" s="455"/>
      <c r="AE700" s="166"/>
      <c r="AF700" s="169"/>
      <c r="AG700" s="172"/>
      <c r="AH700" s="150"/>
      <c r="AI700" s="137"/>
      <c r="AJ700" s="188"/>
      <c r="AK700" s="137"/>
    </row>
    <row r="701" spans="2:37" s="30" customFormat="1" x14ac:dyDescent="0.25">
      <c r="B701" s="27"/>
      <c r="D701" s="81"/>
      <c r="E701" s="45"/>
      <c r="F701" s="524"/>
      <c r="G701" s="49"/>
      <c r="H701" s="45"/>
      <c r="I701" s="314"/>
      <c r="J701" s="44"/>
      <c r="K701" s="311"/>
      <c r="L701" s="232"/>
      <c r="M701" s="225"/>
      <c r="N701" s="380"/>
      <c r="O701" s="45"/>
      <c r="P701" s="311"/>
      <c r="Q701" s="149"/>
      <c r="R701" s="293"/>
      <c r="S701" s="316"/>
      <c r="T701" s="355"/>
      <c r="V701" s="111"/>
      <c r="Y701" s="541"/>
      <c r="AB701" s="428"/>
      <c r="AC701" s="454"/>
      <c r="AD701" s="455"/>
      <c r="AE701" s="166"/>
      <c r="AF701" s="169"/>
      <c r="AG701" s="172"/>
      <c r="AH701" s="150"/>
      <c r="AI701" s="137"/>
      <c r="AJ701" s="188"/>
      <c r="AK701" s="137"/>
    </row>
    <row r="702" spans="2:37" s="30" customFormat="1" x14ac:dyDescent="0.25">
      <c r="B702" s="27"/>
      <c r="D702" s="81"/>
      <c r="E702" s="45"/>
      <c r="F702" s="524"/>
      <c r="G702" s="49"/>
      <c r="H702" s="45"/>
      <c r="I702" s="314"/>
      <c r="J702" s="44"/>
      <c r="K702" s="311"/>
      <c r="L702" s="232"/>
      <c r="M702" s="225"/>
      <c r="N702" s="380"/>
      <c r="O702" s="45"/>
      <c r="P702" s="311"/>
      <c r="Q702" s="149"/>
      <c r="R702" s="293"/>
      <c r="S702" s="316"/>
      <c r="T702" s="355"/>
      <c r="V702" s="111"/>
      <c r="Y702" s="541"/>
      <c r="AB702" s="428"/>
      <c r="AC702" s="454"/>
      <c r="AD702" s="455"/>
      <c r="AE702" s="166"/>
      <c r="AF702" s="169"/>
      <c r="AG702" s="172"/>
      <c r="AH702" s="150"/>
      <c r="AI702" s="137"/>
      <c r="AJ702" s="188"/>
      <c r="AK702" s="137"/>
    </row>
    <row r="703" spans="2:37" s="30" customFormat="1" x14ac:dyDescent="0.25">
      <c r="B703" s="27"/>
      <c r="D703" s="81"/>
      <c r="E703" s="45"/>
      <c r="F703" s="524"/>
      <c r="G703" s="49"/>
      <c r="H703" s="45"/>
      <c r="I703" s="314"/>
      <c r="J703" s="44"/>
      <c r="K703" s="311"/>
      <c r="L703" s="232"/>
      <c r="M703" s="225"/>
      <c r="N703" s="380"/>
      <c r="O703" s="45"/>
      <c r="P703" s="311"/>
      <c r="Q703" s="149"/>
      <c r="R703" s="293"/>
      <c r="S703" s="316"/>
      <c r="T703" s="355"/>
      <c r="V703" s="111"/>
      <c r="Y703" s="541"/>
      <c r="AB703" s="428"/>
      <c r="AC703" s="454"/>
      <c r="AD703" s="455"/>
      <c r="AE703" s="166"/>
      <c r="AF703" s="169"/>
      <c r="AG703" s="172"/>
      <c r="AH703" s="150"/>
      <c r="AI703" s="137"/>
      <c r="AJ703" s="188"/>
      <c r="AK703" s="137"/>
    </row>
    <row r="704" spans="2:37" s="30" customFormat="1" x14ac:dyDescent="0.25">
      <c r="B704" s="27"/>
      <c r="D704" s="81"/>
      <c r="E704" s="45"/>
      <c r="F704" s="524"/>
      <c r="G704" s="49"/>
      <c r="H704" s="45"/>
      <c r="I704" s="314"/>
      <c r="J704" s="44"/>
      <c r="K704" s="311"/>
      <c r="L704" s="232"/>
      <c r="M704" s="225"/>
      <c r="N704" s="380"/>
      <c r="O704" s="45"/>
      <c r="P704" s="311"/>
      <c r="Q704" s="149"/>
      <c r="R704" s="293"/>
      <c r="S704" s="316"/>
      <c r="T704" s="355"/>
      <c r="V704" s="111"/>
      <c r="Y704" s="541"/>
      <c r="AB704" s="428"/>
      <c r="AC704" s="454"/>
      <c r="AD704" s="455"/>
      <c r="AE704" s="166"/>
      <c r="AF704" s="169"/>
      <c r="AG704" s="172"/>
      <c r="AH704" s="150"/>
      <c r="AI704" s="137"/>
      <c r="AJ704" s="188"/>
      <c r="AK704" s="137"/>
    </row>
    <row r="705" spans="2:37" s="30" customFormat="1" x14ac:dyDescent="0.25">
      <c r="B705" s="27"/>
      <c r="D705" s="81"/>
      <c r="E705" s="45"/>
      <c r="F705" s="524"/>
      <c r="G705" s="49"/>
      <c r="H705" s="45"/>
      <c r="I705" s="314"/>
      <c r="J705" s="44"/>
      <c r="K705" s="311"/>
      <c r="L705" s="232"/>
      <c r="M705" s="225"/>
      <c r="N705" s="380"/>
      <c r="O705" s="45"/>
      <c r="P705" s="311"/>
      <c r="Q705" s="149"/>
      <c r="R705" s="293"/>
      <c r="S705" s="316"/>
      <c r="T705" s="355"/>
      <c r="V705" s="111"/>
      <c r="Y705" s="541"/>
      <c r="AB705" s="428"/>
      <c r="AC705" s="454"/>
      <c r="AD705" s="455"/>
      <c r="AE705" s="166"/>
      <c r="AF705" s="169"/>
      <c r="AG705" s="172"/>
      <c r="AH705" s="150"/>
      <c r="AI705" s="137"/>
      <c r="AJ705" s="188"/>
      <c r="AK705" s="137"/>
    </row>
    <row r="706" spans="2:37" s="30" customFormat="1" x14ac:dyDescent="0.25">
      <c r="B706" s="27"/>
      <c r="D706" s="81"/>
      <c r="E706" s="45"/>
      <c r="F706" s="524"/>
      <c r="G706" s="49"/>
      <c r="H706" s="45"/>
      <c r="I706" s="314"/>
      <c r="J706" s="44"/>
      <c r="K706" s="311"/>
      <c r="L706" s="232"/>
      <c r="M706" s="225"/>
      <c r="N706" s="380"/>
      <c r="O706" s="45"/>
      <c r="P706" s="311"/>
      <c r="Q706" s="149"/>
      <c r="R706" s="293"/>
      <c r="S706" s="316"/>
      <c r="T706" s="355"/>
      <c r="V706" s="111"/>
      <c r="Y706" s="541"/>
      <c r="AB706" s="428"/>
      <c r="AC706" s="454"/>
      <c r="AD706" s="455"/>
      <c r="AE706" s="166"/>
      <c r="AF706" s="169"/>
      <c r="AG706" s="172"/>
      <c r="AH706" s="150"/>
      <c r="AI706" s="137"/>
      <c r="AJ706" s="188"/>
      <c r="AK706" s="137"/>
    </row>
    <row r="707" spans="2:37" s="30" customFormat="1" x14ac:dyDescent="0.25">
      <c r="B707" s="27"/>
      <c r="D707" s="81"/>
      <c r="E707" s="45"/>
      <c r="F707" s="524"/>
      <c r="G707" s="49"/>
      <c r="H707" s="45"/>
      <c r="I707" s="314"/>
      <c r="J707" s="44"/>
      <c r="K707" s="311"/>
      <c r="L707" s="232"/>
      <c r="M707" s="225"/>
      <c r="N707" s="380"/>
      <c r="O707" s="45"/>
      <c r="P707" s="311"/>
      <c r="Q707" s="149"/>
      <c r="R707" s="293"/>
      <c r="S707" s="316"/>
      <c r="T707" s="355"/>
      <c r="V707" s="111"/>
      <c r="Y707" s="541"/>
      <c r="AB707" s="428"/>
      <c r="AC707" s="454"/>
      <c r="AD707" s="455"/>
      <c r="AE707" s="166"/>
      <c r="AF707" s="169"/>
      <c r="AG707" s="172"/>
      <c r="AH707" s="150"/>
      <c r="AI707" s="137"/>
      <c r="AJ707" s="188"/>
      <c r="AK707" s="137"/>
    </row>
    <row r="708" spans="2:37" s="30" customFormat="1" x14ac:dyDescent="0.25">
      <c r="B708" s="27"/>
      <c r="D708" s="81"/>
      <c r="E708" s="45"/>
      <c r="F708" s="524"/>
      <c r="G708" s="49"/>
      <c r="H708" s="45"/>
      <c r="I708" s="314"/>
      <c r="J708" s="44"/>
      <c r="K708" s="311"/>
      <c r="L708" s="232"/>
      <c r="M708" s="225"/>
      <c r="N708" s="380"/>
      <c r="O708" s="45"/>
      <c r="P708" s="311"/>
      <c r="Q708" s="149"/>
      <c r="R708" s="293"/>
      <c r="S708" s="316"/>
      <c r="T708" s="355"/>
      <c r="V708" s="111"/>
      <c r="Y708" s="541"/>
      <c r="AB708" s="428"/>
      <c r="AC708" s="454"/>
      <c r="AD708" s="455"/>
      <c r="AE708" s="166"/>
      <c r="AF708" s="169"/>
      <c r="AG708" s="172"/>
      <c r="AH708" s="150"/>
      <c r="AI708" s="137"/>
      <c r="AJ708" s="188"/>
      <c r="AK708" s="137"/>
    </row>
    <row r="709" spans="2:37" s="30" customFormat="1" x14ac:dyDescent="0.25">
      <c r="B709" s="27"/>
      <c r="D709" s="81"/>
      <c r="E709" s="45"/>
      <c r="F709" s="524"/>
      <c r="G709" s="49"/>
      <c r="H709" s="45"/>
      <c r="I709" s="314"/>
      <c r="J709" s="44"/>
      <c r="K709" s="311"/>
      <c r="L709" s="232"/>
      <c r="M709" s="225"/>
      <c r="N709" s="380"/>
      <c r="O709" s="45"/>
      <c r="P709" s="311"/>
      <c r="Q709" s="149"/>
      <c r="R709" s="293"/>
      <c r="S709" s="316"/>
      <c r="T709" s="355"/>
      <c r="V709" s="111"/>
      <c r="Y709" s="541"/>
      <c r="AB709" s="428"/>
      <c r="AC709" s="454"/>
      <c r="AD709" s="455"/>
      <c r="AE709" s="166"/>
      <c r="AF709" s="169"/>
      <c r="AG709" s="172"/>
      <c r="AH709" s="150"/>
      <c r="AI709" s="137"/>
      <c r="AJ709" s="188"/>
      <c r="AK709" s="137"/>
    </row>
    <row r="710" spans="2:37" s="30" customFormat="1" x14ac:dyDescent="0.25">
      <c r="B710" s="27"/>
      <c r="D710" s="81"/>
      <c r="E710" s="45"/>
      <c r="F710" s="524"/>
      <c r="G710" s="49"/>
      <c r="H710" s="45"/>
      <c r="I710" s="314"/>
      <c r="J710" s="44"/>
      <c r="K710" s="311"/>
      <c r="L710" s="232"/>
      <c r="M710" s="225"/>
      <c r="N710" s="380"/>
      <c r="O710" s="45"/>
      <c r="P710" s="311"/>
      <c r="Q710" s="149"/>
      <c r="R710" s="293"/>
      <c r="S710" s="316"/>
      <c r="T710" s="355"/>
      <c r="V710" s="111"/>
      <c r="Y710" s="541"/>
      <c r="AB710" s="428"/>
      <c r="AC710" s="454"/>
      <c r="AD710" s="455"/>
      <c r="AE710" s="166"/>
      <c r="AF710" s="169"/>
      <c r="AG710" s="172"/>
      <c r="AH710" s="150"/>
      <c r="AI710" s="137"/>
      <c r="AJ710" s="188"/>
      <c r="AK710" s="137"/>
    </row>
    <row r="711" spans="2:37" s="30" customFormat="1" x14ac:dyDescent="0.25">
      <c r="B711" s="27"/>
      <c r="D711" s="81"/>
      <c r="E711" s="45"/>
      <c r="F711" s="524"/>
      <c r="G711" s="49"/>
      <c r="H711" s="45"/>
      <c r="I711" s="314"/>
      <c r="J711" s="44"/>
      <c r="K711" s="311"/>
      <c r="L711" s="232"/>
      <c r="M711" s="225"/>
      <c r="N711" s="380"/>
      <c r="O711" s="45"/>
      <c r="P711" s="311"/>
      <c r="Q711" s="149"/>
      <c r="R711" s="293"/>
      <c r="S711" s="316"/>
      <c r="T711" s="355"/>
      <c r="V711" s="111"/>
      <c r="Y711" s="541"/>
      <c r="AB711" s="428"/>
      <c r="AC711" s="454"/>
      <c r="AD711" s="455"/>
      <c r="AE711" s="166"/>
      <c r="AF711" s="169"/>
      <c r="AG711" s="172"/>
      <c r="AH711" s="150"/>
      <c r="AI711" s="137"/>
      <c r="AJ711" s="188"/>
      <c r="AK711" s="137"/>
    </row>
    <row r="712" spans="2:37" s="30" customFormat="1" x14ac:dyDescent="0.25">
      <c r="B712" s="27"/>
      <c r="D712" s="81"/>
      <c r="E712" s="45"/>
      <c r="F712" s="524"/>
      <c r="G712" s="49"/>
      <c r="H712" s="45"/>
      <c r="I712" s="314"/>
      <c r="J712" s="44"/>
      <c r="K712" s="311"/>
      <c r="L712" s="232"/>
      <c r="M712" s="225"/>
      <c r="N712" s="380"/>
      <c r="O712" s="45"/>
      <c r="P712" s="311"/>
      <c r="Q712" s="149"/>
      <c r="R712" s="293"/>
      <c r="S712" s="316"/>
      <c r="T712" s="355"/>
      <c r="V712" s="111"/>
      <c r="Y712" s="541"/>
      <c r="AB712" s="428"/>
      <c r="AC712" s="454"/>
      <c r="AD712" s="455"/>
      <c r="AE712" s="166"/>
      <c r="AF712" s="169"/>
      <c r="AG712" s="172"/>
      <c r="AH712" s="150"/>
      <c r="AI712" s="137"/>
      <c r="AJ712" s="188"/>
      <c r="AK712" s="137"/>
    </row>
    <row r="713" spans="2:37" s="30" customFormat="1" x14ac:dyDescent="0.25">
      <c r="B713" s="27"/>
      <c r="D713" s="81"/>
      <c r="E713" s="45"/>
      <c r="F713" s="524"/>
      <c r="G713" s="49"/>
      <c r="H713" s="45"/>
      <c r="I713" s="314"/>
      <c r="J713" s="44"/>
      <c r="K713" s="311"/>
      <c r="L713" s="232"/>
      <c r="M713" s="225"/>
      <c r="N713" s="380"/>
      <c r="O713" s="45"/>
      <c r="P713" s="311"/>
      <c r="Q713" s="149"/>
      <c r="R713" s="293"/>
      <c r="S713" s="316"/>
      <c r="T713" s="355"/>
      <c r="V713" s="111"/>
      <c r="Y713" s="541"/>
      <c r="AB713" s="428"/>
      <c r="AC713" s="454"/>
      <c r="AD713" s="455"/>
      <c r="AE713" s="166"/>
      <c r="AF713" s="169"/>
      <c r="AG713" s="172"/>
      <c r="AH713" s="150"/>
      <c r="AI713" s="137"/>
      <c r="AJ713" s="188"/>
      <c r="AK713" s="137"/>
    </row>
    <row r="714" spans="2:37" s="30" customFormat="1" x14ac:dyDescent="0.25">
      <c r="B714" s="27"/>
      <c r="D714" s="81"/>
      <c r="E714" s="45"/>
      <c r="F714" s="524"/>
      <c r="G714" s="49"/>
      <c r="H714" s="45"/>
      <c r="I714" s="314"/>
      <c r="J714" s="44"/>
      <c r="K714" s="311"/>
      <c r="L714" s="232"/>
      <c r="M714" s="225"/>
      <c r="N714" s="380"/>
      <c r="O714" s="45"/>
      <c r="P714" s="311"/>
      <c r="Q714" s="149"/>
      <c r="R714" s="293"/>
      <c r="S714" s="316"/>
      <c r="T714" s="355"/>
      <c r="V714" s="111"/>
      <c r="Y714" s="541"/>
      <c r="AB714" s="428"/>
      <c r="AC714" s="454"/>
      <c r="AD714" s="455"/>
      <c r="AE714" s="166"/>
      <c r="AF714" s="169"/>
      <c r="AG714" s="172"/>
      <c r="AH714" s="150"/>
      <c r="AI714" s="137"/>
      <c r="AJ714" s="188"/>
      <c r="AK714" s="137"/>
    </row>
    <row r="715" spans="2:37" s="30" customFormat="1" x14ac:dyDescent="0.25">
      <c r="B715" s="27"/>
      <c r="D715" s="81"/>
      <c r="E715" s="45"/>
      <c r="F715" s="524"/>
      <c r="G715" s="49"/>
      <c r="H715" s="45"/>
      <c r="I715" s="314"/>
      <c r="J715" s="44"/>
      <c r="K715" s="311"/>
      <c r="L715" s="232"/>
      <c r="M715" s="225"/>
      <c r="N715" s="380"/>
      <c r="O715" s="45"/>
      <c r="P715" s="311"/>
      <c r="Q715" s="149"/>
      <c r="R715" s="293"/>
      <c r="S715" s="316"/>
      <c r="T715" s="355"/>
      <c r="V715" s="111"/>
      <c r="Y715" s="541"/>
      <c r="AB715" s="428"/>
      <c r="AC715" s="454"/>
      <c r="AD715" s="455"/>
      <c r="AE715" s="166"/>
      <c r="AF715" s="169"/>
      <c r="AG715" s="172"/>
      <c r="AH715" s="150"/>
      <c r="AI715" s="137"/>
      <c r="AJ715" s="188"/>
      <c r="AK715" s="137"/>
    </row>
    <row r="716" spans="2:37" s="30" customFormat="1" x14ac:dyDescent="0.25">
      <c r="B716" s="27"/>
      <c r="D716" s="81"/>
      <c r="E716" s="45"/>
      <c r="F716" s="524"/>
      <c r="G716" s="49"/>
      <c r="H716" s="45"/>
      <c r="I716" s="314"/>
      <c r="J716" s="44"/>
      <c r="K716" s="311"/>
      <c r="L716" s="232"/>
      <c r="M716" s="225"/>
      <c r="N716" s="380"/>
      <c r="O716" s="45"/>
      <c r="P716" s="311"/>
      <c r="Q716" s="149"/>
      <c r="R716" s="293"/>
      <c r="S716" s="316"/>
      <c r="T716" s="355"/>
      <c r="V716" s="111"/>
      <c r="Y716" s="541"/>
      <c r="AB716" s="428"/>
      <c r="AC716" s="454"/>
      <c r="AD716" s="455"/>
      <c r="AE716" s="166"/>
      <c r="AF716" s="169"/>
      <c r="AG716" s="172"/>
      <c r="AH716" s="150"/>
      <c r="AI716" s="137"/>
      <c r="AJ716" s="188"/>
      <c r="AK716" s="137"/>
    </row>
    <row r="717" spans="2:37" s="30" customFormat="1" x14ac:dyDescent="0.25">
      <c r="B717" s="27"/>
      <c r="D717" s="81"/>
      <c r="E717" s="45"/>
      <c r="F717" s="524"/>
      <c r="G717" s="49"/>
      <c r="H717" s="45"/>
      <c r="I717" s="314"/>
      <c r="J717" s="44"/>
      <c r="K717" s="311"/>
      <c r="L717" s="232"/>
      <c r="M717" s="225"/>
      <c r="N717" s="380"/>
      <c r="O717" s="45"/>
      <c r="P717" s="311"/>
      <c r="Q717" s="149"/>
      <c r="R717" s="293"/>
      <c r="S717" s="316"/>
      <c r="T717" s="355"/>
      <c r="V717" s="111"/>
      <c r="Y717" s="541"/>
      <c r="AB717" s="428"/>
      <c r="AC717" s="454"/>
      <c r="AD717" s="455"/>
      <c r="AE717" s="166"/>
      <c r="AF717" s="169"/>
      <c r="AG717" s="172"/>
      <c r="AH717" s="150"/>
      <c r="AI717" s="137"/>
      <c r="AJ717" s="188"/>
      <c r="AK717" s="137"/>
    </row>
    <row r="718" spans="2:37" s="30" customFormat="1" x14ac:dyDescent="0.25">
      <c r="B718" s="27"/>
      <c r="D718" s="81"/>
      <c r="E718" s="45"/>
      <c r="F718" s="524"/>
      <c r="G718" s="49"/>
      <c r="H718" s="45"/>
      <c r="I718" s="314"/>
      <c r="J718" s="44"/>
      <c r="K718" s="311"/>
      <c r="L718" s="232"/>
      <c r="M718" s="225"/>
      <c r="N718" s="380"/>
      <c r="O718" s="45"/>
      <c r="P718" s="311"/>
      <c r="Q718" s="149"/>
      <c r="R718" s="293"/>
      <c r="S718" s="316"/>
      <c r="T718" s="355"/>
      <c r="V718" s="111"/>
      <c r="Y718" s="541"/>
      <c r="AB718" s="428"/>
      <c r="AC718" s="454"/>
      <c r="AD718" s="455"/>
      <c r="AE718" s="166"/>
      <c r="AF718" s="169"/>
      <c r="AG718" s="172"/>
      <c r="AH718" s="150"/>
      <c r="AI718" s="137"/>
      <c r="AJ718" s="188"/>
      <c r="AK718" s="137"/>
    </row>
    <row r="719" spans="2:37" s="30" customFormat="1" x14ac:dyDescent="0.25">
      <c r="B719" s="27"/>
      <c r="D719" s="81"/>
      <c r="E719" s="45"/>
      <c r="F719" s="524"/>
      <c r="G719" s="49"/>
      <c r="H719" s="45"/>
      <c r="I719" s="314"/>
      <c r="J719" s="44"/>
      <c r="K719" s="311"/>
      <c r="L719" s="232"/>
      <c r="M719" s="225"/>
      <c r="N719" s="380"/>
      <c r="O719" s="45"/>
      <c r="P719" s="311"/>
      <c r="Q719" s="149"/>
      <c r="R719" s="293"/>
      <c r="S719" s="316"/>
      <c r="T719" s="355"/>
      <c r="V719" s="111"/>
      <c r="Y719" s="541"/>
      <c r="AB719" s="428"/>
      <c r="AC719" s="454"/>
      <c r="AD719" s="455"/>
      <c r="AE719" s="166"/>
      <c r="AF719" s="169"/>
      <c r="AG719" s="172"/>
      <c r="AH719" s="150"/>
      <c r="AI719" s="137"/>
      <c r="AJ719" s="188"/>
      <c r="AK719" s="137"/>
    </row>
    <row r="720" spans="2:37" s="30" customFormat="1" x14ac:dyDescent="0.25">
      <c r="B720" s="27"/>
      <c r="D720" s="81"/>
      <c r="E720" s="45"/>
      <c r="F720" s="524"/>
      <c r="G720" s="49"/>
      <c r="H720" s="45"/>
      <c r="I720" s="314"/>
      <c r="J720" s="44"/>
      <c r="K720" s="311"/>
      <c r="L720" s="232"/>
      <c r="M720" s="225"/>
      <c r="N720" s="380"/>
      <c r="O720" s="45"/>
      <c r="P720" s="311"/>
      <c r="Q720" s="149"/>
      <c r="R720" s="293"/>
      <c r="S720" s="316"/>
      <c r="T720" s="355"/>
      <c r="V720" s="111"/>
      <c r="Y720" s="541"/>
      <c r="AB720" s="428"/>
      <c r="AC720" s="454"/>
      <c r="AD720" s="455"/>
      <c r="AE720" s="166"/>
      <c r="AF720" s="169"/>
      <c r="AG720" s="172"/>
      <c r="AH720" s="150"/>
      <c r="AI720" s="137"/>
      <c r="AJ720" s="188"/>
      <c r="AK720" s="137"/>
    </row>
    <row r="721" spans="2:37" s="30" customFormat="1" x14ac:dyDescent="0.25">
      <c r="B721" s="27"/>
      <c r="D721" s="81"/>
      <c r="E721" s="45"/>
      <c r="F721" s="524"/>
      <c r="G721" s="49"/>
      <c r="H721" s="45"/>
      <c r="I721" s="314"/>
      <c r="J721" s="44"/>
      <c r="K721" s="311"/>
      <c r="L721" s="232"/>
      <c r="M721" s="225"/>
      <c r="N721" s="380"/>
      <c r="O721" s="45"/>
      <c r="P721" s="311"/>
      <c r="Q721" s="149"/>
      <c r="R721" s="293"/>
      <c r="S721" s="316"/>
      <c r="T721" s="355"/>
      <c r="V721" s="111"/>
      <c r="Y721" s="541"/>
      <c r="AB721" s="428"/>
      <c r="AC721" s="454"/>
      <c r="AD721" s="455"/>
      <c r="AE721" s="166"/>
      <c r="AF721" s="169"/>
      <c r="AG721" s="172"/>
      <c r="AH721" s="150"/>
      <c r="AI721" s="137"/>
      <c r="AJ721" s="188"/>
      <c r="AK721" s="137"/>
    </row>
    <row r="722" spans="2:37" s="30" customFormat="1" x14ac:dyDescent="0.25">
      <c r="B722" s="27"/>
      <c r="D722" s="81"/>
      <c r="E722" s="45"/>
      <c r="F722" s="524"/>
      <c r="G722" s="49"/>
      <c r="H722" s="45"/>
      <c r="I722" s="314"/>
      <c r="J722" s="44"/>
      <c r="K722" s="311"/>
      <c r="L722" s="232"/>
      <c r="M722" s="225"/>
      <c r="N722" s="380"/>
      <c r="O722" s="45"/>
      <c r="P722" s="311"/>
      <c r="Q722" s="149"/>
      <c r="R722" s="293"/>
      <c r="S722" s="316"/>
      <c r="T722" s="355"/>
      <c r="V722" s="152"/>
      <c r="Y722" s="541"/>
      <c r="AB722" s="428"/>
      <c r="AC722" s="454"/>
      <c r="AD722" s="455"/>
      <c r="AE722" s="166"/>
      <c r="AF722" s="169"/>
      <c r="AG722" s="172"/>
      <c r="AH722" s="150"/>
      <c r="AI722" s="137"/>
      <c r="AJ722" s="188"/>
      <c r="AK722" s="137"/>
    </row>
    <row r="723" spans="2:37" s="30" customFormat="1" x14ac:dyDescent="0.25">
      <c r="B723" s="27"/>
      <c r="D723" s="81"/>
      <c r="E723" s="45"/>
      <c r="F723" s="524"/>
      <c r="G723" s="49"/>
      <c r="H723" s="45"/>
      <c r="I723" s="314"/>
      <c r="J723" s="44"/>
      <c r="K723" s="311"/>
      <c r="L723" s="232"/>
      <c r="M723" s="225"/>
      <c r="N723" s="380"/>
      <c r="O723" s="45"/>
      <c r="P723" s="311"/>
      <c r="Q723" s="149"/>
      <c r="R723" s="293"/>
      <c r="S723" s="316"/>
      <c r="T723" s="355"/>
      <c r="Y723" s="541"/>
      <c r="AB723" s="428"/>
      <c r="AC723" s="454"/>
      <c r="AD723" s="455"/>
      <c r="AE723" s="166"/>
      <c r="AF723" s="169"/>
      <c r="AG723" s="172"/>
      <c r="AH723" s="150"/>
      <c r="AI723" s="137"/>
      <c r="AJ723" s="188"/>
      <c r="AK723" s="137"/>
    </row>
    <row r="724" spans="2:37" x14ac:dyDescent="0.25">
      <c r="I724" s="314"/>
      <c r="J724" s="44"/>
      <c r="K724" s="312"/>
      <c r="N724" s="514"/>
      <c r="Q724" s="149"/>
      <c r="R724" s="293"/>
      <c r="S724" s="316"/>
      <c r="T724" s="355"/>
    </row>
    <row r="725" spans="2:37" x14ac:dyDescent="0.25">
      <c r="I725" s="314"/>
      <c r="J725" s="44"/>
      <c r="K725" s="312"/>
      <c r="N725" s="514"/>
      <c r="R725" s="293"/>
      <c r="S725" s="316"/>
      <c r="T725" s="355"/>
    </row>
    <row r="726" spans="2:37" x14ac:dyDescent="0.25">
      <c r="I726" s="314"/>
      <c r="J726" s="44"/>
      <c r="K726" s="312"/>
      <c r="N726" s="514"/>
      <c r="R726" s="293"/>
      <c r="S726" s="316"/>
      <c r="T726" s="355"/>
    </row>
    <row r="727" spans="2:37" x14ac:dyDescent="0.25">
      <c r="I727" s="314"/>
      <c r="J727" s="44"/>
      <c r="K727" s="312"/>
      <c r="N727" s="514"/>
      <c r="R727" s="293"/>
      <c r="S727" s="316"/>
      <c r="T727" s="355"/>
    </row>
    <row r="728" spans="2:37" x14ac:dyDescent="0.25">
      <c r="I728" s="314"/>
      <c r="J728" s="44"/>
      <c r="K728" s="312"/>
      <c r="N728" s="514"/>
      <c r="R728" s="293"/>
      <c r="S728" s="316"/>
      <c r="T728" s="355"/>
    </row>
    <row r="729" spans="2:37" x14ac:dyDescent="0.25">
      <c r="I729" s="314"/>
      <c r="J729" s="44"/>
      <c r="K729" s="312"/>
      <c r="N729" s="514"/>
      <c r="R729" s="293"/>
      <c r="S729" s="316"/>
      <c r="T729" s="355"/>
    </row>
    <row r="730" spans="2:37" x14ac:dyDescent="0.25">
      <c r="I730" s="314"/>
      <c r="J730" s="44"/>
      <c r="K730" s="312"/>
      <c r="N730" s="514"/>
      <c r="R730" s="293"/>
      <c r="S730" s="316"/>
      <c r="T730" s="355"/>
    </row>
    <row r="731" spans="2:37" x14ac:dyDescent="0.25">
      <c r="I731" s="314"/>
      <c r="J731" s="44"/>
      <c r="K731" s="312"/>
      <c r="N731" s="514"/>
      <c r="R731" s="293"/>
      <c r="S731" s="316"/>
      <c r="T731" s="355"/>
    </row>
    <row r="732" spans="2:37" x14ac:dyDescent="0.25">
      <c r="I732" s="314"/>
      <c r="J732" s="44"/>
      <c r="K732" s="312"/>
      <c r="N732" s="514"/>
      <c r="R732" s="293"/>
      <c r="S732" s="316"/>
      <c r="T732" s="355"/>
    </row>
    <row r="733" spans="2:37" x14ac:dyDescent="0.25">
      <c r="I733" s="314"/>
      <c r="J733" s="44"/>
      <c r="K733" s="312"/>
      <c r="N733" s="514"/>
      <c r="R733" s="293"/>
      <c r="S733" s="316"/>
      <c r="T733" s="355"/>
    </row>
    <row r="734" spans="2:37" x14ac:dyDescent="0.25">
      <c r="I734" s="314"/>
      <c r="J734" s="44"/>
      <c r="K734" s="312"/>
      <c r="N734" s="514"/>
      <c r="R734" s="293"/>
      <c r="S734" s="316"/>
      <c r="T734" s="355"/>
    </row>
    <row r="735" spans="2:37" x14ac:dyDescent="0.25">
      <c r="I735" s="314"/>
      <c r="J735" s="44"/>
      <c r="K735" s="312"/>
      <c r="N735" s="514"/>
      <c r="R735" s="293"/>
      <c r="S735" s="316"/>
      <c r="T735" s="355"/>
    </row>
    <row r="736" spans="2:37" x14ac:dyDescent="0.25">
      <c r="I736" s="314"/>
      <c r="J736" s="44"/>
      <c r="K736" s="312"/>
      <c r="N736" s="514"/>
      <c r="R736" s="293"/>
      <c r="S736" s="316"/>
      <c r="T736" s="355"/>
    </row>
    <row r="737" spans="9:20" x14ac:dyDescent="0.25">
      <c r="I737" s="314"/>
      <c r="J737" s="44"/>
      <c r="K737" s="312"/>
      <c r="N737" s="514"/>
      <c r="R737" s="293"/>
      <c r="S737" s="316"/>
      <c r="T737" s="355"/>
    </row>
    <row r="738" spans="9:20" x14ac:dyDescent="0.25">
      <c r="I738" s="314"/>
      <c r="J738" s="44"/>
      <c r="K738" s="312"/>
      <c r="N738" s="514"/>
      <c r="R738" s="293"/>
      <c r="S738" s="316"/>
      <c r="T738" s="355"/>
    </row>
    <row r="739" spans="9:20" x14ac:dyDescent="0.25">
      <c r="I739" s="314"/>
      <c r="J739" s="44"/>
      <c r="K739" s="312"/>
      <c r="N739" s="514"/>
      <c r="R739" s="293"/>
      <c r="S739" s="316"/>
      <c r="T739" s="355"/>
    </row>
    <row r="740" spans="9:20" x14ac:dyDescent="0.25">
      <c r="I740" s="314"/>
      <c r="J740" s="44"/>
      <c r="K740" s="312"/>
      <c r="N740" s="514"/>
      <c r="R740" s="293"/>
      <c r="S740" s="316"/>
      <c r="T740" s="355"/>
    </row>
    <row r="741" spans="9:20" x14ac:dyDescent="0.25">
      <c r="I741" s="314"/>
      <c r="J741" s="44"/>
      <c r="K741" s="312"/>
      <c r="N741" s="514"/>
      <c r="R741" s="293"/>
      <c r="S741" s="316"/>
      <c r="T741" s="355"/>
    </row>
    <row r="742" spans="9:20" x14ac:dyDescent="0.25">
      <c r="I742" s="314"/>
      <c r="J742" s="44"/>
      <c r="K742" s="312"/>
      <c r="N742" s="514"/>
      <c r="R742" s="293"/>
      <c r="S742" s="316"/>
      <c r="T742" s="355"/>
    </row>
    <row r="743" spans="9:20" x14ac:dyDescent="0.25">
      <c r="I743" s="314"/>
      <c r="J743" s="44"/>
      <c r="K743" s="312"/>
      <c r="N743" s="514"/>
      <c r="R743" s="293"/>
      <c r="S743" s="316"/>
      <c r="T743" s="355"/>
    </row>
    <row r="744" spans="9:20" x14ac:dyDescent="0.25">
      <c r="I744" s="314"/>
      <c r="J744" s="44"/>
      <c r="K744" s="312"/>
      <c r="N744" s="514"/>
      <c r="R744" s="293"/>
      <c r="S744" s="316"/>
      <c r="T744" s="355"/>
    </row>
    <row r="745" spans="9:20" x14ac:dyDescent="0.25">
      <c r="I745" s="314"/>
      <c r="J745" s="44"/>
      <c r="K745" s="312"/>
      <c r="N745" s="514"/>
      <c r="R745" s="293"/>
      <c r="S745" s="316"/>
      <c r="T745" s="355"/>
    </row>
    <row r="746" spans="9:20" x14ac:dyDescent="0.25">
      <c r="I746" s="314"/>
      <c r="J746" s="44"/>
      <c r="K746" s="312"/>
      <c r="N746" s="514"/>
      <c r="R746" s="293"/>
      <c r="S746" s="316"/>
      <c r="T746" s="355"/>
    </row>
    <row r="747" spans="9:20" x14ac:dyDescent="0.25">
      <c r="I747" s="314"/>
      <c r="J747" s="44"/>
      <c r="K747" s="312"/>
      <c r="N747" s="514"/>
      <c r="R747" s="293"/>
      <c r="S747" s="316"/>
      <c r="T747" s="355"/>
    </row>
    <row r="748" spans="9:20" x14ac:dyDescent="0.25">
      <c r="I748" s="314"/>
      <c r="J748" s="44"/>
      <c r="K748" s="312"/>
      <c r="N748" s="514"/>
      <c r="R748" s="293"/>
      <c r="S748" s="316"/>
      <c r="T748" s="355"/>
    </row>
    <row r="749" spans="9:20" x14ac:dyDescent="0.25">
      <c r="I749" s="314"/>
      <c r="J749" s="44"/>
      <c r="K749" s="312"/>
      <c r="N749" s="514"/>
      <c r="R749" s="293"/>
      <c r="S749" s="316"/>
      <c r="T749" s="355"/>
    </row>
    <row r="750" spans="9:20" x14ac:dyDescent="0.25">
      <c r="I750" s="314"/>
      <c r="J750" s="44"/>
      <c r="K750" s="312"/>
      <c r="N750" s="514"/>
      <c r="R750" s="293"/>
      <c r="S750" s="316"/>
      <c r="T750" s="355"/>
    </row>
    <row r="751" spans="9:20" x14ac:dyDescent="0.25">
      <c r="I751" s="314"/>
      <c r="J751" s="44"/>
      <c r="K751" s="312"/>
      <c r="N751" s="514"/>
      <c r="R751" s="293"/>
      <c r="S751" s="316"/>
      <c r="T751" s="355"/>
    </row>
    <row r="752" spans="9:20" x14ac:dyDescent="0.25">
      <c r="I752" s="314"/>
      <c r="J752" s="44"/>
      <c r="K752" s="312"/>
      <c r="N752" s="514"/>
      <c r="R752" s="293"/>
      <c r="S752" s="316"/>
      <c r="T752" s="355"/>
    </row>
    <row r="753" spans="9:20" x14ac:dyDescent="0.25">
      <c r="I753" s="314"/>
      <c r="J753" s="44"/>
      <c r="K753" s="312"/>
      <c r="N753" s="514"/>
      <c r="R753" s="293"/>
      <c r="S753" s="316"/>
      <c r="T753" s="355"/>
    </row>
    <row r="754" spans="9:20" x14ac:dyDescent="0.25">
      <c r="I754" s="314"/>
      <c r="J754" s="44"/>
      <c r="K754" s="312"/>
      <c r="N754" s="514"/>
      <c r="R754" s="293"/>
      <c r="S754" s="316"/>
      <c r="T754" s="355"/>
    </row>
    <row r="755" spans="9:20" x14ac:dyDescent="0.25">
      <c r="I755" s="314"/>
      <c r="J755" s="44"/>
      <c r="K755" s="312"/>
      <c r="N755" s="514"/>
      <c r="R755" s="293"/>
      <c r="S755" s="316"/>
      <c r="T755" s="355"/>
    </row>
    <row r="756" spans="9:20" x14ac:dyDescent="0.25">
      <c r="I756" s="314"/>
      <c r="J756" s="44"/>
      <c r="K756" s="312"/>
      <c r="N756" s="514"/>
      <c r="R756" s="293"/>
      <c r="S756" s="316"/>
      <c r="T756" s="355"/>
    </row>
    <row r="757" spans="9:20" x14ac:dyDescent="0.25">
      <c r="I757" s="314"/>
      <c r="J757" s="44"/>
      <c r="K757" s="312"/>
      <c r="N757" s="514"/>
      <c r="R757" s="293"/>
      <c r="S757" s="316"/>
      <c r="T757" s="355"/>
    </row>
    <row r="758" spans="9:20" x14ac:dyDescent="0.25">
      <c r="I758" s="314"/>
      <c r="J758" s="44"/>
      <c r="K758" s="312"/>
      <c r="N758" s="514"/>
      <c r="R758" s="293"/>
      <c r="S758" s="316"/>
      <c r="T758" s="355"/>
    </row>
    <row r="759" spans="9:20" x14ac:dyDescent="0.25">
      <c r="I759" s="314"/>
      <c r="J759" s="44"/>
      <c r="K759" s="312"/>
      <c r="N759" s="514"/>
      <c r="R759" s="293"/>
      <c r="S759" s="316"/>
      <c r="T759" s="355"/>
    </row>
    <row r="760" spans="9:20" x14ac:dyDescent="0.25">
      <c r="I760" s="314"/>
      <c r="J760" s="44"/>
      <c r="K760" s="312"/>
      <c r="N760" s="514"/>
      <c r="R760" s="293"/>
      <c r="S760" s="316"/>
      <c r="T760" s="355"/>
    </row>
    <row r="761" spans="9:20" x14ac:dyDescent="0.25">
      <c r="I761" s="314"/>
      <c r="J761" s="44"/>
      <c r="K761" s="312"/>
      <c r="N761" s="514"/>
      <c r="R761" s="293"/>
      <c r="S761" s="316"/>
      <c r="T761" s="355"/>
    </row>
    <row r="762" spans="9:20" x14ac:dyDescent="0.25">
      <c r="I762" s="314"/>
      <c r="J762" s="44"/>
      <c r="K762" s="312"/>
      <c r="N762" s="514"/>
      <c r="R762" s="293"/>
      <c r="S762" s="316"/>
      <c r="T762" s="355"/>
    </row>
    <row r="763" spans="9:20" x14ac:dyDescent="0.25">
      <c r="I763" s="314"/>
      <c r="J763" s="44"/>
      <c r="K763" s="312"/>
      <c r="N763" s="514"/>
      <c r="R763" s="293"/>
      <c r="S763" s="316"/>
      <c r="T763" s="355"/>
    </row>
    <row r="764" spans="9:20" x14ac:dyDescent="0.25">
      <c r="I764" s="314"/>
      <c r="J764" s="44"/>
      <c r="K764" s="312"/>
      <c r="N764" s="514"/>
      <c r="R764" s="293"/>
      <c r="S764" s="316"/>
      <c r="T764" s="355"/>
    </row>
    <row r="765" spans="9:20" x14ac:dyDescent="0.25">
      <c r="I765" s="314"/>
      <c r="J765" s="44"/>
      <c r="K765" s="312"/>
      <c r="N765" s="514"/>
      <c r="R765" s="293"/>
      <c r="S765" s="316"/>
      <c r="T765" s="355"/>
    </row>
    <row r="766" spans="9:20" x14ac:dyDescent="0.25">
      <c r="I766" s="314"/>
      <c r="J766" s="44"/>
      <c r="K766" s="312"/>
      <c r="N766" s="514"/>
      <c r="R766" s="293"/>
      <c r="S766" s="316"/>
      <c r="T766" s="355"/>
    </row>
    <row r="767" spans="9:20" x14ac:dyDescent="0.25">
      <c r="I767" s="314"/>
      <c r="J767" s="44"/>
      <c r="K767" s="312"/>
      <c r="N767" s="514"/>
      <c r="R767" s="293"/>
      <c r="S767" s="316"/>
      <c r="T767" s="355"/>
    </row>
    <row r="768" spans="9:20" x14ac:dyDescent="0.25">
      <c r="I768" s="314"/>
      <c r="J768" s="44"/>
      <c r="K768" s="312"/>
      <c r="N768" s="514"/>
      <c r="R768" s="293"/>
      <c r="S768" s="316"/>
      <c r="T768" s="355"/>
    </row>
    <row r="769" spans="9:20" x14ac:dyDescent="0.25">
      <c r="I769" s="314"/>
      <c r="J769" s="44"/>
      <c r="K769" s="312"/>
      <c r="N769" s="514"/>
      <c r="R769" s="293"/>
      <c r="S769" s="316"/>
      <c r="T769" s="355"/>
    </row>
    <row r="770" spans="9:20" x14ac:dyDescent="0.25">
      <c r="I770" s="314"/>
      <c r="J770" s="44"/>
      <c r="K770" s="312"/>
      <c r="N770" s="514"/>
      <c r="R770" s="293"/>
      <c r="S770" s="316"/>
      <c r="T770" s="355"/>
    </row>
    <row r="771" spans="9:20" x14ac:dyDescent="0.25">
      <c r="I771" s="314"/>
      <c r="J771" s="44"/>
      <c r="K771" s="312"/>
      <c r="N771" s="514"/>
      <c r="R771" s="293"/>
      <c r="S771" s="316"/>
      <c r="T771" s="355"/>
    </row>
    <row r="772" spans="9:20" x14ac:dyDescent="0.25">
      <c r="I772" s="314"/>
      <c r="J772" s="44"/>
      <c r="K772" s="312"/>
      <c r="N772" s="514"/>
      <c r="R772" s="293"/>
      <c r="S772" s="316"/>
      <c r="T772" s="355"/>
    </row>
    <row r="773" spans="9:20" x14ac:dyDescent="0.25">
      <c r="I773" s="314"/>
      <c r="J773" s="44"/>
      <c r="K773" s="312"/>
      <c r="N773" s="514"/>
      <c r="R773" s="293"/>
      <c r="S773" s="316"/>
      <c r="T773" s="355"/>
    </row>
    <row r="774" spans="9:20" x14ac:dyDescent="0.25">
      <c r="I774" s="314"/>
      <c r="J774" s="44"/>
      <c r="K774" s="312"/>
      <c r="N774" s="514"/>
      <c r="R774" s="293"/>
      <c r="S774" s="316"/>
      <c r="T774" s="355"/>
    </row>
    <row r="775" spans="9:20" x14ac:dyDescent="0.25">
      <c r="I775" s="314"/>
      <c r="J775" s="44"/>
      <c r="K775" s="312"/>
      <c r="N775" s="514"/>
      <c r="R775" s="293"/>
      <c r="S775" s="316"/>
      <c r="T775" s="355"/>
    </row>
    <row r="776" spans="9:20" x14ac:dyDescent="0.25">
      <c r="I776" s="314"/>
      <c r="J776" s="44"/>
      <c r="K776" s="312"/>
      <c r="N776" s="514"/>
      <c r="R776" s="293"/>
      <c r="S776" s="316"/>
      <c r="T776" s="355"/>
    </row>
    <row r="777" spans="9:20" x14ac:dyDescent="0.25">
      <c r="I777" s="314"/>
      <c r="J777" s="44"/>
      <c r="K777" s="312"/>
      <c r="N777" s="514"/>
      <c r="R777" s="293"/>
      <c r="S777" s="316"/>
      <c r="T777" s="355"/>
    </row>
    <row r="778" spans="9:20" x14ac:dyDescent="0.25">
      <c r="I778" s="314"/>
      <c r="J778" s="44"/>
      <c r="K778" s="312"/>
      <c r="N778" s="514"/>
      <c r="R778" s="293"/>
      <c r="S778" s="316"/>
      <c r="T778" s="355"/>
    </row>
    <row r="779" spans="9:20" x14ac:dyDescent="0.25">
      <c r="I779" s="314"/>
      <c r="J779" s="44"/>
      <c r="K779" s="312"/>
      <c r="N779" s="514"/>
      <c r="R779" s="293"/>
      <c r="S779" s="316"/>
      <c r="T779" s="355"/>
    </row>
    <row r="780" spans="9:20" x14ac:dyDescent="0.25">
      <c r="I780" s="314"/>
      <c r="J780" s="44"/>
      <c r="K780" s="312"/>
      <c r="N780" s="514"/>
      <c r="R780" s="293"/>
      <c r="S780" s="316"/>
      <c r="T780" s="355"/>
    </row>
    <row r="781" spans="9:20" x14ac:dyDescent="0.25">
      <c r="I781" s="314"/>
      <c r="J781" s="44"/>
      <c r="K781" s="312"/>
      <c r="N781" s="514"/>
      <c r="R781" s="293"/>
      <c r="S781" s="316"/>
      <c r="T781" s="355"/>
    </row>
    <row r="782" spans="9:20" x14ac:dyDescent="0.25">
      <c r="I782" s="314"/>
      <c r="J782" s="44"/>
      <c r="K782" s="312"/>
      <c r="N782" s="514"/>
      <c r="R782" s="293"/>
      <c r="S782" s="316"/>
      <c r="T782" s="355"/>
    </row>
    <row r="783" spans="9:20" x14ac:dyDescent="0.25">
      <c r="I783" s="314"/>
      <c r="J783" s="44"/>
      <c r="K783" s="312"/>
      <c r="N783" s="514"/>
      <c r="R783" s="293"/>
      <c r="S783" s="316"/>
      <c r="T783" s="355"/>
    </row>
    <row r="784" spans="9:20" x14ac:dyDescent="0.25">
      <c r="I784" s="314"/>
      <c r="J784" s="44"/>
      <c r="K784" s="312"/>
      <c r="N784" s="514"/>
      <c r="R784" s="293"/>
      <c r="S784" s="316"/>
      <c r="T784" s="355"/>
    </row>
    <row r="785" spans="9:20" x14ac:dyDescent="0.25">
      <c r="I785" s="314"/>
      <c r="J785" s="44"/>
      <c r="K785" s="312"/>
      <c r="N785" s="514"/>
      <c r="R785" s="293"/>
      <c r="S785" s="316"/>
      <c r="T785" s="355"/>
    </row>
    <row r="786" spans="9:20" x14ac:dyDescent="0.25">
      <c r="I786" s="314"/>
      <c r="J786" s="44"/>
      <c r="K786" s="312"/>
      <c r="N786" s="514"/>
      <c r="R786" s="293"/>
      <c r="S786" s="316"/>
      <c r="T786" s="355"/>
    </row>
    <row r="787" spans="9:20" x14ac:dyDescent="0.25">
      <c r="I787" s="314"/>
      <c r="J787" s="44"/>
      <c r="K787" s="312"/>
      <c r="N787" s="514"/>
      <c r="R787" s="293"/>
      <c r="S787" s="316"/>
      <c r="T787" s="355"/>
    </row>
    <row r="788" spans="9:20" x14ac:dyDescent="0.25">
      <c r="I788" s="314"/>
      <c r="J788" s="44"/>
      <c r="K788" s="312"/>
      <c r="N788" s="514"/>
      <c r="R788" s="293"/>
      <c r="S788" s="316"/>
      <c r="T788" s="355"/>
    </row>
    <row r="789" spans="9:20" x14ac:dyDescent="0.25">
      <c r="I789" s="314"/>
      <c r="J789" s="44"/>
      <c r="K789" s="312"/>
      <c r="N789" s="514"/>
      <c r="R789" s="293"/>
      <c r="S789" s="316"/>
      <c r="T789" s="355"/>
    </row>
    <row r="790" spans="9:20" x14ac:dyDescent="0.25">
      <c r="I790" s="314"/>
      <c r="J790" s="44"/>
      <c r="K790" s="312"/>
      <c r="N790" s="514"/>
      <c r="R790" s="293"/>
      <c r="S790" s="316"/>
      <c r="T790" s="355"/>
    </row>
    <row r="791" spans="9:20" x14ac:dyDescent="0.25">
      <c r="I791" s="314"/>
      <c r="J791" s="44"/>
      <c r="K791" s="312"/>
      <c r="N791" s="514"/>
      <c r="R791" s="293"/>
      <c r="S791" s="316"/>
      <c r="T791" s="355"/>
    </row>
    <row r="792" spans="9:20" x14ac:dyDescent="0.25">
      <c r="I792" s="314"/>
      <c r="J792" s="44"/>
      <c r="K792" s="312"/>
      <c r="N792" s="514"/>
      <c r="R792" s="293"/>
      <c r="S792" s="316"/>
      <c r="T792" s="355"/>
    </row>
    <row r="793" spans="9:20" x14ac:dyDescent="0.25">
      <c r="I793" s="314"/>
      <c r="J793" s="44"/>
      <c r="K793" s="312"/>
      <c r="N793" s="514"/>
      <c r="R793" s="293"/>
      <c r="S793" s="316"/>
      <c r="T793" s="355"/>
    </row>
    <row r="794" spans="9:20" x14ac:dyDescent="0.25">
      <c r="I794" s="314"/>
      <c r="J794" s="45"/>
      <c r="K794" s="312"/>
      <c r="N794" s="514"/>
      <c r="R794" s="293"/>
      <c r="S794" s="316"/>
      <c r="T794" s="355"/>
    </row>
    <row r="795" spans="9:20" x14ac:dyDescent="0.25">
      <c r="I795" s="314"/>
      <c r="J795" s="45"/>
      <c r="K795" s="312"/>
      <c r="N795" s="514"/>
      <c r="R795" s="293"/>
      <c r="S795" s="316"/>
      <c r="T795" s="355"/>
    </row>
    <row r="796" spans="9:20" x14ac:dyDescent="0.25">
      <c r="I796" s="314"/>
      <c r="J796" s="45"/>
      <c r="K796" s="312"/>
      <c r="N796" s="514"/>
      <c r="R796" s="293"/>
      <c r="S796" s="316"/>
      <c r="T796" s="355"/>
    </row>
    <row r="797" spans="9:20" x14ac:dyDescent="0.25">
      <c r="I797" s="314"/>
      <c r="J797" s="45"/>
      <c r="K797" s="312"/>
      <c r="N797" s="514"/>
      <c r="R797" s="293"/>
      <c r="S797" s="316"/>
      <c r="T797" s="355"/>
    </row>
    <row r="798" spans="9:20" x14ac:dyDescent="0.25">
      <c r="I798" s="314"/>
      <c r="J798" s="45"/>
      <c r="K798" s="312"/>
      <c r="N798" s="514"/>
      <c r="R798" s="293"/>
      <c r="S798" s="316"/>
      <c r="T798" s="355"/>
    </row>
    <row r="799" spans="9:20" x14ac:dyDescent="0.25">
      <c r="I799" s="314"/>
      <c r="J799" s="45"/>
      <c r="K799" s="312"/>
      <c r="N799" s="514"/>
      <c r="R799" s="293"/>
      <c r="S799" s="316"/>
      <c r="T799" s="355"/>
    </row>
    <row r="800" spans="9:20" x14ac:dyDescent="0.25">
      <c r="I800" s="314"/>
      <c r="J800" s="45"/>
      <c r="K800" s="312"/>
      <c r="N800" s="514"/>
      <c r="R800" s="293"/>
      <c r="S800" s="316"/>
      <c r="T800" s="355"/>
    </row>
    <row r="801" spans="9:20" x14ac:dyDescent="0.25">
      <c r="I801" s="314"/>
      <c r="J801" s="45"/>
      <c r="K801" s="312"/>
      <c r="N801" s="514"/>
      <c r="R801" s="293"/>
      <c r="S801" s="316"/>
      <c r="T801" s="355"/>
    </row>
    <row r="802" spans="9:20" x14ac:dyDescent="0.25">
      <c r="I802" s="314"/>
      <c r="J802" s="45"/>
      <c r="K802" s="312"/>
      <c r="N802" s="514"/>
      <c r="R802" s="293"/>
      <c r="S802" s="316"/>
      <c r="T802" s="355"/>
    </row>
    <row r="803" spans="9:20" x14ac:dyDescent="0.25">
      <c r="I803" s="314"/>
      <c r="J803" s="45"/>
      <c r="K803" s="312"/>
      <c r="N803" s="514"/>
      <c r="R803" s="293"/>
      <c r="S803" s="316"/>
      <c r="T803" s="355"/>
    </row>
    <row r="804" spans="9:20" x14ac:dyDescent="0.25">
      <c r="I804" s="314"/>
      <c r="J804" s="45"/>
      <c r="K804" s="312"/>
      <c r="N804" s="514"/>
      <c r="R804" s="293"/>
      <c r="S804" s="316"/>
      <c r="T804" s="355"/>
    </row>
    <row r="805" spans="9:20" x14ac:dyDescent="0.25">
      <c r="I805" s="314"/>
      <c r="J805" s="45"/>
      <c r="K805" s="312"/>
      <c r="N805" s="514"/>
      <c r="R805" s="293"/>
      <c r="S805" s="316"/>
      <c r="T805" s="355"/>
    </row>
    <row r="806" spans="9:20" x14ac:dyDescent="0.25">
      <c r="I806" s="314"/>
      <c r="J806" s="45"/>
      <c r="K806" s="312"/>
      <c r="N806" s="514"/>
      <c r="R806" s="293"/>
      <c r="S806" s="316"/>
      <c r="T806" s="355"/>
    </row>
    <row r="807" spans="9:20" x14ac:dyDescent="0.25">
      <c r="I807" s="314"/>
      <c r="J807" s="45"/>
      <c r="K807" s="312"/>
      <c r="N807" s="514"/>
      <c r="R807" s="293"/>
      <c r="S807" s="316"/>
      <c r="T807" s="355"/>
    </row>
    <row r="808" spans="9:20" x14ac:dyDescent="0.25">
      <c r="I808" s="314"/>
      <c r="J808" s="45"/>
      <c r="K808" s="312"/>
      <c r="N808" s="514"/>
      <c r="R808" s="293"/>
      <c r="S808" s="316"/>
      <c r="T808" s="355"/>
    </row>
    <row r="809" spans="9:20" x14ac:dyDescent="0.25">
      <c r="I809" s="314"/>
      <c r="J809" s="45"/>
      <c r="K809" s="312"/>
      <c r="N809" s="514"/>
      <c r="R809" s="293"/>
      <c r="S809" s="316"/>
      <c r="T809" s="355"/>
    </row>
    <row r="810" spans="9:20" x14ac:dyDescent="0.25">
      <c r="I810" s="314"/>
      <c r="J810" s="45"/>
      <c r="K810" s="312"/>
      <c r="N810" s="514"/>
      <c r="R810" s="293"/>
      <c r="S810" s="316"/>
      <c r="T810" s="355"/>
    </row>
    <row r="811" spans="9:20" x14ac:dyDescent="0.25">
      <c r="I811" s="314"/>
      <c r="J811" s="45"/>
      <c r="K811" s="312"/>
      <c r="N811" s="514"/>
      <c r="R811" s="293"/>
      <c r="S811" s="316"/>
      <c r="T811" s="355"/>
    </row>
    <row r="812" spans="9:20" x14ac:dyDescent="0.25">
      <c r="I812" s="314"/>
      <c r="J812" s="45"/>
      <c r="K812" s="312"/>
      <c r="N812" s="514"/>
      <c r="R812" s="293"/>
      <c r="S812" s="316"/>
      <c r="T812" s="355"/>
    </row>
    <row r="813" spans="9:20" x14ac:dyDescent="0.25">
      <c r="I813" s="314"/>
      <c r="J813" s="45"/>
      <c r="K813" s="312"/>
      <c r="N813" s="514"/>
      <c r="R813" s="293"/>
      <c r="S813" s="316"/>
      <c r="T813" s="355"/>
    </row>
    <row r="814" spans="9:20" x14ac:dyDescent="0.25">
      <c r="I814" s="314"/>
      <c r="J814" s="45"/>
      <c r="K814" s="312"/>
      <c r="N814" s="514"/>
      <c r="R814" s="293"/>
      <c r="S814" s="316"/>
      <c r="T814" s="355"/>
    </row>
    <row r="815" spans="9:20" x14ac:dyDescent="0.25">
      <c r="I815" s="314"/>
      <c r="J815" s="45"/>
      <c r="K815" s="312"/>
      <c r="N815" s="514"/>
      <c r="R815" s="293"/>
      <c r="S815" s="316"/>
      <c r="T815" s="355"/>
    </row>
    <row r="816" spans="9:20" x14ac:dyDescent="0.25">
      <c r="I816" s="314"/>
      <c r="J816" s="45"/>
      <c r="K816" s="312"/>
      <c r="N816" s="514"/>
      <c r="R816" s="293"/>
      <c r="S816" s="316"/>
      <c r="T816" s="355"/>
    </row>
    <row r="817" spans="9:20" x14ac:dyDescent="0.25">
      <c r="I817" s="314"/>
      <c r="J817" s="45"/>
      <c r="K817" s="312"/>
      <c r="N817" s="514"/>
      <c r="R817" s="293"/>
      <c r="S817" s="316"/>
      <c r="T817" s="355"/>
    </row>
    <row r="818" spans="9:20" x14ac:dyDescent="0.25">
      <c r="I818" s="314"/>
      <c r="J818" s="45"/>
      <c r="K818" s="312"/>
      <c r="N818" s="514"/>
      <c r="R818" s="293"/>
      <c r="S818" s="316"/>
      <c r="T818" s="355"/>
    </row>
    <row r="819" spans="9:20" x14ac:dyDescent="0.25">
      <c r="I819" s="314"/>
      <c r="J819" s="45"/>
      <c r="K819" s="312"/>
      <c r="N819" s="514"/>
      <c r="R819" s="293"/>
      <c r="S819" s="316"/>
      <c r="T819" s="355"/>
    </row>
    <row r="820" spans="9:20" x14ac:dyDescent="0.25">
      <c r="I820" s="314"/>
      <c r="J820" s="45"/>
      <c r="K820" s="312"/>
      <c r="N820" s="514"/>
      <c r="R820" s="293"/>
      <c r="S820" s="316"/>
      <c r="T820" s="355"/>
    </row>
    <row r="821" spans="9:20" x14ac:dyDescent="0.25">
      <c r="I821" s="314"/>
      <c r="J821" s="45"/>
      <c r="K821" s="312"/>
      <c r="N821" s="514"/>
      <c r="R821" s="293"/>
      <c r="S821" s="316"/>
      <c r="T821" s="355"/>
    </row>
    <row r="822" spans="9:20" x14ac:dyDescent="0.25">
      <c r="I822" s="314"/>
      <c r="J822" s="45"/>
      <c r="K822" s="312"/>
      <c r="N822" s="514"/>
      <c r="R822" s="293"/>
      <c r="S822" s="316"/>
      <c r="T822" s="355"/>
    </row>
    <row r="823" spans="9:20" x14ac:dyDescent="0.25">
      <c r="I823" s="314"/>
      <c r="J823" s="45"/>
      <c r="K823" s="312"/>
      <c r="N823" s="514"/>
      <c r="R823" s="293"/>
      <c r="S823" s="316"/>
      <c r="T823" s="355"/>
    </row>
    <row r="824" spans="9:20" x14ac:dyDescent="0.25">
      <c r="I824" s="314"/>
      <c r="J824" s="45"/>
      <c r="K824" s="312"/>
      <c r="N824" s="514"/>
      <c r="R824" s="293"/>
      <c r="S824" s="316"/>
      <c r="T824" s="355"/>
    </row>
    <row r="825" spans="9:20" x14ac:dyDescent="0.25">
      <c r="I825" s="314"/>
      <c r="J825" s="45"/>
      <c r="K825" s="312"/>
      <c r="N825" s="514"/>
      <c r="R825" s="293"/>
      <c r="S825" s="316"/>
      <c r="T825" s="355"/>
    </row>
    <row r="826" spans="9:20" x14ac:dyDescent="0.25">
      <c r="I826" s="314"/>
      <c r="J826" s="45"/>
      <c r="K826" s="312"/>
      <c r="N826" s="514"/>
      <c r="R826" s="293"/>
      <c r="S826" s="316"/>
      <c r="T826" s="355"/>
    </row>
    <row r="827" spans="9:20" x14ac:dyDescent="0.25">
      <c r="I827" s="314"/>
      <c r="J827" s="45"/>
      <c r="K827" s="312"/>
      <c r="N827" s="514"/>
      <c r="R827" s="293"/>
      <c r="S827" s="316"/>
      <c r="T827" s="355"/>
    </row>
    <row r="828" spans="9:20" x14ac:dyDescent="0.25">
      <c r="I828" s="314"/>
      <c r="J828" s="45"/>
      <c r="K828" s="312"/>
      <c r="N828" s="514"/>
      <c r="R828" s="293"/>
      <c r="S828" s="316"/>
      <c r="T828" s="355"/>
    </row>
    <row r="829" spans="9:20" x14ac:dyDescent="0.25">
      <c r="I829" s="314"/>
      <c r="J829" s="45"/>
      <c r="K829" s="312"/>
      <c r="N829" s="514"/>
      <c r="R829" s="293"/>
      <c r="S829" s="316"/>
      <c r="T829" s="355"/>
    </row>
    <row r="830" spans="9:20" x14ac:dyDescent="0.25">
      <c r="I830" s="314"/>
      <c r="J830" s="45"/>
      <c r="K830" s="312"/>
      <c r="N830" s="514"/>
      <c r="R830" s="293"/>
      <c r="S830" s="316"/>
      <c r="T830" s="355"/>
    </row>
    <row r="831" spans="9:20" x14ac:dyDescent="0.25">
      <c r="I831" s="314"/>
      <c r="J831" s="45"/>
      <c r="K831" s="312"/>
      <c r="N831" s="514"/>
      <c r="R831" s="293"/>
      <c r="S831" s="316"/>
      <c r="T831" s="355"/>
    </row>
    <row r="832" spans="9:20" x14ac:dyDescent="0.25">
      <c r="I832" s="314"/>
      <c r="J832" s="45"/>
      <c r="K832" s="312"/>
      <c r="N832" s="514"/>
      <c r="R832" s="293"/>
      <c r="S832" s="316"/>
      <c r="T832" s="355"/>
    </row>
    <row r="833" spans="9:20" x14ac:dyDescent="0.25">
      <c r="I833" s="314"/>
      <c r="J833" s="45"/>
      <c r="K833" s="312"/>
      <c r="N833" s="514"/>
      <c r="R833" s="293"/>
      <c r="S833" s="316"/>
      <c r="T833" s="355"/>
    </row>
    <row r="834" spans="9:20" x14ac:dyDescent="0.25">
      <c r="I834" s="314"/>
      <c r="J834" s="45"/>
      <c r="K834" s="312"/>
      <c r="N834" s="514"/>
      <c r="R834" s="293"/>
      <c r="S834" s="316"/>
      <c r="T834" s="355"/>
    </row>
    <row r="835" spans="9:20" x14ac:dyDescent="0.25">
      <c r="I835" s="314"/>
      <c r="J835" s="45"/>
      <c r="K835" s="312"/>
      <c r="N835" s="514"/>
      <c r="R835" s="293"/>
      <c r="S835" s="316"/>
      <c r="T835" s="355"/>
    </row>
    <row r="836" spans="9:20" x14ac:dyDescent="0.25">
      <c r="I836" s="314"/>
      <c r="J836" s="45"/>
      <c r="K836" s="312"/>
      <c r="N836" s="514"/>
      <c r="R836" s="293"/>
      <c r="S836" s="316"/>
      <c r="T836" s="355"/>
    </row>
    <row r="837" spans="9:20" x14ac:dyDescent="0.25">
      <c r="I837" s="314"/>
      <c r="J837" s="45"/>
      <c r="K837" s="312"/>
      <c r="N837" s="514"/>
      <c r="R837" s="293"/>
      <c r="S837" s="316"/>
      <c r="T837" s="355"/>
    </row>
    <row r="838" spans="9:20" x14ac:dyDescent="0.25">
      <c r="I838" s="314"/>
      <c r="J838" s="45"/>
      <c r="K838" s="312"/>
      <c r="N838" s="514"/>
      <c r="R838" s="293"/>
      <c r="S838" s="316"/>
      <c r="T838" s="355"/>
    </row>
    <row r="839" spans="9:20" x14ac:dyDescent="0.25">
      <c r="I839" s="314"/>
      <c r="J839" s="45"/>
      <c r="K839" s="312"/>
      <c r="N839" s="514"/>
      <c r="R839" s="293"/>
      <c r="S839" s="316"/>
      <c r="T839" s="355"/>
    </row>
    <row r="840" spans="9:20" x14ac:dyDescent="0.25">
      <c r="I840" s="314"/>
      <c r="J840" s="45"/>
      <c r="K840" s="312"/>
      <c r="N840" s="514"/>
      <c r="R840" s="293"/>
      <c r="S840" s="316"/>
      <c r="T840" s="355"/>
    </row>
    <row r="841" spans="9:20" x14ac:dyDescent="0.25">
      <c r="I841" s="314"/>
      <c r="J841" s="45"/>
      <c r="K841" s="312"/>
      <c r="N841" s="514"/>
      <c r="R841" s="293"/>
      <c r="S841" s="316"/>
      <c r="T841" s="355"/>
    </row>
    <row r="842" spans="9:20" x14ac:dyDescent="0.25">
      <c r="I842" s="314"/>
      <c r="J842" s="45"/>
      <c r="K842" s="312"/>
      <c r="N842" s="514"/>
      <c r="R842" s="293"/>
      <c r="S842" s="316"/>
      <c r="T842" s="355"/>
    </row>
    <row r="843" spans="9:20" x14ac:dyDescent="0.25">
      <c r="I843" s="314"/>
      <c r="J843" s="45"/>
      <c r="K843" s="312"/>
      <c r="N843" s="514"/>
      <c r="R843" s="293"/>
      <c r="S843" s="316"/>
      <c r="T843" s="355"/>
    </row>
    <row r="844" spans="9:20" x14ac:dyDescent="0.25">
      <c r="I844" s="314"/>
      <c r="J844" s="45"/>
      <c r="K844" s="312"/>
      <c r="N844" s="514"/>
      <c r="R844" s="293"/>
      <c r="S844" s="316"/>
      <c r="T844" s="355"/>
    </row>
    <row r="845" spans="9:20" x14ac:dyDescent="0.25">
      <c r="I845" s="314"/>
      <c r="J845" s="45"/>
      <c r="K845" s="312"/>
      <c r="N845" s="514"/>
      <c r="R845" s="293"/>
      <c r="S845" s="316"/>
      <c r="T845" s="355"/>
    </row>
    <row r="846" spans="9:20" x14ac:dyDescent="0.25">
      <c r="I846" s="314"/>
      <c r="J846" s="45"/>
      <c r="K846" s="312"/>
      <c r="N846" s="514"/>
      <c r="R846" s="293"/>
      <c r="S846" s="316"/>
      <c r="T846" s="355"/>
    </row>
    <row r="847" spans="9:20" x14ac:dyDescent="0.25">
      <c r="I847" s="314"/>
      <c r="J847" s="45"/>
      <c r="K847" s="312"/>
      <c r="N847" s="514"/>
      <c r="R847" s="293"/>
      <c r="S847" s="316"/>
      <c r="T847" s="355"/>
    </row>
    <row r="848" spans="9:20" x14ac:dyDescent="0.25">
      <c r="I848" s="314"/>
      <c r="J848" s="45"/>
      <c r="K848" s="312"/>
      <c r="N848" s="514"/>
      <c r="R848" s="293"/>
      <c r="S848" s="316"/>
      <c r="T848" s="355"/>
    </row>
    <row r="849" spans="9:20" x14ac:dyDescent="0.25">
      <c r="I849" s="314"/>
      <c r="J849" s="45"/>
      <c r="K849" s="312"/>
      <c r="N849" s="514"/>
      <c r="R849" s="293"/>
      <c r="S849" s="316"/>
      <c r="T849" s="355"/>
    </row>
    <row r="850" spans="9:20" x14ac:dyDescent="0.25">
      <c r="I850" s="314"/>
      <c r="J850" s="45"/>
      <c r="K850" s="312"/>
      <c r="N850" s="514"/>
      <c r="R850" s="293"/>
      <c r="S850" s="316"/>
      <c r="T850" s="355"/>
    </row>
    <row r="851" spans="9:20" x14ac:dyDescent="0.25">
      <c r="I851" s="314"/>
      <c r="J851" s="45"/>
      <c r="K851" s="312"/>
      <c r="N851" s="514"/>
      <c r="R851" s="293"/>
      <c r="S851" s="316"/>
      <c r="T851" s="355"/>
    </row>
    <row r="852" spans="9:20" x14ac:dyDescent="0.25">
      <c r="I852" s="314"/>
      <c r="J852" s="45"/>
      <c r="K852" s="312"/>
      <c r="N852" s="514"/>
      <c r="R852" s="293"/>
      <c r="S852" s="316"/>
      <c r="T852" s="355"/>
    </row>
    <row r="853" spans="9:20" x14ac:dyDescent="0.25">
      <c r="I853" s="314"/>
      <c r="J853" s="45"/>
      <c r="K853" s="312"/>
      <c r="N853" s="514"/>
      <c r="R853" s="293"/>
      <c r="S853" s="316"/>
      <c r="T853" s="355"/>
    </row>
    <row r="854" spans="9:20" x14ac:dyDescent="0.25">
      <c r="I854" s="314"/>
      <c r="J854" s="45"/>
      <c r="K854" s="312"/>
      <c r="N854" s="514"/>
      <c r="R854" s="293"/>
      <c r="S854" s="316"/>
      <c r="T854" s="355"/>
    </row>
    <row r="855" spans="9:20" x14ac:dyDescent="0.25">
      <c r="I855" s="314"/>
      <c r="J855" s="45"/>
      <c r="K855" s="312"/>
      <c r="N855" s="514"/>
      <c r="R855" s="293"/>
      <c r="S855" s="316"/>
      <c r="T855" s="355"/>
    </row>
    <row r="856" spans="9:20" x14ac:dyDescent="0.25">
      <c r="I856" s="314"/>
      <c r="J856" s="45"/>
      <c r="K856" s="312"/>
      <c r="N856" s="514"/>
      <c r="R856" s="293"/>
      <c r="S856" s="316"/>
      <c r="T856" s="355"/>
    </row>
    <row r="857" spans="9:20" x14ac:dyDescent="0.25">
      <c r="I857" s="314"/>
      <c r="J857" s="45"/>
      <c r="K857" s="312"/>
      <c r="N857" s="514"/>
      <c r="R857" s="293"/>
      <c r="S857" s="316"/>
      <c r="T857" s="355"/>
    </row>
    <row r="858" spans="9:20" x14ac:dyDescent="0.25">
      <c r="I858" s="314"/>
      <c r="J858" s="45"/>
      <c r="K858" s="312"/>
      <c r="N858" s="514"/>
      <c r="R858" s="293"/>
      <c r="S858" s="316"/>
      <c r="T858" s="355"/>
    </row>
    <row r="859" spans="9:20" x14ac:dyDescent="0.25">
      <c r="I859" s="314"/>
      <c r="J859" s="45"/>
      <c r="K859" s="312"/>
      <c r="N859" s="514"/>
      <c r="R859" s="293"/>
      <c r="S859" s="316"/>
      <c r="T859" s="355"/>
    </row>
    <row r="860" spans="9:20" x14ac:dyDescent="0.25">
      <c r="I860" s="314"/>
      <c r="J860" s="45"/>
      <c r="K860" s="312"/>
      <c r="N860" s="514"/>
      <c r="R860" s="293"/>
      <c r="S860" s="316"/>
      <c r="T860" s="355"/>
    </row>
    <row r="861" spans="9:20" x14ac:dyDescent="0.25">
      <c r="I861" s="314"/>
      <c r="J861" s="45"/>
      <c r="K861" s="312"/>
      <c r="N861" s="514"/>
      <c r="R861" s="293"/>
      <c r="S861" s="316"/>
      <c r="T861" s="355"/>
    </row>
    <row r="862" spans="9:20" x14ac:dyDescent="0.25">
      <c r="I862" s="314"/>
      <c r="J862" s="45"/>
      <c r="K862" s="312"/>
      <c r="N862" s="514"/>
      <c r="R862" s="293"/>
      <c r="S862" s="316"/>
      <c r="T862" s="355"/>
    </row>
    <row r="863" spans="9:20" x14ac:dyDescent="0.25">
      <c r="I863" s="314"/>
      <c r="J863" s="45"/>
      <c r="K863" s="312"/>
      <c r="N863" s="514"/>
      <c r="R863" s="293"/>
      <c r="S863" s="316"/>
      <c r="T863" s="355"/>
    </row>
    <row r="864" spans="9:20" x14ac:dyDescent="0.25">
      <c r="I864" s="314"/>
      <c r="J864" s="45"/>
      <c r="K864" s="312"/>
      <c r="N864" s="514"/>
      <c r="R864" s="293"/>
      <c r="S864" s="316"/>
      <c r="T864" s="355"/>
    </row>
    <row r="865" spans="9:20" x14ac:dyDescent="0.25">
      <c r="I865" s="314"/>
      <c r="J865" s="45"/>
      <c r="K865" s="312"/>
      <c r="N865" s="514"/>
      <c r="R865" s="293"/>
      <c r="S865" s="316"/>
      <c r="T865" s="355"/>
    </row>
    <row r="866" spans="9:20" x14ac:dyDescent="0.25">
      <c r="I866" s="314"/>
      <c r="J866" s="45"/>
      <c r="K866" s="312"/>
      <c r="N866" s="514"/>
      <c r="R866" s="293"/>
      <c r="S866" s="316"/>
      <c r="T866" s="355"/>
    </row>
    <row r="867" spans="9:20" x14ac:dyDescent="0.25">
      <c r="I867" s="314"/>
      <c r="J867" s="45"/>
      <c r="K867" s="312"/>
      <c r="N867" s="514"/>
      <c r="R867" s="293"/>
      <c r="S867" s="316"/>
      <c r="T867" s="355"/>
    </row>
    <row r="868" spans="9:20" x14ac:dyDescent="0.25">
      <c r="I868" s="314"/>
      <c r="J868" s="45"/>
      <c r="K868" s="312"/>
      <c r="N868" s="514"/>
      <c r="R868" s="293"/>
      <c r="S868" s="316"/>
      <c r="T868" s="355"/>
    </row>
    <row r="869" spans="9:20" x14ac:dyDescent="0.25">
      <c r="I869" s="314"/>
      <c r="J869" s="45"/>
      <c r="K869" s="312"/>
      <c r="N869" s="514"/>
      <c r="R869" s="293"/>
      <c r="S869" s="316"/>
      <c r="T869" s="355"/>
    </row>
    <row r="870" spans="9:20" x14ac:dyDescent="0.25">
      <c r="I870" s="314"/>
      <c r="J870" s="45"/>
      <c r="K870" s="312"/>
      <c r="N870" s="514"/>
      <c r="R870" s="293"/>
      <c r="S870" s="316"/>
      <c r="T870" s="355"/>
    </row>
    <row r="871" spans="9:20" x14ac:dyDescent="0.25">
      <c r="I871" s="314"/>
      <c r="J871" s="45"/>
      <c r="K871" s="312"/>
      <c r="N871" s="514"/>
      <c r="R871" s="293"/>
      <c r="S871" s="316"/>
      <c r="T871" s="355"/>
    </row>
    <row r="872" spans="9:20" x14ac:dyDescent="0.25">
      <c r="I872" s="314"/>
      <c r="J872" s="45"/>
      <c r="K872" s="312"/>
      <c r="N872" s="514"/>
      <c r="R872" s="293"/>
      <c r="S872" s="316"/>
      <c r="T872" s="355"/>
    </row>
    <row r="873" spans="9:20" x14ac:dyDescent="0.25">
      <c r="I873" s="314"/>
      <c r="J873" s="45"/>
      <c r="K873" s="312"/>
      <c r="N873" s="514"/>
      <c r="R873" s="293"/>
      <c r="S873" s="316"/>
      <c r="T873" s="355"/>
    </row>
    <row r="874" spans="9:20" x14ac:dyDescent="0.25">
      <c r="I874" s="314"/>
      <c r="J874" s="45"/>
      <c r="K874" s="312"/>
      <c r="N874" s="514"/>
      <c r="R874" s="293"/>
      <c r="S874" s="316"/>
      <c r="T874" s="355"/>
    </row>
    <row r="875" spans="9:20" x14ac:dyDescent="0.25">
      <c r="I875" s="314"/>
      <c r="J875" s="45"/>
      <c r="K875" s="312"/>
      <c r="N875" s="514"/>
      <c r="R875" s="293"/>
      <c r="S875" s="316"/>
      <c r="T875" s="355"/>
    </row>
    <row r="876" spans="9:20" x14ac:dyDescent="0.25">
      <c r="I876" s="314"/>
      <c r="J876" s="45"/>
      <c r="K876" s="312"/>
      <c r="N876" s="514"/>
      <c r="R876" s="293"/>
      <c r="S876" s="316"/>
      <c r="T876" s="355"/>
    </row>
    <row r="877" spans="9:20" x14ac:dyDescent="0.25">
      <c r="I877" s="314"/>
      <c r="J877" s="45"/>
      <c r="K877" s="312"/>
      <c r="N877" s="514"/>
      <c r="R877" s="293"/>
      <c r="S877" s="316"/>
      <c r="T877" s="355"/>
    </row>
    <row r="878" spans="9:20" x14ac:dyDescent="0.25">
      <c r="I878" s="314"/>
      <c r="J878" s="45"/>
      <c r="K878" s="312"/>
      <c r="N878" s="514"/>
      <c r="R878" s="293"/>
      <c r="S878" s="316"/>
      <c r="T878" s="355"/>
    </row>
    <row r="879" spans="9:20" x14ac:dyDescent="0.25">
      <c r="I879" s="314"/>
      <c r="J879" s="45"/>
      <c r="K879" s="312"/>
      <c r="N879" s="514"/>
      <c r="R879" s="293"/>
      <c r="S879" s="316"/>
      <c r="T879" s="355"/>
    </row>
    <row r="880" spans="9:20" x14ac:dyDescent="0.25">
      <c r="I880" s="314"/>
      <c r="J880" s="45"/>
      <c r="K880" s="312"/>
      <c r="N880" s="514"/>
      <c r="R880" s="293"/>
      <c r="S880" s="316"/>
      <c r="T880" s="355"/>
    </row>
    <row r="881" spans="9:20" x14ac:dyDescent="0.25">
      <c r="I881" s="314"/>
      <c r="J881" s="45"/>
      <c r="K881" s="312"/>
      <c r="N881" s="514"/>
      <c r="R881" s="293"/>
      <c r="S881" s="316"/>
      <c r="T881" s="355"/>
    </row>
    <row r="882" spans="9:20" x14ac:dyDescent="0.25">
      <c r="I882" s="314"/>
      <c r="J882" s="45"/>
      <c r="K882" s="312"/>
      <c r="N882" s="514"/>
      <c r="R882" s="293"/>
      <c r="S882" s="316"/>
      <c r="T882" s="355"/>
    </row>
    <row r="883" spans="9:20" x14ac:dyDescent="0.25">
      <c r="I883" s="314"/>
      <c r="J883" s="45"/>
      <c r="K883" s="312"/>
      <c r="N883" s="514"/>
      <c r="R883" s="293"/>
      <c r="S883" s="316"/>
      <c r="T883" s="355"/>
    </row>
    <row r="884" spans="9:20" x14ac:dyDescent="0.25">
      <c r="I884" s="314"/>
      <c r="J884" s="45"/>
      <c r="K884" s="312"/>
      <c r="N884" s="514"/>
      <c r="R884" s="293"/>
      <c r="S884" s="316"/>
      <c r="T884" s="355"/>
    </row>
    <row r="885" spans="9:20" x14ac:dyDescent="0.25">
      <c r="I885" s="314"/>
      <c r="J885" s="45"/>
      <c r="K885" s="312"/>
      <c r="N885" s="514"/>
      <c r="R885" s="293"/>
      <c r="S885" s="316"/>
      <c r="T885" s="355"/>
    </row>
    <row r="886" spans="9:20" x14ac:dyDescent="0.25">
      <c r="I886" s="314"/>
      <c r="J886" s="45"/>
      <c r="K886" s="312"/>
      <c r="N886" s="514"/>
      <c r="R886" s="293"/>
      <c r="S886" s="316"/>
      <c r="T886" s="355"/>
    </row>
    <row r="887" spans="9:20" x14ac:dyDescent="0.25">
      <c r="I887" s="314"/>
      <c r="J887" s="45"/>
      <c r="K887" s="312"/>
      <c r="N887" s="514"/>
      <c r="R887" s="293"/>
      <c r="S887" s="316"/>
      <c r="T887" s="355"/>
    </row>
    <row r="888" spans="9:20" x14ac:dyDescent="0.25">
      <c r="I888" s="314"/>
      <c r="J888" s="45"/>
      <c r="K888" s="312"/>
      <c r="N888" s="514"/>
      <c r="R888" s="293"/>
      <c r="S888" s="316"/>
      <c r="T888" s="355"/>
    </row>
    <row r="889" spans="9:20" x14ac:dyDescent="0.25">
      <c r="I889" s="314"/>
      <c r="J889" s="45"/>
      <c r="K889" s="312"/>
      <c r="N889" s="514"/>
      <c r="R889" s="293"/>
      <c r="S889" s="316"/>
      <c r="T889" s="355"/>
    </row>
    <row r="890" spans="9:20" x14ac:dyDescent="0.25">
      <c r="I890" s="314"/>
      <c r="J890" s="45"/>
      <c r="K890" s="312"/>
      <c r="N890" s="514"/>
      <c r="R890" s="293"/>
      <c r="S890" s="316"/>
      <c r="T890" s="355"/>
    </row>
    <row r="891" spans="9:20" x14ac:dyDescent="0.25">
      <c r="I891" s="314"/>
      <c r="J891" s="45"/>
      <c r="K891" s="312"/>
      <c r="N891" s="514"/>
      <c r="R891" s="293"/>
      <c r="S891" s="316"/>
      <c r="T891" s="355"/>
    </row>
    <row r="892" spans="9:20" x14ac:dyDescent="0.25">
      <c r="I892" s="314"/>
      <c r="J892" s="45"/>
      <c r="K892" s="312"/>
      <c r="N892" s="514"/>
      <c r="R892" s="293"/>
      <c r="S892" s="316"/>
      <c r="T892" s="355"/>
    </row>
    <row r="893" spans="9:20" x14ac:dyDescent="0.25">
      <c r="I893" s="314"/>
      <c r="J893" s="45"/>
      <c r="K893" s="312"/>
      <c r="N893" s="514"/>
      <c r="R893" s="293"/>
      <c r="S893" s="316"/>
      <c r="T893" s="355"/>
    </row>
    <row r="894" spans="9:20" x14ac:dyDescent="0.25">
      <c r="I894" s="314"/>
      <c r="J894" s="45"/>
      <c r="K894" s="312"/>
      <c r="N894" s="514"/>
      <c r="R894" s="293"/>
      <c r="S894" s="316"/>
      <c r="T894" s="355"/>
    </row>
    <row r="895" spans="9:20" x14ac:dyDescent="0.25">
      <c r="I895" s="314"/>
      <c r="J895" s="45"/>
      <c r="K895" s="312"/>
      <c r="N895" s="514"/>
      <c r="R895" s="293"/>
      <c r="S895" s="316"/>
      <c r="T895" s="355"/>
    </row>
    <row r="896" spans="9:20" x14ac:dyDescent="0.25">
      <c r="I896" s="314"/>
      <c r="J896" s="45"/>
      <c r="K896" s="312"/>
      <c r="N896" s="514"/>
      <c r="R896" s="293"/>
      <c r="S896" s="316"/>
      <c r="T896" s="355"/>
    </row>
    <row r="897" spans="9:20" x14ac:dyDescent="0.25">
      <c r="I897" s="314"/>
      <c r="J897" s="45"/>
      <c r="K897" s="312"/>
      <c r="N897" s="514"/>
      <c r="R897" s="293"/>
      <c r="S897" s="316"/>
      <c r="T897" s="355"/>
    </row>
    <row r="898" spans="9:20" x14ac:dyDescent="0.25">
      <c r="I898" s="314"/>
      <c r="J898" s="45"/>
      <c r="K898" s="312"/>
      <c r="N898" s="514"/>
      <c r="R898" s="293"/>
      <c r="S898" s="316"/>
      <c r="T898" s="355"/>
    </row>
    <row r="899" spans="9:20" x14ac:dyDescent="0.25">
      <c r="I899" s="314"/>
      <c r="J899" s="45"/>
      <c r="K899" s="312"/>
      <c r="N899" s="514"/>
      <c r="R899" s="293"/>
      <c r="S899" s="316"/>
      <c r="T899" s="355"/>
    </row>
    <row r="900" spans="9:20" x14ac:dyDescent="0.25">
      <c r="I900" s="314"/>
      <c r="J900" s="45"/>
      <c r="K900" s="312"/>
      <c r="N900" s="514"/>
      <c r="R900" s="293"/>
      <c r="S900" s="316"/>
      <c r="T900" s="355"/>
    </row>
    <row r="901" spans="9:20" x14ac:dyDescent="0.25">
      <c r="I901" s="314"/>
      <c r="J901" s="45"/>
      <c r="K901" s="312"/>
      <c r="N901" s="514"/>
      <c r="R901" s="293"/>
      <c r="S901" s="316"/>
      <c r="T901" s="355"/>
    </row>
    <row r="902" spans="9:20" x14ac:dyDescent="0.25">
      <c r="I902" s="314"/>
      <c r="J902" s="45"/>
      <c r="K902" s="312"/>
      <c r="N902" s="514"/>
      <c r="R902" s="293"/>
      <c r="S902" s="316"/>
      <c r="T902" s="355"/>
    </row>
    <row r="903" spans="9:20" x14ac:dyDescent="0.25">
      <c r="I903" s="314"/>
      <c r="J903" s="45"/>
      <c r="K903" s="312"/>
      <c r="N903" s="514"/>
      <c r="R903" s="293"/>
      <c r="S903" s="316"/>
      <c r="T903" s="355"/>
    </row>
    <row r="904" spans="9:20" x14ac:dyDescent="0.25">
      <c r="I904" s="314"/>
      <c r="J904" s="45"/>
      <c r="K904" s="312"/>
      <c r="N904" s="514"/>
      <c r="R904" s="293"/>
      <c r="S904" s="316"/>
      <c r="T904" s="355"/>
    </row>
    <row r="905" spans="9:20" x14ac:dyDescent="0.25">
      <c r="I905" s="314"/>
      <c r="J905" s="45"/>
      <c r="K905" s="312"/>
      <c r="N905" s="514"/>
      <c r="R905" s="293"/>
      <c r="S905" s="316"/>
      <c r="T905" s="355"/>
    </row>
    <row r="906" spans="9:20" x14ac:dyDescent="0.25">
      <c r="I906" s="314"/>
      <c r="J906" s="45"/>
      <c r="K906" s="312"/>
      <c r="N906" s="514"/>
      <c r="R906" s="293"/>
      <c r="S906" s="316"/>
      <c r="T906" s="355"/>
    </row>
    <row r="907" spans="9:20" x14ac:dyDescent="0.25">
      <c r="I907" s="314"/>
      <c r="J907" s="45"/>
      <c r="K907" s="312"/>
      <c r="N907" s="514"/>
      <c r="R907" s="293"/>
      <c r="S907" s="316"/>
      <c r="T907" s="355"/>
    </row>
    <row r="908" spans="9:20" x14ac:dyDescent="0.25">
      <c r="I908" s="314"/>
      <c r="J908" s="45"/>
      <c r="K908" s="312"/>
      <c r="N908" s="514"/>
      <c r="R908" s="293"/>
      <c r="S908" s="316"/>
      <c r="T908" s="355"/>
    </row>
    <row r="909" spans="9:20" x14ac:dyDescent="0.25">
      <c r="I909" s="314"/>
      <c r="J909" s="45"/>
      <c r="K909" s="312"/>
      <c r="N909" s="514"/>
      <c r="R909" s="293"/>
      <c r="S909" s="316"/>
      <c r="T909" s="355"/>
    </row>
    <row r="910" spans="9:20" x14ac:dyDescent="0.25">
      <c r="I910" s="314"/>
      <c r="J910" s="45"/>
      <c r="K910" s="312"/>
      <c r="N910" s="514"/>
      <c r="R910" s="293"/>
      <c r="S910" s="316"/>
      <c r="T910" s="355"/>
    </row>
    <row r="911" spans="9:20" x14ac:dyDescent="0.25">
      <c r="I911" s="314"/>
      <c r="J911" s="45"/>
      <c r="K911" s="312"/>
      <c r="N911" s="514"/>
      <c r="R911" s="293"/>
      <c r="S911" s="316"/>
      <c r="T911" s="355"/>
    </row>
    <row r="912" spans="9:20" x14ac:dyDescent="0.25">
      <c r="I912" s="314"/>
      <c r="J912" s="45"/>
      <c r="K912" s="312"/>
      <c r="N912" s="514"/>
      <c r="R912" s="293"/>
      <c r="S912" s="316"/>
      <c r="T912" s="355"/>
    </row>
    <row r="913" spans="9:20" x14ac:dyDescent="0.25">
      <c r="I913" s="314"/>
      <c r="J913" s="45"/>
      <c r="K913" s="312"/>
      <c r="N913" s="514"/>
      <c r="R913" s="293"/>
      <c r="S913" s="316"/>
      <c r="T913" s="355"/>
    </row>
    <row r="914" spans="9:20" x14ac:dyDescent="0.25">
      <c r="I914" s="314"/>
      <c r="J914" s="45"/>
      <c r="K914" s="312"/>
      <c r="N914" s="514"/>
      <c r="R914" s="293"/>
      <c r="S914" s="316"/>
      <c r="T914" s="355"/>
    </row>
    <row r="915" spans="9:20" x14ac:dyDescent="0.25">
      <c r="I915" s="314"/>
      <c r="J915" s="45"/>
      <c r="K915" s="312"/>
      <c r="N915" s="514"/>
      <c r="R915" s="293"/>
      <c r="S915" s="316"/>
      <c r="T915" s="355"/>
    </row>
    <row r="916" spans="9:20" x14ac:dyDescent="0.25">
      <c r="I916" s="314"/>
      <c r="J916" s="45"/>
      <c r="K916" s="312"/>
      <c r="N916" s="514"/>
      <c r="R916" s="293"/>
      <c r="S916" s="316"/>
      <c r="T916" s="355"/>
    </row>
    <row r="917" spans="9:20" x14ac:dyDescent="0.25">
      <c r="I917" s="314"/>
      <c r="J917" s="45"/>
      <c r="K917" s="312"/>
      <c r="N917" s="514"/>
      <c r="R917" s="293"/>
      <c r="S917" s="316"/>
      <c r="T917" s="355"/>
    </row>
    <row r="918" spans="9:20" x14ac:dyDescent="0.25">
      <c r="I918" s="314"/>
      <c r="J918" s="45"/>
      <c r="K918" s="312"/>
      <c r="N918" s="514"/>
      <c r="R918" s="293"/>
      <c r="S918" s="316"/>
      <c r="T918" s="355"/>
    </row>
    <row r="919" spans="9:20" x14ac:dyDescent="0.25">
      <c r="I919" s="314"/>
      <c r="J919" s="45"/>
      <c r="K919" s="312"/>
      <c r="N919" s="514"/>
      <c r="R919" s="293"/>
      <c r="S919" s="316"/>
      <c r="T919" s="355"/>
    </row>
    <row r="920" spans="9:20" x14ac:dyDescent="0.25">
      <c r="I920" s="314"/>
      <c r="J920" s="45"/>
      <c r="K920" s="312"/>
      <c r="N920" s="514"/>
      <c r="R920" s="293"/>
      <c r="S920" s="316"/>
      <c r="T920" s="355"/>
    </row>
    <row r="921" spans="9:20" x14ac:dyDescent="0.25">
      <c r="I921" s="314"/>
      <c r="J921" s="45"/>
      <c r="K921" s="312"/>
      <c r="N921" s="514"/>
      <c r="R921" s="293"/>
      <c r="S921" s="316"/>
      <c r="T921" s="355"/>
    </row>
    <row r="922" spans="9:20" x14ac:dyDescent="0.25">
      <c r="I922" s="314"/>
      <c r="J922" s="45"/>
      <c r="K922" s="312"/>
      <c r="N922" s="514"/>
      <c r="R922" s="293"/>
      <c r="S922" s="316"/>
      <c r="T922" s="355"/>
    </row>
    <row r="923" spans="9:20" x14ac:dyDescent="0.25">
      <c r="I923" s="314"/>
      <c r="J923" s="45"/>
      <c r="K923" s="312"/>
      <c r="N923" s="514"/>
      <c r="R923" s="293"/>
      <c r="S923" s="316"/>
      <c r="T923" s="355"/>
    </row>
    <row r="924" spans="9:20" x14ac:dyDescent="0.25">
      <c r="I924" s="314"/>
      <c r="J924" s="45"/>
      <c r="K924" s="312"/>
      <c r="N924" s="514"/>
      <c r="R924" s="293"/>
      <c r="S924" s="316"/>
      <c r="T924" s="355"/>
    </row>
    <row r="925" spans="9:20" x14ac:dyDescent="0.25">
      <c r="I925" s="314"/>
      <c r="J925" s="45"/>
      <c r="K925" s="312"/>
      <c r="N925" s="514"/>
      <c r="R925" s="293"/>
      <c r="S925" s="316"/>
      <c r="T925" s="355"/>
    </row>
    <row r="926" spans="9:20" x14ac:dyDescent="0.25">
      <c r="I926" s="314"/>
      <c r="J926" s="45"/>
      <c r="K926" s="312"/>
      <c r="N926" s="514"/>
      <c r="R926" s="293"/>
      <c r="S926" s="316"/>
      <c r="T926" s="355"/>
    </row>
    <row r="927" spans="9:20" x14ac:dyDescent="0.25">
      <c r="I927" s="314"/>
      <c r="J927" s="45"/>
      <c r="K927" s="312"/>
      <c r="N927" s="514"/>
      <c r="R927" s="293"/>
      <c r="S927" s="316"/>
      <c r="T927" s="355"/>
    </row>
    <row r="928" spans="9:20" x14ac:dyDescent="0.25">
      <c r="I928" s="314"/>
      <c r="J928" s="45"/>
      <c r="K928" s="312"/>
      <c r="N928" s="514"/>
      <c r="R928" s="293"/>
      <c r="S928" s="316"/>
      <c r="T928" s="355"/>
    </row>
    <row r="929" spans="9:20" x14ac:dyDescent="0.25">
      <c r="I929" s="314"/>
      <c r="J929" s="45"/>
      <c r="K929" s="312"/>
      <c r="N929" s="514"/>
      <c r="R929" s="293"/>
      <c r="S929" s="316"/>
      <c r="T929" s="355"/>
    </row>
    <row r="930" spans="9:20" x14ac:dyDescent="0.25">
      <c r="I930" s="314"/>
      <c r="J930" s="45"/>
      <c r="K930" s="312"/>
      <c r="N930" s="514"/>
      <c r="R930" s="293"/>
      <c r="S930" s="316"/>
      <c r="T930" s="355"/>
    </row>
    <row r="931" spans="9:20" x14ac:dyDescent="0.25">
      <c r="I931" s="314"/>
      <c r="J931" s="45"/>
      <c r="K931" s="312"/>
      <c r="N931" s="514"/>
      <c r="R931" s="293"/>
      <c r="S931" s="316"/>
      <c r="T931" s="355"/>
    </row>
    <row r="932" spans="9:20" x14ac:dyDescent="0.25">
      <c r="I932" s="314"/>
      <c r="J932" s="45"/>
      <c r="K932" s="312"/>
      <c r="N932" s="514"/>
      <c r="R932" s="293"/>
      <c r="S932" s="316"/>
      <c r="T932" s="355"/>
    </row>
    <row r="933" spans="9:20" x14ac:dyDescent="0.25">
      <c r="I933" s="314"/>
      <c r="J933" s="45"/>
      <c r="K933" s="312"/>
      <c r="N933" s="514"/>
      <c r="R933" s="293"/>
      <c r="S933" s="316"/>
      <c r="T933" s="355"/>
    </row>
    <row r="934" spans="9:20" x14ac:dyDescent="0.25">
      <c r="I934" s="314"/>
      <c r="J934" s="45"/>
      <c r="K934" s="312"/>
      <c r="N934" s="514"/>
      <c r="R934" s="293"/>
      <c r="S934" s="316"/>
      <c r="T934" s="355"/>
    </row>
    <row r="935" spans="9:20" x14ac:dyDescent="0.25">
      <c r="I935" s="314"/>
      <c r="J935" s="45"/>
      <c r="K935" s="312"/>
      <c r="N935" s="514"/>
      <c r="R935" s="293"/>
      <c r="S935" s="316"/>
      <c r="T935" s="355"/>
    </row>
    <row r="936" spans="9:20" x14ac:dyDescent="0.25">
      <c r="I936" s="314"/>
      <c r="J936" s="45"/>
      <c r="K936" s="312"/>
      <c r="N936" s="514"/>
      <c r="R936" s="293"/>
      <c r="S936" s="316"/>
      <c r="T936" s="355"/>
    </row>
    <row r="937" spans="9:20" x14ac:dyDescent="0.25">
      <c r="I937" s="314"/>
      <c r="J937" s="45"/>
      <c r="K937" s="312"/>
      <c r="N937" s="514"/>
      <c r="R937" s="293"/>
      <c r="S937" s="316"/>
      <c r="T937" s="355"/>
    </row>
    <row r="938" spans="9:20" x14ac:dyDescent="0.25">
      <c r="I938" s="314"/>
      <c r="J938" s="45"/>
      <c r="K938" s="312"/>
      <c r="N938" s="514"/>
      <c r="R938" s="293"/>
      <c r="S938" s="316"/>
      <c r="T938" s="355"/>
    </row>
    <row r="939" spans="9:20" x14ac:dyDescent="0.25">
      <c r="I939" s="314"/>
      <c r="J939" s="45"/>
      <c r="K939" s="312"/>
      <c r="N939" s="514"/>
      <c r="R939" s="293"/>
      <c r="S939" s="316"/>
      <c r="T939" s="355"/>
    </row>
    <row r="940" spans="9:20" x14ac:dyDescent="0.25">
      <c r="I940" s="314"/>
      <c r="J940" s="45"/>
      <c r="K940" s="312"/>
      <c r="N940" s="514"/>
      <c r="R940" s="293"/>
      <c r="S940" s="316"/>
      <c r="T940" s="355"/>
    </row>
    <row r="941" spans="9:20" x14ac:dyDescent="0.25">
      <c r="I941" s="314"/>
      <c r="J941" s="45"/>
      <c r="K941" s="312"/>
      <c r="N941" s="514"/>
      <c r="R941" s="293"/>
      <c r="S941" s="316"/>
      <c r="T941" s="355"/>
    </row>
    <row r="942" spans="9:20" x14ac:dyDescent="0.25">
      <c r="I942" s="314"/>
      <c r="J942" s="45"/>
      <c r="K942" s="312"/>
      <c r="N942" s="514"/>
      <c r="R942" s="293"/>
      <c r="S942" s="316"/>
      <c r="T942" s="355"/>
    </row>
    <row r="943" spans="9:20" x14ac:dyDescent="0.25">
      <c r="I943" s="314"/>
      <c r="J943" s="45"/>
      <c r="K943" s="312"/>
      <c r="N943" s="514"/>
      <c r="R943" s="293"/>
      <c r="S943" s="316"/>
      <c r="T943" s="355"/>
    </row>
    <row r="944" spans="9:20" x14ac:dyDescent="0.25">
      <c r="I944" s="314"/>
      <c r="J944" s="45"/>
      <c r="K944" s="312"/>
      <c r="N944" s="514"/>
      <c r="R944" s="293"/>
      <c r="S944" s="316"/>
      <c r="T944" s="355"/>
    </row>
    <row r="945" spans="9:20" x14ac:dyDescent="0.25">
      <c r="I945" s="314"/>
      <c r="J945" s="45"/>
      <c r="K945" s="312"/>
      <c r="N945" s="514"/>
      <c r="R945" s="293"/>
      <c r="S945" s="316"/>
      <c r="T945" s="355"/>
    </row>
    <row r="946" spans="9:20" x14ac:dyDescent="0.25">
      <c r="I946" s="314"/>
      <c r="J946" s="45"/>
      <c r="K946" s="312"/>
      <c r="N946" s="514"/>
      <c r="R946" s="293"/>
      <c r="S946" s="316"/>
      <c r="T946" s="355"/>
    </row>
    <row r="947" spans="9:20" x14ac:dyDescent="0.25">
      <c r="I947" s="314"/>
      <c r="J947" s="45"/>
      <c r="K947" s="312"/>
      <c r="N947" s="514"/>
      <c r="R947" s="293"/>
      <c r="S947" s="316"/>
      <c r="T947" s="355"/>
    </row>
    <row r="948" spans="9:20" x14ac:dyDescent="0.25">
      <c r="I948" s="314"/>
      <c r="J948" s="45"/>
      <c r="K948" s="312"/>
      <c r="N948" s="514"/>
      <c r="R948" s="293"/>
      <c r="S948" s="316"/>
      <c r="T948" s="355"/>
    </row>
    <row r="949" spans="9:20" x14ac:dyDescent="0.25">
      <c r="I949" s="314"/>
      <c r="J949" s="45"/>
      <c r="K949" s="312"/>
      <c r="N949" s="514"/>
      <c r="R949" s="293"/>
      <c r="S949" s="316"/>
      <c r="T949" s="355"/>
    </row>
    <row r="950" spans="9:20" x14ac:dyDescent="0.25">
      <c r="I950" s="314"/>
      <c r="J950" s="45"/>
      <c r="K950" s="312"/>
      <c r="N950" s="514"/>
      <c r="R950" s="293"/>
      <c r="S950" s="316"/>
      <c r="T950" s="355"/>
    </row>
    <row r="951" spans="9:20" x14ac:dyDescent="0.25">
      <c r="I951" s="314"/>
      <c r="J951" s="45"/>
      <c r="K951" s="312"/>
      <c r="N951" s="514"/>
      <c r="R951" s="293"/>
      <c r="S951" s="316"/>
      <c r="T951" s="355"/>
    </row>
    <row r="952" spans="9:20" x14ac:dyDescent="0.25">
      <c r="I952" s="314"/>
      <c r="J952" s="45"/>
      <c r="K952" s="312"/>
      <c r="N952" s="514"/>
      <c r="R952" s="293"/>
      <c r="S952" s="316"/>
      <c r="T952" s="355"/>
    </row>
    <row r="953" spans="9:20" x14ac:dyDescent="0.25">
      <c r="I953" s="314"/>
      <c r="J953" s="45"/>
      <c r="K953" s="312"/>
      <c r="N953" s="514"/>
      <c r="R953" s="293"/>
      <c r="S953" s="316"/>
      <c r="T953" s="355"/>
    </row>
    <row r="954" spans="9:20" x14ac:dyDescent="0.25">
      <c r="I954" s="314"/>
      <c r="J954" s="45"/>
      <c r="K954" s="312"/>
      <c r="N954" s="514"/>
      <c r="R954" s="293"/>
      <c r="S954" s="316"/>
      <c r="T954" s="355"/>
    </row>
    <row r="955" spans="9:20" x14ac:dyDescent="0.25">
      <c r="I955" s="314"/>
      <c r="J955" s="45"/>
      <c r="K955" s="312"/>
      <c r="N955" s="514"/>
      <c r="R955" s="293"/>
      <c r="S955" s="316"/>
      <c r="T955" s="355"/>
    </row>
    <row r="956" spans="9:20" x14ac:dyDescent="0.25">
      <c r="I956" s="314"/>
      <c r="J956" s="45"/>
      <c r="K956" s="312"/>
      <c r="N956" s="514"/>
      <c r="R956" s="293"/>
      <c r="S956" s="316"/>
      <c r="T956" s="355"/>
    </row>
    <row r="957" spans="9:20" x14ac:dyDescent="0.25">
      <c r="I957" s="314"/>
      <c r="J957" s="45"/>
      <c r="K957" s="312"/>
      <c r="N957" s="514"/>
      <c r="R957" s="293"/>
      <c r="S957" s="316"/>
      <c r="T957" s="355"/>
    </row>
    <row r="958" spans="9:20" x14ac:dyDescent="0.25">
      <c r="I958" s="314"/>
      <c r="J958" s="45"/>
      <c r="K958" s="312"/>
      <c r="N958" s="514"/>
      <c r="R958" s="293"/>
      <c r="S958" s="316"/>
      <c r="T958" s="355"/>
    </row>
    <row r="959" spans="9:20" x14ac:dyDescent="0.25">
      <c r="I959" s="314"/>
      <c r="J959" s="45"/>
      <c r="K959" s="312"/>
      <c r="N959" s="514"/>
      <c r="R959" s="293"/>
      <c r="S959" s="316"/>
      <c r="T959" s="355"/>
    </row>
    <row r="960" spans="9:20" x14ac:dyDescent="0.25">
      <c r="I960" s="314"/>
      <c r="J960" s="45"/>
      <c r="K960" s="312"/>
      <c r="N960" s="514"/>
      <c r="R960" s="293"/>
      <c r="S960" s="316"/>
      <c r="T960" s="355"/>
    </row>
    <row r="961" spans="9:20" x14ac:dyDescent="0.25">
      <c r="I961" s="314"/>
      <c r="J961" s="45"/>
      <c r="K961" s="312"/>
      <c r="N961" s="514"/>
      <c r="R961" s="293"/>
      <c r="S961" s="316"/>
      <c r="T961" s="355"/>
    </row>
    <row r="962" spans="9:20" x14ac:dyDescent="0.25">
      <c r="I962" s="314"/>
      <c r="J962" s="45"/>
      <c r="K962" s="312"/>
      <c r="N962" s="514"/>
      <c r="R962" s="293"/>
      <c r="S962" s="316"/>
      <c r="T962" s="355"/>
    </row>
    <row r="963" spans="9:20" x14ac:dyDescent="0.25">
      <c r="I963" s="314"/>
      <c r="J963" s="45"/>
      <c r="K963" s="312"/>
      <c r="N963" s="514"/>
      <c r="R963" s="293"/>
      <c r="S963" s="316"/>
      <c r="T963" s="355"/>
    </row>
    <row r="964" spans="9:20" x14ac:dyDescent="0.25">
      <c r="I964" s="314"/>
      <c r="J964" s="45"/>
      <c r="K964" s="312"/>
      <c r="N964" s="514"/>
      <c r="R964" s="293"/>
      <c r="S964" s="316"/>
      <c r="T964" s="355"/>
    </row>
    <row r="965" spans="9:20" x14ac:dyDescent="0.25">
      <c r="I965" s="314"/>
      <c r="J965" s="45"/>
      <c r="K965" s="312"/>
      <c r="N965" s="514"/>
      <c r="R965" s="293"/>
      <c r="S965" s="316"/>
      <c r="T965" s="355"/>
    </row>
    <row r="966" spans="9:20" x14ac:dyDescent="0.25">
      <c r="J966" s="45"/>
      <c r="K966" s="312"/>
      <c r="N966" s="514"/>
      <c r="R966" s="293"/>
      <c r="S966" s="316"/>
      <c r="T966" s="355"/>
    </row>
    <row r="967" spans="9:20" x14ac:dyDescent="0.25">
      <c r="J967" s="45"/>
      <c r="K967" s="312"/>
      <c r="N967" s="514"/>
      <c r="R967" s="293"/>
      <c r="S967" s="316"/>
      <c r="T967" s="355"/>
    </row>
    <row r="968" spans="9:20" x14ac:dyDescent="0.25">
      <c r="J968" s="45"/>
      <c r="K968" s="312"/>
      <c r="N968" s="514"/>
      <c r="R968" s="293"/>
      <c r="S968" s="316"/>
      <c r="T968" s="355"/>
    </row>
    <row r="969" spans="9:20" x14ac:dyDescent="0.25">
      <c r="J969" s="45"/>
      <c r="K969" s="312"/>
      <c r="N969" s="514"/>
      <c r="R969" s="293"/>
      <c r="S969" s="316"/>
      <c r="T969" s="355"/>
    </row>
    <row r="970" spans="9:20" x14ac:dyDescent="0.25">
      <c r="J970" s="45"/>
      <c r="K970" s="312"/>
      <c r="N970" s="514"/>
      <c r="R970" s="293"/>
      <c r="S970" s="316"/>
      <c r="T970" s="355"/>
    </row>
    <row r="971" spans="9:20" x14ac:dyDescent="0.25">
      <c r="J971" s="45"/>
      <c r="K971" s="312"/>
      <c r="N971" s="514"/>
      <c r="R971" s="293"/>
      <c r="S971" s="316"/>
      <c r="T971" s="355"/>
    </row>
    <row r="972" spans="9:20" x14ac:dyDescent="0.25">
      <c r="J972" s="45"/>
      <c r="K972" s="312"/>
      <c r="N972" s="514"/>
      <c r="R972" s="293"/>
      <c r="S972" s="316"/>
      <c r="T972" s="355"/>
    </row>
    <row r="973" spans="9:20" x14ac:dyDescent="0.25">
      <c r="J973" s="45"/>
      <c r="K973" s="312"/>
      <c r="N973" s="514"/>
      <c r="R973" s="293"/>
      <c r="S973" s="316"/>
      <c r="T973" s="355"/>
    </row>
    <row r="974" spans="9:20" x14ac:dyDescent="0.25">
      <c r="J974" s="45"/>
      <c r="K974" s="312"/>
      <c r="N974" s="514"/>
      <c r="R974" s="293"/>
      <c r="S974" s="316"/>
      <c r="T974" s="355"/>
    </row>
    <row r="975" spans="9:20" x14ac:dyDescent="0.25">
      <c r="J975" s="45"/>
      <c r="K975" s="312"/>
      <c r="N975" s="514"/>
      <c r="R975" s="293"/>
      <c r="S975" s="316"/>
      <c r="T975" s="355"/>
    </row>
    <row r="976" spans="9:20" x14ac:dyDescent="0.25">
      <c r="J976" s="45"/>
      <c r="K976" s="312"/>
      <c r="N976" s="514"/>
      <c r="R976" s="293"/>
      <c r="S976" s="316"/>
      <c r="T976" s="355"/>
    </row>
    <row r="977" spans="10:20" x14ac:dyDescent="0.25">
      <c r="J977" s="45"/>
      <c r="K977" s="312"/>
      <c r="N977" s="514"/>
      <c r="R977" s="293"/>
      <c r="S977" s="316"/>
      <c r="T977" s="355"/>
    </row>
    <row r="978" spans="10:20" x14ac:dyDescent="0.25">
      <c r="J978" s="45"/>
      <c r="K978" s="312"/>
      <c r="N978" s="514"/>
      <c r="R978" s="293"/>
      <c r="S978" s="316"/>
      <c r="T978" s="355"/>
    </row>
    <row r="979" spans="10:20" x14ac:dyDescent="0.25">
      <c r="J979" s="45"/>
      <c r="K979" s="312"/>
      <c r="N979" s="514"/>
      <c r="R979" s="293"/>
      <c r="S979" s="316"/>
      <c r="T979" s="355"/>
    </row>
    <row r="980" spans="10:20" x14ac:dyDescent="0.25">
      <c r="J980" s="45"/>
      <c r="K980" s="312"/>
      <c r="N980" s="514"/>
      <c r="R980" s="293"/>
      <c r="S980" s="316"/>
      <c r="T980" s="355"/>
    </row>
    <row r="981" spans="10:20" x14ac:dyDescent="0.25">
      <c r="J981" s="45"/>
      <c r="K981" s="312"/>
      <c r="N981" s="514"/>
      <c r="R981" s="293"/>
      <c r="S981" s="316"/>
      <c r="T981" s="355"/>
    </row>
    <row r="982" spans="10:20" x14ac:dyDescent="0.25">
      <c r="J982" s="45"/>
      <c r="K982" s="312"/>
      <c r="N982" s="514"/>
      <c r="R982" s="293"/>
      <c r="S982" s="316"/>
      <c r="T982" s="355"/>
    </row>
    <row r="983" spans="10:20" x14ac:dyDescent="0.25">
      <c r="J983" s="45"/>
      <c r="K983" s="312"/>
      <c r="N983" s="514"/>
      <c r="R983" s="293"/>
      <c r="S983" s="316"/>
      <c r="T983" s="355"/>
    </row>
    <row r="984" spans="10:20" x14ac:dyDescent="0.25">
      <c r="J984" s="45"/>
      <c r="K984" s="312"/>
      <c r="N984" s="514"/>
      <c r="R984" s="293"/>
      <c r="S984" s="316"/>
      <c r="T984" s="355"/>
    </row>
    <row r="985" spans="10:20" x14ac:dyDescent="0.25">
      <c r="J985" s="45"/>
      <c r="K985" s="312"/>
      <c r="N985" s="514"/>
      <c r="R985" s="293"/>
      <c r="S985" s="316"/>
      <c r="T985" s="355"/>
    </row>
    <row r="986" spans="10:20" x14ac:dyDescent="0.25">
      <c r="J986" s="45"/>
      <c r="K986" s="312"/>
      <c r="N986" s="514"/>
      <c r="R986" s="293"/>
      <c r="S986" s="316"/>
      <c r="T986" s="355"/>
    </row>
    <row r="987" spans="10:20" x14ac:dyDescent="0.25">
      <c r="J987" s="45"/>
      <c r="K987" s="312"/>
      <c r="N987" s="514"/>
      <c r="R987" s="293"/>
      <c r="S987" s="316"/>
      <c r="T987" s="355"/>
    </row>
    <row r="988" spans="10:20" x14ac:dyDescent="0.25">
      <c r="J988" s="45"/>
      <c r="K988" s="312"/>
      <c r="N988" s="514"/>
      <c r="R988" s="293"/>
      <c r="S988" s="316"/>
      <c r="T988" s="355"/>
    </row>
    <row r="989" spans="10:20" x14ac:dyDescent="0.25">
      <c r="J989" s="45"/>
      <c r="K989" s="312"/>
      <c r="N989" s="514"/>
      <c r="R989" s="293"/>
      <c r="S989" s="316"/>
      <c r="T989" s="355"/>
    </row>
    <row r="990" spans="10:20" x14ac:dyDescent="0.25">
      <c r="J990" s="45"/>
      <c r="K990" s="312"/>
      <c r="N990" s="514"/>
      <c r="R990" s="293"/>
      <c r="S990" s="316"/>
      <c r="T990" s="355"/>
    </row>
    <row r="991" spans="10:20" x14ac:dyDescent="0.25">
      <c r="J991" s="45"/>
      <c r="K991" s="312"/>
      <c r="N991" s="514"/>
      <c r="R991" s="293"/>
      <c r="S991" s="316"/>
      <c r="T991" s="355"/>
    </row>
    <row r="992" spans="10:20" x14ac:dyDescent="0.25">
      <c r="J992" s="45"/>
      <c r="K992" s="312"/>
      <c r="N992" s="514"/>
      <c r="R992" s="293"/>
      <c r="S992" s="316"/>
      <c r="T992" s="355"/>
    </row>
    <row r="993" spans="10:20" x14ac:dyDescent="0.25">
      <c r="J993" s="45"/>
      <c r="K993" s="312"/>
      <c r="N993" s="514"/>
      <c r="R993" s="293"/>
      <c r="S993" s="316"/>
      <c r="T993" s="355"/>
    </row>
    <row r="994" spans="10:20" x14ac:dyDescent="0.25">
      <c r="J994" s="45"/>
      <c r="K994" s="312"/>
      <c r="N994" s="514"/>
      <c r="R994" s="293"/>
      <c r="S994" s="316"/>
      <c r="T994" s="355"/>
    </row>
    <row r="995" spans="10:20" x14ac:dyDescent="0.25">
      <c r="J995" s="45"/>
      <c r="K995" s="312"/>
      <c r="N995" s="514"/>
      <c r="R995" s="293"/>
      <c r="S995" s="316"/>
      <c r="T995" s="355"/>
    </row>
    <row r="996" spans="10:20" x14ac:dyDescent="0.25">
      <c r="J996" s="45"/>
      <c r="K996" s="312"/>
      <c r="N996" s="514"/>
      <c r="R996" s="293"/>
      <c r="S996" s="316"/>
      <c r="T996" s="355"/>
    </row>
    <row r="997" spans="10:20" x14ac:dyDescent="0.25">
      <c r="J997" s="45"/>
      <c r="K997" s="312"/>
      <c r="N997" s="514"/>
      <c r="R997" s="293"/>
      <c r="S997" s="316"/>
      <c r="T997" s="355"/>
    </row>
    <row r="998" spans="10:20" x14ac:dyDescent="0.25">
      <c r="J998" s="45"/>
      <c r="K998" s="312"/>
      <c r="N998" s="514"/>
      <c r="R998" s="293"/>
      <c r="S998" s="316"/>
      <c r="T998" s="355"/>
    </row>
    <row r="999" spans="10:20" x14ac:dyDescent="0.25">
      <c r="J999" s="45"/>
      <c r="K999" s="312"/>
      <c r="N999" s="514"/>
      <c r="R999" s="293"/>
      <c r="S999" s="316"/>
      <c r="T999" s="355"/>
    </row>
    <row r="1000" spans="10:20" x14ac:dyDescent="0.25">
      <c r="J1000" s="45"/>
      <c r="K1000" s="312"/>
      <c r="N1000" s="514"/>
      <c r="R1000" s="293"/>
      <c r="S1000" s="316"/>
      <c r="T1000" s="355"/>
    </row>
    <row r="1001" spans="10:20" x14ac:dyDescent="0.25">
      <c r="J1001" s="45"/>
      <c r="K1001" s="312"/>
      <c r="N1001" s="514"/>
      <c r="R1001" s="293"/>
      <c r="S1001" s="316"/>
      <c r="T1001" s="355"/>
    </row>
    <row r="1002" spans="10:20" x14ac:dyDescent="0.25">
      <c r="J1002" s="45"/>
      <c r="K1002" s="312"/>
      <c r="N1002" s="514"/>
      <c r="R1002" s="293"/>
      <c r="S1002" s="316"/>
      <c r="T1002" s="355"/>
    </row>
    <row r="1003" spans="10:20" x14ac:dyDescent="0.25">
      <c r="J1003" s="45"/>
      <c r="K1003" s="312"/>
      <c r="N1003" s="514"/>
      <c r="R1003" s="293"/>
      <c r="S1003" s="316"/>
      <c r="T1003" s="355"/>
    </row>
    <row r="1004" spans="10:20" x14ac:dyDescent="0.25">
      <c r="J1004" s="45"/>
      <c r="K1004" s="312"/>
      <c r="N1004" s="514"/>
      <c r="R1004" s="293"/>
      <c r="S1004" s="316"/>
      <c r="T1004" s="355"/>
    </row>
    <row r="1005" spans="10:20" x14ac:dyDescent="0.25">
      <c r="J1005" s="45"/>
      <c r="K1005" s="312"/>
      <c r="N1005" s="514"/>
      <c r="R1005" s="293"/>
      <c r="S1005" s="316"/>
      <c r="T1005" s="355"/>
    </row>
    <row r="1006" spans="10:20" x14ac:dyDescent="0.25">
      <c r="J1006" s="45"/>
      <c r="K1006" s="312"/>
      <c r="N1006" s="514"/>
      <c r="R1006" s="293"/>
      <c r="S1006" s="316"/>
      <c r="T1006" s="355"/>
    </row>
    <row r="1007" spans="10:20" x14ac:dyDescent="0.25">
      <c r="J1007" s="45"/>
      <c r="K1007" s="312"/>
      <c r="N1007" s="514"/>
      <c r="R1007" s="293"/>
      <c r="S1007" s="316"/>
      <c r="T1007" s="355"/>
    </row>
    <row r="1008" spans="10:20" x14ac:dyDescent="0.25">
      <c r="J1008" s="45"/>
      <c r="K1008" s="312"/>
      <c r="N1008" s="514"/>
      <c r="R1008" s="293"/>
      <c r="S1008" s="316"/>
      <c r="T1008" s="355"/>
    </row>
    <row r="1009" spans="10:20" x14ac:dyDescent="0.25">
      <c r="J1009" s="45"/>
      <c r="K1009" s="312"/>
      <c r="N1009" s="514"/>
      <c r="R1009" s="293"/>
      <c r="S1009" s="316"/>
      <c r="T1009" s="355"/>
    </row>
    <row r="1010" spans="10:20" x14ac:dyDescent="0.25">
      <c r="J1010" s="45"/>
      <c r="K1010" s="312"/>
      <c r="N1010" s="514"/>
      <c r="R1010" s="293"/>
      <c r="S1010" s="316"/>
      <c r="T1010" s="355"/>
    </row>
    <row r="1011" spans="10:20" x14ac:dyDescent="0.25">
      <c r="K1011" s="312"/>
      <c r="N1011" s="514"/>
      <c r="R1011" s="293"/>
      <c r="S1011" s="316"/>
      <c r="T1011" s="355"/>
    </row>
    <row r="1012" spans="10:20" x14ac:dyDescent="0.25">
      <c r="K1012" s="312"/>
      <c r="N1012" s="514"/>
      <c r="R1012" s="293"/>
      <c r="S1012" s="316"/>
      <c r="T1012" s="355"/>
    </row>
    <row r="1013" spans="10:20" x14ac:dyDescent="0.25">
      <c r="K1013" s="312"/>
      <c r="N1013" s="514"/>
      <c r="R1013" s="293"/>
      <c r="S1013" s="316"/>
      <c r="T1013" s="355"/>
    </row>
    <row r="1014" spans="10:20" x14ac:dyDescent="0.25">
      <c r="K1014" s="312"/>
      <c r="N1014" s="514"/>
      <c r="R1014" s="293"/>
      <c r="S1014" s="316"/>
      <c r="T1014" s="355"/>
    </row>
    <row r="1015" spans="10:20" x14ac:dyDescent="0.25">
      <c r="K1015" s="312"/>
      <c r="N1015" s="514"/>
      <c r="R1015" s="293"/>
      <c r="S1015" s="316"/>
      <c r="T1015" s="355"/>
    </row>
    <row r="1016" spans="10:20" x14ac:dyDescent="0.25">
      <c r="K1016" s="312"/>
      <c r="N1016" s="514"/>
      <c r="R1016" s="293"/>
      <c r="S1016" s="316"/>
      <c r="T1016" s="355"/>
    </row>
    <row r="1017" spans="10:20" x14ac:dyDescent="0.25">
      <c r="K1017" s="312"/>
      <c r="N1017" s="514"/>
      <c r="R1017" s="293"/>
      <c r="S1017" s="316"/>
      <c r="T1017" s="355"/>
    </row>
    <row r="1018" spans="10:20" x14ac:dyDescent="0.25">
      <c r="K1018" s="312"/>
      <c r="N1018" s="514"/>
      <c r="R1018" s="293"/>
      <c r="S1018" s="316"/>
      <c r="T1018" s="355"/>
    </row>
    <row r="1019" spans="10:20" x14ac:dyDescent="0.25">
      <c r="K1019" s="312"/>
      <c r="N1019" s="514"/>
      <c r="R1019" s="293"/>
      <c r="S1019" s="316"/>
      <c r="T1019" s="355"/>
    </row>
    <row r="1020" spans="10:20" x14ac:dyDescent="0.25">
      <c r="K1020" s="312"/>
      <c r="N1020" s="514"/>
      <c r="R1020" s="293"/>
      <c r="S1020" s="316"/>
      <c r="T1020" s="355"/>
    </row>
    <row r="1021" spans="10:20" x14ac:dyDescent="0.25">
      <c r="K1021" s="312"/>
      <c r="N1021" s="514"/>
      <c r="R1021" s="293"/>
      <c r="S1021" s="316"/>
      <c r="T1021" s="355"/>
    </row>
    <row r="1022" spans="10:20" x14ac:dyDescent="0.25">
      <c r="K1022" s="312"/>
      <c r="N1022" s="514"/>
      <c r="R1022" s="293"/>
      <c r="S1022" s="316"/>
      <c r="T1022" s="355"/>
    </row>
    <row r="1023" spans="10:20" x14ac:dyDescent="0.25">
      <c r="K1023" s="312"/>
      <c r="N1023" s="514"/>
      <c r="R1023" s="293"/>
      <c r="S1023" s="316"/>
      <c r="T1023" s="355"/>
    </row>
    <row r="1024" spans="10:20" x14ac:dyDescent="0.25">
      <c r="K1024" s="312"/>
      <c r="N1024" s="514"/>
      <c r="R1024" s="293"/>
      <c r="S1024" s="316"/>
      <c r="T1024" s="355"/>
    </row>
    <row r="1025" spans="11:20" x14ac:dyDescent="0.25">
      <c r="K1025" s="312"/>
      <c r="N1025" s="514"/>
      <c r="R1025" s="293"/>
      <c r="S1025" s="316"/>
      <c r="T1025" s="355"/>
    </row>
    <row r="1026" spans="11:20" x14ac:dyDescent="0.25">
      <c r="K1026" s="312"/>
      <c r="N1026" s="514"/>
      <c r="R1026" s="293"/>
      <c r="S1026" s="316"/>
      <c r="T1026" s="355"/>
    </row>
    <row r="1027" spans="11:20" x14ac:dyDescent="0.25">
      <c r="K1027" s="312"/>
      <c r="N1027" s="514"/>
      <c r="R1027" s="293"/>
      <c r="S1027" s="316"/>
      <c r="T1027" s="355"/>
    </row>
    <row r="1028" spans="11:20" x14ac:dyDescent="0.25">
      <c r="K1028" s="312"/>
      <c r="N1028" s="514"/>
      <c r="R1028" s="293"/>
      <c r="S1028" s="316"/>
      <c r="T1028" s="355"/>
    </row>
    <row r="1029" spans="11:20" x14ac:dyDescent="0.25">
      <c r="K1029" s="312"/>
      <c r="N1029" s="514"/>
      <c r="R1029" s="293"/>
      <c r="S1029" s="316"/>
      <c r="T1029" s="355"/>
    </row>
    <row r="1030" spans="11:20" x14ac:dyDescent="0.25">
      <c r="K1030" s="312"/>
      <c r="N1030" s="514"/>
      <c r="R1030" s="293"/>
      <c r="S1030" s="316"/>
      <c r="T1030" s="355"/>
    </row>
    <row r="1031" spans="11:20" x14ac:dyDescent="0.25">
      <c r="K1031" s="312"/>
      <c r="N1031" s="514"/>
      <c r="R1031" s="293"/>
      <c r="S1031" s="316"/>
      <c r="T1031" s="355"/>
    </row>
    <row r="1032" spans="11:20" x14ac:dyDescent="0.25">
      <c r="K1032" s="312"/>
      <c r="N1032" s="514"/>
      <c r="R1032" s="293"/>
      <c r="S1032" s="316"/>
      <c r="T1032" s="355"/>
    </row>
    <row r="1033" spans="11:20" x14ac:dyDescent="0.25">
      <c r="K1033" s="312"/>
      <c r="N1033" s="514"/>
      <c r="R1033" s="293"/>
      <c r="S1033" s="316"/>
      <c r="T1033" s="355"/>
    </row>
    <row r="1034" spans="11:20" x14ac:dyDescent="0.25">
      <c r="K1034" s="312"/>
      <c r="N1034" s="514"/>
      <c r="R1034" s="293"/>
      <c r="S1034" s="316"/>
      <c r="T1034" s="355"/>
    </row>
    <row r="1035" spans="11:20" x14ac:dyDescent="0.25">
      <c r="K1035" s="312"/>
      <c r="N1035" s="514"/>
      <c r="R1035" s="293"/>
      <c r="S1035" s="316"/>
      <c r="T1035" s="355"/>
    </row>
    <row r="1036" spans="11:20" x14ac:dyDescent="0.25">
      <c r="K1036" s="312"/>
      <c r="N1036" s="514"/>
      <c r="R1036" s="293"/>
      <c r="S1036" s="316"/>
      <c r="T1036" s="355"/>
    </row>
    <row r="1037" spans="11:20" x14ac:dyDescent="0.25">
      <c r="K1037" s="312"/>
      <c r="N1037" s="514"/>
      <c r="R1037" s="293"/>
      <c r="S1037" s="316"/>
      <c r="T1037" s="355"/>
    </row>
    <row r="1038" spans="11:20" x14ac:dyDescent="0.25">
      <c r="K1038" s="312"/>
      <c r="N1038" s="514"/>
      <c r="R1038" s="293"/>
      <c r="S1038" s="316"/>
      <c r="T1038" s="355"/>
    </row>
    <row r="1039" spans="11:20" x14ac:dyDescent="0.25">
      <c r="K1039" s="312"/>
      <c r="N1039" s="514"/>
      <c r="R1039" s="293"/>
      <c r="S1039" s="316"/>
      <c r="T1039" s="355"/>
    </row>
    <row r="1040" spans="11:20" x14ac:dyDescent="0.25">
      <c r="K1040" s="312"/>
      <c r="N1040" s="514"/>
      <c r="R1040" s="293"/>
      <c r="S1040" s="316"/>
      <c r="T1040" s="355"/>
    </row>
    <row r="1041" spans="11:20" x14ac:dyDescent="0.25">
      <c r="K1041" s="312"/>
      <c r="N1041" s="514"/>
      <c r="R1041" s="293"/>
      <c r="S1041" s="316"/>
      <c r="T1041" s="355"/>
    </row>
    <row r="1042" spans="11:20" x14ac:dyDescent="0.25">
      <c r="K1042" s="312"/>
      <c r="N1042" s="514"/>
      <c r="R1042" s="293"/>
      <c r="S1042" s="316"/>
      <c r="T1042" s="355"/>
    </row>
    <row r="1043" spans="11:20" x14ac:dyDescent="0.25">
      <c r="K1043" s="312"/>
      <c r="N1043" s="514"/>
      <c r="R1043" s="293"/>
      <c r="S1043" s="316"/>
      <c r="T1043" s="355"/>
    </row>
    <row r="1044" spans="11:20" x14ac:dyDescent="0.25">
      <c r="K1044" s="312"/>
      <c r="N1044" s="514"/>
      <c r="R1044" s="293"/>
      <c r="S1044" s="316"/>
      <c r="T1044" s="355"/>
    </row>
    <row r="1045" spans="11:20" x14ac:dyDescent="0.25">
      <c r="K1045" s="312"/>
      <c r="N1045" s="514"/>
      <c r="R1045" s="293"/>
      <c r="S1045" s="316"/>
      <c r="T1045" s="355"/>
    </row>
    <row r="1046" spans="11:20" x14ac:dyDescent="0.25">
      <c r="K1046" s="312"/>
      <c r="N1046" s="514"/>
      <c r="R1046" s="293"/>
      <c r="S1046" s="316"/>
      <c r="T1046" s="355"/>
    </row>
    <row r="1047" spans="11:20" x14ac:dyDescent="0.25">
      <c r="K1047" s="312"/>
      <c r="N1047" s="514"/>
      <c r="R1047" s="293"/>
      <c r="S1047" s="316"/>
      <c r="T1047" s="355"/>
    </row>
    <row r="1048" spans="11:20" x14ac:dyDescent="0.25">
      <c r="K1048" s="312"/>
      <c r="N1048" s="514"/>
      <c r="R1048" s="293"/>
      <c r="S1048" s="316"/>
      <c r="T1048" s="355"/>
    </row>
    <row r="1049" spans="11:20" x14ac:dyDescent="0.25">
      <c r="K1049" s="312"/>
      <c r="N1049" s="514"/>
      <c r="R1049" s="293"/>
      <c r="S1049" s="316"/>
      <c r="T1049" s="355"/>
    </row>
    <row r="1050" spans="11:20" x14ac:dyDescent="0.25">
      <c r="K1050" s="312"/>
      <c r="N1050" s="514"/>
      <c r="R1050" s="293"/>
      <c r="S1050" s="316"/>
      <c r="T1050" s="355"/>
    </row>
    <row r="1051" spans="11:20" x14ac:dyDescent="0.25">
      <c r="K1051" s="312"/>
      <c r="N1051" s="514"/>
      <c r="R1051" s="293"/>
      <c r="S1051" s="316"/>
      <c r="T1051" s="355"/>
    </row>
    <row r="1052" spans="11:20" x14ac:dyDescent="0.25">
      <c r="K1052" s="312"/>
      <c r="N1052" s="514"/>
      <c r="R1052" s="293"/>
      <c r="S1052" s="316"/>
      <c r="T1052" s="355"/>
    </row>
    <row r="1053" spans="11:20" x14ac:dyDescent="0.25">
      <c r="K1053" s="312"/>
      <c r="N1053" s="514"/>
      <c r="R1053" s="293"/>
      <c r="S1053" s="316"/>
      <c r="T1053" s="355"/>
    </row>
    <row r="1054" spans="11:20" x14ac:dyDescent="0.25">
      <c r="K1054" s="312"/>
      <c r="N1054" s="514"/>
      <c r="R1054" s="293"/>
      <c r="S1054" s="316"/>
      <c r="T1054" s="355"/>
    </row>
    <row r="1055" spans="11:20" x14ac:dyDescent="0.25">
      <c r="K1055" s="312"/>
      <c r="N1055" s="514"/>
      <c r="R1055" s="293"/>
      <c r="S1055" s="316"/>
      <c r="T1055" s="355"/>
    </row>
    <row r="1056" spans="11:20" x14ac:dyDescent="0.25">
      <c r="K1056" s="312"/>
      <c r="N1056" s="514"/>
      <c r="R1056" s="293"/>
      <c r="S1056" s="316"/>
      <c r="T1056" s="355"/>
    </row>
    <row r="1057" spans="11:20" x14ac:dyDescent="0.25">
      <c r="K1057" s="312"/>
      <c r="N1057" s="514"/>
      <c r="R1057" s="293"/>
      <c r="S1057" s="316"/>
      <c r="T1057" s="355"/>
    </row>
    <row r="1058" spans="11:20" x14ac:dyDescent="0.25">
      <c r="K1058" s="312"/>
      <c r="N1058" s="514"/>
      <c r="R1058" s="293"/>
      <c r="S1058" s="316"/>
      <c r="T1058" s="355"/>
    </row>
    <row r="1059" spans="11:20" x14ac:dyDescent="0.25">
      <c r="K1059" s="312"/>
      <c r="N1059" s="514"/>
      <c r="R1059" s="293"/>
      <c r="S1059" s="316"/>
      <c r="T1059" s="355"/>
    </row>
    <row r="1060" spans="11:20" x14ac:dyDescent="0.25">
      <c r="K1060" s="312"/>
      <c r="N1060" s="514"/>
      <c r="R1060" s="293"/>
      <c r="S1060" s="316"/>
      <c r="T1060" s="355"/>
    </row>
    <row r="1061" spans="11:20" x14ac:dyDescent="0.25">
      <c r="K1061" s="312"/>
      <c r="N1061" s="514"/>
      <c r="R1061" s="293"/>
      <c r="S1061" s="316"/>
      <c r="T1061" s="355"/>
    </row>
    <row r="1062" spans="11:20" x14ac:dyDescent="0.25">
      <c r="K1062" s="312"/>
      <c r="N1062" s="514"/>
      <c r="R1062" s="293"/>
      <c r="S1062" s="316"/>
      <c r="T1062" s="355"/>
    </row>
    <row r="1063" spans="11:20" x14ac:dyDescent="0.25">
      <c r="K1063" s="312"/>
      <c r="N1063" s="514"/>
      <c r="R1063" s="293"/>
      <c r="S1063" s="316"/>
      <c r="T1063" s="355"/>
    </row>
    <row r="1064" spans="11:20" x14ac:dyDescent="0.25">
      <c r="K1064" s="312"/>
      <c r="N1064" s="514"/>
      <c r="R1064" s="293"/>
      <c r="S1064" s="316"/>
      <c r="T1064" s="355"/>
    </row>
    <row r="1065" spans="11:20" x14ac:dyDescent="0.25">
      <c r="K1065" s="312"/>
      <c r="N1065" s="514"/>
      <c r="R1065" s="293"/>
      <c r="S1065" s="316"/>
      <c r="T1065" s="355"/>
    </row>
    <row r="1066" spans="11:20" x14ac:dyDescent="0.25">
      <c r="K1066" s="312"/>
      <c r="N1066" s="514"/>
      <c r="R1066" s="293"/>
      <c r="S1066" s="316"/>
      <c r="T1066" s="355"/>
    </row>
    <row r="1067" spans="11:20" x14ac:dyDescent="0.25">
      <c r="K1067" s="312"/>
      <c r="N1067" s="514"/>
      <c r="R1067" s="293"/>
      <c r="S1067" s="316"/>
      <c r="T1067" s="355"/>
    </row>
    <row r="1068" spans="11:20" x14ac:dyDescent="0.25">
      <c r="K1068" s="312"/>
      <c r="N1068" s="514"/>
      <c r="R1068" s="293"/>
      <c r="S1068" s="316"/>
      <c r="T1068" s="355"/>
    </row>
    <row r="1069" spans="11:20" x14ac:dyDescent="0.25">
      <c r="K1069" s="312"/>
      <c r="N1069" s="514"/>
      <c r="R1069" s="293"/>
      <c r="S1069" s="316"/>
      <c r="T1069" s="355"/>
    </row>
    <row r="1070" spans="11:20" x14ac:dyDescent="0.25">
      <c r="K1070" s="312"/>
      <c r="N1070" s="514"/>
      <c r="R1070" s="293"/>
      <c r="S1070" s="316"/>
      <c r="T1070" s="355"/>
    </row>
    <row r="1071" spans="11:20" x14ac:dyDescent="0.25">
      <c r="K1071" s="312"/>
      <c r="N1071" s="514"/>
      <c r="R1071" s="293"/>
      <c r="S1071" s="316"/>
      <c r="T1071" s="355"/>
    </row>
    <row r="1072" spans="11:20" x14ac:dyDescent="0.25">
      <c r="K1072" s="312"/>
      <c r="N1072" s="514"/>
      <c r="R1072" s="293"/>
      <c r="S1072" s="316"/>
      <c r="T1072" s="355"/>
    </row>
    <row r="1073" spans="11:20" x14ac:dyDescent="0.25">
      <c r="K1073" s="312"/>
      <c r="N1073" s="514"/>
      <c r="R1073" s="293"/>
      <c r="S1073" s="316"/>
      <c r="T1073" s="355"/>
    </row>
    <row r="1074" spans="11:20" x14ac:dyDescent="0.25">
      <c r="K1074" s="312"/>
      <c r="N1074" s="514"/>
      <c r="R1074" s="293"/>
      <c r="S1074" s="316"/>
      <c r="T1074" s="355"/>
    </row>
    <row r="1075" spans="11:20" x14ac:dyDescent="0.25">
      <c r="K1075" s="312"/>
      <c r="N1075" s="514"/>
      <c r="R1075" s="293"/>
      <c r="S1075" s="316"/>
      <c r="T1075" s="355"/>
    </row>
    <row r="1076" spans="11:20" x14ac:dyDescent="0.25">
      <c r="K1076" s="312"/>
      <c r="N1076" s="514"/>
      <c r="R1076" s="293"/>
      <c r="S1076" s="316"/>
      <c r="T1076" s="355"/>
    </row>
    <row r="1077" spans="11:20" x14ac:dyDescent="0.25">
      <c r="K1077" s="312"/>
      <c r="N1077" s="514"/>
      <c r="R1077" s="293"/>
      <c r="S1077" s="316"/>
      <c r="T1077" s="355"/>
    </row>
    <row r="1078" spans="11:20" x14ac:dyDescent="0.25">
      <c r="K1078" s="312"/>
      <c r="N1078" s="514"/>
      <c r="R1078" s="293"/>
      <c r="S1078" s="316"/>
      <c r="T1078" s="355"/>
    </row>
    <row r="1079" spans="11:20" x14ac:dyDescent="0.25">
      <c r="K1079" s="312"/>
      <c r="N1079" s="514"/>
      <c r="R1079" s="293"/>
      <c r="S1079" s="316"/>
      <c r="T1079" s="355"/>
    </row>
    <row r="1080" spans="11:20" x14ac:dyDescent="0.25">
      <c r="K1080" s="312"/>
      <c r="N1080" s="514"/>
      <c r="R1080" s="293"/>
      <c r="S1080" s="316"/>
      <c r="T1080" s="355"/>
    </row>
    <row r="1081" spans="11:20" x14ac:dyDescent="0.25">
      <c r="K1081" s="312"/>
      <c r="N1081" s="514"/>
      <c r="R1081" s="293"/>
      <c r="S1081" s="316"/>
      <c r="T1081" s="355"/>
    </row>
    <row r="1082" spans="11:20" x14ac:dyDescent="0.25">
      <c r="K1082" s="312"/>
      <c r="N1082" s="514"/>
      <c r="R1082" s="293"/>
      <c r="S1082" s="316"/>
      <c r="T1082" s="355"/>
    </row>
    <row r="1083" spans="11:20" x14ac:dyDescent="0.25">
      <c r="K1083" s="312"/>
      <c r="N1083" s="514"/>
      <c r="R1083" s="293"/>
      <c r="S1083" s="316"/>
      <c r="T1083" s="355"/>
    </row>
    <row r="1084" spans="11:20" x14ac:dyDescent="0.25">
      <c r="K1084" s="312"/>
      <c r="N1084" s="514"/>
      <c r="R1084" s="293"/>
      <c r="S1084" s="316"/>
      <c r="T1084" s="355"/>
    </row>
    <row r="1085" spans="11:20" x14ac:dyDescent="0.25">
      <c r="K1085" s="312"/>
      <c r="N1085" s="514"/>
      <c r="R1085" s="293"/>
      <c r="S1085" s="316"/>
      <c r="T1085" s="355"/>
    </row>
    <row r="1086" spans="11:20" x14ac:dyDescent="0.25">
      <c r="K1086" s="312"/>
      <c r="N1086" s="514"/>
      <c r="R1086" s="293"/>
      <c r="S1086" s="316"/>
      <c r="T1086" s="355"/>
    </row>
    <row r="1087" spans="11:20" x14ac:dyDescent="0.25">
      <c r="K1087" s="312"/>
      <c r="N1087" s="514"/>
      <c r="R1087" s="293"/>
      <c r="S1087" s="316"/>
      <c r="T1087" s="355"/>
    </row>
    <row r="1088" spans="11:20" x14ac:dyDescent="0.25">
      <c r="K1088" s="312"/>
      <c r="N1088" s="514"/>
      <c r="R1088" s="293"/>
      <c r="S1088" s="316"/>
      <c r="T1088" s="355"/>
    </row>
    <row r="1089" spans="11:20" x14ac:dyDescent="0.25">
      <c r="K1089" s="312"/>
      <c r="N1089" s="514"/>
      <c r="R1089" s="293"/>
      <c r="S1089" s="316"/>
      <c r="T1089" s="355"/>
    </row>
    <row r="1090" spans="11:20" x14ac:dyDescent="0.25">
      <c r="K1090" s="312"/>
      <c r="N1090" s="514"/>
      <c r="R1090" s="293"/>
      <c r="S1090" s="316"/>
      <c r="T1090" s="355"/>
    </row>
    <row r="1091" spans="11:20" x14ac:dyDescent="0.25">
      <c r="K1091" s="312"/>
      <c r="N1091" s="514"/>
      <c r="R1091" s="293"/>
      <c r="S1091" s="316"/>
      <c r="T1091" s="355"/>
    </row>
    <row r="1092" spans="11:20" x14ac:dyDescent="0.25">
      <c r="K1092" s="312"/>
      <c r="N1092" s="514"/>
      <c r="R1092" s="293"/>
      <c r="S1092" s="316"/>
      <c r="T1092" s="355"/>
    </row>
    <row r="1093" spans="11:20" x14ac:dyDescent="0.25">
      <c r="K1093" s="312"/>
      <c r="N1093" s="514"/>
      <c r="R1093" s="293"/>
      <c r="S1093" s="316"/>
      <c r="T1093" s="355"/>
    </row>
    <row r="1094" spans="11:20" x14ac:dyDescent="0.25">
      <c r="K1094" s="312"/>
      <c r="N1094" s="514"/>
      <c r="R1094" s="293"/>
      <c r="S1094" s="316"/>
      <c r="T1094" s="355"/>
    </row>
    <row r="1095" spans="11:20" x14ac:dyDescent="0.25">
      <c r="K1095" s="312"/>
      <c r="N1095" s="514"/>
      <c r="R1095" s="293"/>
      <c r="S1095" s="316"/>
      <c r="T1095" s="355"/>
    </row>
    <row r="1096" spans="11:20" x14ac:dyDescent="0.25">
      <c r="K1096" s="312"/>
      <c r="N1096" s="514"/>
      <c r="R1096" s="293"/>
      <c r="S1096" s="316"/>
      <c r="T1096" s="355"/>
    </row>
    <row r="1097" spans="11:20" x14ac:dyDescent="0.25">
      <c r="K1097" s="312"/>
      <c r="N1097" s="514"/>
      <c r="R1097" s="293"/>
      <c r="S1097" s="316"/>
      <c r="T1097" s="355"/>
    </row>
    <row r="1098" spans="11:20" x14ac:dyDescent="0.25">
      <c r="K1098" s="312"/>
      <c r="N1098" s="514"/>
      <c r="R1098" s="293"/>
      <c r="S1098" s="316"/>
      <c r="T1098" s="355"/>
    </row>
    <row r="1099" spans="11:20" x14ac:dyDescent="0.25">
      <c r="K1099" s="312"/>
      <c r="N1099" s="514"/>
      <c r="R1099" s="293"/>
      <c r="S1099" s="316"/>
      <c r="T1099" s="355"/>
    </row>
    <row r="1100" spans="11:20" x14ac:dyDescent="0.25">
      <c r="K1100" s="312"/>
      <c r="N1100" s="514"/>
      <c r="R1100" s="293"/>
      <c r="S1100" s="316"/>
      <c r="T1100" s="355"/>
    </row>
    <row r="1101" spans="11:20" x14ac:dyDescent="0.25">
      <c r="K1101" s="312"/>
      <c r="N1101" s="514"/>
      <c r="R1101" s="293"/>
      <c r="S1101" s="316"/>
      <c r="T1101" s="355"/>
    </row>
    <row r="1102" spans="11:20" x14ac:dyDescent="0.25">
      <c r="K1102" s="312"/>
      <c r="N1102" s="514"/>
      <c r="R1102" s="293"/>
      <c r="S1102" s="316"/>
      <c r="T1102" s="355"/>
    </row>
    <row r="1103" spans="11:20" x14ac:dyDescent="0.25">
      <c r="K1103" s="312"/>
      <c r="N1103" s="514"/>
      <c r="R1103" s="293"/>
      <c r="S1103" s="316"/>
      <c r="T1103" s="355"/>
    </row>
    <row r="1104" spans="11:20" x14ac:dyDescent="0.25">
      <c r="K1104" s="312"/>
      <c r="N1104" s="514"/>
      <c r="R1104" s="293"/>
      <c r="S1104" s="316"/>
      <c r="T1104" s="355"/>
    </row>
    <row r="1105" spans="11:20" x14ac:dyDescent="0.25">
      <c r="K1105" s="312"/>
      <c r="N1105" s="514"/>
      <c r="R1105" s="293"/>
      <c r="S1105" s="316"/>
      <c r="T1105" s="355"/>
    </row>
    <row r="1106" spans="11:20" x14ac:dyDescent="0.25">
      <c r="K1106" s="312"/>
      <c r="N1106" s="514"/>
      <c r="R1106" s="293"/>
      <c r="S1106" s="316"/>
      <c r="T1106" s="355"/>
    </row>
    <row r="1107" spans="11:20" x14ac:dyDescent="0.25">
      <c r="K1107" s="312"/>
      <c r="N1107" s="514"/>
      <c r="R1107" s="293"/>
      <c r="S1107" s="316"/>
      <c r="T1107" s="355"/>
    </row>
    <row r="1108" spans="11:20" x14ac:dyDescent="0.25">
      <c r="K1108" s="312"/>
      <c r="N1108" s="514"/>
      <c r="R1108" s="293"/>
      <c r="S1108" s="316"/>
      <c r="T1108" s="355"/>
    </row>
    <row r="1109" spans="11:20" x14ac:dyDescent="0.25">
      <c r="K1109" s="312"/>
      <c r="N1109" s="514"/>
      <c r="R1109" s="293"/>
      <c r="S1109" s="316"/>
      <c r="T1109" s="355"/>
    </row>
    <row r="1110" spans="11:20" x14ac:dyDescent="0.25">
      <c r="K1110" s="312"/>
      <c r="N1110" s="514"/>
      <c r="R1110" s="293"/>
      <c r="S1110" s="316"/>
      <c r="T1110" s="355"/>
    </row>
    <row r="1111" spans="11:20" x14ac:dyDescent="0.25">
      <c r="K1111" s="312"/>
      <c r="N1111" s="514"/>
      <c r="R1111" s="293"/>
      <c r="S1111" s="316"/>
      <c r="T1111" s="355"/>
    </row>
    <row r="1112" spans="11:20" x14ac:dyDescent="0.25">
      <c r="K1112" s="312"/>
      <c r="N1112" s="514"/>
      <c r="R1112" s="293"/>
      <c r="S1112" s="316"/>
      <c r="T1112" s="355"/>
    </row>
    <row r="1113" spans="11:20" x14ac:dyDescent="0.25">
      <c r="K1113" s="312"/>
      <c r="N1113" s="514"/>
      <c r="R1113" s="293"/>
      <c r="S1113" s="316"/>
      <c r="T1113" s="355"/>
    </row>
    <row r="1114" spans="11:20" x14ac:dyDescent="0.25">
      <c r="K1114" s="312"/>
      <c r="N1114" s="514"/>
      <c r="R1114" s="293"/>
      <c r="S1114" s="316"/>
      <c r="T1114" s="355"/>
    </row>
    <row r="1115" spans="11:20" x14ac:dyDescent="0.25">
      <c r="K1115" s="312"/>
      <c r="N1115" s="514"/>
      <c r="R1115" s="293"/>
      <c r="S1115" s="316"/>
      <c r="T1115" s="355"/>
    </row>
    <row r="1116" spans="11:20" x14ac:dyDescent="0.25">
      <c r="K1116" s="312"/>
      <c r="N1116" s="514"/>
      <c r="R1116" s="293"/>
      <c r="S1116" s="316"/>
      <c r="T1116" s="355"/>
    </row>
    <row r="1117" spans="11:20" x14ac:dyDescent="0.25">
      <c r="K1117" s="312"/>
      <c r="N1117" s="514"/>
      <c r="R1117" s="293"/>
      <c r="S1117" s="316"/>
      <c r="T1117" s="355"/>
    </row>
    <row r="1118" spans="11:20" x14ac:dyDescent="0.25">
      <c r="K1118" s="312"/>
      <c r="N1118" s="514"/>
      <c r="R1118" s="293"/>
      <c r="S1118" s="316"/>
      <c r="T1118" s="355"/>
    </row>
    <row r="1119" spans="11:20" x14ac:dyDescent="0.25">
      <c r="K1119" s="312"/>
      <c r="N1119" s="514"/>
      <c r="R1119" s="293"/>
      <c r="S1119" s="316"/>
      <c r="T1119" s="355"/>
    </row>
    <row r="1120" spans="11:20" x14ac:dyDescent="0.25">
      <c r="K1120" s="312"/>
      <c r="N1120" s="514"/>
      <c r="R1120" s="293"/>
      <c r="S1120" s="316"/>
      <c r="T1120" s="355"/>
    </row>
    <row r="1121" spans="11:20" x14ac:dyDescent="0.25">
      <c r="K1121" s="312"/>
      <c r="N1121" s="514"/>
      <c r="R1121" s="293"/>
      <c r="S1121" s="316"/>
      <c r="T1121" s="355"/>
    </row>
    <row r="1122" spans="11:20" x14ac:dyDescent="0.25">
      <c r="K1122" s="312"/>
      <c r="N1122" s="514"/>
      <c r="R1122" s="293"/>
      <c r="S1122" s="316"/>
      <c r="T1122" s="355"/>
    </row>
    <row r="1123" spans="11:20" x14ac:dyDescent="0.25">
      <c r="K1123" s="312"/>
      <c r="N1123" s="514"/>
      <c r="R1123" s="293"/>
      <c r="S1123" s="316"/>
      <c r="T1123" s="355"/>
    </row>
    <row r="1124" spans="11:20" x14ac:dyDescent="0.25">
      <c r="K1124" s="312"/>
      <c r="N1124" s="514"/>
      <c r="R1124" s="293"/>
      <c r="S1124" s="316"/>
      <c r="T1124" s="355"/>
    </row>
    <row r="1125" spans="11:20" x14ac:dyDescent="0.25">
      <c r="K1125" s="312"/>
      <c r="N1125" s="514"/>
      <c r="R1125" s="293"/>
      <c r="S1125" s="316"/>
      <c r="T1125" s="355"/>
    </row>
    <row r="1126" spans="11:20" x14ac:dyDescent="0.25">
      <c r="K1126" s="312"/>
      <c r="N1126" s="514"/>
      <c r="R1126" s="293"/>
      <c r="S1126" s="316"/>
      <c r="T1126" s="355"/>
    </row>
    <row r="1127" spans="11:20" x14ac:dyDescent="0.25">
      <c r="K1127" s="312"/>
      <c r="N1127" s="514"/>
      <c r="R1127" s="293"/>
      <c r="S1127" s="316"/>
      <c r="T1127" s="355"/>
    </row>
    <row r="1128" spans="11:20" x14ac:dyDescent="0.25">
      <c r="K1128" s="312"/>
      <c r="N1128" s="514"/>
      <c r="R1128" s="293"/>
      <c r="S1128" s="316"/>
      <c r="T1128" s="355"/>
    </row>
    <row r="1129" spans="11:20" x14ac:dyDescent="0.25">
      <c r="K1129" s="312"/>
      <c r="N1129" s="514"/>
      <c r="R1129" s="293"/>
      <c r="S1129" s="316"/>
      <c r="T1129" s="355"/>
    </row>
    <row r="1130" spans="11:20" x14ac:dyDescent="0.25">
      <c r="K1130" s="312"/>
      <c r="N1130" s="514"/>
      <c r="R1130" s="293"/>
      <c r="S1130" s="316"/>
      <c r="T1130" s="355"/>
    </row>
    <row r="1131" spans="11:20" x14ac:dyDescent="0.25">
      <c r="K1131" s="312"/>
      <c r="N1131" s="514"/>
      <c r="R1131" s="293"/>
      <c r="S1131" s="316"/>
      <c r="T1131" s="355"/>
    </row>
    <row r="1132" spans="11:20" x14ac:dyDescent="0.25">
      <c r="K1132" s="312"/>
      <c r="N1132" s="514"/>
      <c r="R1132" s="293"/>
      <c r="S1132" s="316"/>
      <c r="T1132" s="355"/>
    </row>
    <row r="1133" spans="11:20" x14ac:dyDescent="0.25">
      <c r="K1133" s="312"/>
      <c r="N1133" s="514"/>
      <c r="R1133" s="293"/>
      <c r="S1133" s="316"/>
      <c r="T1133" s="355"/>
    </row>
    <row r="1134" spans="11:20" x14ac:dyDescent="0.25">
      <c r="K1134" s="312"/>
      <c r="N1134" s="514"/>
      <c r="R1134" s="293"/>
      <c r="S1134" s="316"/>
      <c r="T1134" s="355"/>
    </row>
    <row r="1135" spans="11:20" x14ac:dyDescent="0.25">
      <c r="K1135" s="312"/>
      <c r="N1135" s="514"/>
      <c r="R1135" s="293"/>
      <c r="S1135" s="316"/>
      <c r="T1135" s="355"/>
    </row>
    <row r="1136" spans="11:20" x14ac:dyDescent="0.25">
      <c r="K1136" s="312"/>
      <c r="N1136" s="514"/>
      <c r="R1136" s="293"/>
      <c r="S1136" s="316"/>
      <c r="T1136" s="355"/>
    </row>
    <row r="1137" spans="11:20" x14ac:dyDescent="0.25">
      <c r="K1137" s="312"/>
      <c r="N1137" s="514"/>
      <c r="R1137" s="293"/>
      <c r="S1137" s="316"/>
      <c r="T1137" s="355"/>
    </row>
    <row r="1138" spans="11:20" x14ac:dyDescent="0.25">
      <c r="K1138" s="312"/>
      <c r="N1138" s="514"/>
      <c r="R1138" s="293"/>
      <c r="S1138" s="316"/>
      <c r="T1138" s="355"/>
    </row>
    <row r="1139" spans="11:20" x14ac:dyDescent="0.25">
      <c r="K1139" s="312"/>
      <c r="N1139" s="514"/>
      <c r="R1139" s="293"/>
      <c r="S1139" s="316"/>
      <c r="T1139" s="355"/>
    </row>
    <row r="1140" spans="11:20" x14ac:dyDescent="0.25">
      <c r="K1140" s="312"/>
      <c r="N1140" s="514"/>
      <c r="R1140" s="293"/>
      <c r="S1140" s="316"/>
      <c r="T1140" s="355"/>
    </row>
    <row r="1141" spans="11:20" x14ac:dyDescent="0.25">
      <c r="K1141" s="312"/>
      <c r="N1141" s="514"/>
      <c r="R1141" s="293"/>
      <c r="S1141" s="316"/>
      <c r="T1141" s="355"/>
    </row>
    <row r="1142" spans="11:20" x14ac:dyDescent="0.25">
      <c r="K1142" s="312"/>
      <c r="N1142" s="514"/>
      <c r="R1142" s="293"/>
      <c r="S1142" s="316"/>
      <c r="T1142" s="355"/>
    </row>
    <row r="1143" spans="11:20" x14ac:dyDescent="0.25">
      <c r="K1143" s="312"/>
      <c r="N1143" s="514"/>
      <c r="R1143" s="293"/>
      <c r="S1143" s="316"/>
      <c r="T1143" s="355"/>
    </row>
    <row r="1144" spans="11:20" x14ac:dyDescent="0.25">
      <c r="K1144" s="312"/>
      <c r="N1144" s="514"/>
      <c r="R1144" s="293"/>
      <c r="S1144" s="316"/>
      <c r="T1144" s="355"/>
    </row>
    <row r="1145" spans="11:20" x14ac:dyDescent="0.25">
      <c r="K1145" s="312"/>
      <c r="N1145" s="514"/>
      <c r="R1145" s="293"/>
      <c r="S1145" s="316"/>
      <c r="T1145" s="355"/>
    </row>
    <row r="1146" spans="11:20" x14ac:dyDescent="0.25">
      <c r="K1146" s="312"/>
      <c r="N1146" s="514"/>
      <c r="R1146" s="293"/>
      <c r="S1146" s="316"/>
      <c r="T1146" s="355"/>
    </row>
    <row r="1147" spans="11:20" x14ac:dyDescent="0.25">
      <c r="K1147" s="312"/>
      <c r="N1147" s="514"/>
      <c r="R1147" s="293"/>
      <c r="S1147" s="316"/>
      <c r="T1147" s="355"/>
    </row>
    <row r="1148" spans="11:20" x14ac:dyDescent="0.25">
      <c r="K1148" s="312"/>
      <c r="N1148" s="514"/>
      <c r="R1148" s="293"/>
      <c r="S1148" s="316"/>
      <c r="T1148" s="355"/>
    </row>
    <row r="1149" spans="11:20" x14ac:dyDescent="0.25">
      <c r="K1149" s="312"/>
      <c r="N1149" s="514"/>
      <c r="R1149" s="293"/>
      <c r="S1149" s="316"/>
      <c r="T1149" s="355"/>
    </row>
    <row r="1150" spans="11:20" x14ac:dyDescent="0.25">
      <c r="K1150" s="312"/>
      <c r="N1150" s="514"/>
      <c r="R1150" s="293"/>
      <c r="S1150" s="316"/>
      <c r="T1150" s="355"/>
    </row>
    <row r="1151" spans="11:20" x14ac:dyDescent="0.25">
      <c r="K1151" s="312"/>
      <c r="N1151" s="514"/>
      <c r="R1151" s="293"/>
      <c r="S1151" s="316"/>
      <c r="T1151" s="355"/>
    </row>
    <row r="1152" spans="11:20" x14ac:dyDescent="0.25">
      <c r="K1152" s="312"/>
      <c r="N1152" s="514"/>
      <c r="R1152" s="293"/>
      <c r="S1152" s="316"/>
      <c r="T1152" s="355"/>
    </row>
    <row r="1153" spans="11:20" x14ac:dyDescent="0.25">
      <c r="K1153" s="312"/>
      <c r="N1153" s="514"/>
      <c r="R1153" s="293"/>
      <c r="S1153" s="316"/>
      <c r="T1153" s="355"/>
    </row>
    <row r="1154" spans="11:20" x14ac:dyDescent="0.25">
      <c r="K1154" s="312"/>
      <c r="N1154" s="514"/>
      <c r="R1154" s="293"/>
      <c r="S1154" s="316"/>
      <c r="T1154" s="355"/>
    </row>
    <row r="1155" spans="11:20" x14ac:dyDescent="0.25">
      <c r="K1155" s="312"/>
      <c r="N1155" s="514"/>
      <c r="R1155" s="293"/>
      <c r="S1155" s="316"/>
      <c r="T1155" s="355"/>
    </row>
    <row r="1156" spans="11:20" x14ac:dyDescent="0.25">
      <c r="K1156" s="312"/>
      <c r="N1156" s="514"/>
      <c r="R1156" s="293"/>
      <c r="S1156" s="316"/>
      <c r="T1156" s="355"/>
    </row>
    <row r="1157" spans="11:20" x14ac:dyDescent="0.25">
      <c r="K1157" s="312"/>
      <c r="N1157" s="514"/>
      <c r="R1157" s="293"/>
      <c r="S1157" s="316"/>
      <c r="T1157" s="355"/>
    </row>
    <row r="1158" spans="11:20" x14ac:dyDescent="0.25">
      <c r="K1158" s="312"/>
      <c r="N1158" s="514"/>
      <c r="R1158" s="293"/>
      <c r="S1158" s="316"/>
      <c r="T1158" s="355"/>
    </row>
    <row r="1159" spans="11:20" x14ac:dyDescent="0.25">
      <c r="K1159" s="312"/>
      <c r="N1159" s="514"/>
      <c r="R1159" s="293"/>
      <c r="S1159" s="316"/>
      <c r="T1159" s="355"/>
    </row>
    <row r="1160" spans="11:20" x14ac:dyDescent="0.25">
      <c r="K1160" s="312"/>
      <c r="N1160" s="514"/>
      <c r="R1160" s="293"/>
      <c r="S1160" s="316"/>
      <c r="T1160" s="355"/>
    </row>
    <row r="1161" spans="11:20" x14ac:dyDescent="0.25">
      <c r="K1161" s="312"/>
      <c r="N1161" s="514"/>
      <c r="R1161" s="293"/>
      <c r="S1161" s="316"/>
      <c r="T1161" s="355"/>
    </row>
    <row r="1162" spans="11:20" x14ac:dyDescent="0.25">
      <c r="K1162" s="312"/>
      <c r="N1162" s="514"/>
      <c r="R1162" s="293"/>
      <c r="S1162" s="316"/>
      <c r="T1162" s="355"/>
    </row>
    <row r="1163" spans="11:20" x14ac:dyDescent="0.25">
      <c r="K1163" s="312"/>
      <c r="N1163" s="514"/>
      <c r="R1163" s="293"/>
      <c r="S1163" s="316"/>
      <c r="T1163" s="355"/>
    </row>
    <row r="1164" spans="11:20" x14ac:dyDescent="0.25">
      <c r="K1164" s="312"/>
      <c r="N1164" s="514"/>
      <c r="R1164" s="293"/>
      <c r="S1164" s="316"/>
      <c r="T1164" s="355"/>
    </row>
    <row r="1165" spans="11:20" x14ac:dyDescent="0.25">
      <c r="K1165" s="312"/>
      <c r="N1165" s="514"/>
      <c r="R1165" s="293"/>
      <c r="S1165" s="316"/>
      <c r="T1165" s="355"/>
    </row>
    <row r="1166" spans="11:20" x14ac:dyDescent="0.25">
      <c r="K1166" s="312"/>
      <c r="N1166" s="514"/>
      <c r="R1166" s="293"/>
      <c r="S1166" s="316"/>
      <c r="T1166" s="355"/>
    </row>
    <row r="1167" spans="11:20" x14ac:dyDescent="0.25">
      <c r="K1167" s="312"/>
      <c r="N1167" s="514"/>
      <c r="R1167" s="293"/>
      <c r="S1167" s="316"/>
      <c r="T1167" s="355"/>
    </row>
    <row r="1168" spans="11:20" x14ac:dyDescent="0.25">
      <c r="K1168" s="312"/>
      <c r="N1168" s="514"/>
      <c r="R1168" s="293"/>
      <c r="S1168" s="316"/>
      <c r="T1168" s="355"/>
    </row>
    <row r="1169" spans="11:20" x14ac:dyDescent="0.25">
      <c r="K1169" s="312"/>
      <c r="N1169" s="514"/>
      <c r="R1169" s="293"/>
      <c r="S1169" s="316"/>
      <c r="T1169" s="355"/>
    </row>
    <row r="1170" spans="11:20" x14ac:dyDescent="0.25">
      <c r="K1170" s="312"/>
      <c r="N1170" s="514"/>
      <c r="R1170" s="293"/>
      <c r="S1170" s="316"/>
      <c r="T1170" s="355"/>
    </row>
    <row r="1171" spans="11:20" x14ac:dyDescent="0.25">
      <c r="K1171" s="312"/>
      <c r="N1171" s="514"/>
      <c r="R1171" s="293"/>
      <c r="S1171" s="316"/>
      <c r="T1171" s="355"/>
    </row>
    <row r="1172" spans="11:20" x14ac:dyDescent="0.25">
      <c r="K1172" s="312"/>
      <c r="N1172" s="514"/>
      <c r="R1172" s="293"/>
      <c r="S1172" s="316"/>
      <c r="T1172" s="355"/>
    </row>
    <row r="1173" spans="11:20" x14ac:dyDescent="0.25">
      <c r="K1173" s="312"/>
      <c r="N1173" s="514"/>
      <c r="R1173" s="293"/>
      <c r="S1173" s="316"/>
      <c r="T1173" s="355"/>
    </row>
    <row r="1174" spans="11:20" x14ac:dyDescent="0.25">
      <c r="K1174" s="312"/>
      <c r="N1174" s="514"/>
      <c r="R1174" s="293"/>
      <c r="S1174" s="316"/>
      <c r="T1174" s="355"/>
    </row>
    <row r="1175" spans="11:20" x14ac:dyDescent="0.25">
      <c r="K1175" s="312"/>
      <c r="N1175" s="514"/>
      <c r="R1175" s="293"/>
      <c r="S1175" s="316"/>
      <c r="T1175" s="355"/>
    </row>
    <row r="1176" spans="11:20" x14ac:dyDescent="0.25">
      <c r="K1176" s="312"/>
      <c r="N1176" s="514"/>
      <c r="R1176" s="293"/>
      <c r="S1176" s="316"/>
      <c r="T1176" s="355"/>
    </row>
    <row r="1177" spans="11:20" x14ac:dyDescent="0.25">
      <c r="K1177" s="312"/>
      <c r="N1177" s="514"/>
      <c r="R1177" s="293"/>
      <c r="S1177" s="316"/>
      <c r="T1177" s="355"/>
    </row>
    <row r="1178" spans="11:20" x14ac:dyDescent="0.25">
      <c r="K1178" s="312"/>
      <c r="N1178" s="514"/>
      <c r="R1178" s="293"/>
      <c r="S1178" s="316"/>
      <c r="T1178" s="355"/>
    </row>
    <row r="1179" spans="11:20" x14ac:dyDescent="0.25">
      <c r="K1179" s="312"/>
      <c r="N1179" s="514"/>
      <c r="R1179" s="293"/>
      <c r="S1179" s="316"/>
      <c r="T1179" s="355"/>
    </row>
    <row r="1180" spans="11:20" x14ac:dyDescent="0.25">
      <c r="K1180" s="312"/>
      <c r="N1180" s="514"/>
      <c r="R1180" s="293"/>
      <c r="S1180" s="316"/>
      <c r="T1180" s="355"/>
    </row>
    <row r="1181" spans="11:20" x14ac:dyDescent="0.25">
      <c r="K1181" s="312"/>
      <c r="N1181" s="514"/>
      <c r="R1181" s="293"/>
      <c r="S1181" s="316"/>
      <c r="T1181" s="355"/>
    </row>
    <row r="1182" spans="11:20" x14ac:dyDescent="0.25">
      <c r="K1182" s="312"/>
      <c r="N1182" s="514"/>
      <c r="R1182" s="293"/>
      <c r="S1182" s="316"/>
      <c r="T1182" s="355"/>
    </row>
    <row r="1183" spans="11:20" x14ac:dyDescent="0.25">
      <c r="K1183" s="312"/>
      <c r="N1183" s="514"/>
      <c r="R1183" s="293"/>
      <c r="S1183" s="316"/>
      <c r="T1183" s="355"/>
    </row>
    <row r="1184" spans="11:20" x14ac:dyDescent="0.25">
      <c r="K1184" s="312"/>
      <c r="N1184" s="514"/>
      <c r="R1184" s="293"/>
      <c r="S1184" s="316"/>
      <c r="T1184" s="355"/>
    </row>
    <row r="1185" spans="11:20" x14ac:dyDescent="0.25">
      <c r="K1185" s="312"/>
      <c r="N1185" s="514"/>
      <c r="R1185" s="293"/>
      <c r="S1185" s="316"/>
      <c r="T1185" s="355"/>
    </row>
    <row r="1186" spans="11:20" x14ac:dyDescent="0.25">
      <c r="K1186" s="312"/>
      <c r="N1186" s="514"/>
      <c r="R1186" s="293"/>
      <c r="S1186" s="316"/>
      <c r="T1186" s="355"/>
    </row>
    <row r="1187" spans="11:20" x14ac:dyDescent="0.25">
      <c r="K1187" s="312"/>
      <c r="N1187" s="514"/>
      <c r="R1187" s="293"/>
      <c r="S1187" s="316"/>
      <c r="T1187" s="355"/>
    </row>
    <row r="1188" spans="11:20" x14ac:dyDescent="0.25">
      <c r="K1188" s="312"/>
      <c r="N1188" s="514"/>
      <c r="R1188" s="293"/>
      <c r="S1188" s="316"/>
      <c r="T1188" s="355"/>
    </row>
    <row r="1189" spans="11:20" x14ac:dyDescent="0.25">
      <c r="K1189" s="312"/>
      <c r="N1189" s="514"/>
      <c r="R1189" s="293"/>
      <c r="S1189" s="316"/>
      <c r="T1189" s="355"/>
    </row>
    <row r="1190" spans="11:20" x14ac:dyDescent="0.25">
      <c r="K1190" s="312"/>
      <c r="N1190" s="514"/>
      <c r="R1190" s="293"/>
      <c r="S1190" s="316"/>
      <c r="T1190" s="355"/>
    </row>
    <row r="1191" spans="11:20" x14ac:dyDescent="0.25">
      <c r="K1191" s="312"/>
      <c r="N1191" s="514"/>
      <c r="R1191" s="293"/>
      <c r="S1191" s="316"/>
      <c r="T1191" s="355"/>
    </row>
    <row r="1192" spans="11:20" x14ac:dyDescent="0.25">
      <c r="K1192" s="312"/>
      <c r="N1192" s="514"/>
      <c r="R1192" s="293"/>
      <c r="S1192" s="316"/>
      <c r="T1192" s="355"/>
    </row>
    <row r="1193" spans="11:20" x14ac:dyDescent="0.25">
      <c r="K1193" s="312"/>
      <c r="N1193" s="514"/>
      <c r="R1193" s="293"/>
      <c r="S1193" s="316"/>
      <c r="T1193" s="355"/>
    </row>
    <row r="1194" spans="11:20" x14ac:dyDescent="0.25">
      <c r="K1194" s="312"/>
      <c r="N1194" s="514"/>
      <c r="R1194" s="293"/>
      <c r="S1194" s="316"/>
      <c r="T1194" s="355"/>
    </row>
    <row r="1195" spans="11:20" x14ac:dyDescent="0.25">
      <c r="K1195" s="312"/>
      <c r="N1195" s="514"/>
      <c r="R1195" s="293"/>
      <c r="S1195" s="316"/>
      <c r="T1195" s="355"/>
    </row>
    <row r="1196" spans="11:20" x14ac:dyDescent="0.25">
      <c r="K1196" s="312"/>
      <c r="N1196" s="514"/>
      <c r="R1196" s="293"/>
      <c r="S1196" s="316"/>
      <c r="T1196" s="355"/>
    </row>
    <row r="1197" spans="11:20" x14ac:dyDescent="0.25">
      <c r="K1197" s="312"/>
      <c r="N1197" s="514"/>
      <c r="R1197" s="293"/>
      <c r="S1197" s="316"/>
      <c r="T1197" s="355"/>
    </row>
    <row r="1198" spans="11:20" x14ac:dyDescent="0.25">
      <c r="K1198" s="312"/>
      <c r="N1198" s="514"/>
      <c r="R1198" s="293"/>
      <c r="S1198" s="316"/>
      <c r="T1198" s="355"/>
    </row>
    <row r="1199" spans="11:20" x14ac:dyDescent="0.25">
      <c r="K1199" s="312"/>
      <c r="N1199" s="514"/>
      <c r="R1199" s="293"/>
      <c r="S1199" s="316"/>
      <c r="T1199" s="355"/>
    </row>
    <row r="1200" spans="11:20" x14ac:dyDescent="0.25">
      <c r="K1200" s="312"/>
      <c r="N1200" s="514"/>
      <c r="R1200" s="293"/>
      <c r="S1200" s="316"/>
      <c r="T1200" s="355"/>
    </row>
    <row r="1201" spans="11:20" x14ac:dyDescent="0.25">
      <c r="K1201" s="312"/>
      <c r="N1201" s="514"/>
      <c r="R1201" s="293"/>
      <c r="S1201" s="316"/>
      <c r="T1201" s="355"/>
    </row>
    <row r="1202" spans="11:20" x14ac:dyDescent="0.25">
      <c r="K1202" s="312"/>
      <c r="N1202" s="514"/>
      <c r="R1202" s="293"/>
      <c r="S1202" s="316"/>
      <c r="T1202" s="355"/>
    </row>
    <row r="1203" spans="11:20" x14ac:dyDescent="0.25">
      <c r="K1203" s="312"/>
      <c r="N1203" s="514"/>
      <c r="R1203" s="293"/>
      <c r="S1203" s="316"/>
      <c r="T1203" s="355"/>
    </row>
    <row r="1204" spans="11:20" x14ac:dyDescent="0.25">
      <c r="K1204" s="312"/>
      <c r="N1204" s="514"/>
      <c r="R1204" s="293"/>
      <c r="S1204" s="316"/>
      <c r="T1204" s="355"/>
    </row>
    <row r="1205" spans="11:20" x14ac:dyDescent="0.25">
      <c r="K1205" s="312"/>
      <c r="N1205" s="514"/>
      <c r="R1205" s="293"/>
      <c r="S1205" s="316"/>
      <c r="T1205" s="355"/>
    </row>
    <row r="1206" spans="11:20" x14ac:dyDescent="0.25">
      <c r="K1206" s="312"/>
      <c r="N1206" s="514"/>
      <c r="R1206" s="293"/>
      <c r="S1206" s="316"/>
      <c r="T1206" s="355"/>
    </row>
    <row r="1207" spans="11:20" x14ac:dyDescent="0.25">
      <c r="K1207" s="312"/>
      <c r="N1207" s="514"/>
      <c r="R1207" s="293"/>
      <c r="S1207" s="316"/>
      <c r="T1207" s="355"/>
    </row>
    <row r="1208" spans="11:20" x14ac:dyDescent="0.25">
      <c r="K1208" s="312"/>
      <c r="N1208" s="514"/>
      <c r="R1208" s="293"/>
      <c r="S1208" s="316"/>
      <c r="T1208" s="355"/>
    </row>
    <row r="1209" spans="11:20" x14ac:dyDescent="0.25">
      <c r="K1209" s="312"/>
      <c r="N1209" s="514"/>
      <c r="R1209" s="293"/>
      <c r="S1209" s="316"/>
      <c r="T1209" s="355"/>
    </row>
    <row r="1210" spans="11:20" x14ac:dyDescent="0.25">
      <c r="K1210" s="312"/>
      <c r="N1210" s="514"/>
      <c r="R1210" s="293"/>
      <c r="S1210" s="316"/>
      <c r="T1210" s="355"/>
    </row>
    <row r="1211" spans="11:20" x14ac:dyDescent="0.25">
      <c r="K1211" s="312"/>
      <c r="N1211" s="514"/>
      <c r="R1211" s="293"/>
      <c r="S1211" s="316"/>
      <c r="T1211" s="355"/>
    </row>
    <row r="1212" spans="11:20" x14ac:dyDescent="0.25">
      <c r="K1212" s="312"/>
      <c r="N1212" s="514"/>
      <c r="R1212" s="293"/>
      <c r="S1212" s="316"/>
      <c r="T1212" s="355"/>
    </row>
    <row r="1213" spans="11:20" x14ac:dyDescent="0.25">
      <c r="K1213" s="312"/>
      <c r="N1213" s="514"/>
      <c r="R1213" s="293"/>
      <c r="S1213" s="316"/>
      <c r="T1213" s="355"/>
    </row>
    <row r="1214" spans="11:20" x14ac:dyDescent="0.25">
      <c r="K1214" s="312"/>
      <c r="N1214" s="514"/>
      <c r="R1214" s="293"/>
      <c r="S1214" s="316"/>
      <c r="T1214" s="355"/>
    </row>
    <row r="1215" spans="11:20" x14ac:dyDescent="0.25">
      <c r="K1215" s="312"/>
      <c r="N1215" s="514"/>
      <c r="R1215" s="293"/>
      <c r="S1215" s="316"/>
      <c r="T1215" s="355"/>
    </row>
    <row r="1216" spans="11:20" x14ac:dyDescent="0.25">
      <c r="K1216" s="312"/>
      <c r="N1216" s="514"/>
      <c r="R1216" s="293"/>
      <c r="S1216" s="316"/>
      <c r="T1216" s="355"/>
    </row>
    <row r="1217" spans="11:20" x14ac:dyDescent="0.25">
      <c r="K1217" s="312"/>
      <c r="N1217" s="514"/>
      <c r="R1217" s="293"/>
      <c r="S1217" s="316"/>
      <c r="T1217" s="355"/>
    </row>
    <row r="1218" spans="11:20" x14ac:dyDescent="0.25">
      <c r="K1218" s="312"/>
      <c r="N1218" s="514"/>
      <c r="R1218" s="293"/>
      <c r="S1218" s="316"/>
      <c r="T1218" s="355"/>
    </row>
    <row r="1219" spans="11:20" x14ac:dyDescent="0.25">
      <c r="K1219" s="312"/>
      <c r="N1219" s="514"/>
      <c r="R1219" s="293"/>
      <c r="S1219" s="316"/>
      <c r="T1219" s="355"/>
    </row>
    <row r="1220" spans="11:20" x14ac:dyDescent="0.25">
      <c r="K1220" s="312"/>
      <c r="N1220" s="514"/>
      <c r="R1220" s="293"/>
      <c r="S1220" s="316"/>
      <c r="T1220" s="355"/>
    </row>
    <row r="1221" spans="11:20" x14ac:dyDescent="0.25">
      <c r="K1221" s="312"/>
      <c r="N1221" s="514"/>
      <c r="R1221" s="293"/>
      <c r="S1221" s="316"/>
      <c r="T1221" s="355"/>
    </row>
    <row r="1222" spans="11:20" x14ac:dyDescent="0.25">
      <c r="K1222" s="312"/>
      <c r="N1222" s="514"/>
      <c r="R1222" s="293"/>
      <c r="S1222" s="316"/>
      <c r="T1222" s="355"/>
    </row>
    <row r="1223" spans="11:20" x14ac:dyDescent="0.25">
      <c r="K1223" s="312"/>
      <c r="N1223" s="514"/>
      <c r="R1223" s="293"/>
      <c r="S1223" s="316"/>
      <c r="T1223" s="355"/>
    </row>
    <row r="1224" spans="11:20" x14ac:dyDescent="0.25">
      <c r="K1224" s="312"/>
      <c r="N1224" s="514"/>
      <c r="R1224" s="293"/>
      <c r="S1224" s="316"/>
      <c r="T1224" s="355"/>
    </row>
    <row r="1225" spans="11:20" x14ac:dyDescent="0.25">
      <c r="K1225" s="312"/>
      <c r="N1225" s="514"/>
      <c r="R1225" s="293"/>
      <c r="S1225" s="316"/>
      <c r="T1225" s="355"/>
    </row>
    <row r="1226" spans="11:20" x14ac:dyDescent="0.25">
      <c r="K1226" s="312"/>
      <c r="N1226" s="514"/>
      <c r="R1226" s="293"/>
      <c r="S1226" s="316"/>
      <c r="T1226" s="355"/>
    </row>
    <row r="1227" spans="11:20" x14ac:dyDescent="0.25">
      <c r="K1227" s="312"/>
      <c r="N1227" s="514"/>
      <c r="R1227" s="293"/>
      <c r="S1227" s="316"/>
      <c r="T1227" s="355"/>
    </row>
    <row r="1228" spans="11:20" x14ac:dyDescent="0.25">
      <c r="K1228" s="312"/>
      <c r="N1228" s="514"/>
      <c r="R1228" s="293"/>
      <c r="S1228" s="316"/>
      <c r="T1228" s="355"/>
    </row>
    <row r="1229" spans="11:20" x14ac:dyDescent="0.25">
      <c r="K1229" s="312"/>
      <c r="N1229" s="514"/>
      <c r="R1229" s="293"/>
      <c r="S1229" s="316"/>
      <c r="T1229" s="355"/>
    </row>
    <row r="1230" spans="11:20" x14ac:dyDescent="0.25">
      <c r="K1230" s="312"/>
      <c r="N1230" s="514"/>
      <c r="R1230" s="293"/>
      <c r="S1230" s="316"/>
      <c r="T1230" s="355"/>
    </row>
    <row r="1231" spans="11:20" x14ac:dyDescent="0.25">
      <c r="K1231" s="312"/>
      <c r="N1231" s="514"/>
      <c r="R1231" s="293"/>
      <c r="S1231" s="316"/>
      <c r="T1231" s="355"/>
    </row>
    <row r="1232" spans="11:20" x14ac:dyDescent="0.25">
      <c r="K1232" s="312"/>
      <c r="N1232" s="514"/>
      <c r="R1232" s="293"/>
      <c r="S1232" s="316"/>
      <c r="T1232" s="355"/>
    </row>
    <row r="1233" spans="11:20" x14ac:dyDescent="0.25">
      <c r="K1233" s="312"/>
      <c r="N1233" s="514"/>
      <c r="R1233" s="293"/>
      <c r="S1233" s="316"/>
      <c r="T1233" s="355"/>
    </row>
    <row r="1234" spans="11:20" x14ac:dyDescent="0.25">
      <c r="K1234" s="312"/>
      <c r="N1234" s="514"/>
      <c r="R1234" s="293"/>
      <c r="S1234" s="316"/>
      <c r="T1234" s="355"/>
    </row>
    <row r="1235" spans="11:20" x14ac:dyDescent="0.25">
      <c r="K1235" s="312"/>
      <c r="N1235" s="514"/>
      <c r="R1235" s="293"/>
      <c r="S1235" s="316"/>
      <c r="T1235" s="355"/>
    </row>
    <row r="1236" spans="11:20" x14ac:dyDescent="0.25">
      <c r="K1236" s="312"/>
      <c r="N1236" s="514"/>
      <c r="R1236" s="293"/>
      <c r="S1236" s="316"/>
      <c r="T1236" s="355"/>
    </row>
    <row r="1237" spans="11:20" x14ac:dyDescent="0.25">
      <c r="K1237" s="312"/>
      <c r="N1237" s="514"/>
      <c r="R1237" s="293"/>
      <c r="S1237" s="316"/>
      <c r="T1237" s="355"/>
    </row>
    <row r="1238" spans="11:20" x14ac:dyDescent="0.25">
      <c r="K1238" s="312"/>
      <c r="N1238" s="514"/>
      <c r="R1238" s="293"/>
      <c r="S1238" s="316"/>
      <c r="T1238" s="355"/>
    </row>
    <row r="1239" spans="11:20" x14ac:dyDescent="0.25">
      <c r="K1239" s="312"/>
      <c r="N1239" s="514"/>
      <c r="R1239" s="293"/>
      <c r="S1239" s="316"/>
      <c r="T1239" s="355"/>
    </row>
    <row r="1240" spans="11:20" x14ac:dyDescent="0.25">
      <c r="K1240" s="312"/>
      <c r="N1240" s="514"/>
      <c r="R1240" s="293"/>
      <c r="S1240" s="316"/>
      <c r="T1240" s="355"/>
    </row>
    <row r="1241" spans="11:20" x14ac:dyDescent="0.25">
      <c r="K1241" s="312"/>
      <c r="N1241" s="514"/>
      <c r="R1241" s="293"/>
      <c r="S1241" s="316"/>
      <c r="T1241" s="355"/>
    </row>
    <row r="1242" spans="11:20" x14ac:dyDescent="0.25">
      <c r="K1242" s="312"/>
      <c r="N1242" s="514"/>
      <c r="R1242" s="293"/>
      <c r="S1242" s="316"/>
      <c r="T1242" s="355"/>
    </row>
    <row r="1243" spans="11:20" x14ac:dyDescent="0.25">
      <c r="K1243" s="312"/>
      <c r="N1243" s="514"/>
      <c r="R1243" s="293"/>
      <c r="S1243" s="316"/>
      <c r="T1243" s="355"/>
    </row>
    <row r="1244" spans="11:20" x14ac:dyDescent="0.25">
      <c r="K1244" s="312"/>
      <c r="N1244" s="514"/>
      <c r="R1244" s="293"/>
      <c r="S1244" s="316"/>
      <c r="T1244" s="355"/>
    </row>
    <row r="1245" spans="11:20" x14ac:dyDescent="0.25">
      <c r="K1245" s="312"/>
      <c r="N1245" s="514"/>
      <c r="R1245" s="293"/>
      <c r="S1245" s="316"/>
      <c r="T1245" s="355"/>
    </row>
    <row r="1246" spans="11:20" x14ac:dyDescent="0.25">
      <c r="K1246" s="312"/>
      <c r="N1246" s="514"/>
      <c r="R1246" s="293"/>
      <c r="S1246" s="316"/>
      <c r="T1246" s="355"/>
    </row>
    <row r="1247" spans="11:20" x14ac:dyDescent="0.25">
      <c r="K1247" s="312"/>
      <c r="N1247" s="514"/>
      <c r="R1247" s="293"/>
      <c r="S1247" s="316"/>
      <c r="T1247" s="355"/>
    </row>
    <row r="1248" spans="11:20" x14ac:dyDescent="0.25">
      <c r="K1248" s="312"/>
      <c r="N1248" s="514"/>
      <c r="R1248" s="293"/>
      <c r="S1248" s="316"/>
      <c r="T1248" s="355"/>
    </row>
    <row r="1249" spans="11:20" x14ac:dyDescent="0.25">
      <c r="K1249" s="312"/>
      <c r="N1249" s="514"/>
      <c r="R1249" s="293"/>
      <c r="S1249" s="316"/>
      <c r="T1249" s="355"/>
    </row>
    <row r="1250" spans="11:20" x14ac:dyDescent="0.25">
      <c r="K1250" s="312"/>
      <c r="N1250" s="514"/>
      <c r="R1250" s="293"/>
      <c r="S1250" s="316"/>
      <c r="T1250" s="355"/>
    </row>
    <row r="1251" spans="11:20" x14ac:dyDescent="0.25">
      <c r="K1251" s="312"/>
      <c r="N1251" s="514"/>
      <c r="R1251" s="293"/>
      <c r="S1251" s="316"/>
      <c r="T1251" s="355"/>
    </row>
    <row r="1252" spans="11:20" x14ac:dyDescent="0.25">
      <c r="K1252" s="312"/>
      <c r="N1252" s="514"/>
      <c r="R1252" s="293"/>
      <c r="S1252" s="316"/>
      <c r="T1252" s="355"/>
    </row>
    <row r="1253" spans="11:20" x14ac:dyDescent="0.25">
      <c r="K1253" s="312"/>
      <c r="N1253" s="514"/>
      <c r="R1253" s="293"/>
      <c r="S1253" s="316"/>
      <c r="T1253" s="355"/>
    </row>
    <row r="1254" spans="11:20" x14ac:dyDescent="0.25">
      <c r="K1254" s="312"/>
      <c r="N1254" s="514"/>
      <c r="R1254" s="293"/>
      <c r="S1254" s="316"/>
      <c r="T1254" s="355"/>
    </row>
    <row r="1255" spans="11:20" x14ac:dyDescent="0.25">
      <c r="K1255" s="312"/>
      <c r="N1255" s="514"/>
      <c r="R1255" s="293"/>
      <c r="S1255" s="316"/>
      <c r="T1255" s="355"/>
    </row>
    <row r="1256" spans="11:20" x14ac:dyDescent="0.25">
      <c r="K1256" s="312"/>
      <c r="N1256" s="514"/>
      <c r="R1256" s="293"/>
      <c r="S1256" s="316"/>
      <c r="T1256" s="355"/>
    </row>
    <row r="1257" spans="11:20" x14ac:dyDescent="0.25">
      <c r="K1257" s="312"/>
      <c r="N1257" s="514"/>
      <c r="R1257" s="293"/>
      <c r="S1257" s="316"/>
      <c r="T1257" s="355"/>
    </row>
    <row r="1258" spans="11:20" x14ac:dyDescent="0.25">
      <c r="K1258" s="312"/>
      <c r="N1258" s="514"/>
      <c r="R1258" s="293"/>
      <c r="S1258" s="316"/>
      <c r="T1258" s="355"/>
    </row>
    <row r="1259" spans="11:20" x14ac:dyDescent="0.25">
      <c r="K1259" s="312"/>
      <c r="N1259" s="514"/>
      <c r="R1259" s="293"/>
      <c r="S1259" s="316"/>
      <c r="T1259" s="355"/>
    </row>
    <row r="1260" spans="11:20" x14ac:dyDescent="0.25">
      <c r="K1260" s="312"/>
      <c r="N1260" s="514"/>
      <c r="R1260" s="293"/>
      <c r="S1260" s="316"/>
      <c r="T1260" s="355"/>
    </row>
    <row r="1261" spans="11:20" x14ac:dyDescent="0.25">
      <c r="K1261" s="312"/>
      <c r="N1261" s="514"/>
      <c r="R1261" s="293"/>
      <c r="S1261" s="316"/>
      <c r="T1261" s="355"/>
    </row>
    <row r="1262" spans="11:20" x14ac:dyDescent="0.25">
      <c r="K1262" s="312"/>
      <c r="N1262" s="514"/>
      <c r="R1262" s="293"/>
      <c r="S1262" s="316"/>
      <c r="T1262" s="355"/>
    </row>
    <row r="1263" spans="11:20" x14ac:dyDescent="0.25">
      <c r="K1263" s="312"/>
      <c r="N1263" s="514"/>
      <c r="R1263" s="293"/>
      <c r="S1263" s="316"/>
      <c r="T1263" s="355"/>
    </row>
    <row r="1264" spans="11:20" x14ac:dyDescent="0.25">
      <c r="K1264" s="312"/>
      <c r="N1264" s="514"/>
      <c r="R1264" s="293"/>
      <c r="S1264" s="316"/>
      <c r="T1264" s="355"/>
    </row>
    <row r="1265" spans="11:20" x14ac:dyDescent="0.25">
      <c r="K1265" s="312"/>
      <c r="N1265" s="514"/>
      <c r="R1265" s="293"/>
      <c r="S1265" s="316"/>
      <c r="T1265" s="355"/>
    </row>
    <row r="1266" spans="11:20" x14ac:dyDescent="0.25">
      <c r="K1266" s="312"/>
      <c r="N1266" s="514"/>
      <c r="R1266" s="293"/>
      <c r="S1266" s="316"/>
      <c r="T1266" s="355"/>
    </row>
    <row r="1267" spans="11:20" x14ac:dyDescent="0.25">
      <c r="K1267" s="312"/>
      <c r="N1267" s="514"/>
      <c r="R1267" s="293"/>
      <c r="S1267" s="316"/>
      <c r="T1267" s="355"/>
    </row>
    <row r="1268" spans="11:20" x14ac:dyDescent="0.25">
      <c r="K1268" s="312"/>
      <c r="N1268" s="514"/>
      <c r="R1268" s="293"/>
      <c r="S1268" s="316"/>
      <c r="T1268" s="355"/>
    </row>
    <row r="1269" spans="11:20" x14ac:dyDescent="0.25">
      <c r="K1269" s="312"/>
      <c r="N1269" s="514"/>
      <c r="R1269" s="293"/>
      <c r="S1269" s="316"/>
      <c r="T1269" s="355"/>
    </row>
    <row r="1270" spans="11:20" x14ac:dyDescent="0.25">
      <c r="K1270" s="312"/>
      <c r="N1270" s="514"/>
      <c r="R1270" s="293"/>
      <c r="S1270" s="316"/>
      <c r="T1270" s="355"/>
    </row>
    <row r="1271" spans="11:20" x14ac:dyDescent="0.25">
      <c r="K1271" s="312"/>
      <c r="N1271" s="514"/>
      <c r="R1271" s="293"/>
      <c r="S1271" s="316"/>
      <c r="T1271" s="355"/>
    </row>
    <row r="1272" spans="11:20" x14ac:dyDescent="0.25">
      <c r="K1272" s="312"/>
      <c r="N1272" s="514"/>
      <c r="R1272" s="293"/>
      <c r="S1272" s="316"/>
      <c r="T1272" s="355"/>
    </row>
    <row r="1273" spans="11:20" x14ac:dyDescent="0.25">
      <c r="K1273" s="312"/>
      <c r="N1273" s="514"/>
      <c r="R1273" s="293"/>
      <c r="S1273" s="316"/>
      <c r="T1273" s="355"/>
    </row>
    <row r="1274" spans="11:20" x14ac:dyDescent="0.25">
      <c r="K1274" s="312"/>
      <c r="N1274" s="514"/>
      <c r="R1274" s="293"/>
      <c r="S1274" s="316"/>
      <c r="T1274" s="355"/>
    </row>
    <row r="1275" spans="11:20" x14ac:dyDescent="0.25">
      <c r="K1275" s="312"/>
      <c r="N1275" s="514"/>
      <c r="R1275" s="293"/>
      <c r="S1275" s="316"/>
      <c r="T1275" s="355"/>
    </row>
    <row r="1276" spans="11:20" x14ac:dyDescent="0.25">
      <c r="K1276" s="312"/>
      <c r="N1276" s="514"/>
      <c r="R1276" s="293"/>
      <c r="S1276" s="316"/>
      <c r="T1276" s="355"/>
    </row>
    <row r="1277" spans="11:20" x14ac:dyDescent="0.25">
      <c r="K1277" s="312"/>
      <c r="N1277" s="514"/>
      <c r="R1277" s="293"/>
      <c r="S1277" s="316"/>
      <c r="T1277" s="355"/>
    </row>
    <row r="1278" spans="11:20" x14ac:dyDescent="0.25">
      <c r="K1278" s="312"/>
      <c r="N1278" s="514"/>
      <c r="R1278" s="293"/>
      <c r="S1278" s="316"/>
      <c r="T1278" s="355"/>
    </row>
    <row r="1279" spans="11:20" x14ac:dyDescent="0.25">
      <c r="K1279" s="312"/>
      <c r="N1279" s="514"/>
      <c r="R1279" s="293"/>
      <c r="S1279" s="316"/>
      <c r="T1279" s="355"/>
    </row>
    <row r="1280" spans="11:20" x14ac:dyDescent="0.25">
      <c r="K1280" s="312"/>
      <c r="N1280" s="514"/>
      <c r="R1280" s="293"/>
      <c r="S1280" s="316"/>
      <c r="T1280" s="355"/>
    </row>
    <row r="1281" spans="11:20" x14ac:dyDescent="0.25">
      <c r="K1281" s="312"/>
      <c r="N1281" s="514"/>
      <c r="R1281" s="293"/>
      <c r="S1281" s="316"/>
      <c r="T1281" s="355"/>
    </row>
    <row r="1282" spans="11:20" x14ac:dyDescent="0.25">
      <c r="K1282" s="312"/>
      <c r="N1282" s="514"/>
      <c r="R1282" s="293"/>
      <c r="S1282" s="316"/>
      <c r="T1282" s="355"/>
    </row>
    <row r="1283" spans="11:20" x14ac:dyDescent="0.25">
      <c r="K1283" s="312"/>
      <c r="N1283" s="514"/>
      <c r="R1283" s="293"/>
      <c r="S1283" s="316"/>
      <c r="T1283" s="355"/>
    </row>
    <row r="1284" spans="11:20" x14ac:dyDescent="0.25">
      <c r="K1284" s="312"/>
      <c r="N1284" s="514"/>
      <c r="R1284" s="293"/>
      <c r="S1284" s="316"/>
      <c r="T1284" s="355"/>
    </row>
    <row r="1285" spans="11:20" x14ac:dyDescent="0.25">
      <c r="K1285" s="312"/>
      <c r="N1285" s="514"/>
      <c r="R1285" s="293"/>
      <c r="S1285" s="316"/>
      <c r="T1285" s="355"/>
    </row>
    <row r="1286" spans="11:20" x14ac:dyDescent="0.25">
      <c r="K1286" s="312"/>
      <c r="N1286" s="514"/>
      <c r="R1286" s="293"/>
      <c r="S1286" s="316"/>
      <c r="T1286" s="355"/>
    </row>
    <row r="1287" spans="11:20" x14ac:dyDescent="0.25">
      <c r="K1287" s="312"/>
      <c r="N1287" s="514"/>
      <c r="R1287" s="293"/>
      <c r="S1287" s="316"/>
      <c r="T1287" s="355"/>
    </row>
    <row r="1288" spans="11:20" x14ac:dyDescent="0.25">
      <c r="K1288" s="312"/>
      <c r="N1288" s="514"/>
      <c r="R1288" s="293"/>
      <c r="S1288" s="316"/>
      <c r="T1288" s="355"/>
    </row>
    <row r="1289" spans="11:20" x14ac:dyDescent="0.25">
      <c r="K1289" s="312"/>
      <c r="N1289" s="514"/>
      <c r="R1289" s="293"/>
      <c r="S1289" s="316"/>
      <c r="T1289" s="355"/>
    </row>
    <row r="1290" spans="11:20" x14ac:dyDescent="0.25">
      <c r="K1290" s="312"/>
      <c r="N1290" s="514"/>
      <c r="R1290" s="293"/>
      <c r="S1290" s="316"/>
      <c r="T1290" s="355"/>
    </row>
    <row r="1291" spans="11:20" x14ac:dyDescent="0.25">
      <c r="K1291" s="312"/>
      <c r="N1291" s="514"/>
      <c r="R1291" s="293"/>
      <c r="S1291" s="316"/>
      <c r="T1291" s="355"/>
    </row>
    <row r="1292" spans="11:20" x14ac:dyDescent="0.25">
      <c r="K1292" s="312"/>
      <c r="N1292" s="514"/>
      <c r="R1292" s="293"/>
      <c r="S1292" s="316"/>
      <c r="T1292" s="355"/>
    </row>
    <row r="1293" spans="11:20" x14ac:dyDescent="0.25">
      <c r="K1293" s="312"/>
      <c r="N1293" s="514"/>
      <c r="R1293" s="293"/>
      <c r="S1293" s="316"/>
      <c r="T1293" s="355"/>
    </row>
    <row r="1294" spans="11:20" x14ac:dyDescent="0.25">
      <c r="K1294" s="312"/>
      <c r="N1294" s="514"/>
      <c r="R1294" s="293"/>
      <c r="S1294" s="316"/>
      <c r="T1294" s="355"/>
    </row>
    <row r="1295" spans="11:20" x14ac:dyDescent="0.25">
      <c r="K1295" s="312"/>
      <c r="N1295" s="514"/>
      <c r="R1295" s="293"/>
      <c r="S1295" s="316"/>
      <c r="T1295" s="355"/>
    </row>
    <row r="1296" spans="11:20" x14ac:dyDescent="0.25">
      <c r="K1296" s="312"/>
      <c r="N1296" s="514"/>
      <c r="R1296" s="293"/>
      <c r="S1296" s="316"/>
      <c r="T1296" s="355"/>
    </row>
    <row r="1297" spans="11:20" x14ac:dyDescent="0.25">
      <c r="K1297" s="312"/>
      <c r="N1297" s="514"/>
      <c r="R1297" s="293"/>
      <c r="S1297" s="316"/>
      <c r="T1297" s="355"/>
    </row>
    <row r="1298" spans="11:20" x14ac:dyDescent="0.25">
      <c r="K1298" s="312"/>
      <c r="N1298" s="514"/>
      <c r="R1298" s="293"/>
      <c r="S1298" s="316"/>
      <c r="T1298" s="355"/>
    </row>
    <row r="1299" spans="11:20" x14ac:dyDescent="0.25">
      <c r="K1299" s="312"/>
      <c r="N1299" s="514"/>
      <c r="R1299" s="293"/>
      <c r="S1299" s="316"/>
      <c r="T1299" s="355"/>
    </row>
    <row r="1300" spans="11:20" x14ac:dyDescent="0.25">
      <c r="K1300" s="312"/>
      <c r="N1300" s="514"/>
      <c r="R1300" s="293"/>
      <c r="S1300" s="316"/>
      <c r="T1300" s="355"/>
    </row>
    <row r="1301" spans="11:20" x14ac:dyDescent="0.25">
      <c r="K1301" s="312"/>
      <c r="N1301" s="514"/>
      <c r="R1301" s="293"/>
      <c r="S1301" s="316"/>
      <c r="T1301" s="355"/>
    </row>
    <row r="1302" spans="11:20" x14ac:dyDescent="0.25">
      <c r="K1302" s="312"/>
      <c r="N1302" s="514"/>
      <c r="R1302" s="293"/>
      <c r="S1302" s="316"/>
      <c r="T1302" s="355"/>
    </row>
    <row r="1303" spans="11:20" x14ac:dyDescent="0.25">
      <c r="K1303" s="312"/>
      <c r="N1303" s="514"/>
      <c r="R1303" s="293"/>
      <c r="S1303" s="316"/>
      <c r="T1303" s="355"/>
    </row>
    <row r="1304" spans="11:20" x14ac:dyDescent="0.25">
      <c r="K1304" s="312"/>
      <c r="N1304" s="514"/>
      <c r="R1304" s="293"/>
      <c r="S1304" s="316"/>
      <c r="T1304" s="355"/>
    </row>
    <row r="1305" spans="11:20" x14ac:dyDescent="0.25">
      <c r="K1305" s="312"/>
      <c r="N1305" s="514"/>
      <c r="R1305" s="293"/>
      <c r="S1305" s="316"/>
      <c r="T1305" s="355"/>
    </row>
    <row r="1306" spans="11:20" x14ac:dyDescent="0.25">
      <c r="K1306" s="312"/>
      <c r="N1306" s="514"/>
      <c r="R1306" s="293"/>
      <c r="S1306" s="316"/>
      <c r="T1306" s="355"/>
    </row>
    <row r="1307" spans="11:20" x14ac:dyDescent="0.25">
      <c r="K1307" s="312"/>
      <c r="N1307" s="514"/>
      <c r="R1307" s="293"/>
      <c r="S1307" s="316"/>
      <c r="T1307" s="355"/>
    </row>
    <row r="1308" spans="11:20" x14ac:dyDescent="0.25">
      <c r="K1308" s="312"/>
      <c r="N1308" s="514"/>
      <c r="R1308" s="293"/>
      <c r="S1308" s="316"/>
      <c r="T1308" s="355"/>
    </row>
    <row r="1309" spans="11:20" x14ac:dyDescent="0.25">
      <c r="K1309" s="312"/>
      <c r="N1309" s="514"/>
      <c r="R1309" s="293"/>
      <c r="S1309" s="316"/>
      <c r="T1309" s="355"/>
    </row>
    <row r="1310" spans="11:20" x14ac:dyDescent="0.25">
      <c r="K1310" s="312"/>
      <c r="N1310" s="514"/>
      <c r="R1310" s="293"/>
      <c r="S1310" s="316"/>
      <c r="T1310" s="355"/>
    </row>
    <row r="1311" spans="11:20" x14ac:dyDescent="0.25">
      <c r="K1311" s="312"/>
      <c r="N1311" s="514"/>
      <c r="R1311" s="293"/>
      <c r="S1311" s="316"/>
      <c r="T1311" s="355"/>
    </row>
    <row r="1312" spans="11:20" x14ac:dyDescent="0.25">
      <c r="K1312" s="312"/>
      <c r="N1312" s="514"/>
      <c r="R1312" s="293"/>
      <c r="S1312" s="316"/>
      <c r="T1312" s="355"/>
    </row>
    <row r="1313" spans="11:20" x14ac:dyDescent="0.25">
      <c r="K1313" s="312"/>
      <c r="N1313" s="514"/>
      <c r="R1313" s="293"/>
      <c r="S1313" s="316"/>
      <c r="T1313" s="355"/>
    </row>
    <row r="1314" spans="11:20" x14ac:dyDescent="0.25">
      <c r="K1314" s="312"/>
      <c r="N1314" s="514"/>
      <c r="R1314" s="293"/>
      <c r="S1314" s="316"/>
      <c r="T1314" s="355"/>
    </row>
    <row r="1315" spans="11:20" x14ac:dyDescent="0.25">
      <c r="K1315" s="312"/>
      <c r="N1315" s="514"/>
      <c r="R1315" s="293"/>
      <c r="S1315" s="316"/>
      <c r="T1315" s="355"/>
    </row>
    <row r="1316" spans="11:20" x14ac:dyDescent="0.25">
      <c r="K1316" s="312"/>
      <c r="N1316" s="514"/>
      <c r="R1316" s="293"/>
      <c r="S1316" s="316"/>
      <c r="T1316" s="355"/>
    </row>
    <row r="1317" spans="11:20" x14ac:dyDescent="0.25">
      <c r="K1317" s="312"/>
      <c r="N1317" s="514"/>
      <c r="R1317" s="293"/>
      <c r="S1317" s="316"/>
      <c r="T1317" s="355"/>
    </row>
    <row r="1318" spans="11:20" x14ac:dyDescent="0.25">
      <c r="K1318" s="312"/>
      <c r="N1318" s="514"/>
      <c r="R1318" s="293"/>
      <c r="S1318" s="316"/>
      <c r="T1318" s="355"/>
    </row>
    <row r="1319" spans="11:20" x14ac:dyDescent="0.25">
      <c r="K1319" s="312"/>
      <c r="N1319" s="514"/>
      <c r="R1319" s="293"/>
      <c r="S1319" s="316"/>
      <c r="T1319" s="355"/>
    </row>
    <row r="1320" spans="11:20" x14ac:dyDescent="0.25">
      <c r="K1320" s="312"/>
      <c r="N1320" s="514"/>
      <c r="R1320" s="293"/>
      <c r="S1320" s="316"/>
      <c r="T1320" s="355"/>
    </row>
    <row r="1321" spans="11:20" x14ac:dyDescent="0.25">
      <c r="K1321" s="312"/>
      <c r="N1321" s="514"/>
      <c r="R1321" s="293"/>
      <c r="S1321" s="316"/>
      <c r="T1321" s="355"/>
    </row>
    <row r="1322" spans="11:20" x14ac:dyDescent="0.25">
      <c r="K1322" s="312"/>
      <c r="N1322" s="514"/>
      <c r="R1322" s="293"/>
      <c r="S1322" s="316"/>
      <c r="T1322" s="355"/>
    </row>
    <row r="1323" spans="11:20" x14ac:dyDescent="0.25">
      <c r="K1323" s="312"/>
      <c r="N1323" s="514"/>
      <c r="R1323" s="293"/>
      <c r="S1323" s="316"/>
      <c r="T1323" s="355"/>
    </row>
    <row r="1324" spans="11:20" x14ac:dyDescent="0.25">
      <c r="K1324" s="312"/>
      <c r="N1324" s="514"/>
      <c r="R1324" s="293"/>
      <c r="S1324" s="316"/>
      <c r="T1324" s="355"/>
    </row>
    <row r="1325" spans="11:20" x14ac:dyDescent="0.25">
      <c r="K1325" s="312"/>
      <c r="N1325" s="514"/>
      <c r="R1325" s="293"/>
      <c r="S1325" s="316"/>
      <c r="T1325" s="355"/>
    </row>
    <row r="1326" spans="11:20" x14ac:dyDescent="0.25">
      <c r="K1326" s="312"/>
      <c r="N1326" s="514"/>
      <c r="R1326" s="293"/>
      <c r="S1326" s="316"/>
      <c r="T1326" s="355"/>
    </row>
    <row r="1327" spans="11:20" x14ac:dyDescent="0.25">
      <c r="K1327" s="312"/>
      <c r="N1327" s="514"/>
      <c r="R1327" s="293"/>
      <c r="S1327" s="316"/>
      <c r="T1327" s="355"/>
    </row>
    <row r="1328" spans="11:20" x14ac:dyDescent="0.25">
      <c r="K1328" s="312"/>
      <c r="N1328" s="514"/>
      <c r="R1328" s="293"/>
      <c r="S1328" s="316"/>
      <c r="T1328" s="355"/>
    </row>
    <row r="1329" spans="11:20" x14ac:dyDescent="0.25">
      <c r="K1329" s="312"/>
      <c r="N1329" s="514"/>
      <c r="R1329" s="293"/>
      <c r="S1329" s="316"/>
      <c r="T1329" s="355"/>
    </row>
    <row r="1330" spans="11:20" x14ac:dyDescent="0.25">
      <c r="K1330" s="312"/>
      <c r="N1330" s="514"/>
      <c r="R1330" s="293"/>
      <c r="S1330" s="316"/>
      <c r="T1330" s="355"/>
    </row>
    <row r="1331" spans="11:20" x14ac:dyDescent="0.25">
      <c r="K1331" s="312"/>
      <c r="N1331" s="514"/>
      <c r="R1331" s="293"/>
      <c r="S1331" s="316"/>
      <c r="T1331" s="355"/>
    </row>
    <row r="1332" spans="11:20" x14ac:dyDescent="0.25">
      <c r="K1332" s="312"/>
      <c r="N1332" s="514"/>
      <c r="R1332" s="293"/>
      <c r="S1332" s="316"/>
      <c r="T1332" s="355"/>
    </row>
    <row r="1333" spans="11:20" x14ac:dyDescent="0.25">
      <c r="K1333" s="312"/>
      <c r="N1333" s="514"/>
      <c r="R1333" s="293"/>
      <c r="S1333" s="316"/>
      <c r="T1333" s="355"/>
    </row>
    <row r="1334" spans="11:20" x14ac:dyDescent="0.25">
      <c r="K1334" s="312"/>
      <c r="N1334" s="514"/>
      <c r="R1334" s="293"/>
      <c r="S1334" s="316"/>
      <c r="T1334" s="355"/>
    </row>
    <row r="1335" spans="11:20" x14ac:dyDescent="0.25">
      <c r="K1335" s="312"/>
      <c r="N1335" s="514"/>
      <c r="R1335" s="293"/>
      <c r="S1335" s="316"/>
      <c r="T1335" s="355"/>
    </row>
    <row r="1336" spans="11:20" x14ac:dyDescent="0.25">
      <c r="K1336" s="312"/>
      <c r="N1336" s="514"/>
      <c r="R1336" s="293"/>
      <c r="S1336" s="316"/>
      <c r="T1336" s="355"/>
    </row>
    <row r="1337" spans="11:20" x14ac:dyDescent="0.25">
      <c r="K1337" s="312"/>
      <c r="N1337" s="514"/>
      <c r="R1337" s="293"/>
      <c r="S1337" s="316"/>
      <c r="T1337" s="355"/>
    </row>
    <row r="1338" spans="11:20" x14ac:dyDescent="0.25">
      <c r="K1338" s="312"/>
      <c r="N1338" s="514"/>
      <c r="R1338" s="293"/>
      <c r="S1338" s="316"/>
      <c r="T1338" s="355"/>
    </row>
    <row r="1339" spans="11:20" x14ac:dyDescent="0.25">
      <c r="K1339" s="312"/>
      <c r="N1339" s="514"/>
      <c r="R1339" s="293"/>
      <c r="S1339" s="316"/>
      <c r="T1339" s="355"/>
    </row>
    <row r="1340" spans="11:20" x14ac:dyDescent="0.25">
      <c r="K1340" s="312"/>
      <c r="N1340" s="514"/>
      <c r="R1340" s="293"/>
      <c r="S1340" s="316"/>
      <c r="T1340" s="355"/>
    </row>
    <row r="1341" spans="11:20" x14ac:dyDescent="0.25">
      <c r="K1341" s="312"/>
      <c r="N1341" s="514"/>
      <c r="R1341" s="293"/>
      <c r="S1341" s="316"/>
      <c r="T1341" s="355"/>
    </row>
    <row r="1342" spans="11:20" x14ac:dyDescent="0.25">
      <c r="K1342" s="312"/>
      <c r="N1342" s="514"/>
      <c r="R1342" s="293"/>
      <c r="S1342" s="316"/>
      <c r="T1342" s="355"/>
    </row>
    <row r="1343" spans="11:20" x14ac:dyDescent="0.25">
      <c r="K1343" s="312"/>
      <c r="N1343" s="514"/>
      <c r="R1343" s="293"/>
      <c r="S1343" s="316"/>
      <c r="T1343" s="355"/>
    </row>
    <row r="1344" spans="11:20" x14ac:dyDescent="0.25">
      <c r="K1344" s="312"/>
      <c r="N1344" s="514"/>
      <c r="R1344" s="293"/>
      <c r="S1344" s="316"/>
      <c r="T1344" s="355"/>
    </row>
    <row r="1345" spans="11:20" x14ac:dyDescent="0.25">
      <c r="K1345" s="312"/>
      <c r="N1345" s="514"/>
      <c r="R1345" s="293"/>
      <c r="S1345" s="316"/>
      <c r="T1345" s="355"/>
    </row>
    <row r="1346" spans="11:20" x14ac:dyDescent="0.25">
      <c r="K1346" s="312"/>
      <c r="N1346" s="514"/>
      <c r="R1346" s="293"/>
      <c r="S1346" s="316"/>
      <c r="T1346" s="355"/>
    </row>
    <row r="1347" spans="11:20" x14ac:dyDescent="0.25">
      <c r="K1347" s="312"/>
      <c r="N1347" s="514"/>
      <c r="R1347" s="293"/>
      <c r="S1347" s="316"/>
      <c r="T1347" s="355"/>
    </row>
    <row r="1348" spans="11:20" x14ac:dyDescent="0.25">
      <c r="K1348" s="312"/>
      <c r="N1348" s="514"/>
      <c r="R1348" s="293"/>
      <c r="S1348" s="316"/>
      <c r="T1348" s="355"/>
    </row>
    <row r="1349" spans="11:20" x14ac:dyDescent="0.25">
      <c r="K1349" s="312"/>
      <c r="N1349" s="514"/>
      <c r="R1349" s="293"/>
      <c r="S1349" s="316"/>
      <c r="T1349" s="355"/>
    </row>
    <row r="1350" spans="11:20" x14ac:dyDescent="0.25">
      <c r="K1350" s="312"/>
      <c r="N1350" s="514"/>
      <c r="R1350" s="293"/>
      <c r="S1350" s="316"/>
      <c r="T1350" s="355"/>
    </row>
    <row r="1351" spans="11:20" x14ac:dyDescent="0.25">
      <c r="K1351" s="312"/>
      <c r="N1351" s="514"/>
      <c r="R1351" s="293"/>
      <c r="S1351" s="316"/>
      <c r="T1351" s="355"/>
    </row>
    <row r="1352" spans="11:20" x14ac:dyDescent="0.25">
      <c r="K1352" s="312"/>
      <c r="N1352" s="514"/>
      <c r="R1352" s="293"/>
      <c r="S1352" s="316"/>
      <c r="T1352" s="355"/>
    </row>
    <row r="1353" spans="11:20" x14ac:dyDescent="0.25">
      <c r="K1353" s="312"/>
      <c r="N1353" s="514"/>
      <c r="R1353" s="293"/>
      <c r="S1353" s="316"/>
      <c r="T1353" s="355"/>
    </row>
    <row r="1354" spans="11:20" x14ac:dyDescent="0.25">
      <c r="K1354" s="312"/>
      <c r="N1354" s="514"/>
      <c r="R1354" s="293"/>
      <c r="S1354" s="316"/>
      <c r="T1354" s="355"/>
    </row>
    <row r="1355" spans="11:20" x14ac:dyDescent="0.25">
      <c r="K1355" s="312"/>
      <c r="N1355" s="514"/>
      <c r="R1355" s="293"/>
      <c r="S1355" s="316"/>
      <c r="T1355" s="355"/>
    </row>
    <row r="1356" spans="11:20" x14ac:dyDescent="0.25">
      <c r="K1356" s="312"/>
      <c r="N1356" s="514"/>
      <c r="R1356" s="293"/>
      <c r="S1356" s="316"/>
      <c r="T1356" s="355"/>
    </row>
    <row r="1357" spans="11:20" x14ac:dyDescent="0.25">
      <c r="K1357" s="312"/>
      <c r="N1357" s="514"/>
      <c r="R1357" s="293"/>
      <c r="S1357" s="316"/>
      <c r="T1357" s="355"/>
    </row>
    <row r="1358" spans="11:20" x14ac:dyDescent="0.25">
      <c r="K1358" s="312"/>
      <c r="N1358" s="514"/>
      <c r="R1358" s="293"/>
      <c r="S1358" s="316"/>
      <c r="T1358" s="355"/>
    </row>
    <row r="1359" spans="11:20" x14ac:dyDescent="0.25">
      <c r="K1359" s="312"/>
      <c r="N1359" s="514"/>
      <c r="R1359" s="293"/>
      <c r="S1359" s="316"/>
      <c r="T1359" s="355"/>
    </row>
    <row r="1360" spans="11:20" x14ac:dyDescent="0.25">
      <c r="K1360" s="312"/>
      <c r="N1360" s="514"/>
      <c r="R1360" s="293"/>
      <c r="S1360" s="316"/>
      <c r="T1360" s="355"/>
    </row>
    <row r="1361" spans="11:20" x14ac:dyDescent="0.25">
      <c r="K1361" s="312"/>
      <c r="N1361" s="514"/>
      <c r="R1361" s="293"/>
      <c r="S1361" s="316"/>
      <c r="T1361" s="355"/>
    </row>
    <row r="1362" spans="11:20" x14ac:dyDescent="0.25">
      <c r="K1362" s="312"/>
      <c r="N1362" s="514"/>
      <c r="R1362" s="293"/>
      <c r="S1362" s="316"/>
      <c r="T1362" s="355"/>
    </row>
    <row r="1363" spans="11:20" x14ac:dyDescent="0.25">
      <c r="K1363" s="312"/>
      <c r="N1363" s="514"/>
      <c r="R1363" s="293"/>
      <c r="S1363" s="316"/>
      <c r="T1363" s="355"/>
    </row>
    <row r="1364" spans="11:20" x14ac:dyDescent="0.25">
      <c r="K1364" s="312"/>
      <c r="N1364" s="514"/>
      <c r="R1364" s="293"/>
      <c r="S1364" s="316"/>
      <c r="T1364" s="355"/>
    </row>
    <row r="1365" spans="11:20" x14ac:dyDescent="0.25">
      <c r="K1365" s="312"/>
      <c r="N1365" s="514"/>
      <c r="R1365" s="293"/>
      <c r="S1365" s="316"/>
      <c r="T1365" s="355"/>
    </row>
    <row r="1366" spans="11:20" x14ac:dyDescent="0.25">
      <c r="K1366" s="312"/>
      <c r="N1366" s="514"/>
      <c r="R1366" s="293"/>
      <c r="S1366" s="316"/>
      <c r="T1366" s="355"/>
    </row>
    <row r="1367" spans="11:20" x14ac:dyDescent="0.25">
      <c r="K1367" s="312"/>
      <c r="N1367" s="514"/>
      <c r="R1367" s="293"/>
      <c r="S1367" s="316"/>
      <c r="T1367" s="355"/>
    </row>
    <row r="1368" spans="11:20" x14ac:dyDescent="0.25">
      <c r="K1368" s="312"/>
      <c r="N1368" s="514"/>
      <c r="R1368" s="293"/>
      <c r="S1368" s="316"/>
      <c r="T1368" s="355"/>
    </row>
    <row r="1369" spans="11:20" x14ac:dyDescent="0.25">
      <c r="K1369" s="312"/>
      <c r="N1369" s="514"/>
      <c r="R1369" s="293"/>
      <c r="S1369" s="316"/>
      <c r="T1369" s="355"/>
    </row>
    <row r="1370" spans="11:20" x14ac:dyDescent="0.25">
      <c r="K1370" s="312"/>
      <c r="N1370" s="514"/>
      <c r="R1370" s="293"/>
      <c r="S1370" s="316"/>
      <c r="T1370" s="355"/>
    </row>
    <row r="1371" spans="11:20" x14ac:dyDescent="0.25">
      <c r="K1371" s="312"/>
      <c r="N1371" s="514"/>
      <c r="R1371" s="293"/>
      <c r="S1371" s="316"/>
      <c r="T1371" s="355"/>
    </row>
    <row r="1372" spans="11:20" x14ac:dyDescent="0.25">
      <c r="K1372" s="312"/>
      <c r="N1372" s="514"/>
      <c r="R1372" s="293"/>
      <c r="S1372" s="316"/>
      <c r="T1372" s="355"/>
    </row>
    <row r="1373" spans="11:20" x14ac:dyDescent="0.25">
      <c r="K1373" s="312"/>
      <c r="N1373" s="514"/>
      <c r="R1373" s="293"/>
      <c r="S1373" s="316"/>
      <c r="T1373" s="355"/>
    </row>
    <row r="1374" spans="11:20" x14ac:dyDescent="0.25">
      <c r="K1374" s="312"/>
      <c r="N1374" s="514"/>
      <c r="R1374" s="293"/>
      <c r="S1374" s="316"/>
      <c r="T1374" s="355"/>
    </row>
    <row r="1375" spans="11:20" x14ac:dyDescent="0.25">
      <c r="K1375" s="312"/>
      <c r="N1375" s="514"/>
      <c r="R1375" s="293"/>
      <c r="S1375" s="316"/>
      <c r="T1375" s="355"/>
    </row>
    <row r="1376" spans="11:20" x14ac:dyDescent="0.25">
      <c r="K1376" s="312"/>
      <c r="N1376" s="514"/>
      <c r="R1376" s="293"/>
      <c r="S1376" s="316"/>
      <c r="T1376" s="355"/>
    </row>
    <row r="1377" spans="11:20" x14ac:dyDescent="0.25">
      <c r="K1377" s="312"/>
      <c r="N1377" s="514"/>
      <c r="R1377" s="293"/>
      <c r="S1377" s="316"/>
      <c r="T1377" s="355"/>
    </row>
    <row r="1378" spans="11:20" x14ac:dyDescent="0.25">
      <c r="K1378" s="312"/>
      <c r="N1378" s="514"/>
      <c r="R1378" s="293"/>
      <c r="S1378" s="316"/>
      <c r="T1378" s="355"/>
    </row>
    <row r="1379" spans="11:20" x14ac:dyDescent="0.25">
      <c r="K1379" s="312"/>
      <c r="N1379" s="514"/>
      <c r="R1379" s="293"/>
      <c r="S1379" s="316"/>
      <c r="T1379" s="355"/>
    </row>
    <row r="1380" spans="11:20" x14ac:dyDescent="0.25">
      <c r="K1380" s="312"/>
      <c r="N1380" s="514"/>
      <c r="R1380" s="293"/>
      <c r="S1380" s="316"/>
      <c r="T1380" s="355"/>
    </row>
    <row r="1381" spans="11:20" x14ac:dyDescent="0.25">
      <c r="K1381" s="312"/>
      <c r="N1381" s="514"/>
      <c r="R1381" s="293"/>
      <c r="S1381" s="316"/>
      <c r="T1381" s="355"/>
    </row>
    <row r="1382" spans="11:20" x14ac:dyDescent="0.25">
      <c r="K1382" s="312"/>
      <c r="N1382" s="514"/>
      <c r="R1382" s="293"/>
      <c r="S1382" s="316"/>
      <c r="T1382" s="355"/>
    </row>
    <row r="1383" spans="11:20" x14ac:dyDescent="0.25">
      <c r="K1383" s="312"/>
      <c r="N1383" s="514"/>
      <c r="R1383" s="293"/>
      <c r="S1383" s="316"/>
      <c r="T1383" s="355"/>
    </row>
    <row r="1384" spans="11:20" x14ac:dyDescent="0.25">
      <c r="K1384" s="312"/>
      <c r="N1384" s="514"/>
      <c r="R1384" s="293"/>
      <c r="S1384" s="316"/>
      <c r="T1384" s="355"/>
    </row>
    <row r="1385" spans="11:20" x14ac:dyDescent="0.25">
      <c r="K1385" s="312"/>
      <c r="N1385" s="514"/>
      <c r="R1385" s="293"/>
      <c r="S1385" s="316"/>
      <c r="T1385" s="355"/>
    </row>
    <row r="1386" spans="11:20" x14ac:dyDescent="0.25">
      <c r="K1386" s="312"/>
      <c r="N1386" s="514"/>
      <c r="R1386" s="293"/>
      <c r="S1386" s="316"/>
      <c r="T1386" s="355"/>
    </row>
    <row r="1387" spans="11:20" x14ac:dyDescent="0.25">
      <c r="K1387" s="312"/>
      <c r="N1387" s="514"/>
      <c r="R1387" s="293"/>
      <c r="S1387" s="316"/>
      <c r="T1387" s="355"/>
    </row>
    <row r="1388" spans="11:20" x14ac:dyDescent="0.25">
      <c r="K1388" s="312"/>
      <c r="N1388" s="514"/>
      <c r="R1388" s="293"/>
      <c r="S1388" s="316"/>
      <c r="T1388" s="355"/>
    </row>
    <row r="1389" spans="11:20" x14ac:dyDescent="0.25">
      <c r="K1389" s="312"/>
      <c r="N1389" s="514"/>
      <c r="R1389" s="293"/>
      <c r="S1389" s="316"/>
      <c r="T1389" s="355"/>
    </row>
    <row r="1390" spans="11:20" x14ac:dyDescent="0.25">
      <c r="K1390" s="312"/>
      <c r="N1390" s="514"/>
      <c r="R1390" s="293"/>
      <c r="S1390" s="316"/>
      <c r="T1390" s="355"/>
    </row>
    <row r="1391" spans="11:20" x14ac:dyDescent="0.25">
      <c r="K1391" s="312"/>
      <c r="N1391" s="514"/>
      <c r="R1391" s="293"/>
      <c r="S1391" s="316"/>
      <c r="T1391" s="355"/>
    </row>
    <row r="1392" spans="11:20" x14ac:dyDescent="0.25">
      <c r="K1392" s="312"/>
      <c r="N1392" s="514"/>
      <c r="R1392" s="293"/>
      <c r="S1392" s="316"/>
      <c r="T1392" s="355"/>
    </row>
    <row r="1393" spans="11:20" x14ac:dyDescent="0.25">
      <c r="K1393" s="312"/>
      <c r="N1393" s="514"/>
      <c r="R1393" s="293"/>
      <c r="S1393" s="316"/>
      <c r="T1393" s="355"/>
    </row>
    <row r="1394" spans="11:20" x14ac:dyDescent="0.25">
      <c r="K1394" s="312"/>
      <c r="N1394" s="514"/>
      <c r="R1394" s="293"/>
      <c r="S1394" s="316"/>
      <c r="T1394" s="355"/>
    </row>
    <row r="1395" spans="11:20" x14ac:dyDescent="0.25">
      <c r="K1395" s="312"/>
      <c r="N1395" s="514"/>
      <c r="R1395" s="293"/>
      <c r="S1395" s="316"/>
      <c r="T1395" s="355"/>
    </row>
    <row r="1396" spans="11:20" x14ac:dyDescent="0.25">
      <c r="K1396" s="312"/>
      <c r="N1396" s="514"/>
      <c r="R1396" s="293"/>
      <c r="S1396" s="316"/>
      <c r="T1396" s="355"/>
    </row>
    <row r="1397" spans="11:20" x14ac:dyDescent="0.25">
      <c r="K1397" s="312"/>
      <c r="N1397" s="514"/>
      <c r="R1397" s="293"/>
      <c r="S1397" s="316"/>
      <c r="T1397" s="355"/>
    </row>
    <row r="1398" spans="11:20" x14ac:dyDescent="0.25">
      <c r="K1398" s="312"/>
      <c r="N1398" s="514"/>
      <c r="R1398" s="293"/>
      <c r="S1398" s="316"/>
      <c r="T1398" s="355"/>
    </row>
    <row r="1399" spans="11:20" x14ac:dyDescent="0.25">
      <c r="K1399" s="312"/>
      <c r="N1399" s="514"/>
      <c r="R1399" s="293"/>
      <c r="S1399" s="316"/>
      <c r="T1399" s="355"/>
    </row>
    <row r="1400" spans="11:20" x14ac:dyDescent="0.25">
      <c r="K1400" s="312"/>
      <c r="N1400" s="514"/>
      <c r="R1400" s="293"/>
      <c r="S1400" s="316"/>
      <c r="T1400" s="355"/>
    </row>
    <row r="1401" spans="11:20" x14ac:dyDescent="0.25">
      <c r="K1401" s="312"/>
      <c r="N1401" s="514"/>
      <c r="R1401" s="293"/>
      <c r="S1401" s="316"/>
      <c r="T1401" s="355"/>
    </row>
    <row r="1402" spans="11:20" x14ac:dyDescent="0.25">
      <c r="K1402" s="312"/>
      <c r="N1402" s="514"/>
      <c r="R1402" s="293"/>
      <c r="S1402" s="316"/>
      <c r="T1402" s="355"/>
    </row>
    <row r="1403" spans="11:20" x14ac:dyDescent="0.25">
      <c r="K1403" s="312"/>
      <c r="N1403" s="514"/>
      <c r="R1403" s="293"/>
      <c r="S1403" s="316"/>
      <c r="T1403" s="355"/>
    </row>
    <row r="1404" spans="11:20" x14ac:dyDescent="0.25">
      <c r="K1404" s="312"/>
      <c r="N1404" s="514"/>
      <c r="R1404" s="293"/>
      <c r="S1404" s="316"/>
      <c r="T1404" s="355"/>
    </row>
    <row r="1405" spans="11:20" x14ac:dyDescent="0.25">
      <c r="K1405" s="312"/>
      <c r="N1405" s="514"/>
      <c r="R1405" s="293"/>
      <c r="S1405" s="316"/>
      <c r="T1405" s="355"/>
    </row>
    <row r="1406" spans="11:20" x14ac:dyDescent="0.25">
      <c r="K1406" s="312"/>
      <c r="N1406" s="514"/>
      <c r="R1406" s="293"/>
      <c r="S1406" s="316"/>
      <c r="T1406" s="355"/>
    </row>
    <row r="1407" spans="11:20" x14ac:dyDescent="0.25">
      <c r="K1407" s="312"/>
      <c r="N1407" s="514"/>
      <c r="R1407" s="293"/>
      <c r="S1407" s="316"/>
      <c r="T1407" s="355"/>
    </row>
    <row r="1408" spans="11:20" x14ac:dyDescent="0.25">
      <c r="K1408" s="312"/>
      <c r="N1408" s="514"/>
      <c r="R1408" s="293"/>
      <c r="S1408" s="316"/>
      <c r="T1408" s="355"/>
    </row>
    <row r="1409" spans="11:20" x14ac:dyDescent="0.25">
      <c r="K1409" s="312"/>
      <c r="N1409" s="514"/>
      <c r="R1409" s="293"/>
      <c r="S1409" s="316"/>
      <c r="T1409" s="355"/>
    </row>
    <row r="1410" spans="11:20" x14ac:dyDescent="0.25">
      <c r="K1410" s="312"/>
      <c r="N1410" s="514"/>
      <c r="R1410" s="293"/>
      <c r="S1410" s="316"/>
      <c r="T1410" s="355"/>
    </row>
    <row r="1411" spans="11:20" x14ac:dyDescent="0.25">
      <c r="K1411" s="312"/>
      <c r="N1411" s="514"/>
      <c r="R1411" s="293"/>
      <c r="S1411" s="316"/>
      <c r="T1411" s="355"/>
    </row>
    <row r="1412" spans="11:20" x14ac:dyDescent="0.25">
      <c r="K1412" s="312"/>
      <c r="N1412" s="514"/>
      <c r="R1412" s="293"/>
      <c r="S1412" s="316"/>
      <c r="T1412" s="355"/>
    </row>
    <row r="1413" spans="11:20" x14ac:dyDescent="0.25">
      <c r="K1413" s="312"/>
      <c r="N1413" s="514"/>
      <c r="R1413" s="293"/>
      <c r="S1413" s="316"/>
      <c r="T1413" s="355"/>
    </row>
    <row r="1414" spans="11:20" x14ac:dyDescent="0.25">
      <c r="K1414" s="312"/>
      <c r="N1414" s="514"/>
      <c r="R1414" s="293"/>
      <c r="S1414" s="316"/>
      <c r="T1414" s="355"/>
    </row>
    <row r="1415" spans="11:20" x14ac:dyDescent="0.25">
      <c r="K1415" s="312"/>
      <c r="N1415" s="514"/>
      <c r="R1415" s="293"/>
      <c r="S1415" s="316"/>
      <c r="T1415" s="355"/>
    </row>
    <row r="1416" spans="11:20" x14ac:dyDescent="0.25">
      <c r="K1416" s="312"/>
      <c r="N1416" s="514"/>
      <c r="R1416" s="293"/>
      <c r="S1416" s="316"/>
      <c r="T1416" s="355"/>
    </row>
    <row r="1417" spans="11:20" x14ac:dyDescent="0.25">
      <c r="K1417" s="312"/>
      <c r="N1417" s="514"/>
      <c r="R1417" s="293"/>
      <c r="S1417" s="316"/>
      <c r="T1417" s="355"/>
    </row>
    <row r="1418" spans="11:20" x14ac:dyDescent="0.25">
      <c r="K1418" s="312"/>
      <c r="N1418" s="514"/>
      <c r="R1418" s="293"/>
      <c r="S1418" s="316"/>
      <c r="T1418" s="355"/>
    </row>
    <row r="1419" spans="11:20" x14ac:dyDescent="0.25">
      <c r="K1419" s="312"/>
      <c r="N1419" s="514"/>
      <c r="R1419" s="293"/>
      <c r="S1419" s="316"/>
      <c r="T1419" s="355"/>
    </row>
    <row r="1420" spans="11:20" x14ac:dyDescent="0.25">
      <c r="K1420" s="312"/>
      <c r="N1420" s="514"/>
      <c r="R1420" s="293"/>
      <c r="S1420" s="316"/>
      <c r="T1420" s="355"/>
    </row>
    <row r="1421" spans="11:20" x14ac:dyDescent="0.25">
      <c r="K1421" s="312"/>
      <c r="N1421" s="514"/>
      <c r="R1421" s="293"/>
      <c r="S1421" s="316"/>
      <c r="T1421" s="355"/>
    </row>
    <row r="1422" spans="11:20" x14ac:dyDescent="0.25">
      <c r="K1422" s="312"/>
      <c r="N1422" s="514"/>
      <c r="R1422" s="293"/>
      <c r="S1422" s="316"/>
      <c r="T1422" s="355"/>
    </row>
    <row r="1423" spans="11:20" x14ac:dyDescent="0.25">
      <c r="K1423" s="312"/>
      <c r="N1423" s="514"/>
      <c r="R1423" s="293"/>
      <c r="S1423" s="316"/>
      <c r="T1423" s="355"/>
    </row>
    <row r="1424" spans="11:20" x14ac:dyDescent="0.25">
      <c r="K1424" s="312"/>
      <c r="N1424" s="514"/>
      <c r="R1424" s="293"/>
      <c r="S1424" s="316"/>
      <c r="T1424" s="355"/>
    </row>
    <row r="1425" spans="11:20" x14ac:dyDescent="0.25">
      <c r="K1425" s="312"/>
      <c r="N1425" s="514"/>
      <c r="R1425" s="293"/>
      <c r="S1425" s="316"/>
      <c r="T1425" s="355"/>
    </row>
    <row r="1426" spans="11:20" x14ac:dyDescent="0.25">
      <c r="K1426" s="312"/>
      <c r="N1426" s="514"/>
      <c r="R1426" s="293"/>
      <c r="S1426" s="316"/>
      <c r="T1426" s="355"/>
    </row>
    <row r="1427" spans="11:20" x14ac:dyDescent="0.25">
      <c r="K1427" s="312"/>
      <c r="N1427" s="514"/>
      <c r="R1427" s="293"/>
      <c r="S1427" s="316"/>
      <c r="T1427" s="355"/>
    </row>
    <row r="1428" spans="11:20" x14ac:dyDescent="0.25">
      <c r="K1428" s="312"/>
      <c r="N1428" s="514"/>
      <c r="R1428" s="293"/>
      <c r="S1428" s="316"/>
      <c r="T1428" s="355"/>
    </row>
    <row r="1429" spans="11:20" x14ac:dyDescent="0.25">
      <c r="K1429" s="312"/>
      <c r="N1429" s="514"/>
      <c r="R1429" s="293"/>
      <c r="S1429" s="316"/>
      <c r="T1429" s="355"/>
    </row>
    <row r="1430" spans="11:20" x14ac:dyDescent="0.25">
      <c r="K1430" s="312"/>
      <c r="N1430" s="514"/>
      <c r="R1430" s="293"/>
      <c r="S1430" s="316"/>
      <c r="T1430" s="355"/>
    </row>
    <row r="1431" spans="11:20" x14ac:dyDescent="0.25">
      <c r="K1431" s="312"/>
      <c r="N1431" s="514"/>
      <c r="R1431" s="293"/>
      <c r="S1431" s="316"/>
      <c r="T1431" s="355"/>
    </row>
    <row r="1432" spans="11:20" x14ac:dyDescent="0.25">
      <c r="K1432" s="312"/>
      <c r="N1432" s="514"/>
      <c r="R1432" s="293"/>
      <c r="S1432" s="316"/>
      <c r="T1432" s="355"/>
    </row>
    <row r="1433" spans="11:20" x14ac:dyDescent="0.25">
      <c r="K1433" s="312"/>
      <c r="N1433" s="514"/>
      <c r="R1433" s="293"/>
      <c r="S1433" s="316"/>
      <c r="T1433" s="355"/>
    </row>
    <row r="1434" spans="11:20" x14ac:dyDescent="0.25">
      <c r="K1434" s="312"/>
      <c r="N1434" s="514"/>
      <c r="R1434" s="293"/>
      <c r="S1434" s="316"/>
      <c r="T1434" s="355"/>
    </row>
    <row r="1435" spans="11:20" x14ac:dyDescent="0.25">
      <c r="K1435" s="312"/>
      <c r="N1435" s="514"/>
      <c r="R1435" s="293"/>
      <c r="S1435" s="316"/>
      <c r="T1435" s="355"/>
    </row>
    <row r="1436" spans="11:20" x14ac:dyDescent="0.25">
      <c r="K1436" s="312"/>
      <c r="N1436" s="514"/>
      <c r="R1436" s="293"/>
      <c r="S1436" s="316"/>
      <c r="T1436" s="355"/>
    </row>
    <row r="1437" spans="11:20" x14ac:dyDescent="0.25">
      <c r="K1437" s="312"/>
      <c r="N1437" s="514"/>
      <c r="R1437" s="293"/>
      <c r="S1437" s="316"/>
      <c r="T1437" s="355"/>
    </row>
    <row r="1438" spans="11:20" x14ac:dyDescent="0.25">
      <c r="K1438" s="312"/>
      <c r="N1438" s="514"/>
      <c r="R1438" s="293"/>
      <c r="S1438" s="316"/>
      <c r="T1438" s="355"/>
    </row>
    <row r="1439" spans="11:20" x14ac:dyDescent="0.25">
      <c r="K1439" s="312"/>
      <c r="N1439" s="514"/>
      <c r="R1439" s="293"/>
      <c r="S1439" s="316"/>
      <c r="T1439" s="355"/>
    </row>
    <row r="1440" spans="11:20" x14ac:dyDescent="0.25">
      <c r="K1440" s="312"/>
      <c r="N1440" s="514"/>
      <c r="R1440" s="293"/>
      <c r="S1440" s="316"/>
      <c r="T1440" s="355"/>
    </row>
    <row r="1441" spans="11:20" x14ac:dyDescent="0.25">
      <c r="K1441" s="312"/>
      <c r="N1441" s="514"/>
      <c r="R1441" s="293"/>
      <c r="S1441" s="316"/>
      <c r="T1441" s="355"/>
    </row>
    <row r="1442" spans="11:20" x14ac:dyDescent="0.25">
      <c r="K1442" s="312"/>
      <c r="N1442" s="514"/>
      <c r="R1442" s="293"/>
      <c r="S1442" s="316"/>
      <c r="T1442" s="355"/>
    </row>
    <row r="1443" spans="11:20" x14ac:dyDescent="0.25">
      <c r="K1443" s="312"/>
      <c r="N1443" s="514"/>
      <c r="R1443" s="293"/>
      <c r="S1443" s="316"/>
      <c r="T1443" s="355"/>
    </row>
    <row r="1444" spans="11:20" x14ac:dyDescent="0.25">
      <c r="K1444" s="312"/>
      <c r="N1444" s="514"/>
      <c r="R1444" s="293"/>
      <c r="S1444" s="316"/>
      <c r="T1444" s="355"/>
    </row>
    <row r="1445" spans="11:20" x14ac:dyDescent="0.25">
      <c r="K1445" s="312"/>
      <c r="N1445" s="514"/>
      <c r="R1445" s="293"/>
      <c r="S1445" s="316"/>
      <c r="T1445" s="355"/>
    </row>
    <row r="1446" spans="11:20" x14ac:dyDescent="0.25">
      <c r="K1446" s="312"/>
      <c r="N1446" s="514"/>
      <c r="R1446" s="293"/>
      <c r="S1446" s="316"/>
      <c r="T1446" s="355"/>
    </row>
    <row r="1447" spans="11:20" x14ac:dyDescent="0.25">
      <c r="K1447" s="312"/>
      <c r="N1447" s="514"/>
      <c r="R1447" s="293"/>
      <c r="S1447" s="316"/>
      <c r="T1447" s="355"/>
    </row>
    <row r="1448" spans="11:20" x14ac:dyDescent="0.25">
      <c r="K1448" s="312"/>
      <c r="N1448" s="514"/>
      <c r="R1448" s="293"/>
      <c r="S1448" s="316"/>
      <c r="T1448" s="355"/>
    </row>
    <row r="1449" spans="11:20" x14ac:dyDescent="0.25">
      <c r="K1449" s="312"/>
      <c r="N1449" s="514"/>
      <c r="R1449" s="293"/>
      <c r="S1449" s="316"/>
      <c r="T1449" s="355"/>
    </row>
    <row r="1450" spans="11:20" x14ac:dyDescent="0.25">
      <c r="K1450" s="312"/>
      <c r="N1450" s="514"/>
      <c r="R1450" s="293"/>
      <c r="S1450" s="316"/>
      <c r="T1450" s="355"/>
    </row>
    <row r="1451" spans="11:20" x14ac:dyDescent="0.25">
      <c r="K1451" s="312"/>
      <c r="N1451" s="514"/>
      <c r="R1451" s="293"/>
      <c r="S1451" s="316"/>
      <c r="T1451" s="355"/>
    </row>
    <row r="1452" spans="11:20" x14ac:dyDescent="0.25">
      <c r="K1452" s="312"/>
      <c r="N1452" s="514"/>
      <c r="R1452" s="293"/>
      <c r="S1452" s="316"/>
      <c r="T1452" s="355"/>
    </row>
    <row r="1453" spans="11:20" x14ac:dyDescent="0.25">
      <c r="K1453" s="312"/>
      <c r="N1453" s="514"/>
      <c r="R1453" s="293"/>
      <c r="S1453" s="316"/>
      <c r="T1453" s="355"/>
    </row>
    <row r="1454" spans="11:20" x14ac:dyDescent="0.25">
      <c r="K1454" s="312"/>
      <c r="N1454" s="514"/>
      <c r="R1454" s="293"/>
      <c r="S1454" s="316"/>
      <c r="T1454" s="355"/>
    </row>
    <row r="1455" spans="11:20" x14ac:dyDescent="0.25">
      <c r="K1455" s="312"/>
      <c r="N1455" s="514"/>
      <c r="R1455" s="293"/>
      <c r="S1455" s="316"/>
      <c r="T1455" s="355"/>
    </row>
    <row r="1456" spans="11:20" x14ac:dyDescent="0.25">
      <c r="K1456" s="312"/>
      <c r="N1456" s="514"/>
      <c r="R1456" s="293"/>
      <c r="S1456" s="316"/>
      <c r="T1456" s="355"/>
    </row>
    <row r="1457" spans="11:20" x14ac:dyDescent="0.25">
      <c r="K1457" s="312"/>
      <c r="N1457" s="514"/>
      <c r="R1457" s="293"/>
      <c r="S1457" s="316"/>
      <c r="T1457" s="355"/>
    </row>
    <row r="1458" spans="11:20" x14ac:dyDescent="0.25">
      <c r="K1458" s="312"/>
      <c r="N1458" s="514"/>
      <c r="R1458" s="293"/>
      <c r="S1458" s="316"/>
      <c r="T1458" s="355"/>
    </row>
    <row r="1459" spans="11:20" x14ac:dyDescent="0.25">
      <c r="K1459" s="312"/>
      <c r="N1459" s="514"/>
      <c r="R1459" s="293"/>
      <c r="S1459" s="316"/>
      <c r="T1459" s="355"/>
    </row>
    <row r="1460" spans="11:20" x14ac:dyDescent="0.25">
      <c r="K1460" s="312"/>
      <c r="N1460" s="514"/>
      <c r="R1460" s="293"/>
      <c r="S1460" s="316"/>
      <c r="T1460" s="355"/>
    </row>
    <row r="1461" spans="11:20" x14ac:dyDescent="0.25">
      <c r="K1461" s="312"/>
      <c r="N1461" s="514"/>
      <c r="R1461" s="293"/>
      <c r="S1461" s="316"/>
      <c r="T1461" s="355"/>
    </row>
    <row r="1462" spans="11:20" x14ac:dyDescent="0.25">
      <c r="K1462" s="312"/>
      <c r="N1462" s="514"/>
      <c r="R1462" s="293"/>
      <c r="S1462" s="316"/>
      <c r="T1462" s="355"/>
    </row>
    <row r="1463" spans="11:20" x14ac:dyDescent="0.25">
      <c r="K1463" s="312"/>
      <c r="N1463" s="514"/>
      <c r="R1463" s="293"/>
      <c r="S1463" s="316"/>
      <c r="T1463" s="355"/>
    </row>
    <row r="1464" spans="11:20" x14ac:dyDescent="0.25">
      <c r="K1464" s="312"/>
      <c r="N1464" s="514"/>
      <c r="R1464" s="293"/>
      <c r="S1464" s="316"/>
      <c r="T1464" s="355"/>
    </row>
    <row r="1465" spans="11:20" x14ac:dyDescent="0.25">
      <c r="K1465" s="312"/>
      <c r="N1465" s="514"/>
      <c r="R1465" s="293"/>
      <c r="S1465" s="316"/>
      <c r="T1465" s="355"/>
    </row>
    <row r="1466" spans="11:20" x14ac:dyDescent="0.25">
      <c r="K1466" s="312"/>
      <c r="N1466" s="514"/>
      <c r="R1466" s="293"/>
      <c r="S1466" s="316"/>
      <c r="T1466" s="355"/>
    </row>
    <row r="1467" spans="11:20" x14ac:dyDescent="0.25">
      <c r="K1467" s="312"/>
      <c r="N1467" s="514"/>
      <c r="R1467" s="293"/>
      <c r="S1467" s="316"/>
      <c r="T1467" s="355"/>
    </row>
    <row r="1468" spans="11:20" x14ac:dyDescent="0.25">
      <c r="K1468" s="312"/>
      <c r="N1468" s="514"/>
      <c r="R1468" s="293"/>
      <c r="S1468" s="316"/>
      <c r="T1468" s="355"/>
    </row>
    <row r="1469" spans="11:20" x14ac:dyDescent="0.25">
      <c r="K1469" s="312"/>
      <c r="N1469" s="514"/>
      <c r="R1469" s="293"/>
      <c r="S1469" s="316"/>
      <c r="T1469" s="355"/>
    </row>
    <row r="1470" spans="11:20" x14ac:dyDescent="0.25">
      <c r="K1470" s="312"/>
      <c r="N1470" s="514"/>
      <c r="R1470" s="293"/>
      <c r="S1470" s="316"/>
      <c r="T1470" s="355"/>
    </row>
    <row r="1471" spans="11:20" x14ac:dyDescent="0.25">
      <c r="K1471" s="312"/>
      <c r="N1471" s="514"/>
      <c r="R1471" s="293"/>
      <c r="S1471" s="316"/>
      <c r="T1471" s="355"/>
    </row>
    <row r="1472" spans="11:20" x14ac:dyDescent="0.25">
      <c r="K1472" s="312"/>
      <c r="N1472" s="514"/>
      <c r="R1472" s="293"/>
      <c r="S1472" s="316"/>
      <c r="T1472" s="355"/>
    </row>
    <row r="1473" spans="11:20" x14ac:dyDescent="0.25">
      <c r="K1473" s="312"/>
      <c r="N1473" s="514"/>
      <c r="R1473" s="293"/>
      <c r="S1473" s="316"/>
      <c r="T1473" s="355"/>
    </row>
    <row r="1474" spans="11:20" x14ac:dyDescent="0.25">
      <c r="K1474" s="312"/>
      <c r="N1474" s="514"/>
      <c r="R1474" s="293"/>
      <c r="S1474" s="316"/>
      <c r="T1474" s="355"/>
    </row>
    <row r="1475" spans="11:20" x14ac:dyDescent="0.25">
      <c r="K1475" s="312"/>
      <c r="N1475" s="514"/>
      <c r="R1475" s="293"/>
      <c r="S1475" s="316"/>
      <c r="T1475" s="355"/>
    </row>
    <row r="1476" spans="11:20" x14ac:dyDescent="0.25">
      <c r="K1476" s="312"/>
      <c r="N1476" s="514"/>
      <c r="R1476" s="293"/>
      <c r="S1476" s="316"/>
      <c r="T1476" s="355"/>
    </row>
    <row r="1477" spans="11:20" x14ac:dyDescent="0.25">
      <c r="K1477" s="312"/>
      <c r="N1477" s="514"/>
      <c r="R1477" s="293"/>
      <c r="S1477" s="316"/>
      <c r="T1477" s="355"/>
    </row>
    <row r="1478" spans="11:20" x14ac:dyDescent="0.25">
      <c r="K1478" s="312"/>
      <c r="N1478" s="514"/>
      <c r="R1478" s="293"/>
      <c r="S1478" s="316"/>
      <c r="T1478" s="355"/>
    </row>
    <row r="1479" spans="11:20" x14ac:dyDescent="0.25">
      <c r="K1479" s="312"/>
      <c r="N1479" s="514"/>
      <c r="R1479" s="293"/>
      <c r="S1479" s="316"/>
      <c r="T1479" s="355"/>
    </row>
    <row r="1480" spans="11:20" x14ac:dyDescent="0.25">
      <c r="K1480" s="312"/>
      <c r="N1480" s="514"/>
      <c r="R1480" s="293"/>
      <c r="S1480" s="316"/>
      <c r="T1480" s="355"/>
    </row>
    <row r="1481" spans="11:20" x14ac:dyDescent="0.25">
      <c r="K1481" s="312"/>
      <c r="N1481" s="514"/>
      <c r="R1481" s="293"/>
      <c r="S1481" s="316"/>
      <c r="T1481" s="355"/>
    </row>
    <row r="1482" spans="11:20" x14ac:dyDescent="0.25">
      <c r="K1482" s="312"/>
      <c r="N1482" s="514"/>
      <c r="R1482" s="293"/>
      <c r="S1482" s="316"/>
      <c r="T1482" s="355"/>
    </row>
    <row r="1483" spans="11:20" x14ac:dyDescent="0.25">
      <c r="K1483" s="312"/>
      <c r="N1483" s="514"/>
      <c r="R1483" s="293"/>
      <c r="S1483" s="316"/>
      <c r="T1483" s="355"/>
    </row>
    <row r="1484" spans="11:20" x14ac:dyDescent="0.25">
      <c r="K1484" s="312"/>
      <c r="N1484" s="514"/>
      <c r="R1484" s="293"/>
      <c r="S1484" s="316"/>
      <c r="T1484" s="355"/>
    </row>
    <row r="1485" spans="11:20" x14ac:dyDescent="0.25">
      <c r="K1485" s="312"/>
      <c r="N1485" s="514"/>
      <c r="R1485" s="293"/>
      <c r="S1485" s="316"/>
      <c r="T1485" s="355"/>
    </row>
    <row r="1486" spans="11:20" x14ac:dyDescent="0.25">
      <c r="K1486" s="312"/>
      <c r="N1486" s="514"/>
      <c r="R1486" s="293"/>
      <c r="S1486" s="316"/>
      <c r="T1486" s="355"/>
    </row>
    <row r="1487" spans="11:20" x14ac:dyDescent="0.25">
      <c r="K1487" s="312"/>
      <c r="N1487" s="514"/>
      <c r="R1487" s="293"/>
      <c r="S1487" s="316"/>
      <c r="T1487" s="355"/>
    </row>
    <row r="1488" spans="11:20" x14ac:dyDescent="0.25">
      <c r="K1488" s="312"/>
      <c r="N1488" s="514"/>
      <c r="R1488" s="293"/>
      <c r="S1488" s="316"/>
      <c r="T1488" s="355"/>
    </row>
    <row r="1489" spans="11:20" x14ac:dyDescent="0.25">
      <c r="K1489" s="312"/>
      <c r="N1489" s="514"/>
      <c r="R1489" s="293"/>
      <c r="S1489" s="316"/>
      <c r="T1489" s="355"/>
    </row>
    <row r="1490" spans="11:20" x14ac:dyDescent="0.25">
      <c r="K1490" s="312"/>
      <c r="N1490" s="514"/>
      <c r="R1490" s="293"/>
      <c r="S1490" s="316"/>
      <c r="T1490" s="355"/>
    </row>
    <row r="1491" spans="11:20" x14ac:dyDescent="0.25">
      <c r="K1491" s="312"/>
      <c r="N1491" s="514"/>
      <c r="R1491" s="293"/>
      <c r="S1491" s="316"/>
      <c r="T1491" s="355"/>
    </row>
    <row r="1492" spans="11:20" x14ac:dyDescent="0.25">
      <c r="K1492" s="312"/>
      <c r="N1492" s="514"/>
      <c r="R1492" s="293"/>
      <c r="S1492" s="316"/>
      <c r="T1492" s="355"/>
    </row>
    <row r="1493" spans="11:20" x14ac:dyDescent="0.25">
      <c r="K1493" s="312"/>
      <c r="N1493" s="514"/>
      <c r="R1493" s="293"/>
      <c r="S1493" s="316"/>
      <c r="T1493" s="355"/>
    </row>
    <row r="1494" spans="11:20" x14ac:dyDescent="0.25">
      <c r="K1494" s="312"/>
      <c r="N1494" s="514"/>
      <c r="R1494" s="293"/>
      <c r="S1494" s="316"/>
      <c r="T1494" s="355"/>
    </row>
    <row r="1495" spans="11:20" x14ac:dyDescent="0.25">
      <c r="K1495" s="312"/>
      <c r="N1495" s="514"/>
      <c r="R1495" s="293"/>
      <c r="S1495" s="316"/>
      <c r="T1495" s="355"/>
    </row>
    <row r="1496" spans="11:20" x14ac:dyDescent="0.25">
      <c r="K1496" s="312"/>
      <c r="N1496" s="514"/>
      <c r="R1496" s="293"/>
      <c r="S1496" s="316"/>
      <c r="T1496" s="355"/>
    </row>
    <row r="1497" spans="11:20" x14ac:dyDescent="0.25">
      <c r="K1497" s="312"/>
      <c r="N1497" s="514"/>
      <c r="R1497" s="293"/>
      <c r="S1497" s="316"/>
      <c r="T1497" s="355"/>
    </row>
    <row r="1498" spans="11:20" x14ac:dyDescent="0.25">
      <c r="K1498" s="312"/>
      <c r="N1498" s="514"/>
      <c r="R1498" s="293"/>
      <c r="S1498" s="316"/>
      <c r="T1498" s="355"/>
    </row>
    <row r="1499" spans="11:20" x14ac:dyDescent="0.25">
      <c r="K1499" s="312"/>
      <c r="N1499" s="514"/>
      <c r="R1499" s="293"/>
      <c r="S1499" s="316"/>
      <c r="T1499" s="355"/>
    </row>
    <row r="1500" spans="11:20" x14ac:dyDescent="0.25">
      <c r="K1500" s="312"/>
      <c r="N1500" s="514"/>
      <c r="R1500" s="293"/>
      <c r="S1500" s="316"/>
      <c r="T1500" s="355"/>
    </row>
    <row r="1501" spans="11:20" x14ac:dyDescent="0.25">
      <c r="K1501" s="312"/>
      <c r="N1501" s="514"/>
      <c r="R1501" s="293"/>
      <c r="S1501" s="316"/>
      <c r="T1501" s="355"/>
    </row>
    <row r="1502" spans="11:20" x14ac:dyDescent="0.25">
      <c r="K1502" s="312"/>
      <c r="N1502" s="514"/>
      <c r="R1502" s="293"/>
      <c r="S1502" s="316"/>
      <c r="T1502" s="355"/>
    </row>
    <row r="1503" spans="11:20" x14ac:dyDescent="0.25">
      <c r="K1503" s="312"/>
      <c r="N1503" s="514"/>
      <c r="R1503" s="293"/>
      <c r="S1503" s="316"/>
      <c r="T1503" s="355"/>
    </row>
    <row r="1504" spans="11:20" x14ac:dyDescent="0.25">
      <c r="K1504" s="312"/>
      <c r="N1504" s="514"/>
      <c r="R1504" s="293"/>
      <c r="S1504" s="316"/>
      <c r="T1504" s="355"/>
    </row>
    <row r="1505" spans="11:20" x14ac:dyDescent="0.25">
      <c r="K1505" s="312"/>
      <c r="N1505" s="514"/>
      <c r="R1505" s="293"/>
      <c r="S1505" s="316"/>
      <c r="T1505" s="355"/>
    </row>
    <row r="1506" spans="11:20" x14ac:dyDescent="0.25">
      <c r="K1506" s="312"/>
      <c r="N1506" s="514"/>
      <c r="R1506" s="293"/>
      <c r="S1506" s="316"/>
      <c r="T1506" s="355"/>
    </row>
    <row r="1507" spans="11:20" x14ac:dyDescent="0.25">
      <c r="K1507" s="312"/>
      <c r="N1507" s="514"/>
      <c r="R1507" s="293"/>
      <c r="S1507" s="316"/>
      <c r="T1507" s="355"/>
    </row>
    <row r="1508" spans="11:20" x14ac:dyDescent="0.25">
      <c r="K1508" s="312"/>
      <c r="N1508" s="514"/>
      <c r="R1508" s="293"/>
      <c r="S1508" s="316"/>
      <c r="T1508" s="355"/>
    </row>
    <row r="1509" spans="11:20" x14ac:dyDescent="0.25">
      <c r="K1509" s="312"/>
      <c r="N1509" s="514"/>
      <c r="R1509" s="293"/>
      <c r="S1509" s="316"/>
      <c r="T1509" s="355"/>
    </row>
    <row r="1510" spans="11:20" x14ac:dyDescent="0.25">
      <c r="K1510" s="312"/>
      <c r="N1510" s="514"/>
      <c r="R1510" s="293"/>
      <c r="S1510" s="316"/>
      <c r="T1510" s="355"/>
    </row>
    <row r="1511" spans="11:20" x14ac:dyDescent="0.25">
      <c r="K1511" s="312"/>
      <c r="N1511" s="514"/>
      <c r="R1511" s="293"/>
      <c r="S1511" s="316"/>
      <c r="T1511" s="355"/>
    </row>
    <row r="1512" spans="11:20" x14ac:dyDescent="0.25">
      <c r="K1512" s="312"/>
      <c r="N1512" s="514"/>
      <c r="R1512" s="293"/>
      <c r="S1512" s="316"/>
      <c r="T1512" s="355"/>
    </row>
    <row r="1513" spans="11:20" x14ac:dyDescent="0.25">
      <c r="K1513" s="312"/>
      <c r="N1513" s="514"/>
      <c r="R1513" s="293"/>
      <c r="S1513" s="316"/>
      <c r="T1513" s="355"/>
    </row>
    <row r="1514" spans="11:20" x14ac:dyDescent="0.25">
      <c r="K1514" s="312"/>
      <c r="N1514" s="514"/>
      <c r="R1514" s="293"/>
      <c r="S1514" s="316"/>
      <c r="T1514" s="355"/>
    </row>
    <row r="1515" spans="11:20" x14ac:dyDescent="0.25">
      <c r="K1515" s="312"/>
      <c r="N1515" s="514"/>
      <c r="R1515" s="293"/>
      <c r="S1515" s="316"/>
      <c r="T1515" s="355"/>
    </row>
    <row r="1516" spans="11:20" x14ac:dyDescent="0.25">
      <c r="K1516" s="312"/>
      <c r="N1516" s="514"/>
      <c r="R1516" s="293"/>
      <c r="S1516" s="316"/>
      <c r="T1516" s="355"/>
    </row>
    <row r="1517" spans="11:20" x14ac:dyDescent="0.25">
      <c r="K1517" s="312"/>
      <c r="N1517" s="514"/>
      <c r="R1517" s="293"/>
      <c r="S1517" s="316"/>
      <c r="T1517" s="355"/>
    </row>
    <row r="1518" spans="11:20" x14ac:dyDescent="0.25">
      <c r="K1518" s="312"/>
      <c r="N1518" s="514"/>
      <c r="R1518" s="293"/>
      <c r="S1518" s="316"/>
      <c r="T1518" s="355"/>
    </row>
    <row r="1519" spans="11:20" x14ac:dyDescent="0.25">
      <c r="K1519" s="312"/>
      <c r="N1519" s="514"/>
      <c r="R1519" s="293"/>
      <c r="S1519" s="316"/>
      <c r="T1519" s="355"/>
    </row>
    <row r="1520" spans="11:20" x14ac:dyDescent="0.25">
      <c r="K1520" s="312"/>
      <c r="N1520" s="514"/>
      <c r="R1520" s="293"/>
      <c r="S1520" s="316"/>
      <c r="T1520" s="355"/>
    </row>
    <row r="1521" spans="11:20" x14ac:dyDescent="0.25">
      <c r="K1521" s="312"/>
      <c r="N1521" s="514"/>
      <c r="R1521" s="293"/>
      <c r="S1521" s="316"/>
      <c r="T1521" s="355"/>
    </row>
    <row r="1522" spans="11:20" x14ac:dyDescent="0.25">
      <c r="K1522" s="312"/>
      <c r="N1522" s="514"/>
      <c r="R1522" s="293"/>
      <c r="S1522" s="316"/>
      <c r="T1522" s="355"/>
    </row>
    <row r="1523" spans="11:20" x14ac:dyDescent="0.25">
      <c r="K1523" s="312"/>
      <c r="N1523" s="514"/>
      <c r="R1523" s="293"/>
      <c r="S1523" s="316"/>
      <c r="T1523" s="355"/>
    </row>
    <row r="1524" spans="11:20" x14ac:dyDescent="0.25">
      <c r="K1524" s="312"/>
      <c r="N1524" s="514"/>
      <c r="R1524" s="293"/>
      <c r="S1524" s="316"/>
      <c r="T1524" s="355"/>
    </row>
    <row r="1525" spans="11:20" x14ac:dyDescent="0.25">
      <c r="K1525" s="312"/>
      <c r="N1525" s="514"/>
      <c r="R1525" s="293"/>
      <c r="S1525" s="316"/>
      <c r="T1525" s="355"/>
    </row>
    <row r="1526" spans="11:20" x14ac:dyDescent="0.25">
      <c r="K1526" s="312"/>
      <c r="N1526" s="514"/>
      <c r="R1526" s="293"/>
      <c r="S1526" s="316"/>
      <c r="T1526" s="355"/>
    </row>
    <row r="1527" spans="11:20" x14ac:dyDescent="0.25">
      <c r="K1527" s="312"/>
      <c r="N1527" s="514"/>
      <c r="R1527" s="293"/>
      <c r="S1527" s="316"/>
      <c r="T1527" s="355"/>
    </row>
    <row r="1528" spans="11:20" x14ac:dyDescent="0.25">
      <c r="K1528" s="312"/>
      <c r="N1528" s="514"/>
      <c r="R1528" s="293"/>
      <c r="S1528" s="316"/>
      <c r="T1528" s="355"/>
    </row>
    <row r="1529" spans="11:20" x14ac:dyDescent="0.25">
      <c r="K1529" s="312"/>
      <c r="N1529" s="514"/>
      <c r="R1529" s="293"/>
      <c r="S1529" s="316"/>
      <c r="T1529" s="355"/>
    </row>
    <row r="1530" spans="11:20" x14ac:dyDescent="0.25">
      <c r="K1530" s="312"/>
      <c r="N1530" s="514"/>
      <c r="R1530" s="293"/>
      <c r="S1530" s="316"/>
      <c r="T1530" s="355"/>
    </row>
    <row r="1531" spans="11:20" x14ac:dyDescent="0.25">
      <c r="K1531" s="312"/>
      <c r="N1531" s="514"/>
      <c r="R1531" s="293"/>
      <c r="S1531" s="316"/>
      <c r="T1531" s="355"/>
    </row>
    <row r="1532" spans="11:20" x14ac:dyDescent="0.25">
      <c r="K1532" s="312"/>
      <c r="N1532" s="514"/>
      <c r="R1532" s="293"/>
      <c r="S1532" s="316"/>
      <c r="T1532" s="355"/>
    </row>
    <row r="1533" spans="11:20" x14ac:dyDescent="0.25">
      <c r="K1533" s="312"/>
      <c r="N1533" s="514"/>
      <c r="R1533" s="293"/>
      <c r="S1533" s="316"/>
      <c r="T1533" s="355"/>
    </row>
    <row r="1534" spans="11:20" x14ac:dyDescent="0.25">
      <c r="K1534" s="312"/>
      <c r="N1534" s="514"/>
      <c r="R1534" s="293"/>
      <c r="S1534" s="316"/>
      <c r="T1534" s="355"/>
    </row>
    <row r="1535" spans="11:20" x14ac:dyDescent="0.25">
      <c r="K1535" s="312"/>
      <c r="N1535" s="514"/>
      <c r="R1535" s="293"/>
      <c r="S1535" s="316"/>
      <c r="T1535" s="355"/>
    </row>
    <row r="1536" spans="11:20" x14ac:dyDescent="0.25">
      <c r="K1536" s="312"/>
      <c r="N1536" s="514"/>
      <c r="R1536" s="293"/>
      <c r="S1536" s="316"/>
      <c r="T1536" s="355"/>
    </row>
    <row r="1537" spans="11:20" x14ac:dyDescent="0.25">
      <c r="K1537" s="312"/>
      <c r="N1537" s="514"/>
      <c r="R1537" s="293"/>
      <c r="S1537" s="316"/>
      <c r="T1537" s="355"/>
    </row>
    <row r="1538" spans="11:20" x14ac:dyDescent="0.25">
      <c r="K1538" s="312"/>
      <c r="N1538" s="514"/>
      <c r="R1538" s="293"/>
      <c r="S1538" s="316"/>
      <c r="T1538" s="355"/>
    </row>
    <row r="1539" spans="11:20" x14ac:dyDescent="0.25">
      <c r="K1539" s="312"/>
      <c r="N1539" s="514"/>
      <c r="R1539" s="293"/>
      <c r="S1539" s="316"/>
      <c r="T1539" s="355"/>
    </row>
    <row r="1540" spans="11:20" x14ac:dyDescent="0.25">
      <c r="K1540" s="312"/>
      <c r="N1540" s="514"/>
      <c r="R1540" s="293"/>
      <c r="S1540" s="316"/>
      <c r="T1540" s="355"/>
    </row>
    <row r="1541" spans="11:20" x14ac:dyDescent="0.25">
      <c r="K1541" s="312"/>
      <c r="N1541" s="514"/>
      <c r="R1541" s="293"/>
      <c r="S1541" s="316"/>
      <c r="T1541" s="355"/>
    </row>
    <row r="1542" spans="11:20" x14ac:dyDescent="0.25">
      <c r="K1542" s="312"/>
      <c r="N1542" s="514"/>
      <c r="R1542" s="293"/>
      <c r="S1542" s="316"/>
      <c r="T1542" s="355"/>
    </row>
    <row r="1543" spans="11:20" x14ac:dyDescent="0.25">
      <c r="K1543" s="312"/>
      <c r="N1543" s="514"/>
      <c r="R1543" s="293"/>
      <c r="S1543" s="316"/>
      <c r="T1543" s="355"/>
    </row>
    <row r="1544" spans="11:20" x14ac:dyDescent="0.25">
      <c r="K1544" s="312"/>
      <c r="N1544" s="514"/>
      <c r="R1544" s="293"/>
      <c r="S1544" s="316"/>
      <c r="T1544" s="355"/>
    </row>
    <row r="1545" spans="11:20" x14ac:dyDescent="0.25">
      <c r="K1545" s="312"/>
      <c r="N1545" s="514"/>
      <c r="R1545" s="293"/>
      <c r="S1545" s="316"/>
      <c r="T1545" s="355"/>
    </row>
    <row r="1546" spans="11:20" x14ac:dyDescent="0.25">
      <c r="K1546" s="312"/>
      <c r="N1546" s="514"/>
      <c r="R1546" s="293"/>
      <c r="S1546" s="316"/>
      <c r="T1546" s="355"/>
    </row>
    <row r="1547" spans="11:20" x14ac:dyDescent="0.25">
      <c r="K1547" s="312"/>
      <c r="N1547" s="514"/>
      <c r="R1547" s="293"/>
      <c r="S1547" s="316"/>
      <c r="T1547" s="355"/>
    </row>
    <row r="1548" spans="11:20" x14ac:dyDescent="0.25">
      <c r="K1548" s="312"/>
      <c r="N1548" s="514"/>
      <c r="R1548" s="293"/>
      <c r="S1548" s="316"/>
      <c r="T1548" s="355"/>
    </row>
    <row r="1549" spans="11:20" x14ac:dyDescent="0.25">
      <c r="K1549" s="312"/>
      <c r="N1549" s="514"/>
      <c r="R1549" s="293"/>
      <c r="S1549" s="316"/>
      <c r="T1549" s="355"/>
    </row>
    <row r="1550" spans="11:20" x14ac:dyDescent="0.25">
      <c r="K1550" s="312"/>
      <c r="N1550" s="514"/>
      <c r="R1550" s="293"/>
      <c r="S1550" s="316"/>
      <c r="T1550" s="355"/>
    </row>
    <row r="1551" spans="11:20" x14ac:dyDescent="0.25">
      <c r="K1551" s="312"/>
      <c r="N1551" s="514"/>
      <c r="R1551" s="293"/>
      <c r="S1551" s="316"/>
      <c r="T1551" s="355"/>
    </row>
    <row r="1552" spans="11:20" x14ac:dyDescent="0.25">
      <c r="K1552" s="312"/>
      <c r="N1552" s="514"/>
      <c r="R1552" s="293"/>
      <c r="S1552" s="316"/>
      <c r="T1552" s="355"/>
    </row>
    <row r="1553" spans="11:20" x14ac:dyDescent="0.25">
      <c r="K1553" s="312"/>
      <c r="N1553" s="514"/>
      <c r="R1553" s="293"/>
      <c r="S1553" s="316"/>
      <c r="T1553" s="355"/>
    </row>
    <row r="1554" spans="11:20" x14ac:dyDescent="0.25">
      <c r="K1554" s="312"/>
      <c r="N1554" s="514"/>
      <c r="R1554" s="293"/>
      <c r="S1554" s="316"/>
      <c r="T1554" s="355"/>
    </row>
    <row r="1555" spans="11:20" x14ac:dyDescent="0.25">
      <c r="K1555" s="312"/>
      <c r="N1555" s="514"/>
      <c r="R1555" s="293"/>
      <c r="S1555" s="316"/>
      <c r="T1555" s="355"/>
    </row>
    <row r="1556" spans="11:20" x14ac:dyDescent="0.25">
      <c r="K1556" s="312"/>
      <c r="N1556" s="514"/>
      <c r="R1556" s="293"/>
      <c r="S1556" s="316"/>
      <c r="T1556" s="355"/>
    </row>
    <row r="1557" spans="11:20" x14ac:dyDescent="0.25">
      <c r="K1557" s="312"/>
      <c r="N1557" s="514"/>
      <c r="R1557" s="293"/>
      <c r="S1557" s="316"/>
      <c r="T1557" s="355"/>
    </row>
    <row r="1558" spans="11:20" x14ac:dyDescent="0.25">
      <c r="K1558" s="312"/>
      <c r="N1558" s="514"/>
      <c r="R1558" s="293"/>
      <c r="S1558" s="316"/>
      <c r="T1558" s="355"/>
    </row>
    <row r="1559" spans="11:20" x14ac:dyDescent="0.25">
      <c r="K1559" s="312"/>
      <c r="N1559" s="514"/>
      <c r="R1559" s="293"/>
      <c r="S1559" s="316"/>
      <c r="T1559" s="355"/>
    </row>
    <row r="1560" spans="11:20" x14ac:dyDescent="0.25">
      <c r="K1560" s="312"/>
      <c r="N1560" s="514"/>
      <c r="R1560" s="293"/>
      <c r="S1560" s="316"/>
      <c r="T1560" s="355"/>
    </row>
    <row r="1561" spans="11:20" x14ac:dyDescent="0.25">
      <c r="K1561" s="312"/>
      <c r="N1561" s="514"/>
      <c r="R1561" s="293"/>
      <c r="S1561" s="316"/>
      <c r="T1561" s="355"/>
    </row>
    <row r="1562" spans="11:20" x14ac:dyDescent="0.25">
      <c r="K1562" s="312"/>
      <c r="N1562" s="514"/>
      <c r="R1562" s="293"/>
      <c r="S1562" s="316"/>
      <c r="T1562" s="355"/>
    </row>
    <row r="1563" spans="11:20" x14ac:dyDescent="0.25">
      <c r="K1563" s="312"/>
      <c r="N1563" s="514"/>
      <c r="R1563" s="293"/>
      <c r="S1563" s="316"/>
      <c r="T1563" s="355"/>
    </row>
    <row r="1564" spans="11:20" x14ac:dyDescent="0.25">
      <c r="K1564" s="312"/>
      <c r="N1564" s="514"/>
      <c r="R1564" s="293"/>
      <c r="S1564" s="316"/>
      <c r="T1564" s="355"/>
    </row>
    <row r="1565" spans="11:20" x14ac:dyDescent="0.25">
      <c r="K1565" s="312"/>
      <c r="N1565" s="514"/>
      <c r="R1565" s="293"/>
      <c r="S1565" s="316"/>
      <c r="T1565" s="355"/>
    </row>
    <row r="1566" spans="11:20" x14ac:dyDescent="0.25">
      <c r="K1566" s="312"/>
      <c r="N1566" s="514"/>
      <c r="R1566" s="293"/>
      <c r="S1566" s="316"/>
      <c r="T1566" s="355"/>
    </row>
    <row r="1567" spans="11:20" x14ac:dyDescent="0.25">
      <c r="K1567" s="312"/>
      <c r="N1567" s="514"/>
      <c r="R1567" s="293"/>
      <c r="S1567" s="316"/>
      <c r="T1567" s="355"/>
    </row>
    <row r="1568" spans="11:20" x14ac:dyDescent="0.25">
      <c r="K1568" s="312"/>
      <c r="N1568" s="514"/>
      <c r="R1568" s="293"/>
      <c r="S1568" s="316"/>
      <c r="T1568" s="355"/>
    </row>
    <row r="1569" spans="11:20" x14ac:dyDescent="0.25">
      <c r="K1569" s="312"/>
      <c r="N1569" s="514"/>
      <c r="R1569" s="293"/>
      <c r="S1569" s="316"/>
      <c r="T1569" s="355"/>
    </row>
    <row r="1570" spans="11:20" x14ac:dyDescent="0.25">
      <c r="K1570" s="312"/>
      <c r="N1570" s="514"/>
      <c r="R1570" s="293"/>
      <c r="S1570" s="316"/>
      <c r="T1570" s="355"/>
    </row>
    <row r="1571" spans="11:20" x14ac:dyDescent="0.25">
      <c r="K1571" s="312"/>
      <c r="N1571" s="514"/>
      <c r="R1571" s="293"/>
      <c r="S1571" s="316"/>
      <c r="T1571" s="355"/>
    </row>
    <row r="1572" spans="11:20" x14ac:dyDescent="0.25">
      <c r="K1572" s="312"/>
      <c r="N1572" s="514"/>
      <c r="R1572" s="293"/>
      <c r="S1572" s="316"/>
      <c r="T1572" s="355"/>
    </row>
    <row r="1573" spans="11:20" x14ac:dyDescent="0.25">
      <c r="K1573" s="312"/>
      <c r="N1573" s="514"/>
      <c r="R1573" s="293"/>
      <c r="S1573" s="316"/>
      <c r="T1573" s="355"/>
    </row>
    <row r="1574" spans="11:20" x14ac:dyDescent="0.25">
      <c r="K1574" s="312"/>
      <c r="N1574" s="514"/>
      <c r="R1574" s="293"/>
      <c r="S1574" s="316"/>
      <c r="T1574" s="355"/>
    </row>
    <row r="1575" spans="11:20" x14ac:dyDescent="0.25">
      <c r="K1575" s="312"/>
      <c r="N1575" s="514"/>
      <c r="R1575" s="293"/>
      <c r="S1575" s="316"/>
      <c r="T1575" s="355"/>
    </row>
    <row r="1576" spans="11:20" x14ac:dyDescent="0.25">
      <c r="K1576" s="312"/>
      <c r="N1576" s="514"/>
      <c r="R1576" s="293"/>
      <c r="S1576" s="316"/>
      <c r="T1576" s="355"/>
    </row>
    <row r="1577" spans="11:20" x14ac:dyDescent="0.25">
      <c r="K1577" s="312"/>
      <c r="N1577" s="514"/>
      <c r="R1577" s="293"/>
      <c r="S1577" s="316"/>
      <c r="T1577" s="355"/>
    </row>
    <row r="1578" spans="11:20" x14ac:dyDescent="0.25">
      <c r="K1578" s="312"/>
      <c r="N1578" s="514"/>
      <c r="R1578" s="293"/>
      <c r="S1578" s="316"/>
      <c r="T1578" s="355"/>
    </row>
    <row r="1579" spans="11:20" x14ac:dyDescent="0.25">
      <c r="K1579" s="312"/>
      <c r="N1579" s="514"/>
      <c r="R1579" s="293"/>
      <c r="S1579" s="316"/>
      <c r="T1579" s="355"/>
    </row>
    <row r="1580" spans="11:20" x14ac:dyDescent="0.25">
      <c r="K1580" s="312"/>
      <c r="N1580" s="514"/>
      <c r="R1580" s="293"/>
      <c r="S1580" s="316"/>
      <c r="T1580" s="355"/>
    </row>
    <row r="1581" spans="11:20" x14ac:dyDescent="0.25">
      <c r="K1581" s="312"/>
      <c r="N1581" s="514"/>
      <c r="R1581" s="293"/>
      <c r="S1581" s="316"/>
      <c r="T1581" s="355"/>
    </row>
    <row r="1582" spans="11:20" x14ac:dyDescent="0.25">
      <c r="K1582" s="312"/>
      <c r="N1582" s="514"/>
      <c r="R1582" s="293"/>
      <c r="S1582" s="316"/>
      <c r="T1582" s="355"/>
    </row>
    <row r="1583" spans="11:20" x14ac:dyDescent="0.25">
      <c r="K1583" s="312"/>
      <c r="N1583" s="514"/>
      <c r="R1583" s="293"/>
      <c r="S1583" s="316"/>
      <c r="T1583" s="355"/>
    </row>
    <row r="1584" spans="11:20" x14ac:dyDescent="0.25">
      <c r="K1584" s="312"/>
      <c r="N1584" s="514"/>
      <c r="R1584" s="293"/>
      <c r="S1584" s="316"/>
      <c r="T1584" s="355"/>
    </row>
    <row r="1585" spans="11:20" x14ac:dyDescent="0.25">
      <c r="K1585" s="312"/>
      <c r="N1585" s="514"/>
      <c r="R1585" s="293"/>
      <c r="S1585" s="316"/>
      <c r="T1585" s="355"/>
    </row>
    <row r="1586" spans="11:20" x14ac:dyDescent="0.25">
      <c r="K1586" s="312"/>
      <c r="N1586" s="514"/>
      <c r="R1586" s="293"/>
      <c r="S1586" s="316"/>
      <c r="T1586" s="355"/>
    </row>
    <row r="1587" spans="11:20" x14ac:dyDescent="0.25">
      <c r="K1587" s="312"/>
      <c r="N1587" s="514"/>
      <c r="R1587" s="293"/>
      <c r="S1587" s="316"/>
      <c r="T1587" s="355"/>
    </row>
    <row r="1588" spans="11:20" x14ac:dyDescent="0.25">
      <c r="K1588" s="312"/>
      <c r="N1588" s="514"/>
      <c r="R1588" s="293"/>
      <c r="S1588" s="316"/>
      <c r="T1588" s="355"/>
    </row>
    <row r="1589" spans="11:20" x14ac:dyDescent="0.25">
      <c r="K1589" s="312"/>
      <c r="N1589" s="514"/>
      <c r="R1589" s="293"/>
      <c r="S1589" s="316"/>
      <c r="T1589" s="355"/>
    </row>
    <row r="1590" spans="11:20" x14ac:dyDescent="0.25">
      <c r="K1590" s="312"/>
      <c r="N1590" s="514"/>
      <c r="R1590" s="293"/>
      <c r="S1590" s="316"/>
      <c r="T1590" s="355"/>
    </row>
    <row r="1591" spans="11:20" x14ac:dyDescent="0.25">
      <c r="K1591" s="312"/>
      <c r="N1591" s="514"/>
      <c r="R1591" s="293"/>
      <c r="S1591" s="316"/>
      <c r="T1591" s="355"/>
    </row>
    <row r="1592" spans="11:20" x14ac:dyDescent="0.25">
      <c r="K1592" s="312"/>
      <c r="N1592" s="514"/>
      <c r="R1592" s="293"/>
      <c r="S1592" s="316"/>
      <c r="T1592" s="355"/>
    </row>
    <row r="1593" spans="11:20" x14ac:dyDescent="0.25">
      <c r="K1593" s="312"/>
      <c r="N1593" s="514"/>
      <c r="R1593" s="293"/>
      <c r="S1593" s="316"/>
      <c r="T1593" s="355"/>
    </row>
    <row r="1594" spans="11:20" x14ac:dyDescent="0.25">
      <c r="K1594" s="312"/>
      <c r="N1594" s="514"/>
      <c r="R1594" s="293"/>
      <c r="S1594" s="316"/>
      <c r="T1594" s="355"/>
    </row>
    <row r="1595" spans="11:20" x14ac:dyDescent="0.25">
      <c r="K1595" s="312"/>
      <c r="N1595" s="514"/>
      <c r="R1595" s="293"/>
      <c r="S1595" s="316"/>
      <c r="T1595" s="355"/>
    </row>
    <row r="1596" spans="11:20" x14ac:dyDescent="0.25">
      <c r="K1596" s="312"/>
      <c r="N1596" s="514"/>
      <c r="R1596" s="293"/>
      <c r="S1596" s="316"/>
      <c r="T1596" s="355"/>
    </row>
    <row r="1597" spans="11:20" x14ac:dyDescent="0.25">
      <c r="K1597" s="312"/>
      <c r="N1597" s="514"/>
      <c r="R1597" s="293"/>
      <c r="S1597" s="316"/>
      <c r="T1597" s="355"/>
    </row>
    <row r="1598" spans="11:20" x14ac:dyDescent="0.25">
      <c r="K1598" s="312"/>
      <c r="N1598" s="514"/>
      <c r="R1598" s="293"/>
      <c r="S1598" s="316"/>
      <c r="T1598" s="355"/>
    </row>
    <row r="1599" spans="11:20" x14ac:dyDescent="0.25">
      <c r="K1599" s="312"/>
      <c r="N1599" s="514"/>
      <c r="R1599" s="293"/>
      <c r="S1599" s="316"/>
      <c r="T1599" s="355"/>
    </row>
    <row r="1600" spans="11:20" x14ac:dyDescent="0.25">
      <c r="K1600" s="312"/>
      <c r="N1600" s="514"/>
      <c r="R1600" s="293"/>
      <c r="S1600" s="316"/>
      <c r="T1600" s="355"/>
    </row>
    <row r="1601" spans="11:20" x14ac:dyDescent="0.25">
      <c r="K1601" s="312"/>
      <c r="N1601" s="514"/>
      <c r="R1601" s="293"/>
      <c r="S1601" s="316"/>
      <c r="T1601" s="355"/>
    </row>
    <row r="1602" spans="11:20" x14ac:dyDescent="0.25">
      <c r="K1602" s="312"/>
      <c r="N1602" s="514"/>
      <c r="R1602" s="293"/>
      <c r="S1602" s="316"/>
      <c r="T1602" s="355"/>
    </row>
    <row r="1603" spans="11:20" x14ac:dyDescent="0.25">
      <c r="K1603" s="312"/>
      <c r="N1603" s="514"/>
      <c r="R1603" s="293"/>
      <c r="S1603" s="316"/>
      <c r="T1603" s="355"/>
    </row>
    <row r="1604" spans="11:20" x14ac:dyDescent="0.25">
      <c r="K1604" s="312"/>
      <c r="N1604" s="514"/>
      <c r="R1604" s="293"/>
      <c r="S1604" s="316"/>
      <c r="T1604" s="355"/>
    </row>
    <row r="1605" spans="11:20" x14ac:dyDescent="0.25">
      <c r="K1605" s="312"/>
      <c r="N1605" s="514"/>
      <c r="R1605" s="293"/>
      <c r="S1605" s="316"/>
      <c r="T1605" s="355"/>
    </row>
    <row r="1606" spans="11:20" x14ac:dyDescent="0.25">
      <c r="K1606" s="312"/>
      <c r="N1606" s="514"/>
      <c r="R1606" s="293"/>
      <c r="S1606" s="316"/>
      <c r="T1606" s="355"/>
    </row>
    <row r="1607" spans="11:20" x14ac:dyDescent="0.25">
      <c r="K1607" s="312"/>
      <c r="N1607" s="514"/>
      <c r="R1607" s="293"/>
      <c r="S1607" s="316"/>
      <c r="T1607" s="355"/>
    </row>
    <row r="1608" spans="11:20" x14ac:dyDescent="0.25">
      <c r="K1608" s="312"/>
      <c r="N1608" s="514"/>
      <c r="R1608" s="293"/>
      <c r="S1608" s="316"/>
      <c r="T1608" s="355"/>
    </row>
    <row r="1609" spans="11:20" x14ac:dyDescent="0.25">
      <c r="K1609" s="312"/>
      <c r="N1609" s="514"/>
      <c r="R1609" s="293"/>
      <c r="S1609" s="316"/>
      <c r="T1609" s="355"/>
    </row>
    <row r="1610" spans="11:20" x14ac:dyDescent="0.25">
      <c r="K1610" s="312"/>
      <c r="N1610" s="514"/>
      <c r="R1610" s="293"/>
      <c r="S1610" s="316"/>
      <c r="T1610" s="355"/>
    </row>
    <row r="1611" spans="11:20" x14ac:dyDescent="0.25">
      <c r="K1611" s="312"/>
      <c r="N1611" s="514"/>
      <c r="R1611" s="293"/>
      <c r="S1611" s="316"/>
      <c r="T1611" s="355"/>
    </row>
    <row r="1612" spans="11:20" x14ac:dyDescent="0.25">
      <c r="K1612" s="312"/>
      <c r="N1612" s="514"/>
      <c r="R1612" s="293"/>
      <c r="S1612" s="316"/>
      <c r="T1612" s="355"/>
    </row>
    <row r="1613" spans="11:20" x14ac:dyDescent="0.25">
      <c r="K1613" s="312"/>
      <c r="N1613" s="514"/>
      <c r="R1613" s="293"/>
      <c r="S1613" s="316"/>
      <c r="T1613" s="355"/>
    </row>
    <row r="1614" spans="11:20" x14ac:dyDescent="0.25">
      <c r="K1614" s="312"/>
      <c r="N1614" s="514"/>
      <c r="R1614" s="293"/>
      <c r="S1614" s="316"/>
      <c r="T1614" s="355"/>
    </row>
    <row r="1615" spans="11:20" x14ac:dyDescent="0.25">
      <c r="K1615" s="312"/>
      <c r="N1615" s="514"/>
      <c r="R1615" s="293"/>
      <c r="S1615" s="316"/>
      <c r="T1615" s="355"/>
    </row>
    <row r="1616" spans="11:20" x14ac:dyDescent="0.25">
      <c r="K1616" s="312"/>
      <c r="N1616" s="514"/>
      <c r="R1616" s="293"/>
      <c r="S1616" s="316"/>
      <c r="T1616" s="355"/>
    </row>
    <row r="1617" spans="11:20" x14ac:dyDescent="0.25">
      <c r="K1617" s="312"/>
      <c r="N1617" s="514"/>
      <c r="R1617" s="293"/>
      <c r="S1617" s="316"/>
      <c r="T1617" s="355"/>
    </row>
    <row r="1618" spans="11:20" x14ac:dyDescent="0.25">
      <c r="K1618" s="312"/>
      <c r="N1618" s="514"/>
      <c r="R1618" s="293"/>
      <c r="S1618" s="316"/>
      <c r="T1618" s="355"/>
    </row>
    <row r="1619" spans="11:20" x14ac:dyDescent="0.25">
      <c r="K1619" s="312"/>
      <c r="N1619" s="514"/>
      <c r="R1619" s="293"/>
      <c r="S1619" s="316"/>
      <c r="T1619" s="355"/>
    </row>
    <row r="1620" spans="11:20" x14ac:dyDescent="0.25">
      <c r="K1620" s="312"/>
      <c r="N1620" s="514"/>
      <c r="R1620" s="293"/>
      <c r="S1620" s="316"/>
      <c r="T1620" s="355"/>
    </row>
    <row r="1621" spans="11:20" x14ac:dyDescent="0.25">
      <c r="K1621" s="312"/>
      <c r="N1621" s="514"/>
      <c r="R1621" s="293"/>
      <c r="S1621" s="316"/>
      <c r="T1621" s="355"/>
    </row>
    <row r="1622" spans="11:20" x14ac:dyDescent="0.25">
      <c r="K1622" s="312"/>
      <c r="N1622" s="514"/>
      <c r="R1622" s="293"/>
      <c r="S1622" s="316"/>
      <c r="T1622" s="355"/>
    </row>
    <row r="1623" spans="11:20" x14ac:dyDescent="0.25">
      <c r="K1623" s="312"/>
      <c r="N1623" s="514"/>
      <c r="R1623" s="293"/>
      <c r="S1623" s="316"/>
      <c r="T1623" s="355"/>
    </row>
    <row r="1624" spans="11:20" x14ac:dyDescent="0.25">
      <c r="K1624" s="312"/>
      <c r="N1624" s="514"/>
      <c r="R1624" s="293"/>
      <c r="S1624" s="316"/>
      <c r="T1624" s="355"/>
    </row>
    <row r="1625" spans="11:20" x14ac:dyDescent="0.25">
      <c r="K1625" s="312"/>
      <c r="N1625" s="514"/>
      <c r="R1625" s="293"/>
      <c r="S1625" s="316"/>
      <c r="T1625" s="355"/>
    </row>
    <row r="1626" spans="11:20" x14ac:dyDescent="0.25">
      <c r="K1626" s="312"/>
      <c r="N1626" s="514"/>
      <c r="R1626" s="293"/>
      <c r="S1626" s="316"/>
      <c r="T1626" s="355"/>
    </row>
    <row r="1627" spans="11:20" x14ac:dyDescent="0.25">
      <c r="K1627" s="312"/>
      <c r="N1627" s="514"/>
      <c r="R1627" s="293"/>
      <c r="S1627" s="316"/>
      <c r="T1627" s="355"/>
    </row>
    <row r="1628" spans="11:20" x14ac:dyDescent="0.25">
      <c r="K1628" s="312"/>
      <c r="N1628" s="514"/>
      <c r="R1628" s="293"/>
      <c r="S1628" s="316"/>
      <c r="T1628" s="355"/>
    </row>
    <row r="1629" spans="11:20" x14ac:dyDescent="0.25">
      <c r="K1629" s="312"/>
      <c r="N1629" s="514"/>
      <c r="R1629" s="293"/>
      <c r="S1629" s="316"/>
      <c r="T1629" s="355"/>
    </row>
    <row r="1630" spans="11:20" x14ac:dyDescent="0.25">
      <c r="K1630" s="312"/>
      <c r="N1630" s="514"/>
      <c r="R1630" s="293"/>
      <c r="S1630" s="316"/>
      <c r="T1630" s="355"/>
    </row>
    <row r="1631" spans="11:20" x14ac:dyDescent="0.25">
      <c r="K1631" s="312"/>
      <c r="N1631" s="514"/>
      <c r="R1631" s="293"/>
      <c r="S1631" s="316"/>
      <c r="T1631" s="355"/>
    </row>
    <row r="1632" spans="11:20" x14ac:dyDescent="0.25">
      <c r="K1632" s="312"/>
      <c r="N1632" s="514"/>
      <c r="R1632" s="293"/>
      <c r="S1632" s="316"/>
      <c r="T1632" s="355"/>
    </row>
    <row r="1633" spans="11:20" x14ac:dyDescent="0.25">
      <c r="K1633" s="312"/>
      <c r="N1633" s="514"/>
      <c r="R1633" s="293"/>
      <c r="S1633" s="316"/>
      <c r="T1633" s="355"/>
    </row>
    <row r="1634" spans="11:20" x14ac:dyDescent="0.25">
      <c r="K1634" s="312"/>
      <c r="N1634" s="514"/>
      <c r="R1634" s="293"/>
      <c r="S1634" s="316"/>
      <c r="T1634" s="355"/>
    </row>
    <row r="1635" spans="11:20" x14ac:dyDescent="0.25">
      <c r="K1635" s="312"/>
      <c r="N1635" s="514"/>
      <c r="R1635" s="293"/>
      <c r="S1635" s="316"/>
      <c r="T1635" s="355"/>
    </row>
    <row r="1636" spans="11:20" x14ac:dyDescent="0.25">
      <c r="K1636" s="312"/>
      <c r="N1636" s="514"/>
      <c r="R1636" s="293"/>
      <c r="S1636" s="316"/>
      <c r="T1636" s="355"/>
    </row>
    <row r="1637" spans="11:20" x14ac:dyDescent="0.25">
      <c r="K1637" s="312"/>
      <c r="N1637" s="514"/>
      <c r="R1637" s="293"/>
      <c r="S1637" s="316"/>
      <c r="T1637" s="355"/>
    </row>
    <row r="1638" spans="11:20" x14ac:dyDescent="0.25">
      <c r="K1638" s="312"/>
      <c r="N1638" s="514"/>
      <c r="R1638" s="293"/>
      <c r="S1638" s="316"/>
      <c r="T1638" s="355"/>
    </row>
    <row r="1639" spans="11:20" x14ac:dyDescent="0.25">
      <c r="K1639" s="312"/>
      <c r="N1639" s="514"/>
      <c r="R1639" s="293"/>
      <c r="S1639" s="316"/>
      <c r="T1639" s="355"/>
    </row>
    <row r="1640" spans="11:20" x14ac:dyDescent="0.25">
      <c r="K1640" s="312"/>
      <c r="N1640" s="514"/>
      <c r="R1640" s="293"/>
      <c r="S1640" s="316"/>
      <c r="T1640" s="355"/>
    </row>
    <row r="1641" spans="11:20" x14ac:dyDescent="0.25">
      <c r="K1641" s="312"/>
      <c r="N1641" s="514"/>
      <c r="R1641" s="293"/>
      <c r="S1641" s="316"/>
      <c r="T1641" s="355"/>
    </row>
    <row r="1642" spans="11:20" x14ac:dyDescent="0.25">
      <c r="K1642" s="312"/>
      <c r="N1642" s="514"/>
      <c r="R1642" s="293"/>
      <c r="S1642" s="316"/>
      <c r="T1642" s="355"/>
    </row>
    <row r="1643" spans="11:20" x14ac:dyDescent="0.25">
      <c r="K1643" s="312"/>
      <c r="N1643" s="514"/>
      <c r="R1643" s="293"/>
      <c r="S1643" s="316"/>
      <c r="T1643" s="355"/>
    </row>
    <row r="1644" spans="11:20" x14ac:dyDescent="0.25">
      <c r="K1644" s="312"/>
      <c r="N1644" s="514"/>
      <c r="R1644" s="293"/>
      <c r="S1644" s="316"/>
      <c r="T1644" s="355"/>
    </row>
    <row r="1645" spans="11:20" x14ac:dyDescent="0.25">
      <c r="K1645" s="312"/>
      <c r="N1645" s="514"/>
      <c r="R1645" s="293"/>
      <c r="S1645" s="316"/>
      <c r="T1645" s="355"/>
    </row>
    <row r="1646" spans="11:20" x14ac:dyDescent="0.25">
      <c r="K1646" s="312"/>
      <c r="N1646" s="514"/>
      <c r="R1646" s="293"/>
      <c r="S1646" s="316"/>
      <c r="T1646" s="355"/>
    </row>
    <row r="1647" spans="11:20" x14ac:dyDescent="0.25">
      <c r="K1647" s="312"/>
      <c r="N1647" s="514"/>
      <c r="R1647" s="293"/>
      <c r="S1647" s="316"/>
      <c r="T1647" s="355"/>
    </row>
    <row r="1648" spans="11:20" x14ac:dyDescent="0.25">
      <c r="K1648" s="312"/>
      <c r="N1648" s="514"/>
      <c r="R1648" s="293"/>
      <c r="S1648" s="316"/>
      <c r="T1648" s="355"/>
    </row>
    <row r="1649" spans="11:20" x14ac:dyDescent="0.25">
      <c r="K1649" s="312"/>
      <c r="N1649" s="514"/>
      <c r="R1649" s="293"/>
      <c r="S1649" s="316"/>
      <c r="T1649" s="355"/>
    </row>
    <row r="1650" spans="11:20" x14ac:dyDescent="0.25">
      <c r="K1650" s="312"/>
      <c r="N1650" s="514"/>
      <c r="R1650" s="293"/>
      <c r="S1650" s="316"/>
      <c r="T1650" s="355"/>
    </row>
    <row r="1651" spans="11:20" x14ac:dyDescent="0.25">
      <c r="K1651" s="312"/>
      <c r="N1651" s="514"/>
      <c r="R1651" s="293"/>
      <c r="S1651" s="316"/>
      <c r="T1651" s="355"/>
    </row>
    <row r="1652" spans="11:20" x14ac:dyDescent="0.25">
      <c r="K1652" s="312"/>
      <c r="N1652" s="514"/>
      <c r="R1652" s="293"/>
      <c r="S1652" s="316"/>
      <c r="T1652" s="355"/>
    </row>
    <row r="1653" spans="11:20" x14ac:dyDescent="0.25">
      <c r="K1653" s="312"/>
      <c r="N1653" s="514"/>
      <c r="R1653" s="293"/>
      <c r="S1653" s="316"/>
      <c r="T1653" s="355"/>
    </row>
    <row r="1654" spans="11:20" x14ac:dyDescent="0.25">
      <c r="K1654" s="312"/>
      <c r="N1654" s="514"/>
      <c r="R1654" s="293"/>
      <c r="S1654" s="316"/>
      <c r="T1654" s="355"/>
    </row>
    <row r="1655" spans="11:20" x14ac:dyDescent="0.25">
      <c r="K1655" s="312"/>
      <c r="N1655" s="514"/>
      <c r="R1655" s="293"/>
      <c r="S1655" s="316"/>
      <c r="T1655" s="355"/>
    </row>
    <row r="1656" spans="11:20" x14ac:dyDescent="0.25">
      <c r="K1656" s="312"/>
      <c r="N1656" s="514"/>
      <c r="R1656" s="293"/>
      <c r="S1656" s="316"/>
      <c r="T1656" s="355"/>
    </row>
    <row r="1657" spans="11:20" x14ac:dyDescent="0.25">
      <c r="K1657" s="312"/>
      <c r="N1657" s="514"/>
      <c r="R1657" s="293"/>
      <c r="S1657" s="316"/>
      <c r="T1657" s="355"/>
    </row>
    <row r="1658" spans="11:20" x14ac:dyDescent="0.25">
      <c r="K1658" s="312"/>
      <c r="N1658" s="514"/>
      <c r="R1658" s="293"/>
      <c r="S1658" s="316"/>
      <c r="T1658" s="355"/>
    </row>
    <row r="1659" spans="11:20" x14ac:dyDescent="0.25">
      <c r="K1659" s="312"/>
      <c r="N1659" s="514"/>
      <c r="R1659" s="293"/>
      <c r="S1659" s="316"/>
      <c r="T1659" s="355"/>
    </row>
    <row r="1660" spans="11:20" x14ac:dyDescent="0.25">
      <c r="K1660" s="312"/>
      <c r="N1660" s="514"/>
      <c r="R1660" s="293"/>
      <c r="S1660" s="316"/>
      <c r="T1660" s="355"/>
    </row>
    <row r="1661" spans="11:20" x14ac:dyDescent="0.25">
      <c r="K1661" s="312"/>
      <c r="N1661" s="514"/>
      <c r="R1661" s="293"/>
      <c r="S1661" s="316"/>
      <c r="T1661" s="355"/>
    </row>
    <row r="1662" spans="11:20" x14ac:dyDescent="0.25">
      <c r="K1662" s="312"/>
      <c r="N1662" s="514"/>
      <c r="R1662" s="293"/>
      <c r="S1662" s="316"/>
      <c r="T1662" s="355"/>
    </row>
    <row r="1663" spans="11:20" x14ac:dyDescent="0.25">
      <c r="K1663" s="312"/>
      <c r="N1663" s="514"/>
      <c r="R1663" s="293"/>
      <c r="S1663" s="316"/>
      <c r="T1663" s="355"/>
    </row>
    <row r="1664" spans="11:20" x14ac:dyDescent="0.25">
      <c r="K1664" s="312"/>
      <c r="N1664" s="514"/>
      <c r="R1664" s="293"/>
      <c r="S1664" s="316"/>
      <c r="T1664" s="355"/>
    </row>
    <row r="1665" spans="11:20" x14ac:dyDescent="0.25">
      <c r="K1665" s="312"/>
      <c r="N1665" s="514"/>
      <c r="R1665" s="293"/>
      <c r="S1665" s="316"/>
      <c r="T1665" s="355"/>
    </row>
    <row r="1666" spans="11:20" x14ac:dyDescent="0.25">
      <c r="K1666" s="312"/>
      <c r="N1666" s="514"/>
      <c r="R1666" s="293"/>
      <c r="S1666" s="316"/>
      <c r="T1666" s="355"/>
    </row>
    <row r="1667" spans="11:20" x14ac:dyDescent="0.25">
      <c r="K1667" s="312"/>
      <c r="N1667" s="514"/>
      <c r="R1667" s="293"/>
      <c r="S1667" s="316"/>
      <c r="T1667" s="355"/>
    </row>
    <row r="1668" spans="11:20" x14ac:dyDescent="0.25">
      <c r="K1668" s="312"/>
      <c r="N1668" s="514"/>
      <c r="R1668" s="293"/>
      <c r="S1668" s="316"/>
      <c r="T1668" s="355"/>
    </row>
    <row r="1669" spans="11:20" x14ac:dyDescent="0.25">
      <c r="K1669" s="312"/>
      <c r="N1669" s="514"/>
      <c r="R1669" s="293"/>
      <c r="S1669" s="316"/>
      <c r="T1669" s="355"/>
    </row>
    <row r="1670" spans="11:20" x14ac:dyDescent="0.25">
      <c r="K1670" s="312"/>
      <c r="N1670" s="514"/>
      <c r="R1670" s="293"/>
      <c r="S1670" s="316"/>
      <c r="T1670" s="355"/>
    </row>
    <row r="1671" spans="11:20" x14ac:dyDescent="0.25">
      <c r="K1671" s="312"/>
      <c r="N1671" s="514"/>
      <c r="R1671" s="293"/>
      <c r="S1671" s="316"/>
      <c r="T1671" s="355"/>
    </row>
    <row r="1672" spans="11:20" x14ac:dyDescent="0.25">
      <c r="K1672" s="312"/>
      <c r="N1672" s="514"/>
      <c r="R1672" s="293"/>
      <c r="S1672" s="316"/>
      <c r="T1672" s="355"/>
    </row>
    <row r="1673" spans="11:20" x14ac:dyDescent="0.25">
      <c r="K1673" s="312"/>
      <c r="N1673" s="514"/>
      <c r="R1673" s="293"/>
      <c r="S1673" s="316"/>
      <c r="T1673" s="355"/>
    </row>
    <row r="1674" spans="11:20" x14ac:dyDescent="0.25">
      <c r="K1674" s="312"/>
      <c r="N1674" s="514"/>
      <c r="R1674" s="293"/>
      <c r="S1674" s="316"/>
      <c r="T1674" s="355"/>
    </row>
    <row r="1675" spans="11:20" x14ac:dyDescent="0.25">
      <c r="K1675" s="312"/>
      <c r="N1675" s="514"/>
      <c r="R1675" s="293"/>
      <c r="S1675" s="316"/>
      <c r="T1675" s="355"/>
    </row>
    <row r="1676" spans="11:20" x14ac:dyDescent="0.25">
      <c r="K1676" s="312"/>
      <c r="N1676" s="514"/>
      <c r="R1676" s="293"/>
      <c r="S1676" s="316"/>
      <c r="T1676" s="355"/>
    </row>
    <row r="1677" spans="11:20" x14ac:dyDescent="0.25">
      <c r="K1677" s="312"/>
      <c r="N1677" s="514"/>
      <c r="R1677" s="293"/>
      <c r="S1677" s="316"/>
      <c r="T1677" s="355"/>
    </row>
    <row r="1678" spans="11:20" x14ac:dyDescent="0.25">
      <c r="K1678" s="312"/>
      <c r="N1678" s="514"/>
      <c r="R1678" s="293"/>
      <c r="S1678" s="316"/>
      <c r="T1678" s="355"/>
    </row>
    <row r="1679" spans="11:20" x14ac:dyDescent="0.25">
      <c r="K1679" s="312"/>
      <c r="N1679" s="514"/>
      <c r="R1679" s="293"/>
      <c r="S1679" s="316"/>
      <c r="T1679" s="355"/>
    </row>
    <row r="1680" spans="11:20" x14ac:dyDescent="0.25">
      <c r="K1680" s="312"/>
      <c r="N1680" s="514"/>
      <c r="R1680" s="293"/>
      <c r="S1680" s="316"/>
      <c r="T1680" s="355"/>
    </row>
    <row r="1681" spans="11:20" x14ac:dyDescent="0.25">
      <c r="K1681" s="312"/>
      <c r="N1681" s="514"/>
      <c r="R1681" s="293"/>
      <c r="S1681" s="316"/>
      <c r="T1681" s="355"/>
    </row>
    <row r="1682" spans="11:20" x14ac:dyDescent="0.25">
      <c r="K1682" s="312"/>
      <c r="N1682" s="514"/>
      <c r="R1682" s="293"/>
      <c r="S1682" s="316"/>
      <c r="T1682" s="355"/>
    </row>
    <row r="1683" spans="11:20" x14ac:dyDescent="0.25">
      <c r="K1683" s="312"/>
      <c r="N1683" s="514"/>
      <c r="R1683" s="293"/>
      <c r="S1683" s="316"/>
      <c r="T1683" s="355"/>
    </row>
    <row r="1684" spans="11:20" x14ac:dyDescent="0.25">
      <c r="K1684" s="312"/>
      <c r="N1684" s="514"/>
      <c r="R1684" s="293"/>
      <c r="S1684" s="316"/>
      <c r="T1684" s="355"/>
    </row>
    <row r="1685" spans="11:20" x14ac:dyDescent="0.25">
      <c r="K1685" s="312"/>
      <c r="N1685" s="514"/>
      <c r="R1685" s="293"/>
      <c r="S1685" s="316"/>
      <c r="T1685" s="355"/>
    </row>
    <row r="1686" spans="11:20" x14ac:dyDescent="0.25">
      <c r="K1686" s="312"/>
      <c r="N1686" s="514"/>
      <c r="R1686" s="293"/>
      <c r="S1686" s="316"/>
      <c r="T1686" s="355"/>
    </row>
    <row r="1687" spans="11:20" x14ac:dyDescent="0.25">
      <c r="K1687" s="312"/>
      <c r="N1687" s="514"/>
      <c r="R1687" s="293"/>
      <c r="S1687" s="316"/>
      <c r="T1687" s="355"/>
    </row>
    <row r="1688" spans="11:20" x14ac:dyDescent="0.25">
      <c r="K1688" s="312"/>
      <c r="N1688" s="514"/>
      <c r="R1688" s="293"/>
      <c r="S1688" s="316"/>
      <c r="T1688" s="355"/>
    </row>
    <row r="1689" spans="11:20" x14ac:dyDescent="0.25">
      <c r="K1689" s="312"/>
      <c r="N1689" s="514"/>
      <c r="R1689" s="293"/>
      <c r="S1689" s="316"/>
      <c r="T1689" s="355"/>
    </row>
    <row r="1690" spans="11:20" x14ac:dyDescent="0.25">
      <c r="K1690" s="312"/>
      <c r="N1690" s="514"/>
      <c r="R1690" s="293"/>
      <c r="S1690" s="316"/>
      <c r="T1690" s="355"/>
    </row>
    <row r="1691" spans="11:20" x14ac:dyDescent="0.25">
      <c r="K1691" s="312"/>
      <c r="N1691" s="514"/>
      <c r="R1691" s="293"/>
      <c r="S1691" s="316"/>
      <c r="T1691" s="355"/>
    </row>
    <row r="1692" spans="11:20" x14ac:dyDescent="0.25">
      <c r="K1692" s="312"/>
      <c r="N1692" s="514"/>
      <c r="R1692" s="293"/>
      <c r="S1692" s="316"/>
      <c r="T1692" s="355"/>
    </row>
    <row r="1693" spans="11:20" x14ac:dyDescent="0.25">
      <c r="K1693" s="312"/>
      <c r="N1693" s="514"/>
      <c r="R1693" s="293"/>
      <c r="S1693" s="316"/>
      <c r="T1693" s="355"/>
    </row>
    <row r="1694" spans="11:20" x14ac:dyDescent="0.25">
      <c r="K1694" s="312"/>
      <c r="N1694" s="514"/>
      <c r="R1694" s="293"/>
      <c r="S1694" s="316"/>
      <c r="T1694" s="355"/>
    </row>
    <row r="1695" spans="11:20" x14ac:dyDescent="0.25">
      <c r="K1695" s="312"/>
      <c r="N1695" s="514"/>
      <c r="R1695" s="293"/>
      <c r="S1695" s="316"/>
      <c r="T1695" s="355"/>
    </row>
    <row r="1696" spans="11:20" x14ac:dyDescent="0.25">
      <c r="K1696" s="312"/>
      <c r="N1696" s="514"/>
      <c r="R1696" s="293"/>
      <c r="S1696" s="316"/>
      <c r="T1696" s="355"/>
    </row>
    <row r="1697" spans="11:20" x14ac:dyDescent="0.25">
      <c r="K1697" s="312"/>
      <c r="N1697" s="514"/>
      <c r="R1697" s="293"/>
      <c r="S1697" s="316"/>
      <c r="T1697" s="355"/>
    </row>
    <row r="1698" spans="11:20" x14ac:dyDescent="0.25">
      <c r="K1698" s="312"/>
      <c r="N1698" s="514"/>
      <c r="R1698" s="293"/>
      <c r="S1698" s="316"/>
      <c r="T1698" s="355"/>
    </row>
    <row r="1699" spans="11:20" x14ac:dyDescent="0.25">
      <c r="K1699" s="312"/>
      <c r="N1699" s="514"/>
      <c r="R1699" s="293"/>
      <c r="S1699" s="316"/>
      <c r="T1699" s="355"/>
    </row>
    <row r="1700" spans="11:20" x14ac:dyDescent="0.25">
      <c r="K1700" s="312"/>
      <c r="N1700" s="514"/>
      <c r="R1700" s="293"/>
      <c r="S1700" s="316"/>
      <c r="T1700" s="355"/>
    </row>
    <row r="1701" spans="11:20" x14ac:dyDescent="0.25">
      <c r="K1701" s="312"/>
      <c r="N1701" s="514"/>
      <c r="R1701" s="293"/>
      <c r="S1701" s="316"/>
      <c r="T1701" s="355"/>
    </row>
    <row r="1702" spans="11:20" x14ac:dyDescent="0.25">
      <c r="K1702" s="312"/>
      <c r="N1702" s="514"/>
      <c r="R1702" s="293"/>
      <c r="S1702" s="316"/>
      <c r="T1702" s="355"/>
    </row>
    <row r="1703" spans="11:20" x14ac:dyDescent="0.25">
      <c r="K1703" s="312"/>
      <c r="N1703" s="514"/>
      <c r="R1703" s="293"/>
      <c r="S1703" s="316"/>
      <c r="T1703" s="355"/>
    </row>
    <row r="1704" spans="11:20" x14ac:dyDescent="0.25">
      <c r="K1704" s="312"/>
      <c r="N1704" s="514"/>
      <c r="R1704" s="293"/>
      <c r="S1704" s="316"/>
      <c r="T1704" s="355"/>
    </row>
    <row r="1705" spans="11:20" x14ac:dyDescent="0.25">
      <c r="K1705" s="312"/>
      <c r="N1705" s="514"/>
      <c r="R1705" s="293"/>
      <c r="S1705" s="316"/>
      <c r="T1705" s="355"/>
    </row>
    <row r="1706" spans="11:20" x14ac:dyDescent="0.25">
      <c r="K1706" s="312"/>
      <c r="N1706" s="514"/>
      <c r="R1706" s="293"/>
      <c r="S1706" s="316"/>
      <c r="T1706" s="355"/>
    </row>
    <row r="1707" spans="11:20" x14ac:dyDescent="0.25">
      <c r="K1707" s="312"/>
      <c r="N1707" s="514"/>
      <c r="R1707" s="293"/>
      <c r="S1707" s="316"/>
      <c r="T1707" s="355"/>
    </row>
    <row r="1708" spans="11:20" x14ac:dyDescent="0.25">
      <c r="K1708" s="312"/>
      <c r="N1708" s="514"/>
      <c r="R1708" s="293"/>
      <c r="S1708" s="316"/>
      <c r="T1708" s="355"/>
    </row>
    <row r="1709" spans="11:20" x14ac:dyDescent="0.25">
      <c r="K1709" s="312"/>
      <c r="N1709" s="514"/>
      <c r="R1709" s="293"/>
      <c r="S1709" s="316"/>
      <c r="T1709" s="355"/>
    </row>
    <row r="1710" spans="11:20" x14ac:dyDescent="0.25">
      <c r="K1710" s="312"/>
      <c r="N1710" s="514"/>
      <c r="R1710" s="293"/>
      <c r="S1710" s="316"/>
      <c r="T1710" s="355"/>
    </row>
    <row r="1711" spans="11:20" x14ac:dyDescent="0.25">
      <c r="K1711" s="312"/>
      <c r="N1711" s="514"/>
      <c r="R1711" s="293"/>
      <c r="S1711" s="316"/>
      <c r="T1711" s="355"/>
    </row>
    <row r="1712" spans="11:20" x14ac:dyDescent="0.25">
      <c r="K1712" s="312"/>
      <c r="N1712" s="514"/>
      <c r="R1712" s="293"/>
      <c r="S1712" s="316"/>
      <c r="T1712" s="355"/>
    </row>
    <row r="1713" spans="11:20" x14ac:dyDescent="0.25">
      <c r="K1713" s="312"/>
      <c r="N1713" s="514"/>
      <c r="R1713" s="293"/>
      <c r="S1713" s="316"/>
      <c r="T1713" s="355"/>
    </row>
    <row r="1714" spans="11:20" x14ac:dyDescent="0.25">
      <c r="K1714" s="312"/>
      <c r="N1714" s="514"/>
      <c r="R1714" s="293"/>
      <c r="S1714" s="316"/>
      <c r="T1714" s="355"/>
    </row>
    <row r="1715" spans="11:20" x14ac:dyDescent="0.25">
      <c r="K1715" s="312"/>
      <c r="N1715" s="514"/>
      <c r="R1715" s="293"/>
      <c r="S1715" s="316"/>
      <c r="T1715" s="355"/>
    </row>
    <row r="1716" spans="11:20" x14ac:dyDescent="0.25">
      <c r="K1716" s="312"/>
      <c r="N1716" s="514"/>
      <c r="R1716" s="293"/>
      <c r="S1716" s="316"/>
      <c r="T1716" s="355"/>
    </row>
    <row r="1717" spans="11:20" x14ac:dyDescent="0.25">
      <c r="K1717" s="312"/>
      <c r="N1717" s="514"/>
      <c r="R1717" s="293"/>
      <c r="S1717" s="316"/>
      <c r="T1717" s="355"/>
    </row>
    <row r="1718" spans="11:20" x14ac:dyDescent="0.25">
      <c r="K1718" s="312"/>
      <c r="N1718" s="514"/>
      <c r="R1718" s="293"/>
      <c r="S1718" s="316"/>
      <c r="T1718" s="355"/>
    </row>
    <row r="1719" spans="11:20" x14ac:dyDescent="0.25">
      <c r="K1719" s="312"/>
      <c r="N1719" s="514"/>
      <c r="R1719" s="293"/>
      <c r="S1719" s="316"/>
      <c r="T1719" s="355"/>
    </row>
    <row r="1720" spans="11:20" x14ac:dyDescent="0.25">
      <c r="K1720" s="312"/>
      <c r="N1720" s="514"/>
      <c r="R1720" s="293"/>
      <c r="S1720" s="316"/>
      <c r="T1720" s="355"/>
    </row>
    <row r="1721" spans="11:20" x14ac:dyDescent="0.25">
      <c r="K1721" s="312"/>
      <c r="N1721" s="514"/>
      <c r="R1721" s="293"/>
      <c r="S1721" s="316"/>
      <c r="T1721" s="355"/>
    </row>
    <row r="1722" spans="11:20" x14ac:dyDescent="0.25">
      <c r="K1722" s="312"/>
      <c r="N1722" s="514"/>
      <c r="R1722" s="293"/>
      <c r="S1722" s="316"/>
      <c r="T1722" s="355"/>
    </row>
    <row r="1723" spans="11:20" x14ac:dyDescent="0.25">
      <c r="K1723" s="312"/>
      <c r="N1723" s="514"/>
      <c r="R1723" s="293"/>
      <c r="S1723" s="316"/>
      <c r="T1723" s="355"/>
    </row>
    <row r="1724" spans="11:20" x14ac:dyDescent="0.25">
      <c r="K1724" s="312"/>
      <c r="N1724" s="514"/>
      <c r="R1724" s="293"/>
      <c r="S1724" s="316"/>
      <c r="T1724" s="355"/>
    </row>
    <row r="1725" spans="11:20" x14ac:dyDescent="0.25">
      <c r="K1725" s="312"/>
      <c r="N1725" s="514"/>
      <c r="R1725" s="293"/>
      <c r="S1725" s="316"/>
      <c r="T1725" s="355"/>
    </row>
    <row r="1726" spans="11:20" x14ac:dyDescent="0.25">
      <c r="K1726" s="312"/>
      <c r="N1726" s="514"/>
      <c r="R1726" s="293"/>
      <c r="S1726" s="316"/>
      <c r="T1726" s="355"/>
    </row>
    <row r="1727" spans="11:20" x14ac:dyDescent="0.25">
      <c r="K1727" s="312"/>
      <c r="N1727" s="514"/>
      <c r="R1727" s="293"/>
      <c r="S1727" s="316"/>
      <c r="T1727" s="355"/>
    </row>
    <row r="1728" spans="11:20" x14ac:dyDescent="0.25">
      <c r="K1728" s="312"/>
      <c r="N1728" s="514"/>
      <c r="R1728" s="293"/>
      <c r="S1728" s="316"/>
      <c r="T1728" s="355"/>
    </row>
    <row r="1729" spans="11:20" x14ac:dyDescent="0.25">
      <c r="K1729" s="312"/>
      <c r="N1729" s="514"/>
      <c r="R1729" s="293"/>
      <c r="S1729" s="316"/>
      <c r="T1729" s="355"/>
    </row>
    <row r="1730" spans="11:20" x14ac:dyDescent="0.25">
      <c r="K1730" s="312"/>
      <c r="N1730" s="514"/>
      <c r="R1730" s="293"/>
      <c r="S1730" s="316"/>
      <c r="T1730" s="355"/>
    </row>
    <row r="1731" spans="11:20" x14ac:dyDescent="0.25">
      <c r="K1731" s="312"/>
      <c r="N1731" s="514"/>
      <c r="R1731" s="293"/>
      <c r="S1731" s="316"/>
      <c r="T1731" s="355"/>
    </row>
    <row r="1732" spans="11:20" x14ac:dyDescent="0.25">
      <c r="K1732" s="312"/>
      <c r="N1732" s="514"/>
      <c r="R1732" s="293"/>
      <c r="S1732" s="316"/>
      <c r="T1732" s="355"/>
    </row>
    <row r="1733" spans="11:20" x14ac:dyDescent="0.25">
      <c r="K1733" s="312"/>
      <c r="N1733" s="514"/>
      <c r="R1733" s="293"/>
      <c r="S1733" s="316"/>
      <c r="T1733" s="355"/>
    </row>
    <row r="1734" spans="11:20" x14ac:dyDescent="0.25">
      <c r="K1734" s="312"/>
      <c r="N1734" s="514"/>
      <c r="R1734" s="293"/>
      <c r="S1734" s="316"/>
      <c r="T1734" s="355"/>
    </row>
    <row r="1735" spans="11:20" x14ac:dyDescent="0.25">
      <c r="K1735" s="312"/>
      <c r="N1735" s="514"/>
      <c r="R1735" s="293"/>
      <c r="S1735" s="316"/>
      <c r="T1735" s="355"/>
    </row>
    <row r="1736" spans="11:20" x14ac:dyDescent="0.25">
      <c r="K1736" s="312"/>
      <c r="N1736" s="514"/>
      <c r="R1736" s="293"/>
      <c r="S1736" s="316"/>
      <c r="T1736" s="355"/>
    </row>
    <row r="1737" spans="11:20" x14ac:dyDescent="0.25">
      <c r="K1737" s="312"/>
      <c r="N1737" s="514"/>
      <c r="R1737" s="293"/>
      <c r="S1737" s="316"/>
      <c r="T1737" s="355"/>
    </row>
    <row r="1738" spans="11:20" x14ac:dyDescent="0.25">
      <c r="K1738" s="312"/>
      <c r="N1738" s="514"/>
      <c r="R1738" s="293"/>
      <c r="S1738" s="316"/>
      <c r="T1738" s="355"/>
    </row>
    <row r="1739" spans="11:20" x14ac:dyDescent="0.25">
      <c r="K1739" s="312"/>
      <c r="N1739" s="514"/>
      <c r="R1739" s="293"/>
      <c r="S1739" s="316"/>
      <c r="T1739" s="355"/>
    </row>
    <row r="1740" spans="11:20" x14ac:dyDescent="0.25">
      <c r="K1740" s="312"/>
      <c r="N1740" s="514"/>
      <c r="R1740" s="293"/>
      <c r="S1740" s="316"/>
      <c r="T1740" s="355"/>
    </row>
    <row r="1741" spans="11:20" x14ac:dyDescent="0.25">
      <c r="K1741" s="312"/>
      <c r="N1741" s="514"/>
      <c r="R1741" s="293"/>
      <c r="S1741" s="316"/>
      <c r="T1741" s="355"/>
    </row>
    <row r="1742" spans="11:20" x14ac:dyDescent="0.25">
      <c r="K1742" s="312"/>
      <c r="N1742" s="514"/>
      <c r="R1742" s="293"/>
      <c r="S1742" s="316"/>
      <c r="T1742" s="355"/>
    </row>
    <row r="1743" spans="11:20" x14ac:dyDescent="0.25">
      <c r="K1743" s="312"/>
      <c r="N1743" s="514"/>
      <c r="R1743" s="293"/>
      <c r="S1743" s="316"/>
      <c r="T1743" s="355"/>
    </row>
    <row r="1744" spans="11:20" x14ac:dyDescent="0.25">
      <c r="K1744" s="312"/>
      <c r="N1744" s="514"/>
      <c r="R1744" s="293"/>
      <c r="S1744" s="316"/>
      <c r="T1744" s="355"/>
    </row>
    <row r="1745" spans="11:20" x14ac:dyDescent="0.25">
      <c r="K1745" s="312"/>
      <c r="N1745" s="514"/>
      <c r="R1745" s="293"/>
      <c r="S1745" s="316"/>
      <c r="T1745" s="355"/>
    </row>
    <row r="1746" spans="11:20" x14ac:dyDescent="0.25">
      <c r="K1746" s="312"/>
      <c r="N1746" s="514"/>
      <c r="R1746" s="293"/>
      <c r="S1746" s="316"/>
      <c r="T1746" s="355"/>
    </row>
    <row r="1747" spans="11:20" x14ac:dyDescent="0.25">
      <c r="K1747" s="312"/>
      <c r="N1747" s="514"/>
      <c r="R1747" s="293"/>
      <c r="S1747" s="316"/>
      <c r="T1747" s="355"/>
    </row>
    <row r="1748" spans="11:20" x14ac:dyDescent="0.25">
      <c r="K1748" s="312"/>
      <c r="N1748" s="514"/>
      <c r="R1748" s="293"/>
      <c r="S1748" s="316"/>
      <c r="T1748" s="355"/>
    </row>
    <row r="1749" spans="11:20" x14ac:dyDescent="0.25">
      <c r="K1749" s="312"/>
      <c r="N1749" s="514"/>
      <c r="R1749" s="293"/>
      <c r="S1749" s="316"/>
      <c r="T1749" s="355"/>
    </row>
    <row r="1750" spans="11:20" x14ac:dyDescent="0.25">
      <c r="K1750" s="312"/>
      <c r="N1750" s="514"/>
      <c r="R1750" s="293"/>
      <c r="S1750" s="316"/>
      <c r="T1750" s="355"/>
    </row>
    <row r="1751" spans="11:20" x14ac:dyDescent="0.25">
      <c r="K1751" s="312"/>
      <c r="N1751" s="514"/>
      <c r="R1751" s="293"/>
      <c r="S1751" s="316"/>
      <c r="T1751" s="355"/>
    </row>
    <row r="1752" spans="11:20" x14ac:dyDescent="0.25">
      <c r="K1752" s="312"/>
      <c r="N1752" s="514"/>
      <c r="R1752" s="293"/>
      <c r="S1752" s="316"/>
      <c r="T1752" s="355"/>
    </row>
    <row r="1753" spans="11:20" x14ac:dyDescent="0.25">
      <c r="K1753" s="312"/>
      <c r="N1753" s="514"/>
      <c r="R1753" s="293"/>
      <c r="S1753" s="316"/>
      <c r="T1753" s="355"/>
    </row>
    <row r="1754" spans="11:20" x14ac:dyDescent="0.25">
      <c r="K1754" s="312"/>
      <c r="N1754" s="514"/>
      <c r="R1754" s="293"/>
      <c r="S1754" s="316"/>
      <c r="T1754" s="355"/>
    </row>
    <row r="1755" spans="11:20" x14ac:dyDescent="0.25">
      <c r="K1755" s="312"/>
      <c r="N1755" s="514"/>
      <c r="R1755" s="293"/>
      <c r="S1755" s="316"/>
      <c r="T1755" s="355"/>
    </row>
    <row r="1756" spans="11:20" x14ac:dyDescent="0.25">
      <c r="K1756" s="312"/>
      <c r="N1756" s="514"/>
      <c r="R1756" s="293"/>
      <c r="S1756" s="316"/>
      <c r="T1756" s="355"/>
    </row>
    <row r="1757" spans="11:20" x14ac:dyDescent="0.25">
      <c r="K1757" s="312"/>
      <c r="N1757" s="514"/>
      <c r="R1757" s="293"/>
      <c r="S1757" s="316"/>
      <c r="T1757" s="355"/>
    </row>
    <row r="1758" spans="11:20" x14ac:dyDescent="0.25">
      <c r="K1758" s="312"/>
      <c r="N1758" s="514"/>
      <c r="R1758" s="293"/>
      <c r="S1758" s="316"/>
      <c r="T1758" s="355"/>
    </row>
    <row r="1759" spans="11:20" x14ac:dyDescent="0.25">
      <c r="K1759" s="312"/>
      <c r="N1759" s="514"/>
      <c r="R1759" s="293"/>
      <c r="S1759" s="316"/>
      <c r="T1759" s="355"/>
    </row>
    <row r="1760" spans="11:20" x14ac:dyDescent="0.25">
      <c r="K1760" s="312"/>
      <c r="N1760" s="514"/>
      <c r="R1760" s="293"/>
      <c r="S1760" s="316"/>
      <c r="T1760" s="355"/>
    </row>
    <row r="1761" spans="11:20" x14ac:dyDescent="0.25">
      <c r="K1761" s="312"/>
      <c r="N1761" s="514"/>
      <c r="R1761" s="293"/>
      <c r="S1761" s="316"/>
      <c r="T1761" s="355"/>
    </row>
    <row r="1762" spans="11:20" x14ac:dyDescent="0.25">
      <c r="K1762" s="312"/>
      <c r="N1762" s="514"/>
      <c r="R1762" s="293"/>
      <c r="S1762" s="316"/>
      <c r="T1762" s="355"/>
    </row>
    <row r="1763" spans="11:20" x14ac:dyDescent="0.25">
      <c r="K1763" s="312"/>
      <c r="N1763" s="514"/>
      <c r="R1763" s="293"/>
      <c r="S1763" s="316"/>
      <c r="T1763" s="355"/>
    </row>
    <row r="1764" spans="11:20" x14ac:dyDescent="0.25">
      <c r="K1764" s="312"/>
      <c r="N1764" s="514"/>
      <c r="R1764" s="293"/>
      <c r="S1764" s="316"/>
      <c r="T1764" s="355"/>
    </row>
    <row r="1765" spans="11:20" x14ac:dyDescent="0.25">
      <c r="K1765" s="312"/>
      <c r="N1765" s="514"/>
      <c r="R1765" s="293"/>
      <c r="S1765" s="316"/>
      <c r="T1765" s="355"/>
    </row>
    <row r="1766" spans="11:20" x14ac:dyDescent="0.25">
      <c r="K1766" s="312"/>
      <c r="N1766" s="514"/>
      <c r="R1766" s="293"/>
      <c r="S1766" s="316"/>
      <c r="T1766" s="355"/>
    </row>
    <row r="1767" spans="11:20" x14ac:dyDescent="0.25">
      <c r="K1767" s="312"/>
      <c r="N1767" s="514"/>
      <c r="R1767" s="293"/>
      <c r="S1767" s="316"/>
      <c r="T1767" s="355"/>
    </row>
    <row r="1768" spans="11:20" x14ac:dyDescent="0.25">
      <c r="K1768" s="312"/>
      <c r="N1768" s="514"/>
      <c r="R1768" s="293"/>
      <c r="S1768" s="316"/>
      <c r="T1768" s="355"/>
    </row>
    <row r="1769" spans="11:20" x14ac:dyDescent="0.25">
      <c r="K1769" s="312"/>
      <c r="N1769" s="514"/>
      <c r="R1769" s="293"/>
      <c r="S1769" s="316"/>
      <c r="T1769" s="355"/>
    </row>
    <row r="1770" spans="11:20" x14ac:dyDescent="0.25">
      <c r="K1770" s="312"/>
      <c r="N1770" s="514"/>
      <c r="R1770" s="293"/>
      <c r="S1770" s="316"/>
      <c r="T1770" s="355"/>
    </row>
    <row r="1771" spans="11:20" x14ac:dyDescent="0.25">
      <c r="K1771" s="312"/>
      <c r="N1771" s="514"/>
      <c r="R1771" s="293"/>
      <c r="S1771" s="316"/>
      <c r="T1771" s="355"/>
    </row>
    <row r="1772" spans="11:20" x14ac:dyDescent="0.25">
      <c r="K1772" s="312"/>
      <c r="N1772" s="514"/>
      <c r="R1772" s="293"/>
      <c r="S1772" s="316"/>
      <c r="T1772" s="355"/>
    </row>
    <row r="1773" spans="11:20" x14ac:dyDescent="0.25">
      <c r="K1773" s="312"/>
      <c r="N1773" s="514"/>
      <c r="R1773" s="293"/>
      <c r="S1773" s="316"/>
      <c r="T1773" s="355"/>
    </row>
    <row r="1774" spans="11:20" x14ac:dyDescent="0.25">
      <c r="K1774" s="312"/>
      <c r="N1774" s="514"/>
      <c r="R1774" s="293"/>
      <c r="S1774" s="316"/>
      <c r="T1774" s="355"/>
    </row>
    <row r="1775" spans="11:20" x14ac:dyDescent="0.25">
      <c r="K1775" s="312"/>
      <c r="N1775" s="514"/>
      <c r="R1775" s="293"/>
      <c r="S1775" s="316"/>
      <c r="T1775" s="355"/>
    </row>
    <row r="1776" spans="11:20" x14ac:dyDescent="0.25">
      <c r="K1776" s="312"/>
      <c r="N1776" s="514"/>
      <c r="R1776" s="293"/>
      <c r="S1776" s="316"/>
      <c r="T1776" s="355"/>
    </row>
    <row r="1777" spans="11:20" x14ac:dyDescent="0.25">
      <c r="K1777" s="312"/>
      <c r="N1777" s="514"/>
      <c r="R1777" s="293"/>
      <c r="S1777" s="316"/>
      <c r="T1777" s="355"/>
    </row>
    <row r="1778" spans="11:20" x14ac:dyDescent="0.25">
      <c r="K1778" s="312"/>
      <c r="N1778" s="514"/>
      <c r="R1778" s="293"/>
      <c r="S1778" s="316"/>
      <c r="T1778" s="355"/>
    </row>
    <row r="1779" spans="11:20" x14ac:dyDescent="0.25">
      <c r="K1779" s="312"/>
      <c r="N1779" s="514"/>
      <c r="R1779" s="293"/>
      <c r="S1779" s="316"/>
      <c r="T1779" s="355"/>
    </row>
    <row r="1780" spans="11:20" x14ac:dyDescent="0.25">
      <c r="K1780" s="312"/>
      <c r="N1780" s="514"/>
      <c r="R1780" s="293"/>
      <c r="S1780" s="316"/>
      <c r="T1780" s="355"/>
    </row>
    <row r="1781" spans="11:20" x14ac:dyDescent="0.25">
      <c r="K1781" s="312"/>
      <c r="N1781" s="514"/>
      <c r="R1781" s="293"/>
      <c r="S1781" s="316"/>
      <c r="T1781" s="355"/>
    </row>
    <row r="1782" spans="11:20" x14ac:dyDescent="0.25">
      <c r="K1782" s="312"/>
      <c r="N1782" s="514"/>
      <c r="R1782" s="293"/>
      <c r="S1782" s="316"/>
      <c r="T1782" s="355"/>
    </row>
    <row r="1783" spans="11:20" x14ac:dyDescent="0.25">
      <c r="K1783" s="312"/>
      <c r="N1783" s="514"/>
      <c r="R1783" s="293"/>
      <c r="S1783" s="316"/>
      <c r="T1783" s="355"/>
    </row>
    <row r="1784" spans="11:20" x14ac:dyDescent="0.25">
      <c r="K1784" s="312"/>
      <c r="N1784" s="514"/>
      <c r="R1784" s="293"/>
      <c r="S1784" s="316"/>
      <c r="T1784" s="355"/>
    </row>
    <row r="1785" spans="11:20" x14ac:dyDescent="0.25">
      <c r="K1785" s="312"/>
      <c r="N1785" s="514"/>
      <c r="R1785" s="293"/>
      <c r="S1785" s="316"/>
      <c r="T1785" s="355"/>
    </row>
    <row r="1786" spans="11:20" x14ac:dyDescent="0.25">
      <c r="K1786" s="312"/>
      <c r="N1786" s="514"/>
      <c r="R1786" s="293"/>
      <c r="S1786" s="316"/>
      <c r="T1786" s="355"/>
    </row>
    <row r="1787" spans="11:20" x14ac:dyDescent="0.25">
      <c r="K1787" s="312"/>
      <c r="N1787" s="514"/>
      <c r="R1787" s="293"/>
      <c r="S1787" s="316"/>
      <c r="T1787" s="355"/>
    </row>
    <row r="1788" spans="11:20" x14ac:dyDescent="0.25">
      <c r="K1788" s="312"/>
      <c r="N1788" s="514"/>
      <c r="R1788" s="293"/>
      <c r="S1788" s="316"/>
      <c r="T1788" s="355"/>
    </row>
    <row r="1789" spans="11:20" x14ac:dyDescent="0.25">
      <c r="K1789" s="312"/>
      <c r="N1789" s="514"/>
      <c r="R1789" s="293"/>
      <c r="S1789" s="316"/>
      <c r="T1789" s="355"/>
    </row>
    <row r="1790" spans="11:20" x14ac:dyDescent="0.25">
      <c r="K1790" s="312"/>
      <c r="N1790" s="514"/>
      <c r="R1790" s="293"/>
      <c r="S1790" s="316"/>
      <c r="T1790" s="355"/>
    </row>
    <row r="1791" spans="11:20" x14ac:dyDescent="0.25">
      <c r="K1791" s="312"/>
      <c r="N1791" s="514"/>
      <c r="R1791" s="293"/>
      <c r="S1791" s="316"/>
      <c r="T1791" s="355"/>
    </row>
    <row r="1792" spans="11:20" x14ac:dyDescent="0.25">
      <c r="K1792" s="312"/>
      <c r="N1792" s="514"/>
      <c r="R1792" s="293"/>
      <c r="S1792" s="316"/>
      <c r="T1792" s="355"/>
    </row>
    <row r="1793" spans="11:20" x14ac:dyDescent="0.25">
      <c r="K1793" s="312"/>
      <c r="N1793" s="514"/>
      <c r="R1793" s="293"/>
      <c r="S1793" s="316"/>
      <c r="T1793" s="355"/>
    </row>
    <row r="1794" spans="11:20" x14ac:dyDescent="0.25">
      <c r="K1794" s="312"/>
      <c r="N1794" s="514"/>
      <c r="R1794" s="293"/>
      <c r="S1794" s="316"/>
      <c r="T1794" s="355"/>
    </row>
    <row r="1795" spans="11:20" x14ac:dyDescent="0.25">
      <c r="K1795" s="312"/>
      <c r="N1795" s="514"/>
      <c r="R1795" s="293"/>
      <c r="S1795" s="316"/>
      <c r="T1795" s="355"/>
    </row>
    <row r="1796" spans="11:20" x14ac:dyDescent="0.25">
      <c r="K1796" s="312"/>
      <c r="N1796" s="514"/>
      <c r="R1796" s="293"/>
      <c r="S1796" s="316"/>
      <c r="T1796" s="355"/>
    </row>
    <row r="1797" spans="11:20" x14ac:dyDescent="0.25">
      <c r="K1797" s="312"/>
      <c r="N1797" s="514"/>
      <c r="R1797" s="293"/>
      <c r="S1797" s="316"/>
      <c r="T1797" s="355"/>
    </row>
    <row r="1798" spans="11:20" x14ac:dyDescent="0.25">
      <c r="K1798" s="312"/>
      <c r="N1798" s="514"/>
      <c r="R1798" s="293"/>
      <c r="S1798" s="316"/>
      <c r="T1798" s="355"/>
    </row>
    <row r="1799" spans="11:20" x14ac:dyDescent="0.25">
      <c r="K1799" s="312"/>
      <c r="N1799" s="514"/>
      <c r="R1799" s="293"/>
      <c r="S1799" s="316"/>
      <c r="T1799" s="355"/>
    </row>
    <row r="1800" spans="11:20" x14ac:dyDescent="0.25">
      <c r="K1800" s="312"/>
      <c r="N1800" s="514"/>
      <c r="R1800" s="293"/>
      <c r="S1800" s="316"/>
      <c r="T1800" s="355"/>
    </row>
    <row r="1801" spans="11:20" x14ac:dyDescent="0.25">
      <c r="K1801" s="312"/>
      <c r="N1801" s="514"/>
      <c r="R1801" s="293"/>
      <c r="S1801" s="316"/>
      <c r="T1801" s="355"/>
    </row>
    <row r="1802" spans="11:20" x14ac:dyDescent="0.25">
      <c r="K1802" s="312"/>
      <c r="N1802" s="514"/>
      <c r="R1802" s="293"/>
      <c r="S1802" s="316"/>
      <c r="T1802" s="355"/>
    </row>
    <row r="1803" spans="11:20" x14ac:dyDescent="0.25">
      <c r="K1803" s="312"/>
      <c r="N1803" s="514"/>
      <c r="R1803" s="293"/>
      <c r="S1803" s="316"/>
      <c r="T1803" s="355"/>
    </row>
    <row r="1804" spans="11:20" x14ac:dyDescent="0.25">
      <c r="K1804" s="312"/>
      <c r="N1804" s="514"/>
      <c r="R1804" s="293"/>
      <c r="S1804" s="316"/>
      <c r="T1804" s="355"/>
    </row>
    <row r="1805" spans="11:20" x14ac:dyDescent="0.25">
      <c r="K1805" s="312"/>
      <c r="N1805" s="514"/>
      <c r="R1805" s="293"/>
      <c r="S1805" s="316"/>
      <c r="T1805" s="355"/>
    </row>
    <row r="1806" spans="11:20" x14ac:dyDescent="0.25">
      <c r="K1806" s="312"/>
      <c r="N1806" s="514"/>
      <c r="R1806" s="293"/>
      <c r="S1806" s="316"/>
      <c r="T1806" s="355"/>
    </row>
    <row r="1807" spans="11:20" x14ac:dyDescent="0.25">
      <c r="K1807" s="312"/>
      <c r="N1807" s="514"/>
      <c r="R1807" s="293"/>
      <c r="S1807" s="316"/>
      <c r="T1807" s="355"/>
    </row>
    <row r="1808" spans="11:20" x14ac:dyDescent="0.25">
      <c r="K1808" s="312"/>
      <c r="N1808" s="514"/>
      <c r="R1808" s="293"/>
      <c r="S1808" s="316"/>
      <c r="T1808" s="355"/>
    </row>
    <row r="1809" spans="11:20" x14ac:dyDescent="0.25">
      <c r="K1809" s="312"/>
      <c r="N1809" s="514"/>
      <c r="R1809" s="293"/>
      <c r="S1809" s="316"/>
      <c r="T1809" s="355"/>
    </row>
    <row r="1810" spans="11:20" x14ac:dyDescent="0.25">
      <c r="K1810" s="312"/>
      <c r="N1810" s="514"/>
      <c r="R1810" s="293"/>
      <c r="S1810" s="316"/>
      <c r="T1810" s="355"/>
    </row>
    <row r="1811" spans="11:20" x14ac:dyDescent="0.25">
      <c r="K1811" s="312"/>
      <c r="N1811" s="514"/>
      <c r="R1811" s="293"/>
      <c r="S1811" s="316"/>
      <c r="T1811" s="355"/>
    </row>
    <row r="1812" spans="11:20" x14ac:dyDescent="0.25">
      <c r="K1812" s="312"/>
      <c r="N1812" s="514"/>
      <c r="R1812" s="293"/>
      <c r="S1812" s="316"/>
      <c r="T1812" s="355"/>
    </row>
    <row r="1813" spans="11:20" x14ac:dyDescent="0.25">
      <c r="K1813" s="312"/>
      <c r="N1813" s="514"/>
      <c r="R1813" s="293"/>
      <c r="S1813" s="316"/>
      <c r="T1813" s="355"/>
    </row>
    <row r="1814" spans="11:20" x14ac:dyDescent="0.25">
      <c r="K1814" s="312"/>
      <c r="N1814" s="514"/>
      <c r="R1814" s="293"/>
      <c r="S1814" s="316"/>
      <c r="T1814" s="355"/>
    </row>
    <row r="1815" spans="11:20" x14ac:dyDescent="0.25">
      <c r="K1815" s="312"/>
      <c r="N1815" s="514"/>
      <c r="R1815" s="293"/>
      <c r="S1815" s="316"/>
      <c r="T1815" s="355"/>
    </row>
    <row r="1816" spans="11:20" x14ac:dyDescent="0.25">
      <c r="K1816" s="312"/>
      <c r="N1816" s="514"/>
      <c r="R1816" s="293"/>
      <c r="S1816" s="316"/>
      <c r="T1816" s="355"/>
    </row>
    <row r="1817" spans="11:20" x14ac:dyDescent="0.25">
      <c r="K1817" s="312"/>
      <c r="N1817" s="514"/>
      <c r="R1817" s="293"/>
      <c r="S1817" s="316"/>
      <c r="T1817" s="355"/>
    </row>
    <row r="1818" spans="11:20" x14ac:dyDescent="0.25">
      <c r="K1818" s="312"/>
      <c r="N1818" s="514"/>
      <c r="R1818" s="293"/>
      <c r="S1818" s="316"/>
      <c r="T1818" s="355"/>
    </row>
    <row r="1819" spans="11:20" x14ac:dyDescent="0.25">
      <c r="K1819" s="312"/>
      <c r="N1819" s="514"/>
      <c r="R1819" s="293"/>
      <c r="S1819" s="316"/>
      <c r="T1819" s="355"/>
    </row>
    <row r="1820" spans="11:20" x14ac:dyDescent="0.25">
      <c r="K1820" s="312"/>
      <c r="N1820" s="514"/>
      <c r="R1820" s="293"/>
      <c r="S1820" s="316"/>
      <c r="T1820" s="355"/>
    </row>
    <row r="1821" spans="11:20" x14ac:dyDescent="0.25">
      <c r="K1821" s="312"/>
      <c r="N1821" s="514"/>
      <c r="R1821" s="293"/>
      <c r="S1821" s="316"/>
      <c r="T1821" s="355"/>
    </row>
    <row r="1822" spans="11:20" x14ac:dyDescent="0.25">
      <c r="K1822" s="312"/>
      <c r="N1822" s="514"/>
      <c r="R1822" s="293"/>
      <c r="S1822" s="316"/>
      <c r="T1822" s="355"/>
    </row>
    <row r="1823" spans="11:20" x14ac:dyDescent="0.25">
      <c r="K1823" s="312"/>
      <c r="N1823" s="514"/>
      <c r="R1823" s="293"/>
      <c r="S1823" s="316"/>
      <c r="T1823" s="355"/>
    </row>
    <row r="1824" spans="11:20" x14ac:dyDescent="0.25">
      <c r="K1824" s="312"/>
      <c r="N1824" s="514"/>
      <c r="R1824" s="293"/>
      <c r="S1824" s="316"/>
      <c r="T1824" s="355"/>
    </row>
    <row r="1825" spans="11:20" x14ac:dyDescent="0.25">
      <c r="K1825" s="312"/>
      <c r="N1825" s="514"/>
      <c r="R1825" s="293"/>
      <c r="S1825" s="316"/>
      <c r="T1825" s="355"/>
    </row>
    <row r="1826" spans="11:20" x14ac:dyDescent="0.25">
      <c r="K1826" s="312"/>
      <c r="N1826" s="514"/>
      <c r="R1826" s="293"/>
      <c r="S1826" s="316"/>
      <c r="T1826" s="355"/>
    </row>
    <row r="1827" spans="11:20" x14ac:dyDescent="0.25">
      <c r="K1827" s="312"/>
      <c r="N1827" s="514"/>
      <c r="R1827" s="293"/>
      <c r="S1827" s="316"/>
      <c r="T1827" s="355"/>
    </row>
    <row r="1828" spans="11:20" x14ac:dyDescent="0.25">
      <c r="K1828" s="312"/>
      <c r="N1828" s="514"/>
      <c r="R1828" s="293"/>
      <c r="S1828" s="316"/>
      <c r="T1828" s="355"/>
    </row>
    <row r="1829" spans="11:20" x14ac:dyDescent="0.25">
      <c r="K1829" s="312"/>
      <c r="N1829" s="514"/>
      <c r="R1829" s="293"/>
      <c r="S1829" s="316"/>
      <c r="T1829" s="355"/>
    </row>
    <row r="1830" spans="11:20" x14ac:dyDescent="0.25">
      <c r="K1830" s="312"/>
      <c r="N1830" s="514"/>
      <c r="R1830" s="293"/>
      <c r="S1830" s="316"/>
      <c r="T1830" s="355"/>
    </row>
    <row r="1831" spans="11:20" x14ac:dyDescent="0.25">
      <c r="K1831" s="312"/>
      <c r="N1831" s="514"/>
      <c r="R1831" s="293"/>
      <c r="S1831" s="316"/>
      <c r="T1831" s="355"/>
    </row>
    <row r="1832" spans="11:20" x14ac:dyDescent="0.25">
      <c r="K1832" s="312"/>
      <c r="N1832" s="514"/>
      <c r="R1832" s="293"/>
      <c r="S1832" s="316"/>
      <c r="T1832" s="355"/>
    </row>
    <row r="1833" spans="11:20" x14ac:dyDescent="0.25">
      <c r="K1833" s="312"/>
      <c r="N1833" s="514"/>
      <c r="R1833" s="293"/>
      <c r="S1833" s="316"/>
      <c r="T1833" s="355"/>
    </row>
    <row r="1834" spans="11:20" x14ac:dyDescent="0.25">
      <c r="K1834" s="312"/>
      <c r="N1834" s="514"/>
      <c r="R1834" s="293"/>
      <c r="S1834" s="316"/>
      <c r="T1834" s="355"/>
    </row>
    <row r="1835" spans="11:20" x14ac:dyDescent="0.25">
      <c r="K1835" s="312"/>
      <c r="N1835" s="514"/>
      <c r="R1835" s="293"/>
      <c r="S1835" s="316"/>
      <c r="T1835" s="355"/>
    </row>
    <row r="1836" spans="11:20" x14ac:dyDescent="0.25">
      <c r="K1836" s="312"/>
      <c r="N1836" s="514"/>
      <c r="R1836" s="293"/>
      <c r="S1836" s="316"/>
      <c r="T1836" s="355"/>
    </row>
    <row r="1837" spans="11:20" x14ac:dyDescent="0.25">
      <c r="K1837" s="312"/>
      <c r="N1837" s="514"/>
      <c r="R1837" s="293"/>
      <c r="S1837" s="316"/>
      <c r="T1837" s="355"/>
    </row>
    <row r="1838" spans="11:20" x14ac:dyDescent="0.25">
      <c r="K1838" s="312"/>
      <c r="N1838" s="514"/>
      <c r="R1838" s="293"/>
      <c r="S1838" s="316"/>
      <c r="T1838" s="355"/>
    </row>
    <row r="1839" spans="11:20" x14ac:dyDescent="0.25">
      <c r="K1839" s="312"/>
      <c r="N1839" s="514"/>
      <c r="R1839" s="293"/>
      <c r="S1839" s="316"/>
      <c r="T1839" s="355"/>
    </row>
    <row r="1840" spans="11:20" x14ac:dyDescent="0.25">
      <c r="K1840" s="312"/>
      <c r="N1840" s="514"/>
      <c r="R1840" s="293"/>
      <c r="S1840" s="316"/>
      <c r="T1840" s="355"/>
    </row>
    <row r="1841" spans="11:20" x14ac:dyDescent="0.25">
      <c r="K1841" s="312"/>
      <c r="N1841" s="514"/>
      <c r="R1841" s="293"/>
      <c r="S1841" s="316"/>
      <c r="T1841" s="355"/>
    </row>
    <row r="1842" spans="11:20" x14ac:dyDescent="0.25">
      <c r="K1842" s="312"/>
      <c r="N1842" s="514"/>
      <c r="R1842" s="293"/>
      <c r="S1842" s="316"/>
      <c r="T1842" s="355"/>
    </row>
    <row r="1843" spans="11:20" x14ac:dyDescent="0.25">
      <c r="K1843" s="312"/>
      <c r="N1843" s="514"/>
      <c r="R1843" s="293"/>
      <c r="S1843" s="316"/>
      <c r="T1843" s="355"/>
    </row>
    <row r="1844" spans="11:20" x14ac:dyDescent="0.25">
      <c r="K1844" s="312"/>
      <c r="N1844" s="514"/>
      <c r="R1844" s="293"/>
      <c r="S1844" s="316"/>
      <c r="T1844" s="355"/>
    </row>
    <row r="1845" spans="11:20" x14ac:dyDescent="0.25">
      <c r="K1845" s="312"/>
      <c r="N1845" s="514"/>
      <c r="R1845" s="293"/>
      <c r="S1845" s="316"/>
      <c r="T1845" s="355"/>
    </row>
    <row r="1846" spans="11:20" x14ac:dyDescent="0.25">
      <c r="K1846" s="312"/>
      <c r="N1846" s="514"/>
      <c r="R1846" s="293"/>
      <c r="S1846" s="316"/>
      <c r="T1846" s="355"/>
    </row>
    <row r="1847" spans="11:20" x14ac:dyDescent="0.25">
      <c r="K1847" s="312"/>
      <c r="N1847" s="514"/>
      <c r="R1847" s="293"/>
      <c r="S1847" s="316"/>
      <c r="T1847" s="355"/>
    </row>
    <row r="1848" spans="11:20" x14ac:dyDescent="0.25">
      <c r="K1848" s="312"/>
      <c r="N1848" s="514"/>
      <c r="R1848" s="293"/>
      <c r="S1848" s="316"/>
      <c r="T1848" s="355"/>
    </row>
    <row r="1849" spans="11:20" x14ac:dyDescent="0.25">
      <c r="K1849" s="312"/>
      <c r="N1849" s="514"/>
      <c r="R1849" s="293"/>
      <c r="S1849" s="316"/>
      <c r="T1849" s="355"/>
    </row>
    <row r="1850" spans="11:20" x14ac:dyDescent="0.25">
      <c r="K1850" s="312"/>
      <c r="N1850" s="514"/>
      <c r="R1850" s="293"/>
      <c r="S1850" s="316"/>
      <c r="T1850" s="355"/>
    </row>
    <row r="1851" spans="11:20" x14ac:dyDescent="0.25">
      <c r="K1851" s="312"/>
      <c r="N1851" s="514"/>
      <c r="R1851" s="293"/>
      <c r="S1851" s="316"/>
      <c r="T1851" s="355"/>
    </row>
    <row r="1852" spans="11:20" x14ac:dyDescent="0.25">
      <c r="K1852" s="312"/>
      <c r="N1852" s="514"/>
      <c r="R1852" s="293"/>
      <c r="S1852" s="316"/>
      <c r="T1852" s="355"/>
    </row>
    <row r="1853" spans="11:20" x14ac:dyDescent="0.25">
      <c r="K1853" s="312"/>
      <c r="N1853" s="514"/>
      <c r="R1853" s="293"/>
      <c r="S1853" s="316"/>
      <c r="T1853" s="355"/>
    </row>
    <row r="1854" spans="11:20" x14ac:dyDescent="0.25">
      <c r="K1854" s="312"/>
      <c r="N1854" s="514"/>
      <c r="R1854" s="293"/>
      <c r="S1854" s="316"/>
      <c r="T1854" s="355"/>
    </row>
    <row r="1855" spans="11:20" x14ac:dyDescent="0.25">
      <c r="K1855" s="312"/>
      <c r="N1855" s="514"/>
      <c r="R1855" s="293"/>
      <c r="S1855" s="316"/>
      <c r="T1855" s="355"/>
    </row>
    <row r="1856" spans="11:20" x14ac:dyDescent="0.25">
      <c r="K1856" s="312"/>
      <c r="N1856" s="514"/>
      <c r="R1856" s="293"/>
      <c r="S1856" s="316"/>
      <c r="T1856" s="355"/>
    </row>
    <row r="1857" spans="11:20" x14ac:dyDescent="0.25">
      <c r="K1857" s="312"/>
      <c r="N1857" s="514"/>
      <c r="R1857" s="293"/>
      <c r="S1857" s="316"/>
      <c r="T1857" s="355"/>
    </row>
    <row r="1858" spans="11:20" x14ac:dyDescent="0.25">
      <c r="K1858" s="312"/>
      <c r="N1858" s="514"/>
      <c r="R1858" s="293"/>
      <c r="S1858" s="316"/>
      <c r="T1858" s="355"/>
    </row>
    <row r="1859" spans="11:20" x14ac:dyDescent="0.25">
      <c r="K1859" s="312"/>
      <c r="N1859" s="514"/>
      <c r="R1859" s="293"/>
      <c r="S1859" s="316"/>
      <c r="T1859" s="355"/>
    </row>
    <row r="1860" spans="11:20" x14ac:dyDescent="0.25">
      <c r="K1860" s="312"/>
      <c r="N1860" s="514"/>
      <c r="R1860" s="293"/>
      <c r="S1860" s="316"/>
      <c r="T1860" s="355"/>
    </row>
    <row r="1861" spans="11:20" x14ac:dyDescent="0.25">
      <c r="K1861" s="312"/>
      <c r="N1861" s="514"/>
      <c r="R1861" s="293"/>
      <c r="S1861" s="316"/>
      <c r="T1861" s="355"/>
    </row>
    <row r="1862" spans="11:20" x14ac:dyDescent="0.25">
      <c r="K1862" s="312"/>
      <c r="N1862" s="514"/>
      <c r="R1862" s="293"/>
      <c r="S1862" s="316"/>
      <c r="T1862" s="355"/>
    </row>
    <row r="1863" spans="11:20" x14ac:dyDescent="0.25">
      <c r="K1863" s="312"/>
      <c r="N1863" s="514"/>
      <c r="R1863" s="293"/>
      <c r="S1863" s="316"/>
      <c r="T1863" s="355"/>
    </row>
    <row r="1864" spans="11:20" x14ac:dyDescent="0.25">
      <c r="K1864" s="312"/>
      <c r="N1864" s="514"/>
      <c r="R1864" s="293"/>
      <c r="S1864" s="316"/>
      <c r="T1864" s="355"/>
    </row>
    <row r="1865" spans="11:20" x14ac:dyDescent="0.25">
      <c r="K1865" s="312"/>
      <c r="N1865" s="514"/>
      <c r="R1865" s="293"/>
      <c r="S1865" s="316"/>
      <c r="T1865" s="355"/>
    </row>
    <row r="1866" spans="11:20" x14ac:dyDescent="0.25">
      <c r="K1866" s="312"/>
      <c r="N1866" s="514"/>
      <c r="R1866" s="293"/>
      <c r="S1866" s="316"/>
      <c r="T1866" s="355"/>
    </row>
    <row r="1867" spans="11:20" x14ac:dyDescent="0.25">
      <c r="K1867" s="312"/>
      <c r="N1867" s="514"/>
      <c r="R1867" s="293"/>
      <c r="S1867" s="316"/>
      <c r="T1867" s="355"/>
    </row>
    <row r="1868" spans="11:20" x14ac:dyDescent="0.25">
      <c r="K1868" s="312"/>
      <c r="N1868" s="514"/>
      <c r="R1868" s="293"/>
      <c r="S1868" s="316"/>
      <c r="T1868" s="355"/>
    </row>
    <row r="1869" spans="11:20" x14ac:dyDescent="0.25">
      <c r="K1869" s="312"/>
      <c r="N1869" s="514"/>
      <c r="R1869" s="293"/>
      <c r="S1869" s="316"/>
      <c r="T1869" s="355"/>
    </row>
    <row r="1870" spans="11:20" x14ac:dyDescent="0.25">
      <c r="K1870" s="312"/>
      <c r="N1870" s="514"/>
      <c r="R1870" s="293"/>
      <c r="S1870" s="316"/>
      <c r="T1870" s="355"/>
    </row>
    <row r="1871" spans="11:20" x14ac:dyDescent="0.25">
      <c r="K1871" s="312"/>
      <c r="N1871" s="514"/>
      <c r="R1871" s="293"/>
      <c r="S1871" s="316"/>
      <c r="T1871" s="355"/>
    </row>
    <row r="1872" spans="11:20" x14ac:dyDescent="0.25">
      <c r="K1872" s="312"/>
      <c r="N1872" s="514"/>
      <c r="R1872" s="293"/>
      <c r="S1872" s="316"/>
      <c r="T1872" s="355"/>
    </row>
    <row r="1873" spans="11:20" x14ac:dyDescent="0.25">
      <c r="K1873" s="312"/>
      <c r="N1873" s="514"/>
      <c r="R1873" s="293"/>
      <c r="S1873" s="316"/>
      <c r="T1873" s="355"/>
    </row>
    <row r="1874" spans="11:20" x14ac:dyDescent="0.25">
      <c r="K1874" s="312"/>
      <c r="N1874" s="514"/>
      <c r="R1874" s="293"/>
      <c r="S1874" s="316"/>
      <c r="T1874" s="355"/>
    </row>
    <row r="1875" spans="11:20" x14ac:dyDescent="0.25">
      <c r="K1875" s="312"/>
      <c r="N1875" s="514"/>
      <c r="R1875" s="293"/>
      <c r="S1875" s="316"/>
      <c r="T1875" s="355"/>
    </row>
    <row r="1876" spans="11:20" x14ac:dyDescent="0.25">
      <c r="K1876" s="312"/>
      <c r="N1876" s="514"/>
      <c r="R1876" s="293"/>
      <c r="S1876" s="316"/>
      <c r="T1876" s="355"/>
    </row>
    <row r="1877" spans="11:20" x14ac:dyDescent="0.25">
      <c r="K1877" s="312"/>
      <c r="N1877" s="514"/>
      <c r="R1877" s="293"/>
      <c r="S1877" s="316"/>
      <c r="T1877" s="355"/>
    </row>
    <row r="1878" spans="11:20" x14ac:dyDescent="0.25">
      <c r="K1878" s="312"/>
      <c r="N1878" s="514"/>
      <c r="R1878" s="293"/>
      <c r="S1878" s="316"/>
      <c r="T1878" s="355"/>
    </row>
    <row r="1879" spans="11:20" x14ac:dyDescent="0.25">
      <c r="K1879" s="312"/>
      <c r="N1879" s="514"/>
      <c r="R1879" s="293"/>
      <c r="S1879" s="316"/>
      <c r="T1879" s="355"/>
    </row>
    <row r="1880" spans="11:20" x14ac:dyDescent="0.25">
      <c r="K1880" s="312"/>
      <c r="N1880" s="514"/>
      <c r="R1880" s="293"/>
      <c r="S1880" s="316"/>
      <c r="T1880" s="355"/>
    </row>
    <row r="1881" spans="11:20" x14ac:dyDescent="0.25">
      <c r="K1881" s="312"/>
      <c r="N1881" s="514"/>
      <c r="R1881" s="293"/>
      <c r="S1881" s="316"/>
      <c r="T1881" s="355"/>
    </row>
    <row r="1882" spans="11:20" x14ac:dyDescent="0.25">
      <c r="K1882" s="312"/>
      <c r="N1882" s="514"/>
      <c r="R1882" s="293"/>
      <c r="S1882" s="316"/>
      <c r="T1882" s="355"/>
    </row>
    <row r="1883" spans="11:20" x14ac:dyDescent="0.25">
      <c r="K1883" s="312"/>
      <c r="N1883" s="514"/>
      <c r="R1883" s="293"/>
      <c r="S1883" s="316"/>
      <c r="T1883" s="355"/>
    </row>
    <row r="1884" spans="11:20" x14ac:dyDescent="0.25">
      <c r="K1884" s="312"/>
      <c r="N1884" s="514"/>
      <c r="R1884" s="293"/>
      <c r="S1884" s="316"/>
      <c r="T1884" s="355"/>
    </row>
    <row r="1885" spans="11:20" x14ac:dyDescent="0.25">
      <c r="K1885" s="312"/>
      <c r="N1885" s="514"/>
      <c r="R1885" s="293"/>
      <c r="S1885" s="316"/>
      <c r="T1885" s="355"/>
    </row>
    <row r="1886" spans="11:20" x14ac:dyDescent="0.25">
      <c r="K1886" s="312"/>
      <c r="N1886" s="514"/>
      <c r="R1886" s="293"/>
      <c r="S1886" s="316"/>
      <c r="T1886" s="355"/>
    </row>
    <row r="1887" spans="11:20" x14ac:dyDescent="0.25">
      <c r="K1887" s="312"/>
      <c r="N1887" s="514"/>
      <c r="R1887" s="293"/>
      <c r="S1887" s="316"/>
      <c r="T1887" s="355"/>
    </row>
    <row r="1888" spans="11:20" x14ac:dyDescent="0.25">
      <c r="K1888" s="312"/>
      <c r="N1888" s="514"/>
      <c r="R1888" s="293"/>
      <c r="S1888" s="316"/>
      <c r="T1888" s="355"/>
    </row>
    <row r="1889" spans="11:20" x14ac:dyDescent="0.25">
      <c r="K1889" s="312"/>
      <c r="N1889" s="514"/>
      <c r="R1889" s="293"/>
      <c r="S1889" s="316"/>
      <c r="T1889" s="355"/>
    </row>
    <row r="1890" spans="11:20" x14ac:dyDescent="0.25">
      <c r="K1890" s="312"/>
      <c r="N1890" s="514"/>
      <c r="R1890" s="293"/>
      <c r="S1890" s="316"/>
      <c r="T1890" s="355"/>
    </row>
    <row r="1891" spans="11:20" x14ac:dyDescent="0.25">
      <c r="K1891" s="312"/>
      <c r="N1891" s="514"/>
      <c r="R1891" s="293"/>
      <c r="S1891" s="316"/>
      <c r="T1891" s="355"/>
    </row>
    <row r="1892" spans="11:20" x14ac:dyDescent="0.25">
      <c r="K1892" s="312"/>
      <c r="N1892" s="514"/>
      <c r="R1892" s="293"/>
      <c r="S1892" s="316"/>
      <c r="T1892" s="355"/>
    </row>
    <row r="1893" spans="11:20" x14ac:dyDescent="0.25">
      <c r="K1893" s="312"/>
      <c r="N1893" s="514"/>
      <c r="R1893" s="293"/>
      <c r="S1893" s="316"/>
      <c r="T1893" s="355"/>
    </row>
    <row r="1894" spans="11:20" x14ac:dyDescent="0.25">
      <c r="K1894" s="312"/>
      <c r="N1894" s="514"/>
      <c r="R1894" s="293"/>
      <c r="S1894" s="316"/>
      <c r="T1894" s="355"/>
    </row>
    <row r="1895" spans="11:20" x14ac:dyDescent="0.25">
      <c r="K1895" s="312"/>
      <c r="N1895" s="514"/>
      <c r="R1895" s="293"/>
      <c r="S1895" s="316"/>
      <c r="T1895" s="355"/>
    </row>
    <row r="1896" spans="11:20" x14ac:dyDescent="0.25">
      <c r="K1896" s="312"/>
      <c r="N1896" s="514"/>
      <c r="R1896" s="293"/>
      <c r="S1896" s="316"/>
      <c r="T1896" s="355"/>
    </row>
    <row r="1897" spans="11:20" x14ac:dyDescent="0.25">
      <c r="K1897" s="312"/>
      <c r="N1897" s="514"/>
      <c r="R1897" s="293"/>
      <c r="S1897" s="316"/>
      <c r="T1897" s="355"/>
    </row>
    <row r="1898" spans="11:20" x14ac:dyDescent="0.25">
      <c r="K1898" s="312"/>
      <c r="N1898" s="514"/>
      <c r="R1898" s="293"/>
      <c r="S1898" s="316"/>
      <c r="T1898" s="355"/>
    </row>
    <row r="1899" spans="11:20" x14ac:dyDescent="0.25">
      <c r="K1899" s="312"/>
      <c r="N1899" s="514"/>
      <c r="R1899" s="293"/>
      <c r="S1899" s="316"/>
      <c r="T1899" s="355"/>
    </row>
    <row r="1900" spans="11:20" x14ac:dyDescent="0.25">
      <c r="K1900" s="312"/>
      <c r="N1900" s="514"/>
      <c r="R1900" s="293"/>
      <c r="S1900" s="316"/>
      <c r="T1900" s="355"/>
    </row>
    <row r="1901" spans="11:20" x14ac:dyDescent="0.25">
      <c r="K1901" s="312"/>
      <c r="N1901" s="514"/>
      <c r="R1901" s="293"/>
      <c r="S1901" s="316"/>
      <c r="T1901" s="355"/>
    </row>
    <row r="1902" spans="11:20" x14ac:dyDescent="0.25">
      <c r="K1902" s="312"/>
      <c r="N1902" s="514"/>
      <c r="R1902" s="293"/>
      <c r="S1902" s="316"/>
      <c r="T1902" s="355"/>
    </row>
    <row r="1903" spans="11:20" x14ac:dyDescent="0.25">
      <c r="K1903" s="312"/>
      <c r="N1903" s="514"/>
      <c r="R1903" s="293"/>
      <c r="S1903" s="316"/>
      <c r="T1903" s="355"/>
    </row>
    <row r="1904" spans="11:20" x14ac:dyDescent="0.25">
      <c r="K1904" s="312"/>
      <c r="N1904" s="514"/>
      <c r="R1904" s="293"/>
      <c r="S1904" s="316"/>
      <c r="T1904" s="355"/>
    </row>
    <row r="1905" spans="11:20" x14ac:dyDescent="0.25">
      <c r="K1905" s="312"/>
      <c r="N1905" s="514"/>
      <c r="R1905" s="293"/>
      <c r="S1905" s="316"/>
      <c r="T1905" s="355"/>
    </row>
    <row r="1906" spans="11:20" x14ac:dyDescent="0.25">
      <c r="K1906" s="312"/>
      <c r="N1906" s="514"/>
      <c r="R1906" s="293"/>
      <c r="S1906" s="316"/>
      <c r="T1906" s="355"/>
    </row>
    <row r="1907" spans="11:20" x14ac:dyDescent="0.25">
      <c r="K1907" s="312"/>
      <c r="N1907" s="514"/>
      <c r="R1907" s="293"/>
      <c r="S1907" s="316"/>
      <c r="T1907" s="355"/>
    </row>
    <row r="1908" spans="11:20" x14ac:dyDescent="0.25">
      <c r="K1908" s="312"/>
      <c r="N1908" s="514"/>
      <c r="R1908" s="293"/>
      <c r="S1908" s="316"/>
      <c r="T1908" s="355"/>
    </row>
    <row r="1909" spans="11:20" x14ac:dyDescent="0.25">
      <c r="K1909" s="312"/>
      <c r="N1909" s="514"/>
      <c r="R1909" s="293"/>
      <c r="S1909" s="316"/>
      <c r="T1909" s="355"/>
    </row>
    <row r="1910" spans="11:20" x14ac:dyDescent="0.25">
      <c r="K1910" s="312"/>
      <c r="N1910" s="514"/>
      <c r="R1910" s="293"/>
      <c r="S1910" s="316"/>
      <c r="T1910" s="355"/>
    </row>
    <row r="1911" spans="11:20" x14ac:dyDescent="0.25">
      <c r="K1911" s="312"/>
      <c r="N1911" s="514"/>
      <c r="R1911" s="293"/>
      <c r="S1911" s="316"/>
      <c r="T1911" s="355"/>
    </row>
    <row r="1912" spans="11:20" x14ac:dyDescent="0.25">
      <c r="K1912" s="312"/>
      <c r="N1912" s="514"/>
      <c r="R1912" s="293"/>
      <c r="S1912" s="316"/>
      <c r="T1912" s="355"/>
    </row>
    <row r="1913" spans="11:20" x14ac:dyDescent="0.25">
      <c r="K1913" s="312"/>
      <c r="N1913" s="514"/>
      <c r="R1913" s="293"/>
      <c r="S1913" s="316"/>
      <c r="T1913" s="355"/>
    </row>
    <row r="1914" spans="11:20" x14ac:dyDescent="0.25">
      <c r="K1914" s="312"/>
      <c r="N1914" s="514"/>
      <c r="R1914" s="293"/>
      <c r="S1914" s="316"/>
      <c r="T1914" s="355"/>
    </row>
    <row r="1915" spans="11:20" x14ac:dyDescent="0.25">
      <c r="K1915" s="312"/>
      <c r="N1915" s="514"/>
      <c r="R1915" s="293"/>
      <c r="S1915" s="316"/>
      <c r="T1915" s="355"/>
    </row>
    <row r="1916" spans="11:20" x14ac:dyDescent="0.25">
      <c r="K1916" s="312"/>
      <c r="N1916" s="514"/>
      <c r="R1916" s="293"/>
      <c r="S1916" s="316"/>
      <c r="T1916" s="355"/>
    </row>
    <row r="1917" spans="11:20" x14ac:dyDescent="0.25">
      <c r="K1917" s="312"/>
      <c r="N1917" s="514"/>
      <c r="R1917" s="293"/>
      <c r="S1917" s="316"/>
      <c r="T1917" s="355"/>
    </row>
    <row r="1918" spans="11:20" x14ac:dyDescent="0.25">
      <c r="K1918" s="312"/>
      <c r="N1918" s="514"/>
      <c r="R1918" s="293"/>
      <c r="S1918" s="316"/>
      <c r="T1918" s="355"/>
    </row>
    <row r="1919" spans="11:20" x14ac:dyDescent="0.25">
      <c r="K1919" s="312"/>
      <c r="N1919" s="514"/>
      <c r="R1919" s="293"/>
      <c r="S1919" s="316"/>
      <c r="T1919" s="355"/>
    </row>
    <row r="1920" spans="11:20" x14ac:dyDescent="0.25">
      <c r="K1920" s="312"/>
      <c r="N1920" s="514"/>
      <c r="R1920" s="293"/>
      <c r="S1920" s="316"/>
      <c r="T1920" s="355"/>
    </row>
    <row r="1921" spans="11:20" x14ac:dyDescent="0.25">
      <c r="K1921" s="312"/>
      <c r="N1921" s="514"/>
      <c r="R1921" s="293"/>
      <c r="S1921" s="316"/>
      <c r="T1921" s="355"/>
    </row>
    <row r="1922" spans="11:20" x14ac:dyDescent="0.25">
      <c r="K1922" s="312"/>
      <c r="N1922" s="514"/>
      <c r="R1922" s="293"/>
      <c r="S1922" s="316"/>
      <c r="T1922" s="355"/>
    </row>
    <row r="1923" spans="11:20" x14ac:dyDescent="0.25">
      <c r="K1923" s="312"/>
      <c r="N1923" s="514"/>
      <c r="R1923" s="293"/>
      <c r="S1923" s="316"/>
      <c r="T1923" s="355"/>
    </row>
    <row r="1924" spans="11:20" x14ac:dyDescent="0.25">
      <c r="K1924" s="312"/>
      <c r="N1924" s="514"/>
      <c r="R1924" s="293"/>
      <c r="S1924" s="316"/>
      <c r="T1924" s="355"/>
    </row>
    <row r="1925" spans="11:20" x14ac:dyDescent="0.25">
      <c r="K1925" s="312"/>
      <c r="N1925" s="514"/>
      <c r="R1925" s="293"/>
      <c r="S1925" s="316"/>
      <c r="T1925" s="355"/>
    </row>
    <row r="1926" spans="11:20" x14ac:dyDescent="0.25">
      <c r="K1926" s="312"/>
      <c r="N1926" s="514"/>
      <c r="R1926" s="293"/>
      <c r="S1926" s="316"/>
      <c r="T1926" s="355"/>
    </row>
    <row r="1927" spans="11:20" x14ac:dyDescent="0.25">
      <c r="K1927" s="312"/>
      <c r="N1927" s="514"/>
      <c r="R1927" s="293"/>
      <c r="S1927" s="316"/>
      <c r="T1927" s="355"/>
    </row>
    <row r="1928" spans="11:20" x14ac:dyDescent="0.25">
      <c r="K1928" s="312"/>
      <c r="N1928" s="514"/>
      <c r="R1928" s="293"/>
      <c r="S1928" s="316"/>
      <c r="T1928" s="355"/>
    </row>
    <row r="1929" spans="11:20" x14ac:dyDescent="0.25">
      <c r="K1929" s="312"/>
      <c r="N1929" s="514"/>
      <c r="R1929" s="293"/>
      <c r="S1929" s="316"/>
      <c r="T1929" s="355"/>
    </row>
    <row r="1930" spans="11:20" x14ac:dyDescent="0.25">
      <c r="K1930" s="312"/>
      <c r="N1930" s="514"/>
      <c r="R1930" s="293"/>
      <c r="S1930" s="316"/>
      <c r="T1930" s="355"/>
    </row>
    <row r="1931" spans="11:20" x14ac:dyDescent="0.25">
      <c r="K1931" s="312"/>
      <c r="N1931" s="514"/>
      <c r="R1931" s="293"/>
      <c r="S1931" s="316"/>
      <c r="T1931" s="355"/>
    </row>
    <row r="1932" spans="11:20" x14ac:dyDescent="0.25">
      <c r="K1932" s="312"/>
      <c r="N1932" s="514"/>
      <c r="R1932" s="293"/>
      <c r="S1932" s="316"/>
      <c r="T1932" s="355"/>
    </row>
    <row r="1933" spans="11:20" x14ac:dyDescent="0.25">
      <c r="K1933" s="312"/>
      <c r="N1933" s="514"/>
      <c r="R1933" s="293"/>
      <c r="S1933" s="316"/>
      <c r="T1933" s="355"/>
    </row>
    <row r="1934" spans="11:20" x14ac:dyDescent="0.25">
      <c r="K1934" s="312"/>
      <c r="N1934" s="514"/>
      <c r="R1934" s="293"/>
      <c r="S1934" s="316"/>
      <c r="T1934" s="355"/>
    </row>
    <row r="1935" spans="11:20" x14ac:dyDescent="0.25">
      <c r="K1935" s="312"/>
      <c r="N1935" s="514"/>
      <c r="R1935" s="293"/>
      <c r="S1935" s="316"/>
      <c r="T1935" s="355"/>
    </row>
    <row r="1936" spans="11:20" x14ac:dyDescent="0.25">
      <c r="K1936" s="312"/>
      <c r="N1936" s="514"/>
      <c r="R1936" s="293"/>
      <c r="S1936" s="316"/>
      <c r="T1936" s="355"/>
    </row>
    <row r="1937" spans="11:20" x14ac:dyDescent="0.25">
      <c r="K1937" s="312"/>
      <c r="N1937" s="514"/>
      <c r="R1937" s="293"/>
      <c r="S1937" s="316"/>
      <c r="T1937" s="355"/>
    </row>
    <row r="1938" spans="11:20" x14ac:dyDescent="0.25">
      <c r="K1938" s="312"/>
      <c r="N1938" s="514"/>
      <c r="R1938" s="293"/>
      <c r="S1938" s="316"/>
      <c r="T1938" s="355"/>
    </row>
    <row r="1939" spans="11:20" x14ac:dyDescent="0.25">
      <c r="K1939" s="312"/>
      <c r="N1939" s="514"/>
      <c r="R1939" s="293"/>
      <c r="S1939" s="316"/>
      <c r="T1939" s="355"/>
    </row>
    <row r="1940" spans="11:20" x14ac:dyDescent="0.25">
      <c r="K1940" s="312"/>
      <c r="N1940" s="514"/>
      <c r="R1940" s="293"/>
      <c r="S1940" s="316"/>
      <c r="T1940" s="355"/>
    </row>
    <row r="1941" spans="11:20" x14ac:dyDescent="0.25">
      <c r="K1941" s="312"/>
      <c r="N1941" s="514"/>
      <c r="R1941" s="293"/>
      <c r="S1941" s="316"/>
      <c r="T1941" s="355"/>
    </row>
    <row r="1942" spans="11:20" x14ac:dyDescent="0.25">
      <c r="K1942" s="312"/>
      <c r="N1942" s="514"/>
      <c r="R1942" s="293"/>
      <c r="S1942" s="316"/>
      <c r="T1942" s="355"/>
    </row>
    <row r="1943" spans="11:20" x14ac:dyDescent="0.25">
      <c r="K1943" s="312"/>
      <c r="N1943" s="514"/>
      <c r="R1943" s="293"/>
      <c r="S1943" s="316"/>
      <c r="T1943" s="355"/>
    </row>
    <row r="1944" spans="11:20" x14ac:dyDescent="0.25">
      <c r="K1944" s="312"/>
      <c r="N1944" s="514"/>
      <c r="R1944" s="293"/>
      <c r="S1944" s="316"/>
      <c r="T1944" s="355"/>
    </row>
    <row r="1945" spans="11:20" x14ac:dyDescent="0.25">
      <c r="K1945" s="312"/>
      <c r="N1945" s="514"/>
      <c r="R1945" s="293"/>
      <c r="S1945" s="316"/>
      <c r="T1945" s="355"/>
    </row>
    <row r="1946" spans="11:20" x14ac:dyDescent="0.25">
      <c r="K1946" s="312"/>
      <c r="N1946" s="514"/>
      <c r="R1946" s="293"/>
      <c r="S1946" s="316"/>
      <c r="T1946" s="355"/>
    </row>
    <row r="1947" spans="11:20" x14ac:dyDescent="0.25">
      <c r="K1947" s="312"/>
      <c r="N1947" s="514"/>
      <c r="R1947" s="293"/>
      <c r="S1947" s="316"/>
      <c r="T1947" s="355"/>
    </row>
    <row r="1948" spans="11:20" x14ac:dyDescent="0.25">
      <c r="K1948" s="312"/>
      <c r="N1948" s="514"/>
      <c r="R1948" s="293"/>
      <c r="S1948" s="316"/>
      <c r="T1948" s="355"/>
    </row>
    <row r="1949" spans="11:20" x14ac:dyDescent="0.25">
      <c r="K1949" s="312"/>
      <c r="N1949" s="514"/>
      <c r="R1949" s="293"/>
      <c r="S1949" s="316"/>
      <c r="T1949" s="355"/>
    </row>
    <row r="1950" spans="11:20" x14ac:dyDescent="0.25">
      <c r="K1950" s="312"/>
      <c r="N1950" s="514"/>
      <c r="R1950" s="293"/>
      <c r="S1950" s="316"/>
      <c r="T1950" s="355"/>
    </row>
    <row r="1951" spans="11:20" x14ac:dyDescent="0.25">
      <c r="K1951" s="312"/>
      <c r="N1951" s="514"/>
      <c r="R1951" s="293"/>
      <c r="S1951" s="316"/>
      <c r="T1951" s="355"/>
    </row>
    <row r="1952" spans="11:20" x14ac:dyDescent="0.25">
      <c r="K1952" s="312"/>
      <c r="N1952" s="514"/>
      <c r="R1952" s="293"/>
      <c r="S1952" s="316"/>
      <c r="T1952" s="355"/>
    </row>
    <row r="1953" spans="11:20" x14ac:dyDescent="0.25">
      <c r="K1953" s="312"/>
      <c r="N1953" s="514"/>
      <c r="R1953" s="293"/>
      <c r="S1953" s="316"/>
      <c r="T1953" s="355"/>
    </row>
    <row r="1954" spans="11:20" x14ac:dyDescent="0.25">
      <c r="K1954" s="312"/>
      <c r="N1954" s="514"/>
      <c r="R1954" s="293"/>
      <c r="S1954" s="316"/>
      <c r="T1954" s="355"/>
    </row>
    <row r="1955" spans="11:20" x14ac:dyDescent="0.25">
      <c r="K1955" s="312"/>
      <c r="N1955" s="514"/>
      <c r="R1955" s="293"/>
      <c r="S1955" s="316"/>
      <c r="T1955" s="355"/>
    </row>
    <row r="1956" spans="11:20" x14ac:dyDescent="0.25">
      <c r="K1956" s="312"/>
      <c r="N1956" s="514"/>
      <c r="R1956" s="293"/>
      <c r="S1956" s="316"/>
      <c r="T1956" s="355"/>
    </row>
    <row r="1957" spans="11:20" x14ac:dyDescent="0.25">
      <c r="K1957" s="312"/>
      <c r="N1957" s="514"/>
      <c r="R1957" s="293"/>
      <c r="S1957" s="316"/>
      <c r="T1957" s="355"/>
    </row>
    <row r="1958" spans="11:20" x14ac:dyDescent="0.25">
      <c r="K1958" s="312"/>
      <c r="N1958" s="514"/>
      <c r="R1958" s="293"/>
      <c r="S1958" s="316"/>
      <c r="T1958" s="355"/>
    </row>
    <row r="1959" spans="11:20" x14ac:dyDescent="0.25">
      <c r="K1959" s="312"/>
      <c r="N1959" s="514"/>
      <c r="R1959" s="293"/>
      <c r="S1959" s="316"/>
      <c r="T1959" s="355"/>
    </row>
    <row r="1960" spans="11:20" x14ac:dyDescent="0.25">
      <c r="K1960" s="312"/>
      <c r="N1960" s="514"/>
      <c r="R1960" s="293"/>
      <c r="S1960" s="316"/>
      <c r="T1960" s="355"/>
    </row>
    <row r="1961" spans="11:20" x14ac:dyDescent="0.25">
      <c r="K1961" s="312"/>
      <c r="N1961" s="514"/>
      <c r="R1961" s="293"/>
      <c r="S1961" s="316"/>
      <c r="T1961" s="355"/>
    </row>
    <row r="1962" spans="11:20" x14ac:dyDescent="0.25">
      <c r="K1962" s="312"/>
      <c r="N1962" s="514"/>
      <c r="R1962" s="293"/>
      <c r="S1962" s="316"/>
      <c r="T1962" s="355"/>
    </row>
    <row r="1963" spans="11:20" x14ac:dyDescent="0.25">
      <c r="K1963" s="312"/>
      <c r="N1963" s="514"/>
      <c r="R1963" s="293"/>
      <c r="S1963" s="316"/>
      <c r="T1963" s="355"/>
    </row>
    <row r="1964" spans="11:20" x14ac:dyDescent="0.25">
      <c r="K1964" s="312"/>
      <c r="N1964" s="514"/>
      <c r="R1964" s="293"/>
      <c r="S1964" s="316"/>
      <c r="T1964" s="355"/>
    </row>
    <row r="1965" spans="11:20" x14ac:dyDescent="0.25">
      <c r="K1965" s="312"/>
      <c r="N1965" s="514"/>
      <c r="R1965" s="293"/>
      <c r="S1965" s="316"/>
      <c r="T1965" s="355"/>
    </row>
    <row r="1966" spans="11:20" x14ac:dyDescent="0.25">
      <c r="K1966" s="312"/>
      <c r="N1966" s="514"/>
      <c r="R1966" s="293"/>
      <c r="S1966" s="316"/>
      <c r="T1966" s="355"/>
    </row>
    <row r="1967" spans="11:20" x14ac:dyDescent="0.25">
      <c r="K1967" s="312"/>
      <c r="N1967" s="514"/>
      <c r="R1967" s="293"/>
      <c r="S1967" s="316"/>
      <c r="T1967" s="355"/>
    </row>
    <row r="1968" spans="11:20" x14ac:dyDescent="0.25">
      <c r="K1968" s="312"/>
      <c r="N1968" s="514"/>
      <c r="R1968" s="293"/>
      <c r="S1968" s="316"/>
      <c r="T1968" s="355"/>
    </row>
    <row r="1969" spans="11:20" x14ac:dyDescent="0.25">
      <c r="K1969" s="312"/>
      <c r="N1969" s="514"/>
      <c r="R1969" s="293"/>
      <c r="S1969" s="316"/>
      <c r="T1969" s="355"/>
    </row>
    <row r="1970" spans="11:20" x14ac:dyDescent="0.25">
      <c r="K1970" s="312"/>
      <c r="N1970" s="514"/>
      <c r="R1970" s="293"/>
      <c r="S1970" s="316"/>
      <c r="T1970" s="355"/>
    </row>
    <row r="1971" spans="11:20" x14ac:dyDescent="0.25">
      <c r="K1971" s="312"/>
      <c r="N1971" s="514"/>
      <c r="R1971" s="293"/>
      <c r="S1971" s="316"/>
      <c r="T1971" s="355"/>
    </row>
    <row r="1972" spans="11:20" x14ac:dyDescent="0.25">
      <c r="K1972" s="312"/>
      <c r="N1972" s="514"/>
      <c r="R1972" s="293"/>
      <c r="S1972" s="316"/>
      <c r="T1972" s="355"/>
    </row>
    <row r="1973" spans="11:20" x14ac:dyDescent="0.25">
      <c r="K1973" s="312"/>
      <c r="N1973" s="514"/>
      <c r="R1973" s="293"/>
      <c r="S1973" s="316"/>
      <c r="T1973" s="355"/>
    </row>
    <row r="1974" spans="11:20" x14ac:dyDescent="0.25">
      <c r="K1974" s="312"/>
      <c r="N1974" s="514"/>
      <c r="R1974" s="293"/>
      <c r="S1974" s="316"/>
      <c r="T1974" s="355"/>
    </row>
    <row r="1975" spans="11:20" x14ac:dyDescent="0.25">
      <c r="K1975" s="312"/>
      <c r="N1975" s="514"/>
      <c r="R1975" s="293"/>
      <c r="S1975" s="316"/>
      <c r="T1975" s="355"/>
    </row>
    <row r="1976" spans="11:20" x14ac:dyDescent="0.25">
      <c r="K1976" s="312"/>
      <c r="N1976" s="514"/>
      <c r="R1976" s="293"/>
      <c r="S1976" s="316"/>
      <c r="T1976" s="355"/>
    </row>
    <row r="1977" spans="11:20" x14ac:dyDescent="0.25">
      <c r="K1977" s="312"/>
      <c r="N1977" s="514"/>
      <c r="R1977" s="293"/>
      <c r="S1977" s="316"/>
      <c r="T1977" s="355"/>
    </row>
    <row r="1978" spans="11:20" x14ac:dyDescent="0.25">
      <c r="K1978" s="312"/>
      <c r="N1978" s="514"/>
      <c r="R1978" s="293"/>
      <c r="S1978" s="316"/>
      <c r="T1978" s="355"/>
    </row>
    <row r="1979" spans="11:20" x14ac:dyDescent="0.25">
      <c r="K1979" s="312"/>
      <c r="N1979" s="514"/>
      <c r="R1979" s="293"/>
      <c r="S1979" s="316"/>
      <c r="T1979" s="355"/>
    </row>
    <row r="1980" spans="11:20" x14ac:dyDescent="0.25">
      <c r="K1980" s="312"/>
      <c r="N1980" s="514"/>
      <c r="R1980" s="293"/>
      <c r="S1980" s="316"/>
      <c r="T1980" s="355"/>
    </row>
    <row r="1981" spans="11:20" x14ac:dyDescent="0.25">
      <c r="K1981" s="312"/>
      <c r="N1981" s="514"/>
      <c r="R1981" s="293"/>
      <c r="S1981" s="316"/>
      <c r="T1981" s="355"/>
    </row>
    <row r="1982" spans="11:20" x14ac:dyDescent="0.25">
      <c r="K1982" s="312"/>
      <c r="N1982" s="514"/>
      <c r="R1982" s="293"/>
      <c r="S1982" s="316"/>
      <c r="T1982" s="355"/>
    </row>
    <row r="1983" spans="11:20" x14ac:dyDescent="0.25">
      <c r="K1983" s="312"/>
      <c r="N1983" s="514"/>
      <c r="R1983" s="293"/>
      <c r="S1983" s="316"/>
      <c r="T1983" s="355"/>
    </row>
    <row r="1984" spans="11:20" x14ac:dyDescent="0.25">
      <c r="K1984" s="312"/>
      <c r="N1984" s="514"/>
      <c r="R1984" s="293"/>
      <c r="S1984" s="316"/>
      <c r="T1984" s="355"/>
    </row>
    <row r="1985" spans="11:20" x14ac:dyDescent="0.25">
      <c r="K1985" s="312"/>
      <c r="N1985" s="514"/>
      <c r="R1985" s="293"/>
      <c r="S1985" s="316"/>
      <c r="T1985" s="355"/>
    </row>
    <row r="1986" spans="11:20" x14ac:dyDescent="0.25">
      <c r="K1986" s="312"/>
      <c r="N1986" s="514"/>
      <c r="R1986" s="293"/>
      <c r="S1986" s="316"/>
      <c r="T1986" s="355"/>
    </row>
    <row r="1987" spans="11:20" x14ac:dyDescent="0.25">
      <c r="K1987" s="312"/>
      <c r="N1987" s="514"/>
      <c r="R1987" s="293"/>
      <c r="S1987" s="316"/>
      <c r="T1987" s="355"/>
    </row>
    <row r="1988" spans="11:20" x14ac:dyDescent="0.25">
      <c r="K1988" s="312"/>
      <c r="N1988" s="514"/>
      <c r="R1988" s="293"/>
      <c r="S1988" s="316"/>
      <c r="T1988" s="355"/>
    </row>
    <row r="1989" spans="11:20" x14ac:dyDescent="0.25">
      <c r="K1989" s="312"/>
      <c r="N1989" s="514"/>
      <c r="R1989" s="293"/>
      <c r="S1989" s="316"/>
      <c r="T1989" s="355"/>
    </row>
    <row r="1990" spans="11:20" x14ac:dyDescent="0.25">
      <c r="K1990" s="312"/>
      <c r="N1990" s="514"/>
      <c r="R1990" s="293"/>
      <c r="S1990" s="316"/>
      <c r="T1990" s="355"/>
    </row>
    <row r="1991" spans="11:20" x14ac:dyDescent="0.25">
      <c r="K1991" s="312"/>
      <c r="N1991" s="514"/>
      <c r="R1991" s="293"/>
      <c r="S1991" s="316"/>
      <c r="T1991" s="355"/>
    </row>
    <row r="1992" spans="11:20" x14ac:dyDescent="0.25">
      <c r="K1992" s="312"/>
      <c r="N1992" s="514"/>
      <c r="R1992" s="293"/>
      <c r="S1992" s="316"/>
      <c r="T1992" s="355"/>
    </row>
    <row r="1993" spans="11:20" x14ac:dyDescent="0.25">
      <c r="K1993" s="312"/>
      <c r="N1993" s="514"/>
      <c r="R1993" s="293"/>
      <c r="S1993" s="316"/>
      <c r="T1993" s="355"/>
    </row>
    <row r="1994" spans="11:20" x14ac:dyDescent="0.25">
      <c r="K1994" s="312"/>
      <c r="N1994" s="514"/>
      <c r="R1994" s="293"/>
      <c r="S1994" s="316"/>
      <c r="T1994" s="355"/>
    </row>
    <row r="1995" spans="11:20" x14ac:dyDescent="0.25">
      <c r="K1995" s="312"/>
      <c r="N1995" s="514"/>
      <c r="R1995" s="293"/>
      <c r="S1995" s="316"/>
      <c r="T1995" s="355"/>
    </row>
    <row r="1996" spans="11:20" x14ac:dyDescent="0.25">
      <c r="K1996" s="312"/>
      <c r="N1996" s="514"/>
      <c r="R1996" s="293"/>
      <c r="S1996" s="316"/>
      <c r="T1996" s="355"/>
    </row>
    <row r="1997" spans="11:20" x14ac:dyDescent="0.25">
      <c r="K1997" s="312"/>
      <c r="N1997" s="514"/>
      <c r="R1997" s="293"/>
      <c r="S1997" s="316"/>
      <c r="T1997" s="355"/>
    </row>
    <row r="1998" spans="11:20" x14ac:dyDescent="0.25">
      <c r="K1998" s="312"/>
      <c r="N1998" s="514"/>
      <c r="R1998" s="293"/>
      <c r="S1998" s="316"/>
      <c r="T1998" s="355"/>
    </row>
    <row r="1999" spans="11:20" x14ac:dyDescent="0.25">
      <c r="K1999" s="312"/>
      <c r="N1999" s="514"/>
      <c r="R1999" s="293"/>
      <c r="S1999" s="316"/>
      <c r="T1999" s="355"/>
    </row>
    <row r="2000" spans="11:20" x14ac:dyDescent="0.25">
      <c r="K2000" s="312"/>
      <c r="N2000" s="514"/>
      <c r="R2000" s="293"/>
      <c r="S2000" s="316"/>
      <c r="T2000" s="355"/>
    </row>
    <row r="2001" spans="11:20" x14ac:dyDescent="0.25">
      <c r="K2001" s="312"/>
      <c r="N2001" s="514"/>
      <c r="R2001" s="293"/>
      <c r="S2001" s="316"/>
      <c r="T2001" s="355"/>
    </row>
    <row r="2002" spans="11:20" x14ac:dyDescent="0.25">
      <c r="K2002" s="312"/>
      <c r="N2002" s="514"/>
      <c r="R2002" s="293"/>
      <c r="S2002" s="316"/>
      <c r="T2002" s="355"/>
    </row>
    <row r="2003" spans="11:20" x14ac:dyDescent="0.25">
      <c r="K2003" s="312"/>
      <c r="N2003" s="514"/>
      <c r="R2003" s="293"/>
      <c r="S2003" s="316"/>
      <c r="T2003" s="355"/>
    </row>
    <row r="2004" spans="11:20" x14ac:dyDescent="0.25">
      <c r="K2004" s="312"/>
      <c r="N2004" s="514"/>
      <c r="R2004" s="293"/>
      <c r="S2004" s="316"/>
      <c r="T2004" s="355"/>
    </row>
    <row r="2005" spans="11:20" x14ac:dyDescent="0.25">
      <c r="K2005" s="312"/>
      <c r="N2005" s="514"/>
      <c r="R2005" s="293"/>
      <c r="S2005" s="316"/>
      <c r="T2005" s="355"/>
    </row>
    <row r="2006" spans="11:20" x14ac:dyDescent="0.25">
      <c r="K2006" s="312"/>
      <c r="N2006" s="514"/>
      <c r="R2006" s="293"/>
      <c r="S2006" s="316"/>
      <c r="T2006" s="355"/>
    </row>
    <row r="2007" spans="11:20" x14ac:dyDescent="0.25">
      <c r="K2007" s="312"/>
      <c r="N2007" s="514"/>
      <c r="R2007" s="293"/>
      <c r="S2007" s="316"/>
      <c r="T2007" s="355"/>
    </row>
    <row r="2008" spans="11:20" x14ac:dyDescent="0.25">
      <c r="K2008" s="312"/>
      <c r="N2008" s="514"/>
      <c r="R2008" s="293"/>
      <c r="S2008" s="316"/>
      <c r="T2008" s="355"/>
    </row>
    <row r="2009" spans="11:20" x14ac:dyDescent="0.25">
      <c r="K2009" s="312"/>
      <c r="N2009" s="514"/>
      <c r="R2009" s="293"/>
      <c r="S2009" s="316"/>
      <c r="T2009" s="355"/>
    </row>
    <row r="2010" spans="11:20" x14ac:dyDescent="0.25">
      <c r="K2010" s="312"/>
      <c r="N2010" s="514"/>
      <c r="R2010" s="293"/>
      <c r="S2010" s="316"/>
      <c r="T2010" s="355"/>
    </row>
    <row r="2011" spans="11:20" x14ac:dyDescent="0.25">
      <c r="K2011" s="312"/>
      <c r="N2011" s="514"/>
      <c r="R2011" s="293"/>
      <c r="S2011" s="316"/>
      <c r="T2011" s="355"/>
    </row>
    <row r="2012" spans="11:20" x14ac:dyDescent="0.25">
      <c r="K2012" s="312"/>
      <c r="N2012" s="514"/>
      <c r="R2012" s="293"/>
      <c r="S2012" s="316"/>
      <c r="T2012" s="355"/>
    </row>
    <row r="2013" spans="11:20" x14ac:dyDescent="0.25">
      <c r="K2013" s="312"/>
      <c r="N2013" s="514"/>
      <c r="R2013" s="293"/>
      <c r="S2013" s="316"/>
      <c r="T2013" s="355"/>
    </row>
    <row r="2014" spans="11:20" x14ac:dyDescent="0.25">
      <c r="K2014" s="312"/>
      <c r="N2014" s="514"/>
      <c r="R2014" s="293"/>
      <c r="S2014" s="316"/>
      <c r="T2014" s="355"/>
    </row>
    <row r="2015" spans="11:20" x14ac:dyDescent="0.25">
      <c r="K2015" s="312"/>
      <c r="N2015" s="514"/>
      <c r="R2015" s="293"/>
      <c r="S2015" s="316"/>
      <c r="T2015" s="355"/>
    </row>
    <row r="2016" spans="11:20" x14ac:dyDescent="0.25">
      <c r="K2016" s="312"/>
      <c r="N2016" s="514"/>
      <c r="R2016" s="293"/>
      <c r="S2016" s="316"/>
      <c r="T2016" s="355"/>
    </row>
    <row r="2017" spans="11:20" x14ac:dyDescent="0.25">
      <c r="K2017" s="312"/>
      <c r="N2017" s="514"/>
      <c r="R2017" s="293"/>
      <c r="S2017" s="316"/>
      <c r="T2017" s="355"/>
    </row>
    <row r="2018" spans="11:20" x14ac:dyDescent="0.25">
      <c r="K2018" s="312"/>
      <c r="N2018" s="514"/>
      <c r="R2018" s="293"/>
      <c r="S2018" s="316"/>
      <c r="T2018" s="355"/>
    </row>
    <row r="2019" spans="11:20" x14ac:dyDescent="0.25">
      <c r="K2019" s="312"/>
      <c r="N2019" s="514"/>
      <c r="R2019" s="293"/>
      <c r="S2019" s="316"/>
      <c r="T2019" s="355"/>
    </row>
    <row r="2020" spans="11:20" x14ac:dyDescent="0.25">
      <c r="K2020" s="312"/>
      <c r="N2020" s="514"/>
      <c r="R2020" s="293"/>
      <c r="S2020" s="316"/>
      <c r="T2020" s="355"/>
    </row>
    <row r="2021" spans="11:20" x14ac:dyDescent="0.25">
      <c r="K2021" s="312"/>
      <c r="N2021" s="514"/>
      <c r="R2021" s="293"/>
      <c r="S2021" s="316"/>
      <c r="T2021" s="355"/>
    </row>
    <row r="2022" spans="11:20" x14ac:dyDescent="0.25">
      <c r="K2022" s="312"/>
      <c r="N2022" s="514"/>
      <c r="R2022" s="293"/>
      <c r="S2022" s="316"/>
      <c r="T2022" s="355"/>
    </row>
    <row r="2023" spans="11:20" x14ac:dyDescent="0.25">
      <c r="K2023" s="312"/>
      <c r="N2023" s="514"/>
      <c r="R2023" s="293"/>
      <c r="S2023" s="316"/>
      <c r="T2023" s="355"/>
    </row>
    <row r="2024" spans="11:20" x14ac:dyDescent="0.25">
      <c r="K2024" s="312"/>
      <c r="N2024" s="514"/>
      <c r="R2024" s="293"/>
      <c r="S2024" s="316"/>
      <c r="T2024" s="355"/>
    </row>
    <row r="2025" spans="11:20" x14ac:dyDescent="0.25">
      <c r="K2025" s="312"/>
      <c r="N2025" s="514"/>
      <c r="R2025" s="293"/>
      <c r="S2025" s="316"/>
      <c r="T2025" s="355"/>
    </row>
    <row r="2026" spans="11:20" x14ac:dyDescent="0.25">
      <c r="K2026" s="312"/>
      <c r="N2026" s="514"/>
      <c r="R2026" s="293"/>
      <c r="S2026" s="316"/>
      <c r="T2026" s="355"/>
    </row>
    <row r="2027" spans="11:20" x14ac:dyDescent="0.25">
      <c r="K2027" s="312"/>
      <c r="N2027" s="514"/>
      <c r="R2027" s="293"/>
      <c r="S2027" s="316"/>
      <c r="T2027" s="355"/>
    </row>
    <row r="2028" spans="11:20" x14ac:dyDescent="0.25">
      <c r="K2028" s="312"/>
      <c r="N2028" s="514"/>
      <c r="R2028" s="293"/>
      <c r="S2028" s="316"/>
      <c r="T2028" s="355"/>
    </row>
    <row r="2029" spans="11:20" x14ac:dyDescent="0.25">
      <c r="K2029" s="312"/>
      <c r="N2029" s="514"/>
      <c r="R2029" s="293"/>
      <c r="S2029" s="316"/>
      <c r="T2029" s="355"/>
    </row>
    <row r="2030" spans="11:20" x14ac:dyDescent="0.25">
      <c r="K2030" s="312"/>
      <c r="N2030" s="514"/>
      <c r="R2030" s="293"/>
      <c r="S2030" s="316"/>
      <c r="T2030" s="355"/>
    </row>
    <row r="2031" spans="11:20" x14ac:dyDescent="0.25">
      <c r="K2031" s="312"/>
      <c r="N2031" s="514"/>
      <c r="R2031" s="293"/>
      <c r="S2031" s="316"/>
      <c r="T2031" s="355"/>
    </row>
    <row r="2032" spans="11:20" x14ac:dyDescent="0.25">
      <c r="K2032" s="312"/>
      <c r="N2032" s="514"/>
      <c r="R2032" s="293"/>
      <c r="S2032" s="316"/>
      <c r="T2032" s="355"/>
    </row>
    <row r="2033" spans="11:20" x14ac:dyDescent="0.25">
      <c r="K2033" s="312"/>
      <c r="N2033" s="514"/>
      <c r="R2033" s="293"/>
      <c r="S2033" s="316"/>
      <c r="T2033" s="355"/>
    </row>
    <row r="2034" spans="11:20" x14ac:dyDescent="0.25">
      <c r="K2034" s="312"/>
      <c r="N2034" s="514"/>
      <c r="R2034" s="293"/>
      <c r="S2034" s="316"/>
      <c r="T2034" s="355"/>
    </row>
    <row r="2035" spans="11:20" x14ac:dyDescent="0.25">
      <c r="K2035" s="312"/>
      <c r="N2035" s="514"/>
      <c r="R2035" s="293"/>
      <c r="S2035" s="316"/>
      <c r="T2035" s="355"/>
    </row>
    <row r="2036" spans="11:20" x14ac:dyDescent="0.25">
      <c r="K2036" s="312"/>
      <c r="N2036" s="514"/>
      <c r="R2036" s="293"/>
      <c r="S2036" s="316"/>
      <c r="T2036" s="355"/>
    </row>
    <row r="2037" spans="11:20" x14ac:dyDescent="0.25">
      <c r="K2037" s="312"/>
      <c r="N2037" s="514"/>
      <c r="R2037" s="293"/>
      <c r="S2037" s="316"/>
      <c r="T2037" s="355"/>
    </row>
    <row r="2038" spans="11:20" x14ac:dyDescent="0.25">
      <c r="K2038" s="312"/>
      <c r="N2038" s="514"/>
      <c r="R2038" s="293"/>
      <c r="S2038" s="316"/>
      <c r="T2038" s="355"/>
    </row>
    <row r="2039" spans="11:20" x14ac:dyDescent="0.25">
      <c r="K2039" s="312"/>
      <c r="N2039" s="514"/>
      <c r="R2039" s="293"/>
      <c r="S2039" s="316"/>
      <c r="T2039" s="355"/>
    </row>
    <row r="2040" spans="11:20" x14ac:dyDescent="0.25">
      <c r="K2040" s="312"/>
      <c r="N2040" s="514"/>
      <c r="R2040" s="293"/>
      <c r="S2040" s="316"/>
      <c r="T2040" s="355"/>
    </row>
    <row r="2041" spans="11:20" x14ac:dyDescent="0.25">
      <c r="K2041" s="312"/>
      <c r="N2041" s="514"/>
      <c r="R2041" s="293"/>
      <c r="S2041" s="316"/>
      <c r="T2041" s="355"/>
    </row>
    <row r="2042" spans="11:20" x14ac:dyDescent="0.25">
      <c r="K2042" s="312"/>
      <c r="N2042" s="514"/>
      <c r="R2042" s="293"/>
      <c r="S2042" s="316"/>
      <c r="T2042" s="355"/>
    </row>
    <row r="2043" spans="11:20" x14ac:dyDescent="0.25">
      <c r="K2043" s="312"/>
      <c r="N2043" s="514"/>
      <c r="R2043" s="293"/>
      <c r="S2043" s="316"/>
      <c r="T2043" s="355"/>
    </row>
    <row r="2044" spans="11:20" x14ac:dyDescent="0.25">
      <c r="K2044" s="312"/>
      <c r="N2044" s="514"/>
      <c r="R2044" s="293"/>
      <c r="S2044" s="316"/>
      <c r="T2044" s="355"/>
    </row>
    <row r="2045" spans="11:20" x14ac:dyDescent="0.25">
      <c r="K2045" s="312"/>
      <c r="N2045" s="514"/>
      <c r="R2045" s="293"/>
      <c r="S2045" s="316"/>
      <c r="T2045" s="355"/>
    </row>
    <row r="2046" spans="11:20" x14ac:dyDescent="0.25">
      <c r="K2046" s="312"/>
      <c r="N2046" s="514"/>
      <c r="R2046" s="293"/>
      <c r="S2046" s="316"/>
      <c r="T2046" s="355"/>
    </row>
    <row r="2047" spans="11:20" x14ac:dyDescent="0.25">
      <c r="K2047" s="312"/>
      <c r="N2047" s="514"/>
      <c r="R2047" s="293"/>
      <c r="S2047" s="316"/>
      <c r="T2047" s="355"/>
    </row>
    <row r="2048" spans="11:20" x14ac:dyDescent="0.25">
      <c r="K2048" s="312"/>
      <c r="N2048" s="514"/>
      <c r="R2048" s="293"/>
      <c r="S2048" s="316"/>
      <c r="T2048" s="355"/>
    </row>
    <row r="2049" spans="11:20" x14ac:dyDescent="0.25">
      <c r="K2049" s="312"/>
      <c r="N2049" s="514"/>
      <c r="R2049" s="293"/>
      <c r="S2049" s="316"/>
      <c r="T2049" s="355"/>
    </row>
    <row r="2050" spans="11:20" x14ac:dyDescent="0.25">
      <c r="K2050" s="312"/>
      <c r="N2050" s="514"/>
      <c r="R2050" s="293"/>
      <c r="S2050" s="316"/>
      <c r="T2050" s="355"/>
    </row>
    <row r="2051" spans="11:20" x14ac:dyDescent="0.25">
      <c r="K2051" s="312"/>
      <c r="N2051" s="514"/>
      <c r="R2051" s="293"/>
      <c r="S2051" s="316"/>
      <c r="T2051" s="355"/>
    </row>
    <row r="2052" spans="11:20" x14ac:dyDescent="0.25">
      <c r="K2052" s="312"/>
      <c r="N2052" s="514"/>
      <c r="R2052" s="293"/>
      <c r="S2052" s="316"/>
      <c r="T2052" s="355"/>
    </row>
    <row r="2053" spans="11:20" x14ac:dyDescent="0.25">
      <c r="K2053" s="312"/>
      <c r="N2053" s="514"/>
      <c r="R2053" s="293"/>
      <c r="S2053" s="316"/>
      <c r="T2053" s="355"/>
    </row>
    <row r="2054" spans="11:20" x14ac:dyDescent="0.25">
      <c r="K2054" s="312"/>
      <c r="N2054" s="514"/>
      <c r="R2054" s="293"/>
      <c r="S2054" s="316"/>
      <c r="T2054" s="355"/>
    </row>
    <row r="2055" spans="11:20" x14ac:dyDescent="0.25">
      <c r="K2055" s="312"/>
      <c r="N2055" s="514"/>
      <c r="R2055" s="293"/>
      <c r="S2055" s="316"/>
      <c r="T2055" s="355"/>
    </row>
    <row r="2056" spans="11:20" x14ac:dyDescent="0.25">
      <c r="K2056" s="312"/>
      <c r="N2056" s="514"/>
      <c r="R2056" s="293"/>
      <c r="S2056" s="316"/>
      <c r="T2056" s="355"/>
    </row>
    <row r="2057" spans="11:20" x14ac:dyDescent="0.25">
      <c r="K2057" s="312"/>
      <c r="N2057" s="514"/>
      <c r="R2057" s="293"/>
      <c r="S2057" s="316"/>
      <c r="T2057" s="355"/>
    </row>
    <row r="2058" spans="11:20" x14ac:dyDescent="0.25">
      <c r="K2058" s="312"/>
      <c r="N2058" s="514"/>
      <c r="R2058" s="293"/>
      <c r="S2058" s="316"/>
      <c r="T2058" s="355"/>
    </row>
    <row r="2059" spans="11:20" x14ac:dyDescent="0.25">
      <c r="K2059" s="312"/>
      <c r="N2059" s="514"/>
      <c r="R2059" s="293"/>
      <c r="S2059" s="316"/>
      <c r="T2059" s="355"/>
    </row>
    <row r="2060" spans="11:20" x14ac:dyDescent="0.25">
      <c r="K2060" s="312"/>
      <c r="N2060" s="514"/>
      <c r="R2060" s="293"/>
      <c r="S2060" s="316"/>
      <c r="T2060" s="355"/>
    </row>
    <row r="2061" spans="11:20" x14ac:dyDescent="0.25">
      <c r="K2061" s="312"/>
      <c r="N2061" s="514"/>
      <c r="R2061" s="293"/>
      <c r="S2061" s="316"/>
      <c r="T2061" s="355"/>
    </row>
    <row r="2062" spans="11:20" x14ac:dyDescent="0.25">
      <c r="K2062" s="312"/>
      <c r="N2062" s="514"/>
      <c r="R2062" s="293"/>
      <c r="S2062" s="316"/>
      <c r="T2062" s="355"/>
    </row>
    <row r="2063" spans="11:20" x14ac:dyDescent="0.25">
      <c r="K2063" s="312"/>
      <c r="N2063" s="514"/>
      <c r="R2063" s="293"/>
      <c r="S2063" s="316"/>
      <c r="T2063" s="355"/>
    </row>
    <row r="2064" spans="11:20" x14ac:dyDescent="0.25">
      <c r="K2064" s="312"/>
      <c r="N2064" s="514"/>
      <c r="R2064" s="293"/>
      <c r="S2064" s="316"/>
      <c r="T2064" s="355"/>
    </row>
    <row r="2065" spans="11:20" x14ac:dyDescent="0.25">
      <c r="K2065" s="312"/>
      <c r="N2065" s="514"/>
      <c r="R2065" s="293"/>
      <c r="S2065" s="316"/>
      <c r="T2065" s="355"/>
    </row>
    <row r="2066" spans="11:20" x14ac:dyDescent="0.25">
      <c r="K2066" s="312"/>
      <c r="N2066" s="514"/>
      <c r="R2066" s="293"/>
      <c r="S2066" s="316"/>
      <c r="T2066" s="355"/>
    </row>
    <row r="2067" spans="11:20" x14ac:dyDescent="0.25">
      <c r="K2067" s="312"/>
      <c r="N2067" s="514"/>
      <c r="R2067" s="293"/>
      <c r="S2067" s="316"/>
      <c r="T2067" s="355"/>
    </row>
    <row r="2068" spans="11:20" x14ac:dyDescent="0.25">
      <c r="K2068" s="312"/>
      <c r="N2068" s="514"/>
      <c r="R2068" s="293"/>
      <c r="S2068" s="316"/>
      <c r="T2068" s="355"/>
    </row>
    <row r="2069" spans="11:20" x14ac:dyDescent="0.25">
      <c r="K2069" s="312"/>
      <c r="N2069" s="514"/>
      <c r="R2069" s="293"/>
      <c r="S2069" s="316"/>
      <c r="T2069" s="355"/>
    </row>
    <row r="2070" spans="11:20" x14ac:dyDescent="0.25">
      <c r="K2070" s="312"/>
      <c r="N2070" s="514"/>
      <c r="R2070" s="293"/>
      <c r="S2070" s="316"/>
      <c r="T2070" s="355"/>
    </row>
    <row r="2071" spans="11:20" x14ac:dyDescent="0.25">
      <c r="K2071" s="312"/>
      <c r="N2071" s="514"/>
      <c r="R2071" s="293"/>
      <c r="S2071" s="316"/>
      <c r="T2071" s="355"/>
    </row>
    <row r="2072" spans="11:20" x14ac:dyDescent="0.25">
      <c r="K2072" s="312"/>
      <c r="N2072" s="514"/>
      <c r="R2072" s="293"/>
      <c r="S2072" s="316"/>
      <c r="T2072" s="355"/>
    </row>
    <row r="2073" spans="11:20" x14ac:dyDescent="0.25">
      <c r="K2073" s="312"/>
      <c r="N2073" s="514"/>
      <c r="R2073" s="293"/>
      <c r="S2073" s="316"/>
      <c r="T2073" s="355"/>
    </row>
    <row r="2074" spans="11:20" x14ac:dyDescent="0.25">
      <c r="K2074" s="312"/>
      <c r="N2074" s="514"/>
      <c r="R2074" s="293"/>
      <c r="S2074" s="316"/>
      <c r="T2074" s="355"/>
    </row>
    <row r="2075" spans="11:20" x14ac:dyDescent="0.25">
      <c r="K2075" s="312"/>
      <c r="N2075" s="514"/>
      <c r="R2075" s="293"/>
      <c r="S2075" s="316"/>
      <c r="T2075" s="355"/>
    </row>
    <row r="2076" spans="11:20" x14ac:dyDescent="0.25">
      <c r="K2076" s="312"/>
      <c r="N2076" s="514"/>
      <c r="R2076" s="293"/>
      <c r="S2076" s="316"/>
      <c r="T2076" s="355"/>
    </row>
    <row r="2077" spans="11:20" x14ac:dyDescent="0.25">
      <c r="K2077" s="312"/>
      <c r="N2077" s="514"/>
      <c r="R2077" s="293"/>
      <c r="S2077" s="316"/>
      <c r="T2077" s="355"/>
    </row>
    <row r="2078" spans="11:20" x14ac:dyDescent="0.25">
      <c r="K2078" s="312"/>
      <c r="N2078" s="514"/>
      <c r="R2078" s="293"/>
      <c r="S2078" s="316"/>
      <c r="T2078" s="355"/>
    </row>
    <row r="2079" spans="11:20" x14ac:dyDescent="0.25">
      <c r="K2079" s="312"/>
      <c r="N2079" s="514"/>
      <c r="R2079" s="293"/>
      <c r="S2079" s="316"/>
      <c r="T2079" s="355"/>
    </row>
    <row r="2080" spans="11:20" x14ac:dyDescent="0.25">
      <c r="K2080" s="312"/>
      <c r="N2080" s="514"/>
      <c r="R2080" s="293"/>
      <c r="S2080" s="316"/>
      <c r="T2080" s="355"/>
    </row>
    <row r="2081" spans="11:20" x14ac:dyDescent="0.25">
      <c r="K2081" s="312"/>
      <c r="N2081" s="514"/>
      <c r="R2081" s="293"/>
      <c r="S2081" s="316"/>
      <c r="T2081" s="355"/>
    </row>
    <row r="2082" spans="11:20" x14ac:dyDescent="0.25">
      <c r="K2082" s="312"/>
      <c r="N2082" s="514"/>
      <c r="R2082" s="293"/>
      <c r="S2082" s="316"/>
      <c r="T2082" s="355"/>
    </row>
    <row r="2083" spans="11:20" x14ac:dyDescent="0.25">
      <c r="K2083" s="312"/>
      <c r="N2083" s="514"/>
      <c r="R2083" s="293"/>
      <c r="S2083" s="316"/>
      <c r="T2083" s="355"/>
    </row>
    <row r="2084" spans="11:20" x14ac:dyDescent="0.25">
      <c r="K2084" s="312"/>
      <c r="N2084" s="514"/>
      <c r="R2084" s="293"/>
      <c r="S2084" s="316"/>
      <c r="T2084" s="355"/>
    </row>
    <row r="2085" spans="11:20" x14ac:dyDescent="0.25">
      <c r="K2085" s="312"/>
      <c r="N2085" s="514"/>
      <c r="R2085" s="293"/>
      <c r="S2085" s="316"/>
      <c r="T2085" s="355"/>
    </row>
    <row r="2086" spans="11:20" x14ac:dyDescent="0.25">
      <c r="K2086" s="312"/>
      <c r="N2086" s="514"/>
      <c r="R2086" s="293"/>
      <c r="S2086" s="316"/>
      <c r="T2086" s="355"/>
    </row>
    <row r="2087" spans="11:20" x14ac:dyDescent="0.25">
      <c r="K2087" s="312"/>
      <c r="N2087" s="514"/>
      <c r="R2087" s="293"/>
      <c r="S2087" s="316"/>
      <c r="T2087" s="355"/>
    </row>
    <row r="2088" spans="11:20" x14ac:dyDescent="0.25">
      <c r="K2088" s="312"/>
      <c r="N2088" s="514"/>
      <c r="R2088" s="293"/>
      <c r="S2088" s="316"/>
      <c r="T2088" s="355"/>
    </row>
    <row r="2089" spans="11:20" x14ac:dyDescent="0.25">
      <c r="K2089" s="312"/>
      <c r="N2089" s="514"/>
      <c r="R2089" s="293"/>
      <c r="S2089" s="316"/>
      <c r="T2089" s="355"/>
    </row>
    <row r="2090" spans="11:20" x14ac:dyDescent="0.25">
      <c r="K2090" s="312"/>
      <c r="N2090" s="514"/>
      <c r="R2090" s="293"/>
      <c r="S2090" s="316"/>
      <c r="T2090" s="355"/>
    </row>
    <row r="2091" spans="11:20" x14ac:dyDescent="0.25">
      <c r="K2091" s="312"/>
      <c r="N2091" s="514"/>
      <c r="R2091" s="293"/>
      <c r="S2091" s="316"/>
      <c r="T2091" s="355"/>
    </row>
    <row r="2092" spans="11:20" x14ac:dyDescent="0.25">
      <c r="K2092" s="312"/>
      <c r="N2092" s="514"/>
      <c r="R2092" s="293"/>
      <c r="S2092" s="316"/>
      <c r="T2092" s="355"/>
    </row>
    <row r="2093" spans="11:20" x14ac:dyDescent="0.25">
      <c r="K2093" s="312"/>
      <c r="N2093" s="514"/>
      <c r="R2093" s="293"/>
      <c r="S2093" s="316"/>
      <c r="T2093" s="355"/>
    </row>
    <row r="2094" spans="11:20" x14ac:dyDescent="0.25">
      <c r="K2094" s="312"/>
      <c r="N2094" s="514"/>
      <c r="R2094" s="293"/>
      <c r="S2094" s="316"/>
      <c r="T2094" s="355"/>
    </row>
    <row r="2095" spans="11:20" x14ac:dyDescent="0.25">
      <c r="K2095" s="312"/>
      <c r="N2095" s="514"/>
      <c r="R2095" s="293"/>
      <c r="S2095" s="316"/>
      <c r="T2095" s="355"/>
    </row>
    <row r="2096" spans="11:20" x14ac:dyDescent="0.25">
      <c r="K2096" s="312"/>
      <c r="N2096" s="514"/>
      <c r="R2096" s="293"/>
      <c r="S2096" s="316"/>
      <c r="T2096" s="355"/>
    </row>
    <row r="2097" spans="11:20" x14ac:dyDescent="0.25">
      <c r="K2097" s="312"/>
      <c r="N2097" s="514"/>
      <c r="R2097" s="293"/>
      <c r="S2097" s="316"/>
      <c r="T2097" s="355"/>
    </row>
    <row r="2098" spans="11:20" x14ac:dyDescent="0.25">
      <c r="K2098" s="312"/>
      <c r="N2098" s="514"/>
      <c r="R2098" s="293"/>
      <c r="S2098" s="316"/>
      <c r="T2098" s="355"/>
    </row>
    <row r="2099" spans="11:20" x14ac:dyDescent="0.25">
      <c r="K2099" s="312"/>
      <c r="N2099" s="514"/>
      <c r="R2099" s="293"/>
      <c r="S2099" s="316"/>
      <c r="T2099" s="355"/>
    </row>
    <row r="2100" spans="11:20" x14ac:dyDescent="0.25">
      <c r="K2100" s="312"/>
      <c r="N2100" s="514"/>
      <c r="R2100" s="293"/>
      <c r="S2100" s="316"/>
      <c r="T2100" s="355"/>
    </row>
    <row r="2101" spans="11:20" x14ac:dyDescent="0.25">
      <c r="K2101" s="312"/>
      <c r="N2101" s="514"/>
      <c r="R2101" s="293"/>
      <c r="S2101" s="316"/>
      <c r="T2101" s="355"/>
    </row>
    <row r="2102" spans="11:20" x14ac:dyDescent="0.25">
      <c r="K2102" s="312"/>
      <c r="N2102" s="514"/>
      <c r="R2102" s="293"/>
      <c r="S2102" s="316"/>
      <c r="T2102" s="355"/>
    </row>
    <row r="2103" spans="11:20" x14ac:dyDescent="0.25">
      <c r="K2103" s="312"/>
      <c r="N2103" s="514"/>
      <c r="R2103" s="293"/>
      <c r="S2103" s="316"/>
      <c r="T2103" s="355"/>
    </row>
    <row r="2104" spans="11:20" x14ac:dyDescent="0.25">
      <c r="K2104" s="312"/>
      <c r="N2104" s="514"/>
      <c r="R2104" s="293"/>
      <c r="S2104" s="316"/>
      <c r="T2104" s="355"/>
    </row>
    <row r="2105" spans="11:20" x14ac:dyDescent="0.25">
      <c r="K2105" s="312"/>
      <c r="N2105" s="514"/>
      <c r="R2105" s="293"/>
      <c r="S2105" s="316"/>
      <c r="T2105" s="355"/>
    </row>
    <row r="2106" spans="11:20" x14ac:dyDescent="0.25">
      <c r="K2106" s="312"/>
      <c r="N2106" s="514"/>
      <c r="R2106" s="293"/>
      <c r="S2106" s="316"/>
      <c r="T2106" s="355"/>
    </row>
    <row r="2107" spans="11:20" x14ac:dyDescent="0.25">
      <c r="K2107" s="312"/>
      <c r="N2107" s="514"/>
      <c r="R2107" s="293"/>
      <c r="S2107" s="316"/>
      <c r="T2107" s="355"/>
    </row>
    <row r="2108" spans="11:20" x14ac:dyDescent="0.25">
      <c r="K2108" s="312"/>
      <c r="N2108" s="514"/>
      <c r="R2108" s="293"/>
      <c r="S2108" s="316"/>
      <c r="T2108" s="355"/>
    </row>
    <row r="2109" spans="11:20" x14ac:dyDescent="0.25">
      <c r="K2109" s="312"/>
      <c r="N2109" s="514"/>
      <c r="R2109" s="293"/>
      <c r="S2109" s="316"/>
      <c r="T2109" s="355"/>
    </row>
    <row r="2110" spans="11:20" x14ac:dyDescent="0.25">
      <c r="K2110" s="312"/>
      <c r="N2110" s="514"/>
      <c r="R2110" s="293"/>
      <c r="S2110" s="316"/>
      <c r="T2110" s="355"/>
    </row>
    <row r="2111" spans="11:20" x14ac:dyDescent="0.25">
      <c r="K2111" s="312"/>
      <c r="N2111" s="514"/>
      <c r="R2111" s="293"/>
      <c r="S2111" s="316"/>
      <c r="T2111" s="355"/>
    </row>
    <row r="2112" spans="11:20" x14ac:dyDescent="0.25">
      <c r="K2112" s="312"/>
      <c r="N2112" s="514"/>
      <c r="R2112" s="293"/>
      <c r="S2112" s="316"/>
      <c r="T2112" s="355"/>
    </row>
    <row r="2113" spans="11:20" x14ac:dyDescent="0.25">
      <c r="K2113" s="312"/>
      <c r="N2113" s="514"/>
      <c r="R2113" s="293"/>
      <c r="S2113" s="316"/>
      <c r="T2113" s="355"/>
    </row>
    <row r="2114" spans="11:20" x14ac:dyDescent="0.25">
      <c r="K2114" s="312"/>
      <c r="N2114" s="514"/>
      <c r="R2114" s="293"/>
      <c r="S2114" s="316"/>
      <c r="T2114" s="355"/>
    </row>
    <row r="2115" spans="11:20" x14ac:dyDescent="0.25">
      <c r="K2115" s="312"/>
      <c r="N2115" s="514"/>
      <c r="R2115" s="293"/>
      <c r="S2115" s="316"/>
      <c r="T2115" s="355"/>
    </row>
    <row r="2116" spans="11:20" x14ac:dyDescent="0.25">
      <c r="K2116" s="312"/>
      <c r="N2116" s="514"/>
      <c r="R2116" s="293"/>
      <c r="S2116" s="316"/>
      <c r="T2116" s="355"/>
    </row>
    <row r="2117" spans="11:20" x14ac:dyDescent="0.25">
      <c r="K2117" s="312"/>
      <c r="N2117" s="514"/>
      <c r="R2117" s="293"/>
      <c r="S2117" s="316"/>
      <c r="T2117" s="355"/>
    </row>
    <row r="2118" spans="11:20" x14ac:dyDescent="0.25">
      <c r="K2118" s="312"/>
      <c r="N2118" s="514"/>
      <c r="R2118" s="293"/>
      <c r="S2118" s="316"/>
      <c r="T2118" s="355"/>
    </row>
    <row r="2119" spans="11:20" x14ac:dyDescent="0.25">
      <c r="K2119" s="312"/>
      <c r="N2119" s="514"/>
      <c r="R2119" s="293"/>
      <c r="S2119" s="316"/>
      <c r="T2119" s="355"/>
    </row>
    <row r="2120" spans="11:20" x14ac:dyDescent="0.25">
      <c r="K2120" s="312"/>
      <c r="N2120" s="514"/>
      <c r="R2120" s="293"/>
      <c r="S2120" s="316"/>
      <c r="T2120" s="355"/>
    </row>
    <row r="2121" spans="11:20" x14ac:dyDescent="0.25">
      <c r="K2121" s="312"/>
      <c r="N2121" s="514"/>
      <c r="R2121" s="293"/>
      <c r="S2121" s="316"/>
      <c r="T2121" s="355"/>
    </row>
    <row r="2122" spans="11:20" x14ac:dyDescent="0.25">
      <c r="K2122" s="312"/>
      <c r="N2122" s="514"/>
      <c r="R2122" s="293"/>
      <c r="S2122" s="316"/>
      <c r="T2122" s="355"/>
    </row>
    <row r="2123" spans="11:20" x14ac:dyDescent="0.25">
      <c r="K2123" s="312"/>
      <c r="N2123" s="514"/>
      <c r="R2123" s="293"/>
      <c r="S2123" s="316"/>
      <c r="T2123" s="355"/>
    </row>
    <row r="2124" spans="11:20" x14ac:dyDescent="0.25">
      <c r="K2124" s="312"/>
      <c r="N2124" s="514"/>
      <c r="R2124" s="293"/>
      <c r="S2124" s="316"/>
      <c r="T2124" s="355"/>
    </row>
    <row r="2125" spans="11:20" x14ac:dyDescent="0.25">
      <c r="K2125" s="312"/>
      <c r="N2125" s="514"/>
      <c r="R2125" s="293"/>
      <c r="S2125" s="316"/>
      <c r="T2125" s="355"/>
    </row>
    <row r="2126" spans="11:20" x14ac:dyDescent="0.25">
      <c r="K2126" s="312"/>
      <c r="N2126" s="514"/>
      <c r="R2126" s="293"/>
      <c r="S2126" s="316"/>
      <c r="T2126" s="355"/>
    </row>
    <row r="2127" spans="11:20" x14ac:dyDescent="0.25">
      <c r="K2127" s="312"/>
      <c r="N2127" s="514"/>
      <c r="R2127" s="293"/>
      <c r="S2127" s="316"/>
      <c r="T2127" s="355"/>
    </row>
    <row r="2128" spans="11:20" x14ac:dyDescent="0.25">
      <c r="K2128" s="312"/>
      <c r="N2128" s="514"/>
      <c r="R2128" s="293"/>
      <c r="S2128" s="316"/>
      <c r="T2128" s="355"/>
    </row>
    <row r="2129" spans="11:20" x14ac:dyDescent="0.25">
      <c r="K2129" s="312"/>
      <c r="N2129" s="514"/>
      <c r="R2129" s="293"/>
      <c r="S2129" s="316"/>
      <c r="T2129" s="355"/>
    </row>
    <row r="2130" spans="11:20" x14ac:dyDescent="0.25">
      <c r="K2130" s="312"/>
      <c r="N2130" s="514"/>
      <c r="R2130" s="293"/>
      <c r="S2130" s="316"/>
      <c r="T2130" s="355"/>
    </row>
    <row r="2131" spans="11:20" x14ac:dyDescent="0.25">
      <c r="K2131" s="312"/>
      <c r="N2131" s="514"/>
      <c r="R2131" s="293"/>
      <c r="S2131" s="316"/>
      <c r="T2131" s="355"/>
    </row>
    <row r="2132" spans="11:20" x14ac:dyDescent="0.25">
      <c r="K2132" s="312"/>
      <c r="N2132" s="514"/>
      <c r="R2132" s="293"/>
      <c r="S2132" s="316"/>
      <c r="T2132" s="355"/>
    </row>
    <row r="2133" spans="11:20" x14ac:dyDescent="0.25">
      <c r="K2133" s="312"/>
      <c r="N2133" s="514"/>
      <c r="R2133" s="293"/>
      <c r="S2133" s="316"/>
      <c r="T2133" s="355"/>
    </row>
    <row r="2134" spans="11:20" x14ac:dyDescent="0.25">
      <c r="K2134" s="312"/>
      <c r="N2134" s="514"/>
      <c r="R2134" s="293"/>
      <c r="S2134" s="316"/>
      <c r="T2134" s="355"/>
    </row>
    <row r="2135" spans="11:20" x14ac:dyDescent="0.25">
      <c r="K2135" s="312"/>
      <c r="N2135" s="514"/>
      <c r="R2135" s="293"/>
      <c r="S2135" s="316"/>
      <c r="T2135" s="355"/>
    </row>
    <row r="2136" spans="11:20" x14ac:dyDescent="0.25">
      <c r="K2136" s="312"/>
      <c r="N2136" s="514"/>
      <c r="R2136" s="293"/>
      <c r="S2136" s="316"/>
      <c r="T2136" s="355"/>
    </row>
    <row r="2137" spans="11:20" x14ac:dyDescent="0.25">
      <c r="K2137" s="312"/>
      <c r="N2137" s="514"/>
      <c r="R2137" s="293"/>
      <c r="S2137" s="316"/>
      <c r="T2137" s="355"/>
    </row>
    <row r="2138" spans="11:20" x14ac:dyDescent="0.25">
      <c r="K2138" s="312"/>
      <c r="N2138" s="514"/>
      <c r="R2138" s="293"/>
      <c r="S2138" s="316"/>
      <c r="T2138" s="355"/>
    </row>
    <row r="2139" spans="11:20" x14ac:dyDescent="0.25">
      <c r="K2139" s="312"/>
      <c r="N2139" s="514"/>
      <c r="R2139" s="293"/>
      <c r="S2139" s="316"/>
      <c r="T2139" s="355"/>
    </row>
    <row r="2140" spans="11:20" x14ac:dyDescent="0.25">
      <c r="K2140" s="312"/>
      <c r="N2140" s="514"/>
      <c r="R2140" s="293"/>
      <c r="S2140" s="316"/>
      <c r="T2140" s="355"/>
    </row>
    <row r="2141" spans="11:20" x14ac:dyDescent="0.25">
      <c r="K2141" s="312"/>
      <c r="N2141" s="514"/>
      <c r="R2141" s="293"/>
      <c r="S2141" s="316"/>
      <c r="T2141" s="355"/>
    </row>
    <row r="2142" spans="11:20" x14ac:dyDescent="0.25">
      <c r="K2142" s="312"/>
      <c r="N2142" s="514"/>
      <c r="R2142" s="293"/>
      <c r="S2142" s="316"/>
      <c r="T2142" s="355"/>
    </row>
    <row r="2143" spans="11:20" x14ac:dyDescent="0.25">
      <c r="K2143" s="312"/>
      <c r="N2143" s="514"/>
      <c r="R2143" s="293"/>
      <c r="S2143" s="316"/>
      <c r="T2143" s="355"/>
    </row>
    <row r="2144" spans="11:20" x14ac:dyDescent="0.25">
      <c r="K2144" s="312"/>
      <c r="N2144" s="514"/>
      <c r="R2144" s="293"/>
      <c r="S2144" s="316"/>
      <c r="T2144" s="355"/>
    </row>
    <row r="2145" spans="11:20" x14ac:dyDescent="0.25">
      <c r="K2145" s="312"/>
      <c r="N2145" s="514"/>
      <c r="R2145" s="293"/>
      <c r="S2145" s="316"/>
      <c r="T2145" s="355"/>
    </row>
    <row r="2146" spans="11:20" x14ac:dyDescent="0.25">
      <c r="K2146" s="312"/>
      <c r="N2146" s="514"/>
      <c r="R2146" s="293"/>
      <c r="S2146" s="316"/>
      <c r="T2146" s="355"/>
    </row>
    <row r="2147" spans="11:20" x14ac:dyDescent="0.25">
      <c r="K2147" s="312"/>
      <c r="N2147" s="514"/>
      <c r="R2147" s="293"/>
      <c r="S2147" s="316"/>
      <c r="T2147" s="355"/>
    </row>
    <row r="2148" spans="11:20" x14ac:dyDescent="0.25">
      <c r="K2148" s="312"/>
      <c r="N2148" s="514"/>
      <c r="R2148" s="293"/>
      <c r="S2148" s="316"/>
      <c r="T2148" s="355"/>
    </row>
    <row r="2149" spans="11:20" x14ac:dyDescent="0.25">
      <c r="K2149" s="312"/>
      <c r="N2149" s="514"/>
      <c r="R2149" s="293"/>
      <c r="S2149" s="316"/>
      <c r="T2149" s="355"/>
    </row>
    <row r="2150" spans="11:20" x14ac:dyDescent="0.25">
      <c r="K2150" s="312"/>
      <c r="N2150" s="514"/>
      <c r="R2150" s="293"/>
      <c r="S2150" s="316"/>
      <c r="T2150" s="355"/>
    </row>
    <row r="2151" spans="11:20" x14ac:dyDescent="0.25">
      <c r="K2151" s="312"/>
      <c r="N2151" s="514"/>
      <c r="R2151" s="293"/>
      <c r="S2151" s="316"/>
      <c r="T2151" s="355"/>
    </row>
    <row r="2152" spans="11:20" x14ac:dyDescent="0.25">
      <c r="K2152" s="312"/>
      <c r="N2152" s="514"/>
      <c r="R2152" s="293"/>
      <c r="S2152" s="316"/>
      <c r="T2152" s="355"/>
    </row>
    <row r="2153" spans="11:20" x14ac:dyDescent="0.25">
      <c r="K2153" s="312"/>
      <c r="N2153" s="514"/>
      <c r="R2153" s="293"/>
      <c r="S2153" s="316"/>
      <c r="T2153" s="355"/>
    </row>
    <row r="2154" spans="11:20" x14ac:dyDescent="0.25">
      <c r="K2154" s="312"/>
      <c r="N2154" s="514"/>
      <c r="R2154" s="293"/>
      <c r="S2154" s="316"/>
      <c r="T2154" s="355"/>
    </row>
    <row r="2155" spans="11:20" x14ac:dyDescent="0.25">
      <c r="K2155" s="312"/>
      <c r="N2155" s="514"/>
      <c r="R2155" s="293"/>
      <c r="S2155" s="316"/>
      <c r="T2155" s="355"/>
    </row>
    <row r="2156" spans="11:20" x14ac:dyDescent="0.25">
      <c r="K2156" s="312"/>
      <c r="N2156" s="514"/>
      <c r="R2156" s="293"/>
      <c r="S2156" s="316"/>
      <c r="T2156" s="355"/>
    </row>
    <row r="2157" spans="11:20" x14ac:dyDescent="0.25">
      <c r="K2157" s="312"/>
      <c r="N2157" s="514"/>
      <c r="R2157" s="293"/>
      <c r="S2157" s="316"/>
      <c r="T2157" s="355"/>
    </row>
    <row r="2158" spans="11:20" x14ac:dyDescent="0.25">
      <c r="K2158" s="312"/>
      <c r="N2158" s="514"/>
      <c r="R2158" s="293"/>
      <c r="S2158" s="316"/>
      <c r="T2158" s="355"/>
    </row>
    <row r="2159" spans="11:20" x14ac:dyDescent="0.25">
      <c r="K2159" s="312"/>
      <c r="N2159" s="514"/>
      <c r="R2159" s="293"/>
      <c r="S2159" s="316"/>
      <c r="T2159" s="355"/>
    </row>
    <row r="2160" spans="11:20" x14ac:dyDescent="0.25">
      <c r="K2160" s="312"/>
      <c r="N2160" s="514"/>
      <c r="R2160" s="293"/>
      <c r="S2160" s="316"/>
      <c r="T2160" s="355"/>
    </row>
    <row r="2161" spans="11:20" x14ac:dyDescent="0.25">
      <c r="K2161" s="312"/>
      <c r="N2161" s="514"/>
      <c r="R2161" s="293"/>
      <c r="S2161" s="316"/>
      <c r="T2161" s="355"/>
    </row>
    <row r="2162" spans="11:20" x14ac:dyDescent="0.25">
      <c r="K2162" s="312"/>
      <c r="N2162" s="514"/>
      <c r="R2162" s="293"/>
      <c r="S2162" s="316"/>
      <c r="T2162" s="355"/>
    </row>
    <row r="2163" spans="11:20" x14ac:dyDescent="0.25">
      <c r="K2163" s="312"/>
      <c r="N2163" s="514"/>
      <c r="R2163" s="293"/>
      <c r="S2163" s="316"/>
      <c r="T2163" s="355"/>
    </row>
    <row r="2164" spans="11:20" x14ac:dyDescent="0.25">
      <c r="K2164" s="312"/>
      <c r="N2164" s="514"/>
      <c r="R2164" s="293"/>
      <c r="S2164" s="316"/>
      <c r="T2164" s="355"/>
    </row>
    <row r="2165" spans="11:20" x14ac:dyDescent="0.25">
      <c r="K2165" s="312"/>
      <c r="N2165" s="514"/>
      <c r="R2165" s="293"/>
      <c r="S2165" s="316"/>
      <c r="T2165" s="355"/>
    </row>
    <row r="2166" spans="11:20" x14ac:dyDescent="0.25">
      <c r="K2166" s="312"/>
      <c r="N2166" s="514"/>
      <c r="R2166" s="293"/>
      <c r="S2166" s="316"/>
      <c r="T2166" s="355"/>
    </row>
    <row r="2167" spans="11:20" x14ac:dyDescent="0.25">
      <c r="K2167" s="312"/>
      <c r="N2167" s="514"/>
      <c r="R2167" s="293"/>
      <c r="S2167" s="316"/>
      <c r="T2167" s="355"/>
    </row>
    <row r="2168" spans="11:20" x14ac:dyDescent="0.25">
      <c r="K2168" s="312"/>
      <c r="N2168" s="514"/>
      <c r="R2168" s="293"/>
      <c r="S2168" s="316"/>
      <c r="T2168" s="355"/>
    </row>
    <row r="2169" spans="11:20" x14ac:dyDescent="0.25">
      <c r="K2169" s="312"/>
      <c r="N2169" s="514"/>
      <c r="R2169" s="293"/>
      <c r="S2169" s="316"/>
      <c r="T2169" s="355"/>
    </row>
    <row r="2170" spans="11:20" x14ac:dyDescent="0.25">
      <c r="K2170" s="312"/>
      <c r="N2170" s="514"/>
      <c r="R2170" s="293"/>
      <c r="S2170" s="316"/>
      <c r="T2170" s="355"/>
    </row>
    <row r="2171" spans="11:20" x14ac:dyDescent="0.25">
      <c r="K2171" s="312"/>
      <c r="N2171" s="514"/>
      <c r="R2171" s="293"/>
      <c r="S2171" s="316"/>
      <c r="T2171" s="355"/>
    </row>
    <row r="2172" spans="11:20" x14ac:dyDescent="0.25">
      <c r="K2172" s="312"/>
      <c r="N2172" s="514"/>
      <c r="R2172" s="293"/>
      <c r="S2172" s="316"/>
      <c r="T2172" s="355"/>
    </row>
    <row r="2173" spans="11:20" x14ac:dyDescent="0.25">
      <c r="K2173" s="312"/>
      <c r="N2173" s="514"/>
      <c r="R2173" s="293"/>
      <c r="S2173" s="316"/>
      <c r="T2173" s="355"/>
    </row>
    <row r="2174" spans="11:20" x14ac:dyDescent="0.25">
      <c r="K2174" s="312"/>
      <c r="N2174" s="514"/>
      <c r="R2174" s="293"/>
      <c r="S2174" s="316"/>
      <c r="T2174" s="355"/>
    </row>
    <row r="2175" spans="11:20" x14ac:dyDescent="0.25">
      <c r="K2175" s="312"/>
      <c r="N2175" s="514"/>
      <c r="R2175" s="293"/>
      <c r="S2175" s="316"/>
      <c r="T2175" s="355"/>
    </row>
    <row r="2176" spans="11:20" x14ac:dyDescent="0.25">
      <c r="K2176" s="312"/>
      <c r="N2176" s="514"/>
      <c r="R2176" s="293"/>
      <c r="S2176" s="316"/>
      <c r="T2176" s="355"/>
    </row>
    <row r="2177" spans="11:20" x14ac:dyDescent="0.25">
      <c r="K2177" s="312"/>
      <c r="N2177" s="514"/>
      <c r="R2177" s="293"/>
      <c r="S2177" s="316"/>
      <c r="T2177" s="355"/>
    </row>
    <row r="2178" spans="11:20" x14ac:dyDescent="0.25">
      <c r="K2178" s="312"/>
      <c r="N2178" s="514"/>
      <c r="R2178" s="293"/>
      <c r="S2178" s="316"/>
      <c r="T2178" s="355"/>
    </row>
    <row r="2179" spans="11:20" x14ac:dyDescent="0.25">
      <c r="K2179" s="312"/>
      <c r="N2179" s="514"/>
      <c r="R2179" s="293"/>
      <c r="S2179" s="316"/>
      <c r="T2179" s="355"/>
    </row>
    <row r="2180" spans="11:20" x14ac:dyDescent="0.25">
      <c r="K2180" s="312"/>
      <c r="N2180" s="514"/>
      <c r="R2180" s="293"/>
      <c r="S2180" s="316"/>
      <c r="T2180" s="355"/>
    </row>
    <row r="2181" spans="11:20" x14ac:dyDescent="0.25">
      <c r="K2181" s="312"/>
      <c r="N2181" s="514"/>
      <c r="R2181" s="293"/>
      <c r="S2181" s="316"/>
      <c r="T2181" s="355"/>
    </row>
    <row r="2182" spans="11:20" x14ac:dyDescent="0.25">
      <c r="K2182" s="312"/>
      <c r="N2182" s="514"/>
      <c r="R2182" s="293"/>
      <c r="S2182" s="316"/>
      <c r="T2182" s="355"/>
    </row>
    <row r="2183" spans="11:20" x14ac:dyDescent="0.25">
      <c r="K2183" s="312"/>
      <c r="N2183" s="514"/>
      <c r="R2183" s="293"/>
      <c r="S2183" s="316"/>
      <c r="T2183" s="355"/>
    </row>
    <row r="2184" spans="11:20" x14ac:dyDescent="0.25">
      <c r="K2184" s="312"/>
      <c r="N2184" s="514"/>
      <c r="R2184" s="293"/>
      <c r="S2184" s="316"/>
      <c r="T2184" s="355"/>
    </row>
    <row r="2185" spans="11:20" x14ac:dyDescent="0.25">
      <c r="K2185" s="312"/>
      <c r="N2185" s="514"/>
      <c r="R2185" s="293"/>
      <c r="S2185" s="316"/>
      <c r="T2185" s="355"/>
    </row>
    <row r="2186" spans="11:20" x14ac:dyDescent="0.25">
      <c r="K2186" s="312"/>
      <c r="N2186" s="514"/>
      <c r="R2186" s="293"/>
      <c r="S2186" s="316"/>
      <c r="T2186" s="355"/>
    </row>
    <row r="2187" spans="11:20" x14ac:dyDescent="0.25">
      <c r="K2187" s="312"/>
      <c r="N2187" s="514"/>
      <c r="R2187" s="293"/>
      <c r="S2187" s="316"/>
      <c r="T2187" s="355"/>
    </row>
    <row r="2188" spans="11:20" x14ac:dyDescent="0.25">
      <c r="K2188" s="312"/>
      <c r="N2188" s="514"/>
      <c r="R2188" s="293"/>
      <c r="S2188" s="316"/>
      <c r="T2188" s="355"/>
    </row>
    <row r="2189" spans="11:20" x14ac:dyDescent="0.25">
      <c r="K2189" s="312"/>
      <c r="N2189" s="514"/>
      <c r="R2189" s="293"/>
      <c r="S2189" s="316"/>
      <c r="T2189" s="355"/>
    </row>
    <row r="2190" spans="11:20" x14ac:dyDescent="0.25">
      <c r="K2190" s="312"/>
      <c r="N2190" s="514"/>
      <c r="R2190" s="293"/>
      <c r="S2190" s="316"/>
      <c r="T2190" s="355"/>
    </row>
    <row r="2191" spans="11:20" x14ac:dyDescent="0.25">
      <c r="K2191" s="312"/>
      <c r="N2191" s="514"/>
      <c r="R2191" s="293"/>
      <c r="S2191" s="316"/>
      <c r="T2191" s="355"/>
    </row>
    <row r="2192" spans="11:20" x14ac:dyDescent="0.25">
      <c r="K2192" s="312"/>
      <c r="N2192" s="514"/>
      <c r="R2192" s="293"/>
      <c r="S2192" s="316"/>
      <c r="T2192" s="355"/>
    </row>
    <row r="2193" spans="11:20" x14ac:dyDescent="0.25">
      <c r="K2193" s="312"/>
      <c r="N2193" s="514"/>
      <c r="R2193" s="293"/>
      <c r="S2193" s="316"/>
      <c r="T2193" s="355"/>
    </row>
    <row r="2194" spans="11:20" x14ac:dyDescent="0.25">
      <c r="K2194" s="312"/>
      <c r="N2194" s="514"/>
      <c r="R2194" s="293"/>
      <c r="S2194" s="316"/>
      <c r="T2194" s="355"/>
    </row>
    <row r="2195" spans="11:20" x14ac:dyDescent="0.25">
      <c r="K2195" s="312"/>
      <c r="N2195" s="514"/>
      <c r="R2195" s="293"/>
      <c r="S2195" s="316"/>
      <c r="T2195" s="355"/>
    </row>
    <row r="2196" spans="11:20" x14ac:dyDescent="0.25">
      <c r="K2196" s="312"/>
      <c r="N2196" s="514"/>
      <c r="R2196" s="293"/>
      <c r="S2196" s="316"/>
      <c r="T2196" s="355"/>
    </row>
    <row r="2197" spans="11:20" x14ac:dyDescent="0.25">
      <c r="K2197" s="312"/>
      <c r="N2197" s="514"/>
      <c r="R2197" s="293"/>
      <c r="S2197" s="316"/>
      <c r="T2197" s="355"/>
    </row>
    <row r="2198" spans="11:20" x14ac:dyDescent="0.25">
      <c r="K2198" s="312"/>
      <c r="N2198" s="514"/>
      <c r="R2198" s="293"/>
      <c r="S2198" s="316"/>
      <c r="T2198" s="355"/>
    </row>
    <row r="2199" spans="11:20" x14ac:dyDescent="0.25">
      <c r="K2199" s="312"/>
      <c r="N2199" s="514"/>
      <c r="R2199" s="293"/>
      <c r="S2199" s="316"/>
      <c r="T2199" s="355"/>
    </row>
    <row r="2200" spans="11:20" x14ac:dyDescent="0.25">
      <c r="K2200" s="312"/>
      <c r="N2200" s="514"/>
      <c r="R2200" s="293"/>
      <c r="S2200" s="316"/>
      <c r="T2200" s="355"/>
    </row>
    <row r="2201" spans="11:20" x14ac:dyDescent="0.25">
      <c r="K2201" s="312"/>
      <c r="N2201" s="514"/>
      <c r="R2201" s="293"/>
      <c r="S2201" s="316"/>
      <c r="T2201" s="355"/>
    </row>
    <row r="2202" spans="11:20" x14ac:dyDescent="0.25">
      <c r="K2202" s="312"/>
      <c r="N2202" s="514"/>
      <c r="R2202" s="293"/>
      <c r="S2202" s="316"/>
      <c r="T2202" s="355"/>
    </row>
    <row r="2203" spans="11:20" x14ac:dyDescent="0.25">
      <c r="K2203" s="312"/>
      <c r="N2203" s="514"/>
      <c r="R2203" s="293"/>
      <c r="S2203" s="316"/>
      <c r="T2203" s="355"/>
    </row>
    <row r="2204" spans="11:20" x14ac:dyDescent="0.25">
      <c r="K2204" s="312"/>
      <c r="N2204" s="514"/>
      <c r="R2204" s="293"/>
      <c r="S2204" s="316"/>
      <c r="T2204" s="355"/>
    </row>
    <row r="2205" spans="11:20" x14ac:dyDescent="0.25">
      <c r="K2205" s="312"/>
      <c r="N2205" s="514"/>
      <c r="R2205" s="293"/>
      <c r="S2205" s="316"/>
      <c r="T2205" s="355"/>
    </row>
    <row r="2206" spans="11:20" x14ac:dyDescent="0.25">
      <c r="K2206" s="312"/>
      <c r="N2206" s="514"/>
      <c r="R2206" s="293"/>
      <c r="S2206" s="316"/>
      <c r="T2206" s="355"/>
    </row>
    <row r="2207" spans="11:20" x14ac:dyDescent="0.25">
      <c r="K2207" s="312"/>
      <c r="N2207" s="514"/>
      <c r="R2207" s="293"/>
      <c r="S2207" s="316"/>
      <c r="T2207" s="355"/>
    </row>
    <row r="2208" spans="11:20" x14ac:dyDescent="0.25">
      <c r="K2208" s="312"/>
      <c r="N2208" s="514"/>
      <c r="R2208" s="293"/>
      <c r="S2208" s="316"/>
      <c r="T2208" s="355"/>
    </row>
    <row r="2209" spans="11:20" x14ac:dyDescent="0.25">
      <c r="K2209" s="312"/>
      <c r="N2209" s="514"/>
      <c r="R2209" s="293"/>
      <c r="S2209" s="316"/>
      <c r="T2209" s="355"/>
    </row>
    <row r="2210" spans="11:20" x14ac:dyDescent="0.25">
      <c r="K2210" s="312"/>
      <c r="N2210" s="514"/>
      <c r="R2210" s="293"/>
      <c r="S2210" s="316"/>
      <c r="T2210" s="355"/>
    </row>
    <row r="2211" spans="11:20" x14ac:dyDescent="0.25">
      <c r="K2211" s="312"/>
      <c r="N2211" s="514"/>
      <c r="R2211" s="293"/>
      <c r="S2211" s="316"/>
      <c r="T2211" s="355"/>
    </row>
    <row r="2212" spans="11:20" x14ac:dyDescent="0.25">
      <c r="K2212" s="312"/>
      <c r="N2212" s="514"/>
      <c r="R2212" s="293"/>
      <c r="S2212" s="316"/>
      <c r="T2212" s="355"/>
    </row>
    <row r="2213" spans="11:20" x14ac:dyDescent="0.25">
      <c r="K2213" s="312"/>
      <c r="N2213" s="514"/>
      <c r="R2213" s="293"/>
      <c r="S2213" s="316"/>
      <c r="T2213" s="355"/>
    </row>
    <row r="2214" spans="11:20" x14ac:dyDescent="0.25">
      <c r="K2214" s="312"/>
      <c r="N2214" s="514"/>
      <c r="R2214" s="293"/>
      <c r="S2214" s="316"/>
      <c r="T2214" s="355"/>
    </row>
    <row r="2215" spans="11:20" x14ac:dyDescent="0.25">
      <c r="K2215" s="312"/>
      <c r="N2215" s="514"/>
      <c r="R2215" s="293"/>
      <c r="S2215" s="316"/>
      <c r="T2215" s="355"/>
    </row>
    <row r="2216" spans="11:20" x14ac:dyDescent="0.25">
      <c r="K2216" s="312"/>
      <c r="N2216" s="514"/>
      <c r="R2216" s="293"/>
      <c r="S2216" s="316"/>
      <c r="T2216" s="355"/>
    </row>
    <row r="2217" spans="11:20" x14ac:dyDescent="0.25">
      <c r="K2217" s="312"/>
      <c r="N2217" s="514"/>
      <c r="R2217" s="293"/>
      <c r="S2217" s="316"/>
      <c r="T2217" s="355"/>
    </row>
    <row r="2218" spans="11:20" x14ac:dyDescent="0.25">
      <c r="K2218" s="312"/>
      <c r="N2218" s="514"/>
      <c r="R2218" s="293"/>
      <c r="S2218" s="316"/>
      <c r="T2218" s="355"/>
    </row>
    <row r="2219" spans="11:20" x14ac:dyDescent="0.25">
      <c r="K2219" s="312"/>
      <c r="N2219" s="514"/>
      <c r="R2219" s="293"/>
      <c r="S2219" s="316"/>
      <c r="T2219" s="355"/>
    </row>
    <row r="2220" spans="11:20" x14ac:dyDescent="0.25">
      <c r="K2220" s="312"/>
      <c r="N2220" s="514"/>
      <c r="R2220" s="293"/>
      <c r="S2220" s="316"/>
      <c r="T2220" s="355"/>
    </row>
    <row r="2221" spans="11:20" x14ac:dyDescent="0.25">
      <c r="K2221" s="312"/>
      <c r="N2221" s="514"/>
      <c r="R2221" s="293"/>
      <c r="S2221" s="316"/>
      <c r="T2221" s="355"/>
    </row>
    <row r="2222" spans="11:20" x14ac:dyDescent="0.25">
      <c r="K2222" s="312"/>
      <c r="N2222" s="514"/>
      <c r="R2222" s="293"/>
      <c r="S2222" s="316"/>
      <c r="T2222" s="355"/>
    </row>
    <row r="2223" spans="11:20" x14ac:dyDescent="0.25">
      <c r="K2223" s="312"/>
      <c r="N2223" s="514"/>
      <c r="R2223" s="293"/>
      <c r="S2223" s="316"/>
      <c r="T2223" s="355"/>
    </row>
    <row r="2224" spans="11:20" x14ac:dyDescent="0.25">
      <c r="K2224" s="312"/>
      <c r="N2224" s="514"/>
      <c r="R2224" s="293"/>
      <c r="S2224" s="316"/>
      <c r="T2224" s="355"/>
    </row>
    <row r="2225" spans="11:20" x14ac:dyDescent="0.25">
      <c r="K2225" s="312"/>
      <c r="N2225" s="514"/>
      <c r="R2225" s="293"/>
      <c r="S2225" s="316"/>
      <c r="T2225" s="355"/>
    </row>
    <row r="2226" spans="11:20" x14ac:dyDescent="0.25">
      <c r="K2226" s="312"/>
      <c r="N2226" s="514"/>
      <c r="R2226" s="293"/>
      <c r="S2226" s="316"/>
      <c r="T2226" s="355"/>
    </row>
    <row r="2227" spans="11:20" x14ac:dyDescent="0.25">
      <c r="K2227" s="312"/>
      <c r="N2227" s="514"/>
      <c r="R2227" s="293"/>
      <c r="S2227" s="316"/>
      <c r="T2227" s="355"/>
    </row>
    <row r="2228" spans="11:20" x14ac:dyDescent="0.25">
      <c r="K2228" s="312"/>
      <c r="N2228" s="514"/>
      <c r="R2228" s="293"/>
      <c r="S2228" s="316"/>
      <c r="T2228" s="355"/>
    </row>
    <row r="2229" spans="11:20" x14ac:dyDescent="0.25">
      <c r="K2229" s="312"/>
      <c r="N2229" s="514"/>
      <c r="R2229" s="293"/>
      <c r="S2229" s="316"/>
      <c r="T2229" s="355"/>
    </row>
    <row r="2230" spans="11:20" x14ac:dyDescent="0.25">
      <c r="K2230" s="312"/>
      <c r="N2230" s="514"/>
      <c r="R2230" s="293"/>
      <c r="S2230" s="316"/>
      <c r="T2230" s="355"/>
    </row>
    <row r="2231" spans="11:20" x14ac:dyDescent="0.25">
      <c r="K2231" s="312"/>
      <c r="N2231" s="514"/>
      <c r="R2231" s="293"/>
      <c r="S2231" s="316"/>
      <c r="T2231" s="355"/>
    </row>
    <row r="2232" spans="11:20" x14ac:dyDescent="0.25">
      <c r="K2232" s="312"/>
      <c r="N2232" s="514"/>
      <c r="R2232" s="293"/>
      <c r="S2232" s="316"/>
      <c r="T2232" s="355"/>
    </row>
    <row r="2233" spans="11:20" x14ac:dyDescent="0.25">
      <c r="K2233" s="312"/>
      <c r="N2233" s="514"/>
      <c r="R2233" s="293"/>
      <c r="S2233" s="316"/>
      <c r="T2233" s="355"/>
    </row>
    <row r="2234" spans="11:20" x14ac:dyDescent="0.25">
      <c r="K2234" s="312"/>
      <c r="N2234" s="514"/>
      <c r="R2234" s="293"/>
      <c r="S2234" s="316"/>
      <c r="T2234" s="355"/>
    </row>
    <row r="2235" spans="11:20" x14ac:dyDescent="0.25">
      <c r="K2235" s="312"/>
      <c r="N2235" s="514"/>
      <c r="R2235" s="293"/>
      <c r="S2235" s="316"/>
      <c r="T2235" s="355"/>
    </row>
    <row r="2236" spans="11:20" x14ac:dyDescent="0.25">
      <c r="K2236" s="312"/>
      <c r="N2236" s="514"/>
      <c r="R2236" s="293"/>
      <c r="S2236" s="316"/>
      <c r="T2236" s="355"/>
    </row>
    <row r="2237" spans="11:20" x14ac:dyDescent="0.25">
      <c r="K2237" s="312"/>
      <c r="N2237" s="514"/>
      <c r="R2237" s="293"/>
      <c r="S2237" s="316"/>
      <c r="T2237" s="355"/>
    </row>
    <row r="2238" spans="11:20" x14ac:dyDescent="0.25">
      <c r="K2238" s="312"/>
      <c r="N2238" s="514"/>
      <c r="R2238" s="293"/>
      <c r="S2238" s="316"/>
      <c r="T2238" s="355"/>
    </row>
    <row r="2239" spans="11:20" x14ac:dyDescent="0.25">
      <c r="K2239" s="312"/>
      <c r="N2239" s="514"/>
      <c r="R2239" s="293"/>
      <c r="S2239" s="316"/>
      <c r="T2239" s="355"/>
    </row>
    <row r="2240" spans="11:20" x14ac:dyDescent="0.25">
      <c r="K2240" s="312"/>
      <c r="N2240" s="514"/>
      <c r="R2240" s="293"/>
      <c r="S2240" s="316"/>
      <c r="T2240" s="355"/>
    </row>
    <row r="2241" spans="11:20" x14ac:dyDescent="0.25">
      <c r="K2241" s="312"/>
      <c r="N2241" s="514"/>
      <c r="R2241" s="293"/>
      <c r="S2241" s="316"/>
      <c r="T2241" s="355"/>
    </row>
    <row r="2242" spans="11:20" x14ac:dyDescent="0.25">
      <c r="K2242" s="312"/>
      <c r="N2242" s="514"/>
      <c r="R2242" s="293"/>
      <c r="S2242" s="316"/>
      <c r="T2242" s="355"/>
    </row>
    <row r="2243" spans="11:20" x14ac:dyDescent="0.25">
      <c r="K2243" s="312"/>
      <c r="N2243" s="514"/>
      <c r="R2243" s="293"/>
      <c r="S2243" s="316"/>
      <c r="T2243" s="355"/>
    </row>
    <row r="2244" spans="11:20" x14ac:dyDescent="0.25">
      <c r="K2244" s="312"/>
      <c r="N2244" s="514"/>
      <c r="R2244" s="293"/>
      <c r="S2244" s="316"/>
      <c r="T2244" s="355"/>
    </row>
    <row r="2245" spans="11:20" x14ac:dyDescent="0.25">
      <c r="K2245" s="312"/>
      <c r="N2245" s="514"/>
      <c r="R2245" s="293"/>
      <c r="S2245" s="316"/>
      <c r="T2245" s="355"/>
    </row>
    <row r="2246" spans="11:20" x14ac:dyDescent="0.25">
      <c r="K2246" s="312"/>
      <c r="N2246" s="514"/>
      <c r="R2246" s="293"/>
      <c r="S2246" s="316"/>
      <c r="T2246" s="355"/>
    </row>
    <row r="2247" spans="11:20" x14ac:dyDescent="0.25">
      <c r="K2247" s="312"/>
      <c r="N2247" s="514"/>
      <c r="R2247" s="293"/>
      <c r="S2247" s="316"/>
      <c r="T2247" s="355"/>
    </row>
    <row r="2248" spans="11:20" x14ac:dyDescent="0.25">
      <c r="K2248" s="312"/>
      <c r="N2248" s="514"/>
      <c r="R2248" s="293"/>
      <c r="S2248" s="316"/>
      <c r="T2248" s="355"/>
    </row>
    <row r="2249" spans="11:20" x14ac:dyDescent="0.25">
      <c r="K2249" s="312"/>
      <c r="N2249" s="514"/>
      <c r="R2249" s="293"/>
      <c r="S2249" s="316"/>
      <c r="T2249" s="355"/>
    </row>
    <row r="2250" spans="11:20" x14ac:dyDescent="0.25">
      <c r="K2250" s="312"/>
      <c r="N2250" s="514"/>
      <c r="R2250" s="293"/>
      <c r="S2250" s="316"/>
      <c r="T2250" s="355"/>
    </row>
    <row r="2251" spans="11:20" x14ac:dyDescent="0.25">
      <c r="K2251" s="312"/>
      <c r="N2251" s="514"/>
      <c r="R2251" s="293"/>
      <c r="S2251" s="316"/>
      <c r="T2251" s="355"/>
    </row>
    <row r="2252" spans="11:20" x14ac:dyDescent="0.25">
      <c r="K2252" s="312"/>
      <c r="N2252" s="514"/>
      <c r="R2252" s="293"/>
      <c r="S2252" s="316"/>
      <c r="T2252" s="355"/>
    </row>
    <row r="2253" spans="11:20" x14ac:dyDescent="0.25">
      <c r="K2253" s="312"/>
      <c r="N2253" s="514"/>
      <c r="R2253" s="293"/>
      <c r="S2253" s="316"/>
      <c r="T2253" s="355"/>
    </row>
    <row r="2254" spans="11:20" x14ac:dyDescent="0.25">
      <c r="K2254" s="312"/>
      <c r="N2254" s="514"/>
      <c r="R2254" s="293"/>
      <c r="S2254" s="316"/>
      <c r="T2254" s="355"/>
    </row>
    <row r="2255" spans="11:20" x14ac:dyDescent="0.25">
      <c r="K2255" s="312"/>
      <c r="N2255" s="514"/>
      <c r="R2255" s="293"/>
      <c r="S2255" s="316"/>
      <c r="T2255" s="355"/>
    </row>
    <row r="2256" spans="11:20" x14ac:dyDescent="0.25">
      <c r="K2256" s="312"/>
      <c r="N2256" s="514"/>
      <c r="R2256" s="293"/>
      <c r="S2256" s="316"/>
      <c r="T2256" s="355"/>
    </row>
    <row r="2257" spans="11:20" x14ac:dyDescent="0.25">
      <c r="K2257" s="312"/>
      <c r="N2257" s="514"/>
      <c r="R2257" s="293"/>
      <c r="S2257" s="316"/>
      <c r="T2257" s="355"/>
    </row>
    <row r="2258" spans="11:20" x14ac:dyDescent="0.25">
      <c r="K2258" s="312"/>
      <c r="N2258" s="514"/>
      <c r="R2258" s="293"/>
      <c r="S2258" s="316"/>
      <c r="T2258" s="355"/>
    </row>
    <row r="2259" spans="11:20" x14ac:dyDescent="0.25">
      <c r="K2259" s="312"/>
      <c r="N2259" s="514"/>
      <c r="R2259" s="293"/>
      <c r="S2259" s="316"/>
      <c r="T2259" s="355"/>
    </row>
    <row r="2260" spans="11:20" x14ac:dyDescent="0.25">
      <c r="K2260" s="312"/>
      <c r="N2260" s="514"/>
      <c r="R2260" s="293"/>
      <c r="S2260" s="316"/>
      <c r="T2260" s="355"/>
    </row>
    <row r="2261" spans="11:20" x14ac:dyDescent="0.25">
      <c r="K2261" s="312"/>
      <c r="N2261" s="514"/>
      <c r="R2261" s="293"/>
      <c r="S2261" s="316"/>
      <c r="T2261" s="355"/>
    </row>
    <row r="2262" spans="11:20" x14ac:dyDescent="0.25">
      <c r="K2262" s="312"/>
      <c r="N2262" s="514"/>
      <c r="R2262" s="293"/>
      <c r="S2262" s="316"/>
      <c r="T2262" s="355"/>
    </row>
    <row r="2263" spans="11:20" x14ac:dyDescent="0.25">
      <c r="K2263" s="312"/>
      <c r="N2263" s="514"/>
      <c r="R2263" s="293"/>
      <c r="S2263" s="316"/>
      <c r="T2263" s="355"/>
    </row>
    <row r="2264" spans="11:20" x14ac:dyDescent="0.25">
      <c r="K2264" s="312"/>
      <c r="N2264" s="514"/>
      <c r="R2264" s="293"/>
      <c r="S2264" s="316"/>
      <c r="T2264" s="355"/>
    </row>
    <row r="2265" spans="11:20" x14ac:dyDescent="0.25">
      <c r="K2265" s="312"/>
      <c r="N2265" s="514"/>
      <c r="R2265" s="293"/>
      <c r="S2265" s="316"/>
      <c r="T2265" s="355"/>
    </row>
    <row r="2266" spans="11:20" x14ac:dyDescent="0.25">
      <c r="K2266" s="312"/>
      <c r="N2266" s="514"/>
      <c r="R2266" s="293"/>
      <c r="S2266" s="316"/>
      <c r="T2266" s="355"/>
    </row>
    <row r="2267" spans="11:20" x14ac:dyDescent="0.25">
      <c r="K2267" s="312"/>
      <c r="N2267" s="514"/>
      <c r="R2267" s="293"/>
      <c r="S2267" s="316"/>
      <c r="T2267" s="355"/>
    </row>
    <row r="2268" spans="11:20" x14ac:dyDescent="0.25">
      <c r="K2268" s="312"/>
      <c r="N2268" s="514"/>
      <c r="R2268" s="293"/>
      <c r="S2268" s="316"/>
      <c r="T2268" s="355"/>
    </row>
    <row r="2269" spans="11:20" x14ac:dyDescent="0.25">
      <c r="K2269" s="312"/>
      <c r="N2269" s="514"/>
      <c r="R2269" s="293"/>
      <c r="S2269" s="316"/>
      <c r="T2269" s="355"/>
    </row>
    <row r="2270" spans="11:20" x14ac:dyDescent="0.25">
      <c r="K2270" s="312"/>
      <c r="N2270" s="514"/>
      <c r="R2270" s="293"/>
      <c r="S2270" s="316"/>
      <c r="T2270" s="355"/>
    </row>
    <row r="2271" spans="11:20" x14ac:dyDescent="0.25">
      <c r="K2271" s="312"/>
      <c r="N2271" s="514"/>
      <c r="R2271" s="293"/>
      <c r="S2271" s="316"/>
      <c r="T2271" s="355"/>
    </row>
    <row r="2272" spans="11:20" x14ac:dyDescent="0.25">
      <c r="K2272" s="312"/>
      <c r="N2272" s="514"/>
      <c r="R2272" s="293"/>
      <c r="S2272" s="316"/>
      <c r="T2272" s="355"/>
    </row>
    <row r="2273" spans="11:20" x14ac:dyDescent="0.25">
      <c r="K2273" s="312"/>
      <c r="N2273" s="514"/>
      <c r="R2273" s="293"/>
      <c r="S2273" s="316"/>
      <c r="T2273" s="355"/>
    </row>
    <row r="2274" spans="11:20" x14ac:dyDescent="0.25">
      <c r="K2274" s="312"/>
      <c r="N2274" s="514"/>
      <c r="R2274" s="293"/>
      <c r="S2274" s="316"/>
      <c r="T2274" s="355"/>
    </row>
    <row r="2275" spans="11:20" x14ac:dyDescent="0.25">
      <c r="K2275" s="312"/>
      <c r="N2275" s="514"/>
      <c r="R2275" s="293"/>
      <c r="S2275" s="316"/>
      <c r="T2275" s="355"/>
    </row>
    <row r="2276" spans="11:20" x14ac:dyDescent="0.25">
      <c r="K2276" s="312"/>
      <c r="N2276" s="514"/>
      <c r="R2276" s="293"/>
      <c r="S2276" s="316"/>
      <c r="T2276" s="355"/>
    </row>
    <row r="2277" spans="11:20" x14ac:dyDescent="0.25">
      <c r="K2277" s="312"/>
      <c r="N2277" s="514"/>
      <c r="R2277" s="293"/>
      <c r="S2277" s="316"/>
      <c r="T2277" s="355"/>
    </row>
    <row r="2278" spans="11:20" x14ac:dyDescent="0.25">
      <c r="K2278" s="312"/>
      <c r="N2278" s="514"/>
      <c r="R2278" s="293"/>
      <c r="S2278" s="316"/>
      <c r="T2278" s="355"/>
    </row>
    <row r="2279" spans="11:20" x14ac:dyDescent="0.25">
      <c r="K2279" s="312"/>
      <c r="N2279" s="514"/>
      <c r="R2279" s="293"/>
      <c r="S2279" s="316"/>
      <c r="T2279" s="355"/>
    </row>
    <row r="2280" spans="11:20" x14ac:dyDescent="0.25">
      <c r="K2280" s="312"/>
      <c r="N2280" s="514"/>
      <c r="R2280" s="293"/>
      <c r="S2280" s="316"/>
      <c r="T2280" s="355"/>
    </row>
    <row r="2281" spans="11:20" x14ac:dyDescent="0.25">
      <c r="K2281" s="312"/>
      <c r="N2281" s="514"/>
      <c r="R2281" s="293"/>
      <c r="S2281" s="316"/>
      <c r="T2281" s="355"/>
    </row>
    <row r="2282" spans="11:20" x14ac:dyDescent="0.25">
      <c r="K2282" s="312"/>
      <c r="N2282" s="514"/>
      <c r="R2282" s="293"/>
      <c r="S2282" s="316"/>
      <c r="T2282" s="355"/>
    </row>
    <row r="2283" spans="11:20" x14ac:dyDescent="0.25">
      <c r="K2283" s="312"/>
      <c r="N2283" s="514"/>
      <c r="R2283" s="293"/>
      <c r="S2283" s="316"/>
      <c r="T2283" s="355"/>
    </row>
    <row r="2284" spans="11:20" x14ac:dyDescent="0.25">
      <c r="K2284" s="312"/>
      <c r="N2284" s="514"/>
      <c r="R2284" s="293"/>
      <c r="S2284" s="316"/>
      <c r="T2284" s="355"/>
    </row>
    <row r="2285" spans="11:20" x14ac:dyDescent="0.25">
      <c r="K2285" s="312"/>
      <c r="N2285" s="514"/>
      <c r="R2285" s="293"/>
      <c r="S2285" s="316"/>
      <c r="T2285" s="355"/>
    </row>
    <row r="2286" spans="11:20" x14ac:dyDescent="0.25">
      <c r="K2286" s="312"/>
      <c r="N2286" s="514"/>
      <c r="R2286" s="293"/>
      <c r="S2286" s="316"/>
      <c r="T2286" s="355"/>
    </row>
    <row r="2287" spans="11:20" x14ac:dyDescent="0.25">
      <c r="K2287" s="312"/>
      <c r="N2287" s="514"/>
      <c r="R2287" s="293"/>
      <c r="S2287" s="316"/>
      <c r="T2287" s="355"/>
    </row>
    <row r="2288" spans="11:20" x14ac:dyDescent="0.25">
      <c r="K2288" s="312"/>
      <c r="N2288" s="514"/>
      <c r="R2288" s="293"/>
      <c r="S2288" s="316"/>
      <c r="T2288" s="355"/>
    </row>
    <row r="2289" spans="11:20" x14ac:dyDescent="0.25">
      <c r="K2289" s="312"/>
      <c r="N2289" s="514"/>
      <c r="R2289" s="293"/>
      <c r="S2289" s="316"/>
      <c r="T2289" s="355"/>
    </row>
    <row r="2290" spans="11:20" x14ac:dyDescent="0.25">
      <c r="K2290" s="312"/>
      <c r="N2290" s="514"/>
      <c r="R2290" s="293"/>
      <c r="S2290" s="316"/>
      <c r="T2290" s="355"/>
    </row>
    <row r="2291" spans="11:20" x14ac:dyDescent="0.25">
      <c r="K2291" s="312"/>
      <c r="N2291" s="514"/>
      <c r="R2291" s="293"/>
      <c r="S2291" s="316"/>
      <c r="T2291" s="355"/>
    </row>
    <row r="2292" spans="11:20" x14ac:dyDescent="0.25">
      <c r="K2292" s="312"/>
      <c r="N2292" s="514"/>
      <c r="R2292" s="293"/>
      <c r="S2292" s="316"/>
      <c r="T2292" s="355"/>
    </row>
    <row r="2293" spans="11:20" x14ac:dyDescent="0.25">
      <c r="K2293" s="312"/>
      <c r="N2293" s="514"/>
      <c r="R2293" s="293"/>
      <c r="S2293" s="316"/>
      <c r="T2293" s="355"/>
    </row>
    <row r="2294" spans="11:20" x14ac:dyDescent="0.25">
      <c r="K2294" s="312"/>
      <c r="N2294" s="514"/>
      <c r="R2294" s="293"/>
      <c r="S2294" s="316"/>
      <c r="T2294" s="355"/>
    </row>
    <row r="2295" spans="11:20" x14ac:dyDescent="0.25">
      <c r="K2295" s="312"/>
      <c r="N2295" s="514"/>
      <c r="R2295" s="293"/>
      <c r="S2295" s="316"/>
      <c r="T2295" s="355"/>
    </row>
    <row r="2296" spans="11:20" x14ac:dyDescent="0.25">
      <c r="K2296" s="312"/>
      <c r="N2296" s="514"/>
      <c r="R2296" s="293"/>
      <c r="S2296" s="316"/>
      <c r="T2296" s="355"/>
    </row>
    <row r="2297" spans="11:20" x14ac:dyDescent="0.25">
      <c r="K2297" s="312"/>
      <c r="N2297" s="514"/>
      <c r="R2297" s="293"/>
      <c r="S2297" s="316"/>
      <c r="T2297" s="355"/>
    </row>
    <row r="2298" spans="11:20" x14ac:dyDescent="0.25">
      <c r="K2298" s="312"/>
      <c r="N2298" s="514"/>
      <c r="R2298" s="293"/>
      <c r="S2298" s="316"/>
      <c r="T2298" s="355"/>
    </row>
    <row r="2299" spans="11:20" x14ac:dyDescent="0.25">
      <c r="K2299" s="312"/>
      <c r="N2299" s="514"/>
      <c r="R2299" s="293"/>
      <c r="S2299" s="316"/>
      <c r="T2299" s="355"/>
    </row>
    <row r="2300" spans="11:20" x14ac:dyDescent="0.25">
      <c r="K2300" s="312"/>
      <c r="N2300" s="514"/>
      <c r="R2300" s="293"/>
      <c r="S2300" s="316"/>
      <c r="T2300" s="355"/>
    </row>
    <row r="2301" spans="11:20" x14ac:dyDescent="0.25">
      <c r="K2301" s="312"/>
      <c r="N2301" s="514"/>
      <c r="R2301" s="293"/>
      <c r="S2301" s="316"/>
      <c r="T2301" s="355"/>
    </row>
    <row r="2302" spans="11:20" x14ac:dyDescent="0.25">
      <c r="K2302" s="312"/>
      <c r="N2302" s="514"/>
      <c r="R2302" s="293"/>
      <c r="S2302" s="316"/>
      <c r="T2302" s="355"/>
    </row>
    <row r="2303" spans="11:20" x14ac:dyDescent="0.25">
      <c r="K2303" s="312"/>
      <c r="N2303" s="514"/>
      <c r="R2303" s="293"/>
      <c r="S2303" s="316"/>
      <c r="T2303" s="355"/>
    </row>
    <row r="2304" spans="11:20" x14ac:dyDescent="0.25">
      <c r="K2304" s="312"/>
      <c r="N2304" s="514"/>
      <c r="R2304" s="293"/>
      <c r="S2304" s="316"/>
      <c r="T2304" s="355"/>
    </row>
    <row r="2305" spans="11:20" x14ac:dyDescent="0.25">
      <c r="K2305" s="312"/>
      <c r="N2305" s="514"/>
      <c r="R2305" s="293"/>
      <c r="S2305" s="316"/>
      <c r="T2305" s="355"/>
    </row>
    <row r="2306" spans="11:20" x14ac:dyDescent="0.25">
      <c r="K2306" s="312"/>
      <c r="N2306" s="514"/>
      <c r="R2306" s="293"/>
      <c r="S2306" s="316"/>
      <c r="T2306" s="355"/>
    </row>
    <row r="2307" spans="11:20" x14ac:dyDescent="0.25">
      <c r="K2307" s="312"/>
      <c r="N2307" s="514"/>
      <c r="R2307" s="293"/>
      <c r="S2307" s="316"/>
      <c r="T2307" s="355"/>
    </row>
    <row r="2308" spans="11:20" x14ac:dyDescent="0.25">
      <c r="K2308" s="312"/>
      <c r="N2308" s="514"/>
      <c r="R2308" s="293"/>
      <c r="S2308" s="316"/>
      <c r="T2308" s="355"/>
    </row>
    <row r="2309" spans="11:20" x14ac:dyDescent="0.25">
      <c r="K2309" s="312"/>
      <c r="N2309" s="514"/>
      <c r="R2309" s="293"/>
      <c r="S2309" s="316"/>
      <c r="T2309" s="355"/>
    </row>
    <row r="2310" spans="11:20" x14ac:dyDescent="0.25">
      <c r="K2310" s="312"/>
      <c r="N2310" s="514"/>
      <c r="R2310" s="293"/>
      <c r="S2310" s="316"/>
      <c r="T2310" s="355"/>
    </row>
    <row r="2311" spans="11:20" x14ac:dyDescent="0.25">
      <c r="K2311" s="312"/>
      <c r="N2311" s="514"/>
      <c r="R2311" s="293"/>
      <c r="S2311" s="316"/>
      <c r="T2311" s="355"/>
    </row>
    <row r="2312" spans="11:20" x14ac:dyDescent="0.25">
      <c r="K2312" s="312"/>
      <c r="N2312" s="514"/>
      <c r="R2312" s="293"/>
      <c r="S2312" s="316"/>
      <c r="T2312" s="355"/>
    </row>
    <row r="2313" spans="11:20" x14ac:dyDescent="0.25">
      <c r="K2313" s="312"/>
      <c r="N2313" s="514"/>
      <c r="R2313" s="293"/>
      <c r="S2313" s="316"/>
      <c r="T2313" s="355"/>
    </row>
    <row r="2314" spans="11:20" x14ac:dyDescent="0.25">
      <c r="K2314" s="312"/>
      <c r="N2314" s="514"/>
      <c r="R2314" s="293"/>
      <c r="S2314" s="316"/>
      <c r="T2314" s="355"/>
    </row>
    <row r="2315" spans="11:20" x14ac:dyDescent="0.25">
      <c r="K2315" s="312"/>
      <c r="N2315" s="514"/>
      <c r="R2315" s="293"/>
      <c r="S2315" s="316"/>
      <c r="T2315" s="355"/>
    </row>
    <row r="2316" spans="11:20" x14ac:dyDescent="0.25">
      <c r="K2316" s="312"/>
      <c r="N2316" s="514"/>
      <c r="R2316" s="293"/>
      <c r="S2316" s="316"/>
      <c r="T2316" s="355"/>
    </row>
    <row r="2317" spans="11:20" x14ac:dyDescent="0.25">
      <c r="K2317" s="312"/>
      <c r="N2317" s="514"/>
      <c r="R2317" s="293"/>
      <c r="S2317" s="316"/>
      <c r="T2317" s="355"/>
    </row>
    <row r="2318" spans="11:20" x14ac:dyDescent="0.25">
      <c r="K2318" s="312"/>
      <c r="N2318" s="514"/>
      <c r="R2318" s="293"/>
      <c r="S2318" s="316"/>
      <c r="T2318" s="355"/>
    </row>
    <row r="2319" spans="11:20" x14ac:dyDescent="0.25">
      <c r="K2319" s="312"/>
      <c r="N2319" s="514"/>
      <c r="R2319" s="293"/>
      <c r="S2319" s="316"/>
      <c r="T2319" s="355"/>
    </row>
    <row r="2320" spans="11:20" x14ac:dyDescent="0.25">
      <c r="K2320" s="312"/>
      <c r="N2320" s="514"/>
      <c r="R2320" s="293"/>
      <c r="S2320" s="316"/>
      <c r="T2320" s="355"/>
    </row>
    <row r="2321" spans="11:20" x14ac:dyDescent="0.25">
      <c r="K2321" s="312"/>
      <c r="N2321" s="514"/>
      <c r="R2321" s="293"/>
      <c r="S2321" s="316"/>
      <c r="T2321" s="355"/>
    </row>
    <row r="2322" spans="11:20" x14ac:dyDescent="0.25">
      <c r="K2322" s="312"/>
      <c r="N2322" s="514"/>
      <c r="R2322" s="293"/>
      <c r="S2322" s="316"/>
      <c r="T2322" s="355"/>
    </row>
    <row r="2323" spans="11:20" x14ac:dyDescent="0.25">
      <c r="K2323" s="312"/>
      <c r="N2323" s="514"/>
      <c r="R2323" s="293"/>
      <c r="S2323" s="316"/>
      <c r="T2323" s="355"/>
    </row>
    <row r="2324" spans="11:20" x14ac:dyDescent="0.25">
      <c r="K2324" s="312"/>
      <c r="N2324" s="514"/>
      <c r="R2324" s="293"/>
      <c r="S2324" s="316"/>
      <c r="T2324" s="355"/>
    </row>
    <row r="2325" spans="11:20" x14ac:dyDescent="0.25">
      <c r="K2325" s="312"/>
      <c r="N2325" s="514"/>
      <c r="R2325" s="293"/>
      <c r="S2325" s="316"/>
      <c r="T2325" s="355"/>
    </row>
    <row r="2326" spans="11:20" x14ac:dyDescent="0.25">
      <c r="K2326" s="312"/>
      <c r="N2326" s="514"/>
      <c r="R2326" s="293"/>
      <c r="S2326" s="316"/>
      <c r="T2326" s="355"/>
    </row>
    <row r="2327" spans="11:20" x14ac:dyDescent="0.25">
      <c r="K2327" s="312"/>
      <c r="N2327" s="514"/>
      <c r="R2327" s="293"/>
      <c r="S2327" s="316"/>
      <c r="T2327" s="355"/>
    </row>
    <row r="2328" spans="11:20" x14ac:dyDescent="0.25">
      <c r="K2328" s="312"/>
      <c r="N2328" s="514"/>
      <c r="R2328" s="293"/>
      <c r="S2328" s="316"/>
      <c r="T2328" s="355"/>
    </row>
    <row r="2329" spans="11:20" x14ac:dyDescent="0.25">
      <c r="K2329" s="312"/>
      <c r="N2329" s="514"/>
      <c r="R2329" s="293"/>
      <c r="S2329" s="316"/>
      <c r="T2329" s="355"/>
    </row>
    <row r="2330" spans="11:20" x14ac:dyDescent="0.25">
      <c r="K2330" s="312"/>
      <c r="N2330" s="514"/>
      <c r="R2330" s="293"/>
      <c r="S2330" s="316"/>
      <c r="T2330" s="355"/>
    </row>
    <row r="2331" spans="11:20" x14ac:dyDescent="0.25">
      <c r="K2331" s="312"/>
      <c r="N2331" s="514"/>
      <c r="R2331" s="293"/>
      <c r="S2331" s="316"/>
      <c r="T2331" s="355"/>
    </row>
    <row r="2332" spans="11:20" x14ac:dyDescent="0.25">
      <c r="K2332" s="312"/>
      <c r="N2332" s="514"/>
      <c r="R2332" s="293"/>
      <c r="S2332" s="316"/>
      <c r="T2332" s="355"/>
    </row>
    <row r="2333" spans="11:20" x14ac:dyDescent="0.25">
      <c r="K2333" s="312"/>
      <c r="N2333" s="514"/>
      <c r="R2333" s="293"/>
      <c r="S2333" s="316"/>
      <c r="T2333" s="355"/>
    </row>
    <row r="2334" spans="11:20" x14ac:dyDescent="0.25">
      <c r="K2334" s="312"/>
      <c r="N2334" s="514"/>
      <c r="R2334" s="293"/>
      <c r="S2334" s="316"/>
      <c r="T2334" s="355"/>
    </row>
    <row r="2335" spans="11:20" x14ac:dyDescent="0.25">
      <c r="K2335" s="312"/>
      <c r="N2335" s="514"/>
      <c r="R2335" s="293"/>
      <c r="S2335" s="316"/>
      <c r="T2335" s="355"/>
    </row>
    <row r="2336" spans="11:20" x14ac:dyDescent="0.25">
      <c r="K2336" s="312"/>
      <c r="N2336" s="514"/>
      <c r="R2336" s="293"/>
      <c r="S2336" s="316"/>
      <c r="T2336" s="355"/>
    </row>
    <row r="2337" spans="11:20" x14ac:dyDescent="0.25">
      <c r="K2337" s="312"/>
      <c r="N2337" s="514"/>
      <c r="R2337" s="293"/>
      <c r="S2337" s="316"/>
      <c r="T2337" s="355"/>
    </row>
    <row r="2338" spans="11:20" x14ac:dyDescent="0.25">
      <c r="K2338" s="312"/>
      <c r="N2338" s="514"/>
      <c r="R2338" s="293"/>
      <c r="S2338" s="316"/>
      <c r="T2338" s="355"/>
    </row>
    <row r="2339" spans="11:20" x14ac:dyDescent="0.25">
      <c r="K2339" s="312"/>
      <c r="N2339" s="514"/>
      <c r="R2339" s="293"/>
      <c r="S2339" s="316"/>
      <c r="T2339" s="355"/>
    </row>
    <row r="2340" spans="11:20" x14ac:dyDescent="0.25">
      <c r="K2340" s="312"/>
      <c r="N2340" s="514"/>
      <c r="R2340" s="293"/>
      <c r="S2340" s="316"/>
      <c r="T2340" s="355"/>
    </row>
    <row r="2341" spans="11:20" x14ac:dyDescent="0.25">
      <c r="K2341" s="312"/>
      <c r="N2341" s="514"/>
      <c r="R2341" s="293"/>
      <c r="S2341" s="316"/>
      <c r="T2341" s="355"/>
    </row>
    <row r="2342" spans="11:20" x14ac:dyDescent="0.25">
      <c r="K2342" s="312"/>
      <c r="N2342" s="514"/>
      <c r="R2342" s="293"/>
      <c r="S2342" s="316"/>
      <c r="T2342" s="355"/>
    </row>
    <row r="2343" spans="11:20" x14ac:dyDescent="0.25">
      <c r="K2343" s="312"/>
      <c r="N2343" s="514"/>
      <c r="R2343" s="293"/>
      <c r="S2343" s="316"/>
      <c r="T2343" s="355"/>
    </row>
    <row r="2344" spans="11:20" x14ac:dyDescent="0.25">
      <c r="K2344" s="312"/>
      <c r="N2344" s="514"/>
      <c r="R2344" s="293"/>
      <c r="S2344" s="316"/>
      <c r="T2344" s="355"/>
    </row>
    <row r="2345" spans="11:20" x14ac:dyDescent="0.25">
      <c r="K2345" s="312"/>
      <c r="N2345" s="514"/>
      <c r="R2345" s="293"/>
      <c r="S2345" s="316"/>
      <c r="T2345" s="355"/>
    </row>
    <row r="2346" spans="11:20" x14ac:dyDescent="0.25">
      <c r="K2346" s="312"/>
      <c r="N2346" s="514"/>
      <c r="R2346" s="293"/>
      <c r="S2346" s="316"/>
      <c r="T2346" s="355"/>
    </row>
    <row r="2347" spans="11:20" x14ac:dyDescent="0.25">
      <c r="K2347" s="312"/>
      <c r="N2347" s="514"/>
      <c r="R2347" s="293"/>
      <c r="S2347" s="316"/>
      <c r="T2347" s="355"/>
    </row>
    <row r="2348" spans="11:20" x14ac:dyDescent="0.25">
      <c r="K2348" s="312"/>
      <c r="N2348" s="514"/>
      <c r="R2348" s="293"/>
      <c r="S2348" s="316"/>
      <c r="T2348" s="355"/>
    </row>
    <row r="2349" spans="11:20" x14ac:dyDescent="0.25">
      <c r="K2349" s="312"/>
      <c r="N2349" s="514"/>
      <c r="R2349" s="293"/>
      <c r="S2349" s="316"/>
      <c r="T2349" s="355"/>
    </row>
    <row r="2350" spans="11:20" x14ac:dyDescent="0.25">
      <c r="K2350" s="312"/>
      <c r="N2350" s="514"/>
      <c r="R2350" s="293"/>
      <c r="S2350" s="316"/>
      <c r="T2350" s="355"/>
    </row>
    <row r="2351" spans="11:20" x14ac:dyDescent="0.25">
      <c r="K2351" s="312"/>
      <c r="N2351" s="514"/>
      <c r="R2351" s="293"/>
      <c r="S2351" s="316"/>
      <c r="T2351" s="355"/>
    </row>
    <row r="2352" spans="11:20" x14ac:dyDescent="0.25">
      <c r="K2352" s="312"/>
      <c r="N2352" s="514"/>
      <c r="R2352" s="293"/>
      <c r="S2352" s="316"/>
      <c r="T2352" s="355"/>
    </row>
    <row r="2353" spans="11:20" x14ac:dyDescent="0.25">
      <c r="K2353" s="312"/>
      <c r="N2353" s="514"/>
      <c r="R2353" s="293"/>
      <c r="S2353" s="316"/>
      <c r="T2353" s="355"/>
    </row>
    <row r="2354" spans="11:20" x14ac:dyDescent="0.25">
      <c r="K2354" s="312"/>
      <c r="N2354" s="514"/>
      <c r="R2354" s="293"/>
      <c r="S2354" s="316"/>
      <c r="T2354" s="355"/>
    </row>
    <row r="2355" spans="11:20" x14ac:dyDescent="0.25">
      <c r="K2355" s="312"/>
      <c r="N2355" s="514"/>
      <c r="R2355" s="293"/>
      <c r="S2355" s="316"/>
      <c r="T2355" s="355"/>
    </row>
    <row r="2356" spans="11:20" x14ac:dyDescent="0.25">
      <c r="K2356" s="312"/>
      <c r="N2356" s="514"/>
      <c r="R2356" s="293"/>
      <c r="S2356" s="316"/>
      <c r="T2356" s="355"/>
    </row>
    <row r="2357" spans="11:20" x14ac:dyDescent="0.25">
      <c r="K2357" s="312"/>
      <c r="N2357" s="514"/>
      <c r="R2357" s="293"/>
      <c r="S2357" s="316"/>
      <c r="T2357" s="355"/>
    </row>
    <row r="2358" spans="11:20" x14ac:dyDescent="0.25">
      <c r="K2358" s="312"/>
      <c r="N2358" s="514"/>
      <c r="R2358" s="293"/>
      <c r="S2358" s="316"/>
      <c r="T2358" s="355"/>
    </row>
    <row r="2359" spans="11:20" x14ac:dyDescent="0.25">
      <c r="K2359" s="312"/>
      <c r="N2359" s="514"/>
      <c r="R2359" s="293"/>
      <c r="S2359" s="316"/>
      <c r="T2359" s="355"/>
    </row>
    <row r="2360" spans="11:20" x14ac:dyDescent="0.25">
      <c r="K2360" s="312"/>
      <c r="N2360" s="514"/>
      <c r="R2360" s="293"/>
      <c r="S2360" s="316"/>
      <c r="T2360" s="355"/>
    </row>
    <row r="2361" spans="11:20" x14ac:dyDescent="0.25">
      <c r="K2361" s="312"/>
      <c r="N2361" s="514"/>
      <c r="R2361" s="293"/>
      <c r="S2361" s="316"/>
      <c r="T2361" s="355"/>
    </row>
    <row r="2362" spans="11:20" x14ac:dyDescent="0.25">
      <c r="K2362" s="312"/>
      <c r="N2362" s="514"/>
      <c r="R2362" s="293"/>
      <c r="S2362" s="316"/>
      <c r="T2362" s="355"/>
    </row>
    <row r="2363" spans="11:20" x14ac:dyDescent="0.25">
      <c r="K2363" s="312"/>
      <c r="N2363" s="514"/>
      <c r="R2363" s="293"/>
      <c r="S2363" s="316"/>
      <c r="T2363" s="355"/>
    </row>
    <row r="2364" spans="11:20" x14ac:dyDescent="0.25">
      <c r="K2364" s="312"/>
      <c r="N2364" s="514"/>
      <c r="R2364" s="293"/>
      <c r="S2364" s="316"/>
      <c r="T2364" s="355"/>
    </row>
    <row r="2365" spans="11:20" x14ac:dyDescent="0.25">
      <c r="K2365" s="312"/>
      <c r="N2365" s="514"/>
      <c r="R2365" s="293"/>
      <c r="S2365" s="316"/>
      <c r="T2365" s="355"/>
    </row>
    <row r="2366" spans="11:20" x14ac:dyDescent="0.25">
      <c r="K2366" s="312"/>
      <c r="N2366" s="514"/>
      <c r="R2366" s="293"/>
      <c r="S2366" s="316"/>
      <c r="T2366" s="355"/>
    </row>
    <row r="2367" spans="11:20" x14ac:dyDescent="0.25">
      <c r="K2367" s="312"/>
      <c r="N2367" s="514"/>
      <c r="R2367" s="293"/>
      <c r="S2367" s="316"/>
      <c r="T2367" s="355"/>
    </row>
    <row r="2368" spans="11:20" x14ac:dyDescent="0.25">
      <c r="K2368" s="312"/>
      <c r="N2368" s="514"/>
      <c r="R2368" s="293"/>
      <c r="S2368" s="316"/>
      <c r="T2368" s="355"/>
    </row>
    <row r="2369" spans="11:20" x14ac:dyDescent="0.25">
      <c r="K2369" s="312"/>
      <c r="N2369" s="514"/>
      <c r="R2369" s="293"/>
      <c r="S2369" s="316"/>
      <c r="T2369" s="355"/>
    </row>
    <row r="2370" spans="11:20" x14ac:dyDescent="0.25">
      <c r="K2370" s="312"/>
      <c r="N2370" s="514"/>
      <c r="R2370" s="293"/>
      <c r="S2370" s="316"/>
      <c r="T2370" s="355"/>
    </row>
    <row r="2371" spans="11:20" x14ac:dyDescent="0.25">
      <c r="K2371" s="312"/>
      <c r="N2371" s="514"/>
      <c r="R2371" s="293"/>
      <c r="S2371" s="316"/>
      <c r="T2371" s="355"/>
    </row>
    <row r="2372" spans="11:20" x14ac:dyDescent="0.25">
      <c r="K2372" s="312"/>
      <c r="N2372" s="514"/>
      <c r="R2372" s="293"/>
      <c r="S2372" s="316"/>
      <c r="T2372" s="355"/>
    </row>
    <row r="2373" spans="11:20" x14ac:dyDescent="0.25">
      <c r="K2373" s="312"/>
      <c r="N2373" s="514"/>
      <c r="R2373" s="293"/>
      <c r="S2373" s="316"/>
      <c r="T2373" s="355"/>
    </row>
    <row r="2374" spans="11:20" x14ac:dyDescent="0.25">
      <c r="K2374" s="312"/>
      <c r="N2374" s="514"/>
      <c r="R2374" s="293"/>
      <c r="S2374" s="316"/>
      <c r="T2374" s="355"/>
    </row>
    <row r="2375" spans="11:20" x14ac:dyDescent="0.25">
      <c r="K2375" s="312"/>
      <c r="N2375" s="514"/>
      <c r="R2375" s="293"/>
      <c r="S2375" s="316"/>
      <c r="T2375" s="355"/>
    </row>
    <row r="2376" spans="11:20" x14ac:dyDescent="0.25">
      <c r="K2376" s="312"/>
      <c r="N2376" s="514"/>
      <c r="R2376" s="293"/>
      <c r="S2376" s="316"/>
      <c r="T2376" s="355"/>
    </row>
    <row r="2377" spans="11:20" x14ac:dyDescent="0.25">
      <c r="K2377" s="312"/>
      <c r="N2377" s="514"/>
      <c r="R2377" s="293"/>
      <c r="S2377" s="316"/>
      <c r="T2377" s="355"/>
    </row>
    <row r="2378" spans="11:20" x14ac:dyDescent="0.25">
      <c r="K2378" s="312"/>
      <c r="N2378" s="514"/>
      <c r="R2378" s="293"/>
      <c r="S2378" s="316"/>
      <c r="T2378" s="355"/>
    </row>
    <row r="2379" spans="11:20" x14ac:dyDescent="0.25">
      <c r="K2379" s="312"/>
      <c r="N2379" s="514"/>
      <c r="R2379" s="293"/>
      <c r="S2379" s="316"/>
      <c r="T2379" s="355"/>
    </row>
    <row r="2380" spans="11:20" x14ac:dyDescent="0.25">
      <c r="K2380" s="312"/>
      <c r="N2380" s="514"/>
      <c r="R2380" s="293"/>
      <c r="S2380" s="316"/>
      <c r="T2380" s="355"/>
    </row>
    <row r="2381" spans="11:20" x14ac:dyDescent="0.25">
      <c r="K2381" s="312"/>
      <c r="N2381" s="514"/>
      <c r="R2381" s="293"/>
      <c r="S2381" s="316"/>
      <c r="T2381" s="355"/>
    </row>
    <row r="2382" spans="11:20" x14ac:dyDescent="0.25">
      <c r="K2382" s="312"/>
      <c r="N2382" s="514"/>
      <c r="R2382" s="293"/>
      <c r="S2382" s="316"/>
      <c r="T2382" s="355"/>
    </row>
    <row r="2383" spans="11:20" x14ac:dyDescent="0.25">
      <c r="K2383" s="312"/>
      <c r="N2383" s="514"/>
      <c r="R2383" s="293"/>
      <c r="S2383" s="316"/>
      <c r="T2383" s="355"/>
    </row>
    <row r="2384" spans="11:20" x14ac:dyDescent="0.25">
      <c r="K2384" s="312"/>
      <c r="N2384" s="514"/>
      <c r="R2384" s="293"/>
      <c r="S2384" s="316"/>
      <c r="T2384" s="355"/>
    </row>
    <row r="2385" spans="11:20" x14ac:dyDescent="0.25">
      <c r="K2385" s="312"/>
      <c r="N2385" s="514"/>
      <c r="R2385" s="293"/>
      <c r="S2385" s="316"/>
      <c r="T2385" s="355"/>
    </row>
    <row r="2386" spans="11:20" x14ac:dyDescent="0.25">
      <c r="K2386" s="312"/>
      <c r="N2386" s="514"/>
      <c r="R2386" s="293"/>
      <c r="S2386" s="316"/>
      <c r="T2386" s="355"/>
    </row>
    <row r="2387" spans="11:20" x14ac:dyDescent="0.25">
      <c r="K2387" s="312"/>
      <c r="N2387" s="514"/>
      <c r="R2387" s="293"/>
      <c r="S2387" s="316"/>
      <c r="T2387" s="355"/>
    </row>
    <row r="2388" spans="11:20" x14ac:dyDescent="0.25">
      <c r="K2388" s="312"/>
      <c r="N2388" s="514"/>
      <c r="R2388" s="293"/>
      <c r="S2388" s="316"/>
      <c r="T2388" s="355"/>
    </row>
    <row r="2389" spans="11:20" x14ac:dyDescent="0.25">
      <c r="K2389" s="312"/>
      <c r="N2389" s="514"/>
      <c r="R2389" s="293"/>
      <c r="S2389" s="316"/>
      <c r="T2389" s="355"/>
    </row>
    <row r="2390" spans="11:20" x14ac:dyDescent="0.25">
      <c r="K2390" s="312"/>
      <c r="N2390" s="514"/>
      <c r="R2390" s="293"/>
      <c r="S2390" s="316"/>
      <c r="T2390" s="355"/>
    </row>
    <row r="2391" spans="11:20" x14ac:dyDescent="0.25">
      <c r="K2391" s="312"/>
      <c r="N2391" s="514"/>
      <c r="R2391" s="293"/>
      <c r="S2391" s="316"/>
      <c r="T2391" s="355"/>
    </row>
    <row r="2392" spans="11:20" x14ac:dyDescent="0.25">
      <c r="K2392" s="312"/>
      <c r="N2392" s="514"/>
      <c r="R2392" s="293"/>
      <c r="S2392" s="316"/>
      <c r="T2392" s="355"/>
    </row>
    <row r="2393" spans="11:20" x14ac:dyDescent="0.25">
      <c r="K2393" s="312"/>
      <c r="N2393" s="514"/>
      <c r="R2393" s="293"/>
      <c r="S2393" s="316"/>
      <c r="T2393" s="355"/>
    </row>
    <row r="2394" spans="11:20" x14ac:dyDescent="0.25">
      <c r="K2394" s="312"/>
      <c r="N2394" s="514"/>
      <c r="R2394" s="293"/>
      <c r="S2394" s="316"/>
      <c r="T2394" s="355"/>
    </row>
    <row r="2395" spans="11:20" x14ac:dyDescent="0.25">
      <c r="K2395" s="312"/>
      <c r="N2395" s="514"/>
      <c r="R2395" s="293"/>
      <c r="S2395" s="316"/>
      <c r="T2395" s="355"/>
    </row>
    <row r="2396" spans="11:20" x14ac:dyDescent="0.25">
      <c r="K2396" s="312"/>
      <c r="N2396" s="514"/>
      <c r="R2396" s="293"/>
      <c r="S2396" s="316"/>
      <c r="T2396" s="355"/>
    </row>
    <row r="2397" spans="11:20" x14ac:dyDescent="0.25">
      <c r="K2397" s="312"/>
      <c r="N2397" s="514"/>
      <c r="R2397" s="293"/>
      <c r="S2397" s="316"/>
      <c r="T2397" s="355"/>
    </row>
    <row r="2398" spans="11:20" x14ac:dyDescent="0.25">
      <c r="K2398" s="312"/>
      <c r="N2398" s="514"/>
      <c r="R2398" s="293"/>
      <c r="S2398" s="316"/>
      <c r="T2398" s="355"/>
    </row>
    <row r="2399" spans="11:20" x14ac:dyDescent="0.25">
      <c r="K2399" s="312"/>
      <c r="N2399" s="514"/>
      <c r="R2399" s="293"/>
      <c r="S2399" s="316"/>
      <c r="T2399" s="355"/>
    </row>
    <row r="2400" spans="11:20" x14ac:dyDescent="0.25">
      <c r="K2400" s="312"/>
      <c r="N2400" s="514"/>
      <c r="R2400" s="293"/>
      <c r="S2400" s="316"/>
      <c r="T2400" s="355"/>
    </row>
    <row r="2401" spans="11:20" x14ac:dyDescent="0.25">
      <c r="K2401" s="312"/>
      <c r="N2401" s="514"/>
      <c r="R2401" s="293"/>
      <c r="S2401" s="316"/>
      <c r="T2401" s="355"/>
    </row>
    <row r="2402" spans="11:20" x14ac:dyDescent="0.25">
      <c r="K2402" s="312"/>
      <c r="N2402" s="514"/>
      <c r="R2402" s="293"/>
      <c r="S2402" s="316"/>
      <c r="T2402" s="355"/>
    </row>
    <row r="2403" spans="11:20" x14ac:dyDescent="0.25">
      <c r="K2403" s="312"/>
      <c r="N2403" s="514"/>
      <c r="R2403" s="293"/>
      <c r="S2403" s="316"/>
      <c r="T2403" s="355"/>
    </row>
    <row r="2404" spans="11:20" x14ac:dyDescent="0.25">
      <c r="K2404" s="312"/>
      <c r="N2404" s="514"/>
      <c r="R2404" s="293"/>
      <c r="S2404" s="316"/>
      <c r="T2404" s="355"/>
    </row>
    <row r="2405" spans="11:20" x14ac:dyDescent="0.25">
      <c r="K2405" s="312"/>
      <c r="N2405" s="514"/>
      <c r="R2405" s="293"/>
      <c r="S2405" s="316"/>
      <c r="T2405" s="355"/>
    </row>
    <row r="2406" spans="11:20" x14ac:dyDescent="0.25">
      <c r="K2406" s="312"/>
      <c r="N2406" s="514"/>
      <c r="R2406" s="293"/>
      <c r="S2406" s="316"/>
      <c r="T2406" s="355"/>
    </row>
    <row r="2407" spans="11:20" x14ac:dyDescent="0.25">
      <c r="K2407" s="312"/>
      <c r="N2407" s="514"/>
      <c r="R2407" s="293"/>
      <c r="S2407" s="316"/>
      <c r="T2407" s="355"/>
    </row>
    <row r="2408" spans="11:20" x14ac:dyDescent="0.25">
      <c r="K2408" s="312"/>
      <c r="N2408" s="514"/>
      <c r="R2408" s="293"/>
      <c r="S2408" s="316"/>
      <c r="T2408" s="355"/>
    </row>
    <row r="2409" spans="11:20" x14ac:dyDescent="0.25">
      <c r="K2409" s="312"/>
      <c r="N2409" s="514"/>
      <c r="R2409" s="293"/>
      <c r="S2409" s="316"/>
      <c r="T2409" s="355"/>
    </row>
    <row r="2410" spans="11:20" x14ac:dyDescent="0.25">
      <c r="K2410" s="312"/>
      <c r="N2410" s="514"/>
      <c r="R2410" s="293"/>
      <c r="S2410" s="316"/>
      <c r="T2410" s="355"/>
    </row>
    <row r="2411" spans="11:20" x14ac:dyDescent="0.25">
      <c r="K2411" s="312"/>
      <c r="N2411" s="514"/>
      <c r="R2411" s="293"/>
      <c r="S2411" s="316"/>
      <c r="T2411" s="355"/>
    </row>
    <row r="2412" spans="11:20" x14ac:dyDescent="0.25">
      <c r="K2412" s="312"/>
      <c r="N2412" s="514"/>
      <c r="R2412" s="293"/>
      <c r="S2412" s="316"/>
      <c r="T2412" s="355"/>
    </row>
    <row r="2413" spans="11:20" x14ac:dyDescent="0.25">
      <c r="K2413" s="312"/>
      <c r="N2413" s="514"/>
      <c r="R2413" s="293"/>
      <c r="S2413" s="316"/>
      <c r="T2413" s="355"/>
    </row>
    <row r="2414" spans="11:20" x14ac:dyDescent="0.25">
      <c r="K2414" s="312"/>
      <c r="N2414" s="514"/>
      <c r="R2414" s="293"/>
      <c r="S2414" s="316"/>
      <c r="T2414" s="355"/>
    </row>
    <row r="2415" spans="11:20" x14ac:dyDescent="0.25">
      <c r="K2415" s="312"/>
      <c r="N2415" s="514"/>
      <c r="R2415" s="293"/>
      <c r="S2415" s="316"/>
      <c r="T2415" s="355"/>
    </row>
    <row r="2416" spans="11:20" x14ac:dyDescent="0.25">
      <c r="K2416" s="312"/>
      <c r="N2416" s="514"/>
      <c r="R2416" s="293"/>
      <c r="S2416" s="316"/>
      <c r="T2416" s="355"/>
    </row>
    <row r="2417" spans="11:20" x14ac:dyDescent="0.25">
      <c r="K2417" s="312"/>
      <c r="N2417" s="514"/>
      <c r="R2417" s="293"/>
      <c r="S2417" s="316"/>
      <c r="T2417" s="355"/>
    </row>
    <row r="2418" spans="11:20" x14ac:dyDescent="0.25">
      <c r="K2418" s="312"/>
      <c r="N2418" s="514"/>
      <c r="R2418" s="293"/>
      <c r="S2418" s="316"/>
      <c r="T2418" s="355"/>
    </row>
    <row r="2419" spans="11:20" x14ac:dyDescent="0.25">
      <c r="K2419" s="312"/>
      <c r="N2419" s="514"/>
      <c r="R2419" s="293"/>
      <c r="S2419" s="316"/>
      <c r="T2419" s="355"/>
    </row>
    <row r="2420" spans="11:20" x14ac:dyDescent="0.25">
      <c r="K2420" s="312"/>
      <c r="N2420" s="514"/>
      <c r="R2420" s="293"/>
      <c r="S2420" s="316"/>
      <c r="T2420" s="355"/>
    </row>
    <row r="2421" spans="11:20" x14ac:dyDescent="0.25">
      <c r="K2421" s="312"/>
      <c r="N2421" s="514"/>
      <c r="R2421" s="293"/>
      <c r="S2421" s="316"/>
      <c r="T2421" s="355"/>
    </row>
    <row r="2422" spans="11:20" x14ac:dyDescent="0.25">
      <c r="K2422" s="312"/>
      <c r="N2422" s="514"/>
      <c r="R2422" s="293"/>
      <c r="S2422" s="316"/>
      <c r="T2422" s="355"/>
    </row>
    <row r="2423" spans="11:20" x14ac:dyDescent="0.25">
      <c r="K2423" s="312"/>
      <c r="N2423" s="514"/>
      <c r="R2423" s="293"/>
      <c r="S2423" s="316"/>
      <c r="T2423" s="355"/>
    </row>
    <row r="2424" spans="11:20" x14ac:dyDescent="0.25">
      <c r="K2424" s="312"/>
      <c r="N2424" s="514"/>
      <c r="R2424" s="293"/>
      <c r="S2424" s="316"/>
      <c r="T2424" s="355"/>
    </row>
    <row r="2425" spans="11:20" x14ac:dyDescent="0.25">
      <c r="K2425" s="312"/>
      <c r="N2425" s="514"/>
      <c r="R2425" s="293"/>
      <c r="S2425" s="316"/>
      <c r="T2425" s="355"/>
    </row>
    <row r="2426" spans="11:20" x14ac:dyDescent="0.25">
      <c r="K2426" s="312"/>
      <c r="N2426" s="514"/>
      <c r="R2426" s="293"/>
      <c r="S2426" s="316"/>
      <c r="T2426" s="355"/>
    </row>
    <row r="2427" spans="11:20" x14ac:dyDescent="0.25">
      <c r="K2427" s="312"/>
      <c r="N2427" s="514"/>
      <c r="R2427" s="293"/>
      <c r="S2427" s="316"/>
      <c r="T2427" s="355"/>
    </row>
    <row r="2428" spans="11:20" x14ac:dyDescent="0.25">
      <c r="K2428" s="312"/>
      <c r="N2428" s="514"/>
      <c r="R2428" s="293"/>
      <c r="S2428" s="316"/>
      <c r="T2428" s="355"/>
    </row>
    <row r="2429" spans="11:20" x14ac:dyDescent="0.25">
      <c r="K2429" s="312"/>
      <c r="N2429" s="514"/>
      <c r="R2429" s="293"/>
      <c r="S2429" s="316"/>
      <c r="T2429" s="355"/>
    </row>
    <row r="2430" spans="11:20" x14ac:dyDescent="0.25">
      <c r="K2430" s="312"/>
      <c r="N2430" s="514"/>
      <c r="R2430" s="293"/>
      <c r="S2430" s="316"/>
      <c r="T2430" s="355"/>
    </row>
    <row r="2431" spans="11:20" x14ac:dyDescent="0.25">
      <c r="K2431" s="312"/>
      <c r="N2431" s="514"/>
      <c r="R2431" s="293"/>
      <c r="S2431" s="316"/>
      <c r="T2431" s="355"/>
    </row>
    <row r="2432" spans="11:20" x14ac:dyDescent="0.25">
      <c r="K2432" s="312"/>
      <c r="N2432" s="514"/>
      <c r="R2432" s="293"/>
      <c r="S2432" s="316"/>
      <c r="T2432" s="355"/>
    </row>
    <row r="2433" spans="11:20" x14ac:dyDescent="0.25">
      <c r="K2433" s="312"/>
      <c r="N2433" s="514"/>
      <c r="R2433" s="293"/>
      <c r="S2433" s="316"/>
      <c r="T2433" s="355"/>
    </row>
    <row r="2434" spans="11:20" x14ac:dyDescent="0.25">
      <c r="K2434" s="312"/>
      <c r="N2434" s="514"/>
      <c r="R2434" s="293"/>
      <c r="S2434" s="316"/>
      <c r="T2434" s="355"/>
    </row>
    <row r="2435" spans="11:20" x14ac:dyDescent="0.25">
      <c r="K2435" s="312"/>
      <c r="N2435" s="514"/>
      <c r="R2435" s="293"/>
      <c r="S2435" s="316"/>
      <c r="T2435" s="355"/>
    </row>
    <row r="2436" spans="11:20" x14ac:dyDescent="0.25">
      <c r="K2436" s="312"/>
      <c r="N2436" s="514"/>
      <c r="R2436" s="293"/>
      <c r="S2436" s="316"/>
      <c r="T2436" s="355"/>
    </row>
    <row r="2437" spans="11:20" x14ac:dyDescent="0.25">
      <c r="K2437" s="312"/>
      <c r="N2437" s="514"/>
      <c r="R2437" s="293"/>
      <c r="S2437" s="316"/>
      <c r="T2437" s="355"/>
    </row>
    <row r="2438" spans="11:20" x14ac:dyDescent="0.25">
      <c r="K2438" s="312"/>
      <c r="N2438" s="514"/>
      <c r="R2438" s="293"/>
      <c r="S2438" s="316"/>
      <c r="T2438" s="355"/>
    </row>
    <row r="2439" spans="11:20" x14ac:dyDescent="0.25">
      <c r="K2439" s="312"/>
      <c r="N2439" s="514"/>
      <c r="R2439" s="293"/>
      <c r="S2439" s="316"/>
      <c r="T2439" s="355"/>
    </row>
    <row r="2440" spans="11:20" x14ac:dyDescent="0.25">
      <c r="K2440" s="312"/>
      <c r="N2440" s="514"/>
      <c r="R2440" s="293"/>
      <c r="S2440" s="316"/>
      <c r="T2440" s="355"/>
    </row>
    <row r="2441" spans="11:20" x14ac:dyDescent="0.25">
      <c r="K2441" s="312"/>
      <c r="N2441" s="514"/>
      <c r="R2441" s="293"/>
      <c r="S2441" s="316"/>
      <c r="T2441" s="355"/>
    </row>
    <row r="2442" spans="11:20" x14ac:dyDescent="0.25">
      <c r="K2442" s="312"/>
      <c r="N2442" s="514"/>
      <c r="R2442" s="293"/>
      <c r="S2442" s="316"/>
      <c r="T2442" s="355"/>
    </row>
    <row r="2443" spans="11:20" x14ac:dyDescent="0.25">
      <c r="K2443" s="312"/>
      <c r="N2443" s="514"/>
      <c r="R2443" s="293"/>
      <c r="S2443" s="316"/>
      <c r="T2443" s="355"/>
    </row>
    <row r="2444" spans="11:20" x14ac:dyDescent="0.25">
      <c r="K2444" s="312"/>
      <c r="N2444" s="514"/>
      <c r="R2444" s="293"/>
      <c r="S2444" s="316"/>
      <c r="T2444" s="355"/>
    </row>
    <row r="2445" spans="11:20" x14ac:dyDescent="0.25">
      <c r="K2445" s="312"/>
      <c r="N2445" s="514"/>
      <c r="R2445" s="293"/>
      <c r="S2445" s="316"/>
      <c r="T2445" s="355"/>
    </row>
    <row r="2446" spans="11:20" x14ac:dyDescent="0.25">
      <c r="K2446" s="312"/>
      <c r="N2446" s="514"/>
      <c r="R2446" s="293"/>
      <c r="S2446" s="316"/>
      <c r="T2446" s="355"/>
    </row>
    <row r="2447" spans="11:20" x14ac:dyDescent="0.25">
      <c r="K2447" s="312"/>
      <c r="N2447" s="514"/>
      <c r="R2447" s="293"/>
      <c r="S2447" s="316"/>
      <c r="T2447" s="355"/>
    </row>
    <row r="2448" spans="11:20" x14ac:dyDescent="0.25">
      <c r="K2448" s="312"/>
      <c r="N2448" s="514"/>
      <c r="R2448" s="293"/>
      <c r="S2448" s="316"/>
      <c r="T2448" s="355"/>
    </row>
    <row r="2449" spans="11:20" x14ac:dyDescent="0.25">
      <c r="K2449" s="312"/>
      <c r="N2449" s="514"/>
      <c r="R2449" s="293"/>
      <c r="S2449" s="316"/>
      <c r="T2449" s="355"/>
    </row>
    <row r="2450" spans="11:20" x14ac:dyDescent="0.25">
      <c r="K2450" s="312"/>
      <c r="N2450" s="514"/>
      <c r="R2450" s="293"/>
      <c r="S2450" s="316"/>
      <c r="T2450" s="355"/>
    </row>
    <row r="2451" spans="11:20" x14ac:dyDescent="0.25">
      <c r="K2451" s="312"/>
      <c r="N2451" s="514"/>
      <c r="R2451" s="293"/>
      <c r="S2451" s="316"/>
      <c r="T2451" s="355"/>
    </row>
    <row r="2452" spans="11:20" x14ac:dyDescent="0.25">
      <c r="K2452" s="312"/>
      <c r="N2452" s="514"/>
      <c r="R2452" s="293"/>
      <c r="S2452" s="316"/>
      <c r="T2452" s="355"/>
    </row>
    <row r="2453" spans="11:20" x14ac:dyDescent="0.25">
      <c r="K2453" s="312"/>
      <c r="N2453" s="514"/>
      <c r="R2453" s="293"/>
      <c r="S2453" s="316"/>
      <c r="T2453" s="355"/>
    </row>
    <row r="2454" spans="11:20" x14ac:dyDescent="0.25">
      <c r="K2454" s="312"/>
      <c r="N2454" s="514"/>
      <c r="R2454" s="293"/>
      <c r="S2454" s="316"/>
      <c r="T2454" s="355"/>
    </row>
    <row r="2455" spans="11:20" x14ac:dyDescent="0.25">
      <c r="K2455" s="312"/>
      <c r="N2455" s="514"/>
      <c r="R2455" s="293"/>
      <c r="S2455" s="316"/>
      <c r="T2455" s="355"/>
    </row>
    <row r="2456" spans="11:20" x14ac:dyDescent="0.25">
      <c r="K2456" s="312"/>
      <c r="N2456" s="514"/>
      <c r="R2456" s="293"/>
      <c r="S2456" s="316"/>
      <c r="T2456" s="355"/>
    </row>
    <row r="2457" spans="11:20" x14ac:dyDescent="0.25">
      <c r="K2457" s="312"/>
      <c r="N2457" s="514"/>
      <c r="R2457" s="293"/>
      <c r="S2457" s="316"/>
      <c r="T2457" s="355"/>
    </row>
    <row r="2458" spans="11:20" x14ac:dyDescent="0.25">
      <c r="K2458" s="312"/>
      <c r="N2458" s="514"/>
      <c r="R2458" s="293"/>
      <c r="S2458" s="316"/>
      <c r="T2458" s="355"/>
    </row>
    <row r="2459" spans="11:20" x14ac:dyDescent="0.25">
      <c r="K2459" s="312"/>
      <c r="N2459" s="514"/>
      <c r="R2459" s="293"/>
      <c r="S2459" s="316"/>
      <c r="T2459" s="355"/>
    </row>
    <row r="2460" spans="11:20" x14ac:dyDescent="0.25">
      <c r="K2460" s="312"/>
      <c r="N2460" s="514"/>
      <c r="R2460" s="293"/>
      <c r="S2460" s="316"/>
      <c r="T2460" s="355"/>
    </row>
    <row r="2461" spans="11:20" x14ac:dyDescent="0.25">
      <c r="K2461" s="312"/>
      <c r="N2461" s="514"/>
      <c r="R2461" s="293"/>
      <c r="S2461" s="316"/>
      <c r="T2461" s="355"/>
    </row>
    <row r="2462" spans="11:20" x14ac:dyDescent="0.25">
      <c r="K2462" s="312"/>
      <c r="N2462" s="514"/>
      <c r="R2462" s="293"/>
      <c r="S2462" s="316"/>
      <c r="T2462" s="355"/>
    </row>
    <row r="2463" spans="11:20" x14ac:dyDescent="0.25">
      <c r="K2463" s="312"/>
      <c r="N2463" s="514"/>
      <c r="R2463" s="293"/>
      <c r="S2463" s="316"/>
      <c r="T2463" s="355"/>
    </row>
    <row r="2464" spans="11:20" x14ac:dyDescent="0.25">
      <c r="K2464" s="312"/>
      <c r="N2464" s="514"/>
      <c r="R2464" s="293"/>
      <c r="S2464" s="316"/>
      <c r="T2464" s="355"/>
    </row>
    <row r="2465" spans="11:20" x14ac:dyDescent="0.25">
      <c r="K2465" s="312"/>
      <c r="N2465" s="514"/>
      <c r="R2465" s="293"/>
      <c r="S2465" s="316"/>
      <c r="T2465" s="355"/>
    </row>
    <row r="2466" spans="11:20" x14ac:dyDescent="0.25">
      <c r="K2466" s="312"/>
      <c r="N2466" s="514"/>
      <c r="R2466" s="293"/>
      <c r="S2466" s="316"/>
      <c r="T2466" s="355"/>
    </row>
    <row r="2467" spans="11:20" x14ac:dyDescent="0.25">
      <c r="K2467" s="312"/>
      <c r="N2467" s="514"/>
      <c r="R2467" s="293"/>
      <c r="S2467" s="316"/>
      <c r="T2467" s="355"/>
    </row>
    <row r="2468" spans="11:20" x14ac:dyDescent="0.25">
      <c r="K2468" s="312"/>
      <c r="N2468" s="514"/>
      <c r="R2468" s="293"/>
      <c r="S2468" s="316"/>
      <c r="T2468" s="355"/>
    </row>
    <row r="2469" spans="11:20" x14ac:dyDescent="0.25">
      <c r="K2469" s="312"/>
      <c r="N2469" s="514"/>
      <c r="R2469" s="293"/>
      <c r="S2469" s="316"/>
      <c r="T2469" s="355"/>
    </row>
    <row r="2470" spans="11:20" x14ac:dyDescent="0.25">
      <c r="K2470" s="312"/>
      <c r="N2470" s="514"/>
      <c r="R2470" s="293"/>
      <c r="S2470" s="316"/>
      <c r="T2470" s="355"/>
    </row>
    <row r="2471" spans="11:20" x14ac:dyDescent="0.25">
      <c r="K2471" s="312"/>
      <c r="N2471" s="514"/>
      <c r="R2471" s="293"/>
      <c r="S2471" s="316"/>
      <c r="T2471" s="355"/>
    </row>
    <row r="2472" spans="11:20" x14ac:dyDescent="0.25">
      <c r="K2472" s="312"/>
      <c r="N2472" s="514"/>
      <c r="R2472" s="293"/>
      <c r="S2472" s="316"/>
      <c r="T2472" s="355"/>
    </row>
    <row r="2473" spans="11:20" x14ac:dyDescent="0.25">
      <c r="K2473" s="312"/>
      <c r="N2473" s="514"/>
      <c r="R2473" s="293"/>
      <c r="S2473" s="316"/>
      <c r="T2473" s="355"/>
    </row>
    <row r="2474" spans="11:20" x14ac:dyDescent="0.25">
      <c r="K2474" s="312"/>
      <c r="N2474" s="514"/>
      <c r="R2474" s="293"/>
      <c r="S2474" s="316"/>
      <c r="T2474" s="355"/>
    </row>
    <row r="2475" spans="11:20" x14ac:dyDescent="0.25">
      <c r="K2475" s="312"/>
      <c r="N2475" s="514"/>
      <c r="R2475" s="293"/>
      <c r="S2475" s="316"/>
      <c r="T2475" s="355"/>
    </row>
    <row r="2476" spans="11:20" x14ac:dyDescent="0.25">
      <c r="K2476" s="312"/>
      <c r="N2476" s="514"/>
      <c r="R2476" s="293"/>
      <c r="S2476" s="316"/>
      <c r="T2476" s="355"/>
    </row>
    <row r="2477" spans="11:20" x14ac:dyDescent="0.25">
      <c r="K2477" s="312"/>
      <c r="N2477" s="514"/>
      <c r="R2477" s="293"/>
      <c r="S2477" s="316"/>
      <c r="T2477" s="355"/>
    </row>
    <row r="2478" spans="11:20" x14ac:dyDescent="0.25">
      <c r="K2478" s="312"/>
      <c r="N2478" s="514"/>
      <c r="R2478" s="293"/>
      <c r="S2478" s="316"/>
      <c r="T2478" s="355"/>
    </row>
    <row r="2479" spans="11:20" x14ac:dyDescent="0.25">
      <c r="K2479" s="312"/>
      <c r="N2479" s="514"/>
      <c r="R2479" s="293"/>
      <c r="S2479" s="316"/>
      <c r="T2479" s="355"/>
    </row>
    <row r="2480" spans="11:20" x14ac:dyDescent="0.25">
      <c r="K2480" s="312"/>
      <c r="N2480" s="514"/>
      <c r="R2480" s="293"/>
      <c r="S2480" s="316"/>
      <c r="T2480" s="355"/>
    </row>
    <row r="2481" spans="11:20" x14ac:dyDescent="0.25">
      <c r="K2481" s="312"/>
      <c r="N2481" s="514"/>
      <c r="R2481" s="293"/>
      <c r="S2481" s="316"/>
      <c r="T2481" s="355"/>
    </row>
    <row r="2482" spans="11:20" x14ac:dyDescent="0.25">
      <c r="K2482" s="312"/>
      <c r="N2482" s="514"/>
      <c r="R2482" s="293"/>
      <c r="S2482" s="316"/>
      <c r="T2482" s="355"/>
    </row>
    <row r="2483" spans="11:20" x14ac:dyDescent="0.25">
      <c r="K2483" s="312"/>
      <c r="N2483" s="514"/>
      <c r="R2483" s="293"/>
      <c r="S2483" s="316"/>
      <c r="T2483" s="355"/>
    </row>
    <row r="2484" spans="11:20" x14ac:dyDescent="0.25">
      <c r="K2484" s="312"/>
      <c r="N2484" s="514"/>
      <c r="R2484" s="293"/>
      <c r="S2484" s="316"/>
      <c r="T2484" s="355"/>
    </row>
    <row r="2485" spans="11:20" x14ac:dyDescent="0.25">
      <c r="K2485" s="312"/>
      <c r="N2485" s="514"/>
      <c r="R2485" s="293"/>
      <c r="S2485" s="316"/>
      <c r="T2485" s="355"/>
    </row>
    <row r="2486" spans="11:20" x14ac:dyDescent="0.25">
      <c r="K2486" s="312"/>
      <c r="N2486" s="514"/>
      <c r="R2486" s="293"/>
      <c r="S2486" s="316"/>
      <c r="T2486" s="355"/>
    </row>
    <row r="2487" spans="11:20" x14ac:dyDescent="0.25">
      <c r="K2487" s="312"/>
      <c r="N2487" s="514"/>
      <c r="R2487" s="293"/>
      <c r="S2487" s="316"/>
      <c r="T2487" s="355"/>
    </row>
    <row r="2488" spans="11:20" x14ac:dyDescent="0.25">
      <c r="K2488" s="312"/>
      <c r="N2488" s="514"/>
      <c r="R2488" s="293"/>
      <c r="S2488" s="316"/>
      <c r="T2488" s="355"/>
    </row>
    <row r="2489" spans="11:20" x14ac:dyDescent="0.25">
      <c r="K2489" s="312"/>
      <c r="N2489" s="514"/>
      <c r="R2489" s="293"/>
      <c r="S2489" s="316"/>
      <c r="T2489" s="355"/>
    </row>
    <row r="2490" spans="11:20" x14ac:dyDescent="0.25">
      <c r="K2490" s="312"/>
      <c r="N2490" s="514"/>
      <c r="R2490" s="293"/>
      <c r="S2490" s="316"/>
      <c r="T2490" s="355"/>
    </row>
    <row r="2491" spans="11:20" x14ac:dyDescent="0.25">
      <c r="K2491" s="312"/>
      <c r="N2491" s="514"/>
      <c r="R2491" s="293"/>
      <c r="S2491" s="316"/>
      <c r="T2491" s="355"/>
    </row>
    <row r="2492" spans="11:20" x14ac:dyDescent="0.25">
      <c r="K2492" s="312"/>
      <c r="N2492" s="514"/>
      <c r="R2492" s="293"/>
      <c r="S2492" s="316"/>
      <c r="T2492" s="355"/>
    </row>
    <row r="2493" spans="11:20" x14ac:dyDescent="0.25">
      <c r="K2493" s="312"/>
      <c r="N2493" s="514"/>
      <c r="R2493" s="293"/>
      <c r="S2493" s="316"/>
      <c r="T2493" s="355"/>
    </row>
    <row r="2494" spans="11:20" x14ac:dyDescent="0.25">
      <c r="K2494" s="312"/>
      <c r="N2494" s="514"/>
      <c r="R2494" s="293"/>
      <c r="S2494" s="316"/>
      <c r="T2494" s="355"/>
    </row>
    <row r="2495" spans="11:20" x14ac:dyDescent="0.25">
      <c r="K2495" s="312"/>
      <c r="N2495" s="514"/>
      <c r="R2495" s="293"/>
      <c r="S2495" s="316"/>
      <c r="T2495" s="355"/>
    </row>
    <row r="2496" spans="11:20" x14ac:dyDescent="0.25">
      <c r="K2496" s="312"/>
      <c r="N2496" s="514"/>
      <c r="R2496" s="293"/>
      <c r="S2496" s="316"/>
      <c r="T2496" s="355"/>
    </row>
    <row r="2497" spans="11:20" x14ac:dyDescent="0.25">
      <c r="K2497" s="312"/>
      <c r="N2497" s="514"/>
      <c r="R2497" s="293"/>
      <c r="S2497" s="316"/>
      <c r="T2497" s="355"/>
    </row>
    <row r="2498" spans="11:20" x14ac:dyDescent="0.25">
      <c r="K2498" s="312"/>
      <c r="N2498" s="514"/>
      <c r="R2498" s="293"/>
      <c r="S2498" s="316"/>
      <c r="T2498" s="355"/>
    </row>
    <row r="2499" spans="11:20" x14ac:dyDescent="0.25">
      <c r="K2499" s="312"/>
      <c r="N2499" s="514"/>
      <c r="R2499" s="293"/>
      <c r="S2499" s="316"/>
      <c r="T2499" s="355"/>
    </row>
    <row r="2500" spans="11:20" x14ac:dyDescent="0.25">
      <c r="K2500" s="312"/>
      <c r="N2500" s="514"/>
      <c r="R2500" s="293"/>
      <c r="S2500" s="316"/>
      <c r="T2500" s="355"/>
    </row>
    <row r="2501" spans="11:20" x14ac:dyDescent="0.25">
      <c r="K2501" s="312"/>
      <c r="N2501" s="514"/>
      <c r="R2501" s="293"/>
      <c r="S2501" s="316"/>
      <c r="T2501" s="355"/>
    </row>
    <row r="2502" spans="11:20" x14ac:dyDescent="0.25">
      <c r="K2502" s="312"/>
      <c r="N2502" s="514"/>
      <c r="R2502" s="293"/>
      <c r="S2502" s="316"/>
      <c r="T2502" s="355"/>
    </row>
    <row r="2503" spans="11:20" x14ac:dyDescent="0.25">
      <c r="K2503" s="312"/>
      <c r="N2503" s="514"/>
      <c r="R2503" s="293"/>
      <c r="S2503" s="316"/>
      <c r="T2503" s="355"/>
    </row>
    <row r="2504" spans="11:20" x14ac:dyDescent="0.25">
      <c r="K2504" s="312"/>
      <c r="N2504" s="514"/>
      <c r="R2504" s="293"/>
      <c r="S2504" s="316"/>
      <c r="T2504" s="355"/>
    </row>
    <row r="2505" spans="11:20" x14ac:dyDescent="0.25">
      <c r="K2505" s="312"/>
      <c r="N2505" s="514"/>
      <c r="R2505" s="293"/>
      <c r="S2505" s="316"/>
      <c r="T2505" s="355"/>
    </row>
    <row r="2506" spans="11:20" x14ac:dyDescent="0.25">
      <c r="K2506" s="312"/>
      <c r="N2506" s="514"/>
      <c r="R2506" s="293"/>
      <c r="S2506" s="316"/>
      <c r="T2506" s="355"/>
    </row>
    <row r="2507" spans="11:20" x14ac:dyDescent="0.25">
      <c r="K2507" s="312"/>
      <c r="N2507" s="514"/>
      <c r="R2507" s="293"/>
      <c r="S2507" s="316"/>
      <c r="T2507" s="355"/>
    </row>
    <row r="2508" spans="11:20" x14ac:dyDescent="0.25">
      <c r="K2508" s="312"/>
      <c r="N2508" s="514"/>
      <c r="R2508" s="293"/>
      <c r="S2508" s="316"/>
      <c r="T2508" s="355"/>
    </row>
    <row r="2509" spans="11:20" x14ac:dyDescent="0.25">
      <c r="K2509" s="312"/>
      <c r="N2509" s="514"/>
      <c r="R2509" s="293"/>
      <c r="S2509" s="316"/>
      <c r="T2509" s="355"/>
    </row>
    <row r="2510" spans="11:20" x14ac:dyDescent="0.25">
      <c r="K2510" s="312"/>
      <c r="N2510" s="514"/>
      <c r="R2510" s="293"/>
      <c r="S2510" s="316"/>
      <c r="T2510" s="355"/>
    </row>
    <row r="2511" spans="11:20" x14ac:dyDescent="0.25">
      <c r="K2511" s="312"/>
      <c r="N2511" s="514"/>
      <c r="R2511" s="293"/>
      <c r="S2511" s="316"/>
      <c r="T2511" s="355"/>
    </row>
    <row r="2512" spans="11:20" x14ac:dyDescent="0.25">
      <c r="K2512" s="312"/>
      <c r="N2512" s="514"/>
      <c r="R2512" s="293"/>
      <c r="S2512" s="316"/>
      <c r="T2512" s="355"/>
    </row>
    <row r="2513" spans="11:20" x14ac:dyDescent="0.25">
      <c r="K2513" s="312"/>
      <c r="N2513" s="514"/>
      <c r="R2513" s="293"/>
      <c r="S2513" s="316"/>
      <c r="T2513" s="355"/>
    </row>
    <row r="2514" spans="11:20" x14ac:dyDescent="0.25">
      <c r="K2514" s="312"/>
      <c r="N2514" s="514"/>
      <c r="R2514" s="293"/>
      <c r="S2514" s="316"/>
      <c r="T2514" s="355"/>
    </row>
    <row r="2515" spans="11:20" x14ac:dyDescent="0.25">
      <c r="K2515" s="312"/>
      <c r="N2515" s="514"/>
      <c r="R2515" s="293"/>
      <c r="S2515" s="316"/>
      <c r="T2515" s="355"/>
    </row>
    <row r="2516" spans="11:20" x14ac:dyDescent="0.25">
      <c r="K2516" s="312"/>
      <c r="N2516" s="514"/>
      <c r="R2516" s="293"/>
      <c r="S2516" s="316"/>
      <c r="T2516" s="355"/>
    </row>
    <row r="2517" spans="11:20" x14ac:dyDescent="0.25">
      <c r="K2517" s="312"/>
      <c r="N2517" s="514"/>
      <c r="R2517" s="293"/>
      <c r="S2517" s="316"/>
      <c r="T2517" s="355"/>
    </row>
    <row r="2518" spans="11:20" x14ac:dyDescent="0.25">
      <c r="K2518" s="312"/>
      <c r="N2518" s="514"/>
      <c r="R2518" s="293"/>
      <c r="S2518" s="316"/>
      <c r="T2518" s="355"/>
    </row>
    <row r="2519" spans="11:20" x14ac:dyDescent="0.25">
      <c r="K2519" s="312"/>
      <c r="N2519" s="514"/>
      <c r="R2519" s="293"/>
      <c r="S2519" s="316"/>
      <c r="T2519" s="355"/>
    </row>
    <row r="2520" spans="11:20" x14ac:dyDescent="0.25">
      <c r="K2520" s="312"/>
      <c r="N2520" s="514"/>
      <c r="R2520" s="293"/>
      <c r="S2520" s="316"/>
      <c r="T2520" s="355"/>
    </row>
    <row r="2521" spans="11:20" x14ac:dyDescent="0.25">
      <c r="K2521" s="312"/>
      <c r="N2521" s="514"/>
      <c r="R2521" s="293"/>
      <c r="S2521" s="316"/>
      <c r="T2521" s="355"/>
    </row>
    <row r="2522" spans="11:20" x14ac:dyDescent="0.25">
      <c r="K2522" s="312"/>
      <c r="N2522" s="514"/>
      <c r="R2522" s="293"/>
      <c r="S2522" s="316"/>
      <c r="T2522" s="355"/>
    </row>
    <row r="2523" spans="11:20" x14ac:dyDescent="0.25">
      <c r="K2523" s="312"/>
      <c r="N2523" s="514"/>
      <c r="R2523" s="293"/>
      <c r="S2523" s="316"/>
      <c r="T2523" s="355"/>
    </row>
    <row r="2524" spans="11:20" x14ac:dyDescent="0.25">
      <c r="K2524" s="312"/>
      <c r="N2524" s="514"/>
      <c r="R2524" s="293"/>
      <c r="S2524" s="316"/>
      <c r="T2524" s="355"/>
    </row>
    <row r="2525" spans="11:20" x14ac:dyDescent="0.25">
      <c r="K2525" s="312"/>
      <c r="N2525" s="514"/>
      <c r="R2525" s="293"/>
      <c r="S2525" s="316"/>
      <c r="T2525" s="355"/>
    </row>
    <row r="2526" spans="11:20" x14ac:dyDescent="0.25">
      <c r="K2526" s="312"/>
      <c r="N2526" s="514"/>
      <c r="R2526" s="293"/>
      <c r="S2526" s="316"/>
      <c r="T2526" s="355"/>
    </row>
    <row r="2527" spans="11:20" x14ac:dyDescent="0.25">
      <c r="K2527" s="312"/>
      <c r="N2527" s="514"/>
      <c r="R2527" s="293"/>
      <c r="S2527" s="316"/>
      <c r="T2527" s="355"/>
    </row>
    <row r="2528" spans="11:20" x14ac:dyDescent="0.25">
      <c r="K2528" s="312"/>
      <c r="N2528" s="514"/>
      <c r="R2528" s="293"/>
      <c r="S2528" s="316"/>
      <c r="T2528" s="355"/>
    </row>
    <row r="2529" spans="11:20" x14ac:dyDescent="0.25">
      <c r="K2529" s="312"/>
      <c r="N2529" s="514"/>
      <c r="R2529" s="293"/>
      <c r="S2529" s="316"/>
      <c r="T2529" s="355"/>
    </row>
    <row r="2530" spans="11:20" x14ac:dyDescent="0.25">
      <c r="K2530" s="312"/>
      <c r="N2530" s="514"/>
      <c r="R2530" s="293"/>
      <c r="S2530" s="316"/>
      <c r="T2530" s="355"/>
    </row>
    <row r="2531" spans="11:20" x14ac:dyDescent="0.25">
      <c r="K2531" s="312"/>
      <c r="N2531" s="514"/>
      <c r="R2531" s="293"/>
      <c r="S2531" s="316"/>
      <c r="T2531" s="355"/>
    </row>
    <row r="2532" spans="11:20" x14ac:dyDescent="0.25">
      <c r="K2532" s="312"/>
      <c r="N2532" s="514"/>
      <c r="R2532" s="293"/>
      <c r="S2532" s="316"/>
      <c r="T2532" s="355"/>
    </row>
    <row r="2533" spans="11:20" x14ac:dyDescent="0.25">
      <c r="K2533" s="312"/>
      <c r="N2533" s="514"/>
      <c r="R2533" s="293"/>
      <c r="S2533" s="316"/>
      <c r="T2533" s="355"/>
    </row>
    <row r="2534" spans="11:20" x14ac:dyDescent="0.25">
      <c r="K2534" s="312"/>
      <c r="N2534" s="514"/>
      <c r="R2534" s="293"/>
      <c r="S2534" s="316"/>
      <c r="T2534" s="355"/>
    </row>
    <row r="2535" spans="11:20" x14ac:dyDescent="0.25">
      <c r="K2535" s="312"/>
      <c r="N2535" s="514"/>
      <c r="R2535" s="293"/>
      <c r="S2535" s="316"/>
      <c r="T2535" s="355"/>
    </row>
    <row r="2536" spans="11:20" x14ac:dyDescent="0.25">
      <c r="K2536" s="312"/>
      <c r="N2536" s="514"/>
      <c r="R2536" s="293"/>
      <c r="S2536" s="316"/>
      <c r="T2536" s="355"/>
    </row>
    <row r="2537" spans="11:20" x14ac:dyDescent="0.25">
      <c r="K2537" s="312"/>
      <c r="N2537" s="514"/>
      <c r="R2537" s="293"/>
      <c r="S2537" s="316"/>
      <c r="T2537" s="355"/>
    </row>
    <row r="2538" spans="11:20" x14ac:dyDescent="0.25">
      <c r="K2538" s="312"/>
      <c r="N2538" s="514"/>
      <c r="R2538" s="293"/>
      <c r="S2538" s="316"/>
      <c r="T2538" s="355"/>
    </row>
    <row r="2539" spans="11:20" x14ac:dyDescent="0.25">
      <c r="K2539" s="312"/>
      <c r="N2539" s="514"/>
      <c r="R2539" s="293"/>
      <c r="S2539" s="316"/>
      <c r="T2539" s="355"/>
    </row>
    <row r="2540" spans="11:20" x14ac:dyDescent="0.25">
      <c r="K2540" s="312"/>
      <c r="N2540" s="514"/>
      <c r="R2540" s="293"/>
      <c r="S2540" s="316"/>
      <c r="T2540" s="355"/>
    </row>
    <row r="2541" spans="11:20" x14ac:dyDescent="0.25">
      <c r="K2541" s="312"/>
      <c r="N2541" s="514"/>
      <c r="R2541" s="293"/>
      <c r="S2541" s="316"/>
      <c r="T2541" s="355"/>
    </row>
    <row r="2542" spans="11:20" x14ac:dyDescent="0.25">
      <c r="K2542" s="312"/>
      <c r="N2542" s="514"/>
      <c r="R2542" s="293"/>
      <c r="S2542" s="316"/>
      <c r="T2542" s="355"/>
    </row>
    <row r="2543" spans="11:20" x14ac:dyDescent="0.25">
      <c r="K2543" s="312"/>
      <c r="N2543" s="514"/>
      <c r="R2543" s="293"/>
      <c r="S2543" s="316"/>
      <c r="T2543" s="355"/>
    </row>
    <row r="2544" spans="11:20" x14ac:dyDescent="0.25">
      <c r="K2544" s="312"/>
      <c r="N2544" s="514"/>
      <c r="R2544" s="293"/>
      <c r="S2544" s="316"/>
      <c r="T2544" s="355"/>
    </row>
    <row r="2545" spans="11:20" x14ac:dyDescent="0.25">
      <c r="K2545" s="312"/>
      <c r="N2545" s="514"/>
      <c r="R2545" s="293"/>
      <c r="S2545" s="316"/>
      <c r="T2545" s="355"/>
    </row>
    <row r="2546" spans="11:20" x14ac:dyDescent="0.25">
      <c r="K2546" s="312"/>
      <c r="N2546" s="514"/>
      <c r="R2546" s="293"/>
      <c r="S2546" s="316"/>
      <c r="T2546" s="355"/>
    </row>
    <row r="2547" spans="11:20" x14ac:dyDescent="0.25">
      <c r="K2547" s="312"/>
      <c r="N2547" s="514"/>
      <c r="R2547" s="293"/>
      <c r="S2547" s="316"/>
      <c r="T2547" s="355"/>
    </row>
    <row r="2548" spans="11:20" x14ac:dyDescent="0.25">
      <c r="K2548" s="312"/>
      <c r="N2548" s="514"/>
      <c r="R2548" s="293"/>
      <c r="S2548" s="316"/>
      <c r="T2548" s="355"/>
    </row>
    <row r="2549" spans="11:20" x14ac:dyDescent="0.25">
      <c r="K2549" s="312"/>
      <c r="N2549" s="514"/>
      <c r="R2549" s="293"/>
      <c r="S2549" s="316"/>
      <c r="T2549" s="355"/>
    </row>
    <row r="2550" spans="11:20" x14ac:dyDescent="0.25">
      <c r="K2550" s="312"/>
      <c r="N2550" s="514"/>
      <c r="R2550" s="293"/>
      <c r="S2550" s="316"/>
      <c r="T2550" s="355"/>
    </row>
    <row r="2551" spans="11:20" x14ac:dyDescent="0.25">
      <c r="K2551" s="312"/>
      <c r="N2551" s="514"/>
      <c r="R2551" s="293"/>
      <c r="S2551" s="316"/>
      <c r="T2551" s="355"/>
    </row>
    <row r="2552" spans="11:20" x14ac:dyDescent="0.25">
      <c r="K2552" s="312"/>
      <c r="N2552" s="514"/>
      <c r="R2552" s="293"/>
      <c r="S2552" s="316"/>
      <c r="T2552" s="355"/>
    </row>
    <row r="2553" spans="11:20" x14ac:dyDescent="0.25">
      <c r="K2553" s="312"/>
      <c r="N2553" s="514"/>
      <c r="R2553" s="293"/>
      <c r="S2553" s="316"/>
      <c r="T2553" s="355"/>
    </row>
    <row r="2554" spans="11:20" x14ac:dyDescent="0.25">
      <c r="K2554" s="312"/>
      <c r="N2554" s="514"/>
      <c r="R2554" s="293"/>
      <c r="S2554" s="316"/>
      <c r="T2554" s="355"/>
    </row>
    <row r="2555" spans="11:20" x14ac:dyDescent="0.25">
      <c r="K2555" s="312"/>
      <c r="N2555" s="514"/>
      <c r="R2555" s="293"/>
      <c r="S2555" s="316"/>
      <c r="T2555" s="355"/>
    </row>
    <row r="2556" spans="11:20" x14ac:dyDescent="0.25">
      <c r="K2556" s="312"/>
      <c r="N2556" s="514"/>
      <c r="R2556" s="293"/>
      <c r="S2556" s="316"/>
      <c r="T2556" s="355"/>
    </row>
    <row r="2557" spans="11:20" x14ac:dyDescent="0.25">
      <c r="K2557" s="312"/>
      <c r="N2557" s="514"/>
      <c r="R2557" s="293"/>
      <c r="S2557" s="316"/>
      <c r="T2557" s="355"/>
    </row>
    <row r="2558" spans="11:20" x14ac:dyDescent="0.25">
      <c r="K2558" s="312"/>
      <c r="N2558" s="514"/>
      <c r="R2558" s="293"/>
      <c r="S2558" s="316"/>
      <c r="T2558" s="355"/>
    </row>
    <row r="2559" spans="11:20" x14ac:dyDescent="0.25">
      <c r="K2559" s="312"/>
      <c r="N2559" s="514"/>
      <c r="R2559" s="293"/>
      <c r="S2559" s="316"/>
      <c r="T2559" s="355"/>
    </row>
    <row r="2560" spans="11:20" x14ac:dyDescent="0.25">
      <c r="K2560" s="312"/>
      <c r="N2560" s="514"/>
      <c r="R2560" s="293"/>
      <c r="S2560" s="316"/>
      <c r="T2560" s="355"/>
    </row>
    <row r="2561" spans="11:20" x14ac:dyDescent="0.25">
      <c r="K2561" s="312"/>
      <c r="N2561" s="514"/>
      <c r="R2561" s="293"/>
      <c r="S2561" s="316"/>
      <c r="T2561" s="355"/>
    </row>
    <row r="2562" spans="11:20" x14ac:dyDescent="0.25">
      <c r="K2562" s="312"/>
      <c r="N2562" s="514"/>
      <c r="R2562" s="293"/>
      <c r="S2562" s="316"/>
      <c r="T2562" s="355"/>
    </row>
    <row r="2563" spans="11:20" x14ac:dyDescent="0.25">
      <c r="K2563" s="312"/>
      <c r="N2563" s="514"/>
      <c r="R2563" s="293"/>
      <c r="S2563" s="316"/>
      <c r="T2563" s="355"/>
    </row>
    <row r="2564" spans="11:20" x14ac:dyDescent="0.25">
      <c r="K2564" s="312"/>
      <c r="N2564" s="514"/>
      <c r="R2564" s="293"/>
      <c r="S2564" s="316"/>
      <c r="T2564" s="355"/>
    </row>
    <row r="2565" spans="11:20" x14ac:dyDescent="0.25">
      <c r="K2565" s="312"/>
      <c r="N2565" s="514"/>
      <c r="R2565" s="293"/>
      <c r="S2565" s="316"/>
      <c r="T2565" s="355"/>
    </row>
    <row r="2566" spans="11:20" x14ac:dyDescent="0.25">
      <c r="K2566" s="312"/>
      <c r="N2566" s="514"/>
      <c r="R2566" s="293"/>
      <c r="S2566" s="316"/>
      <c r="T2566" s="355"/>
    </row>
    <row r="2567" spans="11:20" x14ac:dyDescent="0.25">
      <c r="K2567" s="312"/>
      <c r="N2567" s="514"/>
      <c r="R2567" s="293"/>
      <c r="S2567" s="316"/>
      <c r="T2567" s="355"/>
    </row>
    <row r="2568" spans="11:20" x14ac:dyDescent="0.25">
      <c r="K2568" s="312"/>
      <c r="N2568" s="514"/>
      <c r="R2568" s="293"/>
      <c r="S2568" s="316"/>
      <c r="T2568" s="355"/>
    </row>
    <row r="2569" spans="11:20" x14ac:dyDescent="0.25">
      <c r="K2569" s="312"/>
      <c r="N2569" s="514"/>
      <c r="R2569" s="293"/>
      <c r="S2569" s="316"/>
      <c r="T2569" s="355"/>
    </row>
    <row r="2570" spans="11:20" x14ac:dyDescent="0.25">
      <c r="K2570" s="312"/>
      <c r="N2570" s="514"/>
      <c r="R2570" s="293"/>
      <c r="S2570" s="316"/>
      <c r="T2570" s="355"/>
    </row>
    <row r="2571" spans="11:20" x14ac:dyDescent="0.25">
      <c r="K2571" s="312"/>
      <c r="N2571" s="514"/>
      <c r="R2571" s="293"/>
      <c r="S2571" s="316"/>
      <c r="T2571" s="355"/>
    </row>
    <row r="2572" spans="11:20" x14ac:dyDescent="0.25">
      <c r="K2572" s="312"/>
      <c r="N2572" s="514"/>
      <c r="R2572" s="293"/>
      <c r="S2572" s="316"/>
      <c r="T2572" s="355"/>
    </row>
    <row r="2573" spans="11:20" x14ac:dyDescent="0.25">
      <c r="K2573" s="312"/>
      <c r="N2573" s="514"/>
      <c r="R2573" s="293"/>
      <c r="S2573" s="316"/>
      <c r="T2573" s="355"/>
    </row>
    <row r="2574" spans="11:20" x14ac:dyDescent="0.25">
      <c r="K2574" s="312"/>
      <c r="N2574" s="514"/>
      <c r="R2574" s="293"/>
      <c r="S2574" s="316"/>
      <c r="T2574" s="355"/>
    </row>
    <row r="2575" spans="11:20" x14ac:dyDescent="0.25">
      <c r="K2575" s="312"/>
      <c r="N2575" s="514"/>
      <c r="R2575" s="293"/>
      <c r="S2575" s="316"/>
      <c r="T2575" s="355"/>
    </row>
    <row r="2576" spans="11:20" x14ac:dyDescent="0.25">
      <c r="K2576" s="312"/>
      <c r="N2576" s="514"/>
      <c r="R2576" s="293"/>
      <c r="S2576" s="316"/>
      <c r="T2576" s="355"/>
    </row>
    <row r="2577" spans="11:20" x14ac:dyDescent="0.25">
      <c r="K2577" s="312"/>
      <c r="N2577" s="514"/>
      <c r="R2577" s="293"/>
      <c r="S2577" s="316"/>
      <c r="T2577" s="355"/>
    </row>
    <row r="2578" spans="11:20" x14ac:dyDescent="0.25">
      <c r="K2578" s="312"/>
      <c r="N2578" s="514"/>
      <c r="R2578" s="293"/>
      <c r="S2578" s="316"/>
      <c r="T2578" s="355"/>
    </row>
    <row r="2579" spans="11:20" x14ac:dyDescent="0.25">
      <c r="K2579" s="312"/>
      <c r="N2579" s="514"/>
      <c r="R2579" s="293"/>
      <c r="S2579" s="316"/>
      <c r="T2579" s="355"/>
    </row>
    <row r="2580" spans="11:20" x14ac:dyDescent="0.25">
      <c r="K2580" s="312"/>
      <c r="N2580" s="514"/>
      <c r="R2580" s="293"/>
      <c r="S2580" s="316"/>
      <c r="T2580" s="355"/>
    </row>
    <row r="2581" spans="11:20" x14ac:dyDescent="0.25">
      <c r="K2581" s="312"/>
      <c r="N2581" s="514"/>
      <c r="R2581" s="293"/>
      <c r="S2581" s="316"/>
      <c r="T2581" s="355"/>
    </row>
    <row r="2582" spans="11:20" x14ac:dyDescent="0.25">
      <c r="K2582" s="312"/>
      <c r="N2582" s="514"/>
      <c r="R2582" s="293"/>
      <c r="S2582" s="316"/>
      <c r="T2582" s="355"/>
    </row>
    <row r="2583" spans="11:20" x14ac:dyDescent="0.25">
      <c r="K2583" s="312"/>
      <c r="N2583" s="514"/>
      <c r="R2583" s="293"/>
      <c r="S2583" s="316"/>
      <c r="T2583" s="355"/>
    </row>
    <row r="2584" spans="11:20" x14ac:dyDescent="0.25">
      <c r="K2584" s="312"/>
      <c r="N2584" s="514"/>
      <c r="R2584" s="293"/>
      <c r="S2584" s="316"/>
      <c r="T2584" s="355"/>
    </row>
    <row r="2585" spans="11:20" x14ac:dyDescent="0.25">
      <c r="K2585" s="312"/>
      <c r="N2585" s="514"/>
      <c r="R2585" s="293"/>
      <c r="S2585" s="316"/>
      <c r="T2585" s="355"/>
    </row>
    <row r="2586" spans="11:20" x14ac:dyDescent="0.25">
      <c r="K2586" s="312"/>
      <c r="N2586" s="514"/>
      <c r="R2586" s="293"/>
      <c r="S2586" s="316"/>
      <c r="T2586" s="355"/>
    </row>
    <row r="2587" spans="11:20" x14ac:dyDescent="0.25">
      <c r="K2587" s="312"/>
      <c r="N2587" s="514"/>
      <c r="R2587" s="293"/>
      <c r="S2587" s="316"/>
      <c r="T2587" s="355"/>
    </row>
    <row r="2588" spans="11:20" x14ac:dyDescent="0.25">
      <c r="K2588" s="312"/>
      <c r="N2588" s="514"/>
      <c r="R2588" s="293"/>
      <c r="S2588" s="316"/>
      <c r="T2588" s="355"/>
    </row>
    <row r="2589" spans="11:20" x14ac:dyDescent="0.25">
      <c r="K2589" s="312"/>
      <c r="N2589" s="514"/>
      <c r="R2589" s="293"/>
      <c r="S2589" s="316"/>
      <c r="T2589" s="355"/>
    </row>
    <row r="2590" spans="11:20" x14ac:dyDescent="0.25">
      <c r="K2590" s="312"/>
      <c r="N2590" s="514"/>
      <c r="R2590" s="293"/>
      <c r="S2590" s="316"/>
      <c r="T2590" s="355"/>
    </row>
    <row r="2591" spans="11:20" x14ac:dyDescent="0.25">
      <c r="K2591" s="312"/>
      <c r="N2591" s="514"/>
      <c r="R2591" s="293"/>
      <c r="S2591" s="316"/>
      <c r="T2591" s="355"/>
    </row>
    <row r="2592" spans="11:20" x14ac:dyDescent="0.25">
      <c r="K2592" s="312"/>
      <c r="N2592" s="514"/>
      <c r="R2592" s="293"/>
      <c r="S2592" s="316"/>
      <c r="T2592" s="355"/>
    </row>
    <row r="2593" spans="11:20" x14ac:dyDescent="0.25">
      <c r="K2593" s="312"/>
      <c r="N2593" s="514"/>
      <c r="R2593" s="293"/>
      <c r="S2593" s="316"/>
      <c r="T2593" s="355"/>
    </row>
    <row r="2594" spans="11:20" x14ac:dyDescent="0.25">
      <c r="K2594" s="312"/>
      <c r="N2594" s="514"/>
      <c r="R2594" s="293"/>
      <c r="S2594" s="316"/>
      <c r="T2594" s="355"/>
    </row>
    <row r="2595" spans="11:20" x14ac:dyDescent="0.25">
      <c r="K2595" s="312"/>
      <c r="N2595" s="514"/>
      <c r="R2595" s="293"/>
      <c r="S2595" s="316"/>
      <c r="T2595" s="355"/>
    </row>
    <row r="2596" spans="11:20" x14ac:dyDescent="0.25">
      <c r="K2596" s="312"/>
      <c r="N2596" s="514"/>
      <c r="R2596" s="293"/>
      <c r="S2596" s="316"/>
      <c r="T2596" s="355"/>
    </row>
    <row r="2597" spans="11:20" x14ac:dyDescent="0.25">
      <c r="K2597" s="312"/>
      <c r="N2597" s="514"/>
      <c r="R2597" s="293"/>
      <c r="S2597" s="316"/>
      <c r="T2597" s="355"/>
    </row>
    <row r="2598" spans="11:20" x14ac:dyDescent="0.25">
      <c r="K2598" s="312"/>
      <c r="N2598" s="514"/>
      <c r="R2598" s="293"/>
      <c r="S2598" s="316"/>
      <c r="T2598" s="355"/>
    </row>
    <row r="2599" spans="11:20" x14ac:dyDescent="0.25">
      <c r="K2599" s="312"/>
      <c r="N2599" s="514"/>
      <c r="R2599" s="293"/>
      <c r="S2599" s="316"/>
      <c r="T2599" s="355"/>
    </row>
    <row r="2600" spans="11:20" x14ac:dyDescent="0.25">
      <c r="K2600" s="312"/>
      <c r="N2600" s="514"/>
      <c r="R2600" s="293"/>
      <c r="S2600" s="316"/>
      <c r="T2600" s="355"/>
    </row>
    <row r="2601" spans="11:20" x14ac:dyDescent="0.25">
      <c r="K2601" s="312"/>
      <c r="N2601" s="514"/>
      <c r="R2601" s="293"/>
      <c r="S2601" s="316"/>
      <c r="T2601" s="355"/>
    </row>
    <row r="2602" spans="11:20" x14ac:dyDescent="0.25">
      <c r="K2602" s="312"/>
      <c r="N2602" s="514"/>
      <c r="R2602" s="293"/>
      <c r="S2602" s="316"/>
      <c r="T2602" s="355"/>
    </row>
    <row r="2603" spans="11:20" x14ac:dyDescent="0.25">
      <c r="K2603" s="312"/>
      <c r="N2603" s="514"/>
      <c r="R2603" s="293"/>
      <c r="S2603" s="316"/>
      <c r="T2603" s="355"/>
    </row>
    <row r="2604" spans="11:20" x14ac:dyDescent="0.25">
      <c r="K2604" s="312"/>
      <c r="N2604" s="514"/>
      <c r="R2604" s="293"/>
      <c r="S2604" s="316"/>
      <c r="T2604" s="355"/>
    </row>
    <row r="2605" spans="11:20" x14ac:dyDescent="0.25">
      <c r="K2605" s="312"/>
      <c r="N2605" s="514"/>
      <c r="R2605" s="293"/>
      <c r="S2605" s="316"/>
      <c r="T2605" s="355"/>
    </row>
    <row r="2606" spans="11:20" x14ac:dyDescent="0.25">
      <c r="K2606" s="312"/>
      <c r="N2606" s="514"/>
      <c r="R2606" s="293"/>
      <c r="S2606" s="316"/>
      <c r="T2606" s="355"/>
    </row>
    <row r="2607" spans="11:20" x14ac:dyDescent="0.25">
      <c r="K2607" s="312"/>
      <c r="N2607" s="514"/>
      <c r="R2607" s="293"/>
      <c r="S2607" s="316"/>
      <c r="T2607" s="355"/>
    </row>
    <row r="2608" spans="11:20" x14ac:dyDescent="0.25">
      <c r="K2608" s="312"/>
      <c r="N2608" s="514"/>
      <c r="R2608" s="293"/>
      <c r="S2608" s="316"/>
      <c r="T2608" s="355"/>
    </row>
    <row r="2609" spans="11:20" x14ac:dyDescent="0.25">
      <c r="K2609" s="312"/>
      <c r="N2609" s="514"/>
      <c r="R2609" s="293"/>
      <c r="S2609" s="316"/>
      <c r="T2609" s="355"/>
    </row>
    <row r="2610" spans="11:20" x14ac:dyDescent="0.25">
      <c r="K2610" s="312"/>
      <c r="N2610" s="514"/>
      <c r="R2610" s="293"/>
      <c r="S2610" s="316"/>
      <c r="T2610" s="355"/>
    </row>
    <row r="2611" spans="11:20" x14ac:dyDescent="0.25">
      <c r="K2611" s="312"/>
      <c r="N2611" s="514"/>
      <c r="R2611" s="293"/>
      <c r="S2611" s="316"/>
      <c r="T2611" s="355"/>
    </row>
    <row r="2612" spans="11:20" x14ac:dyDescent="0.25">
      <c r="K2612" s="312"/>
      <c r="N2612" s="514"/>
      <c r="R2612" s="293"/>
      <c r="S2612" s="316"/>
      <c r="T2612" s="355"/>
    </row>
    <row r="2613" spans="11:20" x14ac:dyDescent="0.25">
      <c r="K2613" s="312"/>
      <c r="N2613" s="514"/>
      <c r="R2613" s="293"/>
      <c r="S2613" s="316"/>
      <c r="T2613" s="355"/>
    </row>
    <row r="2614" spans="11:20" x14ac:dyDescent="0.25">
      <c r="K2614" s="312"/>
      <c r="N2614" s="514"/>
      <c r="R2614" s="293"/>
      <c r="S2614" s="316"/>
      <c r="T2614" s="355"/>
    </row>
    <row r="2615" spans="11:20" x14ac:dyDescent="0.25">
      <c r="K2615" s="312"/>
      <c r="N2615" s="514"/>
      <c r="R2615" s="293"/>
      <c r="S2615" s="316"/>
      <c r="T2615" s="355"/>
    </row>
    <row r="2616" spans="11:20" x14ac:dyDescent="0.25">
      <c r="K2616" s="312"/>
      <c r="N2616" s="514"/>
      <c r="R2616" s="293"/>
      <c r="S2616" s="316"/>
      <c r="T2616" s="355"/>
    </row>
    <row r="2617" spans="11:20" x14ac:dyDescent="0.25">
      <c r="K2617" s="312"/>
      <c r="N2617" s="514"/>
      <c r="R2617" s="293"/>
      <c r="S2617" s="316"/>
      <c r="T2617" s="355"/>
    </row>
    <row r="2618" spans="11:20" x14ac:dyDescent="0.25">
      <c r="K2618" s="312"/>
      <c r="N2618" s="514"/>
      <c r="R2618" s="293"/>
      <c r="S2618" s="316"/>
      <c r="T2618" s="355"/>
    </row>
    <row r="2619" spans="11:20" x14ac:dyDescent="0.25">
      <c r="K2619" s="312"/>
      <c r="N2619" s="514"/>
      <c r="R2619" s="293"/>
      <c r="S2619" s="316"/>
      <c r="T2619" s="355"/>
    </row>
    <row r="2620" spans="11:20" x14ac:dyDescent="0.25">
      <c r="K2620" s="312"/>
      <c r="N2620" s="514"/>
      <c r="R2620" s="293"/>
      <c r="S2620" s="316"/>
      <c r="T2620" s="355"/>
    </row>
    <row r="2621" spans="11:20" x14ac:dyDescent="0.25">
      <c r="K2621" s="312"/>
      <c r="N2621" s="514"/>
      <c r="R2621" s="293"/>
      <c r="S2621" s="316"/>
      <c r="T2621" s="355"/>
    </row>
    <row r="2622" spans="11:20" x14ac:dyDescent="0.25">
      <c r="K2622" s="312"/>
      <c r="N2622" s="514"/>
      <c r="R2622" s="293"/>
      <c r="S2622" s="316"/>
      <c r="T2622" s="355"/>
    </row>
    <row r="2623" spans="11:20" x14ac:dyDescent="0.25">
      <c r="K2623" s="312"/>
      <c r="N2623" s="514"/>
      <c r="R2623" s="293"/>
      <c r="S2623" s="316"/>
      <c r="T2623" s="355"/>
    </row>
    <row r="2624" spans="11:20" x14ac:dyDescent="0.25">
      <c r="K2624" s="312"/>
      <c r="N2624" s="514"/>
      <c r="R2624" s="293"/>
      <c r="S2624" s="316"/>
      <c r="T2624" s="355"/>
    </row>
    <row r="2625" spans="11:20" x14ac:dyDescent="0.25">
      <c r="K2625" s="312"/>
      <c r="N2625" s="514"/>
      <c r="R2625" s="293"/>
      <c r="S2625" s="316"/>
      <c r="T2625" s="355"/>
    </row>
    <row r="2626" spans="11:20" x14ac:dyDescent="0.25">
      <c r="K2626" s="312"/>
      <c r="N2626" s="514"/>
      <c r="R2626" s="293"/>
      <c r="S2626" s="316"/>
      <c r="T2626" s="355"/>
    </row>
    <row r="2627" spans="11:20" x14ac:dyDescent="0.25">
      <c r="K2627" s="312"/>
      <c r="N2627" s="514"/>
      <c r="R2627" s="293"/>
      <c r="S2627" s="316"/>
      <c r="T2627" s="355"/>
    </row>
    <row r="2628" spans="11:20" x14ac:dyDescent="0.25">
      <c r="K2628" s="312"/>
      <c r="N2628" s="514"/>
      <c r="R2628" s="293"/>
      <c r="S2628" s="316"/>
      <c r="T2628" s="355"/>
    </row>
    <row r="2629" spans="11:20" x14ac:dyDescent="0.25">
      <c r="K2629" s="312"/>
      <c r="N2629" s="514"/>
      <c r="R2629" s="293"/>
      <c r="S2629" s="316"/>
      <c r="T2629" s="355"/>
    </row>
    <row r="2630" spans="11:20" x14ac:dyDescent="0.25">
      <c r="K2630" s="312"/>
      <c r="N2630" s="514"/>
      <c r="R2630" s="293"/>
      <c r="S2630" s="316"/>
      <c r="T2630" s="355"/>
    </row>
    <row r="2631" spans="11:20" x14ac:dyDescent="0.25">
      <c r="K2631" s="312"/>
      <c r="N2631" s="514"/>
      <c r="R2631" s="293"/>
      <c r="S2631" s="316"/>
      <c r="T2631" s="355"/>
    </row>
    <row r="2632" spans="11:20" x14ac:dyDescent="0.25">
      <c r="K2632" s="312"/>
      <c r="N2632" s="514"/>
      <c r="R2632" s="293"/>
      <c r="S2632" s="316"/>
      <c r="T2632" s="355"/>
    </row>
    <row r="2633" spans="11:20" x14ac:dyDescent="0.25">
      <c r="K2633" s="312"/>
      <c r="N2633" s="514"/>
      <c r="R2633" s="293"/>
      <c r="S2633" s="316"/>
      <c r="T2633" s="355"/>
    </row>
    <row r="2634" spans="11:20" x14ac:dyDescent="0.25">
      <c r="K2634" s="312"/>
      <c r="N2634" s="514"/>
      <c r="R2634" s="293"/>
      <c r="S2634" s="316"/>
      <c r="T2634" s="355"/>
    </row>
    <row r="2635" spans="11:20" x14ac:dyDescent="0.25">
      <c r="K2635" s="312"/>
      <c r="N2635" s="514"/>
      <c r="R2635" s="293"/>
      <c r="S2635" s="316"/>
      <c r="T2635" s="355"/>
    </row>
    <row r="2636" spans="11:20" x14ac:dyDescent="0.25">
      <c r="K2636" s="312"/>
      <c r="N2636" s="514"/>
      <c r="R2636" s="293"/>
      <c r="S2636" s="316"/>
      <c r="T2636" s="355"/>
    </row>
    <row r="2637" spans="11:20" x14ac:dyDescent="0.25">
      <c r="K2637" s="312"/>
      <c r="N2637" s="514"/>
      <c r="R2637" s="293"/>
      <c r="S2637" s="316"/>
      <c r="T2637" s="355"/>
    </row>
    <row r="2638" spans="11:20" x14ac:dyDescent="0.25">
      <c r="K2638" s="312"/>
      <c r="N2638" s="514"/>
      <c r="R2638" s="293"/>
      <c r="S2638" s="316"/>
      <c r="T2638" s="355"/>
    </row>
    <row r="2639" spans="11:20" x14ac:dyDescent="0.25">
      <c r="K2639" s="312"/>
      <c r="N2639" s="514"/>
      <c r="R2639" s="293"/>
      <c r="S2639" s="316"/>
      <c r="T2639" s="355"/>
    </row>
    <row r="2640" spans="11:20" x14ac:dyDescent="0.25">
      <c r="K2640" s="312"/>
      <c r="N2640" s="514"/>
      <c r="R2640" s="293"/>
      <c r="S2640" s="316"/>
      <c r="T2640" s="355"/>
    </row>
    <row r="2641" spans="11:20" x14ac:dyDescent="0.25">
      <c r="K2641" s="312"/>
      <c r="N2641" s="514"/>
      <c r="R2641" s="293"/>
      <c r="S2641" s="316"/>
      <c r="T2641" s="355"/>
    </row>
    <row r="2642" spans="11:20" x14ac:dyDescent="0.25">
      <c r="K2642" s="312"/>
      <c r="N2642" s="514"/>
      <c r="R2642" s="293"/>
      <c r="S2642" s="316"/>
      <c r="T2642" s="355"/>
    </row>
    <row r="2643" spans="11:20" x14ac:dyDescent="0.25">
      <c r="K2643" s="312"/>
      <c r="N2643" s="514"/>
      <c r="R2643" s="293"/>
      <c r="S2643" s="316"/>
      <c r="T2643" s="355"/>
    </row>
    <row r="2644" spans="11:20" x14ac:dyDescent="0.25">
      <c r="K2644" s="312"/>
      <c r="N2644" s="514"/>
      <c r="R2644" s="293"/>
      <c r="S2644" s="316"/>
      <c r="T2644" s="355"/>
    </row>
    <row r="2645" spans="11:20" x14ac:dyDescent="0.25">
      <c r="K2645" s="312"/>
      <c r="N2645" s="514"/>
      <c r="R2645" s="293"/>
      <c r="S2645" s="316"/>
      <c r="T2645" s="355"/>
    </row>
    <row r="2646" spans="11:20" x14ac:dyDescent="0.25">
      <c r="K2646" s="312"/>
      <c r="N2646" s="514"/>
      <c r="R2646" s="293"/>
      <c r="S2646" s="316"/>
      <c r="T2646" s="355"/>
    </row>
    <row r="2647" spans="11:20" x14ac:dyDescent="0.25">
      <c r="K2647" s="312"/>
      <c r="N2647" s="514"/>
      <c r="R2647" s="293"/>
      <c r="S2647" s="316"/>
      <c r="T2647" s="355"/>
    </row>
    <row r="2648" spans="11:20" x14ac:dyDescent="0.25">
      <c r="K2648" s="312"/>
      <c r="N2648" s="514"/>
      <c r="R2648" s="293"/>
      <c r="S2648" s="316"/>
      <c r="T2648" s="355"/>
    </row>
    <row r="2649" spans="11:20" x14ac:dyDescent="0.25">
      <c r="K2649" s="312"/>
      <c r="N2649" s="514"/>
      <c r="R2649" s="293"/>
      <c r="S2649" s="316"/>
      <c r="T2649" s="355"/>
    </row>
    <row r="2650" spans="11:20" x14ac:dyDescent="0.25">
      <c r="K2650" s="312"/>
      <c r="N2650" s="514"/>
      <c r="R2650" s="293"/>
      <c r="S2650" s="316"/>
      <c r="T2650" s="355"/>
    </row>
    <row r="2651" spans="11:20" x14ac:dyDescent="0.25">
      <c r="K2651" s="312"/>
      <c r="N2651" s="514"/>
      <c r="R2651" s="293"/>
      <c r="S2651" s="316"/>
      <c r="T2651" s="355"/>
    </row>
    <row r="2652" spans="11:20" x14ac:dyDescent="0.25">
      <c r="K2652" s="312"/>
      <c r="N2652" s="514"/>
      <c r="R2652" s="293"/>
      <c r="S2652" s="316"/>
      <c r="T2652" s="355"/>
    </row>
    <row r="2653" spans="11:20" x14ac:dyDescent="0.25">
      <c r="K2653" s="312"/>
      <c r="N2653" s="514"/>
      <c r="R2653" s="293"/>
      <c r="S2653" s="316"/>
      <c r="T2653" s="355"/>
    </row>
    <row r="2654" spans="11:20" x14ac:dyDescent="0.25">
      <c r="K2654" s="312"/>
      <c r="N2654" s="514"/>
      <c r="R2654" s="293"/>
      <c r="S2654" s="316"/>
      <c r="T2654" s="355"/>
    </row>
    <row r="2655" spans="11:20" x14ac:dyDescent="0.25">
      <c r="K2655" s="312"/>
      <c r="N2655" s="514"/>
      <c r="R2655" s="293"/>
      <c r="S2655" s="316"/>
      <c r="T2655" s="355"/>
    </row>
    <row r="2656" spans="11:20" x14ac:dyDescent="0.25">
      <c r="K2656" s="312"/>
      <c r="N2656" s="514"/>
      <c r="R2656" s="293"/>
      <c r="S2656" s="316"/>
      <c r="T2656" s="355"/>
    </row>
    <row r="2657" spans="11:20" x14ac:dyDescent="0.25">
      <c r="K2657" s="312"/>
      <c r="N2657" s="514"/>
      <c r="R2657" s="293"/>
      <c r="S2657" s="316"/>
      <c r="T2657" s="355"/>
    </row>
    <row r="2658" spans="11:20" x14ac:dyDescent="0.25">
      <c r="K2658" s="312"/>
      <c r="N2658" s="514"/>
      <c r="R2658" s="293"/>
      <c r="S2658" s="316"/>
      <c r="T2658" s="355"/>
    </row>
    <row r="2659" spans="11:20" x14ac:dyDescent="0.25">
      <c r="K2659" s="312"/>
      <c r="N2659" s="514"/>
      <c r="R2659" s="293"/>
      <c r="S2659" s="316"/>
      <c r="T2659" s="355"/>
    </row>
    <row r="2660" spans="11:20" x14ac:dyDescent="0.25">
      <c r="K2660" s="312"/>
      <c r="N2660" s="514"/>
      <c r="R2660" s="293"/>
      <c r="S2660" s="316"/>
      <c r="T2660" s="355"/>
    </row>
    <row r="2661" spans="11:20" x14ac:dyDescent="0.25">
      <c r="K2661" s="312"/>
      <c r="N2661" s="514"/>
      <c r="R2661" s="293"/>
      <c r="S2661" s="316"/>
      <c r="T2661" s="355"/>
    </row>
    <row r="2662" spans="11:20" x14ac:dyDescent="0.25">
      <c r="K2662" s="312"/>
      <c r="N2662" s="514"/>
      <c r="R2662" s="293"/>
      <c r="S2662" s="316"/>
      <c r="T2662" s="355"/>
    </row>
    <row r="2663" spans="11:20" x14ac:dyDescent="0.25">
      <c r="K2663" s="312"/>
      <c r="N2663" s="514"/>
      <c r="R2663" s="293"/>
      <c r="S2663" s="316"/>
      <c r="T2663" s="355"/>
    </row>
    <row r="2664" spans="11:20" x14ac:dyDescent="0.25">
      <c r="K2664" s="312"/>
      <c r="N2664" s="514"/>
      <c r="R2664" s="293"/>
      <c r="S2664" s="316"/>
      <c r="T2664" s="355"/>
    </row>
    <row r="2665" spans="11:20" x14ac:dyDescent="0.25">
      <c r="K2665" s="312"/>
      <c r="N2665" s="514"/>
      <c r="R2665" s="293"/>
      <c r="S2665" s="316"/>
      <c r="T2665" s="355"/>
    </row>
    <row r="2666" spans="11:20" x14ac:dyDescent="0.25">
      <c r="K2666" s="312"/>
      <c r="N2666" s="514"/>
      <c r="R2666" s="293"/>
      <c r="S2666" s="316"/>
      <c r="T2666" s="355"/>
    </row>
    <row r="2667" spans="11:20" x14ac:dyDescent="0.25">
      <c r="K2667" s="312"/>
      <c r="N2667" s="514"/>
      <c r="R2667" s="293"/>
      <c r="S2667" s="316"/>
      <c r="T2667" s="355"/>
    </row>
    <row r="2668" spans="11:20" x14ac:dyDescent="0.25">
      <c r="K2668" s="312"/>
      <c r="N2668" s="514"/>
      <c r="R2668" s="293"/>
      <c r="S2668" s="316"/>
      <c r="T2668" s="355"/>
    </row>
    <row r="2669" spans="11:20" x14ac:dyDescent="0.25">
      <c r="K2669" s="312"/>
      <c r="N2669" s="514"/>
      <c r="R2669" s="293"/>
      <c r="S2669" s="316"/>
      <c r="T2669" s="355"/>
    </row>
    <row r="2670" spans="11:20" x14ac:dyDescent="0.25">
      <c r="K2670" s="312"/>
      <c r="N2670" s="514"/>
      <c r="R2670" s="293"/>
      <c r="S2670" s="316"/>
      <c r="T2670" s="355"/>
    </row>
    <row r="2671" spans="11:20" x14ac:dyDescent="0.25">
      <c r="K2671" s="312"/>
      <c r="N2671" s="514"/>
      <c r="R2671" s="293"/>
      <c r="S2671" s="316"/>
      <c r="T2671" s="355"/>
    </row>
    <row r="2672" spans="11:20" x14ac:dyDescent="0.25">
      <c r="K2672" s="312"/>
      <c r="N2672" s="514"/>
      <c r="R2672" s="293"/>
      <c r="S2672" s="316"/>
      <c r="T2672" s="355"/>
    </row>
    <row r="2673" spans="11:20" x14ac:dyDescent="0.25">
      <c r="K2673" s="312"/>
      <c r="N2673" s="514"/>
      <c r="R2673" s="293"/>
      <c r="S2673" s="316"/>
      <c r="T2673" s="355"/>
    </row>
    <row r="2674" spans="11:20" x14ac:dyDescent="0.25">
      <c r="K2674" s="312"/>
      <c r="N2674" s="514"/>
      <c r="R2674" s="293"/>
      <c r="S2674" s="316"/>
      <c r="T2674" s="355"/>
    </row>
    <row r="2675" spans="11:20" x14ac:dyDescent="0.25">
      <c r="K2675" s="312"/>
      <c r="N2675" s="514"/>
      <c r="R2675" s="293"/>
      <c r="S2675" s="316"/>
      <c r="T2675" s="355"/>
    </row>
    <row r="2676" spans="11:20" x14ac:dyDescent="0.25">
      <c r="K2676" s="312"/>
      <c r="N2676" s="514"/>
      <c r="R2676" s="293"/>
      <c r="S2676" s="316"/>
      <c r="T2676" s="355"/>
    </row>
    <row r="2677" spans="11:20" x14ac:dyDescent="0.25">
      <c r="K2677" s="312"/>
      <c r="N2677" s="514"/>
      <c r="R2677" s="293"/>
      <c r="S2677" s="316"/>
      <c r="T2677" s="355"/>
    </row>
    <row r="2678" spans="11:20" x14ac:dyDescent="0.25">
      <c r="K2678" s="312"/>
      <c r="N2678" s="514"/>
      <c r="R2678" s="293"/>
      <c r="S2678" s="316"/>
      <c r="T2678" s="355"/>
    </row>
    <row r="2679" spans="11:20" x14ac:dyDescent="0.25">
      <c r="K2679" s="312"/>
      <c r="N2679" s="514"/>
      <c r="R2679" s="293"/>
      <c r="S2679" s="316"/>
      <c r="T2679" s="355"/>
    </row>
    <row r="2680" spans="11:20" x14ac:dyDescent="0.25">
      <c r="K2680" s="312"/>
      <c r="N2680" s="514"/>
      <c r="R2680" s="293"/>
      <c r="S2680" s="316"/>
      <c r="T2680" s="355"/>
    </row>
    <row r="2681" spans="11:20" x14ac:dyDescent="0.25">
      <c r="K2681" s="312"/>
      <c r="N2681" s="514"/>
      <c r="R2681" s="293"/>
      <c r="S2681" s="316"/>
      <c r="T2681" s="355"/>
    </row>
    <row r="2682" spans="11:20" x14ac:dyDescent="0.25">
      <c r="K2682" s="312"/>
      <c r="N2682" s="514"/>
      <c r="R2682" s="293"/>
      <c r="S2682" s="316"/>
      <c r="T2682" s="355"/>
    </row>
    <row r="2683" spans="11:20" x14ac:dyDescent="0.25">
      <c r="K2683" s="312"/>
      <c r="N2683" s="514"/>
      <c r="R2683" s="293"/>
      <c r="S2683" s="316"/>
      <c r="T2683" s="355"/>
    </row>
    <row r="2684" spans="11:20" x14ac:dyDescent="0.25">
      <c r="K2684" s="312"/>
      <c r="N2684" s="514"/>
      <c r="R2684" s="293"/>
      <c r="S2684" s="316"/>
      <c r="T2684" s="355"/>
    </row>
    <row r="2685" spans="11:20" x14ac:dyDescent="0.25">
      <c r="K2685" s="312"/>
      <c r="N2685" s="514"/>
      <c r="R2685" s="293"/>
      <c r="S2685" s="316"/>
      <c r="T2685" s="355"/>
    </row>
    <row r="2686" spans="11:20" x14ac:dyDescent="0.25">
      <c r="K2686" s="312"/>
      <c r="N2686" s="514"/>
      <c r="R2686" s="293"/>
      <c r="S2686" s="316"/>
      <c r="T2686" s="355"/>
    </row>
    <row r="2687" spans="11:20" x14ac:dyDescent="0.25">
      <c r="K2687" s="312"/>
      <c r="N2687" s="514"/>
      <c r="R2687" s="293"/>
      <c r="S2687" s="316"/>
      <c r="T2687" s="355"/>
    </row>
    <row r="2688" spans="11:20" x14ac:dyDescent="0.25">
      <c r="K2688" s="312"/>
      <c r="N2688" s="514"/>
      <c r="R2688" s="293"/>
      <c r="S2688" s="316"/>
      <c r="T2688" s="355"/>
    </row>
    <row r="2689" spans="11:20" x14ac:dyDescent="0.25">
      <c r="K2689" s="312"/>
      <c r="N2689" s="514"/>
      <c r="R2689" s="293"/>
      <c r="S2689" s="316"/>
      <c r="T2689" s="355"/>
    </row>
    <row r="2690" spans="11:20" x14ac:dyDescent="0.25">
      <c r="K2690" s="312"/>
      <c r="N2690" s="514"/>
      <c r="R2690" s="293"/>
      <c r="S2690" s="316"/>
      <c r="T2690" s="355"/>
    </row>
    <row r="2691" spans="11:20" x14ac:dyDescent="0.25">
      <c r="K2691" s="312"/>
      <c r="N2691" s="514"/>
      <c r="R2691" s="293"/>
      <c r="S2691" s="316"/>
      <c r="T2691" s="355"/>
    </row>
    <row r="2692" spans="11:20" x14ac:dyDescent="0.25">
      <c r="K2692" s="312"/>
      <c r="N2692" s="514"/>
      <c r="R2692" s="293"/>
      <c r="S2692" s="316"/>
      <c r="T2692" s="355"/>
    </row>
    <row r="2693" spans="11:20" x14ac:dyDescent="0.25">
      <c r="K2693" s="312"/>
      <c r="N2693" s="514"/>
      <c r="R2693" s="293"/>
      <c r="S2693" s="316"/>
      <c r="T2693" s="355"/>
    </row>
    <row r="2694" spans="11:20" x14ac:dyDescent="0.25">
      <c r="K2694" s="312"/>
      <c r="N2694" s="514"/>
      <c r="R2694" s="293"/>
      <c r="S2694" s="316"/>
      <c r="T2694" s="355"/>
    </row>
    <row r="2695" spans="11:20" x14ac:dyDescent="0.25">
      <c r="K2695" s="312"/>
      <c r="N2695" s="514"/>
      <c r="R2695" s="293"/>
      <c r="S2695" s="316"/>
      <c r="T2695" s="355"/>
    </row>
    <row r="2696" spans="11:20" x14ac:dyDescent="0.25">
      <c r="K2696" s="312"/>
      <c r="N2696" s="514"/>
      <c r="R2696" s="293"/>
      <c r="S2696" s="316"/>
      <c r="T2696" s="355"/>
    </row>
    <row r="2697" spans="11:20" x14ac:dyDescent="0.25">
      <c r="K2697" s="312"/>
      <c r="N2697" s="514"/>
      <c r="R2697" s="293"/>
      <c r="S2697" s="316"/>
      <c r="T2697" s="355"/>
    </row>
    <row r="2698" spans="11:20" x14ac:dyDescent="0.25">
      <c r="K2698" s="312"/>
      <c r="N2698" s="514"/>
      <c r="R2698" s="293"/>
      <c r="S2698" s="316"/>
      <c r="T2698" s="355"/>
    </row>
    <row r="2699" spans="11:20" x14ac:dyDescent="0.25">
      <c r="K2699" s="312"/>
      <c r="N2699" s="514"/>
      <c r="R2699" s="293"/>
      <c r="S2699" s="316"/>
      <c r="T2699" s="355"/>
    </row>
    <row r="2700" spans="11:20" x14ac:dyDescent="0.25">
      <c r="K2700" s="312"/>
      <c r="N2700" s="514"/>
      <c r="R2700" s="293"/>
      <c r="S2700" s="316"/>
      <c r="T2700" s="355"/>
    </row>
    <row r="2701" spans="11:20" x14ac:dyDescent="0.25">
      <c r="K2701" s="312"/>
      <c r="N2701" s="514"/>
      <c r="R2701" s="293"/>
      <c r="S2701" s="316"/>
      <c r="T2701" s="355"/>
    </row>
    <row r="2702" spans="11:20" x14ac:dyDescent="0.25">
      <c r="K2702" s="312"/>
      <c r="N2702" s="514"/>
      <c r="R2702" s="293"/>
      <c r="S2702" s="316"/>
      <c r="T2702" s="355"/>
    </row>
    <row r="2703" spans="11:20" x14ac:dyDescent="0.25">
      <c r="K2703" s="312"/>
      <c r="N2703" s="514"/>
      <c r="R2703" s="293"/>
      <c r="S2703" s="316"/>
      <c r="T2703" s="355"/>
    </row>
    <row r="2704" spans="11:20" x14ac:dyDescent="0.25">
      <c r="K2704" s="312"/>
      <c r="N2704" s="514"/>
      <c r="R2704" s="293"/>
      <c r="S2704" s="316"/>
      <c r="T2704" s="355"/>
    </row>
    <row r="2705" spans="11:20" x14ac:dyDescent="0.25">
      <c r="K2705" s="312"/>
      <c r="N2705" s="514"/>
      <c r="R2705" s="293"/>
      <c r="S2705" s="316"/>
      <c r="T2705" s="355"/>
    </row>
    <row r="2706" spans="11:20" x14ac:dyDescent="0.25">
      <c r="K2706" s="312"/>
      <c r="N2706" s="514"/>
      <c r="R2706" s="293"/>
      <c r="S2706" s="316"/>
      <c r="T2706" s="355"/>
    </row>
    <row r="2707" spans="11:20" x14ac:dyDescent="0.25">
      <c r="K2707" s="312"/>
      <c r="N2707" s="514"/>
      <c r="R2707" s="293"/>
      <c r="S2707" s="316"/>
      <c r="T2707" s="355"/>
    </row>
    <row r="2708" spans="11:20" x14ac:dyDescent="0.25">
      <c r="K2708" s="312"/>
      <c r="N2708" s="514"/>
      <c r="R2708" s="293"/>
      <c r="S2708" s="316"/>
      <c r="T2708" s="355"/>
    </row>
    <row r="2709" spans="11:20" x14ac:dyDescent="0.25">
      <c r="K2709" s="312"/>
      <c r="N2709" s="514"/>
      <c r="R2709" s="293"/>
      <c r="S2709" s="316"/>
      <c r="T2709" s="355"/>
    </row>
    <row r="2710" spans="11:20" x14ac:dyDescent="0.25">
      <c r="K2710" s="312"/>
      <c r="N2710" s="514"/>
      <c r="R2710" s="293"/>
      <c r="S2710" s="316"/>
      <c r="T2710" s="355"/>
    </row>
    <row r="2711" spans="11:20" x14ac:dyDescent="0.25">
      <c r="K2711" s="312"/>
      <c r="N2711" s="514"/>
      <c r="R2711" s="293"/>
      <c r="S2711" s="316"/>
      <c r="T2711" s="355"/>
    </row>
    <row r="2712" spans="11:20" x14ac:dyDescent="0.25">
      <c r="K2712" s="312"/>
      <c r="N2712" s="514"/>
      <c r="R2712" s="293"/>
      <c r="S2712" s="316"/>
      <c r="T2712" s="355"/>
    </row>
    <row r="2713" spans="11:20" x14ac:dyDescent="0.25">
      <c r="K2713" s="312"/>
      <c r="N2713" s="514"/>
      <c r="R2713" s="293"/>
      <c r="S2713" s="316"/>
      <c r="T2713" s="355"/>
    </row>
    <row r="2714" spans="11:20" x14ac:dyDescent="0.25">
      <c r="K2714" s="312"/>
      <c r="N2714" s="514"/>
      <c r="R2714" s="293"/>
      <c r="S2714" s="316"/>
      <c r="T2714" s="355"/>
    </row>
    <row r="2715" spans="11:20" x14ac:dyDescent="0.25">
      <c r="K2715" s="312"/>
      <c r="N2715" s="514"/>
      <c r="R2715" s="293"/>
      <c r="S2715" s="316"/>
      <c r="T2715" s="355"/>
    </row>
    <row r="2716" spans="11:20" x14ac:dyDescent="0.25">
      <c r="K2716" s="312"/>
      <c r="N2716" s="514"/>
      <c r="R2716" s="293"/>
      <c r="S2716" s="316"/>
      <c r="T2716" s="355"/>
    </row>
    <row r="2717" spans="11:20" x14ac:dyDescent="0.25">
      <c r="K2717" s="312"/>
      <c r="N2717" s="514"/>
      <c r="R2717" s="293"/>
      <c r="S2717" s="316"/>
      <c r="T2717" s="355"/>
    </row>
    <row r="2718" spans="11:20" x14ac:dyDescent="0.25">
      <c r="K2718" s="312"/>
      <c r="N2718" s="514"/>
      <c r="R2718" s="293"/>
      <c r="S2718" s="316"/>
      <c r="T2718" s="355"/>
    </row>
    <row r="2719" spans="11:20" x14ac:dyDescent="0.25">
      <c r="K2719" s="312"/>
      <c r="N2719" s="514"/>
      <c r="R2719" s="293"/>
      <c r="S2719" s="316"/>
      <c r="T2719" s="355"/>
    </row>
    <row r="2720" spans="11:20" x14ac:dyDescent="0.25">
      <c r="K2720" s="312"/>
      <c r="N2720" s="514"/>
      <c r="R2720" s="293"/>
      <c r="S2720" s="316"/>
      <c r="T2720" s="355"/>
    </row>
    <row r="2721" spans="11:20" x14ac:dyDescent="0.25">
      <c r="K2721" s="312"/>
      <c r="N2721" s="514"/>
      <c r="R2721" s="293"/>
      <c r="S2721" s="316"/>
      <c r="T2721" s="355"/>
    </row>
    <row r="2722" spans="11:20" x14ac:dyDescent="0.25">
      <c r="K2722" s="312"/>
      <c r="N2722" s="514"/>
      <c r="R2722" s="293"/>
      <c r="S2722" s="316"/>
      <c r="T2722" s="355"/>
    </row>
    <row r="2723" spans="11:20" x14ac:dyDescent="0.25">
      <c r="K2723" s="312"/>
      <c r="N2723" s="514"/>
      <c r="R2723" s="293"/>
      <c r="S2723" s="316"/>
      <c r="T2723" s="355"/>
    </row>
    <row r="2724" spans="11:20" x14ac:dyDescent="0.25">
      <c r="K2724" s="312"/>
      <c r="N2724" s="514"/>
      <c r="R2724" s="293"/>
      <c r="S2724" s="316"/>
      <c r="T2724" s="355"/>
    </row>
    <row r="2725" spans="11:20" x14ac:dyDescent="0.25">
      <c r="K2725" s="312"/>
      <c r="N2725" s="514"/>
      <c r="R2725" s="293"/>
      <c r="S2725" s="316"/>
      <c r="T2725" s="355"/>
    </row>
    <row r="2726" spans="11:20" x14ac:dyDescent="0.25">
      <c r="K2726" s="312"/>
      <c r="N2726" s="514"/>
      <c r="R2726" s="293"/>
      <c r="S2726" s="316"/>
      <c r="T2726" s="355"/>
    </row>
    <row r="2727" spans="11:20" x14ac:dyDescent="0.25">
      <c r="K2727" s="312"/>
      <c r="N2727" s="514"/>
      <c r="R2727" s="293"/>
      <c r="S2727" s="316"/>
      <c r="T2727" s="355"/>
    </row>
    <row r="2728" spans="11:20" x14ac:dyDescent="0.25">
      <c r="K2728" s="312"/>
      <c r="N2728" s="514"/>
      <c r="R2728" s="293"/>
      <c r="S2728" s="316"/>
      <c r="T2728" s="355"/>
    </row>
    <row r="2729" spans="11:20" x14ac:dyDescent="0.25">
      <c r="K2729" s="312"/>
      <c r="N2729" s="514"/>
      <c r="R2729" s="293"/>
      <c r="S2729" s="316"/>
      <c r="T2729" s="355"/>
    </row>
    <row r="2730" spans="11:20" x14ac:dyDescent="0.25">
      <c r="K2730" s="312"/>
      <c r="N2730" s="514"/>
      <c r="R2730" s="293"/>
      <c r="S2730" s="316"/>
      <c r="T2730" s="355"/>
    </row>
    <row r="2731" spans="11:20" x14ac:dyDescent="0.25">
      <c r="K2731" s="312"/>
      <c r="N2731" s="514"/>
      <c r="R2731" s="293"/>
      <c r="S2731" s="316"/>
      <c r="T2731" s="355"/>
    </row>
    <row r="2732" spans="11:20" x14ac:dyDescent="0.25">
      <c r="K2732" s="312"/>
      <c r="N2732" s="514"/>
      <c r="R2732" s="293"/>
      <c r="S2732" s="316"/>
      <c r="T2732" s="355"/>
    </row>
    <row r="2733" spans="11:20" x14ac:dyDescent="0.25">
      <c r="K2733" s="312"/>
      <c r="N2733" s="514"/>
      <c r="R2733" s="293"/>
      <c r="S2733" s="316"/>
      <c r="T2733" s="355"/>
    </row>
    <row r="2734" spans="11:20" x14ac:dyDescent="0.25">
      <c r="K2734" s="312"/>
      <c r="N2734" s="514"/>
      <c r="R2734" s="293"/>
      <c r="S2734" s="316"/>
      <c r="T2734" s="355"/>
    </row>
    <row r="2735" spans="11:20" x14ac:dyDescent="0.25">
      <c r="K2735" s="312"/>
      <c r="N2735" s="514"/>
      <c r="R2735" s="293"/>
      <c r="S2735" s="316"/>
      <c r="T2735" s="355"/>
    </row>
    <row r="2736" spans="11:20" x14ac:dyDescent="0.25">
      <c r="K2736" s="312"/>
      <c r="N2736" s="514"/>
      <c r="R2736" s="293"/>
      <c r="S2736" s="316"/>
      <c r="T2736" s="355"/>
    </row>
    <row r="2737" spans="11:20" x14ac:dyDescent="0.25">
      <c r="K2737" s="312"/>
      <c r="N2737" s="514"/>
      <c r="R2737" s="293"/>
      <c r="S2737" s="316"/>
      <c r="T2737" s="355"/>
    </row>
    <row r="2738" spans="11:20" x14ac:dyDescent="0.25">
      <c r="K2738" s="312"/>
      <c r="N2738" s="514"/>
      <c r="R2738" s="293"/>
      <c r="S2738" s="316"/>
      <c r="T2738" s="355"/>
    </row>
    <row r="2739" spans="11:20" x14ac:dyDescent="0.25">
      <c r="K2739" s="312"/>
      <c r="N2739" s="514"/>
      <c r="R2739" s="293"/>
      <c r="S2739" s="316"/>
      <c r="T2739" s="355"/>
    </row>
    <row r="2740" spans="11:20" x14ac:dyDescent="0.25">
      <c r="K2740" s="312"/>
      <c r="N2740" s="514"/>
      <c r="R2740" s="293"/>
      <c r="S2740" s="316"/>
      <c r="T2740" s="355"/>
    </row>
    <row r="2741" spans="11:20" x14ac:dyDescent="0.25">
      <c r="K2741" s="312"/>
      <c r="N2741" s="514"/>
      <c r="R2741" s="293"/>
      <c r="S2741" s="316"/>
      <c r="T2741" s="355"/>
    </row>
    <row r="2742" spans="11:20" x14ac:dyDescent="0.25">
      <c r="K2742" s="312"/>
      <c r="N2742" s="514"/>
      <c r="R2742" s="293"/>
      <c r="S2742" s="316"/>
      <c r="T2742" s="355"/>
    </row>
    <row r="2743" spans="11:20" x14ac:dyDescent="0.25">
      <c r="K2743" s="312"/>
      <c r="N2743" s="514"/>
      <c r="R2743" s="293"/>
      <c r="S2743" s="316"/>
      <c r="T2743" s="355"/>
    </row>
    <row r="2744" spans="11:20" x14ac:dyDescent="0.25">
      <c r="K2744" s="312"/>
      <c r="N2744" s="514"/>
      <c r="R2744" s="293"/>
      <c r="S2744" s="316"/>
      <c r="T2744" s="355"/>
    </row>
    <row r="2745" spans="11:20" x14ac:dyDescent="0.25">
      <c r="K2745" s="312"/>
      <c r="N2745" s="514"/>
      <c r="R2745" s="293"/>
      <c r="S2745" s="316"/>
      <c r="T2745" s="355"/>
    </row>
    <row r="2746" spans="11:20" x14ac:dyDescent="0.25">
      <c r="K2746" s="312"/>
      <c r="N2746" s="514"/>
      <c r="R2746" s="293"/>
      <c r="S2746" s="316"/>
      <c r="T2746" s="355"/>
    </row>
    <row r="2747" spans="11:20" x14ac:dyDescent="0.25">
      <c r="K2747" s="312"/>
      <c r="N2747" s="514"/>
      <c r="R2747" s="293"/>
      <c r="S2747" s="316"/>
      <c r="T2747" s="355"/>
    </row>
    <row r="2748" spans="11:20" x14ac:dyDescent="0.25">
      <c r="K2748" s="312"/>
      <c r="N2748" s="514"/>
      <c r="R2748" s="293"/>
      <c r="S2748" s="316"/>
      <c r="T2748" s="355"/>
    </row>
    <row r="2749" spans="11:20" x14ac:dyDescent="0.25">
      <c r="K2749" s="312"/>
      <c r="N2749" s="514"/>
      <c r="R2749" s="293"/>
      <c r="S2749" s="316"/>
      <c r="T2749" s="355"/>
    </row>
    <row r="2750" spans="11:20" x14ac:dyDescent="0.25">
      <c r="K2750" s="312"/>
      <c r="N2750" s="514"/>
      <c r="R2750" s="293"/>
      <c r="S2750" s="316"/>
      <c r="T2750" s="355"/>
    </row>
    <row r="2751" spans="11:20" x14ac:dyDescent="0.25">
      <c r="K2751" s="312"/>
      <c r="N2751" s="514"/>
      <c r="R2751" s="293"/>
      <c r="S2751" s="316"/>
      <c r="T2751" s="355"/>
    </row>
    <row r="2752" spans="11:20" x14ac:dyDescent="0.25">
      <c r="K2752" s="312"/>
      <c r="N2752" s="514"/>
      <c r="R2752" s="293"/>
      <c r="S2752" s="316"/>
      <c r="T2752" s="355"/>
    </row>
    <row r="2753" spans="11:20" x14ac:dyDescent="0.25">
      <c r="K2753" s="312"/>
      <c r="N2753" s="514"/>
      <c r="R2753" s="293"/>
      <c r="S2753" s="316"/>
      <c r="T2753" s="355"/>
    </row>
    <row r="2754" spans="11:20" x14ac:dyDescent="0.25">
      <c r="K2754" s="312"/>
      <c r="N2754" s="514"/>
      <c r="R2754" s="293"/>
      <c r="S2754" s="316"/>
      <c r="T2754" s="355"/>
    </row>
    <row r="2755" spans="11:20" x14ac:dyDescent="0.25">
      <c r="K2755" s="312"/>
      <c r="N2755" s="514"/>
      <c r="R2755" s="293"/>
      <c r="S2755" s="316"/>
      <c r="T2755" s="355"/>
    </row>
    <row r="2756" spans="11:20" x14ac:dyDescent="0.25">
      <c r="K2756" s="312"/>
      <c r="N2756" s="514"/>
      <c r="R2756" s="293"/>
      <c r="S2756" s="316"/>
      <c r="T2756" s="355"/>
    </row>
    <row r="2757" spans="11:20" x14ac:dyDescent="0.25">
      <c r="K2757" s="312"/>
      <c r="N2757" s="514"/>
      <c r="R2757" s="293"/>
      <c r="S2757" s="316"/>
      <c r="T2757" s="355"/>
    </row>
    <row r="2758" spans="11:20" x14ac:dyDescent="0.25">
      <c r="K2758" s="312"/>
      <c r="N2758" s="514"/>
      <c r="R2758" s="293"/>
      <c r="S2758" s="316"/>
      <c r="T2758" s="355"/>
    </row>
    <row r="2759" spans="11:20" x14ac:dyDescent="0.25">
      <c r="K2759" s="312"/>
      <c r="N2759" s="514"/>
      <c r="R2759" s="293"/>
      <c r="S2759" s="316"/>
      <c r="T2759" s="355"/>
    </row>
    <row r="2760" spans="11:20" x14ac:dyDescent="0.25">
      <c r="K2760" s="312"/>
      <c r="N2760" s="514"/>
      <c r="R2760" s="293"/>
      <c r="S2760" s="316"/>
      <c r="T2760" s="355"/>
    </row>
    <row r="2761" spans="11:20" x14ac:dyDescent="0.25">
      <c r="K2761" s="312"/>
      <c r="N2761" s="514"/>
      <c r="R2761" s="293"/>
      <c r="S2761" s="316"/>
      <c r="T2761" s="355"/>
    </row>
    <row r="2762" spans="11:20" x14ac:dyDescent="0.25">
      <c r="K2762" s="312"/>
      <c r="N2762" s="514"/>
      <c r="R2762" s="293"/>
      <c r="S2762" s="316"/>
      <c r="T2762" s="355"/>
    </row>
    <row r="2763" spans="11:20" x14ac:dyDescent="0.25">
      <c r="K2763" s="312"/>
      <c r="N2763" s="514"/>
      <c r="R2763" s="293"/>
      <c r="S2763" s="316"/>
      <c r="T2763" s="355"/>
    </row>
    <row r="2764" spans="11:20" x14ac:dyDescent="0.25">
      <c r="K2764" s="312"/>
      <c r="N2764" s="514"/>
      <c r="R2764" s="293"/>
      <c r="S2764" s="316"/>
      <c r="T2764" s="355"/>
    </row>
    <row r="2765" spans="11:20" x14ac:dyDescent="0.25">
      <c r="K2765" s="312"/>
      <c r="N2765" s="514"/>
      <c r="R2765" s="293"/>
      <c r="S2765" s="316"/>
      <c r="T2765" s="355"/>
    </row>
    <row r="2766" spans="11:20" x14ac:dyDescent="0.25">
      <c r="K2766" s="312"/>
      <c r="N2766" s="514"/>
      <c r="R2766" s="293"/>
      <c r="S2766" s="316"/>
      <c r="T2766" s="355"/>
    </row>
    <row r="2767" spans="11:20" x14ac:dyDescent="0.25">
      <c r="K2767" s="312"/>
      <c r="N2767" s="514"/>
      <c r="R2767" s="293"/>
      <c r="S2767" s="316"/>
      <c r="T2767" s="355"/>
    </row>
    <row r="2768" spans="11:20" x14ac:dyDescent="0.25">
      <c r="K2768" s="312"/>
      <c r="N2768" s="514"/>
      <c r="R2768" s="293"/>
      <c r="S2768" s="316"/>
      <c r="T2768" s="355"/>
    </row>
    <row r="2769" spans="11:20" x14ac:dyDescent="0.25">
      <c r="K2769" s="312"/>
      <c r="N2769" s="514"/>
      <c r="R2769" s="293"/>
      <c r="S2769" s="316"/>
      <c r="T2769" s="355"/>
    </row>
    <row r="2770" spans="11:20" x14ac:dyDescent="0.25">
      <c r="K2770" s="312"/>
      <c r="N2770" s="514"/>
      <c r="R2770" s="293"/>
      <c r="S2770" s="316"/>
      <c r="T2770" s="355"/>
    </row>
    <row r="2771" spans="11:20" x14ac:dyDescent="0.25">
      <c r="K2771" s="312"/>
      <c r="N2771" s="514"/>
      <c r="R2771" s="293"/>
      <c r="S2771" s="316"/>
      <c r="T2771" s="355"/>
    </row>
    <row r="2772" spans="11:20" x14ac:dyDescent="0.25">
      <c r="K2772" s="312"/>
      <c r="N2772" s="514"/>
      <c r="R2772" s="293"/>
      <c r="S2772" s="316"/>
      <c r="T2772" s="355"/>
    </row>
    <row r="2773" spans="11:20" x14ac:dyDescent="0.25">
      <c r="K2773" s="312"/>
      <c r="N2773" s="514"/>
      <c r="R2773" s="293"/>
      <c r="S2773" s="316"/>
      <c r="T2773" s="355"/>
    </row>
    <row r="2774" spans="11:20" x14ac:dyDescent="0.25">
      <c r="K2774" s="312"/>
      <c r="N2774" s="514"/>
      <c r="R2774" s="293"/>
      <c r="S2774" s="316"/>
      <c r="T2774" s="355"/>
    </row>
    <row r="2775" spans="11:20" x14ac:dyDescent="0.25">
      <c r="K2775" s="312"/>
      <c r="N2775" s="514"/>
      <c r="R2775" s="293"/>
      <c r="S2775" s="316"/>
      <c r="T2775" s="355"/>
    </row>
    <row r="2776" spans="11:20" x14ac:dyDescent="0.25">
      <c r="K2776" s="312"/>
      <c r="N2776" s="514"/>
      <c r="R2776" s="293"/>
      <c r="S2776" s="316"/>
      <c r="T2776" s="355"/>
    </row>
    <row r="2777" spans="11:20" x14ac:dyDescent="0.25">
      <c r="K2777" s="312"/>
      <c r="N2777" s="514"/>
      <c r="R2777" s="293"/>
      <c r="S2777" s="316"/>
      <c r="T2777" s="355"/>
    </row>
    <row r="2778" spans="11:20" x14ac:dyDescent="0.25">
      <c r="K2778" s="312"/>
      <c r="N2778" s="514"/>
      <c r="R2778" s="293"/>
      <c r="S2778" s="316"/>
      <c r="T2778" s="355"/>
    </row>
    <row r="2779" spans="11:20" x14ac:dyDescent="0.25">
      <c r="K2779" s="312"/>
      <c r="N2779" s="514"/>
      <c r="R2779" s="293"/>
      <c r="S2779" s="316"/>
      <c r="T2779" s="355"/>
    </row>
    <row r="2780" spans="11:20" x14ac:dyDescent="0.25">
      <c r="K2780" s="312"/>
      <c r="N2780" s="514"/>
      <c r="R2780" s="293"/>
      <c r="S2780" s="316"/>
      <c r="T2780" s="355"/>
    </row>
    <row r="2781" spans="11:20" x14ac:dyDescent="0.25">
      <c r="K2781" s="312"/>
      <c r="N2781" s="514"/>
      <c r="R2781" s="293"/>
      <c r="S2781" s="316"/>
      <c r="T2781" s="355"/>
    </row>
    <row r="2782" spans="11:20" x14ac:dyDescent="0.25">
      <c r="K2782" s="312"/>
      <c r="N2782" s="514"/>
      <c r="R2782" s="293"/>
      <c r="S2782" s="316"/>
      <c r="T2782" s="355"/>
    </row>
    <row r="2783" spans="11:20" x14ac:dyDescent="0.25">
      <c r="K2783" s="312"/>
      <c r="N2783" s="514"/>
      <c r="R2783" s="293"/>
      <c r="S2783" s="316"/>
      <c r="T2783" s="355"/>
    </row>
    <row r="2784" spans="11:20" x14ac:dyDescent="0.25">
      <c r="K2784" s="312"/>
      <c r="N2784" s="514"/>
      <c r="R2784" s="293"/>
      <c r="S2784" s="316"/>
      <c r="T2784" s="355"/>
    </row>
    <row r="2785" spans="11:20" x14ac:dyDescent="0.25">
      <c r="K2785" s="312"/>
      <c r="N2785" s="514"/>
      <c r="R2785" s="293"/>
      <c r="S2785" s="316"/>
      <c r="T2785" s="355"/>
    </row>
    <row r="2786" spans="11:20" x14ac:dyDescent="0.25">
      <c r="K2786" s="312"/>
      <c r="N2786" s="514"/>
      <c r="R2786" s="293"/>
      <c r="S2786" s="316"/>
      <c r="T2786" s="355"/>
    </row>
    <row r="2787" spans="11:20" x14ac:dyDescent="0.25">
      <c r="K2787" s="312"/>
      <c r="N2787" s="514"/>
      <c r="R2787" s="293"/>
      <c r="S2787" s="316"/>
      <c r="T2787" s="355"/>
    </row>
    <row r="2788" spans="11:20" x14ac:dyDescent="0.25">
      <c r="K2788" s="312"/>
      <c r="N2788" s="514"/>
      <c r="R2788" s="293"/>
      <c r="S2788" s="316"/>
      <c r="T2788" s="355"/>
    </row>
    <row r="2789" spans="11:20" x14ac:dyDescent="0.25">
      <c r="K2789" s="312"/>
      <c r="N2789" s="514"/>
      <c r="R2789" s="293"/>
      <c r="S2789" s="316"/>
      <c r="T2789" s="355"/>
    </row>
    <row r="2790" spans="11:20" x14ac:dyDescent="0.25">
      <c r="K2790" s="312"/>
      <c r="N2790" s="514"/>
      <c r="R2790" s="293"/>
      <c r="S2790" s="316"/>
      <c r="T2790" s="355"/>
    </row>
    <row r="2791" spans="11:20" x14ac:dyDescent="0.25">
      <c r="K2791" s="312"/>
      <c r="N2791" s="514"/>
      <c r="R2791" s="293"/>
      <c r="S2791" s="316"/>
      <c r="T2791" s="355"/>
    </row>
    <row r="2792" spans="11:20" x14ac:dyDescent="0.25">
      <c r="K2792" s="312"/>
      <c r="N2792" s="514"/>
      <c r="R2792" s="293"/>
      <c r="S2792" s="316"/>
      <c r="T2792" s="355"/>
    </row>
    <row r="2793" spans="11:20" x14ac:dyDescent="0.25">
      <c r="K2793" s="312"/>
      <c r="N2793" s="514"/>
      <c r="R2793" s="293"/>
      <c r="S2793" s="316"/>
      <c r="T2793" s="355"/>
    </row>
    <row r="2794" spans="11:20" x14ac:dyDescent="0.25">
      <c r="K2794" s="312"/>
      <c r="N2794" s="514"/>
      <c r="R2794" s="293"/>
      <c r="S2794" s="316"/>
      <c r="T2794" s="355"/>
    </row>
    <row r="2795" spans="11:20" x14ac:dyDescent="0.25">
      <c r="K2795" s="312"/>
      <c r="N2795" s="514"/>
      <c r="R2795" s="293"/>
      <c r="S2795" s="316"/>
      <c r="T2795" s="355"/>
    </row>
    <row r="2796" spans="11:20" x14ac:dyDescent="0.25">
      <c r="K2796" s="312"/>
      <c r="N2796" s="514"/>
      <c r="R2796" s="293"/>
      <c r="S2796" s="316"/>
      <c r="T2796" s="355"/>
    </row>
    <row r="2797" spans="11:20" x14ac:dyDescent="0.25">
      <c r="K2797" s="312"/>
      <c r="N2797" s="514"/>
      <c r="R2797" s="293"/>
      <c r="S2797" s="316"/>
      <c r="T2797" s="355"/>
    </row>
    <row r="2798" spans="11:20" x14ac:dyDescent="0.25">
      <c r="K2798" s="312"/>
      <c r="N2798" s="514"/>
      <c r="R2798" s="293"/>
      <c r="S2798" s="316"/>
      <c r="T2798" s="355"/>
    </row>
    <row r="2799" spans="11:20" x14ac:dyDescent="0.25">
      <c r="K2799" s="312"/>
      <c r="N2799" s="514"/>
      <c r="R2799" s="293"/>
      <c r="S2799" s="316"/>
      <c r="T2799" s="355"/>
    </row>
    <row r="2800" spans="11:20" x14ac:dyDescent="0.25">
      <c r="K2800" s="312"/>
      <c r="N2800" s="514"/>
      <c r="R2800" s="293"/>
      <c r="S2800" s="316"/>
      <c r="T2800" s="355"/>
    </row>
    <row r="2801" spans="11:20" x14ac:dyDescent="0.25">
      <c r="K2801" s="312"/>
      <c r="N2801" s="514"/>
      <c r="R2801" s="293"/>
      <c r="S2801" s="316"/>
      <c r="T2801" s="355"/>
    </row>
    <row r="2802" spans="11:20" x14ac:dyDescent="0.25">
      <c r="K2802" s="312"/>
      <c r="N2802" s="514"/>
      <c r="R2802" s="293"/>
      <c r="S2802" s="316"/>
      <c r="T2802" s="355"/>
    </row>
    <row r="2803" spans="11:20" x14ac:dyDescent="0.25">
      <c r="K2803" s="312"/>
      <c r="N2803" s="514"/>
      <c r="R2803" s="293"/>
      <c r="S2803" s="316"/>
      <c r="T2803" s="355"/>
    </row>
    <row r="2804" spans="11:20" x14ac:dyDescent="0.25">
      <c r="K2804" s="312"/>
      <c r="N2804" s="514"/>
      <c r="R2804" s="293"/>
      <c r="S2804" s="316"/>
      <c r="T2804" s="355"/>
    </row>
    <row r="2805" spans="11:20" x14ac:dyDescent="0.25">
      <c r="K2805" s="312"/>
      <c r="N2805" s="514"/>
      <c r="R2805" s="293"/>
      <c r="S2805" s="316"/>
      <c r="T2805" s="355"/>
    </row>
    <row r="2806" spans="11:20" x14ac:dyDescent="0.25">
      <c r="K2806" s="312"/>
      <c r="N2806" s="514"/>
      <c r="R2806" s="293"/>
      <c r="S2806" s="316"/>
      <c r="T2806" s="355"/>
    </row>
    <row r="2807" spans="11:20" x14ac:dyDescent="0.25">
      <c r="K2807" s="312"/>
      <c r="N2807" s="514"/>
      <c r="R2807" s="293"/>
      <c r="S2807" s="316"/>
      <c r="T2807" s="355"/>
    </row>
    <row r="2808" spans="11:20" x14ac:dyDescent="0.25">
      <c r="K2808" s="312"/>
      <c r="N2808" s="514"/>
      <c r="R2808" s="293"/>
      <c r="S2808" s="316"/>
      <c r="T2808" s="355"/>
    </row>
    <row r="2809" spans="11:20" x14ac:dyDescent="0.25">
      <c r="K2809" s="312"/>
      <c r="N2809" s="514"/>
      <c r="R2809" s="293"/>
      <c r="S2809" s="316"/>
      <c r="T2809" s="355"/>
    </row>
    <row r="2810" spans="11:20" x14ac:dyDescent="0.25">
      <c r="K2810" s="312"/>
      <c r="N2810" s="514"/>
      <c r="R2810" s="293"/>
      <c r="S2810" s="316"/>
      <c r="T2810" s="355"/>
    </row>
    <row r="2811" spans="11:20" x14ac:dyDescent="0.25">
      <c r="K2811" s="312"/>
      <c r="N2811" s="514"/>
      <c r="R2811" s="293"/>
      <c r="S2811" s="316"/>
      <c r="T2811" s="355"/>
    </row>
    <row r="2812" spans="11:20" x14ac:dyDescent="0.25">
      <c r="K2812" s="312"/>
      <c r="N2812" s="514"/>
      <c r="R2812" s="293"/>
      <c r="S2812" s="316"/>
      <c r="T2812" s="355"/>
    </row>
    <row r="2813" spans="11:20" x14ac:dyDescent="0.25">
      <c r="K2813" s="312"/>
      <c r="N2813" s="514"/>
      <c r="R2813" s="293"/>
      <c r="S2813" s="316"/>
      <c r="T2813" s="355"/>
    </row>
    <row r="2814" spans="11:20" x14ac:dyDescent="0.25">
      <c r="K2814" s="312"/>
      <c r="N2814" s="514"/>
      <c r="R2814" s="293"/>
      <c r="S2814" s="316"/>
      <c r="T2814" s="355"/>
    </row>
    <row r="2815" spans="11:20" x14ac:dyDescent="0.25">
      <c r="K2815" s="312"/>
      <c r="N2815" s="514"/>
      <c r="R2815" s="293"/>
      <c r="S2815" s="316"/>
      <c r="T2815" s="355"/>
    </row>
    <row r="2816" spans="11:20" x14ac:dyDescent="0.25">
      <c r="K2816" s="312"/>
      <c r="N2816" s="514"/>
      <c r="R2816" s="293"/>
      <c r="S2816" s="316"/>
      <c r="T2816" s="355"/>
    </row>
    <row r="2817" spans="11:20" x14ac:dyDescent="0.25">
      <c r="K2817" s="312"/>
      <c r="N2817" s="514"/>
      <c r="R2817" s="293"/>
      <c r="S2817" s="316"/>
      <c r="T2817" s="355"/>
    </row>
    <row r="2818" spans="11:20" x14ac:dyDescent="0.25">
      <c r="K2818" s="312"/>
      <c r="N2818" s="514"/>
      <c r="R2818" s="293"/>
      <c r="S2818" s="316"/>
      <c r="T2818" s="355"/>
    </row>
    <row r="2819" spans="11:20" x14ac:dyDescent="0.25">
      <c r="K2819" s="312"/>
      <c r="N2819" s="514"/>
      <c r="R2819" s="293"/>
      <c r="S2819" s="316"/>
      <c r="T2819" s="355"/>
    </row>
    <row r="2820" spans="11:20" x14ac:dyDescent="0.25">
      <c r="K2820" s="312"/>
      <c r="N2820" s="514"/>
      <c r="R2820" s="293"/>
      <c r="S2820" s="316"/>
      <c r="T2820" s="355"/>
    </row>
    <row r="2821" spans="11:20" x14ac:dyDescent="0.25">
      <c r="K2821" s="312"/>
      <c r="N2821" s="514"/>
      <c r="R2821" s="293"/>
      <c r="S2821" s="316"/>
      <c r="T2821" s="355"/>
    </row>
    <row r="2822" spans="11:20" x14ac:dyDescent="0.25">
      <c r="K2822" s="312"/>
      <c r="N2822" s="514"/>
      <c r="R2822" s="293"/>
      <c r="S2822" s="316"/>
      <c r="T2822" s="355"/>
    </row>
    <row r="2823" spans="11:20" x14ac:dyDescent="0.25">
      <c r="K2823" s="312"/>
      <c r="N2823" s="514"/>
      <c r="R2823" s="293"/>
      <c r="S2823" s="316"/>
      <c r="T2823" s="355"/>
    </row>
    <row r="2824" spans="11:20" x14ac:dyDescent="0.25">
      <c r="K2824" s="312"/>
      <c r="N2824" s="514"/>
      <c r="R2824" s="293"/>
      <c r="S2824" s="316"/>
      <c r="T2824" s="355"/>
    </row>
    <row r="2825" spans="11:20" x14ac:dyDescent="0.25">
      <c r="K2825" s="312"/>
      <c r="N2825" s="514"/>
      <c r="R2825" s="293"/>
      <c r="S2825" s="316"/>
      <c r="T2825" s="355"/>
    </row>
    <row r="2826" spans="11:20" x14ac:dyDescent="0.25">
      <c r="K2826" s="312"/>
      <c r="N2826" s="514"/>
      <c r="R2826" s="293"/>
      <c r="S2826" s="316"/>
      <c r="T2826" s="355"/>
    </row>
    <row r="2827" spans="11:20" x14ac:dyDescent="0.25">
      <c r="K2827" s="312"/>
      <c r="N2827" s="514"/>
      <c r="R2827" s="293"/>
      <c r="S2827" s="316"/>
      <c r="T2827" s="355"/>
    </row>
    <row r="2828" spans="11:20" x14ac:dyDescent="0.25">
      <c r="K2828" s="312"/>
      <c r="N2828" s="514"/>
      <c r="R2828" s="293"/>
      <c r="S2828" s="316"/>
      <c r="T2828" s="355"/>
    </row>
    <row r="2829" spans="11:20" x14ac:dyDescent="0.25">
      <c r="K2829" s="312"/>
      <c r="N2829" s="514"/>
      <c r="R2829" s="293"/>
      <c r="S2829" s="316"/>
      <c r="T2829" s="355"/>
    </row>
    <row r="2830" spans="11:20" x14ac:dyDescent="0.25">
      <c r="K2830" s="312"/>
      <c r="N2830" s="514"/>
      <c r="R2830" s="293"/>
      <c r="S2830" s="316"/>
      <c r="T2830" s="355"/>
    </row>
    <row r="2831" spans="11:20" x14ac:dyDescent="0.25">
      <c r="K2831" s="312"/>
      <c r="N2831" s="514"/>
      <c r="R2831" s="293"/>
      <c r="S2831" s="316"/>
      <c r="T2831" s="355"/>
    </row>
    <row r="2832" spans="11:20" x14ac:dyDescent="0.25">
      <c r="K2832" s="312"/>
      <c r="N2832" s="514"/>
      <c r="R2832" s="293"/>
      <c r="S2832" s="316"/>
      <c r="T2832" s="355"/>
    </row>
    <row r="2833" spans="11:20" x14ac:dyDescent="0.25">
      <c r="K2833" s="312"/>
      <c r="N2833" s="514"/>
      <c r="R2833" s="293"/>
      <c r="S2833" s="316"/>
      <c r="T2833" s="355"/>
    </row>
    <row r="2834" spans="11:20" x14ac:dyDescent="0.25">
      <c r="K2834" s="312"/>
      <c r="N2834" s="514"/>
      <c r="R2834" s="293"/>
      <c r="S2834" s="316"/>
      <c r="T2834" s="355"/>
    </row>
    <row r="2835" spans="11:20" x14ac:dyDescent="0.25">
      <c r="K2835" s="312"/>
      <c r="N2835" s="514"/>
      <c r="R2835" s="293"/>
      <c r="S2835" s="316"/>
      <c r="T2835" s="355"/>
    </row>
    <row r="2836" spans="11:20" x14ac:dyDescent="0.25">
      <c r="K2836" s="312"/>
      <c r="N2836" s="514"/>
      <c r="R2836" s="293"/>
      <c r="S2836" s="316"/>
      <c r="T2836" s="355"/>
    </row>
    <row r="2837" spans="11:20" x14ac:dyDescent="0.25">
      <c r="K2837" s="312"/>
      <c r="N2837" s="514"/>
      <c r="R2837" s="293"/>
      <c r="S2837" s="316"/>
      <c r="T2837" s="355"/>
    </row>
    <row r="2838" spans="11:20" x14ac:dyDescent="0.25">
      <c r="K2838" s="312"/>
      <c r="N2838" s="514"/>
      <c r="R2838" s="293"/>
      <c r="S2838" s="316"/>
      <c r="T2838" s="355"/>
    </row>
    <row r="2839" spans="11:20" x14ac:dyDescent="0.25">
      <c r="K2839" s="312"/>
      <c r="N2839" s="514"/>
      <c r="R2839" s="293"/>
      <c r="S2839" s="316"/>
      <c r="T2839" s="355"/>
    </row>
    <row r="2840" spans="11:20" x14ac:dyDescent="0.25">
      <c r="K2840" s="312"/>
      <c r="N2840" s="514"/>
      <c r="R2840" s="293"/>
      <c r="S2840" s="316"/>
      <c r="T2840" s="355"/>
    </row>
    <row r="2841" spans="11:20" x14ac:dyDescent="0.25">
      <c r="K2841" s="312"/>
      <c r="N2841" s="514"/>
      <c r="R2841" s="293"/>
      <c r="S2841" s="316"/>
      <c r="T2841" s="355"/>
    </row>
    <row r="2842" spans="11:20" x14ac:dyDescent="0.25">
      <c r="K2842" s="312"/>
      <c r="N2842" s="514"/>
      <c r="R2842" s="293"/>
      <c r="S2842" s="316"/>
      <c r="T2842" s="355"/>
    </row>
    <row r="2843" spans="11:20" x14ac:dyDescent="0.25">
      <c r="K2843" s="312"/>
      <c r="N2843" s="514"/>
      <c r="R2843" s="293"/>
      <c r="S2843" s="316"/>
      <c r="T2843" s="355"/>
    </row>
    <row r="2844" spans="11:20" x14ac:dyDescent="0.25">
      <c r="K2844" s="312"/>
      <c r="N2844" s="514"/>
      <c r="R2844" s="293"/>
      <c r="S2844" s="316"/>
      <c r="T2844" s="355"/>
    </row>
    <row r="2845" spans="11:20" x14ac:dyDescent="0.25">
      <c r="K2845" s="312"/>
      <c r="N2845" s="514"/>
      <c r="R2845" s="293"/>
      <c r="S2845" s="316"/>
      <c r="T2845" s="355"/>
    </row>
    <row r="2846" spans="11:20" x14ac:dyDescent="0.25">
      <c r="K2846" s="312"/>
      <c r="N2846" s="514"/>
      <c r="R2846" s="293"/>
      <c r="S2846" s="316"/>
      <c r="T2846" s="355"/>
    </row>
    <row r="2847" spans="11:20" x14ac:dyDescent="0.25">
      <c r="K2847" s="312"/>
      <c r="N2847" s="514"/>
      <c r="R2847" s="293"/>
      <c r="S2847" s="316"/>
      <c r="T2847" s="355"/>
    </row>
    <row r="2848" spans="11:20" x14ac:dyDescent="0.25">
      <c r="K2848" s="312"/>
      <c r="N2848" s="514"/>
      <c r="R2848" s="293"/>
      <c r="S2848" s="316"/>
      <c r="T2848" s="355"/>
    </row>
    <row r="2849" spans="11:20" x14ac:dyDescent="0.25">
      <c r="K2849" s="312"/>
      <c r="N2849" s="514"/>
      <c r="R2849" s="293"/>
      <c r="S2849" s="316"/>
      <c r="T2849" s="355"/>
    </row>
    <row r="2850" spans="11:20" x14ac:dyDescent="0.25">
      <c r="K2850" s="312"/>
      <c r="N2850" s="514"/>
      <c r="R2850" s="293"/>
      <c r="S2850" s="316"/>
      <c r="T2850" s="355"/>
    </row>
    <row r="2851" spans="11:20" x14ac:dyDescent="0.25">
      <c r="K2851" s="312"/>
      <c r="N2851" s="514"/>
      <c r="R2851" s="293"/>
      <c r="S2851" s="316"/>
      <c r="T2851" s="355"/>
    </row>
    <row r="2852" spans="11:20" x14ac:dyDescent="0.25">
      <c r="K2852" s="312"/>
      <c r="N2852" s="514"/>
      <c r="R2852" s="293"/>
      <c r="S2852" s="316"/>
      <c r="T2852" s="355"/>
    </row>
    <row r="2853" spans="11:20" x14ac:dyDescent="0.25">
      <c r="K2853" s="312"/>
      <c r="N2853" s="514"/>
      <c r="R2853" s="293"/>
      <c r="S2853" s="316"/>
      <c r="T2853" s="355"/>
    </row>
    <row r="2854" spans="11:20" x14ac:dyDescent="0.25">
      <c r="K2854" s="312"/>
      <c r="N2854" s="514"/>
      <c r="R2854" s="293"/>
      <c r="S2854" s="316"/>
      <c r="T2854" s="355"/>
    </row>
    <row r="2855" spans="11:20" x14ac:dyDescent="0.25">
      <c r="K2855" s="312"/>
      <c r="N2855" s="514"/>
      <c r="R2855" s="293"/>
      <c r="S2855" s="316"/>
      <c r="T2855" s="355"/>
    </row>
    <row r="2856" spans="11:20" x14ac:dyDescent="0.25">
      <c r="K2856" s="312"/>
      <c r="N2856" s="514"/>
      <c r="R2856" s="293"/>
      <c r="S2856" s="316"/>
      <c r="T2856" s="355"/>
    </row>
    <row r="2857" spans="11:20" x14ac:dyDescent="0.25">
      <c r="K2857" s="312"/>
      <c r="N2857" s="514"/>
      <c r="R2857" s="293"/>
      <c r="S2857" s="316"/>
      <c r="T2857" s="355"/>
    </row>
    <row r="2858" spans="11:20" x14ac:dyDescent="0.25">
      <c r="K2858" s="312"/>
      <c r="N2858" s="514"/>
      <c r="R2858" s="293"/>
      <c r="S2858" s="316"/>
      <c r="T2858" s="355"/>
    </row>
    <row r="2859" spans="11:20" x14ac:dyDescent="0.25">
      <c r="K2859" s="312"/>
      <c r="N2859" s="514"/>
      <c r="R2859" s="293"/>
      <c r="S2859" s="316"/>
      <c r="T2859" s="355"/>
    </row>
    <row r="2860" spans="11:20" x14ac:dyDescent="0.25">
      <c r="K2860" s="312"/>
      <c r="N2860" s="514"/>
      <c r="R2860" s="293"/>
      <c r="S2860" s="316"/>
      <c r="T2860" s="355"/>
    </row>
    <row r="2861" spans="11:20" x14ac:dyDescent="0.25">
      <c r="K2861" s="312"/>
      <c r="N2861" s="514"/>
      <c r="R2861" s="293"/>
      <c r="S2861" s="316"/>
      <c r="T2861" s="355"/>
    </row>
    <row r="2862" spans="11:20" x14ac:dyDescent="0.25">
      <c r="K2862" s="312"/>
      <c r="N2862" s="514"/>
      <c r="R2862" s="293"/>
      <c r="S2862" s="316"/>
      <c r="T2862" s="355"/>
    </row>
    <row r="2863" spans="11:20" x14ac:dyDescent="0.25">
      <c r="K2863" s="312"/>
      <c r="N2863" s="514"/>
      <c r="R2863" s="293"/>
      <c r="S2863" s="316"/>
      <c r="T2863" s="355"/>
    </row>
    <row r="2864" spans="11:20" x14ac:dyDescent="0.25">
      <c r="K2864" s="312"/>
      <c r="N2864" s="514"/>
      <c r="R2864" s="293"/>
      <c r="S2864" s="316"/>
      <c r="T2864" s="355"/>
    </row>
    <row r="2865" spans="11:20" x14ac:dyDescent="0.25">
      <c r="K2865" s="312"/>
      <c r="N2865" s="514"/>
      <c r="R2865" s="293"/>
      <c r="S2865" s="316"/>
      <c r="T2865" s="355"/>
    </row>
    <row r="2866" spans="11:20" x14ac:dyDescent="0.25">
      <c r="K2866" s="312"/>
      <c r="N2866" s="514"/>
      <c r="R2866" s="293"/>
      <c r="S2866" s="316"/>
      <c r="T2866" s="355"/>
    </row>
    <row r="2867" spans="11:20" x14ac:dyDescent="0.25">
      <c r="K2867" s="312"/>
      <c r="N2867" s="514"/>
      <c r="R2867" s="293"/>
      <c r="S2867" s="316"/>
      <c r="T2867" s="355"/>
    </row>
    <row r="2868" spans="11:20" x14ac:dyDescent="0.25">
      <c r="K2868" s="312"/>
      <c r="N2868" s="514"/>
      <c r="R2868" s="293"/>
      <c r="S2868" s="316"/>
      <c r="T2868" s="355"/>
    </row>
    <row r="2869" spans="11:20" x14ac:dyDescent="0.25">
      <c r="K2869" s="312"/>
      <c r="N2869" s="514"/>
      <c r="R2869" s="293"/>
      <c r="S2869" s="316"/>
      <c r="T2869" s="355"/>
    </row>
    <row r="2870" spans="11:20" x14ac:dyDescent="0.25">
      <c r="K2870" s="312"/>
      <c r="N2870" s="514"/>
      <c r="R2870" s="293"/>
      <c r="S2870" s="316"/>
      <c r="T2870" s="355"/>
    </row>
    <row r="2871" spans="11:20" x14ac:dyDescent="0.25">
      <c r="K2871" s="312"/>
      <c r="N2871" s="514"/>
      <c r="R2871" s="293"/>
      <c r="S2871" s="316"/>
      <c r="T2871" s="355"/>
    </row>
    <row r="2872" spans="11:20" x14ac:dyDescent="0.25">
      <c r="K2872" s="312"/>
      <c r="N2872" s="514"/>
      <c r="R2872" s="293"/>
      <c r="S2872" s="316"/>
      <c r="T2872" s="355"/>
    </row>
    <row r="2873" spans="11:20" x14ac:dyDescent="0.25">
      <c r="K2873" s="312"/>
      <c r="N2873" s="514"/>
      <c r="R2873" s="293"/>
      <c r="S2873" s="316"/>
      <c r="T2873" s="355"/>
    </row>
    <row r="2874" spans="11:20" x14ac:dyDescent="0.25">
      <c r="K2874" s="312"/>
      <c r="N2874" s="514"/>
      <c r="R2874" s="293"/>
      <c r="S2874" s="316"/>
      <c r="T2874" s="355"/>
    </row>
    <row r="2875" spans="11:20" x14ac:dyDescent="0.25">
      <c r="K2875" s="312"/>
      <c r="N2875" s="514"/>
      <c r="R2875" s="293"/>
      <c r="S2875" s="316"/>
      <c r="T2875" s="355"/>
    </row>
    <row r="2876" spans="11:20" x14ac:dyDescent="0.25">
      <c r="K2876" s="312"/>
      <c r="N2876" s="514"/>
      <c r="R2876" s="293"/>
      <c r="S2876" s="316"/>
      <c r="T2876" s="355"/>
    </row>
    <row r="2877" spans="11:20" x14ac:dyDescent="0.25">
      <c r="K2877" s="312"/>
      <c r="N2877" s="514"/>
      <c r="R2877" s="293"/>
      <c r="S2877" s="316"/>
      <c r="T2877" s="355"/>
    </row>
    <row r="2878" spans="11:20" x14ac:dyDescent="0.25">
      <c r="K2878" s="312"/>
      <c r="N2878" s="514"/>
      <c r="R2878" s="293"/>
      <c r="S2878" s="316"/>
      <c r="T2878" s="355"/>
    </row>
    <row r="2879" spans="11:20" x14ac:dyDescent="0.25">
      <c r="K2879" s="312"/>
      <c r="N2879" s="514"/>
      <c r="R2879" s="293"/>
      <c r="S2879" s="316"/>
      <c r="T2879" s="355"/>
    </row>
    <row r="2880" spans="11:20" x14ac:dyDescent="0.25">
      <c r="K2880" s="312"/>
      <c r="N2880" s="514"/>
      <c r="R2880" s="293"/>
      <c r="S2880" s="316"/>
      <c r="T2880" s="355"/>
    </row>
    <row r="2881" spans="11:20" x14ac:dyDescent="0.25">
      <c r="K2881" s="312"/>
      <c r="N2881" s="514"/>
      <c r="R2881" s="293"/>
      <c r="S2881" s="316"/>
      <c r="T2881" s="355"/>
    </row>
    <row r="2882" spans="11:20" x14ac:dyDescent="0.25">
      <c r="K2882" s="312"/>
      <c r="N2882" s="514"/>
      <c r="R2882" s="293"/>
      <c r="S2882" s="316"/>
      <c r="T2882" s="355"/>
    </row>
    <row r="2883" spans="11:20" x14ac:dyDescent="0.25">
      <c r="K2883" s="312"/>
      <c r="N2883" s="514"/>
      <c r="R2883" s="293"/>
      <c r="S2883" s="316"/>
      <c r="T2883" s="355"/>
    </row>
    <row r="2884" spans="11:20" x14ac:dyDescent="0.25">
      <c r="K2884" s="312"/>
      <c r="N2884" s="514"/>
      <c r="R2884" s="293"/>
      <c r="S2884" s="316"/>
      <c r="T2884" s="355"/>
    </row>
    <row r="2885" spans="11:20" x14ac:dyDescent="0.25">
      <c r="K2885" s="312"/>
      <c r="N2885" s="514"/>
      <c r="R2885" s="293"/>
      <c r="S2885" s="316"/>
      <c r="T2885" s="355"/>
    </row>
    <row r="2886" spans="11:20" x14ac:dyDescent="0.25">
      <c r="K2886" s="312"/>
      <c r="N2886" s="514"/>
      <c r="R2886" s="293"/>
      <c r="S2886" s="316"/>
      <c r="T2886" s="355"/>
    </row>
    <row r="2887" spans="11:20" x14ac:dyDescent="0.25">
      <c r="K2887" s="312"/>
      <c r="N2887" s="514"/>
      <c r="R2887" s="293"/>
      <c r="S2887" s="316"/>
      <c r="T2887" s="355"/>
    </row>
    <row r="2888" spans="11:20" x14ac:dyDescent="0.25">
      <c r="K2888" s="312"/>
      <c r="N2888" s="514"/>
      <c r="R2888" s="293"/>
      <c r="S2888" s="316"/>
      <c r="T2888" s="355"/>
    </row>
    <row r="2889" spans="11:20" x14ac:dyDescent="0.25">
      <c r="K2889" s="312"/>
      <c r="N2889" s="514"/>
      <c r="R2889" s="293"/>
      <c r="S2889" s="316"/>
      <c r="T2889" s="355"/>
    </row>
    <row r="2890" spans="11:20" x14ac:dyDescent="0.25">
      <c r="K2890" s="312"/>
      <c r="N2890" s="514"/>
      <c r="R2890" s="293"/>
      <c r="S2890" s="316"/>
      <c r="T2890" s="355"/>
    </row>
    <row r="2891" spans="11:20" x14ac:dyDescent="0.25">
      <c r="K2891" s="312"/>
      <c r="N2891" s="514"/>
      <c r="R2891" s="293"/>
      <c r="S2891" s="316"/>
      <c r="T2891" s="355"/>
    </row>
    <row r="2892" spans="11:20" x14ac:dyDescent="0.25">
      <c r="K2892" s="312"/>
      <c r="N2892" s="514"/>
      <c r="R2892" s="293"/>
      <c r="S2892" s="316"/>
      <c r="T2892" s="355"/>
    </row>
    <row r="2893" spans="11:20" x14ac:dyDescent="0.25">
      <c r="K2893" s="312"/>
      <c r="N2893" s="514"/>
      <c r="R2893" s="293"/>
      <c r="S2893" s="316"/>
      <c r="T2893" s="355"/>
    </row>
    <row r="2894" spans="11:20" x14ac:dyDescent="0.25">
      <c r="K2894" s="312"/>
      <c r="N2894" s="514"/>
      <c r="R2894" s="293"/>
      <c r="S2894" s="316"/>
      <c r="T2894" s="355"/>
    </row>
    <row r="2895" spans="11:20" x14ac:dyDescent="0.25">
      <c r="K2895" s="312"/>
      <c r="N2895" s="514"/>
      <c r="R2895" s="293"/>
      <c r="S2895" s="316"/>
      <c r="T2895" s="355"/>
    </row>
    <row r="2896" spans="11:20" x14ac:dyDescent="0.25">
      <c r="K2896" s="312"/>
      <c r="N2896" s="514"/>
      <c r="R2896" s="293"/>
      <c r="S2896" s="316"/>
      <c r="T2896" s="355"/>
    </row>
    <row r="2897" spans="11:20" x14ac:dyDescent="0.25">
      <c r="K2897" s="312"/>
      <c r="N2897" s="514"/>
      <c r="R2897" s="293"/>
      <c r="S2897" s="316"/>
      <c r="T2897" s="355"/>
    </row>
    <row r="2898" spans="11:20" x14ac:dyDescent="0.25">
      <c r="K2898" s="312"/>
      <c r="N2898" s="514"/>
      <c r="R2898" s="293"/>
      <c r="S2898" s="316"/>
      <c r="T2898" s="355"/>
    </row>
    <row r="2899" spans="11:20" x14ac:dyDescent="0.25">
      <c r="K2899" s="312"/>
      <c r="N2899" s="514"/>
      <c r="R2899" s="293"/>
      <c r="S2899" s="316"/>
      <c r="T2899" s="355"/>
    </row>
    <row r="2900" spans="11:20" x14ac:dyDescent="0.25">
      <c r="K2900" s="312"/>
      <c r="N2900" s="514"/>
      <c r="R2900" s="293"/>
      <c r="S2900" s="316"/>
      <c r="T2900" s="355"/>
    </row>
    <row r="2901" spans="11:20" x14ac:dyDescent="0.25">
      <c r="K2901" s="312"/>
      <c r="N2901" s="514"/>
      <c r="R2901" s="293"/>
      <c r="S2901" s="316"/>
      <c r="T2901" s="355"/>
    </row>
    <row r="2902" spans="11:20" x14ac:dyDescent="0.25">
      <c r="K2902" s="312"/>
      <c r="N2902" s="514"/>
      <c r="R2902" s="293"/>
      <c r="S2902" s="316"/>
      <c r="T2902" s="355"/>
    </row>
    <row r="2903" spans="11:20" x14ac:dyDescent="0.25">
      <c r="K2903" s="312"/>
      <c r="N2903" s="514"/>
      <c r="R2903" s="293"/>
      <c r="S2903" s="316"/>
      <c r="T2903" s="355"/>
    </row>
    <row r="2904" spans="11:20" x14ac:dyDescent="0.25">
      <c r="K2904" s="312"/>
      <c r="N2904" s="514"/>
      <c r="R2904" s="293"/>
      <c r="S2904" s="316"/>
      <c r="T2904" s="355"/>
    </row>
    <row r="2905" spans="11:20" x14ac:dyDescent="0.25">
      <c r="K2905" s="312"/>
      <c r="N2905" s="514"/>
      <c r="R2905" s="293"/>
      <c r="S2905" s="316"/>
      <c r="T2905" s="355"/>
    </row>
    <row r="2906" spans="11:20" x14ac:dyDescent="0.25">
      <c r="K2906" s="312"/>
      <c r="N2906" s="514"/>
      <c r="R2906" s="293"/>
      <c r="S2906" s="316"/>
      <c r="T2906" s="355"/>
    </row>
    <row r="2907" spans="11:20" x14ac:dyDescent="0.25">
      <c r="K2907" s="312"/>
      <c r="N2907" s="514"/>
      <c r="R2907" s="293"/>
      <c r="S2907" s="316"/>
      <c r="T2907" s="355"/>
    </row>
    <row r="2908" spans="11:20" x14ac:dyDescent="0.25">
      <c r="K2908" s="312"/>
      <c r="N2908" s="514"/>
      <c r="R2908" s="293"/>
      <c r="S2908" s="316"/>
      <c r="T2908" s="355"/>
    </row>
    <row r="2909" spans="11:20" x14ac:dyDescent="0.25">
      <c r="K2909" s="312"/>
      <c r="N2909" s="514"/>
      <c r="R2909" s="293"/>
      <c r="S2909" s="316"/>
      <c r="T2909" s="355"/>
    </row>
    <row r="2910" spans="11:20" x14ac:dyDescent="0.25">
      <c r="K2910" s="312"/>
      <c r="N2910" s="514"/>
      <c r="R2910" s="293"/>
      <c r="S2910" s="316"/>
      <c r="T2910" s="355"/>
    </row>
    <row r="2911" spans="11:20" x14ac:dyDescent="0.25">
      <c r="K2911" s="312"/>
      <c r="N2911" s="514"/>
      <c r="R2911" s="293"/>
      <c r="S2911" s="316"/>
      <c r="T2911" s="355"/>
    </row>
    <row r="2912" spans="11:20" x14ac:dyDescent="0.25">
      <c r="K2912" s="312"/>
      <c r="N2912" s="514"/>
      <c r="R2912" s="293"/>
      <c r="S2912" s="316"/>
      <c r="T2912" s="355"/>
    </row>
    <row r="2913" spans="11:20" x14ac:dyDescent="0.25">
      <c r="K2913" s="312"/>
      <c r="N2913" s="514"/>
      <c r="R2913" s="293"/>
      <c r="S2913" s="316"/>
      <c r="T2913" s="355"/>
    </row>
    <row r="2914" spans="11:20" x14ac:dyDescent="0.25">
      <c r="K2914" s="312"/>
      <c r="N2914" s="514"/>
      <c r="R2914" s="293"/>
      <c r="S2914" s="316"/>
      <c r="T2914" s="355"/>
    </row>
    <row r="2915" spans="11:20" x14ac:dyDescent="0.25">
      <c r="K2915" s="312"/>
      <c r="N2915" s="514"/>
      <c r="R2915" s="293"/>
      <c r="S2915" s="316"/>
      <c r="T2915" s="355"/>
    </row>
    <row r="2916" spans="11:20" x14ac:dyDescent="0.25">
      <c r="K2916" s="312"/>
      <c r="N2916" s="514"/>
      <c r="R2916" s="293"/>
      <c r="S2916" s="316"/>
      <c r="T2916" s="355"/>
    </row>
    <row r="2917" spans="11:20" x14ac:dyDescent="0.25">
      <c r="K2917" s="312"/>
      <c r="N2917" s="514"/>
      <c r="R2917" s="293"/>
      <c r="S2917" s="316"/>
      <c r="T2917" s="355"/>
    </row>
    <row r="2918" spans="11:20" x14ac:dyDescent="0.25">
      <c r="K2918" s="312"/>
      <c r="N2918" s="514"/>
      <c r="R2918" s="293"/>
      <c r="S2918" s="316"/>
      <c r="T2918" s="355"/>
    </row>
    <row r="2919" spans="11:20" x14ac:dyDescent="0.25">
      <c r="K2919" s="312"/>
      <c r="N2919" s="514"/>
      <c r="R2919" s="293"/>
      <c r="S2919" s="316"/>
      <c r="T2919" s="355"/>
    </row>
    <row r="2920" spans="11:20" x14ac:dyDescent="0.25">
      <c r="K2920" s="312"/>
      <c r="N2920" s="514"/>
      <c r="R2920" s="293"/>
      <c r="S2920" s="316"/>
      <c r="T2920" s="355"/>
    </row>
    <row r="2921" spans="11:20" x14ac:dyDescent="0.25">
      <c r="K2921" s="312"/>
      <c r="N2921" s="514"/>
      <c r="R2921" s="293"/>
      <c r="S2921" s="316"/>
      <c r="T2921" s="355"/>
    </row>
    <row r="2922" spans="11:20" x14ac:dyDescent="0.25">
      <c r="K2922" s="312"/>
      <c r="N2922" s="514"/>
      <c r="R2922" s="293"/>
      <c r="S2922" s="316"/>
      <c r="T2922" s="355"/>
    </row>
    <row r="2923" spans="11:20" x14ac:dyDescent="0.25">
      <c r="K2923" s="312"/>
      <c r="N2923" s="514"/>
      <c r="R2923" s="293"/>
      <c r="S2923" s="316"/>
      <c r="T2923" s="355"/>
    </row>
    <row r="2924" spans="11:20" x14ac:dyDescent="0.25">
      <c r="K2924" s="312"/>
      <c r="N2924" s="514"/>
      <c r="R2924" s="293"/>
      <c r="S2924" s="316"/>
      <c r="T2924" s="355"/>
    </row>
    <row r="2925" spans="11:20" x14ac:dyDescent="0.25">
      <c r="K2925" s="312"/>
      <c r="N2925" s="514"/>
      <c r="R2925" s="293"/>
      <c r="S2925" s="316"/>
      <c r="T2925" s="355"/>
    </row>
    <row r="2926" spans="11:20" x14ac:dyDescent="0.25">
      <c r="K2926" s="312"/>
      <c r="N2926" s="514"/>
      <c r="R2926" s="293"/>
      <c r="S2926" s="316"/>
      <c r="T2926" s="355"/>
    </row>
    <row r="2927" spans="11:20" x14ac:dyDescent="0.25">
      <c r="K2927" s="312"/>
      <c r="N2927" s="514"/>
      <c r="R2927" s="293"/>
      <c r="S2927" s="316"/>
      <c r="T2927" s="355"/>
    </row>
    <row r="2928" spans="11:20" x14ac:dyDescent="0.25">
      <c r="K2928" s="312"/>
      <c r="N2928" s="514"/>
      <c r="R2928" s="293"/>
      <c r="S2928" s="316"/>
      <c r="T2928" s="355"/>
    </row>
    <row r="2929" spans="11:20" x14ac:dyDescent="0.25">
      <c r="K2929" s="312"/>
      <c r="N2929" s="514"/>
      <c r="R2929" s="293"/>
      <c r="S2929" s="316"/>
      <c r="T2929" s="355"/>
    </row>
    <row r="2930" spans="11:20" x14ac:dyDescent="0.25">
      <c r="K2930" s="312"/>
      <c r="N2930" s="514"/>
      <c r="R2930" s="293"/>
      <c r="S2930" s="316"/>
      <c r="T2930" s="355"/>
    </row>
    <row r="2931" spans="11:20" x14ac:dyDescent="0.25">
      <c r="K2931" s="312"/>
      <c r="N2931" s="514"/>
      <c r="R2931" s="293"/>
      <c r="S2931" s="316"/>
      <c r="T2931" s="355"/>
    </row>
    <row r="2932" spans="11:20" x14ac:dyDescent="0.25">
      <c r="K2932" s="312"/>
      <c r="N2932" s="514"/>
      <c r="R2932" s="293"/>
      <c r="S2932" s="316"/>
      <c r="T2932" s="355"/>
    </row>
    <row r="2933" spans="11:20" x14ac:dyDescent="0.25">
      <c r="K2933" s="312"/>
      <c r="N2933" s="514"/>
      <c r="R2933" s="293"/>
      <c r="S2933" s="316"/>
      <c r="T2933" s="355"/>
    </row>
    <row r="2934" spans="11:20" x14ac:dyDescent="0.25">
      <c r="K2934" s="312"/>
      <c r="N2934" s="514"/>
      <c r="R2934" s="293"/>
      <c r="S2934" s="316"/>
      <c r="T2934" s="355"/>
    </row>
    <row r="2935" spans="11:20" x14ac:dyDescent="0.25">
      <c r="K2935" s="312"/>
      <c r="N2935" s="514"/>
      <c r="R2935" s="293"/>
      <c r="S2935" s="316"/>
      <c r="T2935" s="355"/>
    </row>
    <row r="2936" spans="11:20" x14ac:dyDescent="0.25">
      <c r="K2936" s="312"/>
      <c r="N2936" s="514"/>
      <c r="R2936" s="293"/>
      <c r="S2936" s="316"/>
      <c r="T2936" s="355"/>
    </row>
    <row r="2937" spans="11:20" x14ac:dyDescent="0.25">
      <c r="K2937" s="312"/>
      <c r="N2937" s="514"/>
      <c r="R2937" s="293"/>
      <c r="S2937" s="316"/>
      <c r="T2937" s="355"/>
    </row>
    <row r="2938" spans="11:20" x14ac:dyDescent="0.25">
      <c r="K2938" s="312"/>
      <c r="N2938" s="514"/>
      <c r="R2938" s="293"/>
      <c r="S2938" s="316"/>
      <c r="T2938" s="355"/>
    </row>
    <row r="2939" spans="11:20" x14ac:dyDescent="0.25">
      <c r="K2939" s="312"/>
      <c r="N2939" s="514"/>
      <c r="R2939" s="293"/>
      <c r="S2939" s="316"/>
      <c r="T2939" s="355"/>
    </row>
    <row r="2940" spans="11:20" x14ac:dyDescent="0.25">
      <c r="K2940" s="312"/>
      <c r="N2940" s="514"/>
      <c r="R2940" s="293"/>
      <c r="S2940" s="316"/>
      <c r="T2940" s="355"/>
    </row>
    <row r="2941" spans="11:20" x14ac:dyDescent="0.25">
      <c r="K2941" s="312"/>
      <c r="N2941" s="514"/>
      <c r="R2941" s="293"/>
      <c r="S2941" s="316"/>
      <c r="T2941" s="355"/>
    </row>
    <row r="2942" spans="11:20" x14ac:dyDescent="0.25">
      <c r="K2942" s="312"/>
      <c r="N2942" s="514"/>
      <c r="R2942" s="293"/>
      <c r="S2942" s="316"/>
      <c r="T2942" s="355"/>
    </row>
    <row r="2943" spans="11:20" x14ac:dyDescent="0.25">
      <c r="K2943" s="312"/>
      <c r="N2943" s="514"/>
      <c r="R2943" s="293"/>
      <c r="S2943" s="316"/>
      <c r="T2943" s="355"/>
    </row>
    <row r="2944" spans="11:20" x14ac:dyDescent="0.25">
      <c r="K2944" s="312"/>
      <c r="N2944" s="514"/>
      <c r="R2944" s="293"/>
      <c r="S2944" s="316"/>
      <c r="T2944" s="355"/>
    </row>
    <row r="2945" spans="11:20" x14ac:dyDescent="0.25">
      <c r="K2945" s="312"/>
      <c r="N2945" s="514"/>
      <c r="R2945" s="293"/>
      <c r="S2945" s="316"/>
      <c r="T2945" s="355"/>
    </row>
    <row r="2946" spans="11:20" x14ac:dyDescent="0.25">
      <c r="K2946" s="312"/>
      <c r="N2946" s="514"/>
      <c r="R2946" s="293"/>
      <c r="S2946" s="316"/>
      <c r="T2946" s="355"/>
    </row>
    <row r="2947" spans="11:20" x14ac:dyDescent="0.25">
      <c r="K2947" s="312"/>
      <c r="N2947" s="514"/>
      <c r="R2947" s="293"/>
      <c r="S2947" s="316"/>
      <c r="T2947" s="355"/>
    </row>
    <row r="2948" spans="11:20" x14ac:dyDescent="0.25">
      <c r="K2948" s="312"/>
      <c r="N2948" s="514"/>
      <c r="R2948" s="293"/>
      <c r="S2948" s="316"/>
      <c r="T2948" s="355"/>
    </row>
    <row r="2949" spans="11:20" x14ac:dyDescent="0.25">
      <c r="K2949" s="312"/>
      <c r="N2949" s="514"/>
      <c r="R2949" s="293"/>
      <c r="S2949" s="316"/>
      <c r="T2949" s="355"/>
    </row>
    <row r="2950" spans="11:20" x14ac:dyDescent="0.25">
      <c r="K2950" s="312"/>
      <c r="N2950" s="514"/>
      <c r="R2950" s="293"/>
      <c r="S2950" s="316"/>
      <c r="T2950" s="355"/>
    </row>
    <row r="2951" spans="11:20" x14ac:dyDescent="0.25">
      <c r="K2951" s="312"/>
      <c r="N2951" s="514"/>
      <c r="R2951" s="293"/>
      <c r="S2951" s="316"/>
      <c r="T2951" s="355"/>
    </row>
    <row r="2952" spans="11:20" x14ac:dyDescent="0.25">
      <c r="K2952" s="312"/>
      <c r="N2952" s="514"/>
      <c r="R2952" s="293"/>
      <c r="S2952" s="316"/>
      <c r="T2952" s="355"/>
    </row>
    <row r="2953" spans="11:20" x14ac:dyDescent="0.25">
      <c r="K2953" s="312"/>
      <c r="N2953" s="514"/>
      <c r="R2953" s="293"/>
      <c r="S2953" s="316"/>
      <c r="T2953" s="355"/>
    </row>
    <row r="2954" spans="11:20" x14ac:dyDescent="0.25">
      <c r="K2954" s="312"/>
      <c r="N2954" s="514"/>
      <c r="R2954" s="293"/>
      <c r="S2954" s="316"/>
      <c r="T2954" s="355"/>
    </row>
    <row r="2955" spans="11:20" x14ac:dyDescent="0.25">
      <c r="K2955" s="312"/>
      <c r="N2955" s="514"/>
      <c r="R2955" s="293"/>
      <c r="S2955" s="316"/>
      <c r="T2955" s="355"/>
    </row>
    <row r="2956" spans="11:20" x14ac:dyDescent="0.25">
      <c r="K2956" s="312"/>
      <c r="N2956" s="514"/>
      <c r="R2956" s="293"/>
      <c r="S2956" s="316"/>
      <c r="T2956" s="355"/>
    </row>
    <row r="2957" spans="11:20" x14ac:dyDescent="0.25">
      <c r="K2957" s="312"/>
      <c r="N2957" s="514"/>
      <c r="R2957" s="293"/>
      <c r="S2957" s="316"/>
      <c r="T2957" s="355"/>
    </row>
    <row r="2958" spans="11:20" x14ac:dyDescent="0.25">
      <c r="K2958" s="312"/>
      <c r="N2958" s="514"/>
      <c r="R2958" s="293"/>
      <c r="S2958" s="316"/>
      <c r="T2958" s="355"/>
    </row>
    <row r="2959" spans="11:20" x14ac:dyDescent="0.25">
      <c r="K2959" s="312"/>
      <c r="N2959" s="514"/>
      <c r="R2959" s="293"/>
      <c r="S2959" s="316"/>
      <c r="T2959" s="355"/>
    </row>
    <row r="2960" spans="11:20" x14ac:dyDescent="0.25">
      <c r="K2960" s="312"/>
      <c r="N2960" s="514"/>
      <c r="R2960" s="293"/>
      <c r="S2960" s="316"/>
      <c r="T2960" s="355"/>
    </row>
    <row r="2961" spans="11:20" x14ac:dyDescent="0.25">
      <c r="K2961" s="312"/>
      <c r="N2961" s="514"/>
      <c r="R2961" s="293"/>
      <c r="S2961" s="316"/>
      <c r="T2961" s="355"/>
    </row>
    <row r="2962" spans="11:20" x14ac:dyDescent="0.25">
      <c r="K2962" s="312"/>
      <c r="N2962" s="514"/>
      <c r="R2962" s="293"/>
      <c r="S2962" s="316"/>
      <c r="T2962" s="355"/>
    </row>
    <row r="2963" spans="11:20" x14ac:dyDescent="0.25">
      <c r="K2963" s="312"/>
      <c r="N2963" s="514"/>
      <c r="R2963" s="293"/>
      <c r="S2963" s="316"/>
      <c r="T2963" s="355"/>
    </row>
    <row r="2964" spans="11:20" x14ac:dyDescent="0.25">
      <c r="K2964" s="312"/>
      <c r="N2964" s="514"/>
      <c r="R2964" s="293"/>
      <c r="S2964" s="316"/>
      <c r="T2964" s="355"/>
    </row>
    <row r="2965" spans="11:20" x14ac:dyDescent="0.25">
      <c r="K2965" s="312"/>
      <c r="N2965" s="514"/>
      <c r="R2965" s="293"/>
      <c r="S2965" s="316"/>
      <c r="T2965" s="355"/>
    </row>
    <row r="2966" spans="11:20" x14ac:dyDescent="0.25">
      <c r="K2966" s="312"/>
      <c r="N2966" s="514"/>
      <c r="R2966" s="293"/>
      <c r="S2966" s="316"/>
      <c r="T2966" s="355"/>
    </row>
    <row r="2967" spans="11:20" x14ac:dyDescent="0.25">
      <c r="K2967" s="312"/>
      <c r="N2967" s="514"/>
      <c r="R2967" s="293"/>
      <c r="S2967" s="316"/>
      <c r="T2967" s="355"/>
    </row>
    <row r="2968" spans="11:20" x14ac:dyDescent="0.25">
      <c r="K2968" s="312"/>
      <c r="N2968" s="514"/>
      <c r="R2968" s="293"/>
      <c r="S2968" s="316"/>
      <c r="T2968" s="355"/>
    </row>
    <row r="2969" spans="11:20" x14ac:dyDescent="0.25">
      <c r="K2969" s="312"/>
      <c r="N2969" s="514"/>
      <c r="R2969" s="293"/>
      <c r="S2969" s="316"/>
      <c r="T2969" s="355"/>
    </row>
    <row r="2970" spans="11:20" x14ac:dyDescent="0.25">
      <c r="K2970" s="312"/>
      <c r="N2970" s="514"/>
      <c r="R2970" s="293"/>
      <c r="S2970" s="316"/>
      <c r="T2970" s="355"/>
    </row>
    <row r="2971" spans="11:20" x14ac:dyDescent="0.25">
      <c r="K2971" s="312"/>
      <c r="N2971" s="514"/>
      <c r="R2971" s="293"/>
      <c r="S2971" s="316"/>
      <c r="T2971" s="355"/>
    </row>
    <row r="2972" spans="11:20" x14ac:dyDescent="0.25">
      <c r="K2972" s="312"/>
      <c r="N2972" s="514"/>
      <c r="R2972" s="293"/>
      <c r="S2972" s="316"/>
      <c r="T2972" s="355"/>
    </row>
    <row r="2973" spans="11:20" x14ac:dyDescent="0.25">
      <c r="K2973" s="312"/>
      <c r="N2973" s="514"/>
      <c r="R2973" s="293"/>
      <c r="S2973" s="316"/>
      <c r="T2973" s="355"/>
    </row>
    <row r="2974" spans="11:20" x14ac:dyDescent="0.25">
      <c r="K2974" s="312"/>
      <c r="N2974" s="514"/>
      <c r="R2974" s="293"/>
      <c r="S2974" s="316"/>
      <c r="T2974" s="355"/>
    </row>
    <row r="2975" spans="11:20" x14ac:dyDescent="0.25">
      <c r="K2975" s="312"/>
      <c r="N2975" s="514"/>
      <c r="R2975" s="293"/>
      <c r="S2975" s="316"/>
      <c r="T2975" s="355"/>
    </row>
    <row r="2976" spans="11:20" x14ac:dyDescent="0.25">
      <c r="K2976" s="312"/>
      <c r="N2976" s="514"/>
      <c r="R2976" s="293"/>
      <c r="S2976" s="316"/>
      <c r="T2976" s="355"/>
    </row>
    <row r="2977" spans="11:20" x14ac:dyDescent="0.25">
      <c r="K2977" s="312"/>
      <c r="N2977" s="514"/>
      <c r="R2977" s="293"/>
      <c r="S2977" s="316"/>
      <c r="T2977" s="355"/>
    </row>
    <row r="2978" spans="11:20" x14ac:dyDescent="0.25">
      <c r="K2978" s="312"/>
      <c r="N2978" s="514"/>
      <c r="R2978" s="293"/>
      <c r="S2978" s="316"/>
      <c r="T2978" s="355"/>
    </row>
    <row r="2979" spans="11:20" x14ac:dyDescent="0.25">
      <c r="K2979" s="312"/>
      <c r="N2979" s="514"/>
      <c r="R2979" s="293"/>
      <c r="S2979" s="316"/>
      <c r="T2979" s="355"/>
    </row>
    <row r="2980" spans="11:20" x14ac:dyDescent="0.25">
      <c r="K2980" s="312"/>
      <c r="N2980" s="514"/>
      <c r="R2980" s="293"/>
      <c r="S2980" s="316"/>
      <c r="T2980" s="355"/>
    </row>
    <row r="2981" spans="11:20" x14ac:dyDescent="0.25">
      <c r="K2981" s="312"/>
      <c r="N2981" s="514"/>
      <c r="R2981" s="293"/>
      <c r="S2981" s="316"/>
      <c r="T2981" s="355"/>
    </row>
    <row r="2982" spans="11:20" x14ac:dyDescent="0.25">
      <c r="K2982" s="312"/>
      <c r="N2982" s="514"/>
      <c r="R2982" s="293"/>
      <c r="S2982" s="316"/>
      <c r="T2982" s="355"/>
    </row>
    <row r="2983" spans="11:20" x14ac:dyDescent="0.25">
      <c r="K2983" s="312"/>
      <c r="N2983" s="514"/>
      <c r="R2983" s="293"/>
      <c r="S2983" s="316"/>
      <c r="T2983" s="355"/>
    </row>
    <row r="2984" spans="11:20" x14ac:dyDescent="0.25">
      <c r="K2984" s="312"/>
      <c r="N2984" s="514"/>
      <c r="R2984" s="293"/>
      <c r="S2984" s="316"/>
      <c r="T2984" s="355"/>
    </row>
    <row r="2985" spans="11:20" x14ac:dyDescent="0.25">
      <c r="K2985" s="312"/>
      <c r="N2985" s="514"/>
      <c r="R2985" s="293"/>
      <c r="S2985" s="316"/>
      <c r="T2985" s="355"/>
    </row>
    <row r="2986" spans="11:20" x14ac:dyDescent="0.25">
      <c r="K2986" s="312"/>
      <c r="N2986" s="514"/>
      <c r="R2986" s="293"/>
      <c r="S2986" s="316"/>
      <c r="T2986" s="355"/>
    </row>
    <row r="2987" spans="11:20" x14ac:dyDescent="0.25">
      <c r="K2987" s="312"/>
      <c r="N2987" s="514"/>
      <c r="R2987" s="293"/>
      <c r="S2987" s="316"/>
      <c r="T2987" s="355"/>
    </row>
    <row r="2988" spans="11:20" x14ac:dyDescent="0.25">
      <c r="K2988" s="312"/>
      <c r="N2988" s="514"/>
      <c r="R2988" s="293"/>
      <c r="S2988" s="316"/>
      <c r="T2988" s="355"/>
    </row>
    <row r="2989" spans="11:20" x14ac:dyDescent="0.25">
      <c r="K2989" s="312"/>
      <c r="N2989" s="514"/>
      <c r="R2989" s="293"/>
      <c r="S2989" s="316"/>
      <c r="T2989" s="355"/>
    </row>
    <row r="2990" spans="11:20" x14ac:dyDescent="0.25">
      <c r="K2990" s="312"/>
      <c r="N2990" s="514"/>
      <c r="R2990" s="293"/>
      <c r="S2990" s="316"/>
      <c r="T2990" s="355"/>
    </row>
    <row r="2991" spans="11:20" x14ac:dyDescent="0.25">
      <c r="K2991" s="312"/>
      <c r="N2991" s="514"/>
      <c r="R2991" s="293"/>
      <c r="S2991" s="316"/>
      <c r="T2991" s="355"/>
    </row>
    <row r="2992" spans="11:20" x14ac:dyDescent="0.25">
      <c r="K2992" s="312"/>
      <c r="N2992" s="514"/>
      <c r="R2992" s="293"/>
      <c r="S2992" s="316"/>
      <c r="T2992" s="355"/>
    </row>
    <row r="2993" spans="11:20" x14ac:dyDescent="0.25">
      <c r="K2993" s="312"/>
      <c r="N2993" s="514"/>
      <c r="R2993" s="293"/>
      <c r="S2993" s="316"/>
      <c r="T2993" s="355"/>
    </row>
    <row r="2994" spans="11:20" x14ac:dyDescent="0.25">
      <c r="K2994" s="312"/>
      <c r="N2994" s="514"/>
      <c r="R2994" s="293"/>
      <c r="S2994" s="316"/>
      <c r="T2994" s="355"/>
    </row>
    <row r="2995" spans="11:20" x14ac:dyDescent="0.25">
      <c r="K2995" s="312"/>
      <c r="N2995" s="514"/>
      <c r="R2995" s="293"/>
      <c r="S2995" s="316"/>
      <c r="T2995" s="355"/>
    </row>
    <row r="2996" spans="11:20" x14ac:dyDescent="0.25">
      <c r="K2996" s="312"/>
      <c r="N2996" s="514"/>
      <c r="R2996" s="293"/>
      <c r="S2996" s="316"/>
      <c r="T2996" s="355"/>
    </row>
    <row r="2997" spans="11:20" x14ac:dyDescent="0.25">
      <c r="K2997" s="312"/>
      <c r="N2997" s="514"/>
      <c r="R2997" s="293"/>
      <c r="S2997" s="316"/>
      <c r="T2997" s="355"/>
    </row>
    <row r="2998" spans="11:20" x14ac:dyDescent="0.25">
      <c r="K2998" s="312"/>
      <c r="N2998" s="514"/>
      <c r="R2998" s="293"/>
      <c r="S2998" s="316"/>
      <c r="T2998" s="355"/>
    </row>
    <row r="2999" spans="11:20" x14ac:dyDescent="0.25">
      <c r="K2999" s="312"/>
      <c r="N2999" s="514"/>
      <c r="R2999" s="293"/>
      <c r="S2999" s="316"/>
      <c r="T2999" s="355"/>
    </row>
    <row r="3000" spans="11:20" x14ac:dyDescent="0.25">
      <c r="K3000" s="312"/>
      <c r="N3000" s="514"/>
      <c r="R3000" s="293"/>
      <c r="S3000" s="316"/>
      <c r="T3000" s="355"/>
    </row>
    <row r="3001" spans="11:20" x14ac:dyDescent="0.25">
      <c r="K3001" s="312"/>
      <c r="N3001" s="514"/>
      <c r="R3001" s="293"/>
      <c r="S3001" s="316"/>
      <c r="T3001" s="355"/>
    </row>
    <row r="3002" spans="11:20" x14ac:dyDescent="0.25">
      <c r="K3002" s="312"/>
      <c r="N3002" s="514"/>
      <c r="R3002" s="293"/>
      <c r="S3002" s="316"/>
      <c r="T3002" s="355"/>
    </row>
    <row r="3003" spans="11:20" x14ac:dyDescent="0.25">
      <c r="K3003" s="312"/>
      <c r="N3003" s="514"/>
      <c r="R3003" s="293"/>
      <c r="S3003" s="316"/>
      <c r="T3003" s="355"/>
    </row>
    <row r="3004" spans="11:20" x14ac:dyDescent="0.25">
      <c r="K3004" s="312"/>
      <c r="N3004" s="514"/>
      <c r="R3004" s="293"/>
      <c r="S3004" s="316"/>
      <c r="T3004" s="355"/>
    </row>
    <row r="3005" spans="11:20" x14ac:dyDescent="0.25">
      <c r="K3005" s="312"/>
      <c r="N3005" s="514"/>
      <c r="R3005" s="293"/>
      <c r="S3005" s="316"/>
      <c r="T3005" s="355"/>
    </row>
    <row r="3006" spans="11:20" x14ac:dyDescent="0.25">
      <c r="K3006" s="312"/>
      <c r="N3006" s="514"/>
      <c r="R3006" s="293"/>
      <c r="S3006" s="316"/>
      <c r="T3006" s="355"/>
    </row>
    <row r="3007" spans="11:20" x14ac:dyDescent="0.25">
      <c r="K3007" s="312"/>
      <c r="N3007" s="514"/>
      <c r="R3007" s="293"/>
      <c r="S3007" s="316"/>
      <c r="T3007" s="355"/>
    </row>
    <row r="3008" spans="11:20" x14ac:dyDescent="0.25">
      <c r="K3008" s="312"/>
      <c r="N3008" s="514"/>
      <c r="R3008" s="293"/>
      <c r="S3008" s="316"/>
      <c r="T3008" s="355"/>
    </row>
    <row r="3009" spans="11:20" x14ac:dyDescent="0.25">
      <c r="K3009" s="312"/>
      <c r="N3009" s="514"/>
      <c r="R3009" s="293"/>
      <c r="S3009" s="316"/>
      <c r="T3009" s="355"/>
    </row>
    <row r="3010" spans="11:20" x14ac:dyDescent="0.25">
      <c r="K3010" s="312"/>
      <c r="N3010" s="514"/>
      <c r="R3010" s="293"/>
      <c r="S3010" s="316"/>
      <c r="T3010" s="355"/>
    </row>
    <row r="3011" spans="11:20" x14ac:dyDescent="0.25">
      <c r="K3011" s="312"/>
      <c r="N3011" s="514"/>
      <c r="R3011" s="293"/>
      <c r="S3011" s="316"/>
      <c r="T3011" s="355"/>
    </row>
    <row r="3012" spans="11:20" x14ac:dyDescent="0.25">
      <c r="K3012" s="312"/>
      <c r="N3012" s="514"/>
      <c r="R3012" s="293"/>
      <c r="S3012" s="316"/>
      <c r="T3012" s="355"/>
    </row>
    <row r="3013" spans="11:20" x14ac:dyDescent="0.25">
      <c r="K3013" s="312"/>
      <c r="N3013" s="514"/>
      <c r="R3013" s="293"/>
      <c r="S3013" s="316"/>
      <c r="T3013" s="355"/>
    </row>
    <row r="3014" spans="11:20" x14ac:dyDescent="0.25">
      <c r="K3014" s="312"/>
      <c r="N3014" s="514"/>
      <c r="R3014" s="293"/>
      <c r="S3014" s="316"/>
      <c r="T3014" s="355"/>
    </row>
    <row r="3015" spans="11:20" x14ac:dyDescent="0.25">
      <c r="K3015" s="312"/>
      <c r="N3015" s="514"/>
      <c r="R3015" s="293"/>
      <c r="S3015" s="316"/>
      <c r="T3015" s="355"/>
    </row>
    <row r="3016" spans="11:20" x14ac:dyDescent="0.25">
      <c r="K3016" s="312"/>
      <c r="N3016" s="514"/>
      <c r="R3016" s="293"/>
      <c r="S3016" s="316"/>
      <c r="T3016" s="355"/>
    </row>
    <row r="3017" spans="11:20" x14ac:dyDescent="0.25">
      <c r="K3017" s="312"/>
      <c r="N3017" s="514"/>
      <c r="R3017" s="293"/>
      <c r="S3017" s="316"/>
      <c r="T3017" s="355"/>
    </row>
    <row r="3018" spans="11:20" x14ac:dyDescent="0.25">
      <c r="K3018" s="312"/>
      <c r="N3018" s="514"/>
      <c r="R3018" s="293"/>
      <c r="S3018" s="316"/>
      <c r="T3018" s="355"/>
    </row>
    <row r="3019" spans="11:20" x14ac:dyDescent="0.25">
      <c r="K3019" s="312"/>
      <c r="N3019" s="514"/>
      <c r="R3019" s="293"/>
      <c r="S3019" s="316"/>
      <c r="T3019" s="355"/>
    </row>
    <row r="3020" spans="11:20" x14ac:dyDescent="0.25">
      <c r="K3020" s="312"/>
      <c r="N3020" s="514"/>
      <c r="R3020" s="293"/>
      <c r="S3020" s="316"/>
      <c r="T3020" s="355"/>
    </row>
    <row r="3021" spans="11:20" x14ac:dyDescent="0.25">
      <c r="K3021" s="312"/>
      <c r="N3021" s="514"/>
      <c r="R3021" s="293"/>
      <c r="S3021" s="316"/>
      <c r="T3021" s="355"/>
    </row>
    <row r="3022" spans="11:20" x14ac:dyDescent="0.25">
      <c r="K3022" s="312"/>
      <c r="N3022" s="514"/>
      <c r="R3022" s="293"/>
      <c r="S3022" s="316"/>
      <c r="T3022" s="355"/>
    </row>
    <row r="3023" spans="11:20" x14ac:dyDescent="0.25">
      <c r="K3023" s="312"/>
      <c r="N3023" s="514"/>
      <c r="R3023" s="293"/>
      <c r="S3023" s="316"/>
      <c r="T3023" s="355"/>
    </row>
    <row r="3024" spans="11:20" x14ac:dyDescent="0.25">
      <c r="K3024" s="312"/>
      <c r="N3024" s="514"/>
      <c r="R3024" s="293"/>
      <c r="S3024" s="316"/>
      <c r="T3024" s="355"/>
    </row>
    <row r="3025" spans="11:20" x14ac:dyDescent="0.25">
      <c r="K3025" s="312"/>
      <c r="N3025" s="514"/>
      <c r="R3025" s="293"/>
      <c r="S3025" s="316"/>
      <c r="T3025" s="355"/>
    </row>
    <row r="3026" spans="11:20" x14ac:dyDescent="0.25">
      <c r="K3026" s="312"/>
      <c r="N3026" s="514"/>
      <c r="R3026" s="293"/>
      <c r="S3026" s="316"/>
      <c r="T3026" s="355"/>
    </row>
    <row r="3027" spans="11:20" x14ac:dyDescent="0.25">
      <c r="K3027" s="312"/>
      <c r="N3027" s="514"/>
      <c r="R3027" s="293"/>
      <c r="S3027" s="316"/>
      <c r="T3027" s="355"/>
    </row>
    <row r="3028" spans="11:20" x14ac:dyDescent="0.25">
      <c r="K3028" s="312"/>
      <c r="N3028" s="514"/>
      <c r="R3028" s="293"/>
      <c r="S3028" s="316"/>
      <c r="T3028" s="355"/>
    </row>
    <row r="3029" spans="11:20" x14ac:dyDescent="0.25">
      <c r="K3029" s="312"/>
      <c r="N3029" s="514"/>
      <c r="R3029" s="293"/>
      <c r="S3029" s="316"/>
      <c r="T3029" s="355"/>
    </row>
    <row r="3030" spans="11:20" x14ac:dyDescent="0.25">
      <c r="K3030" s="312"/>
      <c r="N3030" s="514"/>
      <c r="R3030" s="293"/>
      <c r="S3030" s="316"/>
      <c r="T3030" s="355"/>
    </row>
    <row r="3031" spans="11:20" x14ac:dyDescent="0.25">
      <c r="K3031" s="312"/>
      <c r="N3031" s="514"/>
      <c r="R3031" s="293"/>
      <c r="S3031" s="316"/>
      <c r="T3031" s="355"/>
    </row>
    <row r="3032" spans="11:20" x14ac:dyDescent="0.25">
      <c r="K3032" s="312"/>
      <c r="N3032" s="514"/>
      <c r="R3032" s="293"/>
      <c r="S3032" s="316"/>
      <c r="T3032" s="355"/>
    </row>
    <row r="3033" spans="11:20" x14ac:dyDescent="0.25">
      <c r="K3033" s="312"/>
      <c r="N3033" s="514"/>
      <c r="R3033" s="293"/>
      <c r="S3033" s="316"/>
      <c r="T3033" s="355"/>
    </row>
    <row r="3034" spans="11:20" x14ac:dyDescent="0.25">
      <c r="K3034" s="312"/>
      <c r="N3034" s="514"/>
      <c r="R3034" s="293"/>
      <c r="S3034" s="316"/>
      <c r="T3034" s="355"/>
    </row>
    <row r="3035" spans="11:20" x14ac:dyDescent="0.25">
      <c r="K3035" s="312"/>
      <c r="N3035" s="514"/>
      <c r="R3035" s="293"/>
      <c r="S3035" s="316"/>
      <c r="T3035" s="355"/>
    </row>
    <row r="3036" spans="11:20" x14ac:dyDescent="0.25">
      <c r="K3036" s="312"/>
      <c r="N3036" s="514"/>
      <c r="R3036" s="293"/>
      <c r="S3036" s="316"/>
      <c r="T3036" s="355"/>
    </row>
    <row r="3037" spans="11:20" x14ac:dyDescent="0.25">
      <c r="K3037" s="312"/>
      <c r="N3037" s="514"/>
      <c r="R3037" s="293"/>
      <c r="S3037" s="316"/>
      <c r="T3037" s="355"/>
    </row>
    <row r="3038" spans="11:20" x14ac:dyDescent="0.25">
      <c r="K3038" s="312"/>
      <c r="N3038" s="514"/>
      <c r="R3038" s="293"/>
      <c r="S3038" s="316"/>
      <c r="T3038" s="355"/>
    </row>
    <row r="3039" spans="11:20" x14ac:dyDescent="0.25">
      <c r="K3039" s="312"/>
      <c r="N3039" s="514"/>
      <c r="R3039" s="293"/>
      <c r="S3039" s="316"/>
      <c r="T3039" s="355"/>
    </row>
    <row r="3040" spans="11:20" x14ac:dyDescent="0.25">
      <c r="K3040" s="312"/>
      <c r="N3040" s="514"/>
      <c r="R3040" s="293"/>
      <c r="S3040" s="316"/>
      <c r="T3040" s="355"/>
    </row>
    <row r="3041" spans="11:20" x14ac:dyDescent="0.25">
      <c r="K3041" s="312"/>
      <c r="N3041" s="514"/>
      <c r="R3041" s="293"/>
      <c r="S3041" s="316"/>
      <c r="T3041" s="355"/>
    </row>
    <row r="3042" spans="11:20" x14ac:dyDescent="0.25">
      <c r="K3042" s="312"/>
      <c r="N3042" s="514"/>
      <c r="R3042" s="293"/>
      <c r="S3042" s="316"/>
      <c r="T3042" s="355"/>
    </row>
    <row r="3043" spans="11:20" x14ac:dyDescent="0.25">
      <c r="K3043" s="312"/>
      <c r="N3043" s="514"/>
      <c r="R3043" s="293"/>
      <c r="S3043" s="316"/>
      <c r="T3043" s="355"/>
    </row>
    <row r="3044" spans="11:20" x14ac:dyDescent="0.25">
      <c r="K3044" s="312"/>
      <c r="N3044" s="514"/>
      <c r="R3044" s="293"/>
      <c r="S3044" s="316"/>
      <c r="T3044" s="355"/>
    </row>
    <row r="3045" spans="11:20" x14ac:dyDescent="0.25">
      <c r="K3045" s="312"/>
      <c r="N3045" s="514"/>
      <c r="R3045" s="293"/>
      <c r="S3045" s="316"/>
      <c r="T3045" s="355"/>
    </row>
    <row r="3046" spans="11:20" x14ac:dyDescent="0.25">
      <c r="K3046" s="312"/>
      <c r="N3046" s="514"/>
      <c r="R3046" s="293"/>
      <c r="S3046" s="316"/>
      <c r="T3046" s="355"/>
    </row>
    <row r="3047" spans="11:20" x14ac:dyDescent="0.25">
      <c r="K3047" s="312"/>
      <c r="N3047" s="514"/>
      <c r="R3047" s="293"/>
      <c r="S3047" s="316"/>
      <c r="T3047" s="355"/>
    </row>
    <row r="3048" spans="11:20" x14ac:dyDescent="0.25">
      <c r="K3048" s="312"/>
      <c r="N3048" s="514"/>
      <c r="R3048" s="293"/>
      <c r="S3048" s="316"/>
      <c r="T3048" s="355"/>
    </row>
    <row r="3049" spans="11:20" x14ac:dyDescent="0.25">
      <c r="K3049" s="312"/>
      <c r="N3049" s="514"/>
      <c r="R3049" s="293"/>
      <c r="S3049" s="316"/>
      <c r="T3049" s="355"/>
    </row>
    <row r="3050" spans="11:20" x14ac:dyDescent="0.25">
      <c r="K3050" s="312"/>
      <c r="N3050" s="514"/>
      <c r="R3050" s="293"/>
      <c r="S3050" s="316"/>
      <c r="T3050" s="355"/>
    </row>
    <row r="3051" spans="11:20" x14ac:dyDescent="0.25">
      <c r="K3051" s="312"/>
      <c r="N3051" s="514"/>
      <c r="R3051" s="293"/>
      <c r="S3051" s="316"/>
      <c r="T3051" s="355"/>
    </row>
    <row r="3052" spans="11:20" x14ac:dyDescent="0.25">
      <c r="K3052" s="312"/>
      <c r="N3052" s="514"/>
      <c r="R3052" s="293"/>
      <c r="S3052" s="316"/>
      <c r="T3052" s="355"/>
    </row>
    <row r="3053" spans="11:20" x14ac:dyDescent="0.25">
      <c r="K3053" s="312"/>
      <c r="N3053" s="514"/>
      <c r="R3053" s="293"/>
      <c r="S3053" s="316"/>
      <c r="T3053" s="355"/>
    </row>
    <row r="3054" spans="11:20" x14ac:dyDescent="0.25">
      <c r="K3054" s="312"/>
      <c r="N3054" s="514"/>
      <c r="R3054" s="293"/>
      <c r="S3054" s="316"/>
      <c r="T3054" s="355"/>
    </row>
    <row r="3055" spans="11:20" x14ac:dyDescent="0.25">
      <c r="K3055" s="312"/>
      <c r="N3055" s="514"/>
      <c r="R3055" s="293"/>
      <c r="S3055" s="316"/>
      <c r="T3055" s="355"/>
    </row>
    <row r="3056" spans="11:20" x14ac:dyDescent="0.25">
      <c r="K3056" s="312"/>
      <c r="N3056" s="514"/>
      <c r="R3056" s="293"/>
      <c r="S3056" s="316"/>
      <c r="T3056" s="355"/>
    </row>
    <row r="3057" spans="11:20" x14ac:dyDescent="0.25">
      <c r="K3057" s="312"/>
      <c r="N3057" s="514"/>
      <c r="R3057" s="293"/>
      <c r="S3057" s="316"/>
      <c r="T3057" s="355"/>
    </row>
    <row r="3058" spans="11:20" x14ac:dyDescent="0.25">
      <c r="K3058" s="312"/>
      <c r="N3058" s="514"/>
      <c r="R3058" s="293"/>
      <c r="S3058" s="316"/>
      <c r="T3058" s="355"/>
    </row>
    <row r="3059" spans="11:20" x14ac:dyDescent="0.25">
      <c r="K3059" s="312"/>
      <c r="N3059" s="514"/>
      <c r="R3059" s="293"/>
      <c r="S3059" s="316"/>
      <c r="T3059" s="355"/>
    </row>
    <row r="3060" spans="11:20" x14ac:dyDescent="0.25">
      <c r="K3060" s="312"/>
      <c r="N3060" s="514"/>
      <c r="R3060" s="293"/>
      <c r="S3060" s="316"/>
      <c r="T3060" s="355"/>
    </row>
    <row r="3061" spans="11:20" x14ac:dyDescent="0.25">
      <c r="K3061" s="312"/>
      <c r="N3061" s="514"/>
      <c r="R3061" s="293"/>
      <c r="S3061" s="316"/>
      <c r="T3061" s="355"/>
    </row>
    <row r="3062" spans="11:20" x14ac:dyDescent="0.25">
      <c r="K3062" s="312"/>
      <c r="N3062" s="514"/>
      <c r="R3062" s="293"/>
      <c r="S3062" s="316"/>
      <c r="T3062" s="355"/>
    </row>
    <row r="3063" spans="11:20" x14ac:dyDescent="0.25">
      <c r="K3063" s="312"/>
      <c r="N3063" s="514"/>
      <c r="R3063" s="293"/>
      <c r="S3063" s="316"/>
      <c r="T3063" s="355"/>
    </row>
    <row r="3064" spans="11:20" x14ac:dyDescent="0.25">
      <c r="K3064" s="312"/>
      <c r="N3064" s="514"/>
      <c r="R3064" s="293"/>
      <c r="S3064" s="316"/>
      <c r="T3064" s="355"/>
    </row>
    <row r="3065" spans="11:20" x14ac:dyDescent="0.25">
      <c r="K3065" s="312"/>
      <c r="N3065" s="514"/>
      <c r="R3065" s="293"/>
      <c r="S3065" s="316"/>
      <c r="T3065" s="355"/>
    </row>
    <row r="3066" spans="11:20" x14ac:dyDescent="0.25">
      <c r="K3066" s="312"/>
      <c r="N3066" s="514"/>
      <c r="R3066" s="293"/>
      <c r="S3066" s="316"/>
      <c r="T3066" s="355"/>
    </row>
    <row r="3067" spans="11:20" x14ac:dyDescent="0.25">
      <c r="K3067" s="312"/>
      <c r="N3067" s="514"/>
      <c r="R3067" s="293"/>
      <c r="S3067" s="316"/>
      <c r="T3067" s="355"/>
    </row>
    <row r="3068" spans="11:20" x14ac:dyDescent="0.25">
      <c r="K3068" s="312"/>
      <c r="N3068" s="514"/>
      <c r="R3068" s="293"/>
      <c r="S3068" s="316"/>
      <c r="T3068" s="355"/>
    </row>
    <row r="3069" spans="11:20" x14ac:dyDescent="0.25">
      <c r="K3069" s="312"/>
      <c r="N3069" s="514"/>
      <c r="R3069" s="293"/>
      <c r="S3069" s="316"/>
      <c r="T3069" s="355"/>
    </row>
    <row r="3070" spans="11:20" x14ac:dyDescent="0.25">
      <c r="K3070" s="312"/>
      <c r="N3070" s="514"/>
      <c r="R3070" s="293"/>
      <c r="S3070" s="316"/>
      <c r="T3070" s="355"/>
    </row>
    <row r="3071" spans="11:20" x14ac:dyDescent="0.25">
      <c r="K3071" s="312"/>
      <c r="N3071" s="514"/>
      <c r="R3071" s="293"/>
      <c r="S3071" s="316"/>
      <c r="T3071" s="355"/>
    </row>
    <row r="3072" spans="11:20" x14ac:dyDescent="0.25">
      <c r="K3072" s="312"/>
      <c r="N3072" s="514"/>
      <c r="R3072" s="293"/>
      <c r="S3072" s="316"/>
      <c r="T3072" s="355"/>
    </row>
    <row r="3073" spans="11:20" x14ac:dyDescent="0.25">
      <c r="K3073" s="312"/>
      <c r="N3073" s="514"/>
      <c r="R3073" s="293"/>
      <c r="S3073" s="316"/>
      <c r="T3073" s="355"/>
    </row>
    <row r="3074" spans="11:20" x14ac:dyDescent="0.25">
      <c r="K3074" s="312"/>
      <c r="N3074" s="514"/>
      <c r="R3074" s="293"/>
      <c r="S3074" s="316"/>
      <c r="T3074" s="355"/>
    </row>
    <row r="3075" spans="11:20" x14ac:dyDescent="0.25">
      <c r="K3075" s="312"/>
      <c r="N3075" s="514"/>
      <c r="R3075" s="293"/>
      <c r="S3075" s="316"/>
      <c r="T3075" s="355"/>
    </row>
    <row r="3076" spans="11:20" x14ac:dyDescent="0.25">
      <c r="K3076" s="312"/>
      <c r="N3076" s="514"/>
      <c r="R3076" s="293"/>
      <c r="S3076" s="316"/>
      <c r="T3076" s="355"/>
    </row>
    <row r="3077" spans="11:20" x14ac:dyDescent="0.25">
      <c r="K3077" s="312"/>
      <c r="N3077" s="514"/>
      <c r="R3077" s="293"/>
      <c r="S3077" s="316"/>
      <c r="T3077" s="355"/>
    </row>
    <row r="3078" spans="11:20" x14ac:dyDescent="0.25">
      <c r="K3078" s="312"/>
      <c r="N3078" s="514"/>
      <c r="R3078" s="293"/>
      <c r="S3078" s="316"/>
      <c r="T3078" s="355"/>
    </row>
    <row r="3079" spans="11:20" x14ac:dyDescent="0.25">
      <c r="K3079" s="312"/>
      <c r="N3079" s="514"/>
      <c r="R3079" s="293"/>
      <c r="S3079" s="316"/>
      <c r="T3079" s="355"/>
    </row>
    <row r="3080" spans="11:20" x14ac:dyDescent="0.25">
      <c r="K3080" s="312"/>
      <c r="N3080" s="514"/>
      <c r="R3080" s="293"/>
      <c r="S3080" s="316"/>
      <c r="T3080" s="355"/>
    </row>
    <row r="3081" spans="11:20" x14ac:dyDescent="0.25">
      <c r="K3081" s="312"/>
      <c r="N3081" s="514"/>
      <c r="R3081" s="293"/>
      <c r="S3081" s="316"/>
      <c r="T3081" s="355"/>
    </row>
    <row r="3082" spans="11:20" x14ac:dyDescent="0.25">
      <c r="K3082" s="312"/>
      <c r="N3082" s="514"/>
      <c r="R3082" s="293"/>
      <c r="S3082" s="316"/>
      <c r="T3082" s="355"/>
    </row>
    <row r="3083" spans="11:20" x14ac:dyDescent="0.25">
      <c r="K3083" s="312"/>
      <c r="N3083" s="514"/>
      <c r="R3083" s="293"/>
      <c r="S3083" s="316"/>
      <c r="T3083" s="355"/>
    </row>
    <row r="3084" spans="11:20" x14ac:dyDescent="0.25">
      <c r="K3084" s="312"/>
      <c r="N3084" s="514"/>
      <c r="R3084" s="293"/>
      <c r="S3084" s="316"/>
      <c r="T3084" s="355"/>
    </row>
    <row r="3085" spans="11:20" x14ac:dyDescent="0.25">
      <c r="K3085" s="312"/>
      <c r="N3085" s="514"/>
      <c r="R3085" s="293"/>
      <c r="S3085" s="316"/>
      <c r="T3085" s="355"/>
    </row>
    <row r="3086" spans="11:20" x14ac:dyDescent="0.25">
      <c r="K3086" s="312"/>
      <c r="N3086" s="514"/>
      <c r="R3086" s="293"/>
      <c r="S3086" s="316"/>
      <c r="T3086" s="355"/>
    </row>
    <row r="3087" spans="11:20" x14ac:dyDescent="0.25">
      <c r="K3087" s="312"/>
      <c r="N3087" s="514"/>
      <c r="R3087" s="293"/>
      <c r="S3087" s="316"/>
      <c r="T3087" s="355"/>
    </row>
    <row r="3088" spans="11:20" x14ac:dyDescent="0.25">
      <c r="K3088" s="312"/>
      <c r="N3088" s="514"/>
      <c r="R3088" s="293"/>
      <c r="S3088" s="316"/>
      <c r="T3088" s="355"/>
    </row>
    <row r="3089" spans="11:20" x14ac:dyDescent="0.25">
      <c r="K3089" s="312"/>
      <c r="N3089" s="514"/>
      <c r="R3089" s="293"/>
      <c r="S3089" s="316"/>
      <c r="T3089" s="355"/>
    </row>
    <row r="3090" spans="11:20" x14ac:dyDescent="0.25">
      <c r="K3090" s="312"/>
      <c r="N3090" s="514"/>
      <c r="R3090" s="293"/>
      <c r="S3090" s="316"/>
      <c r="T3090" s="355"/>
    </row>
    <row r="3091" spans="11:20" x14ac:dyDescent="0.25">
      <c r="K3091" s="312"/>
      <c r="N3091" s="514"/>
      <c r="R3091" s="293"/>
      <c r="S3091" s="316"/>
      <c r="T3091" s="355"/>
    </row>
    <row r="3092" spans="11:20" x14ac:dyDescent="0.25">
      <c r="K3092" s="312"/>
      <c r="N3092" s="514"/>
      <c r="R3092" s="293"/>
      <c r="S3092" s="316"/>
      <c r="T3092" s="355"/>
    </row>
    <row r="3093" spans="11:20" x14ac:dyDescent="0.25">
      <c r="K3093" s="312"/>
      <c r="N3093" s="514"/>
      <c r="R3093" s="293"/>
      <c r="S3093" s="316"/>
      <c r="T3093" s="355"/>
    </row>
    <row r="3094" spans="11:20" x14ac:dyDescent="0.25">
      <c r="K3094" s="312"/>
      <c r="N3094" s="514"/>
      <c r="R3094" s="293"/>
      <c r="S3094" s="316"/>
      <c r="T3094" s="355"/>
    </row>
    <row r="3095" spans="11:20" x14ac:dyDescent="0.25">
      <c r="K3095" s="312"/>
      <c r="N3095" s="514"/>
      <c r="R3095" s="293"/>
      <c r="S3095" s="316"/>
      <c r="T3095" s="355"/>
    </row>
    <row r="3096" spans="11:20" x14ac:dyDescent="0.25">
      <c r="K3096" s="312"/>
      <c r="N3096" s="514"/>
      <c r="R3096" s="293"/>
      <c r="S3096" s="316"/>
      <c r="T3096" s="355"/>
    </row>
    <row r="3097" spans="11:20" x14ac:dyDescent="0.25">
      <c r="K3097" s="312"/>
      <c r="N3097" s="514"/>
      <c r="R3097" s="293"/>
      <c r="S3097" s="316"/>
      <c r="T3097" s="355"/>
    </row>
    <row r="3098" spans="11:20" x14ac:dyDescent="0.25">
      <c r="K3098" s="312"/>
      <c r="N3098" s="514"/>
      <c r="R3098" s="293"/>
      <c r="S3098" s="316"/>
      <c r="T3098" s="355"/>
    </row>
    <row r="3099" spans="11:20" x14ac:dyDescent="0.25">
      <c r="K3099" s="312"/>
      <c r="N3099" s="514"/>
      <c r="R3099" s="293"/>
      <c r="S3099" s="316"/>
      <c r="T3099" s="355"/>
    </row>
    <row r="3100" spans="11:20" x14ac:dyDescent="0.25">
      <c r="K3100" s="312"/>
      <c r="N3100" s="514"/>
      <c r="R3100" s="293"/>
      <c r="S3100" s="316"/>
      <c r="T3100" s="355"/>
    </row>
    <row r="3101" spans="11:20" x14ac:dyDescent="0.25">
      <c r="K3101" s="312"/>
      <c r="N3101" s="514"/>
      <c r="R3101" s="293"/>
      <c r="S3101" s="316"/>
      <c r="T3101" s="355"/>
    </row>
    <row r="3102" spans="11:20" x14ac:dyDescent="0.25">
      <c r="K3102" s="312"/>
      <c r="N3102" s="514"/>
      <c r="R3102" s="293"/>
      <c r="S3102" s="316"/>
      <c r="T3102" s="355"/>
    </row>
    <row r="3103" spans="11:20" x14ac:dyDescent="0.25">
      <c r="K3103" s="312"/>
      <c r="N3103" s="514"/>
      <c r="R3103" s="293"/>
      <c r="S3103" s="316"/>
      <c r="T3103" s="355"/>
    </row>
    <row r="3104" spans="11:20" x14ac:dyDescent="0.25">
      <c r="K3104" s="312"/>
      <c r="N3104" s="514"/>
      <c r="R3104" s="293"/>
      <c r="S3104" s="316"/>
      <c r="T3104" s="355"/>
    </row>
    <row r="3105" spans="11:20" x14ac:dyDescent="0.25">
      <c r="K3105" s="312"/>
      <c r="N3105" s="514"/>
      <c r="R3105" s="293"/>
      <c r="S3105" s="316"/>
      <c r="T3105" s="355"/>
    </row>
    <row r="3106" spans="11:20" x14ac:dyDescent="0.25">
      <c r="K3106" s="312"/>
      <c r="N3106" s="514"/>
      <c r="R3106" s="293"/>
      <c r="S3106" s="316"/>
      <c r="T3106" s="355"/>
    </row>
    <row r="3107" spans="11:20" x14ac:dyDescent="0.25">
      <c r="K3107" s="312"/>
      <c r="N3107" s="514"/>
      <c r="R3107" s="293"/>
      <c r="S3107" s="316"/>
      <c r="T3107" s="355"/>
    </row>
    <row r="3108" spans="11:20" x14ac:dyDescent="0.25">
      <c r="K3108" s="312"/>
      <c r="N3108" s="514"/>
      <c r="R3108" s="293"/>
      <c r="S3108" s="316"/>
      <c r="T3108" s="355"/>
    </row>
    <row r="3109" spans="11:20" x14ac:dyDescent="0.25">
      <c r="K3109" s="312"/>
      <c r="N3109" s="514"/>
      <c r="R3109" s="293"/>
      <c r="S3109" s="316"/>
      <c r="T3109" s="355"/>
    </row>
    <row r="3110" spans="11:20" x14ac:dyDescent="0.25">
      <c r="K3110" s="312"/>
      <c r="N3110" s="514"/>
      <c r="R3110" s="293"/>
      <c r="S3110" s="316"/>
      <c r="T3110" s="355"/>
    </row>
    <row r="3111" spans="11:20" x14ac:dyDescent="0.25">
      <c r="K3111" s="312"/>
      <c r="N3111" s="514"/>
      <c r="R3111" s="293"/>
      <c r="S3111" s="316"/>
      <c r="T3111" s="355"/>
    </row>
    <row r="3112" spans="11:20" x14ac:dyDescent="0.25">
      <c r="K3112" s="312"/>
      <c r="N3112" s="514"/>
      <c r="R3112" s="293"/>
      <c r="S3112" s="316"/>
      <c r="T3112" s="355"/>
    </row>
    <row r="3113" spans="11:20" x14ac:dyDescent="0.25">
      <c r="K3113" s="312"/>
      <c r="N3113" s="514"/>
      <c r="R3113" s="293"/>
      <c r="S3113" s="316"/>
      <c r="T3113" s="355"/>
    </row>
    <row r="3114" spans="11:20" x14ac:dyDescent="0.25">
      <c r="K3114" s="312"/>
      <c r="N3114" s="514"/>
      <c r="R3114" s="293"/>
      <c r="S3114" s="316"/>
      <c r="T3114" s="355"/>
    </row>
    <row r="3115" spans="11:20" x14ac:dyDescent="0.25">
      <c r="K3115" s="312"/>
      <c r="N3115" s="514"/>
      <c r="R3115" s="293"/>
      <c r="S3115" s="316"/>
      <c r="T3115" s="355"/>
    </row>
    <row r="3116" spans="11:20" x14ac:dyDescent="0.25">
      <c r="K3116" s="312"/>
      <c r="N3116" s="514"/>
      <c r="R3116" s="293"/>
      <c r="S3116" s="316"/>
      <c r="T3116" s="355"/>
    </row>
    <row r="3117" spans="11:20" x14ac:dyDescent="0.25">
      <c r="K3117" s="312"/>
      <c r="N3117" s="514"/>
      <c r="R3117" s="293"/>
      <c r="S3117" s="316"/>
      <c r="T3117" s="355"/>
    </row>
    <row r="3118" spans="11:20" x14ac:dyDescent="0.25">
      <c r="K3118" s="312"/>
      <c r="N3118" s="514"/>
      <c r="R3118" s="293"/>
      <c r="S3118" s="316"/>
      <c r="T3118" s="355"/>
    </row>
    <row r="3119" spans="11:20" x14ac:dyDescent="0.25">
      <c r="K3119" s="312"/>
      <c r="N3119" s="514"/>
      <c r="R3119" s="293"/>
      <c r="S3119" s="316"/>
      <c r="T3119" s="355"/>
    </row>
    <row r="3120" spans="11:20" x14ac:dyDescent="0.25">
      <c r="K3120" s="312"/>
      <c r="N3120" s="514"/>
      <c r="R3120" s="293"/>
      <c r="S3120" s="316"/>
      <c r="T3120" s="355"/>
    </row>
    <row r="3121" spans="11:20" x14ac:dyDescent="0.25">
      <c r="K3121" s="312"/>
      <c r="N3121" s="514"/>
      <c r="R3121" s="293"/>
      <c r="S3121" s="316"/>
      <c r="T3121" s="355"/>
    </row>
    <row r="3122" spans="11:20" x14ac:dyDescent="0.25">
      <c r="K3122" s="312"/>
      <c r="N3122" s="514"/>
      <c r="R3122" s="293"/>
      <c r="S3122" s="316"/>
      <c r="T3122" s="355"/>
    </row>
    <row r="3123" spans="11:20" x14ac:dyDescent="0.25">
      <c r="K3123" s="312"/>
      <c r="N3123" s="514"/>
      <c r="R3123" s="293"/>
      <c r="S3123" s="316"/>
      <c r="T3123" s="355"/>
    </row>
    <row r="3124" spans="11:20" x14ac:dyDescent="0.25">
      <c r="K3124" s="312"/>
      <c r="N3124" s="514"/>
      <c r="R3124" s="293"/>
      <c r="S3124" s="316"/>
      <c r="T3124" s="355"/>
    </row>
    <row r="3125" spans="11:20" x14ac:dyDescent="0.25">
      <c r="K3125" s="312"/>
      <c r="N3125" s="514"/>
      <c r="R3125" s="293"/>
      <c r="S3125" s="316"/>
      <c r="T3125" s="355"/>
    </row>
    <row r="3126" spans="11:20" x14ac:dyDescent="0.25">
      <c r="K3126" s="312"/>
      <c r="N3126" s="514"/>
      <c r="R3126" s="293"/>
      <c r="S3126" s="316"/>
      <c r="T3126" s="355"/>
    </row>
    <row r="3127" spans="11:20" x14ac:dyDescent="0.25">
      <c r="K3127" s="312"/>
      <c r="N3127" s="514"/>
      <c r="R3127" s="293"/>
      <c r="S3127" s="316"/>
      <c r="T3127" s="355"/>
    </row>
    <row r="3128" spans="11:20" x14ac:dyDescent="0.25">
      <c r="K3128" s="312"/>
      <c r="N3128" s="514"/>
      <c r="R3128" s="293"/>
      <c r="S3128" s="316"/>
      <c r="T3128" s="355"/>
    </row>
    <row r="3129" spans="11:20" x14ac:dyDescent="0.25">
      <c r="K3129" s="312"/>
      <c r="N3129" s="514"/>
      <c r="R3129" s="293"/>
      <c r="S3129" s="316"/>
      <c r="T3129" s="355"/>
    </row>
    <row r="3130" spans="11:20" x14ac:dyDescent="0.25">
      <c r="K3130" s="312"/>
      <c r="N3130" s="514"/>
      <c r="R3130" s="293"/>
      <c r="S3130" s="316"/>
      <c r="T3130" s="355"/>
    </row>
    <row r="3131" spans="11:20" x14ac:dyDescent="0.25">
      <c r="K3131" s="312"/>
      <c r="N3131" s="514"/>
      <c r="R3131" s="293"/>
      <c r="S3131" s="316"/>
      <c r="T3131" s="355"/>
    </row>
    <row r="3132" spans="11:20" x14ac:dyDescent="0.25">
      <c r="K3132" s="312"/>
      <c r="N3132" s="514"/>
      <c r="R3132" s="293"/>
      <c r="S3132" s="316"/>
      <c r="T3132" s="355"/>
    </row>
    <row r="3133" spans="11:20" x14ac:dyDescent="0.25">
      <c r="K3133" s="312"/>
      <c r="N3133" s="514"/>
      <c r="R3133" s="293"/>
      <c r="S3133" s="316"/>
      <c r="T3133" s="355"/>
    </row>
    <row r="3134" spans="11:20" x14ac:dyDescent="0.25">
      <c r="K3134" s="312"/>
      <c r="N3134" s="514"/>
      <c r="R3134" s="293"/>
      <c r="S3134" s="316"/>
      <c r="T3134" s="355"/>
    </row>
    <row r="3135" spans="11:20" x14ac:dyDescent="0.25">
      <c r="K3135" s="312"/>
      <c r="N3135" s="514"/>
      <c r="R3135" s="293"/>
      <c r="S3135" s="316"/>
      <c r="T3135" s="355"/>
    </row>
    <row r="3136" spans="11:20" x14ac:dyDescent="0.25">
      <c r="K3136" s="312"/>
      <c r="N3136" s="514"/>
      <c r="R3136" s="293"/>
      <c r="S3136" s="316"/>
      <c r="T3136" s="355"/>
    </row>
    <row r="3137" spans="11:20" x14ac:dyDescent="0.25">
      <c r="K3137" s="312"/>
      <c r="N3137" s="514"/>
      <c r="R3137" s="293"/>
      <c r="S3137" s="316"/>
      <c r="T3137" s="355"/>
    </row>
    <row r="3138" spans="11:20" x14ac:dyDescent="0.25">
      <c r="K3138" s="312"/>
      <c r="N3138" s="514"/>
      <c r="R3138" s="293"/>
      <c r="S3138" s="316"/>
      <c r="T3138" s="355"/>
    </row>
    <row r="3139" spans="11:20" x14ac:dyDescent="0.25">
      <c r="K3139" s="312"/>
      <c r="N3139" s="514"/>
      <c r="R3139" s="293"/>
      <c r="S3139" s="316"/>
      <c r="T3139" s="355"/>
    </row>
    <row r="3140" spans="11:20" x14ac:dyDescent="0.25">
      <c r="K3140" s="312"/>
      <c r="N3140" s="514"/>
      <c r="R3140" s="293"/>
      <c r="S3140" s="316"/>
      <c r="T3140" s="355"/>
    </row>
    <row r="3141" spans="11:20" x14ac:dyDescent="0.25">
      <c r="K3141" s="312"/>
      <c r="N3141" s="514"/>
      <c r="R3141" s="293"/>
      <c r="S3141" s="316"/>
      <c r="T3141" s="355"/>
    </row>
    <row r="3142" spans="11:20" x14ac:dyDescent="0.25">
      <c r="K3142" s="312"/>
      <c r="N3142" s="514"/>
      <c r="R3142" s="293"/>
      <c r="S3142" s="316"/>
      <c r="T3142" s="355"/>
    </row>
    <row r="3143" spans="11:20" x14ac:dyDescent="0.25">
      <c r="K3143" s="312"/>
      <c r="N3143" s="514"/>
      <c r="R3143" s="293"/>
      <c r="S3143" s="316"/>
      <c r="T3143" s="355"/>
    </row>
    <row r="3144" spans="11:20" x14ac:dyDescent="0.25">
      <c r="K3144" s="312"/>
      <c r="N3144" s="514"/>
      <c r="R3144" s="293"/>
      <c r="S3144" s="316"/>
      <c r="T3144" s="355"/>
    </row>
    <row r="3145" spans="11:20" x14ac:dyDescent="0.25">
      <c r="K3145" s="312"/>
      <c r="N3145" s="514"/>
      <c r="R3145" s="293"/>
      <c r="S3145" s="316"/>
      <c r="T3145" s="355"/>
    </row>
    <row r="3146" spans="11:20" x14ac:dyDescent="0.25">
      <c r="K3146" s="312"/>
      <c r="N3146" s="514"/>
      <c r="R3146" s="293"/>
      <c r="S3146" s="316"/>
      <c r="T3146" s="355"/>
    </row>
    <row r="3147" spans="11:20" x14ac:dyDescent="0.25">
      <c r="K3147" s="312"/>
      <c r="N3147" s="514"/>
      <c r="R3147" s="293"/>
      <c r="S3147" s="316"/>
      <c r="T3147" s="355"/>
    </row>
    <row r="3148" spans="11:20" x14ac:dyDescent="0.25">
      <c r="K3148" s="312"/>
      <c r="N3148" s="514"/>
      <c r="R3148" s="293"/>
      <c r="S3148" s="316"/>
      <c r="T3148" s="355"/>
    </row>
    <row r="3149" spans="11:20" x14ac:dyDescent="0.25">
      <c r="K3149" s="312"/>
      <c r="N3149" s="514"/>
      <c r="R3149" s="293"/>
      <c r="S3149" s="316"/>
      <c r="T3149" s="355"/>
    </row>
    <row r="3150" spans="11:20" x14ac:dyDescent="0.25">
      <c r="K3150" s="312"/>
      <c r="N3150" s="514"/>
      <c r="R3150" s="293"/>
      <c r="S3150" s="316"/>
      <c r="T3150" s="355"/>
    </row>
    <row r="3151" spans="11:20" x14ac:dyDescent="0.25">
      <c r="K3151" s="312"/>
      <c r="N3151" s="514"/>
      <c r="R3151" s="293"/>
      <c r="S3151" s="316"/>
      <c r="T3151" s="355"/>
    </row>
    <row r="3152" spans="11:20" x14ac:dyDescent="0.25">
      <c r="K3152" s="312"/>
      <c r="N3152" s="514"/>
      <c r="R3152" s="293"/>
      <c r="S3152" s="316"/>
      <c r="T3152" s="355"/>
    </row>
    <row r="3153" spans="11:20" x14ac:dyDescent="0.25">
      <c r="K3153" s="312"/>
      <c r="N3153" s="514"/>
      <c r="R3153" s="293"/>
      <c r="S3153" s="316"/>
      <c r="T3153" s="355"/>
    </row>
    <row r="3154" spans="11:20" x14ac:dyDescent="0.25">
      <c r="K3154" s="312"/>
      <c r="N3154" s="514"/>
      <c r="R3154" s="293"/>
      <c r="S3154" s="316"/>
      <c r="T3154" s="355"/>
    </row>
    <row r="3155" spans="11:20" x14ac:dyDescent="0.25">
      <c r="K3155" s="312"/>
      <c r="N3155" s="514"/>
      <c r="R3155" s="293"/>
      <c r="S3155" s="316"/>
      <c r="T3155" s="355"/>
    </row>
    <row r="3156" spans="11:20" x14ac:dyDescent="0.25">
      <c r="K3156" s="312"/>
      <c r="N3156" s="514"/>
      <c r="R3156" s="293"/>
      <c r="S3156" s="316"/>
      <c r="T3156" s="355"/>
    </row>
    <row r="3157" spans="11:20" x14ac:dyDescent="0.25">
      <c r="K3157" s="312"/>
      <c r="N3157" s="514"/>
      <c r="R3157" s="293"/>
      <c r="S3157" s="316"/>
      <c r="T3157" s="355"/>
    </row>
    <row r="3158" spans="11:20" x14ac:dyDescent="0.25">
      <c r="K3158" s="312"/>
      <c r="N3158" s="514"/>
      <c r="R3158" s="293"/>
      <c r="S3158" s="316"/>
      <c r="T3158" s="355"/>
    </row>
    <row r="3159" spans="11:20" x14ac:dyDescent="0.25">
      <c r="K3159" s="312"/>
      <c r="N3159" s="514"/>
      <c r="R3159" s="293"/>
      <c r="S3159" s="316"/>
      <c r="T3159" s="355"/>
    </row>
    <row r="3160" spans="11:20" x14ac:dyDescent="0.25">
      <c r="K3160" s="312"/>
      <c r="N3160" s="514"/>
      <c r="R3160" s="293"/>
      <c r="S3160" s="316"/>
      <c r="T3160" s="355"/>
    </row>
    <row r="3161" spans="11:20" x14ac:dyDescent="0.25">
      <c r="K3161" s="312"/>
      <c r="N3161" s="514"/>
      <c r="R3161" s="293"/>
      <c r="S3161" s="316"/>
      <c r="T3161" s="355"/>
    </row>
    <row r="3162" spans="11:20" x14ac:dyDescent="0.25">
      <c r="K3162" s="312"/>
      <c r="N3162" s="514"/>
      <c r="R3162" s="293"/>
      <c r="S3162" s="316"/>
      <c r="T3162" s="355"/>
    </row>
    <row r="3163" spans="11:20" x14ac:dyDescent="0.25">
      <c r="K3163" s="312"/>
      <c r="N3163" s="514"/>
      <c r="R3163" s="293"/>
      <c r="S3163" s="316"/>
      <c r="T3163" s="355"/>
    </row>
    <row r="3164" spans="11:20" x14ac:dyDescent="0.25">
      <c r="K3164" s="312"/>
      <c r="N3164" s="514"/>
      <c r="R3164" s="293"/>
      <c r="S3164" s="316"/>
      <c r="T3164" s="355"/>
    </row>
    <row r="3165" spans="11:20" x14ac:dyDescent="0.25">
      <c r="K3165" s="312"/>
      <c r="N3165" s="514"/>
      <c r="R3165" s="293"/>
      <c r="S3165" s="316"/>
      <c r="T3165" s="355"/>
    </row>
    <row r="3166" spans="11:20" x14ac:dyDescent="0.25">
      <c r="K3166" s="312"/>
      <c r="N3166" s="514"/>
      <c r="R3166" s="293"/>
      <c r="S3166" s="316"/>
      <c r="T3166" s="355"/>
    </row>
    <row r="3167" spans="11:20" x14ac:dyDescent="0.25">
      <c r="K3167" s="312"/>
      <c r="N3167" s="514"/>
      <c r="R3167" s="293"/>
      <c r="S3167" s="316"/>
      <c r="T3167" s="355"/>
    </row>
    <row r="3168" spans="11:20" x14ac:dyDescent="0.25">
      <c r="K3168" s="312"/>
      <c r="N3168" s="514"/>
      <c r="R3168" s="293"/>
      <c r="S3168" s="316"/>
      <c r="T3168" s="355"/>
    </row>
    <row r="3169" spans="11:20" x14ac:dyDescent="0.25">
      <c r="K3169" s="312"/>
      <c r="N3169" s="514"/>
      <c r="R3169" s="293"/>
      <c r="S3169" s="316"/>
      <c r="T3169" s="355"/>
    </row>
    <row r="3170" spans="11:20" x14ac:dyDescent="0.25">
      <c r="K3170" s="312"/>
      <c r="N3170" s="514"/>
      <c r="R3170" s="293"/>
      <c r="S3170" s="316"/>
      <c r="T3170" s="355"/>
    </row>
    <row r="3171" spans="11:20" x14ac:dyDescent="0.25">
      <c r="K3171" s="312"/>
      <c r="N3171" s="514"/>
      <c r="R3171" s="293"/>
      <c r="S3171" s="316"/>
      <c r="T3171" s="355"/>
    </row>
    <row r="3172" spans="11:20" x14ac:dyDescent="0.25">
      <c r="K3172" s="312"/>
      <c r="N3172" s="514"/>
      <c r="R3172" s="293"/>
      <c r="S3172" s="316"/>
      <c r="T3172" s="355"/>
    </row>
    <row r="3173" spans="11:20" x14ac:dyDescent="0.25">
      <c r="K3173" s="312"/>
      <c r="N3173" s="514"/>
      <c r="R3173" s="293"/>
      <c r="S3173" s="316"/>
      <c r="T3173" s="355"/>
    </row>
    <row r="3174" spans="11:20" x14ac:dyDescent="0.25">
      <c r="K3174" s="312"/>
      <c r="N3174" s="514"/>
      <c r="R3174" s="293"/>
      <c r="S3174" s="316"/>
      <c r="T3174" s="355"/>
    </row>
    <row r="3175" spans="11:20" x14ac:dyDescent="0.25">
      <c r="K3175" s="312"/>
      <c r="N3175" s="514"/>
      <c r="R3175" s="293"/>
      <c r="S3175" s="316"/>
      <c r="T3175" s="355"/>
    </row>
    <row r="3176" spans="11:20" x14ac:dyDescent="0.25">
      <c r="K3176" s="312"/>
      <c r="N3176" s="514"/>
      <c r="R3176" s="293"/>
      <c r="S3176" s="316"/>
      <c r="T3176" s="355"/>
    </row>
    <row r="3177" spans="11:20" x14ac:dyDescent="0.25">
      <c r="K3177" s="312"/>
      <c r="N3177" s="514"/>
      <c r="R3177" s="293"/>
      <c r="S3177" s="316"/>
      <c r="T3177" s="355"/>
    </row>
    <row r="3178" spans="11:20" x14ac:dyDescent="0.25">
      <c r="K3178" s="312"/>
      <c r="N3178" s="514"/>
      <c r="R3178" s="293"/>
      <c r="S3178" s="316"/>
      <c r="T3178" s="355"/>
    </row>
    <row r="3179" spans="11:20" x14ac:dyDescent="0.25">
      <c r="K3179" s="312"/>
      <c r="N3179" s="514"/>
      <c r="R3179" s="293"/>
      <c r="S3179" s="316"/>
      <c r="T3179" s="355"/>
    </row>
    <row r="3180" spans="11:20" x14ac:dyDescent="0.25">
      <c r="K3180" s="312"/>
      <c r="N3180" s="514"/>
      <c r="R3180" s="293"/>
      <c r="S3180" s="316"/>
      <c r="T3180" s="355"/>
    </row>
    <row r="3181" spans="11:20" x14ac:dyDescent="0.25">
      <c r="K3181" s="312"/>
      <c r="N3181" s="514"/>
      <c r="R3181" s="293"/>
      <c r="S3181" s="316"/>
      <c r="T3181" s="355"/>
    </row>
    <row r="3182" spans="11:20" x14ac:dyDescent="0.25">
      <c r="K3182" s="312"/>
      <c r="N3182" s="514"/>
      <c r="R3182" s="293"/>
      <c r="S3182" s="316"/>
      <c r="T3182" s="355"/>
    </row>
    <row r="3183" spans="11:20" x14ac:dyDescent="0.25">
      <c r="K3183" s="312"/>
      <c r="N3183" s="514"/>
      <c r="R3183" s="293"/>
      <c r="S3183" s="316"/>
      <c r="T3183" s="355"/>
    </row>
    <row r="3184" spans="11:20" x14ac:dyDescent="0.25">
      <c r="K3184" s="312"/>
      <c r="N3184" s="514"/>
      <c r="R3184" s="293"/>
      <c r="S3184" s="316"/>
      <c r="T3184" s="355"/>
    </row>
    <row r="3185" spans="11:20" x14ac:dyDescent="0.25">
      <c r="K3185" s="312"/>
      <c r="N3185" s="514"/>
      <c r="R3185" s="293"/>
      <c r="S3185" s="316"/>
      <c r="T3185" s="355"/>
    </row>
    <row r="3186" spans="11:20" x14ac:dyDescent="0.25">
      <c r="K3186" s="312"/>
      <c r="N3186" s="514"/>
      <c r="R3186" s="293"/>
      <c r="S3186" s="316"/>
      <c r="T3186" s="355"/>
    </row>
    <row r="3187" spans="11:20" x14ac:dyDescent="0.25">
      <c r="K3187" s="312"/>
      <c r="N3187" s="514"/>
      <c r="R3187" s="293"/>
      <c r="S3187" s="316"/>
      <c r="T3187" s="355"/>
    </row>
    <row r="3188" spans="11:20" x14ac:dyDescent="0.25">
      <c r="K3188" s="312"/>
      <c r="N3188" s="514"/>
      <c r="R3188" s="293"/>
      <c r="S3188" s="316"/>
      <c r="T3188" s="355"/>
    </row>
    <row r="3189" spans="11:20" x14ac:dyDescent="0.25">
      <c r="K3189" s="312"/>
      <c r="N3189" s="514"/>
      <c r="R3189" s="293"/>
      <c r="S3189" s="316"/>
      <c r="T3189" s="355"/>
    </row>
    <row r="3190" spans="11:20" x14ac:dyDescent="0.25">
      <c r="K3190" s="312"/>
      <c r="N3190" s="514"/>
      <c r="R3190" s="293"/>
      <c r="S3190" s="316"/>
      <c r="T3190" s="355"/>
    </row>
    <row r="3191" spans="11:20" x14ac:dyDescent="0.25">
      <c r="K3191" s="312"/>
      <c r="N3191" s="514"/>
      <c r="R3191" s="293"/>
      <c r="S3191" s="316"/>
      <c r="T3191" s="355"/>
    </row>
    <row r="3192" spans="11:20" x14ac:dyDescent="0.25">
      <c r="K3192" s="312"/>
      <c r="N3192" s="514"/>
      <c r="R3192" s="293"/>
      <c r="S3192" s="316"/>
      <c r="T3192" s="355"/>
    </row>
    <row r="3193" spans="11:20" x14ac:dyDescent="0.25">
      <c r="K3193" s="312"/>
      <c r="N3193" s="514"/>
      <c r="R3193" s="293"/>
      <c r="S3193" s="316"/>
      <c r="T3193" s="355"/>
    </row>
    <row r="3194" spans="11:20" x14ac:dyDescent="0.25">
      <c r="K3194" s="312"/>
      <c r="N3194" s="514"/>
      <c r="R3194" s="293"/>
      <c r="S3194" s="316"/>
      <c r="T3194" s="355"/>
    </row>
    <row r="3195" spans="11:20" x14ac:dyDescent="0.25">
      <c r="K3195" s="312"/>
      <c r="N3195" s="514"/>
      <c r="R3195" s="293"/>
      <c r="S3195" s="316"/>
      <c r="T3195" s="355"/>
    </row>
    <row r="3196" spans="11:20" x14ac:dyDescent="0.25">
      <c r="K3196" s="312"/>
      <c r="N3196" s="514"/>
      <c r="R3196" s="293"/>
      <c r="S3196" s="316"/>
      <c r="T3196" s="355"/>
    </row>
    <row r="3197" spans="11:20" x14ac:dyDescent="0.25">
      <c r="K3197" s="312"/>
      <c r="N3197" s="514"/>
      <c r="R3197" s="293"/>
      <c r="S3197" s="316"/>
      <c r="T3197" s="355"/>
    </row>
    <row r="3198" spans="11:20" x14ac:dyDescent="0.25">
      <c r="K3198" s="312"/>
      <c r="N3198" s="514"/>
      <c r="R3198" s="293"/>
      <c r="S3198" s="316"/>
      <c r="T3198" s="355"/>
    </row>
    <row r="3199" spans="11:20" x14ac:dyDescent="0.25">
      <c r="K3199" s="312"/>
      <c r="N3199" s="514"/>
      <c r="R3199" s="293"/>
      <c r="S3199" s="316"/>
      <c r="T3199" s="355"/>
    </row>
    <row r="3200" spans="11:20" x14ac:dyDescent="0.25">
      <c r="K3200" s="312"/>
      <c r="N3200" s="514"/>
      <c r="R3200" s="293"/>
      <c r="S3200" s="316"/>
      <c r="T3200" s="355"/>
    </row>
    <row r="3201" spans="11:20" x14ac:dyDescent="0.25">
      <c r="K3201" s="312"/>
      <c r="N3201" s="514"/>
      <c r="R3201" s="293"/>
      <c r="S3201" s="316"/>
      <c r="T3201" s="355"/>
    </row>
    <row r="3202" spans="11:20" x14ac:dyDescent="0.25">
      <c r="K3202" s="312"/>
      <c r="N3202" s="514"/>
      <c r="R3202" s="293"/>
      <c r="S3202" s="316"/>
      <c r="T3202" s="355"/>
    </row>
    <row r="3203" spans="11:20" x14ac:dyDescent="0.25">
      <c r="K3203" s="312"/>
      <c r="N3203" s="514"/>
      <c r="R3203" s="293"/>
      <c r="S3203" s="316"/>
      <c r="T3203" s="355"/>
    </row>
    <row r="3204" spans="11:20" x14ac:dyDescent="0.25">
      <c r="K3204" s="312"/>
      <c r="N3204" s="514"/>
      <c r="R3204" s="293"/>
      <c r="S3204" s="316"/>
      <c r="T3204" s="355"/>
    </row>
    <row r="3205" spans="11:20" x14ac:dyDescent="0.25">
      <c r="K3205" s="312"/>
      <c r="N3205" s="514"/>
      <c r="R3205" s="293"/>
      <c r="S3205" s="316"/>
      <c r="T3205" s="355"/>
    </row>
    <row r="3206" spans="11:20" x14ac:dyDescent="0.25">
      <c r="K3206" s="312"/>
      <c r="N3206" s="514"/>
      <c r="R3206" s="293"/>
      <c r="S3206" s="316"/>
      <c r="T3206" s="355"/>
    </row>
    <row r="3207" spans="11:20" x14ac:dyDescent="0.25">
      <c r="K3207" s="312"/>
      <c r="N3207" s="514"/>
      <c r="R3207" s="293"/>
      <c r="S3207" s="316"/>
      <c r="T3207" s="355"/>
    </row>
    <row r="3208" spans="11:20" x14ac:dyDescent="0.25">
      <c r="K3208" s="312"/>
      <c r="N3208" s="514"/>
      <c r="R3208" s="293"/>
      <c r="S3208" s="316"/>
      <c r="T3208" s="355"/>
    </row>
    <row r="3209" spans="11:20" x14ac:dyDescent="0.25">
      <c r="K3209" s="312"/>
      <c r="N3209" s="514"/>
      <c r="R3209" s="293"/>
      <c r="S3209" s="316"/>
      <c r="T3209" s="355"/>
    </row>
    <row r="3210" spans="11:20" x14ac:dyDescent="0.25">
      <c r="K3210" s="312"/>
      <c r="N3210" s="514"/>
      <c r="R3210" s="293"/>
      <c r="S3210" s="316"/>
      <c r="T3210" s="355"/>
    </row>
    <row r="3211" spans="11:20" x14ac:dyDescent="0.25">
      <c r="K3211" s="312"/>
      <c r="N3211" s="514"/>
      <c r="R3211" s="293"/>
      <c r="S3211" s="316"/>
      <c r="T3211" s="355"/>
    </row>
    <row r="3212" spans="11:20" x14ac:dyDescent="0.25">
      <c r="K3212" s="312"/>
      <c r="N3212" s="514"/>
      <c r="R3212" s="293"/>
      <c r="S3212" s="316"/>
      <c r="T3212" s="355"/>
    </row>
    <row r="3213" spans="11:20" x14ac:dyDescent="0.25">
      <c r="K3213" s="312"/>
      <c r="N3213" s="514"/>
      <c r="R3213" s="293"/>
      <c r="S3213" s="316"/>
      <c r="T3213" s="355"/>
    </row>
    <row r="3214" spans="11:20" x14ac:dyDescent="0.25">
      <c r="K3214" s="312"/>
      <c r="N3214" s="514"/>
      <c r="R3214" s="293"/>
      <c r="S3214" s="316"/>
      <c r="T3214" s="355"/>
    </row>
    <row r="3215" spans="11:20" x14ac:dyDescent="0.25">
      <c r="K3215" s="312"/>
      <c r="N3215" s="514"/>
      <c r="R3215" s="293"/>
      <c r="S3215" s="316"/>
      <c r="T3215" s="355"/>
    </row>
    <row r="3216" spans="11:20" x14ac:dyDescent="0.25">
      <c r="K3216" s="312"/>
      <c r="N3216" s="514"/>
      <c r="R3216" s="293"/>
      <c r="S3216" s="316"/>
      <c r="T3216" s="355"/>
    </row>
    <row r="3217" spans="11:20" x14ac:dyDescent="0.25">
      <c r="K3217" s="312"/>
      <c r="N3217" s="514"/>
      <c r="R3217" s="293"/>
      <c r="S3217" s="316"/>
      <c r="T3217" s="355"/>
    </row>
    <row r="3218" spans="11:20" x14ac:dyDescent="0.25">
      <c r="K3218" s="312"/>
      <c r="N3218" s="514"/>
      <c r="R3218" s="293"/>
      <c r="S3218" s="316"/>
      <c r="T3218" s="355"/>
    </row>
    <row r="3219" spans="11:20" x14ac:dyDescent="0.25">
      <c r="K3219" s="312"/>
      <c r="N3219" s="514"/>
      <c r="R3219" s="293"/>
      <c r="S3219" s="316"/>
      <c r="T3219" s="355"/>
    </row>
    <row r="3220" spans="11:20" x14ac:dyDescent="0.25">
      <c r="K3220" s="312"/>
      <c r="N3220" s="514"/>
      <c r="R3220" s="293"/>
      <c r="S3220" s="316"/>
      <c r="T3220" s="355"/>
    </row>
    <row r="3221" spans="11:20" x14ac:dyDescent="0.25">
      <c r="K3221" s="312"/>
      <c r="N3221" s="514"/>
      <c r="R3221" s="293"/>
      <c r="S3221" s="316"/>
      <c r="T3221" s="355"/>
    </row>
    <row r="3222" spans="11:20" x14ac:dyDescent="0.25">
      <c r="K3222" s="312"/>
      <c r="N3222" s="514"/>
      <c r="R3222" s="293"/>
      <c r="S3222" s="316"/>
      <c r="T3222" s="355"/>
    </row>
    <row r="3223" spans="11:20" x14ac:dyDescent="0.25">
      <c r="K3223" s="312"/>
      <c r="N3223" s="514"/>
      <c r="R3223" s="293"/>
      <c r="S3223" s="316"/>
      <c r="T3223" s="355"/>
    </row>
    <row r="3224" spans="11:20" x14ac:dyDescent="0.25">
      <c r="K3224" s="312"/>
      <c r="N3224" s="514"/>
      <c r="R3224" s="293"/>
      <c r="S3224" s="316"/>
      <c r="T3224" s="355"/>
    </row>
    <row r="3225" spans="11:20" x14ac:dyDescent="0.25">
      <c r="K3225" s="312"/>
      <c r="N3225" s="514"/>
      <c r="R3225" s="293"/>
      <c r="S3225" s="316"/>
      <c r="T3225" s="355"/>
    </row>
    <row r="3226" spans="11:20" x14ac:dyDescent="0.25">
      <c r="K3226" s="312"/>
      <c r="N3226" s="514"/>
      <c r="R3226" s="293"/>
      <c r="S3226" s="316"/>
      <c r="T3226" s="355"/>
    </row>
    <row r="3227" spans="11:20" x14ac:dyDescent="0.25">
      <c r="K3227" s="312"/>
      <c r="N3227" s="514"/>
      <c r="R3227" s="293"/>
      <c r="S3227" s="316"/>
      <c r="T3227" s="355"/>
    </row>
    <row r="3228" spans="11:20" x14ac:dyDescent="0.25">
      <c r="K3228" s="312"/>
      <c r="N3228" s="514"/>
      <c r="R3228" s="293"/>
      <c r="S3228" s="316"/>
      <c r="T3228" s="355"/>
    </row>
    <row r="3229" spans="11:20" x14ac:dyDescent="0.25">
      <c r="K3229" s="312"/>
      <c r="N3229" s="514"/>
      <c r="R3229" s="293"/>
      <c r="S3229" s="316"/>
      <c r="T3229" s="355"/>
    </row>
    <row r="3230" spans="11:20" x14ac:dyDescent="0.25">
      <c r="K3230" s="312"/>
      <c r="N3230" s="514"/>
      <c r="R3230" s="293"/>
      <c r="S3230" s="316"/>
      <c r="T3230" s="355"/>
    </row>
    <row r="3231" spans="11:20" x14ac:dyDescent="0.25">
      <c r="K3231" s="312"/>
      <c r="N3231" s="514"/>
      <c r="R3231" s="293"/>
      <c r="S3231" s="316"/>
      <c r="T3231" s="355"/>
    </row>
    <row r="3232" spans="11:20" x14ac:dyDescent="0.25">
      <c r="K3232" s="312"/>
      <c r="N3232" s="514"/>
      <c r="R3232" s="293"/>
      <c r="S3232" s="316"/>
      <c r="T3232" s="355"/>
    </row>
    <row r="3233" spans="11:20" x14ac:dyDescent="0.25">
      <c r="K3233" s="312"/>
      <c r="N3233" s="514"/>
      <c r="R3233" s="293"/>
      <c r="S3233" s="316"/>
      <c r="T3233" s="355"/>
    </row>
    <row r="3234" spans="11:20" x14ac:dyDescent="0.25">
      <c r="K3234" s="312"/>
      <c r="N3234" s="514"/>
      <c r="R3234" s="293"/>
      <c r="S3234" s="316"/>
      <c r="T3234" s="355"/>
    </row>
    <row r="3235" spans="11:20" x14ac:dyDescent="0.25">
      <c r="K3235" s="312"/>
      <c r="N3235" s="514"/>
      <c r="R3235" s="293"/>
      <c r="S3235" s="316"/>
      <c r="T3235" s="355"/>
    </row>
    <row r="3236" spans="11:20" x14ac:dyDescent="0.25">
      <c r="K3236" s="312"/>
      <c r="N3236" s="514"/>
      <c r="R3236" s="293"/>
      <c r="S3236" s="316"/>
      <c r="T3236" s="355"/>
    </row>
    <row r="3237" spans="11:20" x14ac:dyDescent="0.25">
      <c r="K3237" s="312"/>
      <c r="N3237" s="514"/>
      <c r="R3237" s="293"/>
      <c r="S3237" s="316"/>
      <c r="T3237" s="355"/>
    </row>
    <row r="3238" spans="11:20" x14ac:dyDescent="0.25">
      <c r="K3238" s="312"/>
      <c r="N3238" s="514"/>
      <c r="R3238" s="293"/>
      <c r="S3238" s="316"/>
      <c r="T3238" s="355"/>
    </row>
    <row r="3239" spans="11:20" x14ac:dyDescent="0.25">
      <c r="K3239" s="312"/>
      <c r="N3239" s="514"/>
      <c r="R3239" s="293"/>
      <c r="S3239" s="316"/>
      <c r="T3239" s="355"/>
    </row>
    <row r="3240" spans="11:20" x14ac:dyDescent="0.25">
      <c r="K3240" s="312"/>
      <c r="N3240" s="514"/>
      <c r="R3240" s="293"/>
      <c r="S3240" s="316"/>
      <c r="T3240" s="355"/>
    </row>
    <row r="3241" spans="11:20" x14ac:dyDescent="0.25">
      <c r="K3241" s="312"/>
      <c r="N3241" s="514"/>
      <c r="R3241" s="293"/>
      <c r="S3241" s="316"/>
      <c r="T3241" s="355"/>
    </row>
    <row r="3242" spans="11:20" x14ac:dyDescent="0.25">
      <c r="K3242" s="312"/>
      <c r="N3242" s="514"/>
      <c r="R3242" s="293"/>
      <c r="S3242" s="316"/>
      <c r="T3242" s="355"/>
    </row>
    <row r="3243" spans="11:20" x14ac:dyDescent="0.25">
      <c r="K3243" s="312"/>
      <c r="N3243" s="514"/>
      <c r="R3243" s="293"/>
      <c r="S3243" s="316"/>
      <c r="T3243" s="355"/>
    </row>
    <row r="3244" spans="11:20" x14ac:dyDescent="0.25">
      <c r="K3244" s="312"/>
      <c r="N3244" s="514"/>
      <c r="R3244" s="293"/>
      <c r="S3244" s="316"/>
      <c r="T3244" s="355"/>
    </row>
    <row r="3245" spans="11:20" x14ac:dyDescent="0.25">
      <c r="K3245" s="312"/>
      <c r="N3245" s="514"/>
      <c r="R3245" s="293"/>
      <c r="S3245" s="316"/>
      <c r="T3245" s="355"/>
    </row>
    <row r="3246" spans="11:20" x14ac:dyDescent="0.25">
      <c r="K3246" s="312"/>
      <c r="N3246" s="514"/>
      <c r="R3246" s="293"/>
      <c r="S3246" s="316"/>
      <c r="T3246" s="355"/>
    </row>
    <row r="3247" spans="11:20" x14ac:dyDescent="0.25">
      <c r="K3247" s="312"/>
      <c r="N3247" s="514"/>
      <c r="R3247" s="293"/>
      <c r="S3247" s="316"/>
      <c r="T3247" s="355"/>
    </row>
    <row r="3248" spans="11:20" x14ac:dyDescent="0.25">
      <c r="K3248" s="312"/>
      <c r="N3248" s="514"/>
      <c r="R3248" s="293"/>
      <c r="S3248" s="316"/>
      <c r="T3248" s="355"/>
    </row>
    <row r="3249" spans="11:20" x14ac:dyDescent="0.25">
      <c r="K3249" s="312"/>
      <c r="N3249" s="514"/>
      <c r="R3249" s="293"/>
      <c r="S3249" s="316"/>
      <c r="T3249" s="355"/>
    </row>
    <row r="3250" spans="11:20" x14ac:dyDescent="0.25">
      <c r="K3250" s="312"/>
      <c r="N3250" s="514"/>
      <c r="R3250" s="293"/>
      <c r="S3250" s="316"/>
      <c r="T3250" s="355"/>
    </row>
    <row r="3251" spans="11:20" x14ac:dyDescent="0.25">
      <c r="K3251" s="312"/>
      <c r="N3251" s="514"/>
      <c r="R3251" s="293"/>
      <c r="S3251" s="316"/>
      <c r="T3251" s="355"/>
    </row>
    <row r="3252" spans="11:20" x14ac:dyDescent="0.25">
      <c r="K3252" s="312"/>
      <c r="N3252" s="514"/>
      <c r="R3252" s="293"/>
      <c r="S3252" s="316"/>
      <c r="T3252" s="355"/>
    </row>
    <row r="3253" spans="11:20" x14ac:dyDescent="0.25">
      <c r="K3253" s="312"/>
      <c r="N3253" s="514"/>
      <c r="R3253" s="293"/>
      <c r="S3253" s="316"/>
      <c r="T3253" s="355"/>
    </row>
    <row r="3254" spans="11:20" x14ac:dyDescent="0.25">
      <c r="K3254" s="312"/>
      <c r="N3254" s="514"/>
      <c r="R3254" s="293"/>
      <c r="S3254" s="316"/>
      <c r="T3254" s="355"/>
    </row>
    <row r="3255" spans="11:20" x14ac:dyDescent="0.25">
      <c r="K3255" s="312"/>
      <c r="N3255" s="514"/>
      <c r="R3255" s="293"/>
      <c r="S3255" s="316"/>
      <c r="T3255" s="355"/>
    </row>
    <row r="3256" spans="11:20" x14ac:dyDescent="0.25">
      <c r="K3256" s="312"/>
      <c r="N3256" s="514"/>
      <c r="R3256" s="293"/>
      <c r="S3256" s="316"/>
      <c r="T3256" s="355"/>
    </row>
    <row r="3257" spans="11:20" x14ac:dyDescent="0.25">
      <c r="K3257" s="312"/>
      <c r="N3257" s="514"/>
      <c r="R3257" s="293"/>
      <c r="S3257" s="316"/>
      <c r="T3257" s="355"/>
    </row>
    <row r="3258" spans="11:20" x14ac:dyDescent="0.25">
      <c r="K3258" s="312"/>
      <c r="N3258" s="514"/>
      <c r="R3258" s="293"/>
      <c r="S3258" s="316"/>
      <c r="T3258" s="355"/>
    </row>
    <row r="3259" spans="11:20" x14ac:dyDescent="0.25">
      <c r="K3259" s="312"/>
      <c r="N3259" s="514"/>
      <c r="R3259" s="293"/>
      <c r="S3259" s="316"/>
      <c r="T3259" s="355"/>
    </row>
    <row r="3260" spans="11:20" x14ac:dyDescent="0.25">
      <c r="K3260" s="312"/>
      <c r="N3260" s="514"/>
      <c r="R3260" s="293"/>
      <c r="S3260" s="316"/>
      <c r="T3260" s="355"/>
    </row>
    <row r="3261" spans="11:20" x14ac:dyDescent="0.25">
      <c r="K3261" s="312"/>
      <c r="N3261" s="514"/>
      <c r="R3261" s="293"/>
      <c r="S3261" s="316"/>
      <c r="T3261" s="355"/>
    </row>
    <row r="3262" spans="11:20" x14ac:dyDescent="0.25">
      <c r="K3262" s="312"/>
      <c r="N3262" s="514"/>
      <c r="R3262" s="293"/>
      <c r="S3262" s="316"/>
      <c r="T3262" s="355"/>
    </row>
    <row r="3263" spans="11:20" x14ac:dyDescent="0.25">
      <c r="K3263" s="312"/>
      <c r="N3263" s="514"/>
      <c r="R3263" s="293"/>
      <c r="S3263" s="316"/>
      <c r="T3263" s="355"/>
    </row>
    <row r="3264" spans="11:20" x14ac:dyDescent="0.25">
      <c r="K3264" s="312"/>
      <c r="N3264" s="514"/>
      <c r="R3264" s="293"/>
      <c r="S3264" s="316"/>
      <c r="T3264" s="355"/>
    </row>
    <row r="3265" spans="11:20" x14ac:dyDescent="0.25">
      <c r="K3265" s="312"/>
      <c r="N3265" s="514"/>
      <c r="R3265" s="293"/>
      <c r="S3265" s="316"/>
      <c r="T3265" s="355"/>
    </row>
    <row r="3266" spans="11:20" x14ac:dyDescent="0.25">
      <c r="K3266" s="312"/>
      <c r="N3266" s="514"/>
      <c r="R3266" s="293"/>
      <c r="S3266" s="316"/>
      <c r="T3266" s="355"/>
    </row>
    <row r="3267" spans="11:20" x14ac:dyDescent="0.25">
      <c r="K3267" s="312"/>
      <c r="N3267" s="514"/>
      <c r="R3267" s="293"/>
      <c r="S3267" s="316"/>
      <c r="T3267" s="355"/>
    </row>
    <row r="3268" spans="11:20" x14ac:dyDescent="0.25">
      <c r="K3268" s="312"/>
      <c r="N3268" s="514"/>
      <c r="R3268" s="293"/>
      <c r="S3268" s="316"/>
      <c r="T3268" s="355"/>
    </row>
    <row r="3269" spans="11:20" x14ac:dyDescent="0.25">
      <c r="K3269" s="312"/>
      <c r="N3269" s="514"/>
      <c r="R3269" s="293"/>
      <c r="S3269" s="316"/>
      <c r="T3269" s="355"/>
    </row>
    <row r="3270" spans="11:20" x14ac:dyDescent="0.25">
      <c r="K3270" s="312"/>
      <c r="N3270" s="514"/>
      <c r="R3270" s="293"/>
      <c r="S3270" s="316"/>
      <c r="T3270" s="355"/>
    </row>
    <row r="3271" spans="11:20" x14ac:dyDescent="0.25">
      <c r="K3271" s="312"/>
      <c r="N3271" s="514"/>
      <c r="R3271" s="293"/>
      <c r="S3271" s="316"/>
      <c r="T3271" s="355"/>
    </row>
    <row r="3272" spans="11:20" x14ac:dyDescent="0.25">
      <c r="K3272" s="312"/>
      <c r="N3272" s="514"/>
      <c r="R3272" s="293"/>
      <c r="S3272" s="316"/>
      <c r="T3272" s="355"/>
    </row>
    <row r="3273" spans="11:20" x14ac:dyDescent="0.25">
      <c r="K3273" s="312"/>
      <c r="N3273" s="514"/>
      <c r="R3273" s="293"/>
      <c r="S3273" s="316"/>
      <c r="T3273" s="355"/>
    </row>
    <row r="3274" spans="11:20" x14ac:dyDescent="0.25">
      <c r="K3274" s="312"/>
      <c r="N3274" s="514"/>
      <c r="R3274" s="293"/>
      <c r="S3274" s="316"/>
      <c r="T3274" s="355"/>
    </row>
    <row r="3275" spans="11:20" x14ac:dyDescent="0.25">
      <c r="K3275" s="312"/>
      <c r="N3275" s="514"/>
      <c r="R3275" s="293"/>
      <c r="S3275" s="316"/>
      <c r="T3275" s="355"/>
    </row>
    <row r="3276" spans="11:20" x14ac:dyDescent="0.25">
      <c r="K3276" s="312"/>
      <c r="N3276" s="514"/>
      <c r="R3276" s="293"/>
      <c r="S3276" s="316"/>
      <c r="T3276" s="355"/>
    </row>
    <row r="3277" spans="11:20" x14ac:dyDescent="0.25">
      <c r="K3277" s="312"/>
      <c r="N3277" s="514"/>
      <c r="R3277" s="293"/>
      <c r="S3277" s="316"/>
      <c r="T3277" s="355"/>
    </row>
    <row r="3278" spans="11:20" x14ac:dyDescent="0.25">
      <c r="K3278" s="312"/>
      <c r="N3278" s="514"/>
      <c r="R3278" s="293"/>
      <c r="S3278" s="316"/>
      <c r="T3278" s="355"/>
    </row>
    <row r="3279" spans="11:20" x14ac:dyDescent="0.25">
      <c r="K3279" s="312"/>
      <c r="N3279" s="514"/>
      <c r="R3279" s="293"/>
      <c r="S3279" s="316"/>
      <c r="T3279" s="355"/>
    </row>
    <row r="3280" spans="11:20" x14ac:dyDescent="0.25">
      <c r="K3280" s="312"/>
      <c r="N3280" s="514"/>
      <c r="R3280" s="293"/>
      <c r="S3280" s="316"/>
      <c r="T3280" s="355"/>
    </row>
    <row r="3281" spans="11:20" x14ac:dyDescent="0.25">
      <c r="K3281" s="312"/>
      <c r="N3281" s="514"/>
      <c r="R3281" s="293"/>
      <c r="S3281" s="316"/>
      <c r="T3281" s="355"/>
    </row>
    <row r="3282" spans="11:20" x14ac:dyDescent="0.25">
      <c r="K3282" s="312"/>
      <c r="N3282" s="514"/>
      <c r="R3282" s="293"/>
      <c r="S3282" s="316"/>
      <c r="T3282" s="355"/>
    </row>
    <row r="3283" spans="11:20" x14ac:dyDescent="0.25">
      <c r="K3283" s="312"/>
      <c r="N3283" s="514"/>
      <c r="R3283" s="293"/>
      <c r="S3283" s="316"/>
      <c r="T3283" s="355"/>
    </row>
    <row r="3284" spans="11:20" x14ac:dyDescent="0.25">
      <c r="K3284" s="312"/>
      <c r="N3284" s="514"/>
      <c r="R3284" s="293"/>
      <c r="S3284" s="316"/>
      <c r="T3284" s="355"/>
    </row>
    <row r="3285" spans="11:20" x14ac:dyDescent="0.25">
      <c r="K3285" s="312"/>
      <c r="N3285" s="514"/>
      <c r="R3285" s="293"/>
      <c r="S3285" s="316"/>
      <c r="T3285" s="355"/>
    </row>
    <row r="3286" spans="11:20" x14ac:dyDescent="0.25">
      <c r="K3286" s="312"/>
      <c r="N3286" s="514"/>
      <c r="R3286" s="293"/>
      <c r="S3286" s="316"/>
      <c r="T3286" s="355"/>
    </row>
    <row r="3287" spans="11:20" x14ac:dyDescent="0.25">
      <c r="K3287" s="312"/>
      <c r="N3287" s="514"/>
      <c r="R3287" s="293"/>
      <c r="S3287" s="316"/>
      <c r="T3287" s="355"/>
    </row>
    <row r="3288" spans="11:20" x14ac:dyDescent="0.25">
      <c r="K3288" s="312"/>
      <c r="N3288" s="514"/>
      <c r="R3288" s="293"/>
      <c r="S3288" s="316"/>
      <c r="T3288" s="355"/>
    </row>
    <row r="3289" spans="11:20" x14ac:dyDescent="0.25">
      <c r="K3289" s="312"/>
      <c r="N3289" s="514"/>
      <c r="R3289" s="293"/>
      <c r="S3289" s="316"/>
      <c r="T3289" s="355"/>
    </row>
    <row r="3290" spans="11:20" x14ac:dyDescent="0.25">
      <c r="K3290" s="312"/>
      <c r="N3290" s="514"/>
      <c r="R3290" s="293"/>
      <c r="S3290" s="316"/>
      <c r="T3290" s="355"/>
    </row>
    <row r="3291" spans="11:20" x14ac:dyDescent="0.25">
      <c r="K3291" s="312"/>
      <c r="N3291" s="514"/>
      <c r="R3291" s="293"/>
      <c r="S3291" s="316"/>
      <c r="T3291" s="355"/>
    </row>
    <row r="3292" spans="11:20" x14ac:dyDescent="0.25">
      <c r="K3292" s="312"/>
      <c r="N3292" s="514"/>
      <c r="R3292" s="293"/>
      <c r="S3292" s="316"/>
      <c r="T3292" s="355"/>
    </row>
    <row r="3293" spans="11:20" x14ac:dyDescent="0.25">
      <c r="K3293" s="312"/>
      <c r="N3293" s="514"/>
      <c r="R3293" s="293"/>
      <c r="S3293" s="316"/>
      <c r="T3293" s="355"/>
    </row>
    <row r="3294" spans="11:20" x14ac:dyDescent="0.25">
      <c r="K3294" s="312"/>
      <c r="N3294" s="514"/>
      <c r="R3294" s="293"/>
      <c r="S3294" s="316"/>
      <c r="T3294" s="355"/>
    </row>
    <row r="3295" spans="11:20" x14ac:dyDescent="0.25">
      <c r="K3295" s="312"/>
      <c r="N3295" s="514"/>
      <c r="R3295" s="293"/>
      <c r="S3295" s="316"/>
      <c r="T3295" s="355"/>
    </row>
    <row r="3296" spans="11:20" x14ac:dyDescent="0.25">
      <c r="K3296" s="312"/>
      <c r="N3296" s="514"/>
      <c r="R3296" s="293"/>
      <c r="S3296" s="316"/>
      <c r="T3296" s="355"/>
    </row>
    <row r="3297" spans="11:20" x14ac:dyDescent="0.25">
      <c r="K3297" s="312"/>
      <c r="N3297" s="514"/>
      <c r="R3297" s="293"/>
      <c r="S3297" s="316"/>
      <c r="T3297" s="355"/>
    </row>
    <row r="3298" spans="11:20" x14ac:dyDescent="0.25">
      <c r="K3298" s="312"/>
      <c r="N3298" s="514"/>
      <c r="R3298" s="293"/>
      <c r="S3298" s="316"/>
      <c r="T3298" s="355"/>
    </row>
    <row r="3299" spans="11:20" x14ac:dyDescent="0.25">
      <c r="K3299" s="312"/>
      <c r="N3299" s="514"/>
      <c r="R3299" s="293"/>
      <c r="S3299" s="316"/>
      <c r="T3299" s="355"/>
    </row>
    <row r="3300" spans="11:20" x14ac:dyDescent="0.25">
      <c r="K3300" s="312"/>
      <c r="N3300" s="514"/>
      <c r="R3300" s="293"/>
      <c r="S3300" s="316"/>
      <c r="T3300" s="355"/>
    </row>
    <row r="3301" spans="11:20" x14ac:dyDescent="0.25">
      <c r="K3301" s="312"/>
      <c r="N3301" s="514"/>
      <c r="R3301" s="293"/>
      <c r="S3301" s="316"/>
      <c r="T3301" s="355"/>
    </row>
    <row r="3302" spans="11:20" x14ac:dyDescent="0.25">
      <c r="K3302" s="312"/>
      <c r="N3302" s="514"/>
      <c r="R3302" s="293"/>
      <c r="S3302" s="316"/>
      <c r="T3302" s="355"/>
    </row>
    <row r="3303" spans="11:20" x14ac:dyDescent="0.25">
      <c r="K3303" s="312"/>
      <c r="N3303" s="514"/>
      <c r="R3303" s="293"/>
      <c r="S3303" s="316"/>
      <c r="T3303" s="355"/>
    </row>
    <row r="3304" spans="11:20" x14ac:dyDescent="0.25">
      <c r="K3304" s="312"/>
      <c r="N3304" s="514"/>
      <c r="R3304" s="293"/>
      <c r="S3304" s="316"/>
      <c r="T3304" s="355"/>
    </row>
    <row r="3305" spans="11:20" x14ac:dyDescent="0.25">
      <c r="K3305" s="312"/>
      <c r="N3305" s="514"/>
      <c r="R3305" s="293"/>
      <c r="S3305" s="316"/>
      <c r="T3305" s="355"/>
    </row>
    <row r="3306" spans="11:20" x14ac:dyDescent="0.25">
      <c r="K3306" s="312"/>
      <c r="N3306" s="514"/>
      <c r="R3306" s="293"/>
      <c r="S3306" s="316"/>
      <c r="T3306" s="355"/>
    </row>
    <row r="3307" spans="11:20" x14ac:dyDescent="0.25">
      <c r="K3307" s="312"/>
      <c r="N3307" s="514"/>
      <c r="R3307" s="293"/>
      <c r="S3307" s="316"/>
      <c r="T3307" s="355"/>
    </row>
    <row r="3308" spans="11:20" x14ac:dyDescent="0.25">
      <c r="K3308" s="312"/>
      <c r="N3308" s="514"/>
      <c r="R3308" s="293"/>
      <c r="S3308" s="316"/>
      <c r="T3308" s="355"/>
    </row>
    <row r="3309" spans="11:20" x14ac:dyDescent="0.25">
      <c r="K3309" s="312"/>
      <c r="N3309" s="514"/>
      <c r="R3309" s="293"/>
      <c r="S3309" s="316"/>
      <c r="T3309" s="355"/>
    </row>
    <row r="3310" spans="11:20" x14ac:dyDescent="0.25">
      <c r="K3310" s="312"/>
      <c r="N3310" s="514"/>
      <c r="R3310" s="293"/>
      <c r="S3310" s="316"/>
      <c r="T3310" s="355"/>
    </row>
    <row r="3311" spans="11:20" x14ac:dyDescent="0.25">
      <c r="K3311" s="312"/>
      <c r="N3311" s="514"/>
      <c r="R3311" s="293"/>
      <c r="S3311" s="316"/>
      <c r="T3311" s="355"/>
    </row>
    <row r="3312" spans="11:20" x14ac:dyDescent="0.25">
      <c r="K3312" s="312"/>
      <c r="N3312" s="514"/>
      <c r="R3312" s="293"/>
      <c r="S3312" s="316"/>
      <c r="T3312" s="355"/>
    </row>
    <row r="3313" spans="11:20" x14ac:dyDescent="0.25">
      <c r="K3313" s="312"/>
      <c r="N3313" s="514"/>
      <c r="R3313" s="293"/>
      <c r="S3313" s="316"/>
      <c r="T3313" s="355"/>
    </row>
    <row r="3314" spans="11:20" x14ac:dyDescent="0.25">
      <c r="K3314" s="312"/>
      <c r="N3314" s="514"/>
      <c r="R3314" s="293"/>
      <c r="S3314" s="316"/>
      <c r="T3314" s="355"/>
    </row>
    <row r="3315" spans="11:20" x14ac:dyDescent="0.25">
      <c r="K3315" s="312"/>
      <c r="N3315" s="514"/>
      <c r="R3315" s="293"/>
      <c r="S3315" s="316"/>
      <c r="T3315" s="355"/>
    </row>
    <row r="3316" spans="11:20" x14ac:dyDescent="0.25">
      <c r="K3316" s="312"/>
      <c r="N3316" s="514"/>
      <c r="R3316" s="293"/>
      <c r="S3316" s="316"/>
      <c r="T3316" s="355"/>
    </row>
    <row r="3317" spans="11:20" x14ac:dyDescent="0.25">
      <c r="K3317" s="312"/>
      <c r="N3317" s="514"/>
      <c r="R3317" s="293"/>
      <c r="S3317" s="316"/>
      <c r="T3317" s="355"/>
    </row>
    <row r="3318" spans="11:20" x14ac:dyDescent="0.25">
      <c r="K3318" s="312"/>
      <c r="N3318" s="514"/>
      <c r="R3318" s="293"/>
      <c r="S3318" s="316"/>
      <c r="T3318" s="355"/>
    </row>
    <row r="3319" spans="11:20" x14ac:dyDescent="0.25">
      <c r="K3319" s="312"/>
      <c r="N3319" s="514"/>
      <c r="R3319" s="293"/>
      <c r="S3319" s="316"/>
      <c r="T3319" s="355"/>
    </row>
    <row r="3320" spans="11:20" x14ac:dyDescent="0.25">
      <c r="K3320" s="312"/>
      <c r="N3320" s="514"/>
      <c r="R3320" s="293"/>
      <c r="S3320" s="316"/>
      <c r="T3320" s="355"/>
    </row>
    <row r="3321" spans="11:20" x14ac:dyDescent="0.25">
      <c r="K3321" s="312"/>
      <c r="N3321" s="514"/>
      <c r="R3321" s="293"/>
      <c r="S3321" s="316"/>
      <c r="T3321" s="355"/>
    </row>
    <row r="3322" spans="11:20" x14ac:dyDescent="0.25">
      <c r="K3322" s="312"/>
      <c r="N3322" s="514"/>
      <c r="R3322" s="293"/>
      <c r="S3322" s="316"/>
      <c r="T3322" s="355"/>
    </row>
    <row r="3323" spans="11:20" x14ac:dyDescent="0.25">
      <c r="K3323" s="312"/>
      <c r="N3323" s="514"/>
      <c r="R3323" s="293"/>
      <c r="S3323" s="316"/>
      <c r="T3323" s="355"/>
    </row>
    <row r="3324" spans="11:20" x14ac:dyDescent="0.25">
      <c r="K3324" s="312"/>
      <c r="N3324" s="514"/>
      <c r="R3324" s="293"/>
      <c r="S3324" s="316"/>
      <c r="T3324" s="355"/>
    </row>
    <row r="3325" spans="11:20" x14ac:dyDescent="0.25">
      <c r="K3325" s="312"/>
      <c r="N3325" s="514"/>
      <c r="R3325" s="293"/>
      <c r="S3325" s="316"/>
      <c r="T3325" s="355"/>
    </row>
    <row r="3326" spans="11:20" x14ac:dyDescent="0.25">
      <c r="K3326" s="312"/>
      <c r="N3326" s="514"/>
      <c r="R3326" s="293"/>
      <c r="S3326" s="316"/>
      <c r="T3326" s="355"/>
    </row>
    <row r="3327" spans="11:20" x14ac:dyDescent="0.25">
      <c r="K3327" s="312"/>
      <c r="N3327" s="514"/>
      <c r="R3327" s="293"/>
      <c r="S3327" s="316"/>
      <c r="T3327" s="355"/>
    </row>
    <row r="3328" spans="11:20" x14ac:dyDescent="0.25">
      <c r="K3328" s="312"/>
      <c r="N3328" s="514"/>
      <c r="R3328" s="293"/>
      <c r="S3328" s="316"/>
      <c r="T3328" s="355"/>
    </row>
    <row r="3329" spans="11:20" x14ac:dyDescent="0.25">
      <c r="K3329" s="312"/>
      <c r="N3329" s="514"/>
      <c r="R3329" s="293"/>
      <c r="S3329" s="316"/>
      <c r="T3329" s="355"/>
    </row>
    <row r="3330" spans="11:20" x14ac:dyDescent="0.25">
      <c r="K3330" s="312"/>
      <c r="N3330" s="514"/>
      <c r="R3330" s="293"/>
      <c r="S3330" s="316"/>
      <c r="T3330" s="355"/>
    </row>
    <row r="3331" spans="11:20" x14ac:dyDescent="0.25">
      <c r="K3331" s="312"/>
      <c r="N3331" s="514"/>
      <c r="R3331" s="293"/>
      <c r="S3331" s="316"/>
      <c r="T3331" s="355"/>
    </row>
    <row r="3332" spans="11:20" x14ac:dyDescent="0.25">
      <c r="K3332" s="312"/>
      <c r="N3332" s="514"/>
      <c r="R3332" s="293"/>
      <c r="S3332" s="316"/>
      <c r="T3332" s="355"/>
    </row>
    <row r="3333" spans="11:20" x14ac:dyDescent="0.25">
      <c r="K3333" s="312"/>
      <c r="N3333" s="514"/>
      <c r="R3333" s="293"/>
      <c r="S3333" s="316"/>
      <c r="T3333" s="355"/>
    </row>
    <row r="3334" spans="11:20" x14ac:dyDescent="0.25">
      <c r="K3334" s="312"/>
      <c r="N3334" s="514"/>
      <c r="R3334" s="293"/>
      <c r="S3334" s="316"/>
      <c r="T3334" s="355"/>
    </row>
    <row r="3335" spans="11:20" x14ac:dyDescent="0.25">
      <c r="K3335" s="312"/>
      <c r="N3335" s="514"/>
      <c r="R3335" s="293"/>
      <c r="S3335" s="316"/>
      <c r="T3335" s="355"/>
    </row>
    <row r="3336" spans="11:20" x14ac:dyDescent="0.25">
      <c r="K3336" s="312"/>
      <c r="N3336" s="514"/>
      <c r="R3336" s="293"/>
      <c r="S3336" s="316"/>
      <c r="T3336" s="355"/>
    </row>
    <row r="3337" spans="11:20" x14ac:dyDescent="0.25">
      <c r="K3337" s="312"/>
      <c r="N3337" s="514"/>
      <c r="R3337" s="293"/>
      <c r="S3337" s="316"/>
      <c r="T3337" s="355"/>
    </row>
    <row r="3338" spans="11:20" x14ac:dyDescent="0.25">
      <c r="K3338" s="312"/>
      <c r="N3338" s="514"/>
      <c r="R3338" s="293"/>
      <c r="S3338" s="316"/>
      <c r="T3338" s="355"/>
    </row>
    <row r="3339" spans="11:20" x14ac:dyDescent="0.25">
      <c r="K3339" s="312"/>
      <c r="N3339" s="514"/>
      <c r="R3339" s="293"/>
      <c r="S3339" s="316"/>
      <c r="T3339" s="355"/>
    </row>
    <row r="3340" spans="11:20" x14ac:dyDescent="0.25">
      <c r="K3340" s="312"/>
      <c r="N3340" s="514"/>
      <c r="R3340" s="293"/>
      <c r="S3340" s="316"/>
      <c r="T3340" s="355"/>
    </row>
    <row r="3341" spans="11:20" x14ac:dyDescent="0.25">
      <c r="K3341" s="312"/>
      <c r="N3341" s="514"/>
      <c r="R3341" s="293"/>
      <c r="S3341" s="316"/>
      <c r="T3341" s="355"/>
    </row>
    <row r="3342" spans="11:20" x14ac:dyDescent="0.25">
      <c r="K3342" s="312"/>
      <c r="N3342" s="514"/>
      <c r="R3342" s="293"/>
      <c r="S3342" s="316"/>
      <c r="T3342" s="355"/>
    </row>
    <row r="3343" spans="11:20" x14ac:dyDescent="0.25">
      <c r="K3343" s="312"/>
      <c r="N3343" s="514"/>
      <c r="R3343" s="293"/>
      <c r="S3343" s="316"/>
      <c r="T3343" s="355"/>
    </row>
    <row r="3344" spans="11:20" x14ac:dyDescent="0.25">
      <c r="K3344" s="312"/>
      <c r="N3344" s="514"/>
      <c r="R3344" s="293"/>
      <c r="S3344" s="316"/>
      <c r="T3344" s="355"/>
    </row>
    <row r="3345" spans="11:20" x14ac:dyDescent="0.25">
      <c r="K3345" s="312"/>
      <c r="N3345" s="514"/>
      <c r="R3345" s="293"/>
      <c r="S3345" s="316"/>
      <c r="T3345" s="355"/>
    </row>
    <row r="3346" spans="11:20" x14ac:dyDescent="0.25">
      <c r="K3346" s="312"/>
      <c r="N3346" s="514"/>
      <c r="R3346" s="293"/>
      <c r="S3346" s="316"/>
      <c r="T3346" s="355"/>
    </row>
    <row r="3347" spans="11:20" x14ac:dyDescent="0.25">
      <c r="K3347" s="312"/>
      <c r="N3347" s="514"/>
      <c r="R3347" s="293"/>
      <c r="S3347" s="316"/>
      <c r="T3347" s="355"/>
    </row>
    <row r="3348" spans="11:20" x14ac:dyDescent="0.25">
      <c r="K3348" s="312"/>
      <c r="N3348" s="514"/>
      <c r="R3348" s="293"/>
      <c r="S3348" s="316"/>
      <c r="T3348" s="355"/>
    </row>
    <row r="3349" spans="11:20" x14ac:dyDescent="0.25">
      <c r="K3349" s="312"/>
      <c r="N3349" s="514"/>
      <c r="R3349" s="293"/>
      <c r="S3349" s="316"/>
      <c r="T3349" s="355"/>
    </row>
    <row r="3350" spans="11:20" x14ac:dyDescent="0.25">
      <c r="K3350" s="312"/>
      <c r="N3350" s="514"/>
      <c r="R3350" s="293"/>
      <c r="S3350" s="316"/>
      <c r="T3350" s="355"/>
    </row>
    <row r="3351" spans="11:20" x14ac:dyDescent="0.25">
      <c r="K3351" s="312"/>
      <c r="N3351" s="514"/>
      <c r="R3351" s="293"/>
      <c r="S3351" s="316"/>
      <c r="T3351" s="355"/>
    </row>
    <row r="3352" spans="11:20" x14ac:dyDescent="0.25">
      <c r="K3352" s="312"/>
      <c r="N3352" s="514"/>
      <c r="R3352" s="293"/>
      <c r="S3352" s="316"/>
      <c r="T3352" s="355"/>
    </row>
    <row r="3353" spans="11:20" x14ac:dyDescent="0.25">
      <c r="K3353" s="312"/>
      <c r="N3353" s="514"/>
      <c r="R3353" s="293"/>
      <c r="S3353" s="316"/>
      <c r="T3353" s="355"/>
    </row>
    <row r="3354" spans="11:20" x14ac:dyDescent="0.25">
      <c r="K3354" s="312"/>
      <c r="N3354" s="514"/>
      <c r="R3354" s="293"/>
      <c r="S3354" s="316"/>
      <c r="T3354" s="355"/>
    </row>
    <row r="3355" spans="11:20" x14ac:dyDescent="0.25">
      <c r="K3355" s="312"/>
      <c r="N3355" s="514"/>
      <c r="R3355" s="293"/>
      <c r="S3355" s="316"/>
      <c r="T3355" s="355"/>
    </row>
    <row r="3356" spans="11:20" x14ac:dyDescent="0.25">
      <c r="K3356" s="312"/>
      <c r="N3356" s="514"/>
      <c r="R3356" s="293"/>
      <c r="S3356" s="316"/>
      <c r="T3356" s="355"/>
    </row>
    <row r="3357" spans="11:20" x14ac:dyDescent="0.25">
      <c r="K3357" s="312"/>
      <c r="N3357" s="514"/>
      <c r="R3357" s="293"/>
      <c r="S3357" s="316"/>
      <c r="T3357" s="355"/>
    </row>
    <row r="3358" spans="11:20" x14ac:dyDescent="0.25">
      <c r="K3358" s="312"/>
      <c r="N3358" s="514"/>
      <c r="R3358" s="293"/>
      <c r="S3358" s="316"/>
      <c r="T3358" s="355"/>
    </row>
    <row r="3359" spans="11:20" x14ac:dyDescent="0.25">
      <c r="K3359" s="312"/>
      <c r="N3359" s="514"/>
      <c r="R3359" s="293"/>
      <c r="S3359" s="316"/>
      <c r="T3359" s="355"/>
    </row>
    <row r="3360" spans="11:20" x14ac:dyDescent="0.25">
      <c r="K3360" s="312"/>
      <c r="N3360" s="514"/>
      <c r="R3360" s="293"/>
      <c r="S3360" s="316"/>
      <c r="T3360" s="355"/>
    </row>
    <row r="3361" spans="11:20" x14ac:dyDescent="0.25">
      <c r="K3361" s="312"/>
      <c r="N3361" s="514"/>
      <c r="R3361" s="293"/>
      <c r="S3361" s="316"/>
      <c r="T3361" s="355"/>
    </row>
    <row r="3362" spans="11:20" x14ac:dyDescent="0.25">
      <c r="K3362" s="312"/>
      <c r="N3362" s="514"/>
      <c r="R3362" s="293"/>
      <c r="S3362" s="316"/>
      <c r="T3362" s="355"/>
    </row>
    <row r="3363" spans="11:20" x14ac:dyDescent="0.25">
      <c r="K3363" s="312"/>
      <c r="N3363" s="514"/>
      <c r="R3363" s="293"/>
      <c r="S3363" s="316"/>
      <c r="T3363" s="355"/>
    </row>
    <row r="3364" spans="11:20" x14ac:dyDescent="0.25">
      <c r="K3364" s="312"/>
      <c r="N3364" s="514"/>
      <c r="R3364" s="293"/>
      <c r="S3364" s="316"/>
      <c r="T3364" s="355"/>
    </row>
    <row r="3365" spans="11:20" x14ac:dyDescent="0.25">
      <c r="K3365" s="312"/>
      <c r="N3365" s="514"/>
      <c r="R3365" s="293"/>
      <c r="S3365" s="316"/>
      <c r="T3365" s="355"/>
    </row>
    <row r="3366" spans="11:20" x14ac:dyDescent="0.25">
      <c r="K3366" s="312"/>
      <c r="N3366" s="514"/>
      <c r="R3366" s="293"/>
      <c r="S3366" s="316"/>
      <c r="T3366" s="355"/>
    </row>
    <row r="3367" spans="11:20" x14ac:dyDescent="0.25">
      <c r="K3367" s="312"/>
      <c r="N3367" s="514"/>
      <c r="R3367" s="293"/>
      <c r="S3367" s="316"/>
      <c r="T3367" s="355"/>
    </row>
    <row r="3368" spans="11:20" x14ac:dyDescent="0.25">
      <c r="K3368" s="312"/>
      <c r="N3368" s="514"/>
      <c r="R3368" s="293"/>
      <c r="S3368" s="316"/>
      <c r="T3368" s="355"/>
    </row>
    <row r="3369" spans="11:20" x14ac:dyDescent="0.25">
      <c r="K3369" s="312"/>
      <c r="N3369" s="514"/>
      <c r="R3369" s="293"/>
      <c r="S3369" s="316"/>
      <c r="T3369" s="355"/>
    </row>
    <row r="3370" spans="11:20" x14ac:dyDescent="0.25">
      <c r="K3370" s="312"/>
      <c r="N3370" s="514"/>
      <c r="R3370" s="293"/>
      <c r="S3370" s="316"/>
      <c r="T3370" s="355"/>
    </row>
    <row r="3371" spans="11:20" x14ac:dyDescent="0.25">
      <c r="K3371" s="312"/>
      <c r="N3371" s="514"/>
      <c r="R3371" s="293"/>
      <c r="S3371" s="316"/>
      <c r="T3371" s="355"/>
    </row>
    <row r="3372" spans="11:20" x14ac:dyDescent="0.25">
      <c r="K3372" s="312"/>
      <c r="N3372" s="514"/>
      <c r="R3372" s="293"/>
      <c r="S3372" s="316"/>
      <c r="T3372" s="355"/>
    </row>
    <row r="3373" spans="11:20" x14ac:dyDescent="0.25">
      <c r="K3373" s="312"/>
      <c r="N3373" s="514"/>
      <c r="R3373" s="293"/>
      <c r="S3373" s="316"/>
      <c r="T3373" s="355"/>
    </row>
    <row r="3374" spans="11:20" x14ac:dyDescent="0.25">
      <c r="K3374" s="312"/>
      <c r="N3374" s="514"/>
      <c r="R3374" s="293"/>
      <c r="S3374" s="316"/>
      <c r="T3374" s="355"/>
    </row>
    <row r="3375" spans="11:20" x14ac:dyDescent="0.25">
      <c r="K3375" s="312"/>
      <c r="N3375" s="514"/>
      <c r="R3375" s="293"/>
      <c r="S3375" s="316"/>
      <c r="T3375" s="355"/>
    </row>
    <row r="3376" spans="11:20" x14ac:dyDescent="0.25">
      <c r="K3376" s="312"/>
      <c r="N3376" s="514"/>
      <c r="R3376" s="293"/>
      <c r="S3376" s="316"/>
      <c r="T3376" s="355"/>
    </row>
    <row r="3377" spans="11:20" x14ac:dyDescent="0.25">
      <c r="K3377" s="312"/>
      <c r="N3377" s="514"/>
      <c r="R3377" s="293"/>
      <c r="S3377" s="316"/>
      <c r="T3377" s="355"/>
    </row>
    <row r="3378" spans="11:20" x14ac:dyDescent="0.25">
      <c r="K3378" s="312"/>
      <c r="N3378" s="514"/>
      <c r="R3378" s="293"/>
      <c r="S3378" s="316"/>
      <c r="T3378" s="355"/>
    </row>
    <row r="3379" spans="11:20" x14ac:dyDescent="0.25">
      <c r="K3379" s="312"/>
      <c r="N3379" s="514"/>
      <c r="R3379" s="293"/>
      <c r="S3379" s="316"/>
      <c r="T3379" s="355"/>
    </row>
    <row r="3380" spans="11:20" x14ac:dyDescent="0.25">
      <c r="K3380" s="312"/>
      <c r="N3380" s="514"/>
      <c r="R3380" s="293"/>
      <c r="S3380" s="316"/>
      <c r="T3380" s="355"/>
    </row>
    <row r="3381" spans="11:20" x14ac:dyDescent="0.25">
      <c r="K3381" s="312"/>
      <c r="N3381" s="514"/>
      <c r="R3381" s="293"/>
      <c r="S3381" s="316"/>
      <c r="T3381" s="355"/>
    </row>
    <row r="3382" spans="11:20" x14ac:dyDescent="0.25">
      <c r="K3382" s="312"/>
      <c r="N3382" s="514"/>
      <c r="R3382" s="293"/>
      <c r="S3382" s="316"/>
      <c r="T3382" s="355"/>
    </row>
    <row r="3383" spans="11:20" x14ac:dyDescent="0.25">
      <c r="K3383" s="312"/>
      <c r="N3383" s="514"/>
      <c r="R3383" s="293"/>
      <c r="S3383" s="316"/>
      <c r="T3383" s="355"/>
    </row>
    <row r="3384" spans="11:20" x14ac:dyDescent="0.25">
      <c r="K3384" s="312"/>
      <c r="N3384" s="514"/>
      <c r="R3384" s="293"/>
      <c r="S3384" s="316"/>
      <c r="T3384" s="355"/>
    </row>
    <row r="3385" spans="11:20" x14ac:dyDescent="0.25">
      <c r="K3385" s="312"/>
      <c r="N3385" s="514"/>
      <c r="R3385" s="293"/>
      <c r="S3385" s="316"/>
      <c r="T3385" s="355"/>
    </row>
    <row r="3386" spans="11:20" x14ac:dyDescent="0.25">
      <c r="K3386" s="312"/>
      <c r="N3386" s="514"/>
      <c r="R3386" s="293"/>
      <c r="S3386" s="316"/>
      <c r="T3386" s="355"/>
    </row>
    <row r="3387" spans="11:20" x14ac:dyDescent="0.25">
      <c r="K3387" s="312"/>
      <c r="N3387" s="514"/>
      <c r="R3387" s="293"/>
      <c r="S3387" s="316"/>
      <c r="T3387" s="355"/>
    </row>
    <row r="3388" spans="11:20" x14ac:dyDescent="0.25">
      <c r="K3388" s="312"/>
      <c r="N3388" s="514"/>
      <c r="R3388" s="293"/>
      <c r="S3388" s="316"/>
      <c r="T3388" s="355"/>
    </row>
    <row r="3389" spans="11:20" x14ac:dyDescent="0.25">
      <c r="K3389" s="312"/>
      <c r="N3389" s="514"/>
      <c r="R3389" s="293"/>
      <c r="S3389" s="316"/>
      <c r="T3389" s="355"/>
    </row>
    <row r="3390" spans="11:20" x14ac:dyDescent="0.25">
      <c r="K3390" s="312"/>
      <c r="N3390" s="514"/>
      <c r="R3390" s="293"/>
      <c r="S3390" s="316"/>
      <c r="T3390" s="355"/>
    </row>
    <row r="3391" spans="11:20" x14ac:dyDescent="0.25">
      <c r="K3391" s="312"/>
      <c r="N3391" s="514"/>
      <c r="R3391" s="293"/>
      <c r="S3391" s="316"/>
      <c r="T3391" s="355"/>
    </row>
    <row r="3392" spans="11:20" x14ac:dyDescent="0.25">
      <c r="K3392" s="312"/>
      <c r="N3392" s="514"/>
      <c r="R3392" s="293"/>
      <c r="S3392" s="316"/>
      <c r="T3392" s="355"/>
    </row>
    <row r="3393" spans="11:20" x14ac:dyDescent="0.25">
      <c r="K3393" s="312"/>
      <c r="N3393" s="514"/>
      <c r="R3393" s="293"/>
      <c r="S3393" s="316"/>
      <c r="T3393" s="355"/>
    </row>
    <row r="3394" spans="11:20" x14ac:dyDescent="0.25">
      <c r="K3394" s="312"/>
      <c r="N3394" s="514"/>
      <c r="R3394" s="293"/>
      <c r="S3394" s="316"/>
      <c r="T3394" s="355"/>
    </row>
    <row r="3395" spans="11:20" x14ac:dyDescent="0.25">
      <c r="K3395" s="312"/>
      <c r="N3395" s="514"/>
      <c r="R3395" s="293"/>
      <c r="S3395" s="316"/>
      <c r="T3395" s="355"/>
    </row>
    <row r="3396" spans="11:20" x14ac:dyDescent="0.25">
      <c r="K3396" s="312"/>
      <c r="N3396" s="514"/>
      <c r="R3396" s="293"/>
      <c r="S3396" s="316"/>
      <c r="T3396" s="355"/>
    </row>
    <row r="3397" spans="11:20" x14ac:dyDescent="0.25">
      <c r="K3397" s="312"/>
      <c r="N3397" s="514"/>
      <c r="R3397" s="293"/>
      <c r="S3397" s="316"/>
      <c r="T3397" s="355"/>
    </row>
    <row r="3398" spans="11:20" x14ac:dyDescent="0.25">
      <c r="K3398" s="312"/>
      <c r="N3398" s="514"/>
      <c r="R3398" s="293"/>
      <c r="S3398" s="316"/>
      <c r="T3398" s="355"/>
    </row>
    <row r="3399" spans="11:20" x14ac:dyDescent="0.25">
      <c r="K3399" s="312"/>
      <c r="N3399" s="514"/>
      <c r="R3399" s="293"/>
      <c r="S3399" s="316"/>
      <c r="T3399" s="355"/>
    </row>
    <row r="3400" spans="11:20" x14ac:dyDescent="0.25">
      <c r="K3400" s="312"/>
      <c r="N3400" s="514"/>
      <c r="R3400" s="293"/>
      <c r="S3400" s="316"/>
      <c r="T3400" s="355"/>
    </row>
    <row r="3401" spans="11:20" x14ac:dyDescent="0.25">
      <c r="K3401" s="312"/>
      <c r="N3401" s="514"/>
      <c r="R3401" s="293"/>
      <c r="S3401" s="316"/>
      <c r="T3401" s="355"/>
    </row>
    <row r="3402" spans="11:20" x14ac:dyDescent="0.25">
      <c r="K3402" s="312"/>
      <c r="N3402" s="514"/>
      <c r="R3402" s="293"/>
      <c r="S3402" s="316"/>
      <c r="T3402" s="355"/>
    </row>
    <row r="3403" spans="11:20" x14ac:dyDescent="0.25">
      <c r="K3403" s="312"/>
      <c r="N3403" s="514"/>
      <c r="R3403" s="293"/>
      <c r="S3403" s="316"/>
      <c r="T3403" s="355"/>
    </row>
    <row r="3404" spans="11:20" x14ac:dyDescent="0.25">
      <c r="K3404" s="312"/>
      <c r="N3404" s="514"/>
      <c r="R3404" s="293"/>
      <c r="S3404" s="316"/>
      <c r="T3404" s="355"/>
    </row>
    <row r="3405" spans="11:20" x14ac:dyDescent="0.25">
      <c r="K3405" s="312"/>
      <c r="N3405" s="514"/>
      <c r="R3405" s="293"/>
      <c r="S3405" s="316"/>
      <c r="T3405" s="355"/>
    </row>
    <row r="3406" spans="11:20" x14ac:dyDescent="0.25">
      <c r="K3406" s="312"/>
      <c r="N3406" s="514"/>
      <c r="R3406" s="293"/>
      <c r="S3406" s="316"/>
      <c r="T3406" s="355"/>
    </row>
    <row r="3407" spans="11:20" x14ac:dyDescent="0.25">
      <c r="K3407" s="312"/>
      <c r="N3407" s="514"/>
      <c r="R3407" s="293"/>
      <c r="S3407" s="316"/>
      <c r="T3407" s="355"/>
    </row>
    <row r="3408" spans="11:20" x14ac:dyDescent="0.25">
      <c r="K3408" s="312"/>
      <c r="N3408" s="514"/>
      <c r="R3408" s="293"/>
      <c r="S3408" s="316"/>
      <c r="T3408" s="355"/>
    </row>
    <row r="3409" spans="11:20" x14ac:dyDescent="0.25">
      <c r="K3409" s="312"/>
      <c r="N3409" s="514"/>
      <c r="R3409" s="293"/>
      <c r="S3409" s="316"/>
      <c r="T3409" s="355"/>
    </row>
    <row r="3410" spans="11:20" x14ac:dyDescent="0.25">
      <c r="K3410" s="312"/>
      <c r="N3410" s="514"/>
      <c r="R3410" s="293"/>
      <c r="S3410" s="316"/>
      <c r="T3410" s="355"/>
    </row>
    <row r="3411" spans="11:20" x14ac:dyDescent="0.25">
      <c r="K3411" s="312"/>
      <c r="N3411" s="514"/>
      <c r="R3411" s="293"/>
      <c r="S3411" s="316"/>
      <c r="T3411" s="355"/>
    </row>
    <row r="3412" spans="11:20" x14ac:dyDescent="0.25">
      <c r="K3412" s="312"/>
      <c r="N3412" s="514"/>
      <c r="R3412" s="293"/>
      <c r="S3412" s="316"/>
      <c r="T3412" s="355"/>
    </row>
    <row r="3413" spans="11:20" x14ac:dyDescent="0.25">
      <c r="K3413" s="312"/>
      <c r="N3413" s="514"/>
      <c r="R3413" s="293"/>
      <c r="S3413" s="316"/>
      <c r="T3413" s="355"/>
    </row>
    <row r="3414" spans="11:20" x14ac:dyDescent="0.25">
      <c r="K3414" s="312"/>
      <c r="N3414" s="514"/>
      <c r="R3414" s="293"/>
      <c r="S3414" s="316"/>
      <c r="T3414" s="355"/>
    </row>
    <row r="3415" spans="11:20" x14ac:dyDescent="0.25">
      <c r="K3415" s="312"/>
      <c r="N3415" s="514"/>
      <c r="R3415" s="293"/>
      <c r="S3415" s="316"/>
      <c r="T3415" s="355"/>
    </row>
    <row r="3416" spans="11:20" x14ac:dyDescent="0.25">
      <c r="K3416" s="312"/>
      <c r="N3416" s="514"/>
      <c r="R3416" s="293"/>
      <c r="S3416" s="316"/>
      <c r="T3416" s="355"/>
    </row>
    <row r="3417" spans="11:20" x14ac:dyDescent="0.25">
      <c r="K3417" s="312"/>
      <c r="N3417" s="514"/>
      <c r="R3417" s="293"/>
      <c r="S3417" s="316"/>
      <c r="T3417" s="355"/>
    </row>
    <row r="3418" spans="11:20" x14ac:dyDescent="0.25">
      <c r="K3418" s="312"/>
      <c r="N3418" s="514"/>
      <c r="R3418" s="293"/>
      <c r="S3418" s="316"/>
      <c r="T3418" s="355"/>
    </row>
    <row r="3419" spans="11:20" x14ac:dyDescent="0.25">
      <c r="K3419" s="312"/>
      <c r="N3419" s="514"/>
      <c r="R3419" s="293"/>
      <c r="S3419" s="316"/>
      <c r="T3419" s="355"/>
    </row>
    <row r="3420" spans="11:20" x14ac:dyDescent="0.25">
      <c r="K3420" s="312"/>
      <c r="N3420" s="514"/>
      <c r="R3420" s="293"/>
      <c r="S3420" s="316"/>
      <c r="T3420" s="355"/>
    </row>
    <row r="3421" spans="11:20" x14ac:dyDescent="0.25">
      <c r="K3421" s="312"/>
      <c r="N3421" s="514"/>
      <c r="R3421" s="293"/>
      <c r="S3421" s="316"/>
      <c r="T3421" s="355"/>
    </row>
    <row r="3422" spans="11:20" x14ac:dyDescent="0.25">
      <c r="K3422" s="312"/>
      <c r="N3422" s="514"/>
      <c r="R3422" s="293"/>
      <c r="S3422" s="316"/>
      <c r="T3422" s="355"/>
    </row>
    <row r="3423" spans="11:20" x14ac:dyDescent="0.25">
      <c r="K3423" s="312"/>
      <c r="N3423" s="514"/>
      <c r="R3423" s="293"/>
      <c r="S3423" s="316"/>
      <c r="T3423" s="355"/>
    </row>
    <row r="3424" spans="11:20" x14ac:dyDescent="0.25">
      <c r="K3424" s="312"/>
      <c r="N3424" s="514"/>
      <c r="R3424" s="293"/>
      <c r="S3424" s="316"/>
      <c r="T3424" s="355"/>
    </row>
    <row r="3425" spans="11:20" x14ac:dyDescent="0.25">
      <c r="K3425" s="312"/>
      <c r="N3425" s="514"/>
      <c r="R3425" s="293"/>
      <c r="S3425" s="316"/>
      <c r="T3425" s="355"/>
    </row>
    <row r="3426" spans="11:20" x14ac:dyDescent="0.25">
      <c r="K3426" s="312"/>
      <c r="N3426" s="514"/>
      <c r="R3426" s="293"/>
      <c r="S3426" s="316"/>
      <c r="T3426" s="355"/>
    </row>
    <row r="3427" spans="11:20" x14ac:dyDescent="0.25">
      <c r="K3427" s="312"/>
      <c r="N3427" s="514"/>
      <c r="R3427" s="293"/>
      <c r="S3427" s="316"/>
      <c r="T3427" s="355"/>
    </row>
    <row r="3428" spans="11:20" x14ac:dyDescent="0.25">
      <c r="K3428" s="312"/>
      <c r="N3428" s="514"/>
      <c r="R3428" s="293"/>
      <c r="S3428" s="316"/>
      <c r="T3428" s="355"/>
    </row>
    <row r="3429" spans="11:20" x14ac:dyDescent="0.25">
      <c r="K3429" s="312"/>
      <c r="N3429" s="514"/>
      <c r="R3429" s="293"/>
      <c r="S3429" s="316"/>
      <c r="T3429" s="355"/>
    </row>
    <row r="3430" spans="11:20" x14ac:dyDescent="0.25">
      <c r="K3430" s="312"/>
      <c r="N3430" s="514"/>
      <c r="R3430" s="293"/>
      <c r="S3430" s="316"/>
      <c r="T3430" s="355"/>
    </row>
    <row r="3431" spans="11:20" x14ac:dyDescent="0.25">
      <c r="K3431" s="312"/>
      <c r="N3431" s="514"/>
      <c r="R3431" s="293"/>
      <c r="S3431" s="316"/>
      <c r="T3431" s="355"/>
    </row>
    <row r="3432" spans="11:20" x14ac:dyDescent="0.25">
      <c r="K3432" s="312"/>
      <c r="N3432" s="514"/>
      <c r="R3432" s="293"/>
      <c r="S3432" s="316"/>
      <c r="T3432" s="355"/>
    </row>
    <row r="3433" spans="11:20" x14ac:dyDescent="0.25">
      <c r="K3433" s="312"/>
      <c r="N3433" s="514"/>
      <c r="R3433" s="293"/>
      <c r="S3433" s="316"/>
      <c r="T3433" s="355"/>
    </row>
    <row r="3434" spans="11:20" x14ac:dyDescent="0.25">
      <c r="K3434" s="312"/>
      <c r="N3434" s="514"/>
      <c r="R3434" s="293"/>
      <c r="S3434" s="316"/>
      <c r="T3434" s="355"/>
    </row>
    <row r="3435" spans="11:20" x14ac:dyDescent="0.25">
      <c r="K3435" s="312"/>
      <c r="N3435" s="514"/>
      <c r="R3435" s="293"/>
      <c r="S3435" s="316"/>
      <c r="T3435" s="355"/>
    </row>
    <row r="3436" spans="11:20" x14ac:dyDescent="0.25">
      <c r="K3436" s="312"/>
      <c r="N3436" s="514"/>
      <c r="R3436" s="293"/>
      <c r="S3436" s="316"/>
      <c r="T3436" s="355"/>
    </row>
    <row r="3437" spans="11:20" x14ac:dyDescent="0.25">
      <c r="K3437" s="312"/>
      <c r="N3437" s="514"/>
      <c r="R3437" s="293"/>
      <c r="S3437" s="316"/>
      <c r="T3437" s="355"/>
    </row>
    <row r="3438" spans="11:20" x14ac:dyDescent="0.25">
      <c r="K3438" s="312"/>
      <c r="N3438" s="514"/>
      <c r="R3438" s="293"/>
      <c r="S3438" s="316"/>
      <c r="T3438" s="355"/>
    </row>
    <row r="3439" spans="11:20" x14ac:dyDescent="0.25">
      <c r="K3439" s="312"/>
      <c r="N3439" s="514"/>
      <c r="R3439" s="293"/>
      <c r="S3439" s="316"/>
      <c r="T3439" s="355"/>
    </row>
    <row r="3440" spans="11:20" x14ac:dyDescent="0.25">
      <c r="K3440" s="312"/>
      <c r="N3440" s="514"/>
      <c r="R3440" s="293"/>
      <c r="S3440" s="316"/>
      <c r="T3440" s="355"/>
    </row>
    <row r="3441" spans="11:20" x14ac:dyDescent="0.25">
      <c r="K3441" s="312"/>
      <c r="N3441" s="514"/>
      <c r="R3441" s="293"/>
      <c r="S3441" s="316"/>
      <c r="T3441" s="355"/>
    </row>
    <row r="3442" spans="11:20" x14ac:dyDescent="0.25">
      <c r="K3442" s="312"/>
      <c r="N3442" s="514"/>
      <c r="R3442" s="293"/>
      <c r="S3442" s="316"/>
      <c r="T3442" s="355"/>
    </row>
    <row r="3443" spans="11:20" x14ac:dyDescent="0.25">
      <c r="K3443" s="312"/>
      <c r="N3443" s="514"/>
      <c r="R3443" s="293"/>
      <c r="S3443" s="316"/>
      <c r="T3443" s="355"/>
    </row>
    <row r="3444" spans="11:20" x14ac:dyDescent="0.25">
      <c r="K3444" s="312"/>
      <c r="N3444" s="514"/>
      <c r="R3444" s="293"/>
      <c r="S3444" s="316"/>
      <c r="T3444" s="355"/>
    </row>
    <row r="3445" spans="11:20" x14ac:dyDescent="0.25">
      <c r="K3445" s="312"/>
      <c r="N3445" s="514"/>
      <c r="R3445" s="293"/>
      <c r="S3445" s="316"/>
      <c r="T3445" s="355"/>
    </row>
    <row r="3446" spans="11:20" x14ac:dyDescent="0.25">
      <c r="K3446" s="312"/>
      <c r="N3446" s="514"/>
      <c r="R3446" s="293"/>
      <c r="S3446" s="316"/>
      <c r="T3446" s="355"/>
    </row>
    <row r="3447" spans="11:20" x14ac:dyDescent="0.25">
      <c r="K3447" s="312"/>
      <c r="N3447" s="514"/>
      <c r="R3447" s="293"/>
      <c r="S3447" s="316"/>
      <c r="T3447" s="355"/>
    </row>
    <row r="3448" spans="11:20" x14ac:dyDescent="0.25">
      <c r="K3448" s="312"/>
      <c r="N3448" s="514"/>
      <c r="R3448" s="293"/>
      <c r="S3448" s="316"/>
      <c r="T3448" s="355"/>
    </row>
    <row r="3449" spans="11:20" x14ac:dyDescent="0.25">
      <c r="K3449" s="312"/>
      <c r="N3449" s="514"/>
      <c r="R3449" s="293"/>
      <c r="S3449" s="316"/>
      <c r="T3449" s="355"/>
    </row>
    <row r="3450" spans="11:20" x14ac:dyDescent="0.25">
      <c r="K3450" s="312"/>
      <c r="N3450" s="514"/>
      <c r="R3450" s="293"/>
      <c r="S3450" s="316"/>
      <c r="T3450" s="355"/>
    </row>
    <row r="3451" spans="11:20" x14ac:dyDescent="0.25">
      <c r="K3451" s="312"/>
      <c r="N3451" s="514"/>
      <c r="R3451" s="293"/>
      <c r="S3451" s="316"/>
      <c r="T3451" s="355"/>
    </row>
    <row r="3452" spans="11:20" x14ac:dyDescent="0.25">
      <c r="K3452" s="312"/>
      <c r="N3452" s="514"/>
      <c r="R3452" s="293"/>
      <c r="S3452" s="316"/>
      <c r="T3452" s="355"/>
    </row>
    <row r="3453" spans="11:20" x14ac:dyDescent="0.25">
      <c r="K3453" s="312"/>
      <c r="N3453" s="514"/>
      <c r="R3453" s="293"/>
      <c r="S3453" s="316"/>
      <c r="T3453" s="355"/>
    </row>
    <row r="3454" spans="11:20" x14ac:dyDescent="0.25">
      <c r="K3454" s="312"/>
      <c r="N3454" s="514"/>
      <c r="R3454" s="293"/>
      <c r="S3454" s="316"/>
      <c r="T3454" s="355"/>
    </row>
    <row r="3455" spans="11:20" x14ac:dyDescent="0.25">
      <c r="K3455" s="312"/>
      <c r="N3455" s="514"/>
      <c r="R3455" s="293"/>
      <c r="S3455" s="316"/>
      <c r="T3455" s="355"/>
    </row>
    <row r="3456" spans="11:20" x14ac:dyDescent="0.25">
      <c r="K3456" s="312"/>
      <c r="N3456" s="514"/>
      <c r="R3456" s="293"/>
      <c r="S3456" s="316"/>
      <c r="T3456" s="355"/>
    </row>
    <row r="3457" spans="11:20" x14ac:dyDescent="0.25">
      <c r="K3457" s="312"/>
      <c r="N3457" s="514"/>
      <c r="R3457" s="293"/>
      <c r="S3457" s="316"/>
      <c r="T3457" s="355"/>
    </row>
    <row r="3458" spans="11:20" x14ac:dyDescent="0.25">
      <c r="K3458" s="312"/>
      <c r="N3458" s="514"/>
      <c r="R3458" s="293"/>
      <c r="S3458" s="316"/>
      <c r="T3458" s="355"/>
    </row>
    <row r="3459" spans="11:20" x14ac:dyDescent="0.25">
      <c r="K3459" s="312"/>
      <c r="N3459" s="514"/>
      <c r="R3459" s="293"/>
      <c r="S3459" s="316"/>
      <c r="T3459" s="355"/>
    </row>
    <row r="3460" spans="11:20" x14ac:dyDescent="0.25">
      <c r="K3460" s="312"/>
      <c r="N3460" s="514"/>
      <c r="R3460" s="293"/>
      <c r="S3460" s="316"/>
      <c r="T3460" s="355"/>
    </row>
    <row r="3461" spans="11:20" x14ac:dyDescent="0.25">
      <c r="K3461" s="312"/>
      <c r="N3461" s="514"/>
      <c r="R3461" s="293"/>
      <c r="S3461" s="316"/>
      <c r="T3461" s="355"/>
    </row>
    <row r="3462" spans="11:20" x14ac:dyDescent="0.25">
      <c r="K3462" s="312"/>
      <c r="N3462" s="514"/>
      <c r="R3462" s="293"/>
      <c r="S3462" s="316"/>
      <c r="T3462" s="355"/>
    </row>
    <row r="3463" spans="11:20" x14ac:dyDescent="0.25">
      <c r="K3463" s="312"/>
      <c r="N3463" s="514"/>
      <c r="R3463" s="293"/>
      <c r="S3463" s="316"/>
      <c r="T3463" s="355"/>
    </row>
    <row r="3464" spans="11:20" x14ac:dyDescent="0.25">
      <c r="K3464" s="312"/>
      <c r="N3464" s="514"/>
      <c r="R3464" s="293"/>
      <c r="S3464" s="316"/>
      <c r="T3464" s="355"/>
    </row>
    <row r="3465" spans="11:20" x14ac:dyDescent="0.25">
      <c r="K3465" s="312"/>
      <c r="N3465" s="514"/>
      <c r="R3465" s="293"/>
      <c r="S3465" s="316"/>
      <c r="T3465" s="355"/>
    </row>
    <row r="3466" spans="11:20" x14ac:dyDescent="0.25">
      <c r="K3466" s="312"/>
      <c r="N3466" s="514"/>
      <c r="R3466" s="293"/>
      <c r="S3466" s="316"/>
      <c r="T3466" s="355"/>
    </row>
    <row r="3467" spans="11:20" x14ac:dyDescent="0.25">
      <c r="K3467" s="312"/>
      <c r="N3467" s="514"/>
      <c r="R3467" s="293"/>
      <c r="S3467" s="316"/>
      <c r="T3467" s="355"/>
    </row>
    <row r="3468" spans="11:20" x14ac:dyDescent="0.25">
      <c r="K3468" s="312"/>
      <c r="N3468" s="514"/>
      <c r="R3468" s="293"/>
      <c r="S3468" s="316"/>
      <c r="T3468" s="355"/>
    </row>
    <row r="3469" spans="11:20" x14ac:dyDescent="0.25">
      <c r="K3469" s="312"/>
      <c r="N3469" s="514"/>
      <c r="R3469" s="293"/>
      <c r="S3469" s="316"/>
      <c r="T3469" s="355"/>
    </row>
    <row r="3470" spans="11:20" x14ac:dyDescent="0.25">
      <c r="K3470" s="312"/>
      <c r="N3470" s="514"/>
      <c r="R3470" s="293"/>
      <c r="S3470" s="316"/>
      <c r="T3470" s="355"/>
    </row>
    <row r="3471" spans="11:20" x14ac:dyDescent="0.25">
      <c r="K3471" s="312"/>
      <c r="N3471" s="514"/>
      <c r="R3471" s="293"/>
      <c r="S3471" s="316"/>
      <c r="T3471" s="355"/>
    </row>
    <row r="3472" spans="11:20" x14ac:dyDescent="0.25">
      <c r="K3472" s="312"/>
      <c r="N3472" s="514"/>
      <c r="R3472" s="293"/>
      <c r="S3472" s="316"/>
      <c r="T3472" s="355"/>
    </row>
    <row r="3473" spans="11:20" x14ac:dyDescent="0.25">
      <c r="K3473" s="312"/>
      <c r="N3473" s="514"/>
      <c r="R3473" s="293"/>
      <c r="S3473" s="316"/>
      <c r="T3473" s="355"/>
    </row>
    <row r="3474" spans="11:20" x14ac:dyDescent="0.25">
      <c r="K3474" s="312"/>
      <c r="N3474" s="514"/>
      <c r="R3474" s="293"/>
      <c r="S3474" s="316"/>
      <c r="T3474" s="355"/>
    </row>
    <row r="3475" spans="11:20" x14ac:dyDescent="0.25">
      <c r="K3475" s="312"/>
      <c r="N3475" s="514"/>
      <c r="R3475" s="293"/>
      <c r="S3475" s="316"/>
      <c r="T3475" s="355"/>
    </row>
    <row r="3476" spans="11:20" x14ac:dyDescent="0.25">
      <c r="K3476" s="312"/>
      <c r="N3476" s="514"/>
      <c r="R3476" s="293"/>
      <c r="S3476" s="316"/>
      <c r="T3476" s="355"/>
    </row>
    <row r="3477" spans="11:20" x14ac:dyDescent="0.25">
      <c r="K3477" s="312"/>
      <c r="N3477" s="514"/>
      <c r="R3477" s="293"/>
      <c r="S3477" s="316"/>
      <c r="T3477" s="355"/>
    </row>
    <row r="3478" spans="11:20" x14ac:dyDescent="0.25">
      <c r="K3478" s="312"/>
      <c r="N3478" s="514"/>
      <c r="R3478" s="293"/>
      <c r="S3478" s="316"/>
      <c r="T3478" s="355"/>
    </row>
    <row r="3479" spans="11:20" x14ac:dyDescent="0.25">
      <c r="K3479" s="312"/>
      <c r="N3479" s="514"/>
      <c r="R3479" s="293"/>
      <c r="S3479" s="316"/>
      <c r="T3479" s="355"/>
    </row>
    <row r="3480" spans="11:20" x14ac:dyDescent="0.25">
      <c r="K3480" s="312"/>
      <c r="N3480" s="514"/>
      <c r="R3480" s="293"/>
      <c r="S3480" s="316"/>
      <c r="T3480" s="355"/>
    </row>
    <row r="3481" spans="11:20" x14ac:dyDescent="0.25">
      <c r="K3481" s="312"/>
      <c r="N3481" s="514"/>
      <c r="R3481" s="293"/>
      <c r="S3481" s="316"/>
      <c r="T3481" s="355"/>
    </row>
    <row r="3482" spans="11:20" x14ac:dyDescent="0.25">
      <c r="K3482" s="312"/>
      <c r="N3482" s="514"/>
      <c r="R3482" s="293"/>
      <c r="S3482" s="316"/>
      <c r="T3482" s="355"/>
    </row>
    <row r="3483" spans="11:20" x14ac:dyDescent="0.25">
      <c r="K3483" s="312"/>
      <c r="N3483" s="514"/>
      <c r="R3483" s="293"/>
      <c r="S3483" s="316"/>
      <c r="T3483" s="355"/>
    </row>
    <row r="3484" spans="11:20" x14ac:dyDescent="0.25">
      <c r="K3484" s="312"/>
      <c r="N3484" s="514"/>
      <c r="R3484" s="293"/>
      <c r="S3484" s="316"/>
      <c r="T3484" s="355"/>
    </row>
    <row r="3485" spans="11:20" x14ac:dyDescent="0.25">
      <c r="K3485" s="312"/>
      <c r="N3485" s="514"/>
      <c r="R3485" s="293"/>
      <c r="S3485" s="316"/>
      <c r="T3485" s="355"/>
    </row>
    <row r="3486" spans="11:20" x14ac:dyDescent="0.25">
      <c r="K3486" s="312"/>
      <c r="N3486" s="514"/>
      <c r="R3486" s="293"/>
      <c r="S3486" s="316"/>
      <c r="T3486" s="355"/>
    </row>
    <row r="3487" spans="11:20" x14ac:dyDescent="0.25">
      <c r="K3487" s="312"/>
      <c r="N3487" s="514"/>
      <c r="R3487" s="293"/>
      <c r="S3487" s="316"/>
      <c r="T3487" s="355"/>
    </row>
    <row r="3488" spans="11:20" x14ac:dyDescent="0.25">
      <c r="K3488" s="312"/>
      <c r="N3488" s="514"/>
      <c r="R3488" s="293"/>
      <c r="S3488" s="316"/>
      <c r="T3488" s="355"/>
    </row>
    <row r="3489" spans="11:20" x14ac:dyDescent="0.25">
      <c r="K3489" s="312"/>
      <c r="N3489" s="514"/>
      <c r="R3489" s="293"/>
      <c r="S3489" s="316"/>
      <c r="T3489" s="355"/>
    </row>
    <row r="3490" spans="11:20" x14ac:dyDescent="0.25">
      <c r="K3490" s="312"/>
      <c r="N3490" s="514"/>
      <c r="R3490" s="293"/>
      <c r="S3490" s="316"/>
      <c r="T3490" s="355"/>
    </row>
    <row r="3491" spans="11:20" x14ac:dyDescent="0.25">
      <c r="K3491" s="312"/>
      <c r="N3491" s="514"/>
      <c r="R3491" s="293"/>
      <c r="S3491" s="316"/>
      <c r="T3491" s="355"/>
    </row>
    <row r="3492" spans="11:20" x14ac:dyDescent="0.25">
      <c r="K3492" s="312"/>
      <c r="N3492" s="514"/>
      <c r="R3492" s="293"/>
      <c r="S3492" s="316"/>
      <c r="T3492" s="355"/>
    </row>
    <row r="3493" spans="11:20" x14ac:dyDescent="0.25">
      <c r="K3493" s="312"/>
      <c r="N3493" s="514"/>
      <c r="R3493" s="293"/>
      <c r="S3493" s="316"/>
      <c r="T3493" s="355"/>
    </row>
    <row r="3494" spans="11:20" x14ac:dyDescent="0.25">
      <c r="K3494" s="312"/>
      <c r="N3494" s="514"/>
      <c r="R3494" s="293"/>
      <c r="S3494" s="316"/>
      <c r="T3494" s="355"/>
    </row>
    <row r="3495" spans="11:20" x14ac:dyDescent="0.25">
      <c r="K3495" s="312"/>
      <c r="N3495" s="514"/>
      <c r="R3495" s="293"/>
      <c r="S3495" s="316"/>
      <c r="T3495" s="355"/>
    </row>
    <row r="3496" spans="11:20" x14ac:dyDescent="0.25">
      <c r="K3496" s="312"/>
      <c r="N3496" s="514"/>
      <c r="R3496" s="293"/>
      <c r="S3496" s="316"/>
      <c r="T3496" s="355"/>
    </row>
    <row r="3497" spans="11:20" x14ac:dyDescent="0.25">
      <c r="K3497" s="312"/>
      <c r="N3497" s="514"/>
      <c r="R3497" s="293"/>
      <c r="S3497" s="316"/>
      <c r="T3497" s="355"/>
    </row>
    <row r="3498" spans="11:20" x14ac:dyDescent="0.25">
      <c r="K3498" s="312"/>
      <c r="N3498" s="514"/>
      <c r="R3498" s="293"/>
      <c r="S3498" s="316"/>
      <c r="T3498" s="355"/>
    </row>
    <row r="3499" spans="11:20" x14ac:dyDescent="0.25">
      <c r="K3499" s="312"/>
      <c r="N3499" s="514"/>
      <c r="R3499" s="293"/>
      <c r="S3499" s="316"/>
      <c r="T3499" s="355"/>
    </row>
    <row r="3500" spans="11:20" x14ac:dyDescent="0.25">
      <c r="K3500" s="312"/>
      <c r="N3500" s="514"/>
      <c r="R3500" s="293"/>
      <c r="S3500" s="316"/>
      <c r="T3500" s="355"/>
    </row>
    <row r="3501" spans="11:20" x14ac:dyDescent="0.25">
      <c r="K3501" s="312"/>
      <c r="N3501" s="514"/>
      <c r="R3501" s="293"/>
      <c r="S3501" s="316"/>
      <c r="T3501" s="355"/>
    </row>
    <row r="3502" spans="11:20" x14ac:dyDescent="0.25">
      <c r="K3502" s="312"/>
      <c r="N3502" s="514"/>
      <c r="R3502" s="293"/>
      <c r="S3502" s="316"/>
      <c r="T3502" s="355"/>
    </row>
    <row r="3503" spans="11:20" x14ac:dyDescent="0.25">
      <c r="K3503" s="312"/>
      <c r="N3503" s="514"/>
      <c r="R3503" s="293"/>
      <c r="S3503" s="316"/>
      <c r="T3503" s="355"/>
    </row>
    <row r="3504" spans="11:20" x14ac:dyDescent="0.25">
      <c r="K3504" s="312"/>
      <c r="N3504" s="514"/>
      <c r="R3504" s="293"/>
      <c r="S3504" s="316"/>
      <c r="T3504" s="355"/>
    </row>
    <row r="3505" spans="11:20" x14ac:dyDescent="0.25">
      <c r="K3505" s="312"/>
      <c r="N3505" s="514"/>
      <c r="R3505" s="293"/>
      <c r="S3505" s="316"/>
      <c r="T3505" s="355"/>
    </row>
    <row r="3506" spans="11:20" x14ac:dyDescent="0.25">
      <c r="K3506" s="312"/>
      <c r="N3506" s="514"/>
      <c r="R3506" s="293"/>
      <c r="S3506" s="316"/>
      <c r="T3506" s="355"/>
    </row>
    <row r="3507" spans="11:20" x14ac:dyDescent="0.25">
      <c r="K3507" s="312"/>
      <c r="N3507" s="514"/>
      <c r="R3507" s="293"/>
      <c r="S3507" s="316"/>
      <c r="T3507" s="355"/>
    </row>
    <row r="3508" spans="11:20" x14ac:dyDescent="0.25">
      <c r="K3508" s="312"/>
      <c r="N3508" s="514"/>
      <c r="R3508" s="293"/>
      <c r="S3508" s="316"/>
      <c r="T3508" s="355"/>
    </row>
    <row r="3509" spans="11:20" x14ac:dyDescent="0.25">
      <c r="K3509" s="312"/>
      <c r="N3509" s="514"/>
      <c r="R3509" s="293"/>
      <c r="S3509" s="316"/>
      <c r="T3509" s="355"/>
    </row>
    <row r="3510" spans="11:20" x14ac:dyDescent="0.25">
      <c r="K3510" s="312"/>
      <c r="N3510" s="514"/>
      <c r="R3510" s="293"/>
      <c r="S3510" s="316"/>
      <c r="T3510" s="355"/>
    </row>
    <row r="3511" spans="11:20" x14ac:dyDescent="0.25">
      <c r="K3511" s="312"/>
      <c r="N3511" s="514"/>
      <c r="R3511" s="293"/>
      <c r="S3511" s="316"/>
      <c r="T3511" s="355"/>
    </row>
    <row r="3512" spans="11:20" x14ac:dyDescent="0.25">
      <c r="K3512" s="312"/>
      <c r="N3512" s="514"/>
      <c r="R3512" s="293"/>
      <c r="S3512" s="316"/>
      <c r="T3512" s="355"/>
    </row>
    <row r="3513" spans="11:20" x14ac:dyDescent="0.25">
      <c r="K3513" s="312"/>
      <c r="N3513" s="514"/>
      <c r="R3513" s="293"/>
      <c r="S3513" s="316"/>
      <c r="T3513" s="355"/>
    </row>
    <row r="3514" spans="11:20" x14ac:dyDescent="0.25">
      <c r="K3514" s="312"/>
      <c r="N3514" s="514"/>
      <c r="R3514" s="293"/>
      <c r="S3514" s="316"/>
      <c r="T3514" s="355"/>
    </row>
    <row r="3515" spans="11:20" x14ac:dyDescent="0.25">
      <c r="K3515" s="312"/>
      <c r="N3515" s="514"/>
      <c r="R3515" s="293"/>
      <c r="S3515" s="316"/>
      <c r="T3515" s="355"/>
    </row>
    <row r="3516" spans="11:20" x14ac:dyDescent="0.25">
      <c r="K3516" s="312"/>
      <c r="N3516" s="514"/>
      <c r="R3516" s="293"/>
      <c r="S3516" s="316"/>
      <c r="T3516" s="355"/>
    </row>
    <row r="3517" spans="11:20" x14ac:dyDescent="0.25">
      <c r="K3517" s="312"/>
      <c r="N3517" s="514"/>
      <c r="R3517" s="293"/>
      <c r="S3517" s="316"/>
      <c r="T3517" s="355"/>
    </row>
    <row r="3518" spans="11:20" x14ac:dyDescent="0.25">
      <c r="K3518" s="312"/>
      <c r="N3518" s="514"/>
      <c r="R3518" s="293"/>
      <c r="S3518" s="316"/>
      <c r="T3518" s="355"/>
    </row>
    <row r="3519" spans="11:20" x14ac:dyDescent="0.25">
      <c r="K3519" s="312"/>
      <c r="N3519" s="514"/>
      <c r="R3519" s="293"/>
      <c r="S3519" s="316"/>
      <c r="T3519" s="355"/>
    </row>
    <row r="3520" spans="11:20" x14ac:dyDescent="0.25">
      <c r="K3520" s="312"/>
      <c r="N3520" s="514"/>
      <c r="R3520" s="293"/>
      <c r="S3520" s="316"/>
      <c r="T3520" s="355"/>
    </row>
    <row r="3521" spans="11:20" x14ac:dyDescent="0.25">
      <c r="K3521" s="312"/>
      <c r="N3521" s="514"/>
      <c r="R3521" s="293"/>
      <c r="S3521" s="316"/>
      <c r="T3521" s="355"/>
    </row>
    <row r="3522" spans="11:20" x14ac:dyDescent="0.25">
      <c r="K3522" s="312"/>
      <c r="N3522" s="514"/>
      <c r="R3522" s="293"/>
      <c r="S3522" s="316"/>
      <c r="T3522" s="355"/>
    </row>
    <row r="3523" spans="11:20" x14ac:dyDescent="0.25">
      <c r="K3523" s="312"/>
      <c r="N3523" s="514"/>
      <c r="R3523" s="293"/>
      <c r="S3523" s="316"/>
      <c r="T3523" s="355"/>
    </row>
    <row r="3524" spans="11:20" x14ac:dyDescent="0.25">
      <c r="K3524" s="312"/>
      <c r="N3524" s="514"/>
      <c r="R3524" s="293"/>
      <c r="S3524" s="316"/>
      <c r="T3524" s="355"/>
    </row>
    <row r="3525" spans="11:20" x14ac:dyDescent="0.25">
      <c r="K3525" s="312"/>
      <c r="N3525" s="514"/>
      <c r="R3525" s="293"/>
      <c r="S3525" s="316"/>
      <c r="T3525" s="355"/>
    </row>
    <row r="3526" spans="11:20" x14ac:dyDescent="0.25">
      <c r="K3526" s="312"/>
      <c r="N3526" s="514"/>
      <c r="R3526" s="293"/>
      <c r="S3526" s="316"/>
      <c r="T3526" s="355"/>
    </row>
    <row r="3527" spans="11:20" x14ac:dyDescent="0.25">
      <c r="K3527" s="312"/>
      <c r="N3527" s="514"/>
      <c r="R3527" s="293"/>
      <c r="S3527" s="316"/>
      <c r="T3527" s="355"/>
    </row>
    <row r="3528" spans="11:20" x14ac:dyDescent="0.25">
      <c r="K3528" s="312"/>
      <c r="N3528" s="514"/>
      <c r="R3528" s="293"/>
      <c r="S3528" s="316"/>
      <c r="T3528" s="355"/>
    </row>
    <row r="3529" spans="11:20" x14ac:dyDescent="0.25">
      <c r="K3529" s="312"/>
      <c r="N3529" s="514"/>
      <c r="R3529" s="293"/>
      <c r="S3529" s="316"/>
      <c r="T3529" s="355"/>
    </row>
    <row r="3530" spans="11:20" x14ac:dyDescent="0.25">
      <c r="K3530" s="312"/>
      <c r="N3530" s="514"/>
      <c r="R3530" s="293"/>
      <c r="S3530" s="316"/>
      <c r="T3530" s="355"/>
    </row>
    <row r="3531" spans="11:20" x14ac:dyDescent="0.25">
      <c r="K3531" s="312"/>
      <c r="N3531" s="514"/>
      <c r="R3531" s="293"/>
      <c r="S3531" s="316"/>
      <c r="T3531" s="355"/>
    </row>
    <row r="3532" spans="11:20" x14ac:dyDescent="0.25">
      <c r="K3532" s="312"/>
      <c r="N3532" s="514"/>
      <c r="R3532" s="293"/>
      <c r="S3532" s="316"/>
      <c r="T3532" s="355"/>
    </row>
    <row r="3533" spans="11:20" x14ac:dyDescent="0.25">
      <c r="K3533" s="312"/>
      <c r="N3533" s="514"/>
      <c r="R3533" s="293"/>
      <c r="S3533" s="316"/>
      <c r="T3533" s="355"/>
    </row>
    <row r="3534" spans="11:20" x14ac:dyDescent="0.25">
      <c r="K3534" s="312"/>
      <c r="N3534" s="514"/>
      <c r="R3534" s="293"/>
      <c r="S3534" s="316"/>
      <c r="T3534" s="355"/>
    </row>
    <row r="3535" spans="11:20" x14ac:dyDescent="0.25">
      <c r="K3535" s="312"/>
      <c r="N3535" s="514"/>
      <c r="R3535" s="293"/>
      <c r="S3535" s="316"/>
      <c r="T3535" s="355"/>
    </row>
    <row r="3536" spans="11:20" x14ac:dyDescent="0.25">
      <c r="K3536" s="312"/>
      <c r="N3536" s="514"/>
      <c r="R3536" s="293"/>
      <c r="S3536" s="316"/>
      <c r="T3536" s="355"/>
    </row>
    <row r="3537" spans="11:20" x14ac:dyDescent="0.25">
      <c r="K3537" s="312"/>
      <c r="N3537" s="514"/>
      <c r="R3537" s="293"/>
      <c r="S3537" s="316"/>
      <c r="T3537" s="355"/>
    </row>
    <row r="3538" spans="11:20" x14ac:dyDescent="0.25">
      <c r="K3538" s="312"/>
      <c r="N3538" s="514"/>
      <c r="R3538" s="293"/>
      <c r="S3538" s="316"/>
      <c r="T3538" s="355"/>
    </row>
    <row r="3539" spans="11:20" x14ac:dyDescent="0.25">
      <c r="K3539" s="312"/>
      <c r="N3539" s="514"/>
      <c r="R3539" s="293"/>
      <c r="S3539" s="316"/>
      <c r="T3539" s="355"/>
    </row>
    <row r="3540" spans="11:20" x14ac:dyDescent="0.25">
      <c r="K3540" s="312"/>
      <c r="N3540" s="514"/>
      <c r="R3540" s="293"/>
      <c r="S3540" s="316"/>
      <c r="T3540" s="355"/>
    </row>
    <row r="3541" spans="11:20" x14ac:dyDescent="0.25">
      <c r="K3541" s="312"/>
      <c r="N3541" s="514"/>
      <c r="R3541" s="293"/>
      <c r="S3541" s="316"/>
      <c r="T3541" s="355"/>
    </row>
    <row r="3542" spans="11:20" x14ac:dyDescent="0.25">
      <c r="K3542" s="312"/>
      <c r="N3542" s="514"/>
      <c r="R3542" s="293"/>
      <c r="S3542" s="316"/>
      <c r="T3542" s="355"/>
    </row>
    <row r="3543" spans="11:20" x14ac:dyDescent="0.25">
      <c r="K3543" s="312"/>
      <c r="N3543" s="514"/>
      <c r="R3543" s="293"/>
      <c r="S3543" s="316"/>
      <c r="T3543" s="355"/>
    </row>
    <row r="3544" spans="11:20" x14ac:dyDescent="0.25">
      <c r="K3544" s="312"/>
      <c r="N3544" s="514"/>
      <c r="R3544" s="293"/>
      <c r="S3544" s="316"/>
      <c r="T3544" s="355"/>
    </row>
    <row r="3545" spans="11:20" x14ac:dyDescent="0.25">
      <c r="K3545" s="312"/>
      <c r="N3545" s="514"/>
      <c r="R3545" s="293"/>
      <c r="S3545" s="316"/>
      <c r="T3545" s="355"/>
    </row>
    <row r="3546" spans="11:20" x14ac:dyDescent="0.25">
      <c r="K3546" s="312"/>
      <c r="N3546" s="514"/>
      <c r="R3546" s="293"/>
      <c r="S3546" s="316"/>
      <c r="T3546" s="355"/>
    </row>
    <row r="3547" spans="11:20" x14ac:dyDescent="0.25">
      <c r="K3547" s="312"/>
      <c r="N3547" s="514"/>
      <c r="R3547" s="293"/>
      <c r="S3547" s="316"/>
      <c r="T3547" s="355"/>
    </row>
    <row r="3548" spans="11:20" x14ac:dyDescent="0.25">
      <c r="K3548" s="312"/>
      <c r="N3548" s="514"/>
      <c r="R3548" s="293"/>
      <c r="S3548" s="316"/>
      <c r="T3548" s="355"/>
    </row>
    <row r="3549" spans="11:20" x14ac:dyDescent="0.25">
      <c r="K3549" s="312"/>
      <c r="N3549" s="514"/>
      <c r="R3549" s="293"/>
      <c r="S3549" s="316"/>
      <c r="T3549" s="355"/>
    </row>
    <row r="3550" spans="11:20" x14ac:dyDescent="0.25">
      <c r="K3550" s="312"/>
      <c r="N3550" s="514"/>
      <c r="R3550" s="293"/>
      <c r="S3550" s="316"/>
      <c r="T3550" s="355"/>
    </row>
    <row r="3551" spans="11:20" x14ac:dyDescent="0.25">
      <c r="K3551" s="312"/>
      <c r="N3551" s="514"/>
      <c r="R3551" s="293"/>
      <c r="S3551" s="316"/>
      <c r="T3551" s="355"/>
    </row>
    <row r="3552" spans="11:20" x14ac:dyDescent="0.25">
      <c r="K3552" s="312"/>
      <c r="N3552" s="514"/>
      <c r="R3552" s="293"/>
      <c r="S3552" s="316"/>
      <c r="T3552" s="355"/>
    </row>
    <row r="3553" spans="11:20" x14ac:dyDescent="0.25">
      <c r="K3553" s="312"/>
      <c r="N3553" s="514"/>
      <c r="R3553" s="293"/>
      <c r="S3553" s="316"/>
      <c r="T3553" s="355"/>
    </row>
    <row r="3554" spans="11:20" x14ac:dyDescent="0.25">
      <c r="K3554" s="312"/>
      <c r="N3554" s="514"/>
      <c r="R3554" s="293"/>
      <c r="S3554" s="316"/>
      <c r="T3554" s="355"/>
    </row>
    <row r="3555" spans="11:20" x14ac:dyDescent="0.25">
      <c r="K3555" s="312"/>
      <c r="N3555" s="514"/>
      <c r="R3555" s="293"/>
      <c r="S3555" s="316"/>
      <c r="T3555" s="355"/>
    </row>
    <row r="3556" spans="11:20" x14ac:dyDescent="0.25">
      <c r="K3556" s="312"/>
      <c r="N3556" s="514"/>
      <c r="R3556" s="293"/>
      <c r="S3556" s="316"/>
      <c r="T3556" s="355"/>
    </row>
    <row r="3557" spans="11:20" x14ac:dyDescent="0.25">
      <c r="K3557" s="312"/>
      <c r="N3557" s="514"/>
      <c r="R3557" s="293"/>
      <c r="S3557" s="316"/>
      <c r="T3557" s="355"/>
    </row>
    <row r="3558" spans="11:20" x14ac:dyDescent="0.25">
      <c r="K3558" s="312"/>
      <c r="N3558" s="514"/>
      <c r="R3558" s="293"/>
      <c r="S3558" s="316"/>
      <c r="T3558" s="355"/>
    </row>
    <row r="3559" spans="11:20" x14ac:dyDescent="0.25">
      <c r="K3559" s="312"/>
      <c r="N3559" s="514"/>
      <c r="R3559" s="293"/>
      <c r="S3559" s="316"/>
      <c r="T3559" s="355"/>
    </row>
    <row r="3560" spans="11:20" x14ac:dyDescent="0.25">
      <c r="K3560" s="312"/>
      <c r="N3560" s="514"/>
      <c r="R3560" s="293"/>
      <c r="S3560" s="316"/>
      <c r="T3560" s="355"/>
    </row>
    <row r="3561" spans="11:20" x14ac:dyDescent="0.25">
      <c r="K3561" s="312"/>
      <c r="N3561" s="514"/>
      <c r="R3561" s="293"/>
      <c r="S3561" s="316"/>
      <c r="T3561" s="355"/>
    </row>
    <row r="3562" spans="11:20" x14ac:dyDescent="0.25">
      <c r="K3562" s="312"/>
      <c r="N3562" s="514"/>
      <c r="R3562" s="293"/>
      <c r="S3562" s="316"/>
      <c r="T3562" s="355"/>
    </row>
    <row r="3563" spans="11:20" x14ac:dyDescent="0.25">
      <c r="K3563" s="312"/>
      <c r="N3563" s="514"/>
      <c r="R3563" s="293"/>
      <c r="S3563" s="316"/>
      <c r="T3563" s="355"/>
    </row>
    <row r="3564" spans="11:20" x14ac:dyDescent="0.25">
      <c r="K3564" s="312"/>
      <c r="N3564" s="514"/>
      <c r="R3564" s="293"/>
      <c r="S3564" s="316"/>
      <c r="T3564" s="355"/>
    </row>
    <row r="3565" spans="11:20" x14ac:dyDescent="0.25">
      <c r="K3565" s="312"/>
      <c r="N3565" s="514"/>
      <c r="R3565" s="293"/>
      <c r="S3565" s="316"/>
      <c r="T3565" s="355"/>
    </row>
    <row r="3566" spans="11:20" x14ac:dyDescent="0.25">
      <c r="K3566" s="312"/>
      <c r="N3566" s="514"/>
      <c r="R3566" s="293"/>
      <c r="S3566" s="316"/>
      <c r="T3566" s="355"/>
    </row>
    <row r="3567" spans="11:20" x14ac:dyDescent="0.25">
      <c r="K3567" s="312"/>
      <c r="N3567" s="514"/>
      <c r="R3567" s="293"/>
      <c r="S3567" s="316"/>
      <c r="T3567" s="355"/>
    </row>
    <row r="3568" spans="11:20" x14ac:dyDescent="0.25">
      <c r="K3568" s="312"/>
      <c r="N3568" s="514"/>
      <c r="R3568" s="293"/>
      <c r="S3568" s="316"/>
      <c r="T3568" s="355"/>
    </row>
    <row r="3569" spans="11:20" x14ac:dyDescent="0.25">
      <c r="K3569" s="312"/>
      <c r="N3569" s="514"/>
      <c r="R3569" s="293"/>
      <c r="S3569" s="316"/>
      <c r="T3569" s="355"/>
    </row>
    <row r="3570" spans="11:20" x14ac:dyDescent="0.25">
      <c r="K3570" s="312"/>
      <c r="N3570" s="514"/>
      <c r="R3570" s="293"/>
      <c r="S3570" s="316"/>
      <c r="T3570" s="355"/>
    </row>
    <row r="3571" spans="11:20" x14ac:dyDescent="0.25">
      <c r="K3571" s="312"/>
      <c r="N3571" s="514"/>
      <c r="R3571" s="293"/>
      <c r="S3571" s="316"/>
      <c r="T3571" s="355"/>
    </row>
    <row r="3572" spans="11:20" x14ac:dyDescent="0.25">
      <c r="K3572" s="312"/>
      <c r="N3572" s="514"/>
      <c r="R3572" s="293"/>
      <c r="S3572" s="316"/>
      <c r="T3572" s="355"/>
    </row>
    <row r="3573" spans="11:20" x14ac:dyDescent="0.25">
      <c r="K3573" s="312"/>
      <c r="N3573" s="514"/>
      <c r="R3573" s="293"/>
      <c r="S3573" s="316"/>
      <c r="T3573" s="355"/>
    </row>
    <row r="3574" spans="11:20" x14ac:dyDescent="0.25">
      <c r="K3574" s="312"/>
      <c r="N3574" s="514"/>
      <c r="R3574" s="293"/>
      <c r="S3574" s="316"/>
      <c r="T3574" s="355"/>
    </row>
    <row r="3575" spans="11:20" x14ac:dyDescent="0.25">
      <c r="K3575" s="312"/>
      <c r="N3575" s="514"/>
      <c r="R3575" s="293"/>
      <c r="S3575" s="316"/>
      <c r="T3575" s="355"/>
    </row>
    <row r="3576" spans="11:20" x14ac:dyDescent="0.25">
      <c r="K3576" s="312"/>
      <c r="N3576" s="514"/>
      <c r="R3576" s="293"/>
      <c r="S3576" s="316"/>
      <c r="T3576" s="355"/>
    </row>
    <row r="3577" spans="11:20" x14ac:dyDescent="0.25">
      <c r="K3577" s="312"/>
      <c r="N3577" s="514"/>
      <c r="R3577" s="293"/>
      <c r="S3577" s="316"/>
      <c r="T3577" s="355"/>
    </row>
    <row r="3578" spans="11:20" x14ac:dyDescent="0.25">
      <c r="K3578" s="312"/>
      <c r="N3578" s="514"/>
      <c r="R3578" s="293"/>
      <c r="S3578" s="316"/>
      <c r="T3578" s="355"/>
    </row>
    <row r="3579" spans="11:20" x14ac:dyDescent="0.25">
      <c r="K3579" s="312"/>
      <c r="N3579" s="514"/>
      <c r="R3579" s="293"/>
      <c r="S3579" s="316"/>
      <c r="T3579" s="355"/>
    </row>
    <row r="3580" spans="11:20" x14ac:dyDescent="0.25">
      <c r="K3580" s="312"/>
      <c r="N3580" s="514"/>
      <c r="R3580" s="293"/>
      <c r="S3580" s="316"/>
      <c r="T3580" s="355"/>
    </row>
    <row r="3581" spans="11:20" x14ac:dyDescent="0.25">
      <c r="K3581" s="312"/>
      <c r="N3581" s="514"/>
      <c r="R3581" s="293"/>
      <c r="S3581" s="316"/>
      <c r="T3581" s="355"/>
    </row>
    <row r="3582" spans="11:20" x14ac:dyDescent="0.25">
      <c r="K3582" s="312"/>
      <c r="N3582" s="514"/>
      <c r="R3582" s="293"/>
      <c r="S3582" s="316"/>
      <c r="T3582" s="355"/>
    </row>
    <row r="3583" spans="11:20" x14ac:dyDescent="0.25">
      <c r="K3583" s="312"/>
      <c r="N3583" s="514"/>
      <c r="R3583" s="293"/>
      <c r="S3583" s="316"/>
      <c r="T3583" s="355"/>
    </row>
    <row r="3584" spans="11:20" x14ac:dyDescent="0.25">
      <c r="K3584" s="312"/>
      <c r="N3584" s="514"/>
      <c r="R3584" s="293"/>
      <c r="S3584" s="316"/>
      <c r="T3584" s="355"/>
    </row>
    <row r="3585" spans="11:20" x14ac:dyDescent="0.25">
      <c r="K3585" s="312"/>
      <c r="N3585" s="514"/>
      <c r="R3585" s="293"/>
      <c r="S3585" s="316"/>
      <c r="T3585" s="355"/>
    </row>
    <row r="3586" spans="11:20" x14ac:dyDescent="0.25">
      <c r="K3586" s="312"/>
      <c r="N3586" s="514"/>
      <c r="R3586" s="293"/>
      <c r="S3586" s="316"/>
      <c r="T3586" s="355"/>
    </row>
    <row r="3587" spans="11:20" x14ac:dyDescent="0.25">
      <c r="K3587" s="312"/>
      <c r="N3587" s="514"/>
      <c r="R3587" s="293"/>
      <c r="S3587" s="316"/>
      <c r="T3587" s="355"/>
    </row>
    <row r="3588" spans="11:20" x14ac:dyDescent="0.25">
      <c r="K3588" s="312"/>
      <c r="N3588" s="514"/>
      <c r="R3588" s="293"/>
      <c r="S3588" s="316"/>
      <c r="T3588" s="355"/>
    </row>
    <row r="3589" spans="11:20" x14ac:dyDescent="0.25">
      <c r="K3589" s="312"/>
      <c r="N3589" s="514"/>
      <c r="R3589" s="293"/>
      <c r="S3589" s="316"/>
      <c r="T3589" s="355"/>
    </row>
    <row r="3590" spans="11:20" x14ac:dyDescent="0.25">
      <c r="K3590" s="312"/>
      <c r="N3590" s="514"/>
      <c r="R3590" s="293"/>
      <c r="S3590" s="316"/>
      <c r="T3590" s="355"/>
    </row>
    <row r="3591" spans="11:20" x14ac:dyDescent="0.25">
      <c r="K3591" s="312"/>
      <c r="N3591" s="514"/>
      <c r="R3591" s="293"/>
      <c r="S3591" s="316"/>
      <c r="T3591" s="355"/>
    </row>
    <row r="3592" spans="11:20" x14ac:dyDescent="0.25">
      <c r="K3592" s="312"/>
      <c r="N3592" s="514"/>
      <c r="R3592" s="293"/>
      <c r="S3592" s="316"/>
      <c r="T3592" s="355"/>
    </row>
    <row r="3593" spans="11:20" x14ac:dyDescent="0.25">
      <c r="K3593" s="312"/>
      <c r="N3593" s="514"/>
      <c r="R3593" s="293"/>
      <c r="S3593" s="316"/>
      <c r="T3593" s="355"/>
    </row>
    <row r="3594" spans="11:20" x14ac:dyDescent="0.25">
      <c r="K3594" s="312"/>
      <c r="N3594" s="514"/>
      <c r="R3594" s="293"/>
      <c r="S3594" s="316"/>
      <c r="T3594" s="355"/>
    </row>
    <row r="3595" spans="11:20" x14ac:dyDescent="0.25">
      <c r="K3595" s="312"/>
      <c r="N3595" s="514"/>
      <c r="R3595" s="293"/>
      <c r="S3595" s="316"/>
      <c r="T3595" s="355"/>
    </row>
    <row r="3596" spans="11:20" x14ac:dyDescent="0.25">
      <c r="K3596" s="312"/>
      <c r="N3596" s="514"/>
      <c r="R3596" s="293"/>
      <c r="S3596" s="316"/>
      <c r="T3596" s="355"/>
    </row>
    <row r="3597" spans="11:20" x14ac:dyDescent="0.25">
      <c r="K3597" s="312"/>
      <c r="N3597" s="514"/>
      <c r="R3597" s="293"/>
      <c r="S3597" s="316"/>
      <c r="T3597" s="355"/>
    </row>
    <row r="3598" spans="11:20" x14ac:dyDescent="0.25">
      <c r="K3598" s="312"/>
      <c r="N3598" s="514"/>
      <c r="R3598" s="293"/>
      <c r="S3598" s="316"/>
      <c r="T3598" s="355"/>
    </row>
    <row r="3599" spans="11:20" x14ac:dyDescent="0.25">
      <c r="K3599" s="312"/>
      <c r="N3599" s="514"/>
      <c r="R3599" s="293"/>
      <c r="S3599" s="316"/>
      <c r="T3599" s="355"/>
    </row>
    <row r="3600" spans="11:20" x14ac:dyDescent="0.25">
      <c r="K3600" s="312"/>
      <c r="N3600" s="514"/>
      <c r="R3600" s="293"/>
      <c r="S3600" s="316"/>
      <c r="T3600" s="355"/>
    </row>
    <row r="3601" spans="11:20" x14ac:dyDescent="0.25">
      <c r="K3601" s="312"/>
      <c r="N3601" s="514"/>
      <c r="R3601" s="293"/>
      <c r="S3601" s="316"/>
      <c r="T3601" s="355"/>
    </row>
    <row r="3602" spans="11:20" x14ac:dyDescent="0.25">
      <c r="K3602" s="312"/>
      <c r="N3602" s="514"/>
      <c r="R3602" s="293"/>
      <c r="S3602" s="316"/>
      <c r="T3602" s="355"/>
    </row>
    <row r="3603" spans="11:20" x14ac:dyDescent="0.25">
      <c r="K3603" s="312"/>
      <c r="N3603" s="514"/>
      <c r="R3603" s="293"/>
      <c r="S3603" s="316"/>
      <c r="T3603" s="355"/>
    </row>
    <row r="3604" spans="11:20" x14ac:dyDescent="0.25">
      <c r="K3604" s="312"/>
      <c r="N3604" s="514"/>
      <c r="R3604" s="293"/>
      <c r="S3604" s="316"/>
      <c r="T3604" s="355"/>
    </row>
    <row r="3605" spans="11:20" x14ac:dyDescent="0.25">
      <c r="K3605" s="312"/>
      <c r="N3605" s="514"/>
      <c r="R3605" s="293"/>
      <c r="S3605" s="316"/>
      <c r="T3605" s="355"/>
    </row>
    <row r="3606" spans="11:20" x14ac:dyDescent="0.25">
      <c r="K3606" s="312"/>
      <c r="N3606" s="514"/>
      <c r="R3606" s="293"/>
      <c r="S3606" s="316"/>
      <c r="T3606" s="355"/>
    </row>
    <row r="3607" spans="11:20" x14ac:dyDescent="0.25">
      <c r="K3607" s="312"/>
      <c r="N3607" s="514"/>
      <c r="R3607" s="293"/>
      <c r="S3607" s="316"/>
      <c r="T3607" s="355"/>
    </row>
    <row r="3608" spans="11:20" x14ac:dyDescent="0.25">
      <c r="K3608" s="312"/>
      <c r="N3608" s="514"/>
      <c r="R3608" s="293"/>
      <c r="S3608" s="316"/>
      <c r="T3608" s="355"/>
    </row>
    <row r="3609" spans="11:20" x14ac:dyDescent="0.25">
      <c r="K3609" s="312"/>
      <c r="N3609" s="514"/>
      <c r="R3609" s="293"/>
      <c r="S3609" s="316"/>
      <c r="T3609" s="355"/>
    </row>
    <row r="3610" spans="11:20" x14ac:dyDescent="0.25">
      <c r="K3610" s="312"/>
      <c r="N3610" s="514"/>
      <c r="R3610" s="293"/>
      <c r="S3610" s="316"/>
      <c r="T3610" s="355"/>
    </row>
    <row r="3611" spans="11:20" x14ac:dyDescent="0.25">
      <c r="K3611" s="312"/>
      <c r="N3611" s="514"/>
      <c r="R3611" s="293"/>
      <c r="S3611" s="316"/>
      <c r="T3611" s="355"/>
    </row>
    <row r="3612" spans="11:20" x14ac:dyDescent="0.25">
      <c r="K3612" s="312"/>
      <c r="N3612" s="514"/>
      <c r="R3612" s="293"/>
      <c r="S3612" s="316"/>
      <c r="T3612" s="355"/>
    </row>
    <row r="3613" spans="11:20" x14ac:dyDescent="0.25">
      <c r="K3613" s="312"/>
      <c r="N3613" s="514"/>
      <c r="R3613" s="293"/>
      <c r="S3613" s="316"/>
      <c r="T3613" s="355"/>
    </row>
    <row r="3614" spans="11:20" x14ac:dyDescent="0.25">
      <c r="K3614" s="312"/>
      <c r="N3614" s="514"/>
      <c r="R3614" s="293"/>
      <c r="S3614" s="316"/>
      <c r="T3614" s="355"/>
    </row>
    <row r="3615" spans="11:20" x14ac:dyDescent="0.25">
      <c r="K3615" s="312"/>
      <c r="N3615" s="514"/>
      <c r="R3615" s="293"/>
      <c r="S3615" s="316"/>
      <c r="T3615" s="355"/>
    </row>
    <row r="3616" spans="11:20" x14ac:dyDescent="0.25">
      <c r="K3616" s="312"/>
      <c r="N3616" s="514"/>
      <c r="R3616" s="293"/>
      <c r="S3616" s="316"/>
      <c r="T3616" s="355"/>
    </row>
    <row r="3617" spans="11:20" x14ac:dyDescent="0.25">
      <c r="K3617" s="312"/>
      <c r="N3617" s="514"/>
      <c r="R3617" s="293"/>
      <c r="S3617" s="316"/>
      <c r="T3617" s="355"/>
    </row>
    <row r="3618" spans="11:20" x14ac:dyDescent="0.25">
      <c r="K3618" s="312"/>
      <c r="N3618" s="514"/>
      <c r="R3618" s="293"/>
      <c r="S3618" s="316"/>
      <c r="T3618" s="355"/>
    </row>
    <row r="3619" spans="11:20" x14ac:dyDescent="0.25">
      <c r="K3619" s="312"/>
      <c r="N3619" s="514"/>
      <c r="R3619" s="293"/>
      <c r="S3619" s="316"/>
      <c r="T3619" s="355"/>
    </row>
    <row r="3620" spans="11:20" x14ac:dyDescent="0.25">
      <c r="K3620" s="312"/>
      <c r="N3620" s="514"/>
      <c r="R3620" s="293"/>
      <c r="S3620" s="316"/>
      <c r="T3620" s="355"/>
    </row>
    <row r="3621" spans="11:20" x14ac:dyDescent="0.25">
      <c r="K3621" s="312"/>
      <c r="N3621" s="514"/>
      <c r="R3621" s="293"/>
      <c r="S3621" s="316"/>
      <c r="T3621" s="355"/>
    </row>
    <row r="3622" spans="11:20" x14ac:dyDescent="0.25">
      <c r="K3622" s="312"/>
      <c r="N3622" s="514"/>
      <c r="R3622" s="293"/>
      <c r="S3622" s="316"/>
      <c r="T3622" s="355"/>
    </row>
    <row r="3623" spans="11:20" x14ac:dyDescent="0.25">
      <c r="K3623" s="312"/>
      <c r="N3623" s="514"/>
      <c r="R3623" s="293"/>
      <c r="S3623" s="316"/>
      <c r="T3623" s="355"/>
    </row>
    <row r="3624" spans="11:20" x14ac:dyDescent="0.25">
      <c r="K3624" s="312"/>
      <c r="N3624" s="514"/>
      <c r="R3624" s="293"/>
      <c r="S3624" s="316"/>
      <c r="T3624" s="355"/>
    </row>
    <row r="3625" spans="11:20" x14ac:dyDescent="0.25">
      <c r="K3625" s="312"/>
      <c r="N3625" s="514"/>
      <c r="R3625" s="293"/>
      <c r="S3625" s="316"/>
      <c r="T3625" s="355"/>
    </row>
    <row r="3626" spans="11:20" x14ac:dyDescent="0.25">
      <c r="K3626" s="312"/>
      <c r="N3626" s="514"/>
      <c r="R3626" s="293"/>
      <c r="S3626" s="316"/>
      <c r="T3626" s="355"/>
    </row>
    <row r="3627" spans="11:20" x14ac:dyDescent="0.25">
      <c r="K3627" s="312"/>
      <c r="N3627" s="514"/>
      <c r="R3627" s="293"/>
      <c r="S3627" s="316"/>
      <c r="T3627" s="355"/>
    </row>
    <row r="3628" spans="11:20" x14ac:dyDescent="0.25">
      <c r="K3628" s="312"/>
      <c r="N3628" s="514"/>
      <c r="R3628" s="293"/>
      <c r="S3628" s="316"/>
      <c r="T3628" s="355"/>
    </row>
    <row r="3629" spans="11:20" x14ac:dyDescent="0.25">
      <c r="K3629" s="312"/>
      <c r="N3629" s="514"/>
      <c r="R3629" s="293"/>
      <c r="S3629" s="316"/>
      <c r="T3629" s="355"/>
    </row>
    <row r="3630" spans="11:20" x14ac:dyDescent="0.25">
      <c r="K3630" s="312"/>
      <c r="N3630" s="514"/>
      <c r="R3630" s="293"/>
      <c r="S3630" s="316"/>
      <c r="T3630" s="355"/>
    </row>
    <row r="3631" spans="11:20" x14ac:dyDescent="0.25">
      <c r="K3631" s="312"/>
      <c r="N3631" s="514"/>
      <c r="R3631" s="293"/>
      <c r="S3631" s="316"/>
      <c r="T3631" s="355"/>
    </row>
    <row r="3632" spans="11:20" x14ac:dyDescent="0.25">
      <c r="K3632" s="312"/>
      <c r="N3632" s="514"/>
      <c r="R3632" s="293"/>
      <c r="S3632" s="316"/>
      <c r="T3632" s="355"/>
    </row>
    <row r="3633" spans="11:20" x14ac:dyDescent="0.25">
      <c r="K3633" s="312"/>
      <c r="N3633" s="514"/>
      <c r="R3633" s="293"/>
      <c r="S3633" s="316"/>
      <c r="T3633" s="355"/>
    </row>
    <row r="3634" spans="11:20" x14ac:dyDescent="0.25">
      <c r="K3634" s="312"/>
      <c r="N3634" s="514"/>
      <c r="R3634" s="293"/>
      <c r="S3634" s="316"/>
      <c r="T3634" s="355"/>
    </row>
    <row r="3635" spans="11:20" x14ac:dyDescent="0.25">
      <c r="K3635" s="312"/>
      <c r="N3635" s="514"/>
      <c r="R3635" s="293"/>
      <c r="S3635" s="316"/>
      <c r="T3635" s="355"/>
    </row>
    <row r="3636" spans="11:20" x14ac:dyDescent="0.25">
      <c r="K3636" s="312"/>
      <c r="N3636" s="514"/>
      <c r="R3636" s="293"/>
      <c r="S3636" s="316"/>
      <c r="T3636" s="355"/>
    </row>
    <row r="3637" spans="11:20" x14ac:dyDescent="0.25">
      <c r="K3637" s="312"/>
      <c r="N3637" s="514"/>
      <c r="R3637" s="293"/>
      <c r="S3637" s="316"/>
      <c r="T3637" s="355"/>
    </row>
    <row r="3638" spans="11:20" x14ac:dyDescent="0.25">
      <c r="K3638" s="312"/>
      <c r="N3638" s="514"/>
      <c r="R3638" s="293"/>
      <c r="S3638" s="316"/>
      <c r="T3638" s="355"/>
    </row>
    <row r="3639" spans="11:20" x14ac:dyDescent="0.25">
      <c r="K3639" s="312"/>
      <c r="N3639" s="514"/>
      <c r="R3639" s="293"/>
      <c r="S3639" s="316"/>
      <c r="T3639" s="355"/>
    </row>
    <row r="3640" spans="11:20" x14ac:dyDescent="0.25">
      <c r="K3640" s="312"/>
      <c r="N3640" s="514"/>
      <c r="R3640" s="293"/>
      <c r="S3640" s="316"/>
      <c r="T3640" s="355"/>
    </row>
    <row r="3641" spans="11:20" x14ac:dyDescent="0.25">
      <c r="K3641" s="312"/>
      <c r="N3641" s="514"/>
      <c r="R3641" s="293"/>
      <c r="S3641" s="316"/>
      <c r="T3641" s="355"/>
    </row>
    <row r="3642" spans="11:20" x14ac:dyDescent="0.25">
      <c r="K3642" s="312"/>
      <c r="N3642" s="514"/>
      <c r="R3642" s="293"/>
      <c r="S3642" s="316"/>
      <c r="T3642" s="355"/>
    </row>
    <row r="3643" spans="11:20" x14ac:dyDescent="0.25">
      <c r="K3643" s="312"/>
      <c r="N3643" s="514"/>
      <c r="R3643" s="293"/>
      <c r="S3643" s="316"/>
      <c r="T3643" s="355"/>
    </row>
    <row r="3644" spans="11:20" x14ac:dyDescent="0.25">
      <c r="K3644" s="312"/>
      <c r="N3644" s="514"/>
      <c r="R3644" s="293"/>
      <c r="S3644" s="316"/>
      <c r="T3644" s="355"/>
    </row>
    <row r="3645" spans="11:20" x14ac:dyDescent="0.25">
      <c r="K3645" s="312"/>
      <c r="N3645" s="514"/>
      <c r="R3645" s="293"/>
      <c r="S3645" s="316"/>
      <c r="T3645" s="355"/>
    </row>
    <row r="3646" spans="11:20" x14ac:dyDescent="0.25">
      <c r="K3646" s="312"/>
      <c r="N3646" s="514"/>
      <c r="R3646" s="293"/>
      <c r="S3646" s="316"/>
      <c r="T3646" s="355"/>
    </row>
    <row r="3647" spans="11:20" x14ac:dyDescent="0.25">
      <c r="K3647" s="312"/>
      <c r="N3647" s="514"/>
      <c r="R3647" s="293"/>
      <c r="S3647" s="316"/>
      <c r="T3647" s="355"/>
    </row>
    <row r="3648" spans="11:20" x14ac:dyDescent="0.25">
      <c r="K3648" s="312"/>
      <c r="N3648" s="514"/>
      <c r="R3648" s="293"/>
      <c r="S3648" s="316"/>
      <c r="T3648" s="355"/>
    </row>
    <row r="3649" spans="11:20" x14ac:dyDescent="0.25">
      <c r="K3649" s="312"/>
      <c r="N3649" s="514"/>
      <c r="R3649" s="293"/>
      <c r="S3649" s="316"/>
      <c r="T3649" s="355"/>
    </row>
    <row r="3650" spans="11:20" x14ac:dyDescent="0.25">
      <c r="K3650" s="312"/>
      <c r="N3650" s="514"/>
      <c r="R3650" s="293"/>
      <c r="S3650" s="316"/>
      <c r="T3650" s="355"/>
    </row>
    <row r="3651" spans="11:20" x14ac:dyDescent="0.25">
      <c r="K3651" s="312"/>
      <c r="N3651" s="514"/>
      <c r="R3651" s="293"/>
      <c r="S3651" s="316"/>
      <c r="T3651" s="355"/>
    </row>
    <row r="3652" spans="11:20" x14ac:dyDescent="0.25">
      <c r="K3652" s="312"/>
      <c r="N3652" s="514"/>
      <c r="R3652" s="293"/>
      <c r="S3652" s="316"/>
      <c r="T3652" s="355"/>
    </row>
    <row r="3653" spans="11:20" x14ac:dyDescent="0.25">
      <c r="K3653" s="312"/>
      <c r="N3653" s="514"/>
      <c r="R3653" s="293"/>
      <c r="S3653" s="316"/>
      <c r="T3653" s="355"/>
    </row>
    <row r="3654" spans="11:20" x14ac:dyDescent="0.25">
      <c r="K3654" s="312"/>
      <c r="N3654" s="514"/>
      <c r="R3654" s="293"/>
      <c r="S3654" s="316"/>
      <c r="T3654" s="355"/>
    </row>
    <row r="3655" spans="11:20" x14ac:dyDescent="0.25">
      <c r="K3655" s="312"/>
      <c r="N3655" s="514"/>
      <c r="R3655" s="293"/>
      <c r="S3655" s="316"/>
      <c r="T3655" s="355"/>
    </row>
    <row r="3656" spans="11:20" x14ac:dyDescent="0.25">
      <c r="K3656" s="312"/>
      <c r="N3656" s="514"/>
      <c r="R3656" s="293"/>
      <c r="S3656" s="316"/>
      <c r="T3656" s="355"/>
    </row>
    <row r="3657" spans="11:20" x14ac:dyDescent="0.25">
      <c r="K3657" s="312"/>
      <c r="N3657" s="514"/>
      <c r="R3657" s="293"/>
      <c r="S3657" s="316"/>
      <c r="T3657" s="355"/>
    </row>
    <row r="3658" spans="11:20" x14ac:dyDescent="0.25">
      <c r="K3658" s="312"/>
      <c r="N3658" s="514"/>
      <c r="R3658" s="293"/>
      <c r="S3658" s="316"/>
      <c r="T3658" s="355"/>
    </row>
    <row r="3659" spans="11:20" x14ac:dyDescent="0.25">
      <c r="K3659" s="312"/>
      <c r="N3659" s="514"/>
      <c r="R3659" s="293"/>
      <c r="S3659" s="316"/>
      <c r="T3659" s="355"/>
    </row>
    <row r="3660" spans="11:20" x14ac:dyDescent="0.25">
      <c r="K3660" s="312"/>
      <c r="N3660" s="514"/>
      <c r="R3660" s="293"/>
      <c r="S3660" s="316"/>
      <c r="T3660" s="355"/>
    </row>
    <row r="3661" spans="11:20" x14ac:dyDescent="0.25">
      <c r="K3661" s="312"/>
      <c r="N3661" s="514"/>
      <c r="R3661" s="293"/>
      <c r="S3661" s="316"/>
      <c r="T3661" s="355"/>
    </row>
    <row r="3662" spans="11:20" x14ac:dyDescent="0.25">
      <c r="K3662" s="312"/>
      <c r="N3662" s="514"/>
      <c r="R3662" s="293"/>
      <c r="S3662" s="316"/>
      <c r="T3662" s="355"/>
    </row>
    <row r="3663" spans="11:20" x14ac:dyDescent="0.25">
      <c r="K3663" s="312"/>
      <c r="N3663" s="514"/>
      <c r="R3663" s="293"/>
      <c r="S3663" s="316"/>
      <c r="T3663" s="355"/>
    </row>
    <row r="3664" spans="11:20" x14ac:dyDescent="0.25">
      <c r="K3664" s="312"/>
      <c r="N3664" s="514"/>
      <c r="R3664" s="293"/>
      <c r="S3664" s="316"/>
      <c r="T3664" s="355"/>
    </row>
    <row r="3665" spans="11:20" x14ac:dyDescent="0.25">
      <c r="K3665" s="312"/>
      <c r="N3665" s="514"/>
      <c r="R3665" s="293"/>
      <c r="S3665" s="316"/>
      <c r="T3665" s="355"/>
    </row>
    <row r="3666" spans="11:20" x14ac:dyDescent="0.25">
      <c r="K3666" s="312"/>
      <c r="N3666" s="514"/>
      <c r="R3666" s="293"/>
      <c r="S3666" s="316"/>
      <c r="T3666" s="355"/>
    </row>
    <row r="3667" spans="11:20" x14ac:dyDescent="0.25">
      <c r="K3667" s="312"/>
      <c r="N3667" s="514"/>
      <c r="R3667" s="293"/>
      <c r="S3667" s="316"/>
      <c r="T3667" s="355"/>
    </row>
    <row r="3668" spans="11:20" x14ac:dyDescent="0.25">
      <c r="K3668" s="312"/>
      <c r="N3668" s="514"/>
      <c r="R3668" s="293"/>
      <c r="S3668" s="316"/>
      <c r="T3668" s="355"/>
    </row>
    <row r="3669" spans="11:20" x14ac:dyDescent="0.25">
      <c r="K3669" s="312"/>
      <c r="N3669" s="514"/>
      <c r="R3669" s="293"/>
      <c r="S3669" s="316"/>
      <c r="T3669" s="355"/>
    </row>
    <row r="3670" spans="11:20" x14ac:dyDescent="0.25">
      <c r="K3670" s="312"/>
      <c r="N3670" s="514"/>
      <c r="R3670" s="293"/>
      <c r="S3670" s="316"/>
      <c r="T3670" s="355"/>
    </row>
    <row r="3671" spans="11:20" x14ac:dyDescent="0.25">
      <c r="K3671" s="312"/>
      <c r="N3671" s="514"/>
      <c r="R3671" s="293"/>
      <c r="S3671" s="316"/>
      <c r="T3671" s="355"/>
    </row>
    <row r="3672" spans="11:20" x14ac:dyDescent="0.25">
      <c r="K3672" s="312"/>
      <c r="N3672" s="514"/>
      <c r="R3672" s="293"/>
      <c r="S3672" s="316"/>
      <c r="T3672" s="355"/>
    </row>
    <row r="3673" spans="11:20" x14ac:dyDescent="0.25">
      <c r="K3673" s="312"/>
      <c r="N3673" s="514"/>
      <c r="R3673" s="293"/>
      <c r="S3673" s="316"/>
      <c r="T3673" s="355"/>
    </row>
    <row r="3674" spans="11:20" x14ac:dyDescent="0.25">
      <c r="K3674" s="312"/>
      <c r="N3674" s="514"/>
      <c r="R3674" s="293"/>
      <c r="S3674" s="316"/>
      <c r="T3674" s="355"/>
    </row>
    <row r="3675" spans="11:20" x14ac:dyDescent="0.25">
      <c r="K3675" s="312"/>
      <c r="N3675" s="514"/>
      <c r="R3675" s="293"/>
      <c r="S3675" s="316"/>
      <c r="T3675" s="355"/>
    </row>
    <row r="3676" spans="11:20" x14ac:dyDescent="0.25">
      <c r="K3676" s="312"/>
      <c r="N3676" s="514"/>
      <c r="R3676" s="293"/>
      <c r="S3676" s="316"/>
      <c r="T3676" s="355"/>
    </row>
    <row r="3677" spans="11:20" x14ac:dyDescent="0.25">
      <c r="K3677" s="312"/>
      <c r="N3677" s="514"/>
      <c r="R3677" s="293"/>
      <c r="S3677" s="316"/>
      <c r="T3677" s="355"/>
    </row>
    <row r="3678" spans="11:20" x14ac:dyDescent="0.25">
      <c r="K3678" s="312"/>
      <c r="N3678" s="514"/>
      <c r="R3678" s="293"/>
      <c r="S3678" s="316"/>
      <c r="T3678" s="355"/>
    </row>
    <row r="3679" spans="11:20" x14ac:dyDescent="0.25">
      <c r="K3679" s="312"/>
      <c r="N3679" s="514"/>
      <c r="R3679" s="293"/>
      <c r="S3679" s="316"/>
      <c r="T3679" s="355"/>
    </row>
    <row r="3680" spans="11:20" x14ac:dyDescent="0.25">
      <c r="K3680" s="312"/>
      <c r="N3680" s="514"/>
      <c r="R3680" s="293"/>
      <c r="S3680" s="316"/>
      <c r="T3680" s="355"/>
    </row>
    <row r="3681" spans="11:20" x14ac:dyDescent="0.25">
      <c r="K3681" s="312"/>
      <c r="N3681" s="514"/>
      <c r="R3681" s="293"/>
      <c r="S3681" s="316"/>
      <c r="T3681" s="355"/>
    </row>
    <row r="3682" spans="11:20" x14ac:dyDescent="0.25">
      <c r="K3682" s="312"/>
      <c r="N3682" s="514"/>
      <c r="R3682" s="293"/>
      <c r="S3682" s="316"/>
      <c r="T3682" s="355"/>
    </row>
    <row r="3683" spans="11:20" x14ac:dyDescent="0.25">
      <c r="K3683" s="312"/>
      <c r="N3683" s="514"/>
      <c r="R3683" s="293"/>
      <c r="S3683" s="316"/>
      <c r="T3683" s="355"/>
    </row>
    <row r="3684" spans="11:20" x14ac:dyDescent="0.25">
      <c r="K3684" s="312"/>
      <c r="N3684" s="514"/>
      <c r="R3684" s="293"/>
      <c r="S3684" s="316"/>
      <c r="T3684" s="355"/>
    </row>
    <row r="3685" spans="11:20" x14ac:dyDescent="0.25">
      <c r="K3685" s="312"/>
      <c r="N3685" s="514"/>
      <c r="R3685" s="293"/>
      <c r="S3685" s="316"/>
      <c r="T3685" s="355"/>
    </row>
    <row r="3686" spans="11:20" x14ac:dyDescent="0.25">
      <c r="K3686" s="312"/>
      <c r="N3686" s="514"/>
      <c r="R3686" s="293"/>
      <c r="S3686" s="316"/>
      <c r="T3686" s="355"/>
    </row>
    <row r="3687" spans="11:20" x14ac:dyDescent="0.25">
      <c r="K3687" s="312"/>
      <c r="N3687" s="514"/>
      <c r="R3687" s="293"/>
      <c r="S3687" s="316"/>
      <c r="T3687" s="355"/>
    </row>
    <row r="3688" spans="11:20" x14ac:dyDescent="0.25">
      <c r="K3688" s="312"/>
      <c r="N3688" s="514"/>
      <c r="R3688" s="293"/>
      <c r="S3688" s="316"/>
      <c r="T3688" s="355"/>
    </row>
    <row r="3689" spans="11:20" x14ac:dyDescent="0.25">
      <c r="K3689" s="312"/>
      <c r="N3689" s="514"/>
      <c r="R3689" s="293"/>
      <c r="S3689" s="316"/>
      <c r="T3689" s="355"/>
    </row>
    <row r="3690" spans="11:20" x14ac:dyDescent="0.25">
      <c r="K3690" s="312"/>
      <c r="N3690" s="514"/>
      <c r="R3690" s="293"/>
      <c r="S3690" s="316"/>
      <c r="T3690" s="355"/>
    </row>
    <row r="3691" spans="11:20" x14ac:dyDescent="0.25">
      <c r="K3691" s="312"/>
      <c r="N3691" s="514"/>
      <c r="R3691" s="293"/>
      <c r="S3691" s="316"/>
      <c r="T3691" s="355"/>
    </row>
    <row r="3692" spans="11:20" x14ac:dyDescent="0.25">
      <c r="K3692" s="312"/>
      <c r="N3692" s="514"/>
      <c r="R3692" s="293"/>
      <c r="S3692" s="316"/>
      <c r="T3692" s="355"/>
    </row>
    <row r="3693" spans="11:20" x14ac:dyDescent="0.25">
      <c r="K3693" s="312"/>
      <c r="N3693" s="514"/>
      <c r="R3693" s="293"/>
      <c r="S3693" s="316"/>
      <c r="T3693" s="355"/>
    </row>
    <row r="3694" spans="11:20" x14ac:dyDescent="0.25">
      <c r="K3694" s="312"/>
      <c r="N3694" s="514"/>
      <c r="R3694" s="293"/>
      <c r="S3694" s="316"/>
      <c r="T3694" s="355"/>
    </row>
    <row r="3695" spans="11:20" x14ac:dyDescent="0.25">
      <c r="K3695" s="312"/>
      <c r="N3695" s="514"/>
      <c r="R3695" s="293"/>
      <c r="S3695" s="316"/>
      <c r="T3695" s="355"/>
    </row>
    <row r="3696" spans="11:20" x14ac:dyDescent="0.25">
      <c r="K3696" s="312"/>
      <c r="N3696" s="514"/>
      <c r="R3696" s="293"/>
      <c r="S3696" s="316"/>
      <c r="T3696" s="355"/>
    </row>
    <row r="3697" spans="11:20" x14ac:dyDescent="0.25">
      <c r="K3697" s="312"/>
      <c r="N3697" s="514"/>
      <c r="R3697" s="293"/>
      <c r="S3697" s="316"/>
      <c r="T3697" s="355"/>
    </row>
    <row r="3698" spans="11:20" x14ac:dyDescent="0.25">
      <c r="K3698" s="312"/>
      <c r="N3698" s="514"/>
      <c r="R3698" s="293"/>
      <c r="S3698" s="316"/>
      <c r="T3698" s="355"/>
    </row>
    <row r="3699" spans="11:20" x14ac:dyDescent="0.25">
      <c r="K3699" s="312"/>
      <c r="N3699" s="514"/>
      <c r="R3699" s="293"/>
      <c r="S3699" s="316"/>
      <c r="T3699" s="355"/>
    </row>
    <row r="3700" spans="11:20" x14ac:dyDescent="0.25">
      <c r="K3700" s="312"/>
      <c r="N3700" s="514"/>
      <c r="R3700" s="293"/>
      <c r="S3700" s="316"/>
      <c r="T3700" s="355"/>
    </row>
    <row r="3701" spans="11:20" x14ac:dyDescent="0.25">
      <c r="K3701" s="312"/>
      <c r="N3701" s="514"/>
      <c r="R3701" s="293"/>
      <c r="S3701" s="316"/>
      <c r="T3701" s="355"/>
    </row>
    <row r="3702" spans="11:20" x14ac:dyDescent="0.25">
      <c r="K3702" s="312"/>
      <c r="N3702" s="514"/>
      <c r="R3702" s="293"/>
      <c r="S3702" s="316"/>
      <c r="T3702" s="355"/>
    </row>
    <row r="3703" spans="11:20" x14ac:dyDescent="0.25">
      <c r="K3703" s="312"/>
      <c r="N3703" s="514"/>
      <c r="R3703" s="293"/>
      <c r="S3703" s="316"/>
      <c r="T3703" s="355"/>
    </row>
    <row r="3704" spans="11:20" x14ac:dyDescent="0.25">
      <c r="K3704" s="312"/>
      <c r="N3704" s="514"/>
      <c r="R3704" s="293"/>
      <c r="S3704" s="316"/>
      <c r="T3704" s="355"/>
    </row>
    <row r="3705" spans="11:20" x14ac:dyDescent="0.25">
      <c r="K3705" s="312"/>
      <c r="N3705" s="514"/>
      <c r="R3705" s="293"/>
      <c r="S3705" s="316"/>
      <c r="T3705" s="355"/>
    </row>
    <row r="3706" spans="11:20" x14ac:dyDescent="0.25">
      <c r="K3706" s="312"/>
      <c r="N3706" s="514"/>
      <c r="R3706" s="293"/>
      <c r="S3706" s="316"/>
      <c r="T3706" s="355"/>
    </row>
    <row r="3707" spans="11:20" x14ac:dyDescent="0.25">
      <c r="K3707" s="312"/>
      <c r="N3707" s="514"/>
      <c r="R3707" s="293"/>
      <c r="S3707" s="316"/>
      <c r="T3707" s="355"/>
    </row>
    <row r="3708" spans="11:20" x14ac:dyDescent="0.25">
      <c r="K3708" s="312"/>
      <c r="N3708" s="514"/>
      <c r="R3708" s="293"/>
      <c r="S3708" s="316"/>
      <c r="T3708" s="355"/>
    </row>
    <row r="3709" spans="11:20" x14ac:dyDescent="0.25">
      <c r="K3709" s="312"/>
      <c r="N3709" s="514"/>
      <c r="R3709" s="293"/>
      <c r="S3709" s="316"/>
      <c r="T3709" s="355"/>
    </row>
    <row r="3710" spans="11:20" x14ac:dyDescent="0.25">
      <c r="K3710" s="312"/>
      <c r="N3710" s="514"/>
      <c r="R3710" s="293"/>
      <c r="S3710" s="316"/>
      <c r="T3710" s="355"/>
    </row>
    <row r="3711" spans="11:20" x14ac:dyDescent="0.25">
      <c r="K3711" s="312"/>
      <c r="N3711" s="514"/>
      <c r="R3711" s="293"/>
      <c r="S3711" s="316"/>
      <c r="T3711" s="355"/>
    </row>
    <row r="3712" spans="11:20" x14ac:dyDescent="0.25">
      <c r="K3712" s="312"/>
      <c r="N3712" s="514"/>
      <c r="R3712" s="293"/>
      <c r="S3712" s="316"/>
      <c r="T3712" s="355"/>
    </row>
    <row r="3713" spans="11:20" x14ac:dyDescent="0.25">
      <c r="K3713" s="312"/>
      <c r="N3713" s="514"/>
      <c r="R3713" s="293"/>
      <c r="S3713" s="316"/>
      <c r="T3713" s="355"/>
    </row>
    <row r="3714" spans="11:20" x14ac:dyDescent="0.25">
      <c r="K3714" s="312"/>
      <c r="N3714" s="514"/>
      <c r="R3714" s="293"/>
      <c r="S3714" s="316"/>
      <c r="T3714" s="355"/>
    </row>
    <row r="3715" spans="11:20" x14ac:dyDescent="0.25">
      <c r="K3715" s="312"/>
      <c r="N3715" s="514"/>
      <c r="R3715" s="293"/>
      <c r="S3715" s="316"/>
      <c r="T3715" s="355"/>
    </row>
    <row r="3716" spans="11:20" x14ac:dyDescent="0.25">
      <c r="K3716" s="312"/>
      <c r="N3716" s="514"/>
      <c r="R3716" s="293"/>
      <c r="S3716" s="316"/>
      <c r="T3716" s="355"/>
    </row>
    <row r="3717" spans="11:20" x14ac:dyDescent="0.25">
      <c r="K3717" s="312"/>
      <c r="N3717" s="514"/>
      <c r="R3717" s="293"/>
      <c r="S3717" s="316"/>
      <c r="T3717" s="355"/>
    </row>
    <row r="3718" spans="11:20" x14ac:dyDescent="0.25">
      <c r="K3718" s="312"/>
      <c r="N3718" s="514"/>
      <c r="R3718" s="293"/>
      <c r="S3718" s="316"/>
      <c r="T3718" s="355"/>
    </row>
    <row r="3719" spans="11:20" x14ac:dyDescent="0.25">
      <c r="K3719" s="312"/>
      <c r="N3719" s="514"/>
      <c r="R3719" s="293"/>
      <c r="S3719" s="316"/>
      <c r="T3719" s="355"/>
    </row>
    <row r="3720" spans="11:20" x14ac:dyDescent="0.25">
      <c r="K3720" s="312"/>
      <c r="N3720" s="514"/>
      <c r="R3720" s="293"/>
      <c r="S3720" s="316"/>
      <c r="T3720" s="355"/>
    </row>
    <row r="3721" spans="11:20" x14ac:dyDescent="0.25">
      <c r="K3721" s="312"/>
      <c r="N3721" s="514"/>
      <c r="R3721" s="293"/>
      <c r="S3721" s="316"/>
      <c r="T3721" s="355"/>
    </row>
    <row r="3722" spans="11:20" x14ac:dyDescent="0.25">
      <c r="K3722" s="312"/>
      <c r="N3722" s="514"/>
      <c r="R3722" s="293"/>
      <c r="S3722" s="316"/>
      <c r="T3722" s="355"/>
    </row>
    <row r="3723" spans="11:20" x14ac:dyDescent="0.25">
      <c r="K3723" s="312"/>
      <c r="N3723" s="514"/>
      <c r="R3723" s="293"/>
      <c r="S3723" s="316"/>
      <c r="T3723" s="355"/>
    </row>
    <row r="3724" spans="11:20" x14ac:dyDescent="0.25">
      <c r="K3724" s="312"/>
      <c r="N3724" s="514"/>
      <c r="R3724" s="293"/>
      <c r="S3724" s="316"/>
      <c r="T3724" s="355"/>
    </row>
    <row r="3725" spans="11:20" x14ac:dyDescent="0.25">
      <c r="K3725" s="312"/>
      <c r="N3725" s="514"/>
      <c r="R3725" s="293"/>
      <c r="S3725" s="316"/>
      <c r="T3725" s="355"/>
    </row>
    <row r="3726" spans="11:20" x14ac:dyDescent="0.25">
      <c r="K3726" s="312"/>
      <c r="N3726" s="514"/>
      <c r="R3726" s="293"/>
      <c r="S3726" s="316"/>
      <c r="T3726" s="355"/>
    </row>
    <row r="3727" spans="11:20" x14ac:dyDescent="0.25">
      <c r="K3727" s="312"/>
      <c r="N3727" s="514"/>
      <c r="R3727" s="293"/>
      <c r="S3727" s="316"/>
      <c r="T3727" s="355"/>
    </row>
    <row r="3728" spans="11:20" x14ac:dyDescent="0.25">
      <c r="K3728" s="312"/>
      <c r="N3728" s="514"/>
      <c r="R3728" s="293"/>
      <c r="S3728" s="316"/>
      <c r="T3728" s="355"/>
    </row>
    <row r="3729" spans="11:20" x14ac:dyDescent="0.25">
      <c r="K3729" s="312"/>
      <c r="N3729" s="514"/>
      <c r="R3729" s="293"/>
      <c r="S3729" s="316"/>
      <c r="T3729" s="355"/>
    </row>
    <row r="3730" spans="11:20" x14ac:dyDescent="0.25">
      <c r="K3730" s="312"/>
      <c r="N3730" s="514"/>
      <c r="R3730" s="293"/>
      <c r="S3730" s="316"/>
      <c r="T3730" s="355"/>
    </row>
    <row r="3731" spans="11:20" x14ac:dyDescent="0.25">
      <c r="K3731" s="312"/>
      <c r="N3731" s="514"/>
      <c r="R3731" s="293"/>
      <c r="S3731" s="316"/>
      <c r="T3731" s="355"/>
    </row>
    <row r="3732" spans="11:20" x14ac:dyDescent="0.25">
      <c r="K3732" s="312"/>
      <c r="N3732" s="514"/>
      <c r="R3732" s="293"/>
      <c r="S3732" s="316"/>
      <c r="T3732" s="355"/>
    </row>
    <row r="3733" spans="11:20" x14ac:dyDescent="0.25">
      <c r="K3733" s="312"/>
      <c r="N3733" s="514"/>
      <c r="R3733" s="293"/>
      <c r="S3733" s="316"/>
      <c r="T3733" s="355"/>
    </row>
    <row r="3734" spans="11:20" x14ac:dyDescent="0.25">
      <c r="K3734" s="312"/>
      <c r="N3734" s="514"/>
      <c r="R3734" s="293"/>
      <c r="S3734" s="316"/>
      <c r="T3734" s="355"/>
    </row>
    <row r="3735" spans="11:20" x14ac:dyDescent="0.25">
      <c r="K3735" s="312"/>
      <c r="N3735" s="514"/>
      <c r="R3735" s="293"/>
      <c r="S3735" s="316"/>
      <c r="T3735" s="355"/>
    </row>
    <row r="3736" spans="11:20" x14ac:dyDescent="0.25">
      <c r="K3736" s="312"/>
      <c r="N3736" s="514"/>
      <c r="R3736" s="293"/>
      <c r="S3736" s="316"/>
      <c r="T3736" s="355"/>
    </row>
    <row r="3737" spans="11:20" x14ac:dyDescent="0.25">
      <c r="K3737" s="312"/>
      <c r="N3737" s="514"/>
      <c r="R3737" s="293"/>
      <c r="S3737" s="316"/>
      <c r="T3737" s="355"/>
    </row>
    <row r="3738" spans="11:20" x14ac:dyDescent="0.25">
      <c r="K3738" s="312"/>
      <c r="N3738" s="514"/>
      <c r="R3738" s="293"/>
      <c r="S3738" s="316"/>
      <c r="T3738" s="355"/>
    </row>
    <row r="3739" spans="11:20" x14ac:dyDescent="0.25">
      <c r="K3739" s="312"/>
      <c r="N3739" s="514"/>
      <c r="R3739" s="293"/>
      <c r="S3739" s="316"/>
      <c r="T3739" s="355"/>
    </row>
    <row r="3740" spans="11:20" x14ac:dyDescent="0.25">
      <c r="K3740" s="312"/>
      <c r="N3740" s="514"/>
      <c r="R3740" s="293"/>
      <c r="S3740" s="316"/>
      <c r="T3740" s="355"/>
    </row>
    <row r="3741" spans="11:20" x14ac:dyDescent="0.25">
      <c r="K3741" s="312"/>
      <c r="N3741" s="514"/>
      <c r="R3741" s="293"/>
      <c r="S3741" s="316"/>
      <c r="T3741" s="355"/>
    </row>
    <row r="3742" spans="11:20" x14ac:dyDescent="0.25">
      <c r="K3742" s="312"/>
      <c r="N3742" s="514"/>
      <c r="R3742" s="293"/>
      <c r="S3742" s="316"/>
      <c r="T3742" s="355"/>
    </row>
    <row r="3743" spans="11:20" x14ac:dyDescent="0.25">
      <c r="K3743" s="312"/>
      <c r="N3743" s="514"/>
      <c r="R3743" s="293"/>
      <c r="S3743" s="316"/>
      <c r="T3743" s="355"/>
    </row>
    <row r="3744" spans="11:20" x14ac:dyDescent="0.25">
      <c r="K3744" s="312"/>
      <c r="N3744" s="514"/>
      <c r="R3744" s="293"/>
      <c r="S3744" s="316"/>
      <c r="T3744" s="355"/>
    </row>
    <row r="3745" spans="11:20" x14ac:dyDescent="0.25">
      <c r="K3745" s="312"/>
      <c r="N3745" s="514"/>
      <c r="R3745" s="293"/>
      <c r="S3745" s="316"/>
      <c r="T3745" s="355"/>
    </row>
    <row r="3746" spans="11:20" x14ac:dyDescent="0.25">
      <c r="K3746" s="312"/>
      <c r="N3746" s="514"/>
      <c r="R3746" s="293"/>
      <c r="S3746" s="316"/>
      <c r="T3746" s="355"/>
    </row>
    <row r="3747" spans="11:20" x14ac:dyDescent="0.25">
      <c r="K3747" s="312"/>
      <c r="N3747" s="514"/>
      <c r="R3747" s="293"/>
      <c r="S3747" s="316"/>
      <c r="T3747" s="355"/>
    </row>
    <row r="3748" spans="11:20" x14ac:dyDescent="0.25">
      <c r="K3748" s="312"/>
      <c r="N3748" s="514"/>
      <c r="R3748" s="293"/>
      <c r="S3748" s="316"/>
      <c r="T3748" s="355"/>
    </row>
    <row r="3749" spans="11:20" x14ac:dyDescent="0.25">
      <c r="K3749" s="312"/>
      <c r="N3749" s="514"/>
      <c r="R3749" s="293"/>
      <c r="S3749" s="316"/>
      <c r="T3749" s="355"/>
    </row>
    <row r="3750" spans="11:20" x14ac:dyDescent="0.25">
      <c r="K3750" s="312"/>
      <c r="N3750" s="514"/>
      <c r="R3750" s="293"/>
      <c r="S3750" s="316"/>
      <c r="T3750" s="355"/>
    </row>
    <row r="3751" spans="11:20" x14ac:dyDescent="0.25">
      <c r="K3751" s="312"/>
      <c r="N3751" s="514"/>
      <c r="R3751" s="293"/>
      <c r="S3751" s="316"/>
      <c r="T3751" s="355"/>
    </row>
    <row r="3752" spans="11:20" x14ac:dyDescent="0.25">
      <c r="K3752" s="312"/>
      <c r="N3752" s="514"/>
      <c r="R3752" s="293"/>
      <c r="S3752" s="316"/>
      <c r="T3752" s="355"/>
    </row>
    <row r="3753" spans="11:20" x14ac:dyDescent="0.25">
      <c r="K3753" s="312"/>
      <c r="N3753" s="514"/>
      <c r="R3753" s="293"/>
      <c r="S3753" s="316"/>
      <c r="T3753" s="355"/>
    </row>
    <row r="3754" spans="11:20" x14ac:dyDescent="0.25">
      <c r="K3754" s="312"/>
      <c r="N3754" s="514"/>
      <c r="R3754" s="293"/>
      <c r="S3754" s="316"/>
      <c r="T3754" s="355"/>
    </row>
    <row r="3755" spans="11:20" x14ac:dyDescent="0.25">
      <c r="K3755" s="312"/>
      <c r="N3755" s="514"/>
      <c r="R3755" s="293"/>
      <c r="S3755" s="316"/>
      <c r="T3755" s="355"/>
    </row>
    <row r="3756" spans="11:20" x14ac:dyDescent="0.25">
      <c r="K3756" s="312"/>
      <c r="N3756" s="514"/>
      <c r="R3756" s="293"/>
      <c r="S3756" s="316"/>
      <c r="T3756" s="355"/>
    </row>
    <row r="3757" spans="11:20" x14ac:dyDescent="0.25">
      <c r="K3757" s="312"/>
      <c r="N3757" s="514"/>
      <c r="R3757" s="293"/>
      <c r="S3757" s="316"/>
      <c r="T3757" s="355"/>
    </row>
    <row r="3758" spans="11:20" x14ac:dyDescent="0.25">
      <c r="K3758" s="312"/>
      <c r="N3758" s="514"/>
      <c r="R3758" s="293"/>
      <c r="S3758" s="316"/>
      <c r="T3758" s="355"/>
    </row>
    <row r="3759" spans="11:20" x14ac:dyDescent="0.25">
      <c r="K3759" s="312"/>
      <c r="N3759" s="514"/>
      <c r="R3759" s="293"/>
      <c r="S3759" s="316"/>
      <c r="T3759" s="355"/>
    </row>
    <row r="3760" spans="11:20" x14ac:dyDescent="0.25">
      <c r="K3760" s="312"/>
      <c r="N3760" s="514"/>
      <c r="R3760" s="293"/>
      <c r="S3760" s="316"/>
      <c r="T3760" s="355"/>
    </row>
    <row r="3761" spans="11:20" x14ac:dyDescent="0.25">
      <c r="K3761" s="312"/>
      <c r="N3761" s="514"/>
      <c r="R3761" s="293"/>
      <c r="S3761" s="316"/>
      <c r="T3761" s="355"/>
    </row>
    <row r="3762" spans="11:20" x14ac:dyDescent="0.25">
      <c r="K3762" s="312"/>
      <c r="N3762" s="514"/>
      <c r="R3762" s="293"/>
      <c r="S3762" s="316"/>
      <c r="T3762" s="355"/>
    </row>
    <row r="3763" spans="11:20" x14ac:dyDescent="0.25">
      <c r="K3763" s="312"/>
      <c r="N3763" s="514"/>
      <c r="R3763" s="293"/>
      <c r="S3763" s="316"/>
      <c r="T3763" s="355"/>
    </row>
    <row r="3764" spans="11:20" x14ac:dyDescent="0.25">
      <c r="K3764" s="312"/>
      <c r="N3764" s="514"/>
      <c r="R3764" s="293"/>
      <c r="S3764" s="316"/>
      <c r="T3764" s="355"/>
    </row>
    <row r="3765" spans="11:20" x14ac:dyDescent="0.25">
      <c r="K3765" s="312"/>
      <c r="N3765" s="514"/>
      <c r="R3765" s="293"/>
      <c r="S3765" s="316"/>
      <c r="T3765" s="355"/>
    </row>
    <row r="3766" spans="11:20" x14ac:dyDescent="0.25">
      <c r="K3766" s="312"/>
      <c r="N3766" s="514"/>
      <c r="R3766" s="293"/>
      <c r="S3766" s="316"/>
      <c r="T3766" s="355"/>
    </row>
    <row r="3767" spans="11:20" x14ac:dyDescent="0.25">
      <c r="K3767" s="312"/>
      <c r="N3767" s="514"/>
      <c r="R3767" s="293"/>
      <c r="S3767" s="316"/>
      <c r="T3767" s="355"/>
    </row>
    <row r="3768" spans="11:20" x14ac:dyDescent="0.25">
      <c r="K3768" s="312"/>
      <c r="N3768" s="514"/>
      <c r="R3768" s="293"/>
      <c r="S3768" s="316"/>
      <c r="T3768" s="355"/>
    </row>
    <row r="3769" spans="11:20" x14ac:dyDescent="0.25">
      <c r="K3769" s="312"/>
      <c r="N3769" s="514"/>
      <c r="R3769" s="293"/>
      <c r="S3769" s="316"/>
      <c r="T3769" s="355"/>
    </row>
    <row r="3770" spans="11:20" x14ac:dyDescent="0.25">
      <c r="K3770" s="312"/>
      <c r="N3770" s="514"/>
      <c r="R3770" s="293"/>
      <c r="S3770" s="316"/>
      <c r="T3770" s="355"/>
    </row>
    <row r="3771" spans="11:20" x14ac:dyDescent="0.25">
      <c r="K3771" s="312"/>
      <c r="N3771" s="514"/>
      <c r="R3771" s="293"/>
      <c r="S3771" s="316"/>
      <c r="T3771" s="355"/>
    </row>
    <row r="3772" spans="11:20" x14ac:dyDescent="0.25">
      <c r="K3772" s="312"/>
      <c r="N3772" s="514"/>
      <c r="R3772" s="293"/>
      <c r="S3772" s="316"/>
      <c r="T3772" s="355"/>
    </row>
    <row r="3773" spans="11:20" x14ac:dyDescent="0.25">
      <c r="K3773" s="312"/>
      <c r="N3773" s="514"/>
      <c r="R3773" s="293"/>
      <c r="S3773" s="316"/>
      <c r="T3773" s="355"/>
    </row>
    <row r="3774" spans="11:20" x14ac:dyDescent="0.25">
      <c r="K3774" s="312"/>
      <c r="N3774" s="514"/>
      <c r="R3774" s="293"/>
      <c r="S3774" s="316"/>
      <c r="T3774" s="355"/>
    </row>
    <row r="3775" spans="11:20" x14ac:dyDescent="0.25">
      <c r="K3775" s="312"/>
      <c r="N3775" s="514"/>
      <c r="R3775" s="293"/>
      <c r="S3775" s="316"/>
      <c r="T3775" s="355"/>
    </row>
    <row r="3776" spans="11:20" x14ac:dyDescent="0.25">
      <c r="K3776" s="312"/>
      <c r="N3776" s="514"/>
      <c r="R3776" s="293"/>
      <c r="S3776" s="316"/>
      <c r="T3776" s="355"/>
    </row>
    <row r="3777" spans="11:20" x14ac:dyDescent="0.25">
      <c r="K3777" s="312"/>
      <c r="N3777" s="514"/>
      <c r="R3777" s="293"/>
      <c r="S3777" s="316"/>
      <c r="T3777" s="355"/>
    </row>
    <row r="3778" spans="11:20" x14ac:dyDescent="0.25">
      <c r="K3778" s="312"/>
      <c r="N3778" s="514"/>
      <c r="R3778" s="293"/>
      <c r="S3778" s="316"/>
      <c r="T3778" s="355"/>
    </row>
    <row r="3779" spans="11:20" x14ac:dyDescent="0.25">
      <c r="K3779" s="312"/>
      <c r="N3779" s="514"/>
      <c r="R3779" s="293"/>
      <c r="S3779" s="316"/>
      <c r="T3779" s="355"/>
    </row>
    <row r="3780" spans="11:20" x14ac:dyDescent="0.25">
      <c r="K3780" s="312"/>
      <c r="N3780" s="514"/>
      <c r="R3780" s="293"/>
      <c r="S3780" s="316"/>
      <c r="T3780" s="355"/>
    </row>
    <row r="3781" spans="11:20" x14ac:dyDescent="0.25">
      <c r="K3781" s="312"/>
      <c r="N3781" s="514"/>
      <c r="R3781" s="293"/>
      <c r="S3781" s="316"/>
      <c r="T3781" s="355"/>
    </row>
    <row r="3782" spans="11:20" x14ac:dyDescent="0.25">
      <c r="K3782" s="312"/>
      <c r="N3782" s="514"/>
      <c r="R3782" s="293"/>
      <c r="S3782" s="316"/>
      <c r="T3782" s="355"/>
    </row>
    <row r="3783" spans="11:20" x14ac:dyDescent="0.25">
      <c r="K3783" s="312"/>
      <c r="N3783" s="514"/>
      <c r="R3783" s="293"/>
      <c r="S3783" s="316"/>
      <c r="T3783" s="355"/>
    </row>
    <row r="3784" spans="11:20" x14ac:dyDescent="0.25">
      <c r="K3784" s="312"/>
      <c r="N3784" s="514"/>
      <c r="R3784" s="293"/>
      <c r="S3784" s="316"/>
      <c r="T3784" s="355"/>
    </row>
    <row r="3785" spans="11:20" x14ac:dyDescent="0.25">
      <c r="K3785" s="312"/>
      <c r="N3785" s="514"/>
      <c r="R3785" s="293"/>
      <c r="S3785" s="316"/>
      <c r="T3785" s="355"/>
    </row>
    <row r="3786" spans="11:20" x14ac:dyDescent="0.25">
      <c r="K3786" s="312"/>
      <c r="N3786" s="514"/>
      <c r="R3786" s="293"/>
      <c r="S3786" s="316"/>
      <c r="T3786" s="355"/>
    </row>
    <row r="3787" spans="11:20" x14ac:dyDescent="0.25">
      <c r="K3787" s="312"/>
      <c r="N3787" s="514"/>
      <c r="R3787" s="293"/>
      <c r="S3787" s="316"/>
      <c r="T3787" s="355"/>
    </row>
    <row r="3788" spans="11:20" x14ac:dyDescent="0.25">
      <c r="K3788" s="312"/>
      <c r="N3788" s="514"/>
      <c r="R3788" s="293"/>
      <c r="S3788" s="316"/>
      <c r="T3788" s="355"/>
    </row>
    <row r="3789" spans="11:20" x14ac:dyDescent="0.25">
      <c r="K3789" s="312"/>
      <c r="N3789" s="514"/>
      <c r="R3789" s="293"/>
      <c r="S3789" s="316"/>
      <c r="T3789" s="355"/>
    </row>
    <row r="3790" spans="11:20" x14ac:dyDescent="0.25">
      <c r="K3790" s="312"/>
      <c r="N3790" s="514"/>
      <c r="R3790" s="293"/>
      <c r="S3790" s="316"/>
      <c r="T3790" s="355"/>
    </row>
    <row r="3791" spans="11:20" x14ac:dyDescent="0.25">
      <c r="K3791" s="312"/>
      <c r="N3791" s="514"/>
      <c r="R3791" s="293"/>
      <c r="S3791" s="316"/>
      <c r="T3791" s="355"/>
    </row>
    <row r="3792" spans="11:20" x14ac:dyDescent="0.25">
      <c r="K3792" s="312"/>
      <c r="N3792" s="514"/>
      <c r="R3792" s="293"/>
      <c r="S3792" s="316"/>
      <c r="T3792" s="355"/>
    </row>
    <row r="3793" spans="11:20" x14ac:dyDescent="0.25">
      <c r="K3793" s="312"/>
      <c r="N3793" s="514"/>
      <c r="R3793" s="293"/>
      <c r="S3793" s="316"/>
      <c r="T3793" s="355"/>
    </row>
    <row r="3794" spans="11:20" x14ac:dyDescent="0.25">
      <c r="K3794" s="312"/>
      <c r="N3794" s="514"/>
      <c r="R3794" s="293"/>
      <c r="S3794" s="316"/>
      <c r="T3794" s="355"/>
    </row>
    <row r="3795" spans="11:20" x14ac:dyDescent="0.25">
      <c r="K3795" s="312"/>
      <c r="N3795" s="514"/>
      <c r="R3795" s="293"/>
      <c r="S3795" s="316"/>
      <c r="T3795" s="355"/>
    </row>
    <row r="3796" spans="11:20" x14ac:dyDescent="0.25">
      <c r="K3796" s="312"/>
      <c r="N3796" s="514"/>
      <c r="R3796" s="293"/>
      <c r="S3796" s="316"/>
      <c r="T3796" s="355"/>
    </row>
    <row r="3797" spans="11:20" x14ac:dyDescent="0.25">
      <c r="K3797" s="312"/>
      <c r="N3797" s="514"/>
      <c r="R3797" s="293"/>
      <c r="S3797" s="316"/>
      <c r="T3797" s="355"/>
    </row>
    <row r="3798" spans="11:20" x14ac:dyDescent="0.25">
      <c r="K3798" s="312"/>
      <c r="N3798" s="514"/>
      <c r="R3798" s="293"/>
      <c r="S3798" s="316"/>
      <c r="T3798" s="355"/>
    </row>
    <row r="3799" spans="11:20" x14ac:dyDescent="0.25">
      <c r="K3799" s="312"/>
      <c r="N3799" s="514"/>
      <c r="R3799" s="293"/>
      <c r="S3799" s="316"/>
      <c r="T3799" s="355"/>
    </row>
    <row r="3800" spans="11:20" x14ac:dyDescent="0.25">
      <c r="K3800" s="312"/>
      <c r="N3800" s="514"/>
      <c r="R3800" s="293"/>
      <c r="S3800" s="316"/>
      <c r="T3800" s="355"/>
    </row>
    <row r="3801" spans="11:20" x14ac:dyDescent="0.25">
      <c r="K3801" s="312"/>
      <c r="N3801" s="514"/>
      <c r="R3801" s="293"/>
      <c r="S3801" s="316"/>
      <c r="T3801" s="355"/>
    </row>
    <row r="3802" spans="11:20" x14ac:dyDescent="0.25">
      <c r="K3802" s="312"/>
      <c r="N3802" s="514"/>
      <c r="R3802" s="293"/>
      <c r="S3802" s="316"/>
      <c r="T3802" s="355"/>
    </row>
    <row r="3803" spans="11:20" x14ac:dyDescent="0.25">
      <c r="K3803" s="312"/>
      <c r="N3803" s="514"/>
      <c r="R3803" s="293"/>
      <c r="S3803" s="316"/>
      <c r="T3803" s="355"/>
    </row>
    <row r="3804" spans="11:20" x14ac:dyDescent="0.25">
      <c r="K3804" s="312"/>
      <c r="N3804" s="514"/>
      <c r="R3804" s="293"/>
      <c r="S3804" s="316"/>
      <c r="T3804" s="355"/>
    </row>
    <row r="3805" spans="11:20" x14ac:dyDescent="0.25">
      <c r="K3805" s="312"/>
      <c r="N3805" s="514"/>
      <c r="R3805" s="293"/>
      <c r="S3805" s="316"/>
      <c r="T3805" s="355"/>
    </row>
    <row r="3806" spans="11:20" x14ac:dyDescent="0.25">
      <c r="K3806" s="312"/>
      <c r="N3806" s="514"/>
      <c r="R3806" s="293"/>
      <c r="S3806" s="316"/>
      <c r="T3806" s="355"/>
    </row>
    <row r="3807" spans="11:20" x14ac:dyDescent="0.25">
      <c r="K3807" s="312"/>
      <c r="N3807" s="514"/>
      <c r="R3807" s="293"/>
      <c r="S3807" s="316"/>
      <c r="T3807" s="355"/>
    </row>
    <row r="3808" spans="11:20" x14ac:dyDescent="0.25">
      <c r="K3808" s="312"/>
      <c r="N3808" s="514"/>
      <c r="R3808" s="293"/>
      <c r="S3808" s="316"/>
      <c r="T3808" s="355"/>
    </row>
    <row r="3809" spans="11:20" x14ac:dyDescent="0.25">
      <c r="K3809" s="312"/>
      <c r="N3809" s="514"/>
      <c r="R3809" s="293"/>
      <c r="S3809" s="316"/>
      <c r="T3809" s="355"/>
    </row>
    <row r="3810" spans="11:20" x14ac:dyDescent="0.25">
      <c r="K3810" s="312"/>
      <c r="N3810" s="514"/>
      <c r="R3810" s="293"/>
      <c r="S3810" s="316"/>
      <c r="T3810" s="355"/>
    </row>
    <row r="3811" spans="11:20" x14ac:dyDescent="0.25">
      <c r="K3811" s="312"/>
      <c r="N3811" s="514"/>
      <c r="R3811" s="293"/>
      <c r="S3811" s="316"/>
      <c r="T3811" s="355"/>
    </row>
    <row r="3812" spans="11:20" x14ac:dyDescent="0.25">
      <c r="K3812" s="312"/>
      <c r="N3812" s="514"/>
      <c r="R3812" s="293"/>
      <c r="S3812" s="316"/>
      <c r="T3812" s="355"/>
    </row>
    <row r="3813" spans="11:20" x14ac:dyDescent="0.25">
      <c r="K3813" s="312"/>
      <c r="N3813" s="514"/>
      <c r="R3813" s="293"/>
      <c r="S3813" s="316"/>
      <c r="T3813" s="355"/>
    </row>
    <row r="3814" spans="11:20" x14ac:dyDescent="0.25">
      <c r="K3814" s="312"/>
      <c r="N3814" s="514"/>
      <c r="R3814" s="293"/>
      <c r="S3814" s="316"/>
      <c r="T3814" s="355"/>
    </row>
    <row r="3815" spans="11:20" x14ac:dyDescent="0.25">
      <c r="K3815" s="312"/>
      <c r="N3815" s="514"/>
      <c r="R3815" s="293"/>
      <c r="S3815" s="316"/>
      <c r="T3815" s="355"/>
    </row>
    <row r="3816" spans="11:20" x14ac:dyDescent="0.25">
      <c r="K3816" s="312"/>
      <c r="N3816" s="514"/>
      <c r="R3816" s="293"/>
      <c r="S3816" s="316"/>
      <c r="T3816" s="355"/>
    </row>
    <row r="3817" spans="11:20" x14ac:dyDescent="0.25">
      <c r="K3817" s="312"/>
      <c r="N3817" s="514"/>
      <c r="R3817" s="293"/>
      <c r="S3817" s="316"/>
      <c r="T3817" s="355"/>
    </row>
    <row r="3818" spans="11:20" x14ac:dyDescent="0.25">
      <c r="K3818" s="312"/>
      <c r="N3818" s="514"/>
      <c r="R3818" s="293"/>
      <c r="S3818" s="316"/>
      <c r="T3818" s="355"/>
    </row>
    <row r="3819" spans="11:20" x14ac:dyDescent="0.25">
      <c r="K3819" s="312"/>
      <c r="N3819" s="514"/>
      <c r="R3819" s="293"/>
      <c r="S3819" s="316"/>
      <c r="T3819" s="355"/>
    </row>
    <row r="3820" spans="11:20" x14ac:dyDescent="0.25">
      <c r="K3820" s="312"/>
      <c r="N3820" s="514"/>
      <c r="R3820" s="293"/>
      <c r="S3820" s="316"/>
      <c r="T3820" s="355"/>
    </row>
    <row r="3821" spans="11:20" x14ac:dyDescent="0.25">
      <c r="K3821" s="312"/>
      <c r="N3821" s="514"/>
      <c r="R3821" s="293"/>
      <c r="S3821" s="316"/>
      <c r="T3821" s="355"/>
    </row>
    <row r="3822" spans="11:20" x14ac:dyDescent="0.25">
      <c r="K3822" s="312"/>
      <c r="N3822" s="514"/>
      <c r="R3822" s="293"/>
      <c r="S3822" s="316"/>
      <c r="T3822" s="355"/>
    </row>
    <row r="3823" spans="11:20" x14ac:dyDescent="0.25">
      <c r="K3823" s="312"/>
      <c r="N3823" s="514"/>
      <c r="R3823" s="293"/>
      <c r="S3823" s="316"/>
      <c r="T3823" s="355"/>
    </row>
    <row r="3824" spans="11:20" x14ac:dyDescent="0.25">
      <c r="K3824" s="312"/>
      <c r="N3824" s="514"/>
      <c r="R3824" s="293"/>
      <c r="S3824" s="316"/>
      <c r="T3824" s="355"/>
    </row>
    <row r="3825" spans="11:20" x14ac:dyDescent="0.25">
      <c r="K3825" s="312"/>
      <c r="N3825" s="514"/>
      <c r="R3825" s="293"/>
      <c r="S3825" s="316"/>
      <c r="T3825" s="355"/>
    </row>
    <row r="3826" spans="11:20" x14ac:dyDescent="0.25">
      <c r="K3826" s="312"/>
      <c r="N3826" s="514"/>
      <c r="R3826" s="293"/>
      <c r="S3826" s="316"/>
      <c r="T3826" s="355"/>
    </row>
    <row r="3827" spans="11:20" x14ac:dyDescent="0.25">
      <c r="K3827" s="312"/>
      <c r="N3827" s="514"/>
      <c r="R3827" s="293"/>
      <c r="S3827" s="316"/>
      <c r="T3827" s="355"/>
    </row>
    <row r="3828" spans="11:20" x14ac:dyDescent="0.25">
      <c r="K3828" s="312"/>
      <c r="N3828" s="514"/>
      <c r="R3828" s="293"/>
      <c r="S3828" s="316"/>
      <c r="T3828" s="355"/>
    </row>
    <row r="3829" spans="11:20" x14ac:dyDescent="0.25">
      <c r="K3829" s="312"/>
      <c r="N3829" s="514"/>
      <c r="R3829" s="293"/>
      <c r="S3829" s="316"/>
      <c r="T3829" s="355"/>
    </row>
    <row r="3830" spans="11:20" x14ac:dyDescent="0.25">
      <c r="K3830" s="312"/>
      <c r="N3830" s="514"/>
      <c r="R3830" s="293"/>
      <c r="S3830" s="316"/>
      <c r="T3830" s="355"/>
    </row>
    <row r="3831" spans="11:20" x14ac:dyDescent="0.25">
      <c r="K3831" s="312"/>
      <c r="N3831" s="514"/>
      <c r="R3831" s="293"/>
      <c r="S3831" s="316"/>
      <c r="T3831" s="355"/>
    </row>
    <row r="3832" spans="11:20" x14ac:dyDescent="0.25">
      <c r="K3832" s="312"/>
      <c r="N3832" s="514"/>
      <c r="R3832" s="293"/>
      <c r="S3832" s="316"/>
      <c r="T3832" s="355"/>
    </row>
    <row r="3833" spans="11:20" x14ac:dyDescent="0.25">
      <c r="K3833" s="312"/>
      <c r="N3833" s="514"/>
      <c r="R3833" s="293"/>
      <c r="S3833" s="316"/>
      <c r="T3833" s="355"/>
    </row>
    <row r="3834" spans="11:20" x14ac:dyDescent="0.25">
      <c r="K3834" s="312"/>
      <c r="N3834" s="514"/>
      <c r="R3834" s="293"/>
      <c r="S3834" s="316"/>
      <c r="T3834" s="355"/>
    </row>
    <row r="3835" spans="11:20" x14ac:dyDescent="0.25">
      <c r="K3835" s="312"/>
      <c r="N3835" s="514"/>
      <c r="R3835" s="293"/>
      <c r="S3835" s="316"/>
      <c r="T3835" s="355"/>
    </row>
    <row r="3836" spans="11:20" x14ac:dyDescent="0.25">
      <c r="K3836" s="312"/>
      <c r="N3836" s="514"/>
      <c r="R3836" s="293"/>
      <c r="S3836" s="316"/>
      <c r="T3836" s="355"/>
    </row>
    <row r="3837" spans="11:20" x14ac:dyDescent="0.25">
      <c r="K3837" s="312"/>
      <c r="N3837" s="514"/>
      <c r="R3837" s="293"/>
      <c r="S3837" s="316"/>
      <c r="T3837" s="355"/>
    </row>
    <row r="3838" spans="11:20" x14ac:dyDescent="0.25">
      <c r="K3838" s="312"/>
      <c r="N3838" s="514"/>
      <c r="R3838" s="293"/>
      <c r="S3838" s="316"/>
      <c r="T3838" s="355"/>
    </row>
    <row r="3839" spans="11:20" x14ac:dyDescent="0.25">
      <c r="K3839" s="312"/>
      <c r="N3839" s="514"/>
      <c r="R3839" s="293"/>
      <c r="S3839" s="316"/>
      <c r="T3839" s="355"/>
    </row>
    <row r="3840" spans="11:20" x14ac:dyDescent="0.25">
      <c r="K3840" s="312"/>
      <c r="N3840" s="514"/>
      <c r="R3840" s="293"/>
      <c r="S3840" s="316"/>
      <c r="T3840" s="355"/>
    </row>
    <row r="3841" spans="11:20" x14ac:dyDescent="0.25">
      <c r="K3841" s="312"/>
      <c r="N3841" s="514"/>
      <c r="R3841" s="293"/>
      <c r="S3841" s="316"/>
      <c r="T3841" s="355"/>
    </row>
    <row r="3842" spans="11:20" x14ac:dyDescent="0.25">
      <c r="K3842" s="312"/>
      <c r="N3842" s="514"/>
      <c r="R3842" s="293"/>
      <c r="S3842" s="316"/>
      <c r="T3842" s="355"/>
    </row>
    <row r="3843" spans="11:20" x14ac:dyDescent="0.25">
      <c r="K3843" s="312"/>
      <c r="N3843" s="514"/>
      <c r="R3843" s="293"/>
      <c r="S3843" s="316"/>
      <c r="T3843" s="355"/>
    </row>
    <row r="3844" spans="11:20" x14ac:dyDescent="0.25">
      <c r="K3844" s="312"/>
      <c r="N3844" s="514"/>
      <c r="R3844" s="293"/>
      <c r="S3844" s="316"/>
      <c r="T3844" s="355"/>
    </row>
    <row r="3845" spans="11:20" x14ac:dyDescent="0.25">
      <c r="K3845" s="312"/>
      <c r="N3845" s="514"/>
      <c r="R3845" s="293"/>
      <c r="S3845" s="316"/>
      <c r="T3845" s="355"/>
    </row>
    <row r="3846" spans="11:20" x14ac:dyDescent="0.25">
      <c r="K3846" s="312"/>
      <c r="N3846" s="514"/>
      <c r="R3846" s="293"/>
      <c r="S3846" s="316"/>
      <c r="T3846" s="355"/>
    </row>
    <row r="3847" spans="11:20" x14ac:dyDescent="0.25">
      <c r="K3847" s="312"/>
      <c r="N3847" s="514"/>
      <c r="R3847" s="293"/>
      <c r="S3847" s="316"/>
      <c r="T3847" s="355"/>
    </row>
    <row r="3848" spans="11:20" x14ac:dyDescent="0.25">
      <c r="K3848" s="312"/>
      <c r="N3848" s="514"/>
      <c r="R3848" s="293"/>
      <c r="S3848" s="316"/>
      <c r="T3848" s="355"/>
    </row>
    <row r="3849" spans="11:20" x14ac:dyDescent="0.25">
      <c r="K3849" s="312"/>
      <c r="N3849" s="514"/>
      <c r="R3849" s="293"/>
      <c r="S3849" s="316"/>
      <c r="T3849" s="355"/>
    </row>
    <row r="3850" spans="11:20" x14ac:dyDescent="0.25">
      <c r="K3850" s="312"/>
      <c r="N3850" s="514"/>
      <c r="R3850" s="293"/>
      <c r="S3850" s="316"/>
      <c r="T3850" s="355"/>
    </row>
    <row r="3851" spans="11:20" x14ac:dyDescent="0.25">
      <c r="K3851" s="312"/>
      <c r="N3851" s="514"/>
      <c r="R3851" s="293"/>
      <c r="S3851" s="316"/>
      <c r="T3851" s="355"/>
    </row>
    <row r="3852" spans="11:20" x14ac:dyDescent="0.25">
      <c r="K3852" s="312"/>
      <c r="N3852" s="514"/>
      <c r="R3852" s="293"/>
      <c r="S3852" s="316"/>
      <c r="T3852" s="355"/>
    </row>
    <row r="3853" spans="11:20" x14ac:dyDescent="0.25">
      <c r="K3853" s="312"/>
      <c r="N3853" s="514"/>
      <c r="R3853" s="293"/>
      <c r="S3853" s="316"/>
      <c r="T3853" s="355"/>
    </row>
    <row r="3854" spans="11:20" x14ac:dyDescent="0.25">
      <c r="K3854" s="312"/>
      <c r="N3854" s="514"/>
      <c r="R3854" s="293"/>
      <c r="S3854" s="316"/>
      <c r="T3854" s="355"/>
    </row>
    <row r="3855" spans="11:20" x14ac:dyDescent="0.25">
      <c r="K3855" s="312"/>
      <c r="N3855" s="514"/>
      <c r="R3855" s="293"/>
      <c r="S3855" s="316"/>
      <c r="T3855" s="355"/>
    </row>
    <row r="3856" spans="11:20" x14ac:dyDescent="0.25">
      <c r="K3856" s="312"/>
      <c r="N3856" s="514"/>
      <c r="R3856" s="293"/>
      <c r="S3856" s="316"/>
      <c r="T3856" s="355"/>
    </row>
    <row r="3857" spans="11:20" x14ac:dyDescent="0.25">
      <c r="K3857" s="312"/>
      <c r="N3857" s="514"/>
      <c r="R3857" s="293"/>
      <c r="S3857" s="316"/>
      <c r="T3857" s="355"/>
    </row>
    <row r="3858" spans="11:20" x14ac:dyDescent="0.25">
      <c r="K3858" s="312"/>
      <c r="N3858" s="514"/>
      <c r="R3858" s="293"/>
      <c r="S3858" s="316"/>
      <c r="T3858" s="355"/>
    </row>
    <row r="3859" spans="11:20" x14ac:dyDescent="0.25">
      <c r="K3859" s="312"/>
      <c r="N3859" s="514"/>
      <c r="R3859" s="293"/>
      <c r="S3859" s="316"/>
      <c r="T3859" s="355"/>
    </row>
    <row r="3860" spans="11:20" x14ac:dyDescent="0.25">
      <c r="K3860" s="312"/>
      <c r="N3860" s="514"/>
      <c r="R3860" s="293"/>
      <c r="S3860" s="316"/>
      <c r="T3860" s="355"/>
    </row>
    <row r="3861" spans="11:20" x14ac:dyDescent="0.25">
      <c r="K3861" s="312"/>
      <c r="N3861" s="514"/>
      <c r="R3861" s="293"/>
      <c r="S3861" s="316"/>
      <c r="T3861" s="355"/>
    </row>
    <row r="3862" spans="11:20" x14ac:dyDescent="0.25">
      <c r="K3862" s="312"/>
      <c r="N3862" s="514"/>
      <c r="R3862" s="293"/>
      <c r="S3862" s="316"/>
      <c r="T3862" s="355"/>
    </row>
    <row r="3863" spans="11:20" x14ac:dyDescent="0.25">
      <c r="K3863" s="312"/>
      <c r="N3863" s="514"/>
      <c r="R3863" s="293"/>
      <c r="S3863" s="316"/>
      <c r="T3863" s="355"/>
    </row>
    <row r="3864" spans="11:20" x14ac:dyDescent="0.25">
      <c r="K3864" s="312"/>
      <c r="N3864" s="514"/>
      <c r="R3864" s="293"/>
      <c r="S3864" s="316"/>
      <c r="T3864" s="355"/>
    </row>
    <row r="3865" spans="11:20" x14ac:dyDescent="0.25">
      <c r="K3865" s="312"/>
      <c r="N3865" s="514"/>
      <c r="R3865" s="293"/>
      <c r="S3865" s="316"/>
      <c r="T3865" s="355"/>
    </row>
    <row r="3866" spans="11:20" x14ac:dyDescent="0.25">
      <c r="K3866" s="312"/>
      <c r="N3866" s="514"/>
      <c r="R3866" s="293"/>
      <c r="S3866" s="316"/>
      <c r="T3866" s="355"/>
    </row>
    <row r="3867" spans="11:20" x14ac:dyDescent="0.25">
      <c r="K3867" s="312"/>
      <c r="N3867" s="514"/>
      <c r="R3867" s="293"/>
      <c r="S3867" s="316"/>
      <c r="T3867" s="355"/>
    </row>
    <row r="3868" spans="11:20" x14ac:dyDescent="0.25">
      <c r="K3868" s="312"/>
      <c r="N3868" s="514"/>
      <c r="R3868" s="293"/>
      <c r="S3868" s="316"/>
      <c r="T3868" s="355"/>
    </row>
    <row r="3869" spans="11:20" x14ac:dyDescent="0.25">
      <c r="K3869" s="312"/>
      <c r="N3869" s="514"/>
      <c r="R3869" s="293"/>
      <c r="S3869" s="316"/>
      <c r="T3869" s="355"/>
    </row>
    <row r="3870" spans="11:20" x14ac:dyDescent="0.25">
      <c r="K3870" s="312"/>
      <c r="N3870" s="514"/>
      <c r="R3870" s="293"/>
      <c r="S3870" s="316"/>
      <c r="T3870" s="355"/>
    </row>
    <row r="3871" spans="11:20" x14ac:dyDescent="0.25">
      <c r="K3871" s="312"/>
      <c r="N3871" s="514"/>
      <c r="R3871" s="293"/>
      <c r="S3871" s="316"/>
      <c r="T3871" s="355"/>
    </row>
    <row r="3872" spans="11:20" x14ac:dyDescent="0.25">
      <c r="K3872" s="312"/>
      <c r="N3872" s="514"/>
      <c r="R3872" s="293"/>
      <c r="S3872" s="316"/>
      <c r="T3872" s="355"/>
    </row>
    <row r="3873" spans="11:20" x14ac:dyDescent="0.25">
      <c r="K3873" s="312"/>
      <c r="N3873" s="514"/>
      <c r="R3873" s="293"/>
      <c r="S3873" s="316"/>
      <c r="T3873" s="355"/>
    </row>
    <row r="3874" spans="11:20" x14ac:dyDescent="0.25">
      <c r="K3874" s="312"/>
      <c r="N3874" s="514"/>
      <c r="R3874" s="293"/>
      <c r="S3874" s="316"/>
      <c r="T3874" s="355"/>
    </row>
    <row r="3875" spans="11:20" x14ac:dyDescent="0.25">
      <c r="K3875" s="312"/>
      <c r="N3875" s="514"/>
      <c r="R3875" s="293"/>
      <c r="S3875" s="316"/>
      <c r="T3875" s="355"/>
    </row>
    <row r="3876" spans="11:20" x14ac:dyDescent="0.25">
      <c r="K3876" s="312"/>
      <c r="N3876" s="514"/>
      <c r="R3876" s="293"/>
      <c r="S3876" s="316"/>
      <c r="T3876" s="355"/>
    </row>
    <row r="3877" spans="11:20" x14ac:dyDescent="0.25">
      <c r="K3877" s="312"/>
      <c r="N3877" s="514"/>
      <c r="R3877" s="293"/>
      <c r="S3877" s="316"/>
      <c r="T3877" s="355"/>
    </row>
    <row r="3878" spans="11:20" x14ac:dyDescent="0.25">
      <c r="K3878" s="312"/>
      <c r="N3878" s="514"/>
      <c r="R3878" s="293"/>
      <c r="S3878" s="316"/>
      <c r="T3878" s="355"/>
    </row>
    <row r="3879" spans="11:20" x14ac:dyDescent="0.25">
      <c r="K3879" s="312"/>
      <c r="N3879" s="514"/>
      <c r="R3879" s="293"/>
      <c r="S3879" s="316"/>
      <c r="T3879" s="355"/>
    </row>
    <row r="3880" spans="11:20" x14ac:dyDescent="0.25">
      <c r="K3880" s="312"/>
      <c r="N3880" s="514"/>
      <c r="R3880" s="293"/>
      <c r="S3880" s="316"/>
      <c r="T3880" s="355"/>
    </row>
    <row r="3881" spans="11:20" x14ac:dyDescent="0.25">
      <c r="K3881" s="312"/>
      <c r="N3881" s="514"/>
      <c r="R3881" s="293"/>
      <c r="S3881" s="316"/>
      <c r="T3881" s="355"/>
    </row>
    <row r="3882" spans="11:20" x14ac:dyDescent="0.25">
      <c r="K3882" s="312"/>
      <c r="N3882" s="514"/>
      <c r="R3882" s="293"/>
      <c r="S3882" s="316"/>
      <c r="T3882" s="355"/>
    </row>
    <row r="3883" spans="11:20" x14ac:dyDescent="0.25">
      <c r="K3883" s="312"/>
      <c r="N3883" s="514"/>
      <c r="R3883" s="293"/>
      <c r="S3883" s="316"/>
      <c r="T3883" s="355"/>
    </row>
    <row r="3884" spans="11:20" x14ac:dyDescent="0.25">
      <c r="K3884" s="312"/>
      <c r="N3884" s="514"/>
      <c r="R3884" s="293"/>
      <c r="S3884" s="316"/>
      <c r="T3884" s="355"/>
    </row>
    <row r="3885" spans="11:20" x14ac:dyDescent="0.25">
      <c r="K3885" s="312"/>
      <c r="N3885" s="514"/>
      <c r="R3885" s="293"/>
      <c r="S3885" s="316"/>
      <c r="T3885" s="355"/>
    </row>
    <row r="3886" spans="11:20" x14ac:dyDescent="0.25">
      <c r="K3886" s="312"/>
      <c r="N3886" s="514"/>
      <c r="R3886" s="293"/>
      <c r="S3886" s="316"/>
      <c r="T3886" s="355"/>
    </row>
    <row r="3887" spans="11:20" x14ac:dyDescent="0.25">
      <c r="K3887" s="312"/>
      <c r="N3887" s="514"/>
      <c r="R3887" s="293"/>
      <c r="S3887" s="316"/>
      <c r="T3887" s="355"/>
    </row>
    <row r="3888" spans="11:20" x14ac:dyDescent="0.25">
      <c r="K3888" s="312"/>
      <c r="N3888" s="514"/>
      <c r="R3888" s="293"/>
      <c r="S3888" s="316"/>
      <c r="T3888" s="355"/>
    </row>
    <row r="3889" spans="11:20" x14ac:dyDescent="0.25">
      <c r="K3889" s="312"/>
      <c r="N3889" s="514"/>
      <c r="R3889" s="293"/>
      <c r="S3889" s="316"/>
      <c r="T3889" s="355"/>
    </row>
    <row r="3890" spans="11:20" x14ac:dyDescent="0.25">
      <c r="K3890" s="312"/>
      <c r="N3890" s="514"/>
      <c r="R3890" s="293"/>
      <c r="S3890" s="316"/>
      <c r="T3890" s="355"/>
    </row>
    <row r="3891" spans="11:20" x14ac:dyDescent="0.25">
      <c r="K3891" s="312"/>
      <c r="N3891" s="514"/>
      <c r="R3891" s="293"/>
      <c r="S3891" s="316"/>
      <c r="T3891" s="355"/>
    </row>
    <row r="3892" spans="11:20" x14ac:dyDescent="0.25">
      <c r="K3892" s="312"/>
      <c r="N3892" s="514"/>
      <c r="R3892" s="293"/>
      <c r="S3892" s="316"/>
      <c r="T3892" s="355"/>
    </row>
    <row r="3893" spans="11:20" x14ac:dyDescent="0.25">
      <c r="K3893" s="312"/>
      <c r="N3893" s="514"/>
      <c r="R3893" s="293"/>
      <c r="S3893" s="316"/>
      <c r="T3893" s="355"/>
    </row>
    <row r="3894" spans="11:20" x14ac:dyDescent="0.25">
      <c r="K3894" s="312"/>
      <c r="N3894" s="514"/>
      <c r="R3894" s="293"/>
      <c r="S3894" s="316"/>
      <c r="T3894" s="355"/>
    </row>
    <row r="3895" spans="11:20" x14ac:dyDescent="0.25">
      <c r="K3895" s="312"/>
      <c r="N3895" s="514"/>
      <c r="R3895" s="293"/>
      <c r="S3895" s="316"/>
      <c r="T3895" s="355"/>
    </row>
    <row r="3896" spans="11:20" x14ac:dyDescent="0.25">
      <c r="K3896" s="312"/>
      <c r="N3896" s="514"/>
      <c r="R3896" s="293"/>
      <c r="S3896" s="316"/>
      <c r="T3896" s="355"/>
    </row>
    <row r="3897" spans="11:20" x14ac:dyDescent="0.25">
      <c r="K3897" s="312"/>
      <c r="N3897" s="514"/>
      <c r="R3897" s="293"/>
      <c r="S3897" s="316"/>
      <c r="T3897" s="355"/>
    </row>
    <row r="3898" spans="11:20" x14ac:dyDescent="0.25">
      <c r="K3898" s="312"/>
      <c r="N3898" s="514"/>
      <c r="R3898" s="293"/>
      <c r="S3898" s="316"/>
      <c r="T3898" s="355"/>
    </row>
    <row r="3899" spans="11:20" x14ac:dyDescent="0.25">
      <c r="K3899" s="312"/>
      <c r="N3899" s="514"/>
      <c r="R3899" s="293"/>
      <c r="S3899" s="316"/>
      <c r="T3899" s="355"/>
    </row>
    <row r="3900" spans="11:20" x14ac:dyDescent="0.25">
      <c r="K3900" s="312"/>
      <c r="N3900" s="514"/>
      <c r="R3900" s="293"/>
      <c r="S3900" s="316"/>
      <c r="T3900" s="355"/>
    </row>
    <row r="3901" spans="11:20" x14ac:dyDescent="0.25">
      <c r="K3901" s="312"/>
      <c r="N3901" s="514"/>
      <c r="R3901" s="293"/>
      <c r="S3901" s="316"/>
      <c r="T3901" s="355"/>
    </row>
    <row r="3902" spans="11:20" x14ac:dyDescent="0.25">
      <c r="K3902" s="312"/>
      <c r="N3902" s="514"/>
      <c r="R3902" s="293"/>
      <c r="S3902" s="316"/>
      <c r="T3902" s="355"/>
    </row>
    <row r="3903" spans="11:20" x14ac:dyDescent="0.25">
      <c r="K3903" s="312"/>
      <c r="N3903" s="514"/>
      <c r="R3903" s="293"/>
      <c r="S3903" s="316"/>
      <c r="T3903" s="355"/>
    </row>
    <row r="3904" spans="11:20" x14ac:dyDescent="0.25">
      <c r="K3904" s="312"/>
      <c r="N3904" s="514"/>
      <c r="R3904" s="293"/>
      <c r="S3904" s="316"/>
      <c r="T3904" s="355"/>
    </row>
    <row r="3905" spans="11:20" x14ac:dyDescent="0.25">
      <c r="K3905" s="312"/>
      <c r="N3905" s="514"/>
      <c r="R3905" s="293"/>
      <c r="S3905" s="316"/>
      <c r="T3905" s="355"/>
    </row>
    <row r="3906" spans="11:20" x14ac:dyDescent="0.25">
      <c r="K3906" s="312"/>
      <c r="N3906" s="514"/>
      <c r="R3906" s="293"/>
      <c r="S3906" s="316"/>
      <c r="T3906" s="355"/>
    </row>
    <row r="3907" spans="11:20" x14ac:dyDescent="0.25">
      <c r="K3907" s="312"/>
      <c r="N3907" s="514"/>
      <c r="R3907" s="293"/>
      <c r="S3907" s="316"/>
      <c r="T3907" s="355"/>
    </row>
    <row r="3908" spans="11:20" x14ac:dyDescent="0.25">
      <c r="K3908" s="312"/>
      <c r="N3908" s="514"/>
      <c r="R3908" s="293"/>
      <c r="S3908" s="316"/>
      <c r="T3908" s="355"/>
    </row>
    <row r="3909" spans="11:20" x14ac:dyDescent="0.25">
      <c r="K3909" s="312"/>
      <c r="N3909" s="514"/>
      <c r="R3909" s="293"/>
      <c r="S3909" s="316"/>
      <c r="T3909" s="355"/>
    </row>
    <row r="3910" spans="11:20" x14ac:dyDescent="0.25">
      <c r="K3910" s="312"/>
      <c r="N3910" s="514"/>
      <c r="R3910" s="293"/>
      <c r="S3910" s="316"/>
      <c r="T3910" s="355"/>
    </row>
    <row r="3911" spans="11:20" x14ac:dyDescent="0.25">
      <c r="K3911" s="312"/>
      <c r="N3911" s="514"/>
      <c r="R3911" s="293"/>
      <c r="S3911" s="316"/>
      <c r="T3911" s="355"/>
    </row>
    <row r="3912" spans="11:20" x14ac:dyDescent="0.25">
      <c r="K3912" s="312"/>
      <c r="N3912" s="514"/>
      <c r="R3912" s="293"/>
      <c r="S3912" s="316"/>
      <c r="T3912" s="355"/>
    </row>
    <row r="3913" spans="11:20" x14ac:dyDescent="0.25">
      <c r="K3913" s="312"/>
      <c r="N3913" s="514"/>
      <c r="R3913" s="293"/>
      <c r="S3913" s="316"/>
      <c r="T3913" s="355"/>
    </row>
    <row r="3914" spans="11:20" x14ac:dyDescent="0.25">
      <c r="K3914" s="312"/>
      <c r="N3914" s="514"/>
      <c r="R3914" s="293"/>
      <c r="S3914" s="316"/>
      <c r="T3914" s="355"/>
    </row>
    <row r="3915" spans="11:20" x14ac:dyDescent="0.25">
      <c r="K3915" s="312"/>
      <c r="N3915" s="514"/>
      <c r="R3915" s="293"/>
      <c r="S3915" s="316"/>
      <c r="T3915" s="355"/>
    </row>
    <row r="3916" spans="11:20" x14ac:dyDescent="0.25">
      <c r="K3916" s="312"/>
      <c r="N3916" s="514"/>
      <c r="R3916" s="293"/>
      <c r="S3916" s="316"/>
      <c r="T3916" s="355"/>
    </row>
    <row r="3917" spans="11:20" x14ac:dyDescent="0.25">
      <c r="K3917" s="312"/>
      <c r="N3917" s="514"/>
      <c r="R3917" s="293"/>
      <c r="S3917" s="316"/>
      <c r="T3917" s="355"/>
    </row>
    <row r="3918" spans="11:20" x14ac:dyDescent="0.25">
      <c r="K3918" s="312"/>
      <c r="N3918" s="514"/>
      <c r="R3918" s="293"/>
      <c r="S3918" s="316"/>
      <c r="T3918" s="355"/>
    </row>
    <row r="3919" spans="11:20" x14ac:dyDescent="0.25">
      <c r="K3919" s="312"/>
      <c r="N3919" s="514"/>
      <c r="R3919" s="293"/>
      <c r="S3919" s="316"/>
      <c r="T3919" s="355"/>
    </row>
    <row r="3920" spans="11:20" x14ac:dyDescent="0.25">
      <c r="K3920" s="312"/>
      <c r="N3920" s="514"/>
      <c r="R3920" s="293"/>
      <c r="S3920" s="316"/>
      <c r="T3920" s="355"/>
    </row>
    <row r="3921" spans="11:20" x14ac:dyDescent="0.25">
      <c r="K3921" s="312"/>
      <c r="N3921" s="514"/>
      <c r="R3921" s="293"/>
      <c r="S3921" s="316"/>
      <c r="T3921" s="355"/>
    </row>
    <row r="3922" spans="11:20" x14ac:dyDescent="0.25">
      <c r="K3922" s="312"/>
      <c r="N3922" s="514"/>
      <c r="R3922" s="293"/>
      <c r="S3922" s="316"/>
      <c r="T3922" s="355"/>
    </row>
    <row r="3923" spans="11:20" x14ac:dyDescent="0.25">
      <c r="K3923" s="312"/>
      <c r="N3923" s="514"/>
      <c r="R3923" s="293"/>
      <c r="S3923" s="316"/>
      <c r="T3923" s="355"/>
    </row>
    <row r="3924" spans="11:20" x14ac:dyDescent="0.25">
      <c r="K3924" s="312"/>
      <c r="N3924" s="514"/>
      <c r="R3924" s="293"/>
      <c r="S3924" s="316"/>
      <c r="T3924" s="355"/>
    </row>
    <row r="3925" spans="11:20" x14ac:dyDescent="0.25">
      <c r="K3925" s="312"/>
      <c r="N3925" s="514"/>
      <c r="R3925" s="293"/>
      <c r="S3925" s="316"/>
      <c r="T3925" s="355"/>
    </row>
    <row r="3926" spans="11:20" x14ac:dyDescent="0.25">
      <c r="K3926" s="312"/>
      <c r="N3926" s="514"/>
      <c r="R3926" s="293"/>
      <c r="S3926" s="316"/>
      <c r="T3926" s="355"/>
    </row>
    <row r="3927" spans="11:20" x14ac:dyDescent="0.25">
      <c r="K3927" s="312"/>
      <c r="N3927" s="514"/>
      <c r="R3927" s="293"/>
      <c r="S3927" s="316"/>
      <c r="T3927" s="355"/>
    </row>
    <row r="3928" spans="11:20" x14ac:dyDescent="0.25">
      <c r="K3928" s="312"/>
      <c r="N3928" s="514"/>
      <c r="R3928" s="293"/>
      <c r="S3928" s="316"/>
      <c r="T3928" s="355"/>
    </row>
    <row r="3929" spans="11:20" x14ac:dyDescent="0.25">
      <c r="K3929" s="312"/>
      <c r="N3929" s="514"/>
      <c r="R3929" s="293"/>
      <c r="S3929" s="316"/>
      <c r="T3929" s="355"/>
    </row>
    <row r="3930" spans="11:20" x14ac:dyDescent="0.25">
      <c r="K3930" s="312"/>
      <c r="N3930" s="514"/>
      <c r="R3930" s="293"/>
      <c r="S3930" s="316"/>
      <c r="T3930" s="355"/>
    </row>
    <row r="3931" spans="11:20" x14ac:dyDescent="0.25">
      <c r="K3931" s="312"/>
      <c r="N3931" s="514"/>
      <c r="R3931" s="293"/>
      <c r="S3931" s="316"/>
      <c r="T3931" s="355"/>
    </row>
    <row r="3932" spans="11:20" x14ac:dyDescent="0.25">
      <c r="K3932" s="312"/>
      <c r="N3932" s="514"/>
      <c r="R3932" s="293"/>
      <c r="S3932" s="316"/>
      <c r="T3932" s="355"/>
    </row>
    <row r="3933" spans="11:20" x14ac:dyDescent="0.25">
      <c r="K3933" s="312"/>
      <c r="N3933" s="514"/>
      <c r="R3933" s="293"/>
      <c r="S3933" s="316"/>
      <c r="T3933" s="355"/>
    </row>
    <row r="3934" spans="11:20" x14ac:dyDescent="0.25">
      <c r="K3934" s="312"/>
      <c r="N3934" s="514"/>
      <c r="R3934" s="293"/>
      <c r="S3934" s="316"/>
      <c r="T3934" s="355"/>
    </row>
    <row r="3935" spans="11:20" x14ac:dyDescent="0.25">
      <c r="K3935" s="312"/>
      <c r="N3935" s="514"/>
      <c r="R3935" s="293"/>
      <c r="S3935" s="316"/>
      <c r="T3935" s="355"/>
    </row>
    <row r="3936" spans="11:20" x14ac:dyDescent="0.25">
      <c r="K3936" s="312"/>
      <c r="N3936" s="514"/>
      <c r="R3936" s="293"/>
      <c r="S3936" s="316"/>
      <c r="T3936" s="355"/>
    </row>
    <row r="3937" spans="11:20" x14ac:dyDescent="0.25">
      <c r="K3937" s="312"/>
      <c r="N3937" s="514"/>
      <c r="R3937" s="293"/>
      <c r="S3937" s="316"/>
      <c r="T3937" s="355"/>
    </row>
    <row r="3938" spans="11:20" x14ac:dyDescent="0.25">
      <c r="K3938" s="312"/>
      <c r="N3938" s="514"/>
      <c r="R3938" s="293"/>
      <c r="S3938" s="316"/>
      <c r="T3938" s="355"/>
    </row>
    <row r="3939" spans="11:20" x14ac:dyDescent="0.25">
      <c r="K3939" s="312"/>
      <c r="N3939" s="514"/>
      <c r="R3939" s="293"/>
      <c r="S3939" s="316"/>
      <c r="T3939" s="355"/>
    </row>
    <row r="3940" spans="11:20" x14ac:dyDescent="0.25">
      <c r="K3940" s="312"/>
      <c r="N3940" s="514"/>
      <c r="R3940" s="293"/>
      <c r="S3940" s="316"/>
      <c r="T3940" s="355"/>
    </row>
    <row r="3941" spans="11:20" x14ac:dyDescent="0.25">
      <c r="K3941" s="312"/>
      <c r="N3941" s="514"/>
      <c r="R3941" s="293"/>
      <c r="S3941" s="316"/>
      <c r="T3941" s="355"/>
    </row>
    <row r="3942" spans="11:20" x14ac:dyDescent="0.25">
      <c r="K3942" s="312"/>
      <c r="N3942" s="514"/>
      <c r="R3942" s="293"/>
      <c r="S3942" s="316"/>
      <c r="T3942" s="355"/>
    </row>
    <row r="3943" spans="11:20" x14ac:dyDescent="0.25">
      <c r="K3943" s="312"/>
      <c r="N3943" s="514"/>
      <c r="R3943" s="293"/>
      <c r="S3943" s="316"/>
      <c r="T3943" s="355"/>
    </row>
    <row r="3944" spans="11:20" x14ac:dyDescent="0.25">
      <c r="K3944" s="312"/>
      <c r="N3944" s="514"/>
      <c r="R3944" s="293"/>
      <c r="S3944" s="316"/>
      <c r="T3944" s="355"/>
    </row>
    <row r="3945" spans="11:20" x14ac:dyDescent="0.25">
      <c r="K3945" s="312"/>
      <c r="N3945" s="514"/>
      <c r="R3945" s="293"/>
      <c r="S3945" s="316"/>
      <c r="T3945" s="355"/>
    </row>
    <row r="3946" spans="11:20" x14ac:dyDescent="0.25">
      <c r="K3946" s="312"/>
      <c r="N3946" s="514"/>
      <c r="R3946" s="293"/>
      <c r="S3946" s="316"/>
      <c r="T3946" s="355"/>
    </row>
    <row r="3947" spans="11:20" x14ac:dyDescent="0.25">
      <c r="K3947" s="312"/>
      <c r="N3947" s="514"/>
      <c r="R3947" s="293"/>
      <c r="S3947" s="316"/>
      <c r="T3947" s="355"/>
    </row>
    <row r="3948" spans="11:20" x14ac:dyDescent="0.25">
      <c r="K3948" s="312"/>
      <c r="N3948" s="514"/>
      <c r="R3948" s="293"/>
      <c r="S3948" s="316"/>
      <c r="T3948" s="355"/>
    </row>
    <row r="3949" spans="11:20" x14ac:dyDescent="0.25">
      <c r="K3949" s="312"/>
      <c r="N3949" s="514"/>
      <c r="R3949" s="293"/>
      <c r="S3949" s="316"/>
      <c r="T3949" s="355"/>
    </row>
    <row r="3950" spans="11:20" x14ac:dyDescent="0.25">
      <c r="K3950" s="312"/>
      <c r="N3950" s="514"/>
      <c r="R3950" s="293"/>
      <c r="S3950" s="316"/>
      <c r="T3950" s="355"/>
    </row>
    <row r="3951" spans="11:20" x14ac:dyDescent="0.25">
      <c r="K3951" s="312"/>
      <c r="N3951" s="514"/>
      <c r="R3951" s="293"/>
      <c r="S3951" s="316"/>
      <c r="T3951" s="355"/>
    </row>
    <row r="3952" spans="11:20" x14ac:dyDescent="0.25">
      <c r="K3952" s="312"/>
      <c r="N3952" s="514"/>
      <c r="R3952" s="293"/>
      <c r="S3952" s="316"/>
      <c r="T3952" s="355"/>
    </row>
    <row r="3953" spans="11:20" x14ac:dyDescent="0.25">
      <c r="K3953" s="312"/>
      <c r="N3953" s="514"/>
      <c r="R3953" s="293"/>
      <c r="S3953" s="316"/>
      <c r="T3953" s="355"/>
    </row>
    <row r="3954" spans="11:20" x14ac:dyDescent="0.25">
      <c r="K3954" s="312"/>
      <c r="N3954" s="514"/>
      <c r="R3954" s="293"/>
      <c r="S3954" s="316"/>
      <c r="T3954" s="355"/>
    </row>
    <row r="3955" spans="11:20" x14ac:dyDescent="0.25">
      <c r="K3955" s="312"/>
      <c r="N3955" s="514"/>
      <c r="R3955" s="293"/>
      <c r="S3955" s="316"/>
      <c r="T3955" s="355"/>
    </row>
    <row r="3956" spans="11:20" x14ac:dyDescent="0.25">
      <c r="K3956" s="312"/>
      <c r="N3956" s="514"/>
      <c r="R3956" s="293"/>
      <c r="S3956" s="316"/>
      <c r="T3956" s="355"/>
    </row>
    <row r="3957" spans="11:20" x14ac:dyDescent="0.25">
      <c r="K3957" s="312"/>
      <c r="N3957" s="514"/>
      <c r="R3957" s="293"/>
      <c r="S3957" s="316"/>
      <c r="T3957" s="355"/>
    </row>
    <row r="3958" spans="11:20" x14ac:dyDescent="0.25">
      <c r="K3958" s="312"/>
      <c r="N3958" s="514"/>
      <c r="R3958" s="293"/>
      <c r="S3958" s="316"/>
      <c r="T3958" s="355"/>
    </row>
    <row r="3959" spans="11:20" x14ac:dyDescent="0.25">
      <c r="K3959" s="312"/>
      <c r="N3959" s="514"/>
      <c r="R3959" s="293"/>
      <c r="S3959" s="316"/>
      <c r="T3959" s="355"/>
    </row>
    <row r="3960" spans="11:20" x14ac:dyDescent="0.25">
      <c r="K3960" s="312"/>
      <c r="N3960" s="514"/>
      <c r="R3960" s="293"/>
      <c r="S3960" s="316"/>
      <c r="T3960" s="355"/>
    </row>
    <row r="3961" spans="11:20" x14ac:dyDescent="0.25">
      <c r="K3961" s="312"/>
      <c r="N3961" s="514"/>
      <c r="R3961" s="293"/>
      <c r="S3961" s="316"/>
      <c r="T3961" s="355"/>
    </row>
    <row r="3962" spans="11:20" x14ac:dyDescent="0.25">
      <c r="K3962" s="312"/>
      <c r="N3962" s="514"/>
      <c r="R3962" s="293"/>
      <c r="S3962" s="316"/>
      <c r="T3962" s="355"/>
    </row>
    <row r="3963" spans="11:20" x14ac:dyDescent="0.25">
      <c r="K3963" s="312"/>
      <c r="N3963" s="514"/>
      <c r="R3963" s="293"/>
      <c r="S3963" s="316"/>
      <c r="T3963" s="355"/>
    </row>
    <row r="3964" spans="11:20" x14ac:dyDescent="0.25">
      <c r="K3964" s="312"/>
      <c r="N3964" s="514"/>
      <c r="R3964" s="293"/>
      <c r="S3964" s="316"/>
      <c r="T3964" s="355"/>
    </row>
    <row r="3965" spans="11:20" x14ac:dyDescent="0.25">
      <c r="K3965" s="312"/>
      <c r="N3965" s="514"/>
      <c r="R3965" s="293"/>
      <c r="S3965" s="316"/>
      <c r="T3965" s="355"/>
    </row>
    <row r="3966" spans="11:20" x14ac:dyDescent="0.25">
      <c r="K3966" s="312"/>
      <c r="N3966" s="514"/>
      <c r="R3966" s="293"/>
      <c r="S3966" s="316"/>
      <c r="T3966" s="355"/>
    </row>
    <row r="3967" spans="11:20" x14ac:dyDescent="0.25">
      <c r="K3967" s="312"/>
      <c r="N3967" s="514"/>
      <c r="R3967" s="293"/>
      <c r="S3967" s="316"/>
      <c r="T3967" s="355"/>
    </row>
    <row r="3968" spans="11:20" x14ac:dyDescent="0.25">
      <c r="K3968" s="312"/>
      <c r="N3968" s="514"/>
      <c r="R3968" s="293"/>
      <c r="S3968" s="316"/>
      <c r="T3968" s="355"/>
    </row>
    <row r="3969" spans="11:20" x14ac:dyDescent="0.25">
      <c r="K3969" s="312"/>
      <c r="N3969" s="514"/>
      <c r="R3969" s="293"/>
      <c r="S3969" s="316"/>
      <c r="T3969" s="355"/>
    </row>
    <row r="3970" spans="11:20" x14ac:dyDescent="0.25">
      <c r="K3970" s="312"/>
      <c r="N3970" s="514"/>
      <c r="R3970" s="293"/>
      <c r="S3970" s="316"/>
      <c r="T3970" s="355"/>
    </row>
    <row r="3971" spans="11:20" x14ac:dyDescent="0.25">
      <c r="K3971" s="312"/>
      <c r="N3971" s="514"/>
      <c r="R3971" s="293"/>
      <c r="S3971" s="316"/>
      <c r="T3971" s="355"/>
    </row>
    <row r="3972" spans="11:20" x14ac:dyDescent="0.25">
      <c r="K3972" s="312"/>
      <c r="N3972" s="514"/>
      <c r="R3972" s="293"/>
      <c r="S3972" s="316"/>
      <c r="T3972" s="355"/>
    </row>
    <row r="3973" spans="11:20" x14ac:dyDescent="0.25">
      <c r="K3973" s="312"/>
      <c r="N3973" s="514"/>
      <c r="R3973" s="293"/>
      <c r="S3973" s="316"/>
      <c r="T3973" s="355"/>
    </row>
    <row r="3974" spans="11:20" x14ac:dyDescent="0.25">
      <c r="K3974" s="312"/>
      <c r="N3974" s="514"/>
      <c r="R3974" s="293"/>
      <c r="S3974" s="316"/>
      <c r="T3974" s="355"/>
    </row>
    <row r="3975" spans="11:20" x14ac:dyDescent="0.25">
      <c r="K3975" s="312"/>
      <c r="N3975" s="514"/>
      <c r="R3975" s="293"/>
      <c r="S3975" s="316"/>
      <c r="T3975" s="355"/>
    </row>
    <row r="3976" spans="11:20" x14ac:dyDescent="0.25">
      <c r="K3976" s="312"/>
      <c r="N3976" s="514"/>
      <c r="R3976" s="293"/>
      <c r="S3976" s="316"/>
      <c r="T3976" s="355"/>
    </row>
    <row r="3977" spans="11:20" x14ac:dyDescent="0.25">
      <c r="K3977" s="312"/>
      <c r="N3977" s="514"/>
      <c r="R3977" s="293"/>
      <c r="S3977" s="316"/>
      <c r="T3977" s="355"/>
    </row>
    <row r="3978" spans="11:20" x14ac:dyDescent="0.25">
      <c r="K3978" s="312"/>
      <c r="N3978" s="514"/>
      <c r="R3978" s="293"/>
      <c r="S3978" s="316"/>
      <c r="T3978" s="355"/>
    </row>
    <row r="3979" spans="11:20" x14ac:dyDescent="0.25">
      <c r="K3979" s="312"/>
      <c r="N3979" s="514"/>
      <c r="R3979" s="293"/>
      <c r="S3979" s="316"/>
      <c r="T3979" s="355"/>
    </row>
    <row r="3980" spans="11:20" x14ac:dyDescent="0.25">
      <c r="K3980" s="312"/>
      <c r="N3980" s="514"/>
      <c r="R3980" s="293"/>
      <c r="S3980" s="316"/>
      <c r="T3980" s="355"/>
    </row>
    <row r="3981" spans="11:20" x14ac:dyDescent="0.25">
      <c r="K3981" s="312"/>
      <c r="N3981" s="514"/>
      <c r="R3981" s="293"/>
      <c r="S3981" s="316"/>
      <c r="T3981" s="355"/>
    </row>
    <row r="3982" spans="11:20" x14ac:dyDescent="0.25">
      <c r="K3982" s="312"/>
      <c r="N3982" s="514"/>
      <c r="R3982" s="293"/>
      <c r="S3982" s="316"/>
      <c r="T3982" s="355"/>
    </row>
    <row r="3983" spans="11:20" x14ac:dyDescent="0.25">
      <c r="K3983" s="312"/>
      <c r="N3983" s="514"/>
      <c r="R3983" s="293"/>
      <c r="S3983" s="316"/>
      <c r="T3983" s="355"/>
    </row>
    <row r="3984" spans="11:20" x14ac:dyDescent="0.25">
      <c r="K3984" s="312"/>
      <c r="N3984" s="514"/>
      <c r="R3984" s="293"/>
      <c r="S3984" s="316"/>
      <c r="T3984" s="355"/>
    </row>
    <row r="3985" spans="11:20" x14ac:dyDescent="0.25">
      <c r="K3985" s="312"/>
      <c r="N3985" s="514"/>
      <c r="R3985" s="293"/>
      <c r="S3985" s="316"/>
      <c r="T3985" s="355"/>
    </row>
    <row r="3986" spans="11:20" x14ac:dyDescent="0.25">
      <c r="K3986" s="312"/>
      <c r="N3986" s="514"/>
      <c r="R3986" s="293"/>
      <c r="S3986" s="316"/>
      <c r="T3986" s="355"/>
    </row>
    <row r="3987" spans="11:20" x14ac:dyDescent="0.25">
      <c r="K3987" s="312"/>
      <c r="N3987" s="514"/>
      <c r="R3987" s="293"/>
      <c r="S3987" s="316"/>
      <c r="T3987" s="355"/>
    </row>
    <row r="3988" spans="11:20" x14ac:dyDescent="0.25">
      <c r="K3988" s="312"/>
      <c r="N3988" s="514"/>
      <c r="R3988" s="293"/>
      <c r="S3988" s="316"/>
      <c r="T3988" s="355"/>
    </row>
    <row r="3989" spans="11:20" x14ac:dyDescent="0.25">
      <c r="K3989" s="312"/>
      <c r="N3989" s="514"/>
      <c r="R3989" s="293"/>
      <c r="S3989" s="316"/>
      <c r="T3989" s="355"/>
    </row>
    <row r="3990" spans="11:20" x14ac:dyDescent="0.25">
      <c r="K3990" s="312"/>
      <c r="N3990" s="514"/>
      <c r="R3990" s="293"/>
      <c r="S3990" s="316"/>
      <c r="T3990" s="355"/>
    </row>
    <row r="3991" spans="11:20" x14ac:dyDescent="0.25">
      <c r="K3991" s="312"/>
      <c r="N3991" s="514"/>
      <c r="R3991" s="293"/>
      <c r="S3991" s="316"/>
      <c r="T3991" s="355"/>
    </row>
    <row r="3992" spans="11:20" x14ac:dyDescent="0.25">
      <c r="K3992" s="312"/>
      <c r="N3992" s="514"/>
      <c r="R3992" s="293"/>
      <c r="S3992" s="316"/>
      <c r="T3992" s="355"/>
    </row>
    <row r="3993" spans="11:20" x14ac:dyDescent="0.25">
      <c r="K3993" s="312"/>
      <c r="N3993" s="514"/>
      <c r="R3993" s="293"/>
      <c r="S3993" s="316"/>
      <c r="T3993" s="355"/>
    </row>
    <row r="3994" spans="11:20" x14ac:dyDescent="0.25">
      <c r="K3994" s="312"/>
      <c r="N3994" s="514"/>
      <c r="R3994" s="293"/>
      <c r="S3994" s="316"/>
      <c r="T3994" s="355"/>
    </row>
    <row r="3995" spans="11:20" x14ac:dyDescent="0.25">
      <c r="K3995" s="312"/>
      <c r="N3995" s="514"/>
      <c r="R3995" s="293"/>
      <c r="S3995" s="316"/>
      <c r="T3995" s="355"/>
    </row>
    <row r="3996" spans="11:20" x14ac:dyDescent="0.25">
      <c r="K3996" s="312"/>
      <c r="N3996" s="514"/>
      <c r="R3996" s="293"/>
      <c r="S3996" s="316"/>
      <c r="T3996" s="355"/>
    </row>
    <row r="3997" spans="11:20" x14ac:dyDescent="0.25">
      <c r="K3997" s="312"/>
      <c r="N3997" s="514"/>
      <c r="R3997" s="293"/>
      <c r="S3997" s="316"/>
      <c r="T3997" s="355"/>
    </row>
    <row r="3998" spans="11:20" x14ac:dyDescent="0.25">
      <c r="K3998" s="312"/>
      <c r="N3998" s="514"/>
      <c r="R3998" s="293"/>
      <c r="S3998" s="316"/>
      <c r="T3998" s="355"/>
    </row>
    <row r="3999" spans="11:20" x14ac:dyDescent="0.25">
      <c r="K3999" s="312"/>
      <c r="N3999" s="514"/>
      <c r="R3999" s="293"/>
      <c r="S3999" s="316"/>
      <c r="T3999" s="355"/>
    </row>
    <row r="4000" spans="11:20" x14ac:dyDescent="0.25">
      <c r="K4000" s="312"/>
      <c r="N4000" s="514"/>
      <c r="R4000" s="293"/>
      <c r="S4000" s="316"/>
      <c r="T4000" s="355"/>
    </row>
    <row r="4001" spans="11:20" x14ac:dyDescent="0.25">
      <c r="K4001" s="312"/>
      <c r="N4001" s="514"/>
      <c r="R4001" s="293"/>
      <c r="S4001" s="316"/>
      <c r="T4001" s="355"/>
    </row>
    <row r="4002" spans="11:20" x14ac:dyDescent="0.25">
      <c r="K4002" s="312"/>
      <c r="N4002" s="514"/>
      <c r="R4002" s="293"/>
      <c r="S4002" s="316"/>
      <c r="T4002" s="355"/>
    </row>
    <row r="4003" spans="11:20" x14ac:dyDescent="0.25">
      <c r="K4003" s="312"/>
      <c r="N4003" s="514"/>
      <c r="R4003" s="293"/>
      <c r="S4003" s="316"/>
      <c r="T4003" s="355"/>
    </row>
    <row r="4004" spans="11:20" x14ac:dyDescent="0.25">
      <c r="K4004" s="312"/>
      <c r="N4004" s="514"/>
      <c r="R4004" s="293"/>
      <c r="S4004" s="316"/>
      <c r="T4004" s="355"/>
    </row>
    <row r="4005" spans="11:20" x14ac:dyDescent="0.25">
      <c r="K4005" s="312"/>
      <c r="N4005" s="514"/>
      <c r="R4005" s="293"/>
      <c r="S4005" s="316"/>
      <c r="T4005" s="355"/>
    </row>
    <row r="4006" spans="11:20" x14ac:dyDescent="0.25">
      <c r="K4006" s="312"/>
      <c r="N4006" s="514"/>
      <c r="R4006" s="293"/>
      <c r="S4006" s="316"/>
      <c r="T4006" s="355"/>
    </row>
    <row r="4007" spans="11:20" x14ac:dyDescent="0.25">
      <c r="K4007" s="312"/>
      <c r="N4007" s="514"/>
      <c r="R4007" s="293"/>
      <c r="S4007" s="316"/>
      <c r="T4007" s="355"/>
    </row>
    <row r="4008" spans="11:20" x14ac:dyDescent="0.25">
      <c r="K4008" s="312"/>
      <c r="N4008" s="514"/>
      <c r="R4008" s="293"/>
      <c r="S4008" s="316"/>
      <c r="T4008" s="355"/>
    </row>
    <row r="4009" spans="11:20" x14ac:dyDescent="0.25">
      <c r="K4009" s="312"/>
      <c r="N4009" s="514"/>
      <c r="R4009" s="293"/>
      <c r="S4009" s="316"/>
      <c r="T4009" s="355"/>
    </row>
    <row r="4010" spans="11:20" x14ac:dyDescent="0.25">
      <c r="K4010" s="312"/>
      <c r="N4010" s="514"/>
      <c r="R4010" s="293"/>
      <c r="S4010" s="316"/>
      <c r="T4010" s="355"/>
    </row>
    <row r="4011" spans="11:20" x14ac:dyDescent="0.25">
      <c r="K4011" s="312"/>
      <c r="N4011" s="514"/>
      <c r="R4011" s="293"/>
      <c r="S4011" s="316"/>
      <c r="T4011" s="355"/>
    </row>
    <row r="4012" spans="11:20" x14ac:dyDescent="0.25">
      <c r="K4012" s="312"/>
      <c r="N4012" s="514"/>
      <c r="R4012" s="293"/>
      <c r="S4012" s="316"/>
      <c r="T4012" s="355"/>
    </row>
    <row r="4013" spans="11:20" x14ac:dyDescent="0.25">
      <c r="K4013" s="312"/>
      <c r="N4013" s="514"/>
      <c r="R4013" s="293"/>
      <c r="S4013" s="316"/>
      <c r="T4013" s="355"/>
    </row>
    <row r="4014" spans="11:20" x14ac:dyDescent="0.25">
      <c r="K4014" s="312"/>
      <c r="N4014" s="514"/>
      <c r="R4014" s="293"/>
      <c r="S4014" s="316"/>
      <c r="T4014" s="355"/>
    </row>
    <row r="4015" spans="11:20" x14ac:dyDescent="0.25">
      <c r="K4015" s="312"/>
      <c r="N4015" s="514"/>
      <c r="R4015" s="293"/>
      <c r="S4015" s="316"/>
      <c r="T4015" s="355"/>
    </row>
    <row r="4016" spans="11:20" x14ac:dyDescent="0.25">
      <c r="K4016" s="312"/>
      <c r="N4016" s="514"/>
      <c r="R4016" s="293"/>
      <c r="S4016" s="316"/>
      <c r="T4016" s="355"/>
    </row>
    <row r="4017" spans="11:20" x14ac:dyDescent="0.25">
      <c r="K4017" s="312"/>
      <c r="N4017" s="514"/>
      <c r="R4017" s="293"/>
      <c r="S4017" s="316"/>
      <c r="T4017" s="355"/>
    </row>
    <row r="4018" spans="11:20" x14ac:dyDescent="0.25">
      <c r="K4018" s="312"/>
      <c r="N4018" s="514"/>
      <c r="R4018" s="293"/>
      <c r="S4018" s="316"/>
      <c r="T4018" s="355"/>
    </row>
    <row r="4019" spans="11:20" x14ac:dyDescent="0.25">
      <c r="K4019" s="312"/>
      <c r="N4019" s="514"/>
      <c r="R4019" s="293"/>
      <c r="S4019" s="316"/>
      <c r="T4019" s="355"/>
    </row>
    <row r="4020" spans="11:20" x14ac:dyDescent="0.25">
      <c r="K4020" s="312"/>
      <c r="N4020" s="514"/>
      <c r="R4020" s="293"/>
      <c r="S4020" s="316"/>
      <c r="T4020" s="355"/>
    </row>
    <row r="4021" spans="11:20" x14ac:dyDescent="0.25">
      <c r="K4021" s="312"/>
      <c r="N4021" s="514"/>
      <c r="R4021" s="293"/>
      <c r="S4021" s="316"/>
      <c r="T4021" s="355"/>
    </row>
    <row r="4022" spans="11:20" x14ac:dyDescent="0.25">
      <c r="K4022" s="312"/>
      <c r="N4022" s="514"/>
      <c r="R4022" s="293"/>
      <c r="S4022" s="316"/>
      <c r="T4022" s="355"/>
    </row>
    <row r="4023" spans="11:20" x14ac:dyDescent="0.25">
      <c r="K4023" s="312"/>
      <c r="N4023" s="514"/>
      <c r="R4023" s="293"/>
      <c r="S4023" s="316"/>
      <c r="T4023" s="355"/>
    </row>
    <row r="4024" spans="11:20" x14ac:dyDescent="0.25">
      <c r="K4024" s="312"/>
      <c r="N4024" s="514"/>
      <c r="R4024" s="293"/>
      <c r="S4024" s="316"/>
      <c r="T4024" s="355"/>
    </row>
    <row r="4025" spans="11:20" x14ac:dyDescent="0.25">
      <c r="K4025" s="312"/>
      <c r="N4025" s="514"/>
      <c r="R4025" s="293"/>
      <c r="S4025" s="316"/>
      <c r="T4025" s="355"/>
    </row>
    <row r="4026" spans="11:20" x14ac:dyDescent="0.25">
      <c r="K4026" s="312"/>
      <c r="N4026" s="514"/>
      <c r="R4026" s="293"/>
      <c r="S4026" s="316"/>
      <c r="T4026" s="355"/>
    </row>
    <row r="4027" spans="11:20" x14ac:dyDescent="0.25">
      <c r="K4027" s="312"/>
      <c r="N4027" s="514"/>
      <c r="R4027" s="293"/>
      <c r="S4027" s="316"/>
      <c r="T4027" s="355"/>
    </row>
    <row r="4028" spans="11:20" x14ac:dyDescent="0.25">
      <c r="K4028" s="312"/>
      <c r="N4028" s="514"/>
      <c r="R4028" s="293"/>
      <c r="S4028" s="316"/>
      <c r="T4028" s="355"/>
    </row>
    <row r="4029" spans="11:20" x14ac:dyDescent="0.25">
      <c r="K4029" s="312"/>
      <c r="N4029" s="514"/>
      <c r="R4029" s="293"/>
      <c r="S4029" s="316"/>
      <c r="T4029" s="355"/>
    </row>
    <row r="4030" spans="11:20" x14ac:dyDescent="0.25">
      <c r="K4030" s="312"/>
      <c r="N4030" s="514"/>
      <c r="R4030" s="293"/>
      <c r="S4030" s="316"/>
      <c r="T4030" s="355"/>
    </row>
    <row r="4031" spans="11:20" x14ac:dyDescent="0.25">
      <c r="K4031" s="312"/>
      <c r="N4031" s="514"/>
      <c r="R4031" s="293"/>
      <c r="S4031" s="316"/>
      <c r="T4031" s="355"/>
    </row>
    <row r="4032" spans="11:20" x14ac:dyDescent="0.25">
      <c r="K4032" s="312"/>
      <c r="N4032" s="514"/>
      <c r="R4032" s="293"/>
      <c r="S4032" s="316"/>
      <c r="T4032" s="355"/>
    </row>
    <row r="4033" spans="11:20" x14ac:dyDescent="0.25">
      <c r="K4033" s="312"/>
      <c r="N4033" s="514"/>
      <c r="R4033" s="293"/>
      <c r="S4033" s="316"/>
      <c r="T4033" s="355"/>
    </row>
    <row r="4034" spans="11:20" x14ac:dyDescent="0.25">
      <c r="K4034" s="312"/>
      <c r="N4034" s="514"/>
      <c r="R4034" s="293"/>
      <c r="S4034" s="316"/>
      <c r="T4034" s="355"/>
    </row>
    <row r="4035" spans="11:20" x14ac:dyDescent="0.25">
      <c r="K4035" s="312"/>
      <c r="N4035" s="514"/>
      <c r="R4035" s="293"/>
      <c r="S4035" s="316"/>
      <c r="T4035" s="355"/>
    </row>
    <row r="4036" spans="11:20" x14ac:dyDescent="0.25">
      <c r="K4036" s="312"/>
      <c r="N4036" s="514"/>
      <c r="R4036" s="293"/>
      <c r="S4036" s="316"/>
      <c r="T4036" s="355"/>
    </row>
    <row r="4037" spans="11:20" x14ac:dyDescent="0.25">
      <c r="K4037" s="312"/>
      <c r="N4037" s="514"/>
      <c r="R4037" s="293"/>
      <c r="S4037" s="316"/>
      <c r="T4037" s="355"/>
    </row>
    <row r="4038" spans="11:20" x14ac:dyDescent="0.25">
      <c r="K4038" s="312"/>
      <c r="N4038" s="514"/>
      <c r="R4038" s="293"/>
      <c r="S4038" s="316"/>
      <c r="T4038" s="355"/>
    </row>
    <row r="4039" spans="11:20" x14ac:dyDescent="0.25">
      <c r="K4039" s="312"/>
      <c r="N4039" s="514"/>
      <c r="R4039" s="293"/>
      <c r="S4039" s="316"/>
      <c r="T4039" s="355"/>
    </row>
    <row r="4040" spans="11:20" x14ac:dyDescent="0.25">
      <c r="K4040" s="312"/>
      <c r="N4040" s="514"/>
      <c r="R4040" s="293"/>
      <c r="S4040" s="316"/>
      <c r="T4040" s="355"/>
    </row>
    <row r="4041" spans="11:20" x14ac:dyDescent="0.25">
      <c r="K4041" s="312"/>
      <c r="N4041" s="514"/>
      <c r="R4041" s="293"/>
      <c r="S4041" s="316"/>
      <c r="T4041" s="355"/>
    </row>
    <row r="4042" spans="11:20" x14ac:dyDescent="0.25">
      <c r="K4042" s="312"/>
      <c r="N4042" s="514"/>
      <c r="R4042" s="293"/>
      <c r="S4042" s="316"/>
      <c r="T4042" s="355"/>
    </row>
    <row r="4043" spans="11:20" x14ac:dyDescent="0.25">
      <c r="K4043" s="312"/>
      <c r="N4043" s="514"/>
      <c r="R4043" s="293"/>
      <c r="S4043" s="316"/>
      <c r="T4043" s="355"/>
    </row>
    <row r="4044" spans="11:20" x14ac:dyDescent="0.25">
      <c r="K4044" s="312"/>
      <c r="N4044" s="514"/>
      <c r="R4044" s="293"/>
      <c r="S4044" s="316"/>
      <c r="T4044" s="355"/>
    </row>
    <row r="4045" spans="11:20" x14ac:dyDescent="0.25">
      <c r="K4045" s="312"/>
      <c r="N4045" s="514"/>
      <c r="R4045" s="293"/>
      <c r="S4045" s="316"/>
      <c r="T4045" s="355"/>
    </row>
    <row r="4046" spans="11:20" x14ac:dyDescent="0.25">
      <c r="K4046" s="312"/>
      <c r="N4046" s="514"/>
      <c r="R4046" s="293"/>
      <c r="S4046" s="316"/>
      <c r="T4046" s="355"/>
    </row>
    <row r="4047" spans="11:20" x14ac:dyDescent="0.25">
      <c r="K4047" s="312"/>
      <c r="N4047" s="514"/>
      <c r="R4047" s="293"/>
      <c r="S4047" s="316"/>
      <c r="T4047" s="355"/>
    </row>
    <row r="4048" spans="11:20" x14ac:dyDescent="0.25">
      <c r="K4048" s="312"/>
      <c r="N4048" s="514"/>
      <c r="R4048" s="293"/>
      <c r="S4048" s="316"/>
      <c r="T4048" s="355"/>
    </row>
    <row r="4049" spans="11:20" x14ac:dyDescent="0.25">
      <c r="K4049" s="312"/>
      <c r="N4049" s="514"/>
      <c r="R4049" s="293"/>
      <c r="S4049" s="316"/>
      <c r="T4049" s="355"/>
    </row>
    <row r="4050" spans="11:20" x14ac:dyDescent="0.25">
      <c r="K4050" s="312"/>
      <c r="N4050" s="514"/>
      <c r="R4050" s="293"/>
      <c r="S4050" s="316"/>
      <c r="T4050" s="355"/>
    </row>
    <row r="4051" spans="11:20" x14ac:dyDescent="0.25">
      <c r="K4051" s="312"/>
      <c r="N4051" s="514"/>
      <c r="R4051" s="293"/>
      <c r="S4051" s="316"/>
      <c r="T4051" s="355"/>
    </row>
    <row r="4052" spans="11:20" x14ac:dyDescent="0.25">
      <c r="K4052" s="312"/>
      <c r="N4052" s="514"/>
      <c r="R4052" s="293"/>
      <c r="S4052" s="316"/>
      <c r="T4052" s="355"/>
    </row>
    <row r="4053" spans="11:20" x14ac:dyDescent="0.25">
      <c r="K4053" s="312"/>
      <c r="N4053" s="514"/>
      <c r="R4053" s="293"/>
      <c r="S4053" s="316"/>
      <c r="T4053" s="355"/>
    </row>
    <row r="4054" spans="11:20" x14ac:dyDescent="0.25">
      <c r="K4054" s="312"/>
      <c r="N4054" s="514"/>
      <c r="R4054" s="293"/>
      <c r="S4054" s="316"/>
      <c r="T4054" s="355"/>
    </row>
    <row r="4055" spans="11:20" x14ac:dyDescent="0.25">
      <c r="K4055" s="312"/>
      <c r="N4055" s="514"/>
      <c r="R4055" s="293"/>
      <c r="S4055" s="316"/>
      <c r="T4055" s="355"/>
    </row>
    <row r="4056" spans="11:20" x14ac:dyDescent="0.25">
      <c r="K4056" s="312"/>
      <c r="N4056" s="514"/>
      <c r="R4056" s="293"/>
      <c r="S4056" s="316"/>
      <c r="T4056" s="355"/>
    </row>
    <row r="4057" spans="11:20" x14ac:dyDescent="0.25">
      <c r="K4057" s="312"/>
      <c r="N4057" s="514"/>
      <c r="R4057" s="293"/>
      <c r="S4057" s="316"/>
      <c r="T4057" s="355"/>
    </row>
    <row r="4058" spans="11:20" x14ac:dyDescent="0.25">
      <c r="K4058" s="312"/>
      <c r="N4058" s="514"/>
      <c r="R4058" s="293"/>
      <c r="S4058" s="316"/>
      <c r="T4058" s="355"/>
    </row>
    <row r="4059" spans="11:20" x14ac:dyDescent="0.25">
      <c r="K4059" s="312"/>
      <c r="N4059" s="514"/>
      <c r="R4059" s="293"/>
      <c r="S4059" s="316"/>
      <c r="T4059" s="355"/>
    </row>
    <row r="4060" spans="11:20" x14ac:dyDescent="0.25">
      <c r="K4060" s="312"/>
      <c r="N4060" s="514"/>
      <c r="R4060" s="293"/>
      <c r="S4060" s="316"/>
      <c r="T4060" s="355"/>
    </row>
    <row r="4061" spans="11:20" x14ac:dyDescent="0.25">
      <c r="K4061" s="312"/>
      <c r="N4061" s="514"/>
      <c r="R4061" s="293"/>
      <c r="S4061" s="316"/>
      <c r="T4061" s="355"/>
    </row>
    <row r="4062" spans="11:20" x14ac:dyDescent="0.25">
      <c r="K4062" s="312"/>
      <c r="N4062" s="514"/>
      <c r="R4062" s="293"/>
      <c r="S4062" s="316"/>
      <c r="T4062" s="355"/>
    </row>
    <row r="4063" spans="11:20" x14ac:dyDescent="0.25">
      <c r="K4063" s="312"/>
      <c r="N4063" s="514"/>
      <c r="R4063" s="293"/>
      <c r="S4063" s="316"/>
      <c r="T4063" s="355"/>
    </row>
    <row r="4064" spans="11:20" x14ac:dyDescent="0.25">
      <c r="K4064" s="312"/>
      <c r="N4064" s="514"/>
      <c r="R4064" s="293"/>
      <c r="S4064" s="316"/>
      <c r="T4064" s="355"/>
    </row>
    <row r="4065" spans="11:20" x14ac:dyDescent="0.25">
      <c r="K4065" s="312"/>
      <c r="N4065" s="514"/>
      <c r="R4065" s="293"/>
      <c r="S4065" s="316"/>
      <c r="T4065" s="355"/>
    </row>
    <row r="4066" spans="11:20" x14ac:dyDescent="0.25">
      <c r="K4066" s="312"/>
      <c r="N4066" s="514"/>
      <c r="R4066" s="293"/>
      <c r="S4066" s="316"/>
      <c r="T4066" s="355"/>
    </row>
    <row r="4067" spans="11:20" x14ac:dyDescent="0.25">
      <c r="K4067" s="312"/>
      <c r="N4067" s="514"/>
      <c r="R4067" s="293"/>
      <c r="S4067" s="316"/>
      <c r="T4067" s="355"/>
    </row>
    <row r="4068" spans="11:20" x14ac:dyDescent="0.25">
      <c r="K4068" s="312"/>
      <c r="N4068" s="514"/>
      <c r="R4068" s="293"/>
      <c r="S4068" s="316"/>
      <c r="T4068" s="355"/>
    </row>
    <row r="4069" spans="11:20" x14ac:dyDescent="0.25">
      <c r="K4069" s="312"/>
      <c r="N4069" s="514"/>
      <c r="R4069" s="293"/>
      <c r="S4069" s="316"/>
      <c r="T4069" s="355"/>
    </row>
    <row r="4070" spans="11:20" x14ac:dyDescent="0.25">
      <c r="K4070" s="312"/>
      <c r="N4070" s="514"/>
      <c r="R4070" s="293"/>
      <c r="S4070" s="316"/>
      <c r="T4070" s="355"/>
    </row>
    <row r="4071" spans="11:20" x14ac:dyDescent="0.25">
      <c r="K4071" s="312"/>
      <c r="N4071" s="514"/>
      <c r="R4071" s="293"/>
      <c r="S4071" s="316"/>
      <c r="T4071" s="355"/>
    </row>
    <row r="4072" spans="11:20" x14ac:dyDescent="0.25">
      <c r="K4072" s="312"/>
      <c r="N4072" s="514"/>
      <c r="R4072" s="293"/>
      <c r="S4072" s="316"/>
      <c r="T4072" s="355"/>
    </row>
    <row r="4073" spans="11:20" x14ac:dyDescent="0.25">
      <c r="K4073" s="312"/>
      <c r="N4073" s="514"/>
      <c r="R4073" s="293"/>
      <c r="S4073" s="316"/>
      <c r="T4073" s="355"/>
    </row>
    <row r="4074" spans="11:20" x14ac:dyDescent="0.25">
      <c r="K4074" s="312"/>
      <c r="N4074" s="514"/>
      <c r="R4074" s="293"/>
      <c r="S4074" s="316"/>
      <c r="T4074" s="355"/>
    </row>
    <row r="4075" spans="11:20" x14ac:dyDescent="0.25">
      <c r="K4075" s="312"/>
      <c r="N4075" s="514"/>
      <c r="R4075" s="293"/>
      <c r="S4075" s="316"/>
      <c r="T4075" s="355"/>
    </row>
    <row r="4076" spans="11:20" x14ac:dyDescent="0.25">
      <c r="K4076" s="312"/>
      <c r="N4076" s="514"/>
      <c r="R4076" s="293"/>
      <c r="S4076" s="316"/>
      <c r="T4076" s="355"/>
    </row>
    <row r="4077" spans="11:20" x14ac:dyDescent="0.25">
      <c r="K4077" s="312"/>
      <c r="N4077" s="514"/>
      <c r="R4077" s="293"/>
      <c r="S4077" s="316"/>
      <c r="T4077" s="355"/>
    </row>
    <row r="4078" spans="11:20" x14ac:dyDescent="0.25">
      <c r="K4078" s="312"/>
      <c r="N4078" s="514"/>
      <c r="R4078" s="293"/>
      <c r="S4078" s="316"/>
      <c r="T4078" s="355"/>
    </row>
    <row r="4079" spans="11:20" x14ac:dyDescent="0.25">
      <c r="K4079" s="312"/>
      <c r="N4079" s="514"/>
      <c r="R4079" s="293"/>
      <c r="S4079" s="316"/>
      <c r="T4079" s="355"/>
    </row>
    <row r="4080" spans="11:20" x14ac:dyDescent="0.25">
      <c r="K4080" s="312"/>
      <c r="N4080" s="514"/>
      <c r="R4080" s="293"/>
      <c r="S4080" s="316"/>
      <c r="T4080" s="355"/>
    </row>
    <row r="4081" spans="11:20" x14ac:dyDescent="0.25">
      <c r="K4081" s="312"/>
      <c r="N4081" s="514"/>
      <c r="R4081" s="293"/>
      <c r="S4081" s="316"/>
      <c r="T4081" s="355"/>
    </row>
    <row r="4082" spans="11:20" x14ac:dyDescent="0.25">
      <c r="K4082" s="312"/>
      <c r="N4082" s="514"/>
      <c r="R4082" s="293"/>
      <c r="S4082" s="316"/>
      <c r="T4082" s="355"/>
    </row>
    <row r="4083" spans="11:20" x14ac:dyDescent="0.25">
      <c r="K4083" s="312"/>
      <c r="N4083" s="514"/>
      <c r="R4083" s="293"/>
      <c r="S4083" s="316"/>
      <c r="T4083" s="355"/>
    </row>
    <row r="4084" spans="11:20" x14ac:dyDescent="0.25">
      <c r="K4084" s="312"/>
      <c r="N4084" s="514"/>
      <c r="R4084" s="293"/>
      <c r="S4084" s="316"/>
      <c r="T4084" s="355"/>
    </row>
    <row r="4085" spans="11:20" x14ac:dyDescent="0.25">
      <c r="K4085" s="312"/>
      <c r="N4085" s="514"/>
      <c r="R4085" s="293"/>
      <c r="S4085" s="316"/>
      <c r="T4085" s="355"/>
    </row>
    <row r="4086" spans="11:20" x14ac:dyDescent="0.25">
      <c r="K4086" s="312"/>
      <c r="N4086" s="514"/>
      <c r="R4086" s="293"/>
      <c r="S4086" s="316"/>
      <c r="T4086" s="355"/>
    </row>
    <row r="4087" spans="11:20" x14ac:dyDescent="0.25">
      <c r="K4087" s="312"/>
      <c r="N4087" s="514"/>
      <c r="R4087" s="293"/>
      <c r="S4087" s="316"/>
      <c r="T4087" s="355"/>
    </row>
    <row r="4088" spans="11:20" x14ac:dyDescent="0.25">
      <c r="K4088" s="312"/>
      <c r="N4088" s="514"/>
      <c r="R4088" s="293"/>
      <c r="S4088" s="316"/>
      <c r="T4088" s="355"/>
    </row>
    <row r="4089" spans="11:20" x14ac:dyDescent="0.25">
      <c r="K4089" s="312"/>
      <c r="N4089" s="514"/>
      <c r="R4089" s="293"/>
      <c r="S4089" s="316"/>
      <c r="T4089" s="355"/>
    </row>
    <row r="4090" spans="11:20" x14ac:dyDescent="0.25">
      <c r="K4090" s="312"/>
      <c r="N4090" s="514"/>
      <c r="R4090" s="293"/>
      <c r="S4090" s="316"/>
      <c r="T4090" s="355"/>
    </row>
    <row r="4091" spans="11:20" x14ac:dyDescent="0.25">
      <c r="K4091" s="312"/>
      <c r="N4091" s="514"/>
      <c r="R4091" s="293"/>
      <c r="S4091" s="316"/>
      <c r="T4091" s="355"/>
    </row>
    <row r="4092" spans="11:20" x14ac:dyDescent="0.25">
      <c r="K4092" s="312"/>
      <c r="N4092" s="514"/>
      <c r="R4092" s="293"/>
      <c r="S4092" s="316"/>
      <c r="T4092" s="355"/>
    </row>
    <row r="4093" spans="11:20" x14ac:dyDescent="0.25">
      <c r="K4093" s="312"/>
      <c r="N4093" s="514"/>
      <c r="R4093" s="293"/>
      <c r="S4093" s="316"/>
      <c r="T4093" s="355"/>
    </row>
    <row r="4094" spans="11:20" x14ac:dyDescent="0.25">
      <c r="K4094" s="312"/>
      <c r="N4094" s="514"/>
      <c r="R4094" s="293"/>
      <c r="S4094" s="316"/>
      <c r="T4094" s="355"/>
    </row>
    <row r="4095" spans="11:20" x14ac:dyDescent="0.25">
      <c r="K4095" s="312"/>
      <c r="N4095" s="514"/>
      <c r="R4095" s="293"/>
      <c r="S4095" s="316"/>
      <c r="T4095" s="355"/>
    </row>
    <row r="4096" spans="11:20" x14ac:dyDescent="0.25">
      <c r="K4096" s="312"/>
      <c r="N4096" s="514"/>
      <c r="R4096" s="293"/>
      <c r="S4096" s="316"/>
      <c r="T4096" s="355"/>
    </row>
    <row r="4097" spans="11:20" x14ac:dyDescent="0.25">
      <c r="K4097" s="312"/>
      <c r="N4097" s="514"/>
      <c r="R4097" s="293"/>
      <c r="S4097" s="316"/>
      <c r="T4097" s="355"/>
    </row>
    <row r="4098" spans="11:20" x14ac:dyDescent="0.25">
      <c r="K4098" s="312"/>
      <c r="N4098" s="514"/>
      <c r="R4098" s="293"/>
      <c r="S4098" s="316"/>
      <c r="T4098" s="355"/>
    </row>
    <row r="4099" spans="11:20" x14ac:dyDescent="0.25">
      <c r="K4099" s="312"/>
      <c r="N4099" s="514"/>
      <c r="R4099" s="293"/>
      <c r="S4099" s="316"/>
      <c r="T4099" s="355"/>
    </row>
    <row r="4100" spans="11:20" x14ac:dyDescent="0.25">
      <c r="K4100" s="312"/>
      <c r="N4100" s="514"/>
      <c r="R4100" s="293"/>
      <c r="S4100" s="316"/>
      <c r="T4100" s="355"/>
    </row>
    <row r="4101" spans="11:20" x14ac:dyDescent="0.25">
      <c r="K4101" s="312"/>
      <c r="N4101" s="514"/>
      <c r="R4101" s="293"/>
      <c r="S4101" s="316"/>
      <c r="T4101" s="355"/>
    </row>
    <row r="4102" spans="11:20" x14ac:dyDescent="0.25">
      <c r="K4102" s="312"/>
      <c r="N4102" s="514"/>
      <c r="R4102" s="293"/>
      <c r="S4102" s="316"/>
      <c r="T4102" s="355"/>
    </row>
    <row r="4103" spans="11:20" x14ac:dyDescent="0.25">
      <c r="K4103" s="312"/>
      <c r="N4103" s="514"/>
      <c r="R4103" s="293"/>
      <c r="S4103" s="316"/>
      <c r="T4103" s="355"/>
    </row>
    <row r="4104" spans="11:20" x14ac:dyDescent="0.25">
      <c r="K4104" s="312"/>
      <c r="N4104" s="514"/>
      <c r="R4104" s="293"/>
      <c r="S4104" s="316"/>
      <c r="T4104" s="355"/>
    </row>
    <row r="4105" spans="11:20" x14ac:dyDescent="0.25">
      <c r="K4105" s="312"/>
      <c r="N4105" s="514"/>
      <c r="R4105" s="293"/>
      <c r="S4105" s="316"/>
      <c r="T4105" s="355"/>
    </row>
    <row r="4106" spans="11:20" x14ac:dyDescent="0.25">
      <c r="K4106" s="312"/>
      <c r="N4106" s="514"/>
      <c r="R4106" s="293"/>
      <c r="S4106" s="316"/>
      <c r="T4106" s="355"/>
    </row>
    <row r="4107" spans="11:20" x14ac:dyDescent="0.25">
      <c r="K4107" s="312"/>
      <c r="N4107" s="514"/>
      <c r="R4107" s="293"/>
      <c r="S4107" s="316"/>
      <c r="T4107" s="355"/>
    </row>
    <row r="4108" spans="11:20" x14ac:dyDescent="0.25">
      <c r="K4108" s="312"/>
      <c r="N4108" s="514"/>
      <c r="R4108" s="293"/>
      <c r="S4108" s="316"/>
      <c r="T4108" s="355"/>
    </row>
    <row r="4109" spans="11:20" x14ac:dyDescent="0.25">
      <c r="K4109" s="312"/>
      <c r="N4109" s="514"/>
      <c r="R4109" s="293"/>
      <c r="S4109" s="316"/>
      <c r="T4109" s="355"/>
    </row>
    <row r="4110" spans="11:20" x14ac:dyDescent="0.25">
      <c r="K4110" s="312"/>
      <c r="N4110" s="514"/>
      <c r="R4110" s="293"/>
      <c r="S4110" s="316"/>
      <c r="T4110" s="355"/>
    </row>
    <row r="4111" spans="11:20" x14ac:dyDescent="0.25">
      <c r="K4111" s="312"/>
      <c r="N4111" s="514"/>
      <c r="R4111" s="293"/>
      <c r="S4111" s="316"/>
      <c r="T4111" s="355"/>
    </row>
    <row r="4112" spans="11:20" x14ac:dyDescent="0.25">
      <c r="K4112" s="312"/>
      <c r="N4112" s="514"/>
      <c r="R4112" s="293"/>
      <c r="S4112" s="316"/>
      <c r="T4112" s="355"/>
    </row>
    <row r="4113" spans="11:20" x14ac:dyDescent="0.25">
      <c r="K4113" s="312"/>
      <c r="N4113" s="514"/>
      <c r="R4113" s="293"/>
      <c r="S4113" s="316"/>
      <c r="T4113" s="355"/>
    </row>
    <row r="4114" spans="11:20" x14ac:dyDescent="0.25">
      <c r="K4114" s="312"/>
      <c r="N4114" s="514"/>
      <c r="R4114" s="293"/>
      <c r="S4114" s="316"/>
      <c r="T4114" s="355"/>
    </row>
    <row r="4115" spans="11:20" x14ac:dyDescent="0.25">
      <c r="K4115" s="312"/>
      <c r="N4115" s="514"/>
      <c r="R4115" s="293"/>
      <c r="S4115" s="316"/>
      <c r="T4115" s="355"/>
    </row>
    <row r="4116" spans="11:20" x14ac:dyDescent="0.25">
      <c r="K4116" s="312"/>
      <c r="N4116" s="514"/>
      <c r="R4116" s="293"/>
      <c r="S4116" s="316"/>
      <c r="T4116" s="355"/>
    </row>
    <row r="4117" spans="11:20" x14ac:dyDescent="0.25">
      <c r="K4117" s="312"/>
      <c r="N4117" s="514"/>
      <c r="R4117" s="293"/>
      <c r="S4117" s="316"/>
      <c r="T4117" s="355"/>
    </row>
    <row r="4118" spans="11:20" x14ac:dyDescent="0.25">
      <c r="K4118" s="312"/>
      <c r="N4118" s="514"/>
      <c r="R4118" s="293"/>
      <c r="S4118" s="316"/>
      <c r="T4118" s="355"/>
    </row>
    <row r="4119" spans="11:20" x14ac:dyDescent="0.25">
      <c r="K4119" s="312"/>
      <c r="N4119" s="514"/>
      <c r="R4119" s="293"/>
      <c r="S4119" s="316"/>
      <c r="T4119" s="355"/>
    </row>
    <row r="4120" spans="11:20" x14ac:dyDescent="0.25">
      <c r="K4120" s="312"/>
      <c r="N4120" s="514"/>
      <c r="R4120" s="293"/>
      <c r="S4120" s="316"/>
      <c r="T4120" s="355"/>
    </row>
    <row r="4121" spans="11:20" x14ac:dyDescent="0.25">
      <c r="K4121" s="312"/>
      <c r="N4121" s="514"/>
      <c r="R4121" s="293"/>
      <c r="S4121" s="316"/>
      <c r="T4121" s="355"/>
    </row>
    <row r="4122" spans="11:20" x14ac:dyDescent="0.25">
      <c r="K4122" s="312"/>
      <c r="N4122" s="514"/>
      <c r="R4122" s="293"/>
      <c r="S4122" s="316"/>
      <c r="T4122" s="355"/>
    </row>
    <row r="4123" spans="11:20" x14ac:dyDescent="0.25">
      <c r="K4123" s="312"/>
      <c r="N4123" s="514"/>
      <c r="R4123" s="293"/>
      <c r="S4123" s="316"/>
      <c r="T4123" s="355"/>
    </row>
    <row r="4124" spans="11:20" x14ac:dyDescent="0.25">
      <c r="K4124" s="312"/>
      <c r="N4124" s="514"/>
      <c r="R4124" s="293"/>
      <c r="S4124" s="316"/>
      <c r="T4124" s="355"/>
    </row>
    <row r="4125" spans="11:20" x14ac:dyDescent="0.25">
      <c r="K4125" s="312"/>
      <c r="N4125" s="514"/>
      <c r="R4125" s="293"/>
      <c r="S4125" s="316"/>
      <c r="T4125" s="355"/>
    </row>
    <row r="4126" spans="11:20" x14ac:dyDescent="0.25">
      <c r="K4126" s="312"/>
      <c r="N4126" s="514"/>
      <c r="R4126" s="293"/>
      <c r="S4126" s="316"/>
      <c r="T4126" s="355"/>
    </row>
    <row r="4127" spans="11:20" x14ac:dyDescent="0.25">
      <c r="K4127" s="312"/>
      <c r="N4127" s="514"/>
      <c r="R4127" s="293"/>
      <c r="S4127" s="316"/>
      <c r="T4127" s="355"/>
    </row>
    <row r="4128" spans="11:20" x14ac:dyDescent="0.25">
      <c r="K4128" s="312"/>
      <c r="N4128" s="514"/>
      <c r="R4128" s="293"/>
      <c r="S4128" s="316"/>
      <c r="T4128" s="355"/>
    </row>
    <row r="4129" spans="11:20" x14ac:dyDescent="0.25">
      <c r="K4129" s="312"/>
      <c r="N4129" s="514"/>
      <c r="R4129" s="293"/>
      <c r="S4129" s="316"/>
      <c r="T4129" s="355"/>
    </row>
    <row r="4130" spans="11:20" x14ac:dyDescent="0.25">
      <c r="K4130" s="312"/>
      <c r="N4130" s="514"/>
      <c r="R4130" s="293"/>
      <c r="S4130" s="316"/>
      <c r="T4130" s="355"/>
    </row>
    <row r="4131" spans="11:20" x14ac:dyDescent="0.25">
      <c r="K4131" s="312"/>
      <c r="N4131" s="514"/>
      <c r="R4131" s="293"/>
      <c r="S4131" s="316"/>
      <c r="T4131" s="355"/>
    </row>
    <row r="4132" spans="11:20" x14ac:dyDescent="0.25">
      <c r="K4132" s="312"/>
      <c r="N4132" s="514"/>
      <c r="R4132" s="293"/>
      <c r="S4132" s="316"/>
      <c r="T4132" s="355"/>
    </row>
    <row r="4133" spans="11:20" x14ac:dyDescent="0.25">
      <c r="K4133" s="312"/>
      <c r="N4133" s="514"/>
      <c r="R4133" s="293"/>
      <c r="S4133" s="316"/>
      <c r="T4133" s="355"/>
    </row>
    <row r="4134" spans="11:20" x14ac:dyDescent="0.25">
      <c r="K4134" s="312"/>
      <c r="N4134" s="514"/>
      <c r="R4134" s="293"/>
      <c r="S4134" s="316"/>
      <c r="T4134" s="355"/>
    </row>
    <row r="4135" spans="11:20" x14ac:dyDescent="0.25">
      <c r="K4135" s="312"/>
      <c r="N4135" s="514"/>
      <c r="R4135" s="293"/>
      <c r="S4135" s="316"/>
      <c r="T4135" s="355"/>
    </row>
    <row r="4136" spans="11:20" x14ac:dyDescent="0.25">
      <c r="K4136" s="312"/>
      <c r="N4136" s="514"/>
      <c r="R4136" s="293"/>
      <c r="S4136" s="316"/>
      <c r="T4136" s="355"/>
    </row>
    <row r="4137" spans="11:20" x14ac:dyDescent="0.25">
      <c r="K4137" s="312"/>
      <c r="N4137" s="514"/>
      <c r="R4137" s="293"/>
      <c r="S4137" s="316"/>
      <c r="T4137" s="355"/>
    </row>
    <row r="4138" spans="11:20" x14ac:dyDescent="0.25">
      <c r="K4138" s="312"/>
      <c r="N4138" s="514"/>
      <c r="R4138" s="293"/>
      <c r="S4138" s="316"/>
      <c r="T4138" s="355"/>
    </row>
    <row r="4139" spans="11:20" x14ac:dyDescent="0.25">
      <c r="K4139" s="312"/>
      <c r="N4139" s="514"/>
      <c r="R4139" s="293"/>
      <c r="S4139" s="316"/>
      <c r="T4139" s="355"/>
    </row>
    <row r="4140" spans="11:20" x14ac:dyDescent="0.25">
      <c r="K4140" s="312"/>
      <c r="N4140" s="514"/>
      <c r="R4140" s="293"/>
      <c r="S4140" s="316"/>
      <c r="T4140" s="355"/>
    </row>
    <row r="4141" spans="11:20" x14ac:dyDescent="0.25">
      <c r="K4141" s="312"/>
      <c r="N4141" s="514"/>
      <c r="R4141" s="293"/>
      <c r="S4141" s="316"/>
      <c r="T4141" s="355"/>
    </row>
    <row r="4142" spans="11:20" x14ac:dyDescent="0.25">
      <c r="K4142" s="312"/>
      <c r="N4142" s="514"/>
      <c r="R4142" s="293"/>
      <c r="S4142" s="316"/>
      <c r="T4142" s="355"/>
    </row>
    <row r="4143" spans="11:20" x14ac:dyDescent="0.25">
      <c r="K4143" s="312"/>
      <c r="N4143" s="514"/>
      <c r="R4143" s="293"/>
      <c r="S4143" s="316"/>
      <c r="T4143" s="355"/>
    </row>
    <row r="4144" spans="11:20" x14ac:dyDescent="0.25">
      <c r="K4144" s="312"/>
      <c r="N4144" s="514"/>
      <c r="R4144" s="293"/>
      <c r="S4144" s="316"/>
      <c r="T4144" s="355"/>
    </row>
    <row r="4145" spans="11:20" x14ac:dyDescent="0.25">
      <c r="K4145" s="312"/>
      <c r="N4145" s="514"/>
      <c r="R4145" s="293"/>
      <c r="S4145" s="316"/>
      <c r="T4145" s="355"/>
    </row>
    <row r="4146" spans="11:20" x14ac:dyDescent="0.25">
      <c r="K4146" s="312"/>
      <c r="N4146" s="514"/>
      <c r="R4146" s="293"/>
      <c r="S4146" s="316"/>
      <c r="T4146" s="355"/>
    </row>
    <row r="4147" spans="11:20" x14ac:dyDescent="0.25">
      <c r="K4147" s="312"/>
      <c r="N4147" s="514"/>
      <c r="R4147" s="293"/>
      <c r="S4147" s="316"/>
      <c r="T4147" s="355"/>
    </row>
    <row r="4148" spans="11:20" x14ac:dyDescent="0.25">
      <c r="K4148" s="312"/>
      <c r="N4148" s="514"/>
      <c r="R4148" s="293"/>
      <c r="S4148" s="316"/>
      <c r="T4148" s="355"/>
    </row>
    <row r="4149" spans="11:20" x14ac:dyDescent="0.25">
      <c r="K4149" s="312"/>
      <c r="N4149" s="514"/>
      <c r="R4149" s="293"/>
      <c r="S4149" s="316"/>
      <c r="T4149" s="355"/>
    </row>
    <row r="4150" spans="11:20" x14ac:dyDescent="0.25">
      <c r="K4150" s="312"/>
      <c r="N4150" s="514"/>
      <c r="R4150" s="293"/>
      <c r="S4150" s="316"/>
      <c r="T4150" s="355"/>
    </row>
    <row r="4151" spans="11:20" x14ac:dyDescent="0.25">
      <c r="K4151" s="312"/>
      <c r="N4151" s="514"/>
      <c r="R4151" s="293"/>
      <c r="S4151" s="316"/>
      <c r="T4151" s="355"/>
    </row>
    <row r="4152" spans="11:20" x14ac:dyDescent="0.25">
      <c r="K4152" s="312"/>
      <c r="N4152" s="514"/>
      <c r="R4152" s="293"/>
      <c r="S4152" s="316"/>
      <c r="T4152" s="355"/>
    </row>
    <row r="4153" spans="11:20" x14ac:dyDescent="0.25">
      <c r="K4153" s="312"/>
      <c r="N4153" s="514"/>
      <c r="R4153" s="293"/>
      <c r="S4153" s="316"/>
      <c r="T4153" s="355"/>
    </row>
    <row r="4154" spans="11:20" x14ac:dyDescent="0.25">
      <c r="K4154" s="312"/>
      <c r="N4154" s="514"/>
      <c r="R4154" s="293"/>
      <c r="S4154" s="316"/>
      <c r="T4154" s="355"/>
    </row>
    <row r="4155" spans="11:20" x14ac:dyDescent="0.25">
      <c r="K4155" s="312"/>
      <c r="N4155" s="514"/>
      <c r="R4155" s="293"/>
      <c r="S4155" s="316"/>
      <c r="T4155" s="355"/>
    </row>
    <row r="4156" spans="11:20" x14ac:dyDescent="0.25">
      <c r="K4156" s="312"/>
      <c r="N4156" s="514"/>
      <c r="R4156" s="293"/>
      <c r="S4156" s="316"/>
      <c r="T4156" s="355"/>
    </row>
    <row r="4157" spans="11:20" x14ac:dyDescent="0.25">
      <c r="K4157" s="312"/>
      <c r="N4157" s="514"/>
      <c r="R4157" s="293"/>
      <c r="S4157" s="316"/>
      <c r="T4157" s="355"/>
    </row>
    <row r="4158" spans="11:20" x14ac:dyDescent="0.25">
      <c r="K4158" s="312"/>
      <c r="N4158" s="514"/>
      <c r="R4158" s="293"/>
      <c r="S4158" s="316"/>
      <c r="T4158" s="355"/>
    </row>
    <row r="4159" spans="11:20" x14ac:dyDescent="0.25">
      <c r="K4159" s="312"/>
      <c r="N4159" s="514"/>
      <c r="R4159" s="293"/>
      <c r="S4159" s="316"/>
      <c r="T4159" s="355"/>
    </row>
    <row r="4160" spans="11:20" x14ac:dyDescent="0.25">
      <c r="K4160" s="312"/>
      <c r="N4160" s="514"/>
      <c r="R4160" s="293"/>
      <c r="S4160" s="316"/>
      <c r="T4160" s="355"/>
    </row>
    <row r="4161" spans="11:20" x14ac:dyDescent="0.25">
      <c r="K4161" s="312"/>
      <c r="N4161" s="514"/>
      <c r="R4161" s="293"/>
      <c r="S4161" s="316"/>
      <c r="T4161" s="355"/>
    </row>
    <row r="4162" spans="11:20" x14ac:dyDescent="0.25">
      <c r="K4162" s="312"/>
      <c r="N4162" s="514"/>
      <c r="R4162" s="293"/>
      <c r="S4162" s="316"/>
      <c r="T4162" s="355"/>
    </row>
    <row r="4163" spans="11:20" x14ac:dyDescent="0.25">
      <c r="K4163" s="312"/>
      <c r="N4163" s="514"/>
      <c r="R4163" s="293"/>
      <c r="S4163" s="316"/>
      <c r="T4163" s="355"/>
    </row>
    <row r="4164" spans="11:20" x14ac:dyDescent="0.25">
      <c r="K4164" s="312"/>
      <c r="N4164" s="514"/>
      <c r="R4164" s="293"/>
      <c r="S4164" s="316"/>
      <c r="T4164" s="355"/>
    </row>
    <row r="4165" spans="11:20" x14ac:dyDescent="0.25">
      <c r="K4165" s="312"/>
      <c r="N4165" s="514"/>
      <c r="R4165" s="293"/>
      <c r="S4165" s="316"/>
      <c r="T4165" s="355"/>
    </row>
    <row r="4166" spans="11:20" x14ac:dyDescent="0.25">
      <c r="K4166" s="312"/>
      <c r="N4166" s="514"/>
      <c r="R4166" s="293"/>
      <c r="S4166" s="316"/>
      <c r="T4166" s="355"/>
    </row>
    <row r="4167" spans="11:20" x14ac:dyDescent="0.25">
      <c r="K4167" s="312"/>
      <c r="N4167" s="514"/>
      <c r="R4167" s="293"/>
      <c r="S4167" s="316"/>
      <c r="T4167" s="355"/>
    </row>
    <row r="4168" spans="11:20" x14ac:dyDescent="0.25">
      <c r="K4168" s="312"/>
      <c r="N4168" s="514"/>
      <c r="R4168" s="293"/>
      <c r="S4168" s="316"/>
      <c r="T4168" s="355"/>
    </row>
    <row r="4169" spans="11:20" x14ac:dyDescent="0.25">
      <c r="K4169" s="312"/>
      <c r="N4169" s="514"/>
      <c r="R4169" s="293"/>
      <c r="S4169" s="316"/>
      <c r="T4169" s="355"/>
    </row>
    <row r="4170" spans="11:20" x14ac:dyDescent="0.25">
      <c r="K4170" s="312"/>
      <c r="N4170" s="514"/>
      <c r="R4170" s="293"/>
      <c r="S4170" s="316"/>
      <c r="T4170" s="355"/>
    </row>
    <row r="4171" spans="11:20" x14ac:dyDescent="0.25">
      <c r="K4171" s="312"/>
      <c r="N4171" s="514"/>
      <c r="R4171" s="293"/>
      <c r="S4171" s="316"/>
      <c r="T4171" s="355"/>
    </row>
    <row r="4172" spans="11:20" x14ac:dyDescent="0.25">
      <c r="K4172" s="312"/>
      <c r="N4172" s="514"/>
      <c r="R4172" s="293"/>
      <c r="S4172" s="316"/>
      <c r="T4172" s="355"/>
    </row>
    <row r="4173" spans="11:20" x14ac:dyDescent="0.25">
      <c r="K4173" s="312"/>
      <c r="N4173" s="514"/>
      <c r="R4173" s="293"/>
      <c r="S4173" s="316"/>
      <c r="T4173" s="355"/>
    </row>
    <row r="4174" spans="11:20" x14ac:dyDescent="0.25">
      <c r="K4174" s="312"/>
      <c r="N4174" s="514"/>
      <c r="R4174" s="293"/>
      <c r="S4174" s="316"/>
      <c r="T4174" s="355"/>
    </row>
    <row r="4175" spans="11:20" x14ac:dyDescent="0.25">
      <c r="K4175" s="312"/>
      <c r="N4175" s="514"/>
      <c r="R4175" s="293"/>
      <c r="S4175" s="316"/>
      <c r="T4175" s="355"/>
    </row>
    <row r="4176" spans="11:20" x14ac:dyDescent="0.25">
      <c r="K4176" s="312"/>
      <c r="N4176" s="514"/>
      <c r="R4176" s="293"/>
      <c r="S4176" s="316"/>
      <c r="T4176" s="355"/>
    </row>
    <row r="4177" spans="11:20" x14ac:dyDescent="0.25">
      <c r="K4177" s="312"/>
      <c r="N4177" s="514"/>
      <c r="R4177" s="293"/>
      <c r="S4177" s="316"/>
      <c r="T4177" s="355"/>
    </row>
    <row r="4178" spans="11:20" x14ac:dyDescent="0.25">
      <c r="K4178" s="312"/>
      <c r="N4178" s="514"/>
      <c r="R4178" s="293"/>
      <c r="S4178" s="316"/>
      <c r="T4178" s="355"/>
    </row>
    <row r="4179" spans="11:20" x14ac:dyDescent="0.25">
      <c r="K4179" s="312"/>
      <c r="N4179" s="514"/>
      <c r="R4179" s="293"/>
      <c r="S4179" s="316"/>
      <c r="T4179" s="355"/>
    </row>
    <row r="4180" spans="11:20" x14ac:dyDescent="0.25">
      <c r="K4180" s="312"/>
      <c r="N4180" s="514"/>
      <c r="R4180" s="293"/>
      <c r="S4180" s="316"/>
      <c r="T4180" s="355"/>
    </row>
    <row r="4181" spans="11:20" x14ac:dyDescent="0.25">
      <c r="K4181" s="312"/>
      <c r="N4181" s="514"/>
      <c r="R4181" s="293"/>
      <c r="S4181" s="316"/>
      <c r="T4181" s="355"/>
    </row>
    <row r="4182" spans="11:20" x14ac:dyDescent="0.25">
      <c r="K4182" s="312"/>
      <c r="N4182" s="514"/>
      <c r="R4182" s="293"/>
      <c r="S4182" s="316"/>
      <c r="T4182" s="355"/>
    </row>
    <row r="4183" spans="11:20" x14ac:dyDescent="0.25">
      <c r="K4183" s="312"/>
      <c r="N4183" s="514"/>
      <c r="R4183" s="293"/>
      <c r="S4183" s="316"/>
      <c r="T4183" s="355"/>
    </row>
    <row r="4184" spans="11:20" x14ac:dyDescent="0.25">
      <c r="K4184" s="312"/>
      <c r="N4184" s="514"/>
      <c r="R4184" s="293"/>
      <c r="S4184" s="316"/>
      <c r="T4184" s="355"/>
    </row>
    <row r="4185" spans="11:20" x14ac:dyDescent="0.25">
      <c r="K4185" s="312"/>
      <c r="N4185" s="514"/>
      <c r="R4185" s="293"/>
      <c r="S4185" s="316"/>
      <c r="T4185" s="355"/>
    </row>
    <row r="4186" spans="11:20" x14ac:dyDescent="0.25">
      <c r="K4186" s="312"/>
      <c r="N4186" s="514"/>
      <c r="R4186" s="293"/>
      <c r="S4186" s="316"/>
      <c r="T4186" s="355"/>
    </row>
    <row r="4187" spans="11:20" x14ac:dyDescent="0.25">
      <c r="K4187" s="312"/>
      <c r="N4187" s="514"/>
      <c r="R4187" s="293"/>
      <c r="S4187" s="316"/>
      <c r="T4187" s="355"/>
    </row>
    <row r="4188" spans="11:20" x14ac:dyDescent="0.25">
      <c r="K4188" s="312"/>
      <c r="N4188" s="514"/>
      <c r="R4188" s="293"/>
      <c r="S4188" s="316"/>
      <c r="T4188" s="355"/>
    </row>
    <row r="4189" spans="11:20" x14ac:dyDescent="0.25">
      <c r="K4189" s="312"/>
      <c r="N4189" s="514"/>
      <c r="R4189" s="293"/>
      <c r="S4189" s="316"/>
      <c r="T4189" s="355"/>
    </row>
    <row r="4190" spans="11:20" x14ac:dyDescent="0.25">
      <c r="K4190" s="312"/>
      <c r="N4190" s="514"/>
      <c r="R4190" s="293"/>
      <c r="S4190" s="316"/>
      <c r="T4190" s="355"/>
    </row>
    <row r="4191" spans="11:20" x14ac:dyDescent="0.25">
      <c r="K4191" s="312"/>
      <c r="N4191" s="514"/>
      <c r="R4191" s="293"/>
      <c r="S4191" s="316"/>
      <c r="T4191" s="355"/>
    </row>
    <row r="4192" spans="11:20" x14ac:dyDescent="0.25">
      <c r="K4192" s="312"/>
      <c r="N4192" s="514"/>
      <c r="R4192" s="293"/>
      <c r="S4192" s="316"/>
      <c r="T4192" s="355"/>
    </row>
    <row r="4193" spans="11:20" x14ac:dyDescent="0.25">
      <c r="K4193" s="312"/>
      <c r="N4193" s="514"/>
      <c r="R4193" s="293"/>
      <c r="S4193" s="316"/>
      <c r="T4193" s="355"/>
    </row>
    <row r="4194" spans="11:20" x14ac:dyDescent="0.25">
      <c r="K4194" s="312"/>
      <c r="N4194" s="514"/>
      <c r="R4194" s="293"/>
      <c r="S4194" s="316"/>
      <c r="T4194" s="355"/>
    </row>
    <row r="4195" spans="11:20" x14ac:dyDescent="0.25">
      <c r="K4195" s="312"/>
      <c r="N4195" s="514"/>
      <c r="R4195" s="293"/>
      <c r="S4195" s="316"/>
      <c r="T4195" s="355"/>
    </row>
    <row r="4196" spans="11:20" x14ac:dyDescent="0.25">
      <c r="K4196" s="312"/>
      <c r="N4196" s="514"/>
      <c r="R4196" s="293"/>
      <c r="S4196" s="316"/>
      <c r="T4196" s="355"/>
    </row>
    <row r="4197" spans="11:20" x14ac:dyDescent="0.25">
      <c r="K4197" s="312"/>
      <c r="N4197" s="514"/>
      <c r="R4197" s="293"/>
      <c r="S4197" s="316"/>
      <c r="T4197" s="355"/>
    </row>
    <row r="4198" spans="11:20" x14ac:dyDescent="0.25">
      <c r="K4198" s="312"/>
      <c r="N4198" s="514"/>
      <c r="R4198" s="293"/>
      <c r="S4198" s="316"/>
      <c r="T4198" s="355"/>
    </row>
    <row r="4199" spans="11:20" x14ac:dyDescent="0.25">
      <c r="K4199" s="312"/>
      <c r="N4199" s="514"/>
      <c r="R4199" s="293"/>
      <c r="S4199" s="316"/>
      <c r="T4199" s="355"/>
    </row>
    <row r="4200" spans="11:20" x14ac:dyDescent="0.25">
      <c r="K4200" s="312"/>
      <c r="N4200" s="514"/>
      <c r="R4200" s="293"/>
      <c r="S4200" s="316"/>
      <c r="T4200" s="355"/>
    </row>
    <row r="4201" spans="11:20" x14ac:dyDescent="0.25">
      <c r="K4201" s="312"/>
      <c r="N4201" s="514"/>
      <c r="R4201" s="293"/>
      <c r="S4201" s="316"/>
      <c r="T4201" s="355"/>
    </row>
    <row r="4202" spans="11:20" x14ac:dyDescent="0.25">
      <c r="K4202" s="312"/>
      <c r="N4202" s="514"/>
      <c r="R4202" s="293"/>
      <c r="S4202" s="316"/>
      <c r="T4202" s="355"/>
    </row>
    <row r="4203" spans="11:20" x14ac:dyDescent="0.25">
      <c r="K4203" s="312"/>
      <c r="N4203" s="514"/>
      <c r="R4203" s="293"/>
      <c r="S4203" s="316"/>
      <c r="T4203" s="355"/>
    </row>
    <row r="4204" spans="11:20" x14ac:dyDescent="0.25">
      <c r="K4204" s="312"/>
      <c r="N4204" s="514"/>
      <c r="R4204" s="293"/>
      <c r="S4204" s="316"/>
      <c r="T4204" s="355"/>
    </row>
    <row r="4205" spans="11:20" x14ac:dyDescent="0.25">
      <c r="K4205" s="312"/>
      <c r="N4205" s="514"/>
      <c r="R4205" s="293"/>
      <c r="S4205" s="316"/>
      <c r="T4205" s="355"/>
    </row>
    <row r="4206" spans="11:20" x14ac:dyDescent="0.25">
      <c r="K4206" s="312"/>
      <c r="N4206" s="514"/>
      <c r="R4206" s="293"/>
      <c r="S4206" s="316"/>
      <c r="T4206" s="355"/>
    </row>
    <row r="4207" spans="11:20" x14ac:dyDescent="0.25">
      <c r="K4207" s="312"/>
      <c r="N4207" s="514"/>
      <c r="R4207" s="293"/>
      <c r="S4207" s="316"/>
      <c r="T4207" s="355"/>
    </row>
    <row r="4208" spans="11:20" x14ac:dyDescent="0.25">
      <c r="K4208" s="312"/>
      <c r="N4208" s="514"/>
      <c r="R4208" s="293"/>
      <c r="S4208" s="316"/>
      <c r="T4208" s="355"/>
    </row>
    <row r="4209" spans="11:20" x14ac:dyDescent="0.25">
      <c r="K4209" s="312"/>
      <c r="N4209" s="514"/>
      <c r="R4209" s="293"/>
      <c r="S4209" s="316"/>
      <c r="T4209" s="355"/>
    </row>
    <row r="4210" spans="11:20" x14ac:dyDescent="0.25">
      <c r="K4210" s="312"/>
      <c r="N4210" s="514"/>
      <c r="R4210" s="293"/>
      <c r="S4210" s="316"/>
      <c r="T4210" s="355"/>
    </row>
    <row r="4211" spans="11:20" x14ac:dyDescent="0.25">
      <c r="K4211" s="312"/>
      <c r="N4211" s="514"/>
      <c r="R4211" s="293"/>
      <c r="S4211" s="316"/>
      <c r="T4211" s="355"/>
    </row>
    <row r="4212" spans="11:20" x14ac:dyDescent="0.25">
      <c r="K4212" s="312"/>
      <c r="N4212" s="514"/>
      <c r="R4212" s="293"/>
      <c r="S4212" s="316"/>
      <c r="T4212" s="355"/>
    </row>
    <row r="4213" spans="11:20" x14ac:dyDescent="0.25">
      <c r="K4213" s="312"/>
      <c r="N4213" s="514"/>
      <c r="R4213" s="293"/>
      <c r="S4213" s="316"/>
      <c r="T4213" s="355"/>
    </row>
    <row r="4214" spans="11:20" x14ac:dyDescent="0.25">
      <c r="K4214" s="312"/>
      <c r="N4214" s="514"/>
      <c r="R4214" s="293"/>
      <c r="S4214" s="316"/>
      <c r="T4214" s="355"/>
    </row>
    <row r="4215" spans="11:20" x14ac:dyDescent="0.25">
      <c r="K4215" s="312"/>
      <c r="N4215" s="514"/>
      <c r="R4215" s="293"/>
      <c r="S4215" s="316"/>
      <c r="T4215" s="355"/>
    </row>
    <row r="4216" spans="11:20" x14ac:dyDescent="0.25">
      <c r="K4216" s="312"/>
      <c r="N4216" s="514"/>
      <c r="R4216" s="293"/>
      <c r="S4216" s="316"/>
      <c r="T4216" s="355"/>
    </row>
    <row r="4217" spans="11:20" x14ac:dyDescent="0.25">
      <c r="K4217" s="312"/>
      <c r="N4217" s="514"/>
      <c r="R4217" s="293"/>
      <c r="S4217" s="316"/>
      <c r="T4217" s="355"/>
    </row>
    <row r="4218" spans="11:20" x14ac:dyDescent="0.25">
      <c r="K4218" s="312"/>
      <c r="N4218" s="514"/>
      <c r="R4218" s="293"/>
      <c r="S4218" s="316"/>
      <c r="T4218" s="355"/>
    </row>
    <row r="4219" spans="11:20" x14ac:dyDescent="0.25">
      <c r="K4219" s="312"/>
      <c r="N4219" s="514"/>
      <c r="R4219" s="293"/>
      <c r="S4219" s="316"/>
      <c r="T4219" s="355"/>
    </row>
    <row r="4220" spans="11:20" x14ac:dyDescent="0.25">
      <c r="K4220" s="312"/>
      <c r="N4220" s="514"/>
      <c r="R4220" s="293"/>
      <c r="S4220" s="316"/>
      <c r="T4220" s="355"/>
    </row>
    <row r="4221" spans="11:20" x14ac:dyDescent="0.25">
      <c r="K4221" s="312"/>
      <c r="N4221" s="514"/>
      <c r="R4221" s="293"/>
      <c r="S4221" s="316"/>
      <c r="T4221" s="355"/>
    </row>
    <row r="4222" spans="11:20" x14ac:dyDescent="0.25">
      <c r="K4222" s="312"/>
      <c r="N4222" s="514"/>
      <c r="R4222" s="293"/>
      <c r="S4222" s="316"/>
      <c r="T4222" s="355"/>
    </row>
    <row r="4223" spans="11:20" x14ac:dyDescent="0.25">
      <c r="K4223" s="312"/>
      <c r="N4223" s="514"/>
      <c r="R4223" s="293"/>
      <c r="S4223" s="316"/>
      <c r="T4223" s="355"/>
    </row>
    <row r="4224" spans="11:20" x14ac:dyDescent="0.25">
      <c r="K4224" s="312"/>
      <c r="N4224" s="514"/>
      <c r="R4224" s="293"/>
      <c r="S4224" s="316"/>
      <c r="T4224" s="355"/>
    </row>
    <row r="4225" spans="11:20" x14ac:dyDescent="0.25">
      <c r="K4225" s="312"/>
      <c r="N4225" s="514"/>
      <c r="R4225" s="293"/>
      <c r="S4225" s="316"/>
      <c r="T4225" s="355"/>
    </row>
    <row r="4226" spans="11:20" x14ac:dyDescent="0.25">
      <c r="K4226" s="312"/>
      <c r="N4226" s="514"/>
      <c r="R4226" s="293"/>
      <c r="S4226" s="316"/>
      <c r="T4226" s="355"/>
    </row>
    <row r="4227" spans="11:20" x14ac:dyDescent="0.25">
      <c r="K4227" s="312"/>
      <c r="N4227" s="514"/>
      <c r="R4227" s="293"/>
      <c r="S4227" s="316"/>
      <c r="T4227" s="355"/>
    </row>
    <row r="4228" spans="11:20" x14ac:dyDescent="0.25">
      <c r="K4228" s="312"/>
      <c r="N4228" s="514"/>
      <c r="R4228" s="293"/>
      <c r="S4228" s="316"/>
      <c r="T4228" s="355"/>
    </row>
    <row r="4229" spans="11:20" x14ac:dyDescent="0.25">
      <c r="K4229" s="312"/>
      <c r="N4229" s="514"/>
      <c r="R4229" s="293"/>
      <c r="S4229" s="316"/>
      <c r="T4229" s="355"/>
    </row>
    <row r="4230" spans="11:20" x14ac:dyDescent="0.25">
      <c r="K4230" s="312"/>
      <c r="N4230" s="514"/>
      <c r="R4230" s="293"/>
      <c r="S4230" s="316"/>
      <c r="T4230" s="355"/>
    </row>
    <row r="4231" spans="11:20" x14ac:dyDescent="0.25">
      <c r="K4231" s="312"/>
      <c r="N4231" s="514"/>
      <c r="R4231" s="293"/>
      <c r="S4231" s="316"/>
      <c r="T4231" s="355"/>
    </row>
    <row r="4232" spans="11:20" x14ac:dyDescent="0.25">
      <c r="K4232" s="312"/>
      <c r="N4232" s="514"/>
      <c r="R4232" s="293"/>
      <c r="S4232" s="316"/>
      <c r="T4232" s="355"/>
    </row>
    <row r="4233" spans="11:20" x14ac:dyDescent="0.25">
      <c r="K4233" s="312"/>
      <c r="N4233" s="514"/>
      <c r="R4233" s="293"/>
      <c r="S4233" s="316"/>
      <c r="T4233" s="355"/>
    </row>
    <row r="4234" spans="11:20" x14ac:dyDescent="0.25">
      <c r="K4234" s="312"/>
      <c r="N4234" s="514"/>
      <c r="R4234" s="293"/>
      <c r="S4234" s="316"/>
      <c r="T4234" s="355"/>
    </row>
    <row r="4235" spans="11:20" x14ac:dyDescent="0.25">
      <c r="K4235" s="312"/>
      <c r="N4235" s="514"/>
      <c r="R4235" s="293"/>
      <c r="S4235" s="316"/>
      <c r="T4235" s="355"/>
    </row>
    <row r="4236" spans="11:20" x14ac:dyDescent="0.25">
      <c r="K4236" s="312"/>
      <c r="N4236" s="514"/>
      <c r="R4236" s="293"/>
      <c r="S4236" s="316"/>
      <c r="T4236" s="355"/>
    </row>
    <row r="4237" spans="11:20" x14ac:dyDescent="0.25">
      <c r="K4237" s="312"/>
      <c r="N4237" s="514"/>
      <c r="R4237" s="293"/>
      <c r="S4237" s="316"/>
      <c r="T4237" s="355"/>
    </row>
    <row r="4238" spans="11:20" x14ac:dyDescent="0.25">
      <c r="K4238" s="312"/>
      <c r="N4238" s="514"/>
      <c r="R4238" s="293"/>
      <c r="S4238" s="316"/>
      <c r="T4238" s="355"/>
    </row>
    <row r="4239" spans="11:20" x14ac:dyDescent="0.25">
      <c r="K4239" s="312"/>
      <c r="N4239" s="514"/>
      <c r="R4239" s="293"/>
      <c r="S4239" s="316"/>
      <c r="T4239" s="355"/>
    </row>
    <row r="4240" spans="11:20" x14ac:dyDescent="0.25">
      <c r="K4240" s="312"/>
      <c r="N4240" s="514"/>
      <c r="R4240" s="293"/>
      <c r="S4240" s="316"/>
      <c r="T4240" s="355"/>
    </row>
    <row r="4241" spans="11:20" x14ac:dyDescent="0.25">
      <c r="K4241" s="312"/>
      <c r="N4241" s="514"/>
      <c r="R4241" s="293"/>
      <c r="S4241" s="316"/>
      <c r="T4241" s="355"/>
    </row>
    <row r="4242" spans="11:20" x14ac:dyDescent="0.25">
      <c r="K4242" s="312"/>
      <c r="N4242" s="514"/>
      <c r="R4242" s="293"/>
      <c r="S4242" s="316"/>
      <c r="T4242" s="355"/>
    </row>
    <row r="4243" spans="11:20" x14ac:dyDescent="0.25">
      <c r="K4243" s="312"/>
      <c r="N4243" s="514"/>
      <c r="R4243" s="293"/>
      <c r="S4243" s="316"/>
      <c r="T4243" s="355"/>
    </row>
    <row r="4244" spans="11:20" x14ac:dyDescent="0.25">
      <c r="K4244" s="312"/>
      <c r="N4244" s="514"/>
      <c r="R4244" s="293"/>
      <c r="S4244" s="316"/>
      <c r="T4244" s="355"/>
    </row>
    <row r="4245" spans="11:20" x14ac:dyDescent="0.25">
      <c r="K4245" s="312"/>
      <c r="N4245" s="514"/>
      <c r="R4245" s="293"/>
      <c r="S4245" s="316"/>
      <c r="T4245" s="355"/>
    </row>
    <row r="4246" spans="11:20" x14ac:dyDescent="0.25">
      <c r="K4246" s="312"/>
      <c r="N4246" s="514"/>
      <c r="R4246" s="293"/>
      <c r="S4246" s="316"/>
      <c r="T4246" s="355"/>
    </row>
    <row r="4247" spans="11:20" x14ac:dyDescent="0.25">
      <c r="K4247" s="312"/>
      <c r="N4247" s="514"/>
      <c r="R4247" s="293"/>
      <c r="S4247" s="316"/>
      <c r="T4247" s="355"/>
    </row>
    <row r="4248" spans="11:20" x14ac:dyDescent="0.25">
      <c r="K4248" s="312"/>
      <c r="N4248" s="514"/>
      <c r="R4248" s="293"/>
      <c r="S4248" s="316"/>
      <c r="T4248" s="355"/>
    </row>
    <row r="4249" spans="11:20" x14ac:dyDescent="0.25">
      <c r="K4249" s="312"/>
      <c r="N4249" s="514"/>
      <c r="R4249" s="293"/>
      <c r="S4249" s="316"/>
      <c r="T4249" s="355"/>
    </row>
    <row r="4250" spans="11:20" x14ac:dyDescent="0.25">
      <c r="K4250" s="312"/>
      <c r="N4250" s="514"/>
      <c r="R4250" s="293"/>
      <c r="S4250" s="316"/>
      <c r="T4250" s="355"/>
    </row>
    <row r="4251" spans="11:20" x14ac:dyDescent="0.25">
      <c r="K4251" s="312"/>
      <c r="N4251" s="514"/>
      <c r="R4251" s="293"/>
      <c r="S4251" s="316"/>
      <c r="T4251" s="355"/>
    </row>
    <row r="4252" spans="11:20" x14ac:dyDescent="0.25">
      <c r="K4252" s="312"/>
      <c r="N4252" s="514"/>
      <c r="R4252" s="293"/>
      <c r="S4252" s="316"/>
      <c r="T4252" s="355"/>
    </row>
    <row r="4253" spans="11:20" x14ac:dyDescent="0.25">
      <c r="K4253" s="312"/>
      <c r="N4253" s="514"/>
      <c r="R4253" s="293"/>
      <c r="S4253" s="316"/>
      <c r="T4253" s="355"/>
    </row>
    <row r="4254" spans="11:20" x14ac:dyDescent="0.25">
      <c r="K4254" s="312"/>
      <c r="N4254" s="514"/>
      <c r="R4254" s="293"/>
      <c r="S4254" s="316"/>
      <c r="T4254" s="355"/>
    </row>
    <row r="4255" spans="11:20" x14ac:dyDescent="0.25">
      <c r="K4255" s="312"/>
      <c r="N4255" s="514"/>
      <c r="R4255" s="293"/>
      <c r="S4255" s="316"/>
      <c r="T4255" s="355"/>
    </row>
    <row r="4256" spans="11:20" x14ac:dyDescent="0.25">
      <c r="K4256" s="312"/>
      <c r="N4256" s="514"/>
      <c r="R4256" s="293"/>
      <c r="S4256" s="316"/>
      <c r="T4256" s="355"/>
    </row>
    <row r="4257" spans="11:20" x14ac:dyDescent="0.25">
      <c r="K4257" s="312"/>
      <c r="N4257" s="514"/>
      <c r="R4257" s="293"/>
      <c r="S4257" s="316"/>
      <c r="T4257" s="355"/>
    </row>
    <row r="4258" spans="11:20" x14ac:dyDescent="0.25">
      <c r="K4258" s="312"/>
      <c r="N4258" s="514"/>
      <c r="R4258" s="293"/>
      <c r="S4258" s="316"/>
      <c r="T4258" s="355"/>
    </row>
    <row r="4259" spans="11:20" x14ac:dyDescent="0.25">
      <c r="K4259" s="312"/>
      <c r="N4259" s="514"/>
      <c r="R4259" s="293"/>
      <c r="S4259" s="316"/>
      <c r="T4259" s="355"/>
    </row>
    <row r="4260" spans="11:20" x14ac:dyDescent="0.25">
      <c r="K4260" s="312"/>
      <c r="N4260" s="514"/>
      <c r="R4260" s="293"/>
      <c r="S4260" s="316"/>
      <c r="T4260" s="355"/>
    </row>
    <row r="4261" spans="11:20" x14ac:dyDescent="0.25">
      <c r="K4261" s="312"/>
      <c r="N4261" s="514"/>
      <c r="R4261" s="293"/>
      <c r="S4261" s="316"/>
      <c r="T4261" s="355"/>
    </row>
    <row r="4262" spans="11:20" x14ac:dyDescent="0.25">
      <c r="K4262" s="312"/>
      <c r="N4262" s="514"/>
      <c r="R4262" s="293"/>
      <c r="S4262" s="316"/>
      <c r="T4262" s="355"/>
    </row>
    <row r="4263" spans="11:20" x14ac:dyDescent="0.25">
      <c r="K4263" s="312"/>
      <c r="N4263" s="514"/>
      <c r="R4263" s="293"/>
      <c r="S4263" s="316"/>
      <c r="T4263" s="355"/>
    </row>
    <row r="4264" spans="11:20" x14ac:dyDescent="0.25">
      <c r="K4264" s="312"/>
      <c r="N4264" s="514"/>
      <c r="R4264" s="293"/>
      <c r="S4264" s="316"/>
      <c r="T4264" s="355"/>
    </row>
    <row r="4265" spans="11:20" x14ac:dyDescent="0.25">
      <c r="K4265" s="312"/>
      <c r="N4265" s="514"/>
      <c r="R4265" s="293"/>
      <c r="S4265" s="316"/>
      <c r="T4265" s="355"/>
    </row>
    <row r="4266" spans="11:20" x14ac:dyDescent="0.25">
      <c r="K4266" s="312"/>
      <c r="N4266" s="514"/>
      <c r="R4266" s="293"/>
      <c r="S4266" s="316"/>
      <c r="T4266" s="355"/>
    </row>
    <row r="4267" spans="11:20" x14ac:dyDescent="0.25">
      <c r="K4267" s="312"/>
      <c r="N4267" s="514"/>
      <c r="R4267" s="293"/>
      <c r="S4267" s="316"/>
      <c r="T4267" s="355"/>
    </row>
    <row r="4268" spans="11:20" x14ac:dyDescent="0.25">
      <c r="K4268" s="312"/>
      <c r="N4268" s="514"/>
      <c r="R4268" s="293"/>
      <c r="S4268" s="316"/>
      <c r="T4268" s="355"/>
    </row>
    <row r="4269" spans="11:20" x14ac:dyDescent="0.25">
      <c r="K4269" s="312"/>
      <c r="N4269" s="514"/>
      <c r="R4269" s="293"/>
      <c r="S4269" s="316"/>
      <c r="T4269" s="355"/>
    </row>
    <row r="4270" spans="11:20" x14ac:dyDescent="0.25">
      <c r="K4270" s="312"/>
      <c r="N4270" s="514"/>
      <c r="R4270" s="293"/>
      <c r="S4270" s="316"/>
      <c r="T4270" s="355"/>
    </row>
    <row r="4271" spans="11:20" x14ac:dyDescent="0.25">
      <c r="K4271" s="312"/>
      <c r="N4271" s="514"/>
      <c r="R4271" s="293"/>
      <c r="S4271" s="316"/>
      <c r="T4271" s="355"/>
    </row>
    <row r="4272" spans="11:20" x14ac:dyDescent="0.25">
      <c r="K4272" s="312"/>
      <c r="N4272" s="514"/>
      <c r="R4272" s="293"/>
      <c r="S4272" s="316"/>
      <c r="T4272" s="355"/>
    </row>
    <row r="4273" spans="11:20" x14ac:dyDescent="0.25">
      <c r="K4273" s="312"/>
      <c r="N4273" s="514"/>
      <c r="R4273" s="293"/>
      <c r="S4273" s="316"/>
      <c r="T4273" s="355"/>
    </row>
    <row r="4274" spans="11:20" x14ac:dyDescent="0.25">
      <c r="K4274" s="312"/>
      <c r="N4274" s="514"/>
      <c r="R4274" s="293"/>
      <c r="S4274" s="316"/>
      <c r="T4274" s="355"/>
    </row>
    <row r="4275" spans="11:20" x14ac:dyDescent="0.25">
      <c r="K4275" s="312"/>
      <c r="N4275" s="514"/>
      <c r="R4275" s="293"/>
      <c r="S4275" s="316"/>
      <c r="T4275" s="355"/>
    </row>
    <row r="4276" spans="11:20" x14ac:dyDescent="0.25">
      <c r="K4276" s="312"/>
      <c r="N4276" s="514"/>
      <c r="R4276" s="293"/>
      <c r="S4276" s="316"/>
      <c r="T4276" s="355"/>
    </row>
    <row r="4277" spans="11:20" x14ac:dyDescent="0.25">
      <c r="K4277" s="312"/>
      <c r="N4277" s="514"/>
      <c r="R4277" s="293"/>
      <c r="S4277" s="316"/>
      <c r="T4277" s="355"/>
    </row>
    <row r="4278" spans="11:20" x14ac:dyDescent="0.25">
      <c r="K4278" s="312"/>
      <c r="N4278" s="514"/>
      <c r="R4278" s="293"/>
      <c r="S4278" s="316"/>
      <c r="T4278" s="355"/>
    </row>
    <row r="4279" spans="11:20" x14ac:dyDescent="0.25">
      <c r="K4279" s="312"/>
      <c r="N4279" s="514"/>
      <c r="R4279" s="293"/>
      <c r="S4279" s="316"/>
      <c r="T4279" s="355"/>
    </row>
    <row r="4280" spans="11:20" x14ac:dyDescent="0.25">
      <c r="K4280" s="312"/>
      <c r="N4280" s="514"/>
      <c r="R4280" s="293"/>
      <c r="S4280" s="316"/>
      <c r="T4280" s="355"/>
    </row>
    <row r="4281" spans="11:20" x14ac:dyDescent="0.25">
      <c r="K4281" s="312"/>
      <c r="N4281" s="514"/>
      <c r="R4281" s="293"/>
      <c r="S4281" s="316"/>
      <c r="T4281" s="355"/>
    </row>
    <row r="4282" spans="11:20" x14ac:dyDescent="0.25">
      <c r="K4282" s="312"/>
      <c r="N4282" s="514"/>
      <c r="R4282" s="293"/>
      <c r="S4282" s="316"/>
      <c r="T4282" s="355"/>
    </row>
    <row r="4283" spans="11:20" x14ac:dyDescent="0.25">
      <c r="K4283" s="312"/>
      <c r="N4283" s="514"/>
      <c r="R4283" s="293"/>
      <c r="S4283" s="316"/>
      <c r="T4283" s="355"/>
    </row>
    <row r="4284" spans="11:20" x14ac:dyDescent="0.25">
      <c r="K4284" s="312"/>
      <c r="N4284" s="514"/>
      <c r="R4284" s="293"/>
      <c r="S4284" s="316"/>
      <c r="T4284" s="355"/>
    </row>
    <row r="4285" spans="11:20" x14ac:dyDescent="0.25">
      <c r="K4285" s="312"/>
      <c r="N4285" s="514"/>
      <c r="R4285" s="293"/>
      <c r="S4285" s="316"/>
      <c r="T4285" s="355"/>
    </row>
    <row r="4286" spans="11:20" x14ac:dyDescent="0.25">
      <c r="K4286" s="312"/>
      <c r="N4286" s="514"/>
      <c r="R4286" s="293"/>
      <c r="S4286" s="316"/>
      <c r="T4286" s="355"/>
    </row>
    <row r="4287" spans="11:20" x14ac:dyDescent="0.25">
      <c r="K4287" s="312"/>
      <c r="N4287" s="514"/>
      <c r="R4287" s="293"/>
      <c r="S4287" s="316"/>
      <c r="T4287" s="355"/>
    </row>
    <row r="4288" spans="11:20" x14ac:dyDescent="0.25">
      <c r="K4288" s="312"/>
      <c r="N4288" s="514"/>
      <c r="R4288" s="293"/>
      <c r="S4288" s="316"/>
      <c r="T4288" s="355"/>
    </row>
    <row r="4289" spans="11:20" x14ac:dyDescent="0.25">
      <c r="K4289" s="312"/>
      <c r="N4289" s="514"/>
      <c r="R4289" s="293"/>
      <c r="S4289" s="316"/>
      <c r="T4289" s="355"/>
    </row>
    <row r="4290" spans="11:20" x14ac:dyDescent="0.25">
      <c r="K4290" s="312"/>
      <c r="N4290" s="514"/>
      <c r="R4290" s="293"/>
      <c r="S4290" s="316"/>
      <c r="T4290" s="355"/>
    </row>
    <row r="4291" spans="11:20" x14ac:dyDescent="0.25">
      <c r="K4291" s="312"/>
      <c r="N4291" s="514"/>
      <c r="R4291" s="293"/>
      <c r="S4291" s="316"/>
      <c r="T4291" s="355"/>
    </row>
    <row r="4292" spans="11:20" x14ac:dyDescent="0.25">
      <c r="K4292" s="312"/>
      <c r="N4292" s="514"/>
      <c r="R4292" s="293"/>
      <c r="S4292" s="316"/>
      <c r="T4292" s="355"/>
    </row>
    <row r="4293" spans="11:20" x14ac:dyDescent="0.25">
      <c r="K4293" s="312"/>
      <c r="N4293" s="514"/>
      <c r="R4293" s="293"/>
      <c r="S4293" s="316"/>
      <c r="T4293" s="355"/>
    </row>
    <row r="4294" spans="11:20" x14ac:dyDescent="0.25">
      <c r="K4294" s="312"/>
      <c r="N4294" s="514"/>
      <c r="R4294" s="293"/>
      <c r="S4294" s="316"/>
      <c r="T4294" s="355"/>
    </row>
    <row r="4295" spans="11:20" x14ac:dyDescent="0.25">
      <c r="K4295" s="312"/>
      <c r="N4295" s="514"/>
      <c r="R4295" s="293"/>
      <c r="S4295" s="316"/>
      <c r="T4295" s="355"/>
    </row>
    <row r="4296" spans="11:20" x14ac:dyDescent="0.25">
      <c r="K4296" s="312"/>
      <c r="N4296" s="514"/>
      <c r="R4296" s="293"/>
      <c r="S4296" s="316"/>
      <c r="T4296" s="355"/>
    </row>
    <row r="4297" spans="11:20" x14ac:dyDescent="0.25">
      <c r="K4297" s="312"/>
      <c r="N4297" s="514"/>
      <c r="R4297" s="293"/>
      <c r="S4297" s="316"/>
      <c r="T4297" s="355"/>
    </row>
    <row r="4298" spans="11:20" x14ac:dyDescent="0.25">
      <c r="K4298" s="312"/>
      <c r="N4298" s="514"/>
      <c r="R4298" s="293"/>
      <c r="S4298" s="316"/>
      <c r="T4298" s="355"/>
    </row>
    <row r="4299" spans="11:20" x14ac:dyDescent="0.25">
      <c r="K4299" s="312"/>
      <c r="N4299" s="514"/>
      <c r="R4299" s="293"/>
      <c r="S4299" s="316"/>
      <c r="T4299" s="355"/>
    </row>
    <row r="4300" spans="11:20" x14ac:dyDescent="0.25">
      <c r="K4300" s="312"/>
      <c r="N4300" s="514"/>
      <c r="R4300" s="293"/>
      <c r="S4300" s="316"/>
      <c r="T4300" s="355"/>
    </row>
    <row r="4301" spans="11:20" x14ac:dyDescent="0.25">
      <c r="K4301" s="312"/>
      <c r="N4301" s="514"/>
      <c r="R4301" s="293"/>
      <c r="S4301" s="316"/>
      <c r="T4301" s="355"/>
    </row>
    <row r="4302" spans="11:20" x14ac:dyDescent="0.25">
      <c r="K4302" s="312"/>
      <c r="N4302" s="514"/>
      <c r="R4302" s="293"/>
      <c r="S4302" s="316"/>
      <c r="T4302" s="355"/>
    </row>
    <row r="4303" spans="11:20" x14ac:dyDescent="0.25">
      <c r="K4303" s="312"/>
      <c r="N4303" s="514"/>
      <c r="R4303" s="293"/>
      <c r="S4303" s="316"/>
      <c r="T4303" s="355"/>
    </row>
    <row r="4304" spans="11:20" x14ac:dyDescent="0.25">
      <c r="K4304" s="312"/>
      <c r="N4304" s="514"/>
      <c r="R4304" s="293"/>
      <c r="S4304" s="316"/>
      <c r="T4304" s="355"/>
    </row>
    <row r="4305" spans="11:20" x14ac:dyDescent="0.25">
      <c r="K4305" s="312"/>
      <c r="N4305" s="514"/>
      <c r="R4305" s="293"/>
      <c r="S4305" s="316"/>
      <c r="T4305" s="355"/>
    </row>
    <row r="4306" spans="11:20" x14ac:dyDescent="0.25">
      <c r="K4306" s="312"/>
      <c r="N4306" s="514"/>
      <c r="R4306" s="293"/>
      <c r="S4306" s="316"/>
      <c r="T4306" s="355"/>
    </row>
    <row r="4307" spans="11:20" x14ac:dyDescent="0.25">
      <c r="K4307" s="312"/>
      <c r="N4307" s="514"/>
      <c r="R4307" s="293"/>
      <c r="S4307" s="316"/>
      <c r="T4307" s="355"/>
    </row>
    <row r="4308" spans="11:20" x14ac:dyDescent="0.25">
      <c r="K4308" s="312"/>
      <c r="N4308" s="514"/>
      <c r="R4308" s="293"/>
      <c r="S4308" s="316"/>
      <c r="T4308" s="355"/>
    </row>
    <row r="4309" spans="11:20" x14ac:dyDescent="0.25">
      <c r="K4309" s="312"/>
      <c r="N4309" s="514"/>
      <c r="R4309" s="293"/>
      <c r="S4309" s="316"/>
      <c r="T4309" s="355"/>
    </row>
    <row r="4310" spans="11:20" x14ac:dyDescent="0.25">
      <c r="K4310" s="312"/>
      <c r="N4310" s="514"/>
      <c r="R4310" s="293"/>
      <c r="S4310" s="316"/>
      <c r="T4310" s="355"/>
    </row>
    <row r="4311" spans="11:20" x14ac:dyDescent="0.25">
      <c r="K4311" s="312"/>
      <c r="N4311" s="514"/>
      <c r="R4311" s="293"/>
      <c r="S4311" s="316"/>
      <c r="T4311" s="355"/>
    </row>
    <row r="4312" spans="11:20" x14ac:dyDescent="0.25">
      <c r="K4312" s="312"/>
      <c r="N4312" s="514"/>
      <c r="R4312" s="293"/>
      <c r="S4312" s="316"/>
      <c r="T4312" s="355"/>
    </row>
    <row r="4313" spans="11:20" x14ac:dyDescent="0.25">
      <c r="K4313" s="312"/>
      <c r="N4313" s="514"/>
      <c r="R4313" s="293"/>
      <c r="S4313" s="316"/>
      <c r="T4313" s="355"/>
    </row>
    <row r="4314" spans="11:20" x14ac:dyDescent="0.25">
      <c r="K4314" s="312"/>
      <c r="N4314" s="514"/>
      <c r="R4314" s="293"/>
      <c r="S4314" s="316"/>
      <c r="T4314" s="355"/>
    </row>
    <row r="4315" spans="11:20" x14ac:dyDescent="0.25">
      <c r="K4315" s="312"/>
      <c r="N4315" s="514"/>
      <c r="R4315" s="293"/>
      <c r="S4315" s="316"/>
      <c r="T4315" s="355"/>
    </row>
    <row r="4316" spans="11:20" x14ac:dyDescent="0.25">
      <c r="K4316" s="312"/>
      <c r="N4316" s="514"/>
      <c r="R4316" s="293"/>
      <c r="S4316" s="316"/>
      <c r="T4316" s="355"/>
    </row>
    <row r="4317" spans="11:20" x14ac:dyDescent="0.25">
      <c r="K4317" s="312"/>
      <c r="N4317" s="514"/>
      <c r="R4317" s="293"/>
      <c r="S4317" s="316"/>
      <c r="T4317" s="355"/>
    </row>
    <row r="4318" spans="11:20" x14ac:dyDescent="0.25">
      <c r="K4318" s="312"/>
      <c r="N4318" s="514"/>
      <c r="R4318" s="293"/>
      <c r="S4318" s="316"/>
      <c r="T4318" s="355"/>
    </row>
    <row r="4319" spans="11:20" x14ac:dyDescent="0.25">
      <c r="K4319" s="312"/>
      <c r="N4319" s="514"/>
      <c r="R4319" s="293"/>
      <c r="S4319" s="316"/>
      <c r="T4319" s="355"/>
    </row>
    <row r="4320" spans="11:20" x14ac:dyDescent="0.25">
      <c r="K4320" s="312"/>
      <c r="N4320" s="514"/>
      <c r="R4320" s="293"/>
      <c r="S4320" s="316"/>
      <c r="T4320" s="355"/>
    </row>
    <row r="4321" spans="11:20" x14ac:dyDescent="0.25">
      <c r="K4321" s="312"/>
      <c r="N4321" s="514"/>
      <c r="R4321" s="293"/>
      <c r="S4321" s="316"/>
      <c r="T4321" s="355"/>
    </row>
    <row r="4322" spans="11:20" x14ac:dyDescent="0.25">
      <c r="K4322" s="312"/>
      <c r="N4322" s="514"/>
      <c r="R4322" s="293"/>
      <c r="S4322" s="316"/>
      <c r="T4322" s="355"/>
    </row>
    <row r="4323" spans="11:20" x14ac:dyDescent="0.25">
      <c r="K4323" s="312"/>
      <c r="N4323" s="514"/>
      <c r="R4323" s="293"/>
      <c r="S4323" s="316"/>
      <c r="T4323" s="355"/>
    </row>
    <row r="4324" spans="11:20" x14ac:dyDescent="0.25">
      <c r="K4324" s="312"/>
      <c r="N4324" s="514"/>
      <c r="R4324" s="293"/>
      <c r="S4324" s="316"/>
      <c r="T4324" s="355"/>
    </row>
    <row r="4325" spans="11:20" x14ac:dyDescent="0.25">
      <c r="K4325" s="312"/>
      <c r="N4325" s="514"/>
      <c r="R4325" s="293"/>
      <c r="S4325" s="316"/>
      <c r="T4325" s="355"/>
    </row>
    <row r="4326" spans="11:20" x14ac:dyDescent="0.25">
      <c r="K4326" s="312"/>
      <c r="N4326" s="514"/>
      <c r="R4326" s="293"/>
      <c r="S4326" s="316"/>
      <c r="T4326" s="355"/>
    </row>
    <row r="4327" spans="11:20" x14ac:dyDescent="0.25">
      <c r="K4327" s="312"/>
      <c r="N4327" s="514"/>
      <c r="R4327" s="293"/>
      <c r="S4327" s="316"/>
      <c r="T4327" s="355"/>
    </row>
    <row r="4328" spans="11:20" x14ac:dyDescent="0.25">
      <c r="K4328" s="312"/>
      <c r="N4328" s="514"/>
      <c r="R4328" s="293"/>
      <c r="S4328" s="316"/>
      <c r="T4328" s="355"/>
    </row>
    <row r="4329" spans="11:20" x14ac:dyDescent="0.25">
      <c r="K4329" s="312"/>
      <c r="N4329" s="514"/>
      <c r="R4329" s="293"/>
      <c r="S4329" s="316"/>
      <c r="T4329" s="355"/>
    </row>
    <row r="4330" spans="11:20" x14ac:dyDescent="0.25">
      <c r="K4330" s="312"/>
      <c r="N4330" s="514"/>
      <c r="R4330" s="293"/>
      <c r="S4330" s="316"/>
      <c r="T4330" s="355"/>
    </row>
    <row r="4331" spans="11:20" x14ac:dyDescent="0.25">
      <c r="K4331" s="312"/>
      <c r="N4331" s="514"/>
      <c r="R4331" s="293"/>
      <c r="S4331" s="316"/>
      <c r="T4331" s="355"/>
    </row>
    <row r="4332" spans="11:20" x14ac:dyDescent="0.25">
      <c r="K4332" s="312"/>
      <c r="N4332" s="514"/>
      <c r="R4332" s="293"/>
      <c r="S4332" s="316"/>
      <c r="T4332" s="355"/>
    </row>
    <row r="4333" spans="11:20" x14ac:dyDescent="0.25">
      <c r="K4333" s="312"/>
      <c r="N4333" s="514"/>
      <c r="R4333" s="293"/>
      <c r="S4333" s="316"/>
      <c r="T4333" s="355"/>
    </row>
    <row r="4334" spans="11:20" x14ac:dyDescent="0.25">
      <c r="K4334" s="312"/>
      <c r="N4334" s="514"/>
      <c r="R4334" s="293"/>
      <c r="S4334" s="316"/>
      <c r="T4334" s="355"/>
    </row>
    <row r="4335" spans="11:20" x14ac:dyDescent="0.25">
      <c r="K4335" s="312"/>
      <c r="N4335" s="514"/>
      <c r="R4335" s="293"/>
      <c r="S4335" s="316"/>
      <c r="T4335" s="355"/>
    </row>
    <row r="4336" spans="11:20" x14ac:dyDescent="0.25">
      <c r="K4336" s="312"/>
      <c r="N4336" s="514"/>
      <c r="R4336" s="293"/>
      <c r="S4336" s="316"/>
      <c r="T4336" s="355"/>
    </row>
    <row r="4337" spans="11:20" x14ac:dyDescent="0.25">
      <c r="K4337" s="312"/>
      <c r="N4337" s="514"/>
      <c r="R4337" s="293"/>
      <c r="S4337" s="316"/>
      <c r="T4337" s="355"/>
    </row>
    <row r="4338" spans="11:20" x14ac:dyDescent="0.25">
      <c r="K4338" s="312"/>
      <c r="N4338" s="514"/>
      <c r="R4338" s="293"/>
      <c r="S4338" s="316"/>
      <c r="T4338" s="355"/>
    </row>
    <row r="4339" spans="11:20" x14ac:dyDescent="0.25">
      <c r="K4339" s="312"/>
      <c r="N4339" s="514"/>
      <c r="R4339" s="293"/>
      <c r="S4339" s="316"/>
      <c r="T4339" s="355"/>
    </row>
    <row r="4340" spans="11:20" x14ac:dyDescent="0.25">
      <c r="K4340" s="312"/>
      <c r="N4340" s="514"/>
      <c r="R4340" s="293"/>
      <c r="S4340" s="316"/>
      <c r="T4340" s="355"/>
    </row>
    <row r="4341" spans="11:20" x14ac:dyDescent="0.25">
      <c r="K4341" s="312"/>
      <c r="N4341" s="514"/>
      <c r="R4341" s="293"/>
      <c r="S4341" s="316"/>
      <c r="T4341" s="355"/>
    </row>
    <row r="4342" spans="11:20" x14ac:dyDescent="0.25">
      <c r="K4342" s="312"/>
      <c r="N4342" s="514"/>
      <c r="R4342" s="293"/>
      <c r="S4342" s="316"/>
      <c r="T4342" s="355"/>
    </row>
    <row r="4343" spans="11:20" x14ac:dyDescent="0.25">
      <c r="K4343" s="312"/>
      <c r="N4343" s="514"/>
      <c r="R4343" s="293"/>
      <c r="S4343" s="316"/>
      <c r="T4343" s="355"/>
    </row>
    <row r="4344" spans="11:20" x14ac:dyDescent="0.25">
      <c r="K4344" s="312"/>
      <c r="N4344" s="514"/>
      <c r="R4344" s="293"/>
      <c r="S4344" s="316"/>
      <c r="T4344" s="355"/>
    </row>
    <row r="4345" spans="11:20" x14ac:dyDescent="0.25">
      <c r="K4345" s="312"/>
      <c r="N4345" s="514"/>
      <c r="R4345" s="293"/>
      <c r="S4345" s="316"/>
      <c r="T4345" s="355"/>
    </row>
    <row r="4346" spans="11:20" x14ac:dyDescent="0.25">
      <c r="K4346" s="312"/>
      <c r="N4346" s="514"/>
      <c r="R4346" s="293"/>
      <c r="S4346" s="316"/>
      <c r="T4346" s="355"/>
    </row>
    <row r="4347" spans="11:20" x14ac:dyDescent="0.25">
      <c r="K4347" s="312"/>
      <c r="N4347" s="514"/>
      <c r="R4347" s="293"/>
      <c r="S4347" s="316"/>
      <c r="T4347" s="355"/>
    </row>
    <row r="4348" spans="11:20" x14ac:dyDescent="0.25">
      <c r="K4348" s="312"/>
      <c r="N4348" s="514"/>
      <c r="R4348" s="293"/>
      <c r="S4348" s="316"/>
      <c r="T4348" s="355"/>
    </row>
    <row r="4349" spans="11:20" x14ac:dyDescent="0.25">
      <c r="K4349" s="312"/>
      <c r="N4349" s="514"/>
      <c r="R4349" s="293"/>
      <c r="S4349" s="316"/>
      <c r="T4349" s="355"/>
    </row>
    <row r="4350" spans="11:20" x14ac:dyDescent="0.25">
      <c r="K4350" s="312"/>
      <c r="N4350" s="514"/>
      <c r="R4350" s="293"/>
      <c r="S4350" s="316"/>
      <c r="T4350" s="355"/>
    </row>
    <row r="4351" spans="11:20" x14ac:dyDescent="0.25">
      <c r="K4351" s="312"/>
      <c r="N4351" s="514"/>
      <c r="R4351" s="293"/>
      <c r="S4351" s="316"/>
      <c r="T4351" s="355"/>
    </row>
    <row r="4352" spans="11:20" x14ac:dyDescent="0.25">
      <c r="K4352" s="312"/>
      <c r="N4352" s="514"/>
      <c r="R4352" s="293"/>
      <c r="S4352" s="316"/>
      <c r="T4352" s="355"/>
    </row>
    <row r="4353" spans="11:20" x14ac:dyDescent="0.25">
      <c r="K4353" s="312"/>
      <c r="N4353" s="514"/>
      <c r="R4353" s="293"/>
      <c r="S4353" s="316"/>
      <c r="T4353" s="355"/>
    </row>
    <row r="4354" spans="11:20" x14ac:dyDescent="0.25">
      <c r="K4354" s="312"/>
      <c r="N4354" s="514"/>
      <c r="R4354" s="293"/>
      <c r="S4354" s="316"/>
      <c r="T4354" s="355"/>
    </row>
    <row r="4355" spans="11:20" x14ac:dyDescent="0.25">
      <c r="K4355" s="312"/>
      <c r="N4355" s="514"/>
      <c r="R4355" s="293"/>
      <c r="S4355" s="316"/>
      <c r="T4355" s="355"/>
    </row>
    <row r="4356" spans="11:20" x14ac:dyDescent="0.25">
      <c r="K4356" s="312"/>
      <c r="N4356" s="514"/>
      <c r="R4356" s="293"/>
      <c r="S4356" s="316"/>
      <c r="T4356" s="355"/>
    </row>
    <row r="4357" spans="11:20" x14ac:dyDescent="0.25">
      <c r="K4357" s="312"/>
      <c r="N4357" s="514"/>
      <c r="R4357" s="293"/>
      <c r="S4357" s="316"/>
      <c r="T4357" s="355"/>
    </row>
    <row r="4358" spans="11:20" x14ac:dyDescent="0.25">
      <c r="K4358" s="312"/>
      <c r="N4358" s="514"/>
      <c r="R4358" s="293"/>
      <c r="S4358" s="316"/>
      <c r="T4358" s="355"/>
    </row>
    <row r="4359" spans="11:20" x14ac:dyDescent="0.25">
      <c r="K4359" s="312"/>
      <c r="N4359" s="514"/>
      <c r="R4359" s="293"/>
      <c r="S4359" s="316"/>
      <c r="T4359" s="355"/>
    </row>
    <row r="4360" spans="11:20" x14ac:dyDescent="0.25">
      <c r="K4360" s="312"/>
      <c r="N4360" s="514"/>
      <c r="R4360" s="293"/>
      <c r="S4360" s="316"/>
      <c r="T4360" s="355"/>
    </row>
    <row r="4361" spans="11:20" x14ac:dyDescent="0.25">
      <c r="K4361" s="312"/>
      <c r="N4361" s="514"/>
      <c r="R4361" s="293"/>
      <c r="S4361" s="316"/>
      <c r="T4361" s="355"/>
    </row>
    <row r="4362" spans="11:20" x14ac:dyDescent="0.25">
      <c r="K4362" s="312"/>
      <c r="N4362" s="514"/>
      <c r="R4362" s="293"/>
      <c r="S4362" s="316"/>
      <c r="T4362" s="355"/>
    </row>
    <row r="4363" spans="11:20" x14ac:dyDescent="0.25">
      <c r="K4363" s="312"/>
      <c r="N4363" s="514"/>
      <c r="R4363" s="293"/>
      <c r="S4363" s="316"/>
      <c r="T4363" s="355"/>
    </row>
    <row r="4364" spans="11:20" x14ac:dyDescent="0.25">
      <c r="K4364" s="312"/>
      <c r="N4364" s="514"/>
      <c r="R4364" s="293"/>
      <c r="S4364" s="316"/>
      <c r="T4364" s="355"/>
    </row>
    <row r="4365" spans="11:20" x14ac:dyDescent="0.25">
      <c r="K4365" s="312"/>
      <c r="N4365" s="514"/>
      <c r="R4365" s="293"/>
      <c r="S4365" s="316"/>
      <c r="T4365" s="355"/>
    </row>
    <row r="4366" spans="11:20" x14ac:dyDescent="0.25">
      <c r="K4366" s="312"/>
      <c r="N4366" s="514"/>
      <c r="R4366" s="293"/>
      <c r="S4366" s="316"/>
      <c r="T4366" s="355"/>
    </row>
    <row r="4367" spans="11:20" x14ac:dyDescent="0.25">
      <c r="K4367" s="312"/>
      <c r="N4367" s="514"/>
      <c r="R4367" s="293"/>
      <c r="S4367" s="316"/>
      <c r="T4367" s="355"/>
    </row>
    <row r="4368" spans="11:20" x14ac:dyDescent="0.25">
      <c r="K4368" s="312"/>
      <c r="N4368" s="514"/>
      <c r="R4368" s="293"/>
      <c r="S4368" s="316"/>
      <c r="T4368" s="355"/>
    </row>
    <row r="4369" spans="11:20" x14ac:dyDescent="0.25">
      <c r="K4369" s="312"/>
      <c r="N4369" s="514"/>
      <c r="R4369" s="293"/>
      <c r="S4369" s="316"/>
      <c r="T4369" s="355"/>
    </row>
    <row r="4370" spans="11:20" x14ac:dyDescent="0.25">
      <c r="K4370" s="312"/>
      <c r="N4370" s="514"/>
      <c r="R4370" s="293"/>
      <c r="S4370" s="316"/>
      <c r="T4370" s="355"/>
    </row>
    <row r="4371" spans="11:20" x14ac:dyDescent="0.25">
      <c r="K4371" s="312"/>
      <c r="N4371" s="514"/>
      <c r="R4371" s="293"/>
      <c r="S4371" s="316"/>
      <c r="T4371" s="355"/>
    </row>
    <row r="4372" spans="11:20" x14ac:dyDescent="0.25">
      <c r="K4372" s="312"/>
      <c r="N4372" s="514"/>
      <c r="R4372" s="293"/>
      <c r="S4372" s="316"/>
      <c r="T4372" s="355"/>
    </row>
    <row r="4373" spans="11:20" x14ac:dyDescent="0.25">
      <c r="K4373" s="312"/>
      <c r="N4373" s="514"/>
      <c r="R4373" s="293"/>
      <c r="S4373" s="316"/>
      <c r="T4373" s="355"/>
    </row>
    <row r="4374" spans="11:20" x14ac:dyDescent="0.25">
      <c r="K4374" s="312"/>
      <c r="N4374" s="514"/>
      <c r="R4374" s="293"/>
      <c r="S4374" s="316"/>
      <c r="T4374" s="355"/>
    </row>
    <row r="4375" spans="11:20" x14ac:dyDescent="0.25">
      <c r="K4375" s="312"/>
      <c r="N4375" s="514"/>
      <c r="R4375" s="293"/>
      <c r="S4375" s="316"/>
      <c r="T4375" s="355"/>
    </row>
    <row r="4376" spans="11:20" x14ac:dyDescent="0.25">
      <c r="K4376" s="312"/>
      <c r="N4376" s="514"/>
      <c r="R4376" s="293"/>
      <c r="S4376" s="316"/>
      <c r="T4376" s="355"/>
    </row>
    <row r="4377" spans="11:20" x14ac:dyDescent="0.25">
      <c r="K4377" s="312"/>
      <c r="N4377" s="514"/>
      <c r="R4377" s="293"/>
      <c r="S4377" s="316"/>
      <c r="T4377" s="355"/>
    </row>
    <row r="4378" spans="11:20" x14ac:dyDescent="0.25">
      <c r="K4378" s="312"/>
      <c r="N4378" s="514"/>
      <c r="R4378" s="293"/>
      <c r="S4378" s="316"/>
      <c r="T4378" s="355"/>
    </row>
    <row r="4379" spans="11:20" x14ac:dyDescent="0.25">
      <c r="K4379" s="312"/>
      <c r="N4379" s="514"/>
      <c r="R4379" s="293"/>
      <c r="S4379" s="316"/>
      <c r="T4379" s="355"/>
    </row>
    <row r="4380" spans="11:20" x14ac:dyDescent="0.25">
      <c r="K4380" s="312"/>
      <c r="N4380" s="514"/>
      <c r="R4380" s="293"/>
      <c r="S4380" s="316"/>
      <c r="T4380" s="355"/>
    </row>
    <row r="4381" spans="11:20" x14ac:dyDescent="0.25">
      <c r="K4381" s="312"/>
      <c r="N4381" s="514"/>
      <c r="R4381" s="293"/>
      <c r="S4381" s="316"/>
      <c r="T4381" s="355"/>
    </row>
    <row r="4382" spans="11:20" x14ac:dyDescent="0.25">
      <c r="K4382" s="312"/>
      <c r="N4382" s="514"/>
      <c r="R4382" s="293"/>
      <c r="S4382" s="316"/>
      <c r="T4382" s="355"/>
    </row>
    <row r="4383" spans="11:20" x14ac:dyDescent="0.25">
      <c r="K4383" s="312"/>
      <c r="N4383" s="514"/>
      <c r="R4383" s="293"/>
      <c r="S4383" s="316"/>
      <c r="T4383" s="355"/>
    </row>
    <row r="4384" spans="11:20" x14ac:dyDescent="0.25">
      <c r="K4384" s="312"/>
      <c r="N4384" s="514"/>
      <c r="R4384" s="293"/>
      <c r="S4384" s="316"/>
      <c r="T4384" s="355"/>
    </row>
    <row r="4385" spans="11:20" x14ac:dyDescent="0.25">
      <c r="K4385" s="312"/>
      <c r="N4385" s="514"/>
      <c r="R4385" s="293"/>
      <c r="S4385" s="316"/>
      <c r="T4385" s="355"/>
    </row>
    <row r="4386" spans="11:20" x14ac:dyDescent="0.25">
      <c r="K4386" s="312"/>
      <c r="N4386" s="514"/>
      <c r="R4386" s="293"/>
      <c r="S4386" s="316"/>
      <c r="T4386" s="355"/>
    </row>
    <row r="4387" spans="11:20" x14ac:dyDescent="0.25">
      <c r="K4387" s="312"/>
      <c r="N4387" s="514"/>
      <c r="R4387" s="293"/>
      <c r="S4387" s="316"/>
      <c r="T4387" s="355"/>
    </row>
    <row r="4388" spans="11:20" x14ac:dyDescent="0.25">
      <c r="K4388" s="312"/>
      <c r="N4388" s="514"/>
      <c r="R4388" s="293"/>
      <c r="S4388" s="316"/>
      <c r="T4388" s="355"/>
    </row>
    <row r="4389" spans="11:20" x14ac:dyDescent="0.25">
      <c r="K4389" s="312"/>
      <c r="N4389" s="514"/>
      <c r="R4389" s="293"/>
      <c r="S4389" s="316"/>
      <c r="T4389" s="355"/>
    </row>
    <row r="4390" spans="11:20" x14ac:dyDescent="0.25">
      <c r="K4390" s="312"/>
      <c r="N4390" s="514"/>
      <c r="R4390" s="293"/>
      <c r="S4390" s="316"/>
      <c r="T4390" s="355"/>
    </row>
    <row r="4391" spans="11:20" x14ac:dyDescent="0.25">
      <c r="K4391" s="312"/>
      <c r="N4391" s="514"/>
      <c r="R4391" s="293"/>
      <c r="S4391" s="316"/>
      <c r="T4391" s="355"/>
    </row>
    <row r="4392" spans="11:20" x14ac:dyDescent="0.25">
      <c r="K4392" s="312"/>
      <c r="N4392" s="514"/>
      <c r="R4392" s="293"/>
      <c r="S4392" s="316"/>
      <c r="T4392" s="355"/>
    </row>
    <row r="4393" spans="11:20" x14ac:dyDescent="0.25">
      <c r="K4393" s="312"/>
      <c r="N4393" s="514"/>
      <c r="R4393" s="293"/>
      <c r="S4393" s="316"/>
      <c r="T4393" s="355"/>
    </row>
    <row r="4394" spans="11:20" x14ac:dyDescent="0.25">
      <c r="K4394" s="312"/>
      <c r="N4394" s="514"/>
      <c r="R4394" s="293"/>
      <c r="S4394" s="316"/>
      <c r="T4394" s="355"/>
    </row>
    <row r="4395" spans="11:20" x14ac:dyDescent="0.25">
      <c r="K4395" s="312"/>
      <c r="N4395" s="514"/>
      <c r="R4395" s="293"/>
      <c r="S4395" s="316"/>
      <c r="T4395" s="355"/>
    </row>
    <row r="4396" spans="11:20" x14ac:dyDescent="0.25">
      <c r="K4396" s="312"/>
      <c r="N4396" s="514"/>
      <c r="R4396" s="293"/>
      <c r="S4396" s="316"/>
      <c r="T4396" s="355"/>
    </row>
    <row r="4397" spans="11:20" x14ac:dyDescent="0.25">
      <c r="K4397" s="312"/>
      <c r="N4397" s="514"/>
      <c r="R4397" s="293"/>
      <c r="S4397" s="316"/>
      <c r="T4397" s="355"/>
    </row>
    <row r="4398" spans="11:20" x14ac:dyDescent="0.25">
      <c r="K4398" s="312"/>
      <c r="N4398" s="514"/>
      <c r="R4398" s="293"/>
      <c r="S4398" s="316"/>
      <c r="T4398" s="355"/>
    </row>
    <row r="4399" spans="11:20" x14ac:dyDescent="0.25">
      <c r="K4399" s="312"/>
      <c r="N4399" s="514"/>
      <c r="R4399" s="293"/>
      <c r="S4399" s="316"/>
      <c r="T4399" s="355"/>
    </row>
    <row r="4400" spans="11:20" x14ac:dyDescent="0.25">
      <c r="K4400" s="312"/>
      <c r="N4400" s="514"/>
      <c r="R4400" s="293"/>
      <c r="S4400" s="316"/>
      <c r="T4400" s="355"/>
    </row>
    <row r="4401" spans="11:20" x14ac:dyDescent="0.25">
      <c r="K4401" s="312"/>
      <c r="N4401" s="514"/>
      <c r="R4401" s="293"/>
      <c r="S4401" s="316"/>
      <c r="T4401" s="355"/>
    </row>
    <row r="4402" spans="11:20" x14ac:dyDescent="0.25">
      <c r="K4402" s="312"/>
      <c r="N4402" s="514"/>
      <c r="R4402" s="293"/>
      <c r="S4402" s="316"/>
      <c r="T4402" s="355"/>
    </row>
    <row r="4403" spans="11:20" x14ac:dyDescent="0.25">
      <c r="K4403" s="312"/>
      <c r="N4403" s="514"/>
      <c r="R4403" s="293"/>
      <c r="S4403" s="316"/>
      <c r="T4403" s="355"/>
    </row>
    <row r="4404" spans="11:20" x14ac:dyDescent="0.25">
      <c r="K4404" s="312"/>
      <c r="N4404" s="514"/>
      <c r="R4404" s="293"/>
      <c r="S4404" s="316"/>
      <c r="T4404" s="355"/>
    </row>
    <row r="4405" spans="11:20" x14ac:dyDescent="0.25">
      <c r="K4405" s="312"/>
      <c r="N4405" s="514"/>
      <c r="R4405" s="293"/>
      <c r="S4405" s="316"/>
      <c r="T4405" s="355"/>
    </row>
    <row r="4406" spans="11:20" x14ac:dyDescent="0.25">
      <c r="K4406" s="312"/>
      <c r="N4406" s="514"/>
      <c r="R4406" s="293"/>
      <c r="S4406" s="316"/>
      <c r="T4406" s="355"/>
    </row>
    <row r="4407" spans="11:20" x14ac:dyDescent="0.25">
      <c r="K4407" s="312"/>
      <c r="N4407" s="514"/>
      <c r="R4407" s="293"/>
      <c r="S4407" s="316"/>
      <c r="T4407" s="355"/>
    </row>
    <row r="4408" spans="11:20" x14ac:dyDescent="0.25">
      <c r="K4408" s="312"/>
      <c r="N4408" s="514"/>
      <c r="R4408" s="293"/>
      <c r="S4408" s="316"/>
      <c r="T4408" s="355"/>
    </row>
    <row r="4409" spans="11:20" x14ac:dyDescent="0.25">
      <c r="K4409" s="312"/>
      <c r="N4409" s="514"/>
      <c r="R4409" s="293"/>
      <c r="S4409" s="316"/>
      <c r="T4409" s="355"/>
    </row>
    <row r="4410" spans="11:20" x14ac:dyDescent="0.25">
      <c r="K4410" s="312"/>
      <c r="N4410" s="514"/>
      <c r="R4410" s="293"/>
      <c r="S4410" s="316"/>
      <c r="T4410" s="355"/>
    </row>
    <row r="4411" spans="11:20" x14ac:dyDescent="0.25">
      <c r="K4411" s="312"/>
      <c r="N4411" s="514"/>
      <c r="R4411" s="293"/>
      <c r="S4411" s="316"/>
      <c r="T4411" s="355"/>
    </row>
    <row r="4412" spans="11:20" x14ac:dyDescent="0.25">
      <c r="K4412" s="312"/>
      <c r="N4412" s="514"/>
      <c r="R4412" s="293"/>
      <c r="S4412" s="316"/>
      <c r="T4412" s="355"/>
    </row>
    <row r="4413" spans="11:20" x14ac:dyDescent="0.25">
      <c r="K4413" s="312"/>
      <c r="N4413" s="514"/>
      <c r="R4413" s="293"/>
      <c r="S4413" s="316"/>
      <c r="T4413" s="355"/>
    </row>
    <row r="4414" spans="11:20" x14ac:dyDescent="0.25">
      <c r="K4414" s="312"/>
      <c r="N4414" s="514"/>
      <c r="R4414" s="293"/>
      <c r="S4414" s="316"/>
      <c r="T4414" s="355"/>
    </row>
    <row r="4415" spans="11:20" x14ac:dyDescent="0.25">
      <c r="K4415" s="312"/>
      <c r="N4415" s="514"/>
      <c r="R4415" s="293"/>
      <c r="S4415" s="316"/>
      <c r="T4415" s="355"/>
    </row>
    <row r="4416" spans="11:20" x14ac:dyDescent="0.25">
      <c r="K4416" s="312"/>
      <c r="N4416" s="514"/>
      <c r="R4416" s="293"/>
      <c r="S4416" s="316"/>
      <c r="T4416" s="355"/>
    </row>
    <row r="4417" spans="11:20" x14ac:dyDescent="0.25">
      <c r="K4417" s="312"/>
      <c r="N4417" s="514"/>
      <c r="R4417" s="293"/>
      <c r="S4417" s="316"/>
      <c r="T4417" s="355"/>
    </row>
    <row r="4418" spans="11:20" x14ac:dyDescent="0.25">
      <c r="K4418" s="312"/>
      <c r="N4418" s="514"/>
      <c r="R4418" s="293"/>
      <c r="S4418" s="316"/>
      <c r="T4418" s="355"/>
    </row>
    <row r="4419" spans="11:20" x14ac:dyDescent="0.25">
      <c r="K4419" s="312"/>
      <c r="N4419" s="514"/>
      <c r="R4419" s="293"/>
      <c r="S4419" s="316"/>
      <c r="T4419" s="355"/>
    </row>
    <row r="4420" spans="11:20" x14ac:dyDescent="0.25">
      <c r="K4420" s="312"/>
      <c r="N4420" s="514"/>
      <c r="R4420" s="293"/>
      <c r="S4420" s="316"/>
      <c r="T4420" s="355"/>
    </row>
    <row r="4421" spans="11:20" x14ac:dyDescent="0.25">
      <c r="K4421" s="312"/>
      <c r="N4421" s="514"/>
      <c r="R4421" s="293"/>
      <c r="S4421" s="316"/>
      <c r="T4421" s="355"/>
    </row>
    <row r="4422" spans="11:20" x14ac:dyDescent="0.25">
      <c r="K4422" s="312"/>
      <c r="N4422" s="514"/>
      <c r="R4422" s="293"/>
      <c r="S4422" s="316"/>
      <c r="T4422" s="355"/>
    </row>
    <row r="4423" spans="11:20" x14ac:dyDescent="0.25">
      <c r="K4423" s="312"/>
      <c r="N4423" s="514"/>
      <c r="R4423" s="293"/>
      <c r="S4423" s="316"/>
      <c r="T4423" s="355"/>
    </row>
    <row r="4424" spans="11:20" x14ac:dyDescent="0.25">
      <c r="K4424" s="312"/>
      <c r="N4424" s="514"/>
      <c r="R4424" s="293"/>
      <c r="S4424" s="316"/>
      <c r="T4424" s="355"/>
    </row>
    <row r="4425" spans="11:20" x14ac:dyDescent="0.25">
      <c r="K4425" s="312"/>
      <c r="N4425" s="514"/>
      <c r="R4425" s="293"/>
      <c r="S4425" s="316"/>
      <c r="T4425" s="355"/>
    </row>
    <row r="4426" spans="11:20" x14ac:dyDescent="0.25">
      <c r="K4426" s="312"/>
      <c r="N4426" s="514"/>
      <c r="R4426" s="293"/>
      <c r="S4426" s="316"/>
      <c r="T4426" s="355"/>
    </row>
    <row r="4427" spans="11:20" x14ac:dyDescent="0.25">
      <c r="K4427" s="312"/>
      <c r="N4427" s="514"/>
      <c r="R4427" s="293"/>
      <c r="S4427" s="316"/>
      <c r="T4427" s="355"/>
    </row>
    <row r="4428" spans="11:20" x14ac:dyDescent="0.25">
      <c r="K4428" s="312"/>
      <c r="N4428" s="514"/>
      <c r="R4428" s="293"/>
      <c r="S4428" s="316"/>
      <c r="T4428" s="355"/>
    </row>
    <row r="4429" spans="11:20" x14ac:dyDescent="0.25">
      <c r="K4429" s="312"/>
      <c r="N4429" s="514"/>
      <c r="R4429" s="293"/>
      <c r="S4429" s="316"/>
      <c r="T4429" s="355"/>
    </row>
    <row r="4430" spans="11:20" x14ac:dyDescent="0.25">
      <c r="K4430" s="312"/>
      <c r="N4430" s="514"/>
      <c r="R4430" s="293"/>
      <c r="S4430" s="316"/>
      <c r="T4430" s="355"/>
    </row>
    <row r="4431" spans="11:20" x14ac:dyDescent="0.25">
      <c r="K4431" s="312"/>
      <c r="N4431" s="514"/>
      <c r="R4431" s="293"/>
      <c r="S4431" s="316"/>
      <c r="T4431" s="355"/>
    </row>
    <row r="4432" spans="11:20" x14ac:dyDescent="0.25">
      <c r="K4432" s="312"/>
      <c r="N4432" s="514"/>
      <c r="R4432" s="293"/>
      <c r="S4432" s="316"/>
      <c r="T4432" s="355"/>
    </row>
    <row r="4433" spans="11:20" x14ac:dyDescent="0.25">
      <c r="K4433" s="312"/>
      <c r="N4433" s="514"/>
      <c r="R4433" s="293"/>
      <c r="S4433" s="316"/>
      <c r="T4433" s="355"/>
    </row>
    <row r="4434" spans="11:20" x14ac:dyDescent="0.25">
      <c r="K4434" s="312"/>
      <c r="N4434" s="514"/>
      <c r="R4434" s="293"/>
      <c r="S4434" s="316"/>
      <c r="T4434" s="355"/>
    </row>
    <row r="4435" spans="11:20" x14ac:dyDescent="0.25">
      <c r="K4435" s="312"/>
      <c r="N4435" s="514"/>
      <c r="R4435" s="293"/>
      <c r="S4435" s="316"/>
      <c r="T4435" s="355"/>
    </row>
    <row r="4436" spans="11:20" x14ac:dyDescent="0.25">
      <c r="K4436" s="312"/>
      <c r="N4436" s="514"/>
      <c r="R4436" s="293"/>
      <c r="S4436" s="316"/>
      <c r="T4436" s="355"/>
    </row>
    <row r="4437" spans="11:20" x14ac:dyDescent="0.25">
      <c r="K4437" s="312"/>
      <c r="N4437" s="514"/>
      <c r="R4437" s="293"/>
      <c r="S4437" s="316"/>
      <c r="T4437" s="355"/>
    </row>
    <row r="4438" spans="11:20" x14ac:dyDescent="0.25">
      <c r="K4438" s="312"/>
      <c r="N4438" s="514"/>
      <c r="R4438" s="293"/>
      <c r="S4438" s="316"/>
      <c r="T4438" s="355"/>
    </row>
    <row r="4439" spans="11:20" x14ac:dyDescent="0.25">
      <c r="K4439" s="312"/>
      <c r="N4439" s="514"/>
      <c r="R4439" s="293"/>
      <c r="S4439" s="316"/>
      <c r="T4439" s="355"/>
    </row>
    <row r="4440" spans="11:20" x14ac:dyDescent="0.25">
      <c r="K4440" s="312"/>
      <c r="N4440" s="514"/>
      <c r="R4440" s="293"/>
      <c r="S4440" s="316"/>
      <c r="T4440" s="355"/>
    </row>
    <row r="4441" spans="11:20" x14ac:dyDescent="0.25">
      <c r="K4441" s="312"/>
      <c r="N4441" s="514"/>
      <c r="R4441" s="293"/>
      <c r="S4441" s="316"/>
      <c r="T4441" s="355"/>
    </row>
    <row r="4442" spans="11:20" x14ac:dyDescent="0.25">
      <c r="K4442" s="312"/>
      <c r="N4442" s="514"/>
      <c r="R4442" s="293"/>
      <c r="S4442" s="316"/>
      <c r="T4442" s="355"/>
    </row>
    <row r="4443" spans="11:20" x14ac:dyDescent="0.25">
      <c r="K4443" s="312"/>
      <c r="N4443" s="514"/>
      <c r="R4443" s="293"/>
      <c r="S4443" s="316"/>
      <c r="T4443" s="355"/>
    </row>
    <row r="4444" spans="11:20" x14ac:dyDescent="0.25">
      <c r="K4444" s="312"/>
      <c r="N4444" s="514"/>
      <c r="R4444" s="293"/>
      <c r="S4444" s="316"/>
      <c r="T4444" s="355"/>
    </row>
    <row r="4445" spans="11:20" x14ac:dyDescent="0.25">
      <c r="K4445" s="312"/>
      <c r="N4445" s="514"/>
      <c r="R4445" s="293"/>
      <c r="S4445" s="316"/>
      <c r="T4445" s="355"/>
    </row>
    <row r="4446" spans="11:20" x14ac:dyDescent="0.25">
      <c r="K4446" s="312"/>
      <c r="N4446" s="514"/>
      <c r="R4446" s="293"/>
      <c r="S4446" s="316"/>
      <c r="T4446" s="355"/>
    </row>
    <row r="4447" spans="11:20" x14ac:dyDescent="0.25">
      <c r="K4447" s="312"/>
      <c r="N4447" s="514"/>
      <c r="R4447" s="293"/>
      <c r="S4447" s="316"/>
      <c r="T4447" s="355"/>
    </row>
    <row r="4448" spans="11:20" x14ac:dyDescent="0.25">
      <c r="K4448" s="312"/>
      <c r="N4448" s="514"/>
      <c r="R4448" s="293"/>
      <c r="S4448" s="316"/>
      <c r="T4448" s="355"/>
    </row>
    <row r="4449" spans="11:20" x14ac:dyDescent="0.25">
      <c r="K4449" s="312"/>
      <c r="N4449" s="514"/>
      <c r="R4449" s="293"/>
      <c r="S4449" s="316"/>
      <c r="T4449" s="355"/>
    </row>
    <row r="4450" spans="11:20" x14ac:dyDescent="0.25">
      <c r="K4450" s="312"/>
      <c r="N4450" s="514"/>
      <c r="R4450" s="293"/>
      <c r="S4450" s="316"/>
      <c r="T4450" s="355"/>
    </row>
    <row r="4451" spans="11:20" x14ac:dyDescent="0.25">
      <c r="K4451" s="312"/>
      <c r="N4451" s="514"/>
      <c r="R4451" s="293"/>
      <c r="S4451" s="316"/>
      <c r="T4451" s="355"/>
    </row>
    <row r="4452" spans="11:20" x14ac:dyDescent="0.25">
      <c r="K4452" s="312"/>
      <c r="N4452" s="514"/>
      <c r="R4452" s="293"/>
      <c r="S4452" s="316"/>
      <c r="T4452" s="355"/>
    </row>
    <row r="4453" spans="11:20" x14ac:dyDescent="0.25">
      <c r="K4453" s="312"/>
      <c r="N4453" s="514"/>
      <c r="R4453" s="293"/>
      <c r="S4453" s="316"/>
      <c r="T4453" s="355"/>
    </row>
    <row r="4454" spans="11:20" x14ac:dyDescent="0.25">
      <c r="K4454" s="312"/>
      <c r="N4454" s="514"/>
      <c r="R4454" s="293"/>
      <c r="S4454" s="316"/>
      <c r="T4454" s="355"/>
    </row>
    <row r="4455" spans="11:20" x14ac:dyDescent="0.25">
      <c r="K4455" s="312"/>
      <c r="N4455" s="514"/>
      <c r="R4455" s="293"/>
      <c r="S4455" s="316"/>
      <c r="T4455" s="355"/>
    </row>
    <row r="4456" spans="11:20" x14ac:dyDescent="0.25">
      <c r="K4456" s="312"/>
      <c r="N4456" s="514"/>
      <c r="R4456" s="293"/>
      <c r="S4456" s="316"/>
      <c r="T4456" s="355"/>
    </row>
    <row r="4457" spans="11:20" x14ac:dyDescent="0.25">
      <c r="K4457" s="312"/>
      <c r="N4457" s="514"/>
      <c r="R4457" s="293"/>
      <c r="S4457" s="316"/>
      <c r="T4457" s="355"/>
    </row>
    <row r="4458" spans="11:20" x14ac:dyDescent="0.25">
      <c r="K4458" s="312"/>
      <c r="N4458" s="514"/>
      <c r="R4458" s="293"/>
      <c r="S4458" s="316"/>
      <c r="T4458" s="355"/>
    </row>
    <row r="4459" spans="11:20" x14ac:dyDescent="0.25">
      <c r="K4459" s="312"/>
      <c r="N4459" s="514"/>
      <c r="R4459" s="293"/>
      <c r="S4459" s="316"/>
      <c r="T4459" s="355"/>
    </row>
    <row r="4460" spans="11:20" x14ac:dyDescent="0.25">
      <c r="K4460" s="312"/>
      <c r="N4460" s="514"/>
      <c r="R4460" s="293"/>
      <c r="S4460" s="316"/>
      <c r="T4460" s="355"/>
    </row>
    <row r="4461" spans="11:20" x14ac:dyDescent="0.25">
      <c r="K4461" s="312"/>
      <c r="N4461" s="514"/>
      <c r="R4461" s="293"/>
      <c r="S4461" s="316"/>
      <c r="T4461" s="355"/>
    </row>
    <row r="4462" spans="11:20" x14ac:dyDescent="0.25">
      <c r="K4462" s="312"/>
      <c r="N4462" s="514"/>
      <c r="R4462" s="293"/>
      <c r="S4462" s="316"/>
      <c r="T4462" s="355"/>
    </row>
    <row r="4463" spans="11:20" x14ac:dyDescent="0.25">
      <c r="K4463" s="312"/>
      <c r="N4463" s="514"/>
      <c r="R4463" s="293"/>
      <c r="S4463" s="316"/>
      <c r="T4463" s="355"/>
    </row>
    <row r="4464" spans="11:20" x14ac:dyDescent="0.25">
      <c r="K4464" s="312"/>
      <c r="N4464" s="514"/>
      <c r="R4464" s="293"/>
      <c r="S4464" s="316"/>
      <c r="T4464" s="355"/>
    </row>
    <row r="4465" spans="11:20" x14ac:dyDescent="0.25">
      <c r="K4465" s="312"/>
      <c r="N4465" s="514"/>
      <c r="R4465" s="293"/>
      <c r="S4465" s="316"/>
      <c r="T4465" s="355"/>
    </row>
    <row r="4466" spans="11:20" x14ac:dyDescent="0.25">
      <c r="K4466" s="312"/>
      <c r="N4466" s="514"/>
      <c r="R4466" s="293"/>
      <c r="S4466" s="316"/>
      <c r="T4466" s="355"/>
    </row>
    <row r="4467" spans="11:20" x14ac:dyDescent="0.25">
      <c r="K4467" s="312"/>
      <c r="N4467" s="514"/>
      <c r="R4467" s="293"/>
      <c r="S4467" s="316"/>
      <c r="T4467" s="355"/>
    </row>
    <row r="4468" spans="11:20" x14ac:dyDescent="0.25">
      <c r="K4468" s="312"/>
      <c r="N4468" s="514"/>
      <c r="R4468" s="293"/>
      <c r="S4468" s="316"/>
      <c r="T4468" s="355"/>
    </row>
    <row r="4469" spans="11:20" x14ac:dyDescent="0.25">
      <c r="K4469" s="312"/>
      <c r="N4469" s="514"/>
      <c r="R4469" s="293"/>
      <c r="S4469" s="316"/>
      <c r="T4469" s="355"/>
    </row>
    <row r="4470" spans="11:20" x14ac:dyDescent="0.25">
      <c r="K4470" s="312"/>
      <c r="N4470" s="514"/>
      <c r="R4470" s="293"/>
      <c r="S4470" s="316"/>
      <c r="T4470" s="355"/>
    </row>
    <row r="4471" spans="11:20" x14ac:dyDescent="0.25">
      <c r="K4471" s="312"/>
      <c r="N4471" s="514"/>
      <c r="R4471" s="293"/>
      <c r="S4471" s="316"/>
      <c r="T4471" s="355"/>
    </row>
    <row r="4472" spans="11:20" x14ac:dyDescent="0.25">
      <c r="K4472" s="312"/>
      <c r="N4472" s="514"/>
      <c r="R4472" s="293"/>
      <c r="S4472" s="316"/>
      <c r="T4472" s="355"/>
    </row>
    <row r="4473" spans="11:20" x14ac:dyDescent="0.25">
      <c r="K4473" s="312"/>
      <c r="N4473" s="514"/>
      <c r="R4473" s="293"/>
      <c r="S4473" s="316"/>
      <c r="T4473" s="355"/>
    </row>
    <row r="4474" spans="11:20" x14ac:dyDescent="0.25">
      <c r="K4474" s="312"/>
      <c r="N4474" s="514"/>
      <c r="R4474" s="293"/>
      <c r="S4474" s="316"/>
      <c r="T4474" s="355"/>
    </row>
    <row r="4475" spans="11:20" x14ac:dyDescent="0.25">
      <c r="K4475" s="312"/>
      <c r="N4475" s="514"/>
      <c r="R4475" s="293"/>
      <c r="S4475" s="316"/>
      <c r="T4475" s="355"/>
    </row>
    <row r="4476" spans="11:20" x14ac:dyDescent="0.25">
      <c r="K4476" s="312"/>
      <c r="N4476" s="514"/>
      <c r="R4476" s="293"/>
      <c r="S4476" s="316"/>
      <c r="T4476" s="355"/>
    </row>
    <row r="4477" spans="11:20" x14ac:dyDescent="0.25">
      <c r="K4477" s="312"/>
      <c r="N4477" s="514"/>
      <c r="R4477" s="293"/>
      <c r="S4477" s="316"/>
      <c r="T4477" s="355"/>
    </row>
    <row r="4478" spans="11:20" x14ac:dyDescent="0.25">
      <c r="K4478" s="312"/>
      <c r="N4478" s="514"/>
      <c r="R4478" s="293"/>
      <c r="S4478" s="316"/>
      <c r="T4478" s="355"/>
    </row>
    <row r="4479" spans="11:20" x14ac:dyDescent="0.25">
      <c r="K4479" s="312"/>
      <c r="N4479" s="514"/>
      <c r="R4479" s="293"/>
      <c r="S4479" s="316"/>
      <c r="T4479" s="355"/>
    </row>
    <row r="4480" spans="11:20" x14ac:dyDescent="0.25">
      <c r="K4480" s="312"/>
      <c r="N4480" s="514"/>
      <c r="R4480" s="293"/>
      <c r="S4480" s="316"/>
      <c r="T4480" s="355"/>
    </row>
    <row r="4481" spans="11:20" x14ac:dyDescent="0.25">
      <c r="K4481" s="312"/>
      <c r="N4481" s="514"/>
      <c r="R4481" s="293"/>
      <c r="S4481" s="316"/>
      <c r="T4481" s="355"/>
    </row>
    <row r="4482" spans="11:20" x14ac:dyDescent="0.25">
      <c r="K4482" s="312"/>
      <c r="N4482" s="514"/>
      <c r="R4482" s="293"/>
      <c r="S4482" s="316"/>
      <c r="T4482" s="355"/>
    </row>
    <row r="4483" spans="11:20" x14ac:dyDescent="0.25">
      <c r="K4483" s="312"/>
      <c r="N4483" s="514"/>
      <c r="R4483" s="293"/>
      <c r="S4483" s="316"/>
      <c r="T4483" s="355"/>
    </row>
    <row r="4484" spans="11:20" x14ac:dyDescent="0.25">
      <c r="K4484" s="312"/>
      <c r="N4484" s="514"/>
      <c r="R4484" s="293"/>
      <c r="S4484" s="316"/>
      <c r="T4484" s="355"/>
    </row>
    <row r="4485" spans="11:20" x14ac:dyDescent="0.25">
      <c r="K4485" s="312"/>
      <c r="N4485" s="514"/>
      <c r="R4485" s="293"/>
      <c r="S4485" s="316"/>
      <c r="T4485" s="355"/>
    </row>
    <row r="4486" spans="11:20" x14ac:dyDescent="0.25">
      <c r="K4486" s="312"/>
      <c r="N4486" s="514"/>
      <c r="R4486" s="293"/>
      <c r="S4486" s="316"/>
      <c r="T4486" s="355"/>
    </row>
    <row r="4487" spans="11:20" x14ac:dyDescent="0.25">
      <c r="K4487" s="312"/>
      <c r="N4487" s="514"/>
      <c r="R4487" s="293"/>
      <c r="S4487" s="316"/>
      <c r="T4487" s="355"/>
    </row>
    <row r="4488" spans="11:20" x14ac:dyDescent="0.25">
      <c r="K4488" s="312"/>
      <c r="N4488" s="514"/>
      <c r="R4488" s="293"/>
      <c r="S4488" s="316"/>
      <c r="T4488" s="355"/>
    </row>
    <row r="4489" spans="11:20" x14ac:dyDescent="0.25">
      <c r="K4489" s="312"/>
      <c r="N4489" s="514"/>
      <c r="R4489" s="293"/>
      <c r="S4489" s="316"/>
      <c r="T4489" s="355"/>
    </row>
    <row r="4490" spans="11:20" x14ac:dyDescent="0.25">
      <c r="K4490" s="312"/>
      <c r="N4490" s="514"/>
      <c r="R4490" s="293"/>
      <c r="S4490" s="316"/>
      <c r="T4490" s="355"/>
    </row>
    <row r="4491" spans="11:20" x14ac:dyDescent="0.25">
      <c r="K4491" s="312"/>
      <c r="N4491" s="514"/>
      <c r="R4491" s="293"/>
      <c r="S4491" s="316"/>
      <c r="T4491" s="355"/>
    </row>
    <row r="4492" spans="11:20" x14ac:dyDescent="0.25">
      <c r="K4492" s="312"/>
      <c r="N4492" s="514"/>
      <c r="R4492" s="293"/>
      <c r="S4492" s="316"/>
      <c r="T4492" s="355"/>
    </row>
    <row r="4493" spans="11:20" x14ac:dyDescent="0.25">
      <c r="K4493" s="312"/>
      <c r="N4493" s="514"/>
      <c r="R4493" s="293"/>
      <c r="S4493" s="316"/>
      <c r="T4493" s="355"/>
    </row>
    <row r="4494" spans="11:20" x14ac:dyDescent="0.25">
      <c r="K4494" s="312"/>
      <c r="N4494" s="514"/>
      <c r="R4494" s="293"/>
      <c r="S4494" s="316"/>
      <c r="T4494" s="355"/>
    </row>
    <row r="4495" spans="11:20" x14ac:dyDescent="0.25">
      <c r="K4495" s="312"/>
      <c r="N4495" s="514"/>
      <c r="R4495" s="293"/>
      <c r="S4495" s="316"/>
      <c r="T4495" s="355"/>
    </row>
    <row r="4496" spans="11:20" x14ac:dyDescent="0.25">
      <c r="K4496" s="312"/>
      <c r="N4496" s="514"/>
      <c r="R4496" s="293"/>
      <c r="S4496" s="316"/>
      <c r="T4496" s="355"/>
    </row>
    <row r="4497" spans="11:20" x14ac:dyDescent="0.25">
      <c r="K4497" s="312"/>
      <c r="N4497" s="514"/>
      <c r="R4497" s="293"/>
      <c r="S4497" s="316"/>
      <c r="T4497" s="355"/>
    </row>
    <row r="4498" spans="11:20" x14ac:dyDescent="0.25">
      <c r="K4498" s="312"/>
      <c r="N4498" s="514"/>
      <c r="R4498" s="293"/>
      <c r="S4498" s="316"/>
      <c r="T4498" s="355"/>
    </row>
    <row r="4499" spans="11:20" x14ac:dyDescent="0.25">
      <c r="K4499" s="312"/>
      <c r="N4499" s="514"/>
      <c r="R4499" s="293"/>
      <c r="S4499" s="316"/>
      <c r="T4499" s="355"/>
    </row>
    <row r="4500" spans="11:20" x14ac:dyDescent="0.25">
      <c r="K4500" s="312"/>
      <c r="N4500" s="514"/>
      <c r="R4500" s="293"/>
      <c r="S4500" s="316"/>
      <c r="T4500" s="355"/>
    </row>
    <row r="4501" spans="11:20" x14ac:dyDescent="0.25">
      <c r="K4501" s="312"/>
      <c r="N4501" s="514"/>
      <c r="R4501" s="293"/>
      <c r="S4501" s="316"/>
      <c r="T4501" s="355"/>
    </row>
    <row r="4502" spans="11:20" x14ac:dyDescent="0.25">
      <c r="K4502" s="312"/>
      <c r="N4502" s="514"/>
      <c r="R4502" s="293"/>
      <c r="S4502" s="316"/>
      <c r="T4502" s="355"/>
    </row>
    <row r="4503" spans="11:20" x14ac:dyDescent="0.25">
      <c r="K4503" s="312"/>
      <c r="N4503" s="514"/>
      <c r="R4503" s="293"/>
      <c r="S4503" s="316"/>
      <c r="T4503" s="355"/>
    </row>
    <row r="4504" spans="11:20" x14ac:dyDescent="0.25">
      <c r="K4504" s="312"/>
      <c r="N4504" s="514"/>
      <c r="R4504" s="293"/>
      <c r="S4504" s="316"/>
      <c r="T4504" s="355"/>
    </row>
    <row r="4505" spans="11:20" x14ac:dyDescent="0.25">
      <c r="K4505" s="312"/>
      <c r="N4505" s="514"/>
      <c r="R4505" s="293"/>
      <c r="S4505" s="316"/>
      <c r="T4505" s="355"/>
    </row>
    <row r="4506" spans="11:20" x14ac:dyDescent="0.25">
      <c r="K4506" s="312"/>
      <c r="N4506" s="514"/>
      <c r="R4506" s="293"/>
      <c r="S4506" s="316"/>
      <c r="T4506" s="355"/>
    </row>
    <row r="4507" spans="11:20" x14ac:dyDescent="0.25">
      <c r="K4507" s="312"/>
      <c r="N4507" s="514"/>
      <c r="R4507" s="293"/>
      <c r="S4507" s="316"/>
      <c r="T4507" s="355"/>
    </row>
    <row r="4508" spans="11:20" x14ac:dyDescent="0.25">
      <c r="K4508" s="312"/>
      <c r="N4508" s="514"/>
      <c r="R4508" s="293"/>
      <c r="S4508" s="316"/>
      <c r="T4508" s="355"/>
    </row>
    <row r="4509" spans="11:20" x14ac:dyDescent="0.25">
      <c r="K4509" s="312"/>
      <c r="N4509" s="514"/>
      <c r="R4509" s="293"/>
      <c r="S4509" s="316"/>
      <c r="T4509" s="355"/>
    </row>
    <row r="4510" spans="11:20" x14ac:dyDescent="0.25">
      <c r="K4510" s="312"/>
      <c r="N4510" s="514"/>
      <c r="R4510" s="293"/>
      <c r="S4510" s="316"/>
      <c r="T4510" s="355"/>
    </row>
    <row r="4511" spans="11:20" x14ac:dyDescent="0.25">
      <c r="K4511" s="312"/>
      <c r="N4511" s="514"/>
      <c r="R4511" s="293"/>
      <c r="S4511" s="316"/>
      <c r="T4511" s="355"/>
    </row>
    <row r="4512" spans="11:20" x14ac:dyDescent="0.25">
      <c r="K4512" s="312"/>
      <c r="N4512" s="514"/>
      <c r="R4512" s="293"/>
      <c r="S4512" s="316"/>
      <c r="T4512" s="355"/>
    </row>
    <row r="4513" spans="11:20" x14ac:dyDescent="0.25">
      <c r="K4513" s="312"/>
      <c r="N4513" s="514"/>
      <c r="R4513" s="293"/>
      <c r="S4513" s="316"/>
      <c r="T4513" s="355"/>
    </row>
    <row r="4514" spans="11:20" x14ac:dyDescent="0.25">
      <c r="K4514" s="312"/>
      <c r="N4514" s="514"/>
      <c r="R4514" s="293"/>
      <c r="S4514" s="316"/>
      <c r="T4514" s="355"/>
    </row>
    <row r="4515" spans="11:20" x14ac:dyDescent="0.25">
      <c r="K4515" s="312"/>
      <c r="N4515" s="514"/>
      <c r="R4515" s="293"/>
      <c r="S4515" s="316"/>
      <c r="T4515" s="355"/>
    </row>
    <row r="4516" spans="11:20" x14ac:dyDescent="0.25">
      <c r="K4516" s="312"/>
      <c r="N4516" s="514"/>
      <c r="R4516" s="293"/>
      <c r="S4516" s="316"/>
      <c r="T4516" s="355"/>
    </row>
    <row r="4517" spans="11:20" x14ac:dyDescent="0.25">
      <c r="K4517" s="312"/>
      <c r="N4517" s="514"/>
      <c r="R4517" s="293"/>
      <c r="S4517" s="316"/>
      <c r="T4517" s="355"/>
    </row>
    <row r="4518" spans="11:20" x14ac:dyDescent="0.25">
      <c r="K4518" s="312"/>
      <c r="N4518" s="514"/>
      <c r="R4518" s="293"/>
      <c r="S4518" s="316"/>
      <c r="T4518" s="355"/>
    </row>
    <row r="4519" spans="11:20" x14ac:dyDescent="0.25">
      <c r="K4519" s="312"/>
      <c r="N4519" s="514"/>
      <c r="R4519" s="293"/>
      <c r="S4519" s="316"/>
      <c r="T4519" s="355"/>
    </row>
    <row r="4520" spans="11:20" x14ac:dyDescent="0.25">
      <c r="K4520" s="312"/>
      <c r="N4520" s="514"/>
      <c r="R4520" s="293"/>
      <c r="S4520" s="316"/>
      <c r="T4520" s="355"/>
    </row>
    <row r="4521" spans="11:20" x14ac:dyDescent="0.25">
      <c r="K4521" s="312"/>
      <c r="N4521" s="514"/>
      <c r="R4521" s="293"/>
      <c r="S4521" s="316"/>
      <c r="T4521" s="355"/>
    </row>
    <row r="4522" spans="11:20" x14ac:dyDescent="0.25">
      <c r="K4522" s="312"/>
      <c r="N4522" s="514"/>
      <c r="R4522" s="293"/>
      <c r="S4522" s="316"/>
      <c r="T4522" s="355"/>
    </row>
    <row r="4523" spans="11:20" x14ac:dyDescent="0.25">
      <c r="K4523" s="312"/>
      <c r="N4523" s="514"/>
      <c r="R4523" s="293"/>
      <c r="S4523" s="316"/>
      <c r="T4523" s="355"/>
    </row>
    <row r="4524" spans="11:20" x14ac:dyDescent="0.25">
      <c r="K4524" s="312"/>
      <c r="N4524" s="514"/>
      <c r="R4524" s="293"/>
      <c r="S4524" s="316"/>
      <c r="T4524" s="355"/>
    </row>
    <row r="4525" spans="11:20" x14ac:dyDescent="0.25">
      <c r="K4525" s="312"/>
      <c r="N4525" s="514"/>
      <c r="R4525" s="293"/>
      <c r="S4525" s="316"/>
      <c r="T4525" s="355"/>
    </row>
    <row r="4526" spans="11:20" x14ac:dyDescent="0.25">
      <c r="K4526" s="312"/>
      <c r="N4526" s="514"/>
      <c r="R4526" s="293"/>
      <c r="S4526" s="316"/>
      <c r="T4526" s="355"/>
    </row>
    <row r="4527" spans="11:20" x14ac:dyDescent="0.25">
      <c r="K4527" s="312"/>
      <c r="N4527" s="514"/>
      <c r="R4527" s="293"/>
      <c r="S4527" s="316"/>
      <c r="T4527" s="355"/>
    </row>
    <row r="4528" spans="11:20" x14ac:dyDescent="0.25">
      <c r="K4528" s="312"/>
      <c r="N4528" s="514"/>
      <c r="R4528" s="293"/>
      <c r="S4528" s="316"/>
      <c r="T4528" s="355"/>
    </row>
    <row r="4529" spans="11:20" x14ac:dyDescent="0.25">
      <c r="K4529" s="312"/>
      <c r="N4529" s="514"/>
      <c r="R4529" s="293"/>
      <c r="S4529" s="316"/>
      <c r="T4529" s="355"/>
    </row>
    <row r="4530" spans="11:20" x14ac:dyDescent="0.25">
      <c r="K4530" s="312"/>
      <c r="N4530" s="514"/>
      <c r="R4530" s="293"/>
      <c r="S4530" s="316"/>
      <c r="T4530" s="355"/>
    </row>
    <row r="4531" spans="11:20" x14ac:dyDescent="0.25">
      <c r="K4531" s="312"/>
      <c r="N4531" s="514"/>
      <c r="R4531" s="293"/>
      <c r="S4531" s="316"/>
      <c r="T4531" s="355"/>
    </row>
    <row r="4532" spans="11:20" x14ac:dyDescent="0.25">
      <c r="K4532" s="312"/>
      <c r="N4532" s="514"/>
      <c r="R4532" s="293"/>
      <c r="S4532" s="316"/>
      <c r="T4532" s="355"/>
    </row>
    <row r="4533" spans="11:20" x14ac:dyDescent="0.25">
      <c r="K4533" s="312"/>
      <c r="N4533" s="514"/>
      <c r="R4533" s="293"/>
      <c r="S4533" s="316"/>
      <c r="T4533" s="355"/>
    </row>
    <row r="4534" spans="11:20" x14ac:dyDescent="0.25">
      <c r="K4534" s="312"/>
      <c r="N4534" s="514"/>
      <c r="R4534" s="293"/>
      <c r="S4534" s="316"/>
      <c r="T4534" s="355"/>
    </row>
    <row r="4535" spans="11:20" x14ac:dyDescent="0.25">
      <c r="K4535" s="312"/>
      <c r="N4535" s="514"/>
      <c r="R4535" s="293"/>
      <c r="S4535" s="316"/>
      <c r="T4535" s="355"/>
    </row>
    <row r="4536" spans="11:20" x14ac:dyDescent="0.25">
      <c r="K4536" s="312"/>
      <c r="N4536" s="514"/>
      <c r="R4536" s="293"/>
      <c r="S4536" s="316"/>
      <c r="T4536" s="355"/>
    </row>
    <row r="4537" spans="11:20" x14ac:dyDescent="0.25">
      <c r="K4537" s="312"/>
      <c r="N4537" s="514"/>
      <c r="R4537" s="293"/>
      <c r="S4537" s="316"/>
      <c r="T4537" s="355"/>
    </row>
    <row r="4538" spans="11:20" x14ac:dyDescent="0.25">
      <c r="K4538" s="312"/>
      <c r="N4538" s="514"/>
      <c r="R4538" s="293"/>
      <c r="S4538" s="316"/>
      <c r="T4538" s="355"/>
    </row>
    <row r="4539" spans="11:20" x14ac:dyDescent="0.25">
      <c r="K4539" s="312"/>
      <c r="N4539" s="514"/>
      <c r="R4539" s="293"/>
      <c r="S4539" s="316"/>
      <c r="T4539" s="355"/>
    </row>
    <row r="4540" spans="11:20" x14ac:dyDescent="0.25">
      <c r="K4540" s="312"/>
      <c r="N4540" s="514"/>
      <c r="R4540" s="293"/>
      <c r="S4540" s="316"/>
      <c r="T4540" s="355"/>
    </row>
    <row r="4541" spans="11:20" x14ac:dyDescent="0.25">
      <c r="K4541" s="312"/>
      <c r="N4541" s="514"/>
      <c r="R4541" s="293"/>
      <c r="S4541" s="316"/>
      <c r="T4541" s="355"/>
    </row>
    <row r="4542" spans="11:20" x14ac:dyDescent="0.25">
      <c r="K4542" s="312"/>
      <c r="N4542" s="514"/>
      <c r="R4542" s="293"/>
      <c r="S4542" s="316"/>
      <c r="T4542" s="355"/>
    </row>
    <row r="4543" spans="11:20" x14ac:dyDescent="0.25">
      <c r="K4543" s="312"/>
      <c r="N4543" s="514"/>
      <c r="R4543" s="293"/>
      <c r="S4543" s="316"/>
      <c r="T4543" s="355"/>
    </row>
    <row r="4544" spans="11:20" x14ac:dyDescent="0.25">
      <c r="K4544" s="312"/>
      <c r="N4544" s="514"/>
      <c r="R4544" s="293"/>
      <c r="S4544" s="316"/>
      <c r="T4544" s="355"/>
    </row>
    <row r="4545" spans="11:20" x14ac:dyDescent="0.25">
      <c r="K4545" s="312"/>
      <c r="N4545" s="514"/>
      <c r="R4545" s="293"/>
      <c r="S4545" s="316"/>
      <c r="T4545" s="355"/>
    </row>
    <row r="4546" spans="11:20" x14ac:dyDescent="0.25">
      <c r="K4546" s="312"/>
      <c r="N4546" s="514"/>
      <c r="R4546" s="293"/>
      <c r="S4546" s="316"/>
      <c r="T4546" s="355"/>
    </row>
    <row r="4547" spans="11:20" x14ac:dyDescent="0.25">
      <c r="K4547" s="312"/>
      <c r="N4547" s="514"/>
      <c r="R4547" s="293"/>
      <c r="S4547" s="316"/>
      <c r="T4547" s="355"/>
    </row>
    <row r="4548" spans="11:20" x14ac:dyDescent="0.25">
      <c r="K4548" s="312"/>
      <c r="N4548" s="514"/>
      <c r="R4548" s="293"/>
      <c r="S4548" s="316"/>
      <c r="T4548" s="355"/>
    </row>
    <row r="4549" spans="11:20" x14ac:dyDescent="0.25">
      <c r="K4549" s="312"/>
      <c r="N4549" s="514"/>
      <c r="R4549" s="293"/>
      <c r="S4549" s="316"/>
      <c r="T4549" s="355"/>
    </row>
    <row r="4550" spans="11:20" x14ac:dyDescent="0.25">
      <c r="K4550" s="312"/>
      <c r="N4550" s="514"/>
      <c r="R4550" s="293"/>
      <c r="S4550" s="316"/>
      <c r="T4550" s="355"/>
    </row>
    <row r="4551" spans="11:20" x14ac:dyDescent="0.25">
      <c r="K4551" s="312"/>
      <c r="N4551" s="514"/>
      <c r="R4551" s="293"/>
      <c r="S4551" s="316"/>
      <c r="T4551" s="355"/>
    </row>
    <row r="4552" spans="11:20" x14ac:dyDescent="0.25">
      <c r="K4552" s="312"/>
      <c r="N4552" s="514"/>
      <c r="R4552" s="293"/>
      <c r="S4552" s="316"/>
      <c r="T4552" s="355"/>
    </row>
    <row r="4553" spans="11:20" x14ac:dyDescent="0.25">
      <c r="K4553" s="312"/>
      <c r="N4553" s="514"/>
      <c r="R4553" s="293"/>
      <c r="S4553" s="316"/>
      <c r="T4553" s="355"/>
    </row>
    <row r="4554" spans="11:20" x14ac:dyDescent="0.25">
      <c r="K4554" s="312"/>
      <c r="N4554" s="514"/>
      <c r="R4554" s="293"/>
      <c r="S4554" s="316"/>
      <c r="T4554" s="355"/>
    </row>
    <row r="4555" spans="11:20" x14ac:dyDescent="0.25">
      <c r="K4555" s="312"/>
      <c r="N4555" s="514"/>
      <c r="R4555" s="293"/>
      <c r="S4555" s="316"/>
      <c r="T4555" s="355"/>
    </row>
    <row r="4556" spans="11:20" x14ac:dyDescent="0.25">
      <c r="K4556" s="312"/>
      <c r="N4556" s="514"/>
      <c r="R4556" s="293"/>
      <c r="S4556" s="316"/>
      <c r="T4556" s="355"/>
    </row>
    <row r="4557" spans="11:20" x14ac:dyDescent="0.25">
      <c r="K4557" s="312"/>
      <c r="N4557" s="514"/>
      <c r="R4557" s="293"/>
      <c r="S4557" s="316"/>
      <c r="T4557" s="355"/>
    </row>
    <row r="4558" spans="11:20" x14ac:dyDescent="0.25">
      <c r="K4558" s="312"/>
      <c r="N4558" s="514"/>
      <c r="R4558" s="293"/>
      <c r="S4558" s="316"/>
      <c r="T4558" s="355"/>
    </row>
    <row r="4559" spans="11:20" x14ac:dyDescent="0.25">
      <c r="K4559" s="312"/>
      <c r="N4559" s="514"/>
      <c r="R4559" s="293"/>
      <c r="S4559" s="316"/>
      <c r="T4559" s="355"/>
    </row>
    <row r="4560" spans="11:20" x14ac:dyDescent="0.25">
      <c r="K4560" s="312"/>
      <c r="N4560" s="514"/>
      <c r="R4560" s="293"/>
      <c r="S4560" s="316"/>
      <c r="T4560" s="355"/>
    </row>
    <row r="4561" spans="11:20" x14ac:dyDescent="0.25">
      <c r="K4561" s="312"/>
      <c r="N4561" s="514"/>
      <c r="R4561" s="293"/>
      <c r="S4561" s="316"/>
      <c r="T4561" s="355"/>
    </row>
    <row r="4562" spans="11:20" x14ac:dyDescent="0.25">
      <c r="K4562" s="312"/>
      <c r="N4562" s="514"/>
      <c r="R4562" s="293"/>
      <c r="S4562" s="316"/>
      <c r="T4562" s="355"/>
    </row>
    <row r="4563" spans="11:20" x14ac:dyDescent="0.25">
      <c r="K4563" s="312"/>
      <c r="N4563" s="514"/>
      <c r="R4563" s="293"/>
      <c r="S4563" s="316"/>
      <c r="T4563" s="355"/>
    </row>
    <row r="4564" spans="11:20" x14ac:dyDescent="0.25">
      <c r="K4564" s="312"/>
      <c r="N4564" s="514"/>
      <c r="R4564" s="293"/>
      <c r="S4564" s="316"/>
      <c r="T4564" s="355"/>
    </row>
    <row r="4565" spans="11:20" x14ac:dyDescent="0.25">
      <c r="K4565" s="312"/>
      <c r="N4565" s="514"/>
      <c r="R4565" s="293"/>
      <c r="S4565" s="316"/>
      <c r="T4565" s="355"/>
    </row>
    <row r="4566" spans="11:20" x14ac:dyDescent="0.25">
      <c r="K4566" s="312"/>
      <c r="N4566" s="514"/>
      <c r="R4566" s="293"/>
      <c r="S4566" s="316"/>
      <c r="T4566" s="355"/>
    </row>
    <row r="4567" spans="11:20" x14ac:dyDescent="0.25">
      <c r="K4567" s="312"/>
      <c r="N4567" s="514"/>
      <c r="R4567" s="293"/>
      <c r="S4567" s="316"/>
      <c r="T4567" s="355"/>
    </row>
    <row r="4568" spans="11:20" x14ac:dyDescent="0.25">
      <c r="K4568" s="312"/>
      <c r="N4568" s="514"/>
      <c r="R4568" s="293"/>
      <c r="S4568" s="316"/>
      <c r="T4568" s="355"/>
    </row>
    <row r="4569" spans="11:20" x14ac:dyDescent="0.25">
      <c r="K4569" s="312"/>
      <c r="N4569" s="514"/>
      <c r="R4569" s="293"/>
      <c r="S4569" s="316"/>
      <c r="T4569" s="355"/>
    </row>
    <row r="4570" spans="11:20" x14ac:dyDescent="0.25">
      <c r="K4570" s="312"/>
      <c r="N4570" s="514"/>
      <c r="R4570" s="293"/>
      <c r="S4570" s="316"/>
      <c r="T4570" s="355"/>
    </row>
    <row r="4571" spans="11:20" x14ac:dyDescent="0.25">
      <c r="K4571" s="312"/>
      <c r="N4571" s="514"/>
      <c r="R4571" s="293"/>
      <c r="S4571" s="316"/>
      <c r="T4571" s="355"/>
    </row>
    <row r="4572" spans="11:20" x14ac:dyDescent="0.25">
      <c r="K4572" s="312"/>
      <c r="N4572" s="514"/>
      <c r="R4572" s="293"/>
      <c r="S4572" s="316"/>
      <c r="T4572" s="355"/>
    </row>
    <row r="4573" spans="11:20" x14ac:dyDescent="0.25">
      <c r="K4573" s="312"/>
      <c r="N4573" s="514"/>
      <c r="R4573" s="293"/>
      <c r="S4573" s="316"/>
      <c r="T4573" s="355"/>
    </row>
    <row r="4574" spans="11:20" x14ac:dyDescent="0.25">
      <c r="K4574" s="312"/>
      <c r="N4574" s="514"/>
      <c r="R4574" s="293"/>
      <c r="S4574" s="316"/>
      <c r="T4574" s="355"/>
    </row>
    <row r="4575" spans="11:20" x14ac:dyDescent="0.25">
      <c r="K4575" s="312"/>
      <c r="N4575" s="514"/>
      <c r="R4575" s="293"/>
      <c r="S4575" s="316"/>
      <c r="T4575" s="355"/>
    </row>
    <row r="4576" spans="11:20" x14ac:dyDescent="0.25">
      <c r="K4576" s="312"/>
      <c r="N4576" s="514"/>
      <c r="R4576" s="293"/>
      <c r="S4576" s="316"/>
      <c r="T4576" s="355"/>
    </row>
    <row r="4577" spans="11:20" x14ac:dyDescent="0.25">
      <c r="K4577" s="312"/>
      <c r="N4577" s="514"/>
      <c r="R4577" s="293"/>
      <c r="S4577" s="316"/>
      <c r="T4577" s="355"/>
    </row>
    <row r="4578" spans="11:20" x14ac:dyDescent="0.25">
      <c r="K4578" s="312"/>
      <c r="N4578" s="514"/>
      <c r="R4578" s="293"/>
      <c r="S4578" s="316"/>
      <c r="T4578" s="355"/>
    </row>
    <row r="4579" spans="11:20" x14ac:dyDescent="0.25">
      <c r="K4579" s="312"/>
      <c r="N4579" s="514"/>
      <c r="R4579" s="293"/>
      <c r="S4579" s="316"/>
      <c r="T4579" s="355"/>
    </row>
    <row r="4580" spans="11:20" x14ac:dyDescent="0.25">
      <c r="K4580" s="312"/>
      <c r="N4580" s="514"/>
      <c r="R4580" s="293"/>
      <c r="S4580" s="316"/>
      <c r="T4580" s="355"/>
    </row>
    <row r="4581" spans="11:20" x14ac:dyDescent="0.25">
      <c r="K4581" s="312"/>
      <c r="N4581" s="514"/>
      <c r="R4581" s="293"/>
      <c r="S4581" s="316"/>
      <c r="T4581" s="355"/>
    </row>
    <row r="4582" spans="11:20" x14ac:dyDescent="0.25">
      <c r="K4582" s="312"/>
      <c r="N4582" s="514"/>
      <c r="R4582" s="293"/>
      <c r="S4582" s="316"/>
      <c r="T4582" s="355"/>
    </row>
    <row r="4583" spans="11:20" x14ac:dyDescent="0.25">
      <c r="K4583" s="312"/>
      <c r="N4583" s="514"/>
      <c r="R4583" s="293"/>
      <c r="S4583" s="316"/>
      <c r="T4583" s="355"/>
    </row>
    <row r="4584" spans="11:20" x14ac:dyDescent="0.25">
      <c r="K4584" s="312"/>
      <c r="N4584" s="514"/>
      <c r="R4584" s="293"/>
      <c r="S4584" s="316"/>
      <c r="T4584" s="355"/>
    </row>
    <row r="4585" spans="11:20" x14ac:dyDescent="0.25">
      <c r="K4585" s="312"/>
      <c r="N4585" s="514"/>
      <c r="R4585" s="293"/>
      <c r="S4585" s="316"/>
      <c r="T4585" s="355"/>
    </row>
    <row r="4586" spans="11:20" x14ac:dyDescent="0.25">
      <c r="K4586" s="312"/>
      <c r="N4586" s="514"/>
      <c r="R4586" s="293"/>
      <c r="S4586" s="316"/>
      <c r="T4586" s="355"/>
    </row>
    <row r="4587" spans="11:20" x14ac:dyDescent="0.25">
      <c r="K4587" s="312"/>
      <c r="N4587" s="514"/>
      <c r="R4587" s="293"/>
      <c r="S4587" s="316"/>
      <c r="T4587" s="355"/>
    </row>
    <row r="4588" spans="11:20" x14ac:dyDescent="0.25">
      <c r="K4588" s="312"/>
      <c r="N4588" s="514"/>
      <c r="R4588" s="293"/>
      <c r="S4588" s="316"/>
      <c r="T4588" s="355"/>
    </row>
    <row r="4589" spans="11:20" x14ac:dyDescent="0.25">
      <c r="K4589" s="312"/>
      <c r="N4589" s="514"/>
      <c r="R4589" s="293"/>
      <c r="S4589" s="316"/>
      <c r="T4589" s="355"/>
    </row>
    <row r="4590" spans="11:20" x14ac:dyDescent="0.25">
      <c r="K4590" s="312"/>
      <c r="N4590" s="514"/>
      <c r="R4590" s="293"/>
      <c r="S4590" s="316"/>
      <c r="T4590" s="355"/>
    </row>
    <row r="4591" spans="11:20" x14ac:dyDescent="0.25">
      <c r="K4591" s="312"/>
      <c r="N4591" s="514"/>
      <c r="R4591" s="293"/>
      <c r="S4591" s="316"/>
      <c r="T4591" s="355"/>
    </row>
    <row r="4592" spans="11:20" x14ac:dyDescent="0.25">
      <c r="K4592" s="312"/>
      <c r="N4592" s="514"/>
      <c r="R4592" s="293"/>
      <c r="S4592" s="316"/>
      <c r="T4592" s="355"/>
    </row>
    <row r="4593" spans="11:20" x14ac:dyDescent="0.25">
      <c r="K4593" s="312"/>
      <c r="N4593" s="514"/>
      <c r="R4593" s="293"/>
      <c r="S4593" s="316"/>
      <c r="T4593" s="355"/>
    </row>
    <row r="4594" spans="11:20" x14ac:dyDescent="0.25">
      <c r="K4594" s="312"/>
      <c r="N4594" s="514"/>
      <c r="R4594" s="293"/>
      <c r="S4594" s="316"/>
      <c r="T4594" s="355"/>
    </row>
    <row r="4595" spans="11:20" x14ac:dyDescent="0.25">
      <c r="K4595" s="312"/>
      <c r="N4595" s="514"/>
      <c r="R4595" s="293"/>
      <c r="S4595" s="316"/>
      <c r="T4595" s="355"/>
    </row>
    <row r="4596" spans="11:20" x14ac:dyDescent="0.25">
      <c r="K4596" s="312"/>
      <c r="N4596" s="514"/>
      <c r="R4596" s="293"/>
      <c r="S4596" s="316"/>
      <c r="T4596" s="355"/>
    </row>
    <row r="4597" spans="11:20" x14ac:dyDescent="0.25">
      <c r="K4597" s="312"/>
      <c r="N4597" s="514"/>
      <c r="R4597" s="293"/>
      <c r="S4597" s="316"/>
      <c r="T4597" s="355"/>
    </row>
    <row r="4598" spans="11:20" x14ac:dyDescent="0.25">
      <c r="K4598" s="312"/>
      <c r="N4598" s="514"/>
      <c r="R4598" s="293"/>
      <c r="S4598" s="316"/>
      <c r="T4598" s="355"/>
    </row>
    <row r="4599" spans="11:20" x14ac:dyDescent="0.25">
      <c r="K4599" s="312"/>
      <c r="N4599" s="514"/>
      <c r="R4599" s="293"/>
      <c r="S4599" s="316"/>
      <c r="T4599" s="355"/>
    </row>
    <row r="4600" spans="11:20" x14ac:dyDescent="0.25">
      <c r="K4600" s="312"/>
      <c r="N4600" s="514"/>
      <c r="R4600" s="293"/>
      <c r="S4600" s="316"/>
      <c r="T4600" s="355"/>
    </row>
    <row r="4601" spans="11:20" x14ac:dyDescent="0.25">
      <c r="K4601" s="312"/>
      <c r="N4601" s="514"/>
      <c r="R4601" s="293"/>
      <c r="S4601" s="316"/>
      <c r="T4601" s="355"/>
    </row>
    <row r="4602" spans="11:20" x14ac:dyDescent="0.25">
      <c r="K4602" s="312"/>
      <c r="N4602" s="514"/>
      <c r="R4602" s="293"/>
      <c r="S4602" s="316"/>
      <c r="T4602" s="355"/>
    </row>
    <row r="4603" spans="11:20" x14ac:dyDescent="0.25">
      <c r="K4603" s="312"/>
      <c r="N4603" s="514"/>
      <c r="R4603" s="293"/>
      <c r="S4603" s="316"/>
      <c r="T4603" s="355"/>
    </row>
    <row r="4604" spans="11:20" x14ac:dyDescent="0.25">
      <c r="K4604" s="312"/>
      <c r="N4604" s="514"/>
      <c r="R4604" s="293"/>
      <c r="S4604" s="316"/>
      <c r="T4604" s="355"/>
    </row>
    <row r="4605" spans="11:20" x14ac:dyDescent="0.25">
      <c r="K4605" s="312"/>
      <c r="N4605" s="514"/>
      <c r="R4605" s="293"/>
      <c r="S4605" s="316"/>
      <c r="T4605" s="355"/>
    </row>
    <row r="4606" spans="11:20" x14ac:dyDescent="0.25">
      <c r="K4606" s="312"/>
      <c r="N4606" s="514"/>
      <c r="R4606" s="293"/>
      <c r="S4606" s="316"/>
      <c r="T4606" s="355"/>
    </row>
    <row r="4607" spans="11:20" x14ac:dyDescent="0.25">
      <c r="K4607" s="312"/>
      <c r="N4607" s="514"/>
      <c r="R4607" s="293"/>
      <c r="S4607" s="316"/>
      <c r="T4607" s="355"/>
    </row>
    <row r="4608" spans="11:20" x14ac:dyDescent="0.25">
      <c r="K4608" s="312"/>
      <c r="N4608" s="514"/>
      <c r="R4608" s="293"/>
      <c r="S4608" s="316"/>
      <c r="T4608" s="355"/>
    </row>
    <row r="4609" spans="11:20" x14ac:dyDescent="0.25">
      <c r="K4609" s="312"/>
      <c r="N4609" s="514"/>
      <c r="R4609" s="293"/>
      <c r="S4609" s="316"/>
      <c r="T4609" s="355"/>
    </row>
    <row r="4610" spans="11:20" x14ac:dyDescent="0.25">
      <c r="K4610" s="312"/>
      <c r="N4610" s="514"/>
      <c r="R4610" s="293"/>
      <c r="S4610" s="316"/>
      <c r="T4610" s="355"/>
    </row>
    <row r="4611" spans="11:20" x14ac:dyDescent="0.25">
      <c r="K4611" s="312"/>
      <c r="N4611" s="514"/>
      <c r="R4611" s="293"/>
      <c r="S4611" s="316"/>
      <c r="T4611" s="355"/>
    </row>
    <row r="4612" spans="11:20" x14ac:dyDescent="0.25">
      <c r="K4612" s="312"/>
      <c r="N4612" s="514"/>
      <c r="R4612" s="293"/>
      <c r="S4612" s="316"/>
      <c r="T4612" s="355"/>
    </row>
    <row r="4613" spans="11:20" x14ac:dyDescent="0.25">
      <c r="K4613" s="312"/>
      <c r="N4613" s="514"/>
      <c r="R4613" s="293"/>
      <c r="S4613" s="316"/>
      <c r="T4613" s="355"/>
    </row>
    <row r="4614" spans="11:20" x14ac:dyDescent="0.25">
      <c r="K4614" s="312"/>
      <c r="N4614" s="514"/>
      <c r="R4614" s="293"/>
      <c r="S4614" s="316"/>
      <c r="T4614" s="355"/>
    </row>
    <row r="4615" spans="11:20" x14ac:dyDescent="0.25">
      <c r="K4615" s="312"/>
      <c r="N4615" s="514"/>
      <c r="R4615" s="293"/>
      <c r="S4615" s="316"/>
      <c r="T4615" s="355"/>
    </row>
    <row r="4616" spans="11:20" x14ac:dyDescent="0.25">
      <c r="K4616" s="312"/>
      <c r="N4616" s="514"/>
      <c r="R4616" s="293"/>
      <c r="S4616" s="316"/>
      <c r="T4616" s="355"/>
    </row>
    <row r="4617" spans="11:20" x14ac:dyDescent="0.25">
      <c r="K4617" s="312"/>
      <c r="N4617" s="514"/>
      <c r="R4617" s="293"/>
      <c r="S4617" s="316"/>
      <c r="T4617" s="355"/>
    </row>
    <row r="4618" spans="11:20" x14ac:dyDescent="0.25">
      <c r="K4618" s="312"/>
      <c r="N4618" s="514"/>
      <c r="R4618" s="293"/>
      <c r="S4618" s="316"/>
      <c r="T4618" s="355"/>
    </row>
    <row r="4619" spans="11:20" x14ac:dyDescent="0.25">
      <c r="K4619" s="312"/>
      <c r="N4619" s="514"/>
      <c r="R4619" s="293"/>
      <c r="S4619" s="316"/>
      <c r="T4619" s="355"/>
    </row>
    <row r="4620" spans="11:20" x14ac:dyDescent="0.25">
      <c r="K4620" s="312"/>
      <c r="N4620" s="514"/>
      <c r="R4620" s="293"/>
      <c r="S4620" s="316"/>
      <c r="T4620" s="355"/>
    </row>
    <row r="4621" spans="11:20" x14ac:dyDescent="0.25">
      <c r="K4621" s="312"/>
      <c r="N4621" s="514"/>
      <c r="R4621" s="293"/>
      <c r="S4621" s="316"/>
      <c r="T4621" s="355"/>
    </row>
    <row r="4622" spans="11:20" x14ac:dyDescent="0.25">
      <c r="K4622" s="312"/>
      <c r="N4622" s="514"/>
      <c r="R4622" s="293"/>
      <c r="S4622" s="316"/>
      <c r="T4622" s="355"/>
    </row>
    <row r="4623" spans="11:20" x14ac:dyDescent="0.25">
      <c r="K4623" s="312"/>
      <c r="N4623" s="514"/>
      <c r="R4623" s="293"/>
      <c r="S4623" s="316"/>
      <c r="T4623" s="355"/>
    </row>
    <row r="4624" spans="11:20" x14ac:dyDescent="0.25">
      <c r="K4624" s="312"/>
      <c r="N4624" s="514"/>
      <c r="R4624" s="293"/>
      <c r="S4624" s="316"/>
      <c r="T4624" s="355"/>
    </row>
    <row r="4625" spans="11:20" x14ac:dyDescent="0.25">
      <c r="K4625" s="312"/>
      <c r="N4625" s="514"/>
      <c r="R4625" s="293"/>
      <c r="S4625" s="316"/>
      <c r="T4625" s="355"/>
    </row>
    <row r="4626" spans="11:20" x14ac:dyDescent="0.25">
      <c r="K4626" s="312"/>
      <c r="N4626" s="514"/>
      <c r="R4626" s="293"/>
      <c r="S4626" s="316"/>
      <c r="T4626" s="355"/>
    </row>
    <row r="4627" spans="11:20" x14ac:dyDescent="0.25">
      <c r="K4627" s="312"/>
      <c r="N4627" s="514"/>
      <c r="R4627" s="293"/>
      <c r="S4627" s="316"/>
      <c r="T4627" s="355"/>
    </row>
    <row r="4628" spans="11:20" x14ac:dyDescent="0.25">
      <c r="K4628" s="312"/>
      <c r="N4628" s="514"/>
      <c r="R4628" s="293"/>
      <c r="S4628" s="316"/>
      <c r="T4628" s="355"/>
    </row>
    <row r="4629" spans="11:20" x14ac:dyDescent="0.25">
      <c r="K4629" s="312"/>
      <c r="N4629" s="514"/>
      <c r="R4629" s="293"/>
      <c r="S4629" s="316"/>
      <c r="T4629" s="355"/>
    </row>
    <row r="4630" spans="11:20" x14ac:dyDescent="0.25">
      <c r="K4630" s="312"/>
      <c r="N4630" s="514"/>
      <c r="R4630" s="293"/>
      <c r="S4630" s="316"/>
      <c r="T4630" s="355"/>
    </row>
    <row r="4631" spans="11:20" x14ac:dyDescent="0.25">
      <c r="K4631" s="312"/>
      <c r="N4631" s="514"/>
      <c r="R4631" s="293"/>
      <c r="S4631" s="316"/>
      <c r="T4631" s="355"/>
    </row>
    <row r="4632" spans="11:20" x14ac:dyDescent="0.25">
      <c r="K4632" s="312"/>
      <c r="N4632" s="514"/>
      <c r="R4632" s="293"/>
      <c r="S4632" s="316"/>
      <c r="T4632" s="355"/>
    </row>
    <row r="4633" spans="11:20" x14ac:dyDescent="0.25">
      <c r="K4633" s="312"/>
      <c r="N4633" s="514"/>
      <c r="R4633" s="293"/>
      <c r="S4633" s="316"/>
      <c r="T4633" s="355"/>
    </row>
    <row r="4634" spans="11:20" x14ac:dyDescent="0.25">
      <c r="K4634" s="312"/>
      <c r="N4634" s="514"/>
      <c r="R4634" s="293"/>
      <c r="S4634" s="316"/>
      <c r="T4634" s="355"/>
    </row>
    <row r="4635" spans="11:20" x14ac:dyDescent="0.25">
      <c r="K4635" s="312"/>
      <c r="N4635" s="514"/>
      <c r="R4635" s="293"/>
      <c r="S4635" s="316"/>
      <c r="T4635" s="355"/>
    </row>
    <row r="4636" spans="11:20" x14ac:dyDescent="0.25">
      <c r="K4636" s="312"/>
      <c r="N4636" s="514"/>
      <c r="R4636" s="293"/>
      <c r="S4636" s="316"/>
      <c r="T4636" s="355"/>
    </row>
    <row r="4637" spans="11:20" x14ac:dyDescent="0.25">
      <c r="K4637" s="312"/>
      <c r="N4637" s="514"/>
      <c r="R4637" s="293"/>
      <c r="S4637" s="316"/>
      <c r="T4637" s="355"/>
    </row>
    <row r="4638" spans="11:20" x14ac:dyDescent="0.25">
      <c r="K4638" s="312"/>
      <c r="N4638" s="514"/>
      <c r="R4638" s="293"/>
      <c r="S4638" s="316"/>
      <c r="T4638" s="355"/>
    </row>
    <row r="4639" spans="11:20" x14ac:dyDescent="0.25">
      <c r="K4639" s="312"/>
      <c r="N4639" s="514"/>
      <c r="R4639" s="293"/>
      <c r="S4639" s="316"/>
      <c r="T4639" s="355"/>
    </row>
    <row r="4640" spans="11:20" x14ac:dyDescent="0.25">
      <c r="K4640" s="312"/>
      <c r="N4640" s="514"/>
      <c r="R4640" s="293"/>
      <c r="S4640" s="316"/>
      <c r="T4640" s="355"/>
    </row>
    <row r="4641" spans="11:20" x14ac:dyDescent="0.25">
      <c r="K4641" s="312"/>
      <c r="N4641" s="514"/>
      <c r="R4641" s="293"/>
      <c r="S4641" s="316"/>
      <c r="T4641" s="355"/>
    </row>
    <row r="4642" spans="11:20" x14ac:dyDescent="0.25">
      <c r="K4642" s="312"/>
      <c r="N4642" s="514"/>
      <c r="R4642" s="293"/>
      <c r="S4642" s="316"/>
      <c r="T4642" s="355"/>
    </row>
    <row r="4643" spans="11:20" x14ac:dyDescent="0.25">
      <c r="K4643" s="312"/>
      <c r="N4643" s="514"/>
      <c r="R4643" s="293"/>
      <c r="S4643" s="316"/>
      <c r="T4643" s="355"/>
    </row>
    <row r="4644" spans="11:20" x14ac:dyDescent="0.25">
      <c r="K4644" s="312"/>
      <c r="N4644" s="514"/>
      <c r="R4644" s="293"/>
      <c r="S4644" s="316"/>
      <c r="T4644" s="355"/>
    </row>
    <row r="4645" spans="11:20" x14ac:dyDescent="0.25">
      <c r="K4645" s="312"/>
      <c r="N4645" s="514"/>
      <c r="R4645" s="293"/>
      <c r="S4645" s="316"/>
      <c r="T4645" s="355"/>
    </row>
    <row r="4646" spans="11:20" x14ac:dyDescent="0.25">
      <c r="K4646" s="312"/>
      <c r="N4646" s="514"/>
      <c r="R4646" s="293"/>
      <c r="S4646" s="316"/>
      <c r="T4646" s="355"/>
    </row>
    <row r="4647" spans="11:20" x14ac:dyDescent="0.25">
      <c r="K4647" s="312"/>
      <c r="N4647" s="514"/>
      <c r="R4647" s="293"/>
      <c r="S4647" s="316"/>
      <c r="T4647" s="355"/>
    </row>
    <row r="4648" spans="11:20" x14ac:dyDescent="0.25">
      <c r="K4648" s="312"/>
      <c r="N4648" s="514"/>
      <c r="R4648" s="293"/>
      <c r="S4648" s="316"/>
      <c r="T4648" s="355"/>
    </row>
    <row r="4649" spans="11:20" x14ac:dyDescent="0.25">
      <c r="K4649" s="312"/>
      <c r="N4649" s="514"/>
      <c r="R4649" s="293"/>
      <c r="S4649" s="316"/>
      <c r="T4649" s="355"/>
    </row>
    <row r="4650" spans="11:20" x14ac:dyDescent="0.25">
      <c r="K4650" s="312"/>
      <c r="N4650" s="514"/>
      <c r="R4650" s="293"/>
      <c r="S4650" s="316"/>
      <c r="T4650" s="355"/>
    </row>
    <row r="4651" spans="11:20" x14ac:dyDescent="0.25">
      <c r="K4651" s="312"/>
      <c r="N4651" s="514"/>
      <c r="R4651" s="293"/>
      <c r="S4651" s="316"/>
      <c r="T4651" s="355"/>
    </row>
    <row r="4652" spans="11:20" x14ac:dyDescent="0.25">
      <c r="K4652" s="312"/>
      <c r="N4652" s="514"/>
      <c r="R4652" s="293"/>
      <c r="S4652" s="316"/>
      <c r="T4652" s="355"/>
    </row>
    <row r="4653" spans="11:20" x14ac:dyDescent="0.25">
      <c r="K4653" s="312"/>
      <c r="N4653" s="514"/>
      <c r="R4653" s="293"/>
      <c r="S4653" s="316"/>
      <c r="T4653" s="355"/>
    </row>
    <row r="4654" spans="11:20" x14ac:dyDescent="0.25">
      <c r="K4654" s="312"/>
      <c r="N4654" s="514"/>
      <c r="R4654" s="293"/>
      <c r="S4654" s="316"/>
      <c r="T4654" s="355"/>
    </row>
    <row r="4655" spans="11:20" x14ac:dyDescent="0.25">
      <c r="K4655" s="312"/>
      <c r="N4655" s="514"/>
      <c r="R4655" s="293"/>
      <c r="S4655" s="316"/>
      <c r="T4655" s="355"/>
    </row>
    <row r="4656" spans="11:20" x14ac:dyDescent="0.25">
      <c r="K4656" s="312"/>
      <c r="N4656" s="514"/>
      <c r="R4656" s="293"/>
      <c r="S4656" s="316"/>
      <c r="T4656" s="355"/>
    </row>
    <row r="4657" spans="11:20" x14ac:dyDescent="0.25">
      <c r="K4657" s="312"/>
      <c r="N4657" s="514"/>
      <c r="R4657" s="293"/>
      <c r="S4657" s="316"/>
      <c r="T4657" s="355"/>
    </row>
    <row r="4658" spans="11:20" x14ac:dyDescent="0.25">
      <c r="K4658" s="312"/>
      <c r="N4658" s="514"/>
      <c r="R4658" s="293"/>
      <c r="S4658" s="316"/>
      <c r="T4658" s="355"/>
    </row>
    <row r="4659" spans="11:20" x14ac:dyDescent="0.25">
      <c r="K4659" s="312"/>
      <c r="N4659" s="514"/>
      <c r="R4659" s="293"/>
      <c r="S4659" s="316"/>
      <c r="T4659" s="355"/>
    </row>
    <row r="4660" spans="11:20" x14ac:dyDescent="0.25">
      <c r="K4660" s="312"/>
      <c r="N4660" s="514"/>
      <c r="R4660" s="293"/>
      <c r="S4660" s="316"/>
      <c r="T4660" s="355"/>
    </row>
    <row r="4661" spans="11:20" x14ac:dyDescent="0.25">
      <c r="K4661" s="312"/>
      <c r="N4661" s="514"/>
      <c r="R4661" s="293"/>
      <c r="S4661" s="316"/>
      <c r="T4661" s="355"/>
    </row>
    <row r="4662" spans="11:20" x14ac:dyDescent="0.25">
      <c r="K4662" s="312"/>
      <c r="N4662" s="514"/>
      <c r="R4662" s="293"/>
      <c r="S4662" s="316"/>
      <c r="T4662" s="355"/>
    </row>
    <row r="4663" spans="11:20" x14ac:dyDescent="0.25">
      <c r="K4663" s="312"/>
      <c r="N4663" s="514"/>
      <c r="R4663" s="293"/>
      <c r="S4663" s="316"/>
      <c r="T4663" s="355"/>
    </row>
    <row r="4664" spans="11:20" x14ac:dyDescent="0.25">
      <c r="K4664" s="312"/>
      <c r="N4664" s="514"/>
      <c r="R4664" s="293"/>
      <c r="S4664" s="316"/>
      <c r="T4664" s="355"/>
    </row>
    <row r="4665" spans="11:20" x14ac:dyDescent="0.25">
      <c r="K4665" s="312"/>
      <c r="N4665" s="514"/>
      <c r="R4665" s="293"/>
      <c r="S4665" s="316"/>
      <c r="T4665" s="355"/>
    </row>
    <row r="4666" spans="11:20" x14ac:dyDescent="0.25">
      <c r="K4666" s="312"/>
      <c r="N4666" s="514"/>
      <c r="R4666" s="293"/>
      <c r="S4666" s="316"/>
      <c r="T4666" s="355"/>
    </row>
    <row r="4667" spans="11:20" x14ac:dyDescent="0.25">
      <c r="K4667" s="312"/>
      <c r="N4667" s="514"/>
      <c r="R4667" s="293"/>
      <c r="S4667" s="316"/>
      <c r="T4667" s="355"/>
    </row>
    <row r="4668" spans="11:20" x14ac:dyDescent="0.25">
      <c r="K4668" s="312"/>
      <c r="N4668" s="514"/>
      <c r="R4668" s="293"/>
      <c r="S4668" s="316"/>
      <c r="T4668" s="355"/>
    </row>
    <row r="4669" spans="11:20" x14ac:dyDescent="0.25">
      <c r="K4669" s="312"/>
      <c r="N4669" s="514"/>
      <c r="R4669" s="293"/>
      <c r="S4669" s="316"/>
      <c r="T4669" s="355"/>
    </row>
    <row r="4670" spans="11:20" x14ac:dyDescent="0.25">
      <c r="K4670" s="312"/>
      <c r="N4670" s="514"/>
      <c r="R4670" s="293"/>
      <c r="S4670" s="316"/>
      <c r="T4670" s="355"/>
    </row>
    <row r="4671" spans="11:20" x14ac:dyDescent="0.25">
      <c r="K4671" s="312"/>
      <c r="N4671" s="514"/>
      <c r="R4671" s="293"/>
      <c r="S4671" s="316"/>
      <c r="T4671" s="355"/>
    </row>
    <row r="4672" spans="11:20" x14ac:dyDescent="0.25">
      <c r="K4672" s="312"/>
      <c r="N4672" s="514"/>
      <c r="R4672" s="293"/>
      <c r="S4672" s="316"/>
      <c r="T4672" s="355"/>
    </row>
    <row r="4673" spans="11:20" x14ac:dyDescent="0.25">
      <c r="K4673" s="312"/>
      <c r="N4673" s="514"/>
      <c r="R4673" s="293"/>
      <c r="S4673" s="316"/>
      <c r="T4673" s="355"/>
    </row>
    <row r="4674" spans="11:20" x14ac:dyDescent="0.25">
      <c r="K4674" s="312"/>
      <c r="N4674" s="514"/>
      <c r="R4674" s="293"/>
      <c r="S4674" s="316"/>
      <c r="T4674" s="355"/>
    </row>
    <row r="4675" spans="11:20" x14ac:dyDescent="0.25">
      <c r="K4675" s="312"/>
      <c r="N4675" s="514"/>
      <c r="R4675" s="293"/>
      <c r="S4675" s="316"/>
      <c r="T4675" s="355"/>
    </row>
    <row r="4676" spans="11:20" x14ac:dyDescent="0.25">
      <c r="K4676" s="312"/>
      <c r="N4676" s="514"/>
      <c r="R4676" s="293"/>
      <c r="S4676" s="316"/>
      <c r="T4676" s="355"/>
    </row>
    <row r="4677" spans="11:20" x14ac:dyDescent="0.25">
      <c r="K4677" s="312"/>
      <c r="N4677" s="514"/>
      <c r="R4677" s="293"/>
      <c r="S4677" s="316"/>
      <c r="T4677" s="355"/>
    </row>
    <row r="4678" spans="11:20" x14ac:dyDescent="0.25">
      <c r="K4678" s="312"/>
      <c r="N4678" s="514"/>
      <c r="R4678" s="293"/>
      <c r="S4678" s="316"/>
      <c r="T4678" s="355"/>
    </row>
    <row r="4679" spans="11:20" x14ac:dyDescent="0.25">
      <c r="K4679" s="312"/>
      <c r="N4679" s="514"/>
      <c r="R4679" s="293"/>
      <c r="S4679" s="316"/>
      <c r="T4679" s="355"/>
    </row>
    <row r="4680" spans="11:20" x14ac:dyDescent="0.25">
      <c r="K4680" s="312"/>
      <c r="N4680" s="514"/>
      <c r="R4680" s="293"/>
      <c r="S4680" s="316"/>
      <c r="T4680" s="355"/>
    </row>
    <row r="4681" spans="11:20" x14ac:dyDescent="0.25">
      <c r="K4681" s="312"/>
      <c r="N4681" s="514"/>
      <c r="R4681" s="293"/>
      <c r="S4681" s="316"/>
      <c r="T4681" s="355"/>
    </row>
    <row r="4682" spans="11:20" x14ac:dyDescent="0.25">
      <c r="K4682" s="312"/>
      <c r="N4682" s="514"/>
      <c r="R4682" s="293"/>
      <c r="S4682" s="316"/>
      <c r="T4682" s="355"/>
    </row>
    <row r="4683" spans="11:20" x14ac:dyDescent="0.25">
      <c r="K4683" s="312"/>
      <c r="N4683" s="514"/>
      <c r="R4683" s="293"/>
      <c r="S4683" s="316"/>
      <c r="T4683" s="355"/>
    </row>
    <row r="4684" spans="11:20" x14ac:dyDescent="0.25">
      <c r="K4684" s="312"/>
      <c r="N4684" s="514"/>
      <c r="R4684" s="293"/>
      <c r="S4684" s="316"/>
      <c r="T4684" s="355"/>
    </row>
    <row r="4685" spans="11:20" x14ac:dyDescent="0.25">
      <c r="K4685" s="312"/>
      <c r="N4685" s="514"/>
      <c r="R4685" s="293"/>
      <c r="S4685" s="316"/>
      <c r="T4685" s="355"/>
    </row>
    <row r="4686" spans="11:20" x14ac:dyDescent="0.25">
      <c r="K4686" s="312"/>
      <c r="N4686" s="514"/>
      <c r="R4686" s="293"/>
      <c r="S4686" s="316"/>
      <c r="T4686" s="355"/>
    </row>
    <row r="4687" spans="11:20" x14ac:dyDescent="0.25">
      <c r="K4687" s="312"/>
      <c r="N4687" s="514"/>
      <c r="R4687" s="293"/>
      <c r="S4687" s="316"/>
      <c r="T4687" s="355"/>
    </row>
    <row r="4688" spans="11:20" x14ac:dyDescent="0.25">
      <c r="K4688" s="312"/>
      <c r="N4688" s="514"/>
      <c r="R4688" s="293"/>
      <c r="S4688" s="316"/>
      <c r="T4688" s="355"/>
    </row>
    <row r="4689" spans="11:20" x14ac:dyDescent="0.25">
      <c r="K4689" s="312"/>
      <c r="N4689" s="514"/>
      <c r="R4689" s="293"/>
      <c r="S4689" s="316"/>
      <c r="T4689" s="355"/>
    </row>
    <row r="4690" spans="11:20" x14ac:dyDescent="0.25">
      <c r="K4690" s="312"/>
      <c r="N4690" s="514"/>
      <c r="R4690" s="293"/>
      <c r="S4690" s="316"/>
      <c r="T4690" s="355"/>
    </row>
    <row r="4691" spans="11:20" x14ac:dyDescent="0.25">
      <c r="K4691" s="312"/>
      <c r="N4691" s="514"/>
      <c r="R4691" s="293"/>
      <c r="S4691" s="316"/>
      <c r="T4691" s="355"/>
    </row>
    <row r="4692" spans="11:20" x14ac:dyDescent="0.25">
      <c r="K4692" s="312"/>
      <c r="N4692" s="514"/>
      <c r="R4692" s="293"/>
      <c r="S4692" s="316"/>
      <c r="T4692" s="355"/>
    </row>
    <row r="4693" spans="11:20" x14ac:dyDescent="0.25">
      <c r="K4693" s="312"/>
      <c r="N4693" s="514"/>
      <c r="R4693" s="293"/>
      <c r="S4693" s="316"/>
      <c r="T4693" s="355"/>
    </row>
    <row r="4694" spans="11:20" x14ac:dyDescent="0.25">
      <c r="K4694" s="312"/>
      <c r="N4694" s="514"/>
      <c r="R4694" s="293"/>
      <c r="S4694" s="316"/>
      <c r="T4694" s="355"/>
    </row>
    <row r="4695" spans="11:20" x14ac:dyDescent="0.25">
      <c r="K4695" s="312"/>
      <c r="N4695" s="514"/>
      <c r="R4695" s="293"/>
      <c r="S4695" s="316"/>
      <c r="T4695" s="355"/>
    </row>
    <row r="4696" spans="11:20" x14ac:dyDescent="0.25">
      <c r="K4696" s="312"/>
      <c r="N4696" s="514"/>
      <c r="R4696" s="293"/>
      <c r="S4696" s="316"/>
      <c r="T4696" s="355"/>
    </row>
    <row r="4697" spans="11:20" x14ac:dyDescent="0.25">
      <c r="K4697" s="312"/>
      <c r="N4697" s="514"/>
      <c r="R4697" s="293"/>
      <c r="S4697" s="316"/>
      <c r="T4697" s="355"/>
    </row>
    <row r="4698" spans="11:20" x14ac:dyDescent="0.25">
      <c r="K4698" s="312"/>
      <c r="N4698" s="514"/>
      <c r="R4698" s="293"/>
      <c r="S4698" s="316"/>
      <c r="T4698" s="355"/>
    </row>
    <row r="4699" spans="11:20" x14ac:dyDescent="0.25">
      <c r="K4699" s="312"/>
      <c r="N4699" s="514"/>
      <c r="R4699" s="293"/>
      <c r="S4699" s="316"/>
      <c r="T4699" s="355"/>
    </row>
    <row r="4700" spans="11:20" x14ac:dyDescent="0.25">
      <c r="K4700" s="312"/>
      <c r="N4700" s="514"/>
      <c r="R4700" s="293"/>
      <c r="S4700" s="316"/>
      <c r="T4700" s="355"/>
    </row>
    <row r="4701" spans="11:20" x14ac:dyDescent="0.25">
      <c r="K4701" s="312"/>
      <c r="N4701" s="514"/>
      <c r="R4701" s="293"/>
      <c r="S4701" s="316"/>
      <c r="T4701" s="355"/>
    </row>
    <row r="4702" spans="11:20" x14ac:dyDescent="0.25">
      <c r="K4702" s="312"/>
      <c r="N4702" s="514"/>
      <c r="R4702" s="293"/>
      <c r="S4702" s="316"/>
      <c r="T4702" s="355"/>
    </row>
    <row r="4703" spans="11:20" x14ac:dyDescent="0.25">
      <c r="K4703" s="312"/>
      <c r="N4703" s="514"/>
      <c r="R4703" s="293"/>
      <c r="S4703" s="316"/>
      <c r="T4703" s="355"/>
    </row>
    <row r="4704" spans="11:20" x14ac:dyDescent="0.25">
      <c r="K4704" s="312"/>
      <c r="N4704" s="514"/>
      <c r="R4704" s="293"/>
      <c r="S4704" s="316"/>
      <c r="T4704" s="355"/>
    </row>
    <row r="4705" spans="11:20" x14ac:dyDescent="0.25">
      <c r="K4705" s="312"/>
      <c r="N4705" s="514"/>
      <c r="R4705" s="293"/>
      <c r="S4705" s="316"/>
      <c r="T4705" s="355"/>
    </row>
    <row r="4706" spans="11:20" x14ac:dyDescent="0.25">
      <c r="K4706" s="312"/>
      <c r="N4706" s="514"/>
      <c r="R4706" s="293"/>
      <c r="S4706" s="316"/>
      <c r="T4706" s="355"/>
    </row>
    <row r="4707" spans="11:20" x14ac:dyDescent="0.25">
      <c r="K4707" s="312"/>
      <c r="N4707" s="514"/>
      <c r="R4707" s="293"/>
      <c r="S4707" s="316"/>
      <c r="T4707" s="355"/>
    </row>
    <row r="4708" spans="11:20" x14ac:dyDescent="0.25">
      <c r="K4708" s="312"/>
      <c r="N4708" s="514"/>
      <c r="R4708" s="293"/>
      <c r="S4708" s="316"/>
      <c r="T4708" s="355"/>
    </row>
    <row r="4709" spans="11:20" x14ac:dyDescent="0.25">
      <c r="K4709" s="312"/>
      <c r="N4709" s="514"/>
      <c r="R4709" s="293"/>
      <c r="S4709" s="316"/>
      <c r="T4709" s="355"/>
    </row>
    <row r="4710" spans="11:20" x14ac:dyDescent="0.25">
      <c r="K4710" s="312"/>
      <c r="N4710" s="514"/>
      <c r="R4710" s="293"/>
      <c r="S4710" s="316"/>
      <c r="T4710" s="355"/>
    </row>
    <row r="4711" spans="11:20" x14ac:dyDescent="0.25">
      <c r="K4711" s="312"/>
      <c r="N4711" s="514"/>
      <c r="R4711" s="293"/>
      <c r="S4711" s="316"/>
      <c r="T4711" s="355"/>
    </row>
    <row r="4712" spans="11:20" x14ac:dyDescent="0.25">
      <c r="K4712" s="312"/>
      <c r="N4712" s="514"/>
      <c r="R4712" s="293"/>
      <c r="S4712" s="316"/>
      <c r="T4712" s="355"/>
    </row>
    <row r="4713" spans="11:20" x14ac:dyDescent="0.25">
      <c r="K4713" s="312"/>
      <c r="N4713" s="514"/>
      <c r="R4713" s="293"/>
      <c r="S4713" s="316"/>
      <c r="T4713" s="355"/>
    </row>
    <row r="4714" spans="11:20" x14ac:dyDescent="0.25">
      <c r="K4714" s="312"/>
      <c r="N4714" s="514"/>
      <c r="R4714" s="293"/>
      <c r="S4714" s="316"/>
      <c r="T4714" s="355"/>
    </row>
    <row r="4715" spans="11:20" x14ac:dyDescent="0.25">
      <c r="K4715" s="312"/>
      <c r="N4715" s="514"/>
      <c r="R4715" s="293"/>
      <c r="S4715" s="316"/>
      <c r="T4715" s="355"/>
    </row>
    <row r="4716" spans="11:20" x14ac:dyDescent="0.25">
      <c r="K4716" s="312"/>
      <c r="N4716" s="514"/>
      <c r="R4716" s="293"/>
      <c r="S4716" s="316"/>
      <c r="T4716" s="355"/>
    </row>
    <row r="4717" spans="11:20" x14ac:dyDescent="0.25">
      <c r="K4717" s="312"/>
      <c r="N4717" s="514"/>
      <c r="R4717" s="293"/>
      <c r="S4717" s="316"/>
      <c r="T4717" s="355"/>
    </row>
    <row r="4718" spans="11:20" x14ac:dyDescent="0.25">
      <c r="K4718" s="312"/>
      <c r="N4718" s="514"/>
      <c r="R4718" s="293"/>
      <c r="S4718" s="316"/>
      <c r="T4718" s="355"/>
    </row>
    <row r="4719" spans="11:20" x14ac:dyDescent="0.25">
      <c r="K4719" s="312"/>
      <c r="N4719" s="514"/>
      <c r="R4719" s="293"/>
      <c r="S4719" s="316"/>
      <c r="T4719" s="355"/>
    </row>
    <row r="4720" spans="11:20" x14ac:dyDescent="0.25">
      <c r="K4720" s="312"/>
      <c r="N4720" s="514"/>
      <c r="R4720" s="293"/>
      <c r="S4720" s="316"/>
      <c r="T4720" s="355"/>
    </row>
    <row r="4721" spans="11:20" x14ac:dyDescent="0.25">
      <c r="K4721" s="312"/>
      <c r="N4721" s="514"/>
      <c r="R4721" s="293"/>
      <c r="S4721" s="316"/>
      <c r="T4721" s="355"/>
    </row>
    <row r="4722" spans="11:20" x14ac:dyDescent="0.25">
      <c r="K4722" s="312"/>
      <c r="N4722" s="514"/>
      <c r="R4722" s="293"/>
      <c r="S4722" s="316"/>
      <c r="T4722" s="355"/>
    </row>
    <row r="4723" spans="11:20" x14ac:dyDescent="0.25">
      <c r="K4723" s="312"/>
      <c r="N4723" s="514"/>
      <c r="R4723" s="293"/>
      <c r="S4723" s="316"/>
      <c r="T4723" s="355"/>
    </row>
    <row r="4724" spans="11:20" x14ac:dyDescent="0.25">
      <c r="K4724" s="312"/>
      <c r="N4724" s="514"/>
      <c r="R4724" s="293"/>
      <c r="S4724" s="316"/>
      <c r="T4724" s="355"/>
    </row>
    <row r="4725" spans="11:20" x14ac:dyDescent="0.25">
      <c r="K4725" s="312"/>
      <c r="N4725" s="514"/>
      <c r="R4725" s="293"/>
      <c r="S4725" s="316"/>
      <c r="T4725" s="355"/>
    </row>
    <row r="4726" spans="11:20" x14ac:dyDescent="0.25">
      <c r="K4726" s="312"/>
      <c r="N4726" s="514"/>
      <c r="R4726" s="293"/>
      <c r="S4726" s="316"/>
      <c r="T4726" s="355"/>
    </row>
    <row r="4727" spans="11:20" x14ac:dyDescent="0.25">
      <c r="K4727" s="312"/>
      <c r="N4727" s="514"/>
      <c r="R4727" s="293"/>
      <c r="S4727" s="316"/>
      <c r="T4727" s="355"/>
    </row>
    <row r="4728" spans="11:20" x14ac:dyDescent="0.25">
      <c r="K4728" s="312"/>
      <c r="N4728" s="514"/>
      <c r="R4728" s="293"/>
      <c r="S4728" s="316"/>
      <c r="T4728" s="355"/>
    </row>
    <row r="4729" spans="11:20" x14ac:dyDescent="0.25">
      <c r="K4729" s="312"/>
      <c r="N4729" s="514"/>
      <c r="R4729" s="293"/>
      <c r="S4729" s="316"/>
      <c r="T4729" s="355"/>
    </row>
    <row r="4730" spans="11:20" x14ac:dyDescent="0.25">
      <c r="K4730" s="312"/>
      <c r="N4730" s="514"/>
      <c r="R4730" s="293"/>
      <c r="S4730" s="316"/>
      <c r="T4730" s="355"/>
    </row>
    <row r="4731" spans="11:20" x14ac:dyDescent="0.25">
      <c r="K4731" s="312"/>
      <c r="N4731" s="514"/>
      <c r="R4731" s="293"/>
      <c r="S4731" s="316"/>
      <c r="T4731" s="355"/>
    </row>
    <row r="4732" spans="11:20" x14ac:dyDescent="0.25">
      <c r="K4732" s="312"/>
      <c r="N4732" s="514"/>
      <c r="R4732" s="293"/>
      <c r="S4732" s="316"/>
      <c r="T4732" s="355"/>
    </row>
    <row r="4733" spans="11:20" x14ac:dyDescent="0.25">
      <c r="K4733" s="312"/>
      <c r="N4733" s="514"/>
      <c r="R4733" s="293"/>
      <c r="S4733" s="316"/>
      <c r="T4733" s="355"/>
    </row>
    <row r="4734" spans="11:20" x14ac:dyDescent="0.25">
      <c r="K4734" s="312"/>
      <c r="N4734" s="514"/>
      <c r="R4734" s="293"/>
      <c r="S4734" s="316"/>
      <c r="T4734" s="355"/>
    </row>
    <row r="4735" spans="11:20" x14ac:dyDescent="0.25">
      <c r="K4735" s="312"/>
      <c r="N4735" s="514"/>
      <c r="R4735" s="293"/>
      <c r="S4735" s="316"/>
      <c r="T4735" s="355"/>
    </row>
    <row r="4736" spans="11:20" x14ac:dyDescent="0.25">
      <c r="K4736" s="312"/>
      <c r="N4736" s="514"/>
      <c r="R4736" s="293"/>
      <c r="S4736" s="316"/>
      <c r="T4736" s="355"/>
    </row>
    <row r="4737" spans="11:20" x14ac:dyDescent="0.25">
      <c r="K4737" s="312"/>
      <c r="N4737" s="514"/>
      <c r="R4737" s="293"/>
      <c r="S4737" s="316"/>
      <c r="T4737" s="355"/>
    </row>
    <row r="4738" spans="11:20" x14ac:dyDescent="0.25">
      <c r="K4738" s="312"/>
      <c r="N4738" s="514"/>
      <c r="R4738" s="293"/>
      <c r="S4738" s="316"/>
      <c r="T4738" s="355"/>
    </row>
    <row r="4739" spans="11:20" x14ac:dyDescent="0.25">
      <c r="K4739" s="312"/>
      <c r="N4739" s="514"/>
      <c r="R4739" s="293"/>
      <c r="S4739" s="316"/>
      <c r="T4739" s="355"/>
    </row>
    <row r="4740" spans="11:20" x14ac:dyDescent="0.25">
      <c r="K4740" s="312"/>
      <c r="N4740" s="514"/>
      <c r="R4740" s="293"/>
      <c r="S4740" s="316"/>
      <c r="T4740" s="355"/>
    </row>
    <row r="4741" spans="11:20" x14ac:dyDescent="0.25">
      <c r="K4741" s="312"/>
      <c r="N4741" s="514"/>
      <c r="R4741" s="293"/>
      <c r="S4741" s="316"/>
      <c r="T4741" s="355"/>
    </row>
    <row r="4742" spans="11:20" x14ac:dyDescent="0.25">
      <c r="K4742" s="312"/>
      <c r="N4742" s="514"/>
      <c r="R4742" s="293"/>
      <c r="S4742" s="316"/>
      <c r="T4742" s="355"/>
    </row>
    <row r="4743" spans="11:20" x14ac:dyDescent="0.25">
      <c r="K4743" s="312"/>
      <c r="N4743" s="514"/>
      <c r="R4743" s="293"/>
      <c r="S4743" s="316"/>
      <c r="T4743" s="355"/>
    </row>
    <row r="4744" spans="11:20" x14ac:dyDescent="0.25">
      <c r="K4744" s="312"/>
      <c r="N4744" s="514"/>
      <c r="R4744" s="293"/>
      <c r="S4744" s="316"/>
      <c r="T4744" s="355"/>
    </row>
    <row r="4745" spans="11:20" x14ac:dyDescent="0.25">
      <c r="K4745" s="312"/>
      <c r="N4745" s="514"/>
      <c r="R4745" s="293"/>
      <c r="S4745" s="316"/>
      <c r="T4745" s="355"/>
    </row>
    <row r="4746" spans="11:20" x14ac:dyDescent="0.25">
      <c r="K4746" s="312"/>
      <c r="N4746" s="514"/>
      <c r="R4746" s="293"/>
      <c r="S4746" s="316"/>
      <c r="T4746" s="355"/>
    </row>
    <row r="4747" spans="11:20" x14ac:dyDescent="0.25">
      <c r="K4747" s="312"/>
      <c r="N4747" s="514"/>
      <c r="R4747" s="293"/>
      <c r="S4747" s="316"/>
      <c r="T4747" s="355"/>
    </row>
    <row r="4748" spans="11:20" x14ac:dyDescent="0.25">
      <c r="K4748" s="312"/>
      <c r="N4748" s="514"/>
      <c r="R4748" s="293"/>
      <c r="S4748" s="316"/>
      <c r="T4748" s="355"/>
    </row>
    <row r="4749" spans="11:20" x14ac:dyDescent="0.25">
      <c r="K4749" s="312"/>
      <c r="N4749" s="514"/>
      <c r="R4749" s="293"/>
      <c r="S4749" s="316"/>
      <c r="T4749" s="355"/>
    </row>
    <row r="4750" spans="11:20" x14ac:dyDescent="0.25">
      <c r="K4750" s="312"/>
      <c r="N4750" s="514"/>
      <c r="R4750" s="293"/>
      <c r="S4750" s="316"/>
      <c r="T4750" s="355"/>
    </row>
    <row r="4751" spans="11:20" x14ac:dyDescent="0.25">
      <c r="K4751" s="312"/>
      <c r="N4751" s="514"/>
      <c r="R4751" s="293"/>
      <c r="S4751" s="316"/>
      <c r="T4751" s="355"/>
    </row>
    <row r="4752" spans="11:20" x14ac:dyDescent="0.25">
      <c r="K4752" s="312"/>
      <c r="N4752" s="514"/>
      <c r="R4752" s="293"/>
      <c r="S4752" s="316"/>
      <c r="T4752" s="355"/>
    </row>
    <row r="4753" spans="11:20" x14ac:dyDescent="0.25">
      <c r="K4753" s="312"/>
      <c r="N4753" s="514"/>
      <c r="R4753" s="293"/>
      <c r="S4753" s="316"/>
      <c r="T4753" s="355"/>
    </row>
    <row r="4754" spans="11:20" x14ac:dyDescent="0.25">
      <c r="K4754" s="312"/>
      <c r="N4754" s="514"/>
      <c r="R4754" s="293"/>
      <c r="S4754" s="316"/>
      <c r="T4754" s="355"/>
    </row>
    <row r="4755" spans="11:20" x14ac:dyDescent="0.25">
      <c r="K4755" s="312"/>
      <c r="N4755" s="514"/>
      <c r="R4755" s="293"/>
      <c r="S4755" s="316"/>
      <c r="T4755" s="355"/>
    </row>
    <row r="4756" spans="11:20" x14ac:dyDescent="0.25">
      <c r="K4756" s="312"/>
      <c r="N4756" s="514"/>
      <c r="R4756" s="293"/>
      <c r="S4756" s="316"/>
      <c r="T4756" s="355"/>
    </row>
    <row r="4757" spans="11:20" x14ac:dyDescent="0.25">
      <c r="K4757" s="312"/>
      <c r="N4757" s="514"/>
      <c r="R4757" s="293"/>
      <c r="S4757" s="316"/>
      <c r="T4757" s="355"/>
    </row>
    <row r="4758" spans="11:20" x14ac:dyDescent="0.25">
      <c r="K4758" s="312"/>
      <c r="N4758" s="514"/>
      <c r="R4758" s="293"/>
      <c r="S4758" s="316"/>
      <c r="T4758" s="355"/>
    </row>
    <row r="4759" spans="11:20" x14ac:dyDescent="0.25">
      <c r="K4759" s="312"/>
      <c r="N4759" s="514"/>
      <c r="R4759" s="293"/>
      <c r="S4759" s="316"/>
      <c r="T4759" s="355"/>
    </row>
    <row r="4760" spans="11:20" x14ac:dyDescent="0.25">
      <c r="K4760" s="312"/>
      <c r="N4760" s="514"/>
      <c r="R4760" s="293"/>
      <c r="S4760" s="316"/>
      <c r="T4760" s="355"/>
    </row>
    <row r="4761" spans="11:20" x14ac:dyDescent="0.25">
      <c r="K4761" s="312"/>
      <c r="N4761" s="514"/>
      <c r="R4761" s="293"/>
      <c r="S4761" s="316"/>
      <c r="T4761" s="355"/>
    </row>
    <row r="4762" spans="11:20" x14ac:dyDescent="0.25">
      <c r="K4762" s="312"/>
      <c r="N4762" s="514"/>
      <c r="R4762" s="293"/>
      <c r="S4762" s="316"/>
      <c r="T4762" s="355"/>
    </row>
    <row r="4763" spans="11:20" x14ac:dyDescent="0.25">
      <c r="K4763" s="312"/>
      <c r="N4763" s="514"/>
      <c r="R4763" s="293"/>
      <c r="S4763" s="316"/>
      <c r="T4763" s="355"/>
    </row>
    <row r="4764" spans="11:20" x14ac:dyDescent="0.25">
      <c r="K4764" s="312"/>
      <c r="N4764" s="514"/>
      <c r="R4764" s="293"/>
      <c r="S4764" s="316"/>
      <c r="T4764" s="355"/>
    </row>
    <row r="4765" spans="11:20" x14ac:dyDescent="0.25">
      <c r="K4765" s="312"/>
      <c r="N4765" s="514"/>
      <c r="R4765" s="293"/>
      <c r="S4765" s="316"/>
      <c r="T4765" s="355"/>
    </row>
    <row r="4766" spans="11:20" x14ac:dyDescent="0.25">
      <c r="K4766" s="312"/>
      <c r="N4766" s="514"/>
      <c r="R4766" s="293"/>
      <c r="S4766" s="316"/>
      <c r="T4766" s="355"/>
    </row>
    <row r="4767" spans="11:20" x14ac:dyDescent="0.25">
      <c r="K4767" s="312"/>
      <c r="N4767" s="514"/>
      <c r="R4767" s="293"/>
      <c r="S4767" s="316"/>
      <c r="T4767" s="355"/>
    </row>
    <row r="4768" spans="11:20" x14ac:dyDescent="0.25">
      <c r="K4768" s="312"/>
      <c r="N4768" s="514"/>
      <c r="R4768" s="293"/>
      <c r="S4768" s="316"/>
      <c r="T4768" s="355"/>
    </row>
    <row r="4769" spans="11:20" x14ac:dyDescent="0.25">
      <c r="K4769" s="312"/>
      <c r="N4769" s="514"/>
      <c r="R4769" s="293"/>
      <c r="S4769" s="316"/>
      <c r="T4769" s="355"/>
    </row>
    <row r="4770" spans="11:20" x14ac:dyDescent="0.25">
      <c r="K4770" s="312"/>
      <c r="N4770" s="514"/>
      <c r="R4770" s="293"/>
      <c r="S4770" s="316"/>
      <c r="T4770" s="355"/>
    </row>
    <row r="4771" spans="11:20" x14ac:dyDescent="0.25">
      <c r="K4771" s="312"/>
      <c r="N4771" s="514"/>
      <c r="R4771" s="293"/>
      <c r="S4771" s="316"/>
      <c r="T4771" s="355"/>
    </row>
    <row r="4772" spans="11:20" x14ac:dyDescent="0.25">
      <c r="K4772" s="312"/>
      <c r="N4772" s="514"/>
      <c r="R4772" s="293"/>
      <c r="S4772" s="316"/>
      <c r="T4772" s="355"/>
    </row>
    <row r="4773" spans="11:20" x14ac:dyDescent="0.25">
      <c r="K4773" s="312"/>
      <c r="N4773" s="514"/>
      <c r="R4773" s="293"/>
      <c r="S4773" s="316"/>
      <c r="T4773" s="355"/>
    </row>
    <row r="4774" spans="11:20" x14ac:dyDescent="0.25">
      <c r="K4774" s="312"/>
      <c r="N4774" s="514"/>
      <c r="R4774" s="293"/>
      <c r="S4774" s="316"/>
      <c r="T4774" s="355"/>
    </row>
    <row r="4775" spans="11:20" x14ac:dyDescent="0.25">
      <c r="K4775" s="312"/>
      <c r="N4775" s="514"/>
      <c r="R4775" s="293"/>
      <c r="S4775" s="316"/>
      <c r="T4775" s="355"/>
    </row>
    <row r="4776" spans="11:20" x14ac:dyDescent="0.25">
      <c r="K4776" s="312"/>
      <c r="N4776" s="514"/>
      <c r="R4776" s="293"/>
      <c r="S4776" s="316"/>
      <c r="T4776" s="355"/>
    </row>
    <row r="4777" spans="11:20" x14ac:dyDescent="0.25">
      <c r="K4777" s="312"/>
      <c r="N4777" s="514"/>
      <c r="R4777" s="293"/>
      <c r="S4777" s="316"/>
      <c r="T4777" s="355"/>
    </row>
    <row r="4778" spans="11:20" x14ac:dyDescent="0.25">
      <c r="K4778" s="312"/>
      <c r="N4778" s="514"/>
      <c r="R4778" s="293"/>
      <c r="S4778" s="316"/>
      <c r="T4778" s="355"/>
    </row>
    <row r="4779" spans="11:20" x14ac:dyDescent="0.25">
      <c r="K4779" s="312"/>
      <c r="N4779" s="514"/>
      <c r="R4779" s="293"/>
      <c r="S4779" s="316"/>
      <c r="T4779" s="355"/>
    </row>
    <row r="4780" spans="11:20" x14ac:dyDescent="0.25">
      <c r="K4780" s="312"/>
      <c r="N4780" s="514"/>
      <c r="R4780" s="293"/>
      <c r="S4780" s="316"/>
      <c r="T4780" s="355"/>
    </row>
    <row r="4781" spans="11:20" x14ac:dyDescent="0.25">
      <c r="K4781" s="312"/>
      <c r="N4781" s="514"/>
      <c r="R4781" s="293"/>
      <c r="S4781" s="316"/>
      <c r="T4781" s="355"/>
    </row>
    <row r="4782" spans="11:20" x14ac:dyDescent="0.25">
      <c r="K4782" s="312"/>
      <c r="N4782" s="514"/>
      <c r="R4782" s="293"/>
      <c r="S4782" s="316"/>
      <c r="T4782" s="355"/>
    </row>
    <row r="4783" spans="11:20" x14ac:dyDescent="0.25">
      <c r="K4783" s="312"/>
      <c r="N4783" s="514"/>
      <c r="R4783" s="293"/>
      <c r="S4783" s="316"/>
      <c r="T4783" s="355"/>
    </row>
    <row r="4784" spans="11:20" x14ac:dyDescent="0.25">
      <c r="K4784" s="312"/>
      <c r="N4784" s="514"/>
      <c r="R4784" s="293"/>
      <c r="S4784" s="316"/>
      <c r="T4784" s="355"/>
    </row>
    <row r="4785" spans="11:20" x14ac:dyDescent="0.25">
      <c r="K4785" s="312"/>
      <c r="N4785" s="514"/>
      <c r="R4785" s="293"/>
      <c r="S4785" s="316"/>
      <c r="T4785" s="355"/>
    </row>
    <row r="4786" spans="11:20" x14ac:dyDescent="0.25">
      <c r="K4786" s="312"/>
      <c r="N4786" s="514"/>
      <c r="R4786" s="293"/>
      <c r="S4786" s="316"/>
      <c r="T4786" s="355"/>
    </row>
    <row r="4787" spans="11:20" x14ac:dyDescent="0.25">
      <c r="K4787" s="312"/>
      <c r="N4787" s="514"/>
      <c r="R4787" s="293"/>
      <c r="S4787" s="316"/>
      <c r="T4787" s="355"/>
    </row>
    <row r="4788" spans="11:20" x14ac:dyDescent="0.25">
      <c r="K4788" s="312"/>
      <c r="N4788" s="514"/>
      <c r="R4788" s="293"/>
      <c r="S4788" s="316"/>
      <c r="T4788" s="355"/>
    </row>
    <row r="4789" spans="11:20" x14ac:dyDescent="0.25">
      <c r="K4789" s="312"/>
      <c r="N4789" s="514"/>
      <c r="R4789" s="293"/>
      <c r="S4789" s="316"/>
      <c r="T4789" s="355"/>
    </row>
    <row r="4790" spans="11:20" x14ac:dyDescent="0.25">
      <c r="K4790" s="312"/>
      <c r="N4790" s="514"/>
      <c r="R4790" s="293"/>
      <c r="S4790" s="316"/>
      <c r="T4790" s="355"/>
    </row>
    <row r="4791" spans="11:20" x14ac:dyDescent="0.25">
      <c r="K4791" s="312"/>
      <c r="N4791" s="514"/>
      <c r="R4791" s="293"/>
      <c r="S4791" s="316"/>
      <c r="T4791" s="355"/>
    </row>
    <row r="4792" spans="11:20" x14ac:dyDescent="0.25">
      <c r="K4792" s="312"/>
      <c r="N4792" s="514"/>
      <c r="R4792" s="293"/>
      <c r="S4792" s="316"/>
      <c r="T4792" s="355"/>
    </row>
    <row r="4793" spans="11:20" x14ac:dyDescent="0.25">
      <c r="K4793" s="312"/>
      <c r="N4793" s="514"/>
      <c r="R4793" s="293"/>
      <c r="S4793" s="316"/>
      <c r="T4793" s="355"/>
    </row>
    <row r="4794" spans="11:20" x14ac:dyDescent="0.25">
      <c r="K4794" s="312"/>
      <c r="N4794" s="514"/>
      <c r="R4794" s="293"/>
      <c r="S4794" s="316"/>
      <c r="T4794" s="355"/>
    </row>
    <row r="4795" spans="11:20" x14ac:dyDescent="0.25">
      <c r="K4795" s="312"/>
      <c r="N4795" s="514"/>
      <c r="R4795" s="293"/>
      <c r="S4795" s="316"/>
      <c r="T4795" s="355"/>
    </row>
    <row r="4796" spans="11:20" x14ac:dyDescent="0.25">
      <c r="K4796" s="312"/>
      <c r="N4796" s="514"/>
      <c r="R4796" s="293"/>
      <c r="S4796" s="316"/>
      <c r="T4796" s="355"/>
    </row>
    <row r="4797" spans="11:20" x14ac:dyDescent="0.25">
      <c r="K4797" s="312"/>
      <c r="N4797" s="514"/>
      <c r="R4797" s="293"/>
      <c r="S4797" s="316"/>
      <c r="T4797" s="355"/>
    </row>
    <row r="4798" spans="11:20" x14ac:dyDescent="0.25">
      <c r="K4798" s="312"/>
      <c r="N4798" s="514"/>
      <c r="R4798" s="293"/>
      <c r="S4798" s="316"/>
      <c r="T4798" s="355"/>
    </row>
    <row r="4799" spans="11:20" x14ac:dyDescent="0.25">
      <c r="K4799" s="312"/>
      <c r="N4799" s="514"/>
      <c r="R4799" s="293"/>
      <c r="S4799" s="316"/>
      <c r="T4799" s="355"/>
    </row>
    <row r="4800" spans="11:20" x14ac:dyDescent="0.25">
      <c r="K4800" s="312"/>
      <c r="N4800" s="514"/>
      <c r="R4800" s="293"/>
      <c r="S4800" s="316"/>
      <c r="T4800" s="355"/>
    </row>
    <row r="4801" spans="11:20" x14ac:dyDescent="0.25">
      <c r="K4801" s="312"/>
      <c r="N4801" s="514"/>
      <c r="R4801" s="293"/>
      <c r="S4801" s="316"/>
      <c r="T4801" s="355"/>
    </row>
    <row r="4802" spans="11:20" x14ac:dyDescent="0.25">
      <c r="K4802" s="312"/>
      <c r="N4802" s="514"/>
      <c r="R4802" s="293"/>
      <c r="S4802" s="316"/>
      <c r="T4802" s="355"/>
    </row>
    <row r="4803" spans="11:20" x14ac:dyDescent="0.25">
      <c r="K4803" s="312"/>
      <c r="N4803" s="514"/>
      <c r="R4803" s="293"/>
      <c r="S4803" s="316"/>
      <c r="T4803" s="355"/>
    </row>
    <row r="4804" spans="11:20" x14ac:dyDescent="0.25">
      <c r="K4804" s="312"/>
      <c r="N4804" s="514"/>
      <c r="R4804" s="293"/>
      <c r="S4804" s="316"/>
      <c r="T4804" s="355"/>
    </row>
    <row r="4805" spans="11:20" x14ac:dyDescent="0.25">
      <c r="K4805" s="312"/>
      <c r="N4805" s="514"/>
      <c r="R4805" s="293"/>
      <c r="S4805" s="316"/>
      <c r="T4805" s="355"/>
    </row>
    <row r="4806" spans="11:20" x14ac:dyDescent="0.25">
      <c r="K4806" s="312"/>
      <c r="N4806" s="514"/>
      <c r="R4806" s="293"/>
      <c r="S4806" s="316"/>
      <c r="T4806" s="355"/>
    </row>
    <row r="4807" spans="11:20" x14ac:dyDescent="0.25">
      <c r="K4807" s="312"/>
      <c r="N4807" s="514"/>
      <c r="R4807" s="293"/>
      <c r="S4807" s="316"/>
      <c r="T4807" s="355"/>
    </row>
    <row r="4808" spans="11:20" x14ac:dyDescent="0.25">
      <c r="K4808" s="312"/>
      <c r="N4808" s="514"/>
      <c r="R4808" s="293"/>
      <c r="S4808" s="316"/>
      <c r="T4808" s="355"/>
    </row>
    <row r="4809" spans="11:20" x14ac:dyDescent="0.25">
      <c r="K4809" s="312"/>
      <c r="N4809" s="514"/>
      <c r="R4809" s="293"/>
      <c r="S4809" s="316"/>
      <c r="T4809" s="355"/>
    </row>
    <row r="4810" spans="11:20" x14ac:dyDescent="0.25">
      <c r="K4810" s="312"/>
      <c r="N4810" s="514"/>
      <c r="R4810" s="293"/>
      <c r="S4810" s="316"/>
      <c r="T4810" s="355"/>
    </row>
    <row r="4811" spans="11:20" x14ac:dyDescent="0.25">
      <c r="K4811" s="312"/>
      <c r="N4811" s="514"/>
      <c r="R4811" s="293"/>
      <c r="S4811" s="316"/>
      <c r="T4811" s="355"/>
    </row>
    <row r="4812" spans="11:20" x14ac:dyDescent="0.25">
      <c r="K4812" s="312"/>
      <c r="N4812" s="514"/>
      <c r="R4812" s="293"/>
      <c r="S4812" s="316"/>
      <c r="T4812" s="355"/>
    </row>
    <row r="4813" spans="11:20" x14ac:dyDescent="0.25">
      <c r="K4813" s="312"/>
      <c r="N4813" s="514"/>
      <c r="R4813" s="293"/>
      <c r="S4813" s="316"/>
      <c r="T4813" s="355"/>
    </row>
    <row r="4814" spans="11:20" x14ac:dyDescent="0.25">
      <c r="K4814" s="312"/>
      <c r="N4814" s="514"/>
      <c r="R4814" s="293"/>
      <c r="S4814" s="316"/>
      <c r="T4814" s="355"/>
    </row>
    <row r="4815" spans="11:20" x14ac:dyDescent="0.25">
      <c r="K4815" s="312"/>
      <c r="N4815" s="514"/>
      <c r="R4815" s="293"/>
      <c r="S4815" s="316"/>
      <c r="T4815" s="355"/>
    </row>
    <row r="4816" spans="11:20" x14ac:dyDescent="0.25">
      <c r="K4816" s="312"/>
      <c r="N4816" s="514"/>
      <c r="R4816" s="293"/>
      <c r="S4816" s="316"/>
      <c r="T4816" s="355"/>
    </row>
    <row r="4817" spans="11:20" x14ac:dyDescent="0.25">
      <c r="K4817" s="312"/>
      <c r="N4817" s="514"/>
      <c r="R4817" s="293"/>
      <c r="S4817" s="316"/>
      <c r="T4817" s="355"/>
    </row>
    <row r="4818" spans="11:20" x14ac:dyDescent="0.25">
      <c r="K4818" s="312"/>
      <c r="N4818" s="514"/>
      <c r="R4818" s="293"/>
      <c r="S4818" s="316"/>
      <c r="T4818" s="355"/>
    </row>
    <row r="4819" spans="11:20" x14ac:dyDescent="0.25">
      <c r="K4819" s="312"/>
      <c r="N4819" s="514"/>
      <c r="R4819" s="293"/>
      <c r="S4819" s="316"/>
      <c r="T4819" s="355"/>
    </row>
    <row r="4820" spans="11:20" x14ac:dyDescent="0.25">
      <c r="K4820" s="312"/>
      <c r="N4820" s="514"/>
      <c r="R4820" s="293"/>
      <c r="S4820" s="316"/>
      <c r="T4820" s="355"/>
    </row>
    <row r="4821" spans="11:20" x14ac:dyDescent="0.25">
      <c r="K4821" s="312"/>
      <c r="N4821" s="514"/>
      <c r="R4821" s="293"/>
      <c r="S4821" s="316"/>
      <c r="T4821" s="355"/>
    </row>
    <row r="4822" spans="11:20" x14ac:dyDescent="0.25">
      <c r="K4822" s="312"/>
      <c r="N4822" s="514"/>
      <c r="R4822" s="293"/>
      <c r="S4822" s="316"/>
      <c r="T4822" s="355"/>
    </row>
    <row r="4823" spans="11:20" x14ac:dyDescent="0.25">
      <c r="K4823" s="312"/>
      <c r="N4823" s="514"/>
      <c r="R4823" s="293"/>
      <c r="S4823" s="316"/>
      <c r="T4823" s="355"/>
    </row>
    <row r="4824" spans="11:20" x14ac:dyDescent="0.25">
      <c r="K4824" s="312"/>
      <c r="N4824" s="514"/>
      <c r="R4824" s="293"/>
      <c r="S4824" s="316"/>
      <c r="T4824" s="355"/>
    </row>
    <row r="4825" spans="11:20" x14ac:dyDescent="0.25">
      <c r="K4825" s="312"/>
      <c r="N4825" s="514"/>
      <c r="R4825" s="293"/>
      <c r="S4825" s="316"/>
      <c r="T4825" s="355"/>
    </row>
    <row r="4826" spans="11:20" x14ac:dyDescent="0.25">
      <c r="K4826" s="312"/>
      <c r="N4826" s="514"/>
      <c r="R4826" s="293"/>
      <c r="S4826" s="316"/>
      <c r="T4826" s="355"/>
    </row>
    <row r="4827" spans="11:20" x14ac:dyDescent="0.25">
      <c r="K4827" s="312"/>
      <c r="N4827" s="514"/>
      <c r="R4827" s="293"/>
      <c r="S4827" s="316"/>
      <c r="T4827" s="355"/>
    </row>
    <row r="4828" spans="11:20" x14ac:dyDescent="0.25">
      <c r="K4828" s="312"/>
      <c r="N4828" s="514"/>
      <c r="R4828" s="293"/>
      <c r="S4828" s="316"/>
      <c r="T4828" s="355"/>
    </row>
    <row r="4829" spans="11:20" x14ac:dyDescent="0.25">
      <c r="K4829" s="312"/>
      <c r="N4829" s="514"/>
      <c r="R4829" s="293"/>
      <c r="S4829" s="316"/>
      <c r="T4829" s="355"/>
    </row>
    <row r="4830" spans="11:20" x14ac:dyDescent="0.25">
      <c r="K4830" s="312"/>
      <c r="N4830" s="514"/>
      <c r="R4830" s="293"/>
      <c r="S4830" s="316"/>
      <c r="T4830" s="355"/>
    </row>
    <row r="4831" spans="11:20" x14ac:dyDescent="0.25">
      <c r="K4831" s="312"/>
      <c r="N4831" s="514"/>
      <c r="R4831" s="293"/>
      <c r="S4831" s="316"/>
      <c r="T4831" s="355"/>
    </row>
    <row r="4832" spans="11:20" x14ac:dyDescent="0.25">
      <c r="K4832" s="312"/>
      <c r="N4832" s="514"/>
      <c r="R4832" s="293"/>
      <c r="S4832" s="316"/>
      <c r="T4832" s="355"/>
    </row>
    <row r="4833" spans="11:20" x14ac:dyDescent="0.25">
      <c r="K4833" s="312"/>
      <c r="N4833" s="514"/>
      <c r="R4833" s="293"/>
      <c r="S4833" s="316"/>
      <c r="T4833" s="355"/>
    </row>
    <row r="4834" spans="11:20" x14ac:dyDescent="0.25">
      <c r="K4834" s="312"/>
      <c r="N4834" s="514"/>
      <c r="R4834" s="293"/>
      <c r="S4834" s="316"/>
      <c r="T4834" s="355"/>
    </row>
    <row r="4835" spans="11:20" x14ac:dyDescent="0.25">
      <c r="K4835" s="312"/>
      <c r="N4835" s="514"/>
      <c r="R4835" s="293"/>
      <c r="S4835" s="316"/>
      <c r="T4835" s="355"/>
    </row>
    <row r="4836" spans="11:20" x14ac:dyDescent="0.25">
      <c r="K4836" s="312"/>
      <c r="N4836" s="514"/>
      <c r="R4836" s="293"/>
      <c r="S4836" s="316"/>
      <c r="T4836" s="355"/>
    </row>
    <row r="4837" spans="11:20" x14ac:dyDescent="0.25">
      <c r="K4837" s="312"/>
      <c r="N4837" s="514"/>
      <c r="R4837" s="293"/>
      <c r="S4837" s="316"/>
      <c r="T4837" s="355"/>
    </row>
    <row r="4838" spans="11:20" x14ac:dyDescent="0.25">
      <c r="K4838" s="312"/>
      <c r="N4838" s="514"/>
      <c r="R4838" s="293"/>
      <c r="S4838" s="316"/>
      <c r="T4838" s="355"/>
    </row>
    <row r="4839" spans="11:20" x14ac:dyDescent="0.25">
      <c r="K4839" s="312"/>
      <c r="N4839" s="514"/>
      <c r="R4839" s="293"/>
      <c r="S4839" s="316"/>
      <c r="T4839" s="355"/>
    </row>
    <row r="4840" spans="11:20" x14ac:dyDescent="0.25">
      <c r="K4840" s="312"/>
      <c r="N4840" s="514"/>
      <c r="R4840" s="293"/>
      <c r="S4840" s="316"/>
      <c r="T4840" s="355"/>
    </row>
    <row r="4841" spans="11:20" x14ac:dyDescent="0.25">
      <c r="K4841" s="312"/>
      <c r="N4841" s="514"/>
      <c r="R4841" s="293"/>
      <c r="S4841" s="316"/>
      <c r="T4841" s="355"/>
    </row>
    <row r="4842" spans="11:20" x14ac:dyDescent="0.25">
      <c r="K4842" s="312"/>
      <c r="N4842" s="514"/>
      <c r="R4842" s="293"/>
      <c r="S4842" s="316"/>
      <c r="T4842" s="355"/>
    </row>
    <row r="4843" spans="11:20" x14ac:dyDescent="0.25">
      <c r="K4843" s="312"/>
      <c r="N4843" s="514"/>
      <c r="R4843" s="293"/>
      <c r="S4843" s="316"/>
      <c r="T4843" s="355"/>
    </row>
    <row r="4844" spans="11:20" x14ac:dyDescent="0.25">
      <c r="K4844" s="312"/>
      <c r="N4844" s="514"/>
      <c r="R4844" s="293"/>
      <c r="S4844" s="316"/>
      <c r="T4844" s="355"/>
    </row>
    <row r="4845" spans="11:20" x14ac:dyDescent="0.25">
      <c r="K4845" s="312"/>
      <c r="N4845" s="514"/>
      <c r="R4845" s="293"/>
      <c r="S4845" s="316"/>
      <c r="T4845" s="355"/>
    </row>
    <row r="4846" spans="11:20" x14ac:dyDescent="0.25">
      <c r="K4846" s="312"/>
      <c r="N4846" s="514"/>
      <c r="R4846" s="293"/>
      <c r="S4846" s="316"/>
      <c r="T4846" s="355"/>
    </row>
    <row r="4847" spans="11:20" x14ac:dyDescent="0.25">
      <c r="K4847" s="312"/>
      <c r="N4847" s="514"/>
      <c r="R4847" s="293"/>
      <c r="S4847" s="316"/>
      <c r="T4847" s="355"/>
    </row>
    <row r="4848" spans="11:20" x14ac:dyDescent="0.25">
      <c r="K4848" s="312"/>
      <c r="N4848" s="514"/>
      <c r="R4848" s="293"/>
      <c r="S4848" s="316"/>
      <c r="T4848" s="355"/>
    </row>
    <row r="4849" spans="11:20" x14ac:dyDescent="0.25">
      <c r="K4849" s="312"/>
      <c r="N4849" s="514"/>
      <c r="R4849" s="293"/>
      <c r="S4849" s="316"/>
      <c r="T4849" s="355"/>
    </row>
    <row r="4850" spans="11:20" x14ac:dyDescent="0.25">
      <c r="K4850" s="312"/>
      <c r="N4850" s="514"/>
      <c r="R4850" s="293"/>
      <c r="S4850" s="316"/>
      <c r="T4850" s="355"/>
    </row>
    <row r="4851" spans="11:20" x14ac:dyDescent="0.25">
      <c r="K4851" s="312"/>
      <c r="N4851" s="514"/>
      <c r="R4851" s="293"/>
      <c r="S4851" s="316"/>
      <c r="T4851" s="355"/>
    </row>
    <row r="4852" spans="11:20" x14ac:dyDescent="0.25">
      <c r="K4852" s="312"/>
      <c r="N4852" s="514"/>
      <c r="R4852" s="293"/>
      <c r="S4852" s="316"/>
      <c r="T4852" s="355"/>
    </row>
    <row r="4853" spans="11:20" x14ac:dyDescent="0.25">
      <c r="K4853" s="312"/>
      <c r="N4853" s="514"/>
      <c r="R4853" s="293"/>
      <c r="S4853" s="316"/>
      <c r="T4853" s="355"/>
    </row>
    <row r="4854" spans="11:20" x14ac:dyDescent="0.25">
      <c r="K4854" s="312"/>
      <c r="N4854" s="514"/>
      <c r="R4854" s="293"/>
      <c r="S4854" s="316"/>
      <c r="T4854" s="355"/>
    </row>
    <row r="4855" spans="11:20" x14ac:dyDescent="0.25">
      <c r="K4855" s="312"/>
      <c r="N4855" s="514"/>
      <c r="R4855" s="293"/>
      <c r="S4855" s="316"/>
      <c r="T4855" s="355"/>
    </row>
    <row r="4856" spans="11:20" x14ac:dyDescent="0.25">
      <c r="K4856" s="312"/>
      <c r="N4856" s="514"/>
      <c r="R4856" s="293"/>
      <c r="S4856" s="316"/>
      <c r="T4856" s="355"/>
    </row>
    <row r="4857" spans="11:20" x14ac:dyDescent="0.25">
      <c r="K4857" s="312"/>
      <c r="N4857" s="514"/>
      <c r="R4857" s="293"/>
      <c r="S4857" s="316"/>
      <c r="T4857" s="355"/>
    </row>
    <row r="4858" spans="11:20" x14ac:dyDescent="0.25">
      <c r="K4858" s="312"/>
      <c r="N4858" s="514"/>
      <c r="R4858" s="293"/>
      <c r="S4858" s="316"/>
      <c r="T4858" s="355"/>
    </row>
    <row r="4859" spans="11:20" x14ac:dyDescent="0.25">
      <c r="K4859" s="312"/>
      <c r="N4859" s="514"/>
      <c r="R4859" s="293"/>
      <c r="S4859" s="316"/>
      <c r="T4859" s="355"/>
    </row>
    <row r="4860" spans="11:20" x14ac:dyDescent="0.25">
      <c r="K4860" s="312"/>
      <c r="N4860" s="514"/>
      <c r="R4860" s="293"/>
      <c r="S4860" s="316"/>
      <c r="T4860" s="355"/>
    </row>
    <row r="4861" spans="11:20" x14ac:dyDescent="0.25">
      <c r="K4861" s="312"/>
      <c r="N4861" s="514"/>
      <c r="R4861" s="293"/>
      <c r="S4861" s="316"/>
      <c r="T4861" s="355"/>
    </row>
    <row r="4862" spans="11:20" x14ac:dyDescent="0.25">
      <c r="K4862" s="312"/>
      <c r="N4862" s="514"/>
      <c r="R4862" s="293"/>
      <c r="S4862" s="316"/>
      <c r="T4862" s="355"/>
    </row>
    <row r="4863" spans="11:20" x14ac:dyDescent="0.25">
      <c r="K4863" s="312"/>
      <c r="N4863" s="514"/>
      <c r="R4863" s="293"/>
      <c r="S4863" s="316"/>
      <c r="T4863" s="355"/>
    </row>
    <row r="4864" spans="11:20" x14ac:dyDescent="0.25">
      <c r="K4864" s="312"/>
      <c r="N4864" s="514"/>
      <c r="R4864" s="293"/>
      <c r="S4864" s="316"/>
      <c r="T4864" s="355"/>
    </row>
    <row r="4865" spans="11:20" x14ac:dyDescent="0.25">
      <c r="K4865" s="312"/>
      <c r="N4865" s="514"/>
      <c r="R4865" s="293"/>
      <c r="S4865" s="316"/>
      <c r="T4865" s="355"/>
    </row>
    <row r="4866" spans="11:20" x14ac:dyDescent="0.25">
      <c r="K4866" s="312"/>
      <c r="N4866" s="514"/>
      <c r="R4866" s="293"/>
      <c r="S4866" s="316"/>
      <c r="T4866" s="355"/>
    </row>
    <row r="4867" spans="11:20" x14ac:dyDescent="0.25">
      <c r="K4867" s="312"/>
      <c r="N4867" s="514"/>
      <c r="R4867" s="293"/>
      <c r="S4867" s="316"/>
      <c r="T4867" s="355"/>
    </row>
    <row r="4868" spans="11:20" x14ac:dyDescent="0.25">
      <c r="K4868" s="312"/>
      <c r="N4868" s="514"/>
      <c r="R4868" s="293"/>
      <c r="S4868" s="316"/>
      <c r="T4868" s="355"/>
    </row>
    <row r="4869" spans="11:20" x14ac:dyDescent="0.25">
      <c r="K4869" s="312"/>
      <c r="N4869" s="514"/>
      <c r="R4869" s="293"/>
      <c r="S4869" s="316"/>
      <c r="T4869" s="355"/>
    </row>
    <row r="4870" spans="11:20" x14ac:dyDescent="0.25">
      <c r="K4870" s="312"/>
      <c r="N4870" s="514"/>
      <c r="R4870" s="293"/>
      <c r="S4870" s="316"/>
      <c r="T4870" s="355"/>
    </row>
    <row r="4871" spans="11:20" x14ac:dyDescent="0.25">
      <c r="K4871" s="312"/>
      <c r="N4871" s="514"/>
      <c r="R4871" s="293"/>
      <c r="S4871" s="316"/>
      <c r="T4871" s="355"/>
    </row>
    <row r="4872" spans="11:20" x14ac:dyDescent="0.25">
      <c r="K4872" s="312"/>
      <c r="N4872" s="514"/>
      <c r="R4872" s="293"/>
      <c r="S4872" s="316"/>
      <c r="T4872" s="355"/>
    </row>
    <row r="4873" spans="11:20" x14ac:dyDescent="0.25">
      <c r="K4873" s="312"/>
      <c r="N4873" s="514"/>
      <c r="R4873" s="293"/>
      <c r="S4873" s="316"/>
      <c r="T4873" s="355"/>
    </row>
    <row r="4874" spans="11:20" x14ac:dyDescent="0.25">
      <c r="K4874" s="312"/>
      <c r="N4874" s="514"/>
      <c r="R4874" s="293"/>
      <c r="S4874" s="316"/>
      <c r="T4874" s="355"/>
    </row>
    <row r="4875" spans="11:20" x14ac:dyDescent="0.25">
      <c r="K4875" s="312"/>
      <c r="N4875" s="514"/>
      <c r="R4875" s="293"/>
      <c r="S4875" s="316"/>
      <c r="T4875" s="355"/>
    </row>
    <row r="4876" spans="11:20" x14ac:dyDescent="0.25">
      <c r="K4876" s="312"/>
      <c r="N4876" s="514"/>
      <c r="R4876" s="293"/>
      <c r="S4876" s="316"/>
      <c r="T4876" s="355"/>
    </row>
    <row r="4877" spans="11:20" x14ac:dyDescent="0.25">
      <c r="K4877" s="312"/>
      <c r="N4877" s="514"/>
      <c r="R4877" s="293"/>
      <c r="S4877" s="316"/>
      <c r="T4877" s="355"/>
    </row>
    <row r="4878" spans="11:20" x14ac:dyDescent="0.25">
      <c r="K4878" s="312"/>
      <c r="N4878" s="514"/>
      <c r="R4878" s="293"/>
      <c r="S4878" s="316"/>
      <c r="T4878" s="355"/>
    </row>
    <row r="4879" spans="11:20" x14ac:dyDescent="0.25">
      <c r="K4879" s="312"/>
      <c r="N4879" s="514"/>
      <c r="R4879" s="293"/>
      <c r="S4879" s="316"/>
      <c r="T4879" s="355"/>
    </row>
    <row r="4880" spans="11:20" x14ac:dyDescent="0.25">
      <c r="K4880" s="312"/>
      <c r="N4880" s="514"/>
      <c r="R4880" s="293"/>
      <c r="S4880" s="316"/>
      <c r="T4880" s="355"/>
    </row>
    <row r="4881" spans="11:20" x14ac:dyDescent="0.25">
      <c r="K4881" s="312"/>
      <c r="N4881" s="514"/>
      <c r="R4881" s="293"/>
      <c r="S4881" s="316"/>
      <c r="T4881" s="355"/>
    </row>
    <row r="4882" spans="11:20" x14ac:dyDescent="0.25">
      <c r="K4882" s="312"/>
      <c r="N4882" s="514"/>
      <c r="R4882" s="293"/>
      <c r="S4882" s="316"/>
      <c r="T4882" s="355"/>
    </row>
    <row r="4883" spans="11:20" x14ac:dyDescent="0.25">
      <c r="K4883" s="312"/>
      <c r="N4883" s="514"/>
      <c r="R4883" s="293"/>
      <c r="S4883" s="316"/>
      <c r="T4883" s="355"/>
    </row>
    <row r="4884" spans="11:20" x14ac:dyDescent="0.25">
      <c r="K4884" s="312"/>
      <c r="N4884" s="514"/>
      <c r="R4884" s="293"/>
      <c r="S4884" s="316"/>
      <c r="T4884" s="355"/>
    </row>
    <row r="4885" spans="11:20" x14ac:dyDescent="0.25">
      <c r="K4885" s="312"/>
      <c r="N4885" s="514"/>
      <c r="R4885" s="293"/>
      <c r="S4885" s="316"/>
      <c r="T4885" s="355"/>
    </row>
    <row r="4886" spans="11:20" x14ac:dyDescent="0.25">
      <c r="K4886" s="312"/>
      <c r="N4886" s="514"/>
      <c r="R4886" s="293"/>
      <c r="S4886" s="316"/>
      <c r="T4886" s="355"/>
    </row>
    <row r="4887" spans="11:20" x14ac:dyDescent="0.25">
      <c r="K4887" s="312"/>
      <c r="N4887" s="514"/>
      <c r="R4887" s="293"/>
      <c r="S4887" s="316"/>
      <c r="T4887" s="355"/>
    </row>
    <row r="4888" spans="11:20" x14ac:dyDescent="0.25">
      <c r="K4888" s="312"/>
      <c r="N4888" s="514"/>
      <c r="R4888" s="293"/>
      <c r="S4888" s="316"/>
      <c r="T4888" s="355"/>
    </row>
    <row r="4889" spans="11:20" x14ac:dyDescent="0.25">
      <c r="K4889" s="312"/>
      <c r="N4889" s="514"/>
      <c r="R4889" s="293"/>
      <c r="S4889" s="316"/>
      <c r="T4889" s="355"/>
    </row>
    <row r="4890" spans="11:20" x14ac:dyDescent="0.25">
      <c r="K4890" s="312"/>
      <c r="N4890" s="514"/>
      <c r="R4890" s="293"/>
      <c r="S4890" s="316"/>
      <c r="T4890" s="355"/>
    </row>
    <row r="4891" spans="11:20" x14ac:dyDescent="0.25">
      <c r="K4891" s="312"/>
      <c r="N4891" s="514"/>
      <c r="R4891" s="293"/>
      <c r="S4891" s="316"/>
      <c r="T4891" s="355"/>
    </row>
    <row r="4892" spans="11:20" x14ac:dyDescent="0.25">
      <c r="K4892" s="312"/>
      <c r="N4892" s="514"/>
      <c r="R4892" s="293"/>
      <c r="S4892" s="316"/>
      <c r="T4892" s="355"/>
    </row>
    <row r="4893" spans="11:20" x14ac:dyDescent="0.25">
      <c r="K4893" s="312"/>
      <c r="N4893" s="514"/>
      <c r="R4893" s="293"/>
      <c r="S4893" s="316"/>
      <c r="T4893" s="355"/>
    </row>
    <row r="4894" spans="11:20" x14ac:dyDescent="0.25">
      <c r="K4894" s="312"/>
      <c r="N4894" s="514"/>
      <c r="R4894" s="293"/>
      <c r="S4894" s="316"/>
      <c r="T4894" s="355"/>
    </row>
    <row r="4895" spans="11:20" x14ac:dyDescent="0.25">
      <c r="K4895" s="312"/>
      <c r="N4895" s="514"/>
      <c r="R4895" s="293"/>
      <c r="S4895" s="316"/>
      <c r="T4895" s="355"/>
    </row>
    <row r="4896" spans="11:20" x14ac:dyDescent="0.25">
      <c r="K4896" s="312"/>
      <c r="N4896" s="514"/>
      <c r="R4896" s="293"/>
      <c r="S4896" s="316"/>
      <c r="T4896" s="355"/>
    </row>
    <row r="4897" spans="11:20" x14ac:dyDescent="0.25">
      <c r="K4897" s="312"/>
      <c r="N4897" s="514"/>
      <c r="R4897" s="293"/>
      <c r="S4897" s="316"/>
      <c r="T4897" s="355"/>
    </row>
    <row r="4898" spans="11:20" x14ac:dyDescent="0.25">
      <c r="K4898" s="312"/>
      <c r="N4898" s="514"/>
      <c r="R4898" s="293"/>
      <c r="S4898" s="316"/>
      <c r="T4898" s="355"/>
    </row>
    <row r="4899" spans="11:20" x14ac:dyDescent="0.25">
      <c r="K4899" s="312"/>
      <c r="N4899" s="514"/>
      <c r="R4899" s="293"/>
      <c r="S4899" s="316"/>
      <c r="T4899" s="355"/>
    </row>
    <row r="4900" spans="11:20" x14ac:dyDescent="0.25">
      <c r="K4900" s="312"/>
      <c r="N4900" s="514"/>
      <c r="R4900" s="293"/>
      <c r="S4900" s="316"/>
      <c r="T4900" s="355"/>
    </row>
    <row r="4901" spans="11:20" x14ac:dyDescent="0.25">
      <c r="K4901" s="312"/>
      <c r="N4901" s="514"/>
      <c r="R4901" s="293"/>
      <c r="S4901" s="316"/>
      <c r="T4901" s="355"/>
    </row>
    <row r="4902" spans="11:20" x14ac:dyDescent="0.25">
      <c r="K4902" s="312"/>
      <c r="N4902" s="514"/>
      <c r="R4902" s="293"/>
      <c r="S4902" s="316"/>
      <c r="T4902" s="355"/>
    </row>
    <row r="4903" spans="11:20" x14ac:dyDescent="0.25">
      <c r="K4903" s="312"/>
      <c r="N4903" s="514"/>
      <c r="R4903" s="293"/>
      <c r="S4903" s="316"/>
      <c r="T4903" s="355"/>
    </row>
    <row r="4904" spans="11:20" x14ac:dyDescent="0.25">
      <c r="K4904" s="312"/>
      <c r="N4904" s="514"/>
      <c r="R4904" s="293"/>
      <c r="S4904" s="316"/>
      <c r="T4904" s="355"/>
    </row>
    <row r="4905" spans="11:20" x14ac:dyDescent="0.25">
      <c r="K4905" s="312"/>
      <c r="N4905" s="514"/>
      <c r="R4905" s="293"/>
      <c r="S4905" s="316"/>
      <c r="T4905" s="355"/>
    </row>
    <row r="4906" spans="11:20" x14ac:dyDescent="0.25">
      <c r="K4906" s="312"/>
      <c r="N4906" s="514"/>
      <c r="R4906" s="293"/>
      <c r="S4906" s="316"/>
      <c r="T4906" s="355"/>
    </row>
    <row r="4907" spans="11:20" x14ac:dyDescent="0.25">
      <c r="K4907" s="312"/>
      <c r="N4907" s="514"/>
      <c r="R4907" s="293"/>
      <c r="S4907" s="316"/>
      <c r="T4907" s="355"/>
    </row>
    <row r="4908" spans="11:20" x14ac:dyDescent="0.25">
      <c r="K4908" s="312"/>
      <c r="N4908" s="514"/>
      <c r="R4908" s="293"/>
      <c r="S4908" s="316"/>
      <c r="T4908" s="355"/>
    </row>
    <row r="4909" spans="11:20" x14ac:dyDescent="0.25">
      <c r="K4909" s="312"/>
      <c r="N4909" s="514"/>
      <c r="R4909" s="293"/>
      <c r="S4909" s="316"/>
      <c r="T4909" s="355"/>
    </row>
    <row r="4910" spans="11:20" x14ac:dyDescent="0.25">
      <c r="K4910" s="312"/>
      <c r="N4910" s="514"/>
      <c r="R4910" s="293"/>
      <c r="S4910" s="316"/>
      <c r="T4910" s="355"/>
    </row>
    <row r="4911" spans="11:20" x14ac:dyDescent="0.25">
      <c r="K4911" s="312"/>
      <c r="N4911" s="514"/>
      <c r="R4911" s="293"/>
      <c r="S4911" s="316"/>
      <c r="T4911" s="355"/>
    </row>
    <row r="4912" spans="11:20" x14ac:dyDescent="0.25">
      <c r="K4912" s="312"/>
      <c r="N4912" s="514"/>
      <c r="R4912" s="293"/>
      <c r="S4912" s="316"/>
      <c r="T4912" s="355"/>
    </row>
    <row r="4913" spans="11:20" x14ac:dyDescent="0.25">
      <c r="K4913" s="312"/>
      <c r="N4913" s="514"/>
      <c r="R4913" s="293"/>
      <c r="S4913" s="316"/>
      <c r="T4913" s="355"/>
    </row>
    <row r="4914" spans="11:20" x14ac:dyDescent="0.25">
      <c r="K4914" s="312"/>
      <c r="N4914" s="514"/>
      <c r="R4914" s="293"/>
      <c r="S4914" s="316"/>
      <c r="T4914" s="355"/>
    </row>
    <row r="4915" spans="11:20" x14ac:dyDescent="0.25">
      <c r="K4915" s="312"/>
      <c r="N4915" s="514"/>
      <c r="R4915" s="293"/>
      <c r="S4915" s="316"/>
      <c r="T4915" s="355"/>
    </row>
    <row r="4916" spans="11:20" x14ac:dyDescent="0.25">
      <c r="K4916" s="312"/>
      <c r="N4916" s="514"/>
      <c r="R4916" s="293"/>
      <c r="S4916" s="316"/>
      <c r="T4916" s="355"/>
    </row>
    <row r="4917" spans="11:20" x14ac:dyDescent="0.25">
      <c r="K4917" s="312"/>
      <c r="N4917" s="514"/>
      <c r="R4917" s="293"/>
      <c r="S4917" s="316"/>
      <c r="T4917" s="355"/>
    </row>
    <row r="4918" spans="11:20" x14ac:dyDescent="0.25">
      <c r="K4918" s="312"/>
      <c r="N4918" s="514"/>
      <c r="R4918" s="293"/>
      <c r="S4918" s="316"/>
      <c r="T4918" s="355"/>
    </row>
    <row r="4919" spans="11:20" x14ac:dyDescent="0.25">
      <c r="K4919" s="312"/>
      <c r="N4919" s="514"/>
      <c r="R4919" s="293"/>
      <c r="S4919" s="316"/>
      <c r="T4919" s="355"/>
    </row>
    <row r="4920" spans="11:20" x14ac:dyDescent="0.25">
      <c r="K4920" s="312"/>
      <c r="N4920" s="514"/>
      <c r="R4920" s="293"/>
      <c r="S4920" s="316"/>
      <c r="T4920" s="355"/>
    </row>
    <row r="4921" spans="11:20" x14ac:dyDescent="0.25">
      <c r="K4921" s="312"/>
      <c r="N4921" s="514"/>
      <c r="R4921" s="293"/>
      <c r="S4921" s="316"/>
      <c r="T4921" s="355"/>
    </row>
    <row r="4922" spans="11:20" x14ac:dyDescent="0.25">
      <c r="K4922" s="312"/>
      <c r="N4922" s="514"/>
      <c r="R4922" s="293"/>
      <c r="S4922" s="316"/>
      <c r="T4922" s="355"/>
    </row>
    <row r="4923" spans="11:20" x14ac:dyDescent="0.25">
      <c r="K4923" s="312"/>
      <c r="N4923" s="514"/>
      <c r="R4923" s="293"/>
      <c r="S4923" s="316"/>
      <c r="T4923" s="355"/>
    </row>
    <row r="4924" spans="11:20" x14ac:dyDescent="0.25">
      <c r="K4924" s="312"/>
      <c r="N4924" s="514"/>
      <c r="R4924" s="293"/>
      <c r="S4924" s="316"/>
      <c r="T4924" s="355"/>
    </row>
    <row r="4925" spans="11:20" x14ac:dyDescent="0.25">
      <c r="K4925" s="312"/>
      <c r="N4925" s="514"/>
      <c r="R4925" s="293"/>
      <c r="S4925" s="316"/>
      <c r="T4925" s="355"/>
    </row>
    <row r="4926" spans="11:20" x14ac:dyDescent="0.25">
      <c r="K4926" s="312"/>
      <c r="N4926" s="514"/>
      <c r="R4926" s="293"/>
      <c r="S4926" s="316"/>
      <c r="T4926" s="355"/>
    </row>
    <row r="4927" spans="11:20" x14ac:dyDescent="0.25">
      <c r="K4927" s="312"/>
      <c r="N4927" s="514"/>
      <c r="R4927" s="293"/>
      <c r="S4927" s="316"/>
      <c r="T4927" s="355"/>
    </row>
    <row r="4928" spans="11:20" x14ac:dyDescent="0.25">
      <c r="K4928" s="312"/>
      <c r="N4928" s="514"/>
      <c r="R4928" s="293"/>
      <c r="S4928" s="316"/>
      <c r="T4928" s="355"/>
    </row>
    <row r="4929" spans="11:20" x14ac:dyDescent="0.25">
      <c r="K4929" s="312"/>
      <c r="N4929" s="514"/>
      <c r="R4929" s="293"/>
      <c r="S4929" s="316"/>
      <c r="T4929" s="355"/>
    </row>
    <row r="4930" spans="11:20" x14ac:dyDescent="0.25">
      <c r="K4930" s="312"/>
      <c r="N4930" s="514"/>
      <c r="R4930" s="293"/>
      <c r="S4930" s="316"/>
      <c r="T4930" s="355"/>
    </row>
    <row r="4931" spans="11:20" x14ac:dyDescent="0.25">
      <c r="K4931" s="312"/>
      <c r="N4931" s="514"/>
      <c r="R4931" s="293"/>
      <c r="S4931" s="316"/>
      <c r="T4931" s="355"/>
    </row>
    <row r="4932" spans="11:20" x14ac:dyDescent="0.25">
      <c r="K4932" s="312"/>
      <c r="N4932" s="514"/>
      <c r="R4932" s="293"/>
      <c r="S4932" s="316"/>
      <c r="T4932" s="355"/>
    </row>
    <row r="4933" spans="11:20" x14ac:dyDescent="0.25">
      <c r="K4933" s="312"/>
      <c r="N4933" s="514"/>
      <c r="R4933" s="293"/>
      <c r="S4933" s="316"/>
      <c r="T4933" s="355"/>
    </row>
    <row r="4934" spans="11:20" x14ac:dyDescent="0.25">
      <c r="K4934" s="312"/>
      <c r="N4934" s="514"/>
      <c r="R4934" s="293"/>
      <c r="S4934" s="316"/>
      <c r="T4934" s="355"/>
    </row>
    <row r="4935" spans="11:20" x14ac:dyDescent="0.25">
      <c r="K4935" s="312"/>
      <c r="N4935" s="514"/>
      <c r="R4935" s="293"/>
      <c r="S4935" s="316"/>
      <c r="T4935" s="355"/>
    </row>
    <row r="4936" spans="11:20" x14ac:dyDescent="0.25">
      <c r="K4936" s="312"/>
      <c r="N4936" s="514"/>
      <c r="R4936" s="293"/>
      <c r="S4936" s="316"/>
      <c r="T4936" s="355"/>
    </row>
    <row r="4937" spans="11:20" x14ac:dyDescent="0.25">
      <c r="K4937" s="312"/>
      <c r="N4937" s="514"/>
      <c r="R4937" s="293"/>
      <c r="S4937" s="316"/>
      <c r="T4937" s="355"/>
    </row>
    <row r="4938" spans="11:20" x14ac:dyDescent="0.25">
      <c r="K4938" s="312"/>
      <c r="N4938" s="514"/>
      <c r="R4938" s="293"/>
      <c r="S4938" s="316"/>
      <c r="T4938" s="355"/>
    </row>
    <row r="4939" spans="11:20" x14ac:dyDescent="0.25">
      <c r="K4939" s="312"/>
      <c r="N4939" s="514"/>
      <c r="R4939" s="293"/>
      <c r="S4939" s="316"/>
      <c r="T4939" s="355"/>
    </row>
    <row r="4940" spans="11:20" x14ac:dyDescent="0.25">
      <c r="K4940" s="312"/>
      <c r="N4940" s="514"/>
      <c r="R4940" s="293"/>
      <c r="S4940" s="316"/>
      <c r="T4940" s="355"/>
    </row>
    <row r="4941" spans="11:20" x14ac:dyDescent="0.25">
      <c r="K4941" s="312"/>
      <c r="N4941" s="514"/>
      <c r="R4941" s="293"/>
      <c r="S4941" s="316"/>
      <c r="T4941" s="355"/>
    </row>
    <row r="4942" spans="11:20" x14ac:dyDescent="0.25">
      <c r="K4942" s="312"/>
      <c r="N4942" s="514"/>
      <c r="R4942" s="293"/>
      <c r="S4942" s="316"/>
      <c r="T4942" s="355"/>
    </row>
    <row r="4943" spans="11:20" x14ac:dyDescent="0.25">
      <c r="K4943" s="312"/>
      <c r="N4943" s="514"/>
      <c r="R4943" s="293"/>
      <c r="S4943" s="316"/>
      <c r="T4943" s="355"/>
    </row>
    <row r="4944" spans="11:20" x14ac:dyDescent="0.25">
      <c r="K4944" s="312"/>
      <c r="N4944" s="514"/>
      <c r="R4944" s="293"/>
      <c r="S4944" s="316"/>
      <c r="T4944" s="355"/>
    </row>
    <row r="4945" spans="11:20" x14ac:dyDescent="0.25">
      <c r="K4945" s="312"/>
      <c r="N4945" s="514"/>
      <c r="R4945" s="293"/>
      <c r="S4945" s="316"/>
      <c r="T4945" s="355"/>
    </row>
    <row r="4946" spans="11:20" x14ac:dyDescent="0.25">
      <c r="K4946" s="312"/>
      <c r="N4946" s="514"/>
      <c r="R4946" s="293"/>
      <c r="S4946" s="316"/>
      <c r="T4946" s="355"/>
    </row>
    <row r="4947" spans="11:20" x14ac:dyDescent="0.25">
      <c r="K4947" s="312"/>
      <c r="N4947" s="514"/>
      <c r="R4947" s="293"/>
      <c r="S4947" s="316"/>
      <c r="T4947" s="355"/>
    </row>
    <row r="4948" spans="11:20" x14ac:dyDescent="0.25">
      <c r="K4948" s="312"/>
      <c r="N4948" s="514"/>
      <c r="R4948" s="293"/>
      <c r="S4948" s="316"/>
      <c r="T4948" s="355"/>
    </row>
    <row r="4949" spans="11:20" x14ac:dyDescent="0.25">
      <c r="K4949" s="312"/>
      <c r="N4949" s="514"/>
      <c r="R4949" s="293"/>
      <c r="S4949" s="316"/>
      <c r="T4949" s="355"/>
    </row>
    <row r="4950" spans="11:20" x14ac:dyDescent="0.25">
      <c r="K4950" s="312"/>
      <c r="N4950" s="514"/>
      <c r="R4950" s="293"/>
      <c r="S4950" s="316"/>
      <c r="T4950" s="355"/>
    </row>
    <row r="4951" spans="11:20" x14ac:dyDescent="0.25">
      <c r="K4951" s="312"/>
      <c r="N4951" s="514"/>
      <c r="R4951" s="293"/>
      <c r="S4951" s="316"/>
      <c r="T4951" s="355"/>
    </row>
    <row r="4952" spans="11:20" x14ac:dyDescent="0.25">
      <c r="K4952" s="312"/>
      <c r="N4952" s="514"/>
      <c r="R4952" s="293"/>
      <c r="S4952" s="316"/>
      <c r="T4952" s="355"/>
    </row>
    <row r="4953" spans="11:20" x14ac:dyDescent="0.25">
      <c r="K4953" s="312"/>
      <c r="N4953" s="514"/>
      <c r="R4953" s="293"/>
      <c r="S4953" s="316"/>
      <c r="T4953" s="355"/>
    </row>
    <row r="4954" spans="11:20" x14ac:dyDescent="0.25">
      <c r="K4954" s="312"/>
      <c r="N4954" s="514"/>
      <c r="R4954" s="293"/>
      <c r="S4954" s="316"/>
      <c r="T4954" s="355"/>
    </row>
    <row r="4955" spans="11:20" x14ac:dyDescent="0.25">
      <c r="K4955" s="312"/>
      <c r="N4955" s="514"/>
      <c r="R4955" s="293"/>
      <c r="S4955" s="316"/>
      <c r="T4955" s="355"/>
    </row>
    <row r="4956" spans="11:20" x14ac:dyDescent="0.25">
      <c r="K4956" s="312"/>
      <c r="N4956" s="514"/>
      <c r="R4956" s="293"/>
      <c r="S4956" s="316"/>
      <c r="T4956" s="355"/>
    </row>
    <row r="4957" spans="11:20" x14ac:dyDescent="0.25">
      <c r="K4957" s="312"/>
      <c r="N4957" s="514"/>
      <c r="R4957" s="293"/>
      <c r="S4957" s="316"/>
      <c r="T4957" s="355"/>
    </row>
    <row r="4958" spans="11:20" x14ac:dyDescent="0.25">
      <c r="K4958" s="312"/>
      <c r="N4958" s="514"/>
      <c r="R4958" s="293"/>
      <c r="S4958" s="316"/>
      <c r="T4958" s="355"/>
    </row>
    <row r="4959" spans="11:20" x14ac:dyDescent="0.25">
      <c r="K4959" s="312"/>
      <c r="N4959" s="514"/>
      <c r="R4959" s="293"/>
      <c r="S4959" s="316"/>
      <c r="T4959" s="355"/>
    </row>
    <row r="4960" spans="11:20" x14ac:dyDescent="0.25">
      <c r="K4960" s="312"/>
      <c r="N4960" s="514"/>
      <c r="R4960" s="293"/>
      <c r="S4960" s="316"/>
      <c r="T4960" s="355"/>
    </row>
    <row r="4961" spans="11:20" x14ac:dyDescent="0.25">
      <c r="K4961" s="312"/>
      <c r="N4961" s="514"/>
      <c r="R4961" s="293"/>
      <c r="S4961" s="316"/>
      <c r="T4961" s="355"/>
    </row>
    <row r="4962" spans="11:20" x14ac:dyDescent="0.25">
      <c r="K4962" s="312"/>
      <c r="N4962" s="514"/>
      <c r="R4962" s="293"/>
      <c r="S4962" s="316"/>
      <c r="T4962" s="355"/>
    </row>
    <row r="4963" spans="11:20" x14ac:dyDescent="0.25">
      <c r="K4963" s="312"/>
      <c r="N4963" s="514"/>
      <c r="R4963" s="293"/>
      <c r="S4963" s="316"/>
      <c r="T4963" s="355"/>
    </row>
    <row r="4964" spans="11:20" x14ac:dyDescent="0.25">
      <c r="K4964" s="312"/>
      <c r="N4964" s="514"/>
      <c r="R4964" s="293"/>
      <c r="S4964" s="316"/>
      <c r="T4964" s="355"/>
    </row>
    <row r="4965" spans="11:20" x14ac:dyDescent="0.25">
      <c r="K4965" s="312"/>
      <c r="N4965" s="514"/>
      <c r="R4965" s="293"/>
      <c r="S4965" s="316"/>
      <c r="T4965" s="355"/>
    </row>
    <row r="4966" spans="11:20" x14ac:dyDescent="0.25">
      <c r="K4966" s="312"/>
      <c r="N4966" s="514"/>
      <c r="R4966" s="293"/>
      <c r="S4966" s="316"/>
      <c r="T4966" s="355"/>
    </row>
    <row r="4967" spans="11:20" x14ac:dyDescent="0.25">
      <c r="K4967" s="312"/>
      <c r="N4967" s="514"/>
      <c r="R4967" s="293"/>
      <c r="S4967" s="316"/>
      <c r="T4967" s="355"/>
    </row>
    <row r="4968" spans="11:20" x14ac:dyDescent="0.25">
      <c r="K4968" s="312"/>
      <c r="N4968" s="514"/>
      <c r="R4968" s="293"/>
      <c r="S4968" s="316"/>
      <c r="T4968" s="355"/>
    </row>
    <row r="4969" spans="11:20" x14ac:dyDescent="0.25">
      <c r="K4969" s="312"/>
      <c r="N4969" s="514"/>
      <c r="R4969" s="293"/>
      <c r="S4969" s="316"/>
      <c r="T4969" s="355"/>
    </row>
    <row r="4970" spans="11:20" x14ac:dyDescent="0.25">
      <c r="K4970" s="312"/>
      <c r="N4970" s="514"/>
      <c r="R4970" s="293"/>
      <c r="S4970" s="316"/>
      <c r="T4970" s="355"/>
    </row>
    <row r="4971" spans="11:20" x14ac:dyDescent="0.25">
      <c r="K4971" s="312"/>
      <c r="N4971" s="514"/>
      <c r="R4971" s="293"/>
      <c r="S4971" s="316"/>
      <c r="T4971" s="355"/>
    </row>
    <row r="4972" spans="11:20" x14ac:dyDescent="0.25">
      <c r="K4972" s="312"/>
      <c r="N4972" s="514"/>
      <c r="R4972" s="293"/>
      <c r="S4972" s="316"/>
      <c r="T4972" s="355"/>
    </row>
    <row r="4973" spans="11:20" x14ac:dyDescent="0.25">
      <c r="K4973" s="312"/>
      <c r="N4973" s="514"/>
      <c r="R4973" s="293"/>
      <c r="S4973" s="316"/>
      <c r="T4973" s="355"/>
    </row>
    <row r="4974" spans="11:20" x14ac:dyDescent="0.25">
      <c r="K4974" s="312"/>
      <c r="N4974" s="514"/>
      <c r="R4974" s="293"/>
      <c r="S4974" s="316"/>
      <c r="T4974" s="355"/>
    </row>
    <row r="4975" spans="11:20" x14ac:dyDescent="0.25">
      <c r="K4975" s="312"/>
      <c r="N4975" s="514"/>
      <c r="R4975" s="293"/>
      <c r="S4975" s="316"/>
      <c r="T4975" s="355"/>
    </row>
    <row r="4976" spans="11:20" x14ac:dyDescent="0.25">
      <c r="K4976" s="312"/>
      <c r="N4976" s="514"/>
      <c r="R4976" s="293"/>
      <c r="S4976" s="316"/>
      <c r="T4976" s="355"/>
    </row>
    <row r="4977" spans="11:20" x14ac:dyDescent="0.25">
      <c r="K4977" s="312"/>
      <c r="N4977" s="514"/>
      <c r="R4977" s="293"/>
      <c r="S4977" s="316"/>
      <c r="T4977" s="355"/>
    </row>
    <row r="4978" spans="11:20" x14ac:dyDescent="0.25">
      <c r="K4978" s="312"/>
      <c r="N4978" s="514"/>
      <c r="R4978" s="293"/>
      <c r="S4978" s="316"/>
      <c r="T4978" s="355"/>
    </row>
    <row r="4979" spans="11:20" x14ac:dyDescent="0.25">
      <c r="K4979" s="312"/>
      <c r="N4979" s="514"/>
      <c r="R4979" s="293"/>
      <c r="S4979" s="316"/>
      <c r="T4979" s="355"/>
    </row>
    <row r="4980" spans="11:20" x14ac:dyDescent="0.25">
      <c r="K4980" s="312"/>
      <c r="N4980" s="514"/>
      <c r="R4980" s="293"/>
      <c r="S4980" s="316"/>
      <c r="T4980" s="355"/>
    </row>
    <row r="4981" spans="11:20" x14ac:dyDescent="0.25">
      <c r="K4981" s="312"/>
      <c r="N4981" s="514"/>
      <c r="R4981" s="293"/>
      <c r="S4981" s="316"/>
      <c r="T4981" s="355"/>
    </row>
    <row r="4982" spans="11:20" x14ac:dyDescent="0.25">
      <c r="K4982" s="312"/>
      <c r="N4982" s="514"/>
      <c r="R4982" s="293"/>
      <c r="S4982" s="316"/>
      <c r="T4982" s="355"/>
    </row>
    <row r="4983" spans="11:20" x14ac:dyDescent="0.25">
      <c r="K4983" s="312"/>
      <c r="N4983" s="514"/>
      <c r="R4983" s="293"/>
      <c r="S4983" s="316"/>
      <c r="T4983" s="355"/>
    </row>
    <row r="4984" spans="11:20" x14ac:dyDescent="0.25">
      <c r="K4984" s="312"/>
      <c r="N4984" s="514"/>
      <c r="R4984" s="293"/>
      <c r="S4984" s="316"/>
      <c r="T4984" s="355"/>
    </row>
    <row r="4985" spans="11:20" x14ac:dyDescent="0.25">
      <c r="K4985" s="312"/>
      <c r="N4985" s="514"/>
      <c r="R4985" s="293"/>
      <c r="S4985" s="316"/>
      <c r="T4985" s="355"/>
    </row>
    <row r="4986" spans="11:20" x14ac:dyDescent="0.25">
      <c r="K4986" s="312"/>
      <c r="N4986" s="514"/>
      <c r="R4986" s="293"/>
      <c r="S4986" s="316"/>
      <c r="T4986" s="355"/>
    </row>
    <row r="4987" spans="11:20" x14ac:dyDescent="0.25">
      <c r="K4987" s="312"/>
      <c r="N4987" s="514"/>
      <c r="R4987" s="293"/>
      <c r="S4987" s="316"/>
      <c r="T4987" s="355"/>
    </row>
    <row r="4988" spans="11:20" x14ac:dyDescent="0.25">
      <c r="K4988" s="312"/>
      <c r="N4988" s="514"/>
      <c r="R4988" s="293"/>
      <c r="S4988" s="316"/>
      <c r="T4988" s="355"/>
    </row>
    <row r="4989" spans="11:20" x14ac:dyDescent="0.25">
      <c r="K4989" s="312"/>
      <c r="N4989" s="514"/>
      <c r="R4989" s="293"/>
      <c r="S4989" s="316"/>
      <c r="T4989" s="355"/>
    </row>
    <row r="4990" spans="11:20" x14ac:dyDescent="0.25">
      <c r="K4990" s="312"/>
      <c r="N4990" s="514"/>
      <c r="R4990" s="293"/>
      <c r="S4990" s="316"/>
      <c r="T4990" s="355"/>
    </row>
    <row r="4991" spans="11:20" x14ac:dyDescent="0.25">
      <c r="K4991" s="312"/>
      <c r="N4991" s="514"/>
      <c r="R4991" s="293"/>
      <c r="S4991" s="316"/>
      <c r="T4991" s="355"/>
    </row>
    <row r="4992" spans="11:20" x14ac:dyDescent="0.25">
      <c r="K4992" s="312"/>
      <c r="N4992" s="514"/>
      <c r="R4992" s="293"/>
      <c r="S4992" s="316"/>
      <c r="T4992" s="355"/>
    </row>
    <row r="4993" spans="11:20" x14ac:dyDescent="0.25">
      <c r="K4993" s="312"/>
      <c r="N4993" s="514"/>
      <c r="R4993" s="293"/>
      <c r="S4993" s="316"/>
      <c r="T4993" s="355"/>
    </row>
    <row r="4994" spans="11:20" x14ac:dyDescent="0.25">
      <c r="K4994" s="312"/>
      <c r="N4994" s="514"/>
      <c r="R4994" s="293"/>
      <c r="S4994" s="316"/>
      <c r="T4994" s="355"/>
    </row>
    <row r="4995" spans="11:20" x14ac:dyDescent="0.25">
      <c r="K4995" s="312"/>
      <c r="N4995" s="514"/>
      <c r="R4995" s="293"/>
      <c r="S4995" s="316"/>
      <c r="T4995" s="355"/>
    </row>
    <row r="4996" spans="11:20" x14ac:dyDescent="0.25">
      <c r="K4996" s="312"/>
      <c r="N4996" s="514"/>
      <c r="R4996" s="293"/>
      <c r="S4996" s="316"/>
      <c r="T4996" s="355"/>
    </row>
    <row r="4997" spans="11:20" x14ac:dyDescent="0.25">
      <c r="K4997" s="312"/>
      <c r="N4997" s="514"/>
      <c r="R4997" s="293"/>
      <c r="S4997" s="316"/>
      <c r="T4997" s="355"/>
    </row>
    <row r="4998" spans="11:20" x14ac:dyDescent="0.25">
      <c r="K4998" s="312"/>
      <c r="N4998" s="514"/>
      <c r="R4998" s="293"/>
      <c r="S4998" s="316"/>
      <c r="T4998" s="355"/>
    </row>
    <row r="4999" spans="11:20" x14ac:dyDescent="0.25">
      <c r="K4999" s="312"/>
      <c r="N4999" s="514"/>
      <c r="R4999" s="293"/>
      <c r="S4999" s="316"/>
      <c r="T4999" s="355"/>
    </row>
    <row r="5000" spans="11:20" x14ac:dyDescent="0.25">
      <c r="K5000" s="312"/>
      <c r="N5000" s="514"/>
      <c r="R5000" s="293"/>
      <c r="S5000" s="316"/>
      <c r="T5000" s="355"/>
    </row>
    <row r="5001" spans="11:20" x14ac:dyDescent="0.25">
      <c r="K5001" s="312"/>
      <c r="N5001" s="514"/>
      <c r="R5001" s="293"/>
      <c r="S5001" s="316"/>
      <c r="T5001" s="355"/>
    </row>
    <row r="5002" spans="11:20" x14ac:dyDescent="0.25">
      <c r="K5002" s="312"/>
      <c r="N5002" s="514"/>
      <c r="R5002" s="293"/>
      <c r="S5002" s="316"/>
      <c r="T5002" s="355"/>
    </row>
    <row r="5003" spans="11:20" x14ac:dyDescent="0.25">
      <c r="K5003" s="312"/>
      <c r="N5003" s="514"/>
      <c r="R5003" s="293"/>
      <c r="S5003" s="316"/>
      <c r="T5003" s="355"/>
    </row>
    <row r="5004" spans="11:20" x14ac:dyDescent="0.25">
      <c r="K5004" s="312"/>
      <c r="N5004" s="514"/>
      <c r="R5004" s="293"/>
      <c r="S5004" s="316"/>
      <c r="T5004" s="355"/>
    </row>
    <row r="5005" spans="11:20" x14ac:dyDescent="0.25">
      <c r="K5005" s="312"/>
      <c r="N5005" s="514"/>
      <c r="R5005" s="293"/>
      <c r="S5005" s="316"/>
      <c r="T5005" s="355"/>
    </row>
    <row r="5006" spans="11:20" x14ac:dyDescent="0.25">
      <c r="K5006" s="312"/>
      <c r="N5006" s="514"/>
      <c r="R5006" s="293"/>
      <c r="S5006" s="316"/>
      <c r="T5006" s="355"/>
    </row>
    <row r="5007" spans="11:20" x14ac:dyDescent="0.25">
      <c r="K5007" s="312"/>
      <c r="N5007" s="514"/>
      <c r="R5007" s="293"/>
      <c r="S5007" s="316"/>
      <c r="T5007" s="355"/>
    </row>
    <row r="5008" spans="11:20" x14ac:dyDescent="0.25">
      <c r="K5008" s="312"/>
      <c r="N5008" s="514"/>
      <c r="R5008" s="293"/>
      <c r="S5008" s="316"/>
      <c r="T5008" s="355"/>
    </row>
    <row r="5009" spans="11:20" x14ac:dyDescent="0.25">
      <c r="K5009" s="312"/>
      <c r="N5009" s="514"/>
      <c r="R5009" s="293"/>
      <c r="S5009" s="316"/>
      <c r="T5009" s="355"/>
    </row>
    <row r="5010" spans="11:20" x14ac:dyDescent="0.25">
      <c r="K5010" s="312"/>
      <c r="N5010" s="514"/>
      <c r="R5010" s="293"/>
      <c r="S5010" s="316"/>
      <c r="T5010" s="355"/>
    </row>
    <row r="5011" spans="11:20" x14ac:dyDescent="0.25">
      <c r="K5011" s="312"/>
      <c r="N5011" s="514"/>
      <c r="R5011" s="293"/>
      <c r="S5011" s="316"/>
      <c r="T5011" s="355"/>
    </row>
    <row r="5012" spans="11:20" x14ac:dyDescent="0.25">
      <c r="K5012" s="312"/>
      <c r="N5012" s="514"/>
      <c r="R5012" s="293"/>
      <c r="S5012" s="316"/>
      <c r="T5012" s="355"/>
    </row>
    <row r="5013" spans="11:20" x14ac:dyDescent="0.25">
      <c r="K5013" s="312"/>
      <c r="N5013" s="514"/>
      <c r="R5013" s="293"/>
      <c r="S5013" s="316"/>
      <c r="T5013" s="355"/>
    </row>
    <row r="5014" spans="11:20" x14ac:dyDescent="0.25">
      <c r="K5014" s="312"/>
      <c r="N5014" s="514"/>
      <c r="R5014" s="293"/>
      <c r="S5014" s="316"/>
      <c r="T5014" s="355"/>
    </row>
    <row r="5015" spans="11:20" x14ac:dyDescent="0.25">
      <c r="K5015" s="312"/>
      <c r="N5015" s="514"/>
      <c r="R5015" s="293"/>
      <c r="S5015" s="316"/>
      <c r="T5015" s="355"/>
    </row>
    <row r="5016" spans="11:20" x14ac:dyDescent="0.25">
      <c r="K5016" s="312"/>
      <c r="N5016" s="514"/>
      <c r="R5016" s="293"/>
      <c r="S5016" s="316"/>
      <c r="T5016" s="355"/>
    </row>
    <row r="5017" spans="11:20" x14ac:dyDescent="0.25">
      <c r="K5017" s="312"/>
      <c r="N5017" s="514"/>
      <c r="R5017" s="293"/>
      <c r="S5017" s="316"/>
      <c r="T5017" s="355"/>
    </row>
    <row r="5018" spans="11:20" x14ac:dyDescent="0.25">
      <c r="K5018" s="312"/>
      <c r="N5018" s="514"/>
      <c r="R5018" s="293"/>
      <c r="S5018" s="316"/>
      <c r="T5018" s="355"/>
    </row>
    <row r="5019" spans="11:20" x14ac:dyDescent="0.25">
      <c r="K5019" s="312"/>
      <c r="N5019" s="514"/>
      <c r="R5019" s="293"/>
      <c r="S5019" s="316"/>
      <c r="T5019" s="355"/>
    </row>
    <row r="5020" spans="11:20" x14ac:dyDescent="0.25">
      <c r="K5020" s="312"/>
      <c r="N5020" s="514"/>
      <c r="R5020" s="293"/>
      <c r="S5020" s="316"/>
      <c r="T5020" s="355"/>
    </row>
    <row r="5021" spans="11:20" x14ac:dyDescent="0.25">
      <c r="K5021" s="312"/>
      <c r="N5021" s="514"/>
      <c r="R5021" s="293"/>
      <c r="S5021" s="316"/>
      <c r="T5021" s="355"/>
    </row>
    <row r="5022" spans="11:20" x14ac:dyDescent="0.25">
      <c r="K5022" s="312"/>
      <c r="N5022" s="514"/>
      <c r="R5022" s="293"/>
      <c r="S5022" s="316"/>
      <c r="T5022" s="355"/>
    </row>
    <row r="5023" spans="11:20" x14ac:dyDescent="0.25">
      <c r="K5023" s="312"/>
      <c r="N5023" s="514"/>
      <c r="R5023" s="293"/>
      <c r="S5023" s="316"/>
      <c r="T5023" s="355"/>
    </row>
    <row r="5024" spans="11:20" x14ac:dyDescent="0.25">
      <c r="K5024" s="312"/>
      <c r="N5024" s="514"/>
      <c r="R5024" s="293"/>
      <c r="S5024" s="316"/>
      <c r="T5024" s="355"/>
    </row>
    <row r="5025" spans="11:20" x14ac:dyDescent="0.25">
      <c r="K5025" s="312"/>
      <c r="N5025" s="514"/>
      <c r="R5025" s="293"/>
      <c r="S5025" s="316"/>
      <c r="T5025" s="355"/>
    </row>
    <row r="5026" spans="11:20" x14ac:dyDescent="0.25">
      <c r="K5026" s="312"/>
      <c r="N5026" s="514"/>
      <c r="R5026" s="293"/>
      <c r="S5026" s="316"/>
      <c r="T5026" s="355"/>
    </row>
    <row r="5027" spans="11:20" x14ac:dyDescent="0.25">
      <c r="K5027" s="312"/>
      <c r="N5027" s="514"/>
      <c r="R5027" s="293"/>
      <c r="S5027" s="316"/>
      <c r="T5027" s="355"/>
    </row>
    <row r="5028" spans="11:20" x14ac:dyDescent="0.25">
      <c r="K5028" s="312"/>
      <c r="N5028" s="514"/>
      <c r="R5028" s="293"/>
      <c r="S5028" s="316"/>
      <c r="T5028" s="355"/>
    </row>
    <row r="5029" spans="11:20" x14ac:dyDescent="0.25">
      <c r="K5029" s="312"/>
      <c r="N5029" s="514"/>
      <c r="R5029" s="293"/>
      <c r="S5029" s="316"/>
      <c r="T5029" s="355"/>
    </row>
    <row r="5030" spans="11:20" x14ac:dyDescent="0.25">
      <c r="K5030" s="312"/>
      <c r="N5030" s="514"/>
      <c r="R5030" s="293"/>
      <c r="S5030" s="316"/>
      <c r="T5030" s="355"/>
    </row>
    <row r="5031" spans="11:20" x14ac:dyDescent="0.25">
      <c r="K5031" s="312"/>
      <c r="N5031" s="514"/>
      <c r="R5031" s="293"/>
      <c r="S5031" s="316"/>
      <c r="T5031" s="355"/>
    </row>
    <row r="5032" spans="11:20" x14ac:dyDescent="0.25">
      <c r="K5032" s="312"/>
      <c r="N5032" s="514"/>
      <c r="R5032" s="293"/>
      <c r="S5032" s="316"/>
      <c r="T5032" s="355"/>
    </row>
    <row r="5033" spans="11:20" x14ac:dyDescent="0.25">
      <c r="K5033" s="312"/>
      <c r="N5033" s="514"/>
      <c r="R5033" s="293"/>
      <c r="S5033" s="316"/>
      <c r="T5033" s="355"/>
    </row>
    <row r="5034" spans="11:20" x14ac:dyDescent="0.25">
      <c r="K5034" s="312"/>
      <c r="N5034" s="514"/>
      <c r="R5034" s="293"/>
      <c r="S5034" s="316"/>
      <c r="T5034" s="355"/>
    </row>
    <row r="5035" spans="11:20" x14ac:dyDescent="0.25">
      <c r="K5035" s="312"/>
      <c r="N5035" s="514"/>
      <c r="R5035" s="293"/>
      <c r="S5035" s="316"/>
      <c r="T5035" s="355"/>
    </row>
    <row r="5036" spans="11:20" x14ac:dyDescent="0.25">
      <c r="K5036" s="312"/>
      <c r="N5036" s="514"/>
      <c r="R5036" s="293"/>
      <c r="S5036" s="316"/>
      <c r="T5036" s="355"/>
    </row>
    <row r="5037" spans="11:20" x14ac:dyDescent="0.25">
      <c r="K5037" s="312"/>
      <c r="N5037" s="514"/>
      <c r="R5037" s="293"/>
      <c r="S5037" s="316"/>
      <c r="T5037" s="355"/>
    </row>
    <row r="5038" spans="11:20" x14ac:dyDescent="0.25">
      <c r="K5038" s="312"/>
      <c r="N5038" s="514"/>
      <c r="R5038" s="293"/>
      <c r="S5038" s="316"/>
      <c r="T5038" s="355"/>
    </row>
    <row r="5039" spans="11:20" x14ac:dyDescent="0.25">
      <c r="K5039" s="312"/>
      <c r="N5039" s="514"/>
      <c r="R5039" s="293"/>
      <c r="S5039" s="316"/>
      <c r="T5039" s="355"/>
    </row>
    <row r="5040" spans="11:20" x14ac:dyDescent="0.25">
      <c r="K5040" s="312"/>
      <c r="N5040" s="514"/>
      <c r="R5040" s="293"/>
      <c r="S5040" s="316"/>
      <c r="T5040" s="355"/>
    </row>
    <row r="5041" spans="11:20" x14ac:dyDescent="0.25">
      <c r="K5041" s="312"/>
      <c r="N5041" s="514"/>
      <c r="R5041" s="293"/>
      <c r="S5041" s="316"/>
      <c r="T5041" s="355"/>
    </row>
    <row r="5042" spans="11:20" x14ac:dyDescent="0.25">
      <c r="K5042" s="312"/>
      <c r="N5042" s="514"/>
      <c r="R5042" s="293"/>
      <c r="S5042" s="316"/>
      <c r="T5042" s="355"/>
    </row>
    <row r="5043" spans="11:20" x14ac:dyDescent="0.25">
      <c r="K5043" s="312"/>
      <c r="N5043" s="514"/>
      <c r="R5043" s="293"/>
      <c r="S5043" s="316"/>
      <c r="T5043" s="355"/>
    </row>
    <row r="5044" spans="11:20" x14ac:dyDescent="0.25">
      <c r="K5044" s="312"/>
      <c r="N5044" s="514"/>
      <c r="R5044" s="293"/>
      <c r="S5044" s="316"/>
      <c r="T5044" s="355"/>
    </row>
    <row r="5045" spans="11:20" x14ac:dyDescent="0.25">
      <c r="K5045" s="312"/>
      <c r="N5045" s="514"/>
      <c r="R5045" s="293"/>
      <c r="S5045" s="316"/>
      <c r="T5045" s="355"/>
    </row>
    <row r="5046" spans="11:20" x14ac:dyDescent="0.25">
      <c r="K5046" s="312"/>
      <c r="N5046" s="514"/>
      <c r="R5046" s="293"/>
      <c r="S5046" s="316"/>
      <c r="T5046" s="355"/>
    </row>
    <row r="5047" spans="11:20" x14ac:dyDescent="0.25">
      <c r="K5047" s="312"/>
      <c r="N5047" s="514"/>
      <c r="R5047" s="293"/>
      <c r="S5047" s="316"/>
      <c r="T5047" s="355"/>
    </row>
    <row r="5048" spans="11:20" x14ac:dyDescent="0.25">
      <c r="K5048" s="312"/>
      <c r="N5048" s="514"/>
      <c r="R5048" s="293"/>
      <c r="S5048" s="316"/>
      <c r="T5048" s="355"/>
    </row>
    <row r="5049" spans="11:20" x14ac:dyDescent="0.25">
      <c r="K5049" s="312"/>
      <c r="N5049" s="514"/>
      <c r="R5049" s="293"/>
      <c r="S5049" s="316"/>
      <c r="T5049" s="355"/>
    </row>
    <row r="5050" spans="11:20" x14ac:dyDescent="0.25">
      <c r="K5050" s="312"/>
      <c r="N5050" s="514"/>
      <c r="R5050" s="293"/>
      <c r="S5050" s="316"/>
      <c r="T5050" s="355"/>
    </row>
    <row r="5051" spans="11:20" x14ac:dyDescent="0.25">
      <c r="K5051" s="312"/>
      <c r="N5051" s="514"/>
      <c r="R5051" s="293"/>
      <c r="S5051" s="316"/>
      <c r="T5051" s="355"/>
    </row>
    <row r="5052" spans="11:20" x14ac:dyDescent="0.25">
      <c r="K5052" s="312"/>
      <c r="N5052" s="514"/>
      <c r="R5052" s="293"/>
      <c r="S5052" s="316"/>
      <c r="T5052" s="355"/>
    </row>
    <row r="5053" spans="11:20" x14ac:dyDescent="0.25">
      <c r="K5053" s="312"/>
      <c r="N5053" s="514"/>
      <c r="R5053" s="293"/>
      <c r="S5053" s="316"/>
      <c r="T5053" s="355"/>
    </row>
    <row r="5054" spans="11:20" x14ac:dyDescent="0.25">
      <c r="K5054" s="312"/>
      <c r="N5054" s="514"/>
      <c r="R5054" s="293"/>
      <c r="S5054" s="316"/>
      <c r="T5054" s="355"/>
    </row>
    <row r="5055" spans="11:20" x14ac:dyDescent="0.25">
      <c r="K5055" s="312"/>
      <c r="N5055" s="514"/>
      <c r="R5055" s="293"/>
      <c r="S5055" s="316"/>
      <c r="T5055" s="355"/>
    </row>
    <row r="5056" spans="11:20" x14ac:dyDescent="0.25">
      <c r="K5056" s="312"/>
      <c r="N5056" s="514"/>
      <c r="R5056" s="293"/>
      <c r="S5056" s="316"/>
      <c r="T5056" s="355"/>
    </row>
    <row r="5057" spans="11:20" x14ac:dyDescent="0.25">
      <c r="K5057" s="312"/>
      <c r="N5057" s="514"/>
      <c r="R5057" s="293"/>
      <c r="S5057" s="316"/>
      <c r="T5057" s="355"/>
    </row>
    <row r="5058" spans="11:20" x14ac:dyDescent="0.25">
      <c r="K5058" s="312"/>
      <c r="N5058" s="514"/>
      <c r="R5058" s="293"/>
      <c r="S5058" s="316"/>
      <c r="T5058" s="355"/>
    </row>
    <row r="5059" spans="11:20" x14ac:dyDescent="0.25">
      <c r="K5059" s="312"/>
      <c r="N5059" s="514"/>
      <c r="R5059" s="293"/>
      <c r="S5059" s="316"/>
      <c r="T5059" s="355"/>
    </row>
    <row r="5060" spans="11:20" x14ac:dyDescent="0.25">
      <c r="K5060" s="312"/>
      <c r="N5060" s="514"/>
      <c r="R5060" s="293"/>
      <c r="S5060" s="316"/>
      <c r="T5060" s="355"/>
    </row>
    <row r="5061" spans="11:20" x14ac:dyDescent="0.25">
      <c r="K5061" s="312"/>
      <c r="N5061" s="514"/>
      <c r="R5061" s="293"/>
      <c r="S5061" s="316"/>
      <c r="T5061" s="355"/>
    </row>
    <row r="5062" spans="11:20" x14ac:dyDescent="0.25">
      <c r="K5062" s="312"/>
      <c r="N5062" s="514"/>
      <c r="R5062" s="293"/>
      <c r="S5062" s="316"/>
      <c r="T5062" s="355"/>
    </row>
    <row r="5063" spans="11:20" x14ac:dyDescent="0.25">
      <c r="K5063" s="312"/>
      <c r="N5063" s="514"/>
      <c r="R5063" s="293"/>
      <c r="S5063" s="316"/>
      <c r="T5063" s="355"/>
    </row>
    <row r="5064" spans="11:20" x14ac:dyDescent="0.25">
      <c r="K5064" s="312"/>
      <c r="N5064" s="514"/>
      <c r="R5064" s="293"/>
      <c r="S5064" s="316"/>
      <c r="T5064" s="355"/>
    </row>
    <row r="5065" spans="11:20" x14ac:dyDescent="0.25">
      <c r="K5065" s="312"/>
      <c r="N5065" s="514"/>
      <c r="R5065" s="293"/>
      <c r="S5065" s="316"/>
      <c r="T5065" s="355"/>
    </row>
    <row r="5066" spans="11:20" x14ac:dyDescent="0.25">
      <c r="K5066" s="312"/>
      <c r="N5066" s="514"/>
      <c r="R5066" s="293"/>
      <c r="S5066" s="316"/>
      <c r="T5066" s="355"/>
    </row>
    <row r="5067" spans="11:20" x14ac:dyDescent="0.25">
      <c r="K5067" s="312"/>
      <c r="N5067" s="514"/>
      <c r="R5067" s="293"/>
      <c r="S5067" s="316"/>
      <c r="T5067" s="355"/>
    </row>
    <row r="5068" spans="11:20" x14ac:dyDescent="0.25">
      <c r="K5068" s="312"/>
      <c r="N5068" s="514"/>
      <c r="R5068" s="293"/>
      <c r="S5068" s="316"/>
      <c r="T5068" s="355"/>
    </row>
    <row r="5069" spans="11:20" x14ac:dyDescent="0.25">
      <c r="K5069" s="312"/>
      <c r="N5069" s="514"/>
      <c r="R5069" s="293"/>
      <c r="S5069" s="316"/>
      <c r="T5069" s="355"/>
    </row>
    <row r="5070" spans="11:20" x14ac:dyDescent="0.25">
      <c r="K5070" s="312"/>
      <c r="N5070" s="514"/>
      <c r="R5070" s="293"/>
      <c r="S5070" s="316"/>
      <c r="T5070" s="355"/>
    </row>
    <row r="5071" spans="11:20" x14ac:dyDescent="0.25">
      <c r="K5071" s="312"/>
      <c r="N5071" s="514"/>
      <c r="R5071" s="293"/>
      <c r="S5071" s="316"/>
      <c r="T5071" s="355"/>
    </row>
    <row r="5072" spans="11:20" x14ac:dyDescent="0.25">
      <c r="K5072" s="312"/>
      <c r="N5072" s="514"/>
      <c r="R5072" s="293"/>
      <c r="S5072" s="316"/>
      <c r="T5072" s="355"/>
    </row>
    <row r="5073" spans="11:20" x14ac:dyDescent="0.25">
      <c r="K5073" s="312"/>
      <c r="N5073" s="514"/>
      <c r="R5073" s="293"/>
      <c r="S5073" s="316"/>
      <c r="T5073" s="355"/>
    </row>
    <row r="5074" spans="11:20" x14ac:dyDescent="0.25">
      <c r="K5074" s="312"/>
      <c r="N5074" s="514"/>
      <c r="R5074" s="293"/>
      <c r="S5074" s="316"/>
      <c r="T5074" s="355"/>
    </row>
    <row r="5075" spans="11:20" x14ac:dyDescent="0.25">
      <c r="K5075" s="312"/>
      <c r="N5075" s="514"/>
      <c r="R5075" s="293"/>
      <c r="S5075" s="316"/>
      <c r="T5075" s="355"/>
    </row>
    <row r="5076" spans="11:20" x14ac:dyDescent="0.25">
      <c r="K5076" s="312"/>
      <c r="N5076" s="514"/>
      <c r="R5076" s="293"/>
      <c r="S5076" s="316"/>
      <c r="T5076" s="355"/>
    </row>
    <row r="5077" spans="11:20" x14ac:dyDescent="0.25">
      <c r="K5077" s="312"/>
      <c r="N5077" s="514"/>
      <c r="R5077" s="293"/>
      <c r="S5077" s="316"/>
      <c r="T5077" s="355"/>
    </row>
    <row r="5078" spans="11:20" x14ac:dyDescent="0.25">
      <c r="K5078" s="312"/>
      <c r="N5078" s="514"/>
      <c r="R5078" s="293"/>
      <c r="S5078" s="316"/>
      <c r="T5078" s="355"/>
    </row>
    <row r="5079" spans="11:20" x14ac:dyDescent="0.25">
      <c r="K5079" s="312"/>
      <c r="N5079" s="514"/>
      <c r="R5079" s="293"/>
      <c r="S5079" s="316"/>
      <c r="T5079" s="355"/>
    </row>
    <row r="5080" spans="11:20" x14ac:dyDescent="0.25">
      <c r="K5080" s="312"/>
      <c r="N5080" s="514"/>
      <c r="R5080" s="293"/>
      <c r="S5080" s="316"/>
      <c r="T5080" s="355"/>
    </row>
    <row r="5081" spans="11:20" x14ac:dyDescent="0.25">
      <c r="K5081" s="312"/>
      <c r="N5081" s="514"/>
      <c r="R5081" s="293"/>
      <c r="S5081" s="316"/>
      <c r="T5081" s="355"/>
    </row>
    <row r="5082" spans="11:20" x14ac:dyDescent="0.25">
      <c r="K5082" s="312"/>
      <c r="N5082" s="514"/>
      <c r="R5082" s="293"/>
      <c r="S5082" s="316"/>
      <c r="T5082" s="355"/>
    </row>
    <row r="5083" spans="11:20" x14ac:dyDescent="0.25">
      <c r="K5083" s="312"/>
      <c r="N5083" s="514"/>
      <c r="R5083" s="293"/>
      <c r="S5083" s="316"/>
      <c r="T5083" s="355"/>
    </row>
    <row r="5084" spans="11:20" x14ac:dyDescent="0.25">
      <c r="K5084" s="312"/>
      <c r="N5084" s="514"/>
      <c r="R5084" s="293"/>
      <c r="S5084" s="316"/>
      <c r="T5084" s="355"/>
    </row>
    <row r="5085" spans="11:20" x14ac:dyDescent="0.25">
      <c r="K5085" s="312"/>
      <c r="N5085" s="514"/>
      <c r="R5085" s="293"/>
      <c r="S5085" s="316"/>
      <c r="T5085" s="355"/>
    </row>
    <row r="5086" spans="11:20" x14ac:dyDescent="0.25">
      <c r="K5086" s="312"/>
      <c r="N5086" s="514"/>
      <c r="R5086" s="293"/>
      <c r="S5086" s="316"/>
      <c r="T5086" s="355"/>
    </row>
    <row r="5087" spans="11:20" x14ac:dyDescent="0.25">
      <c r="K5087" s="312"/>
      <c r="N5087" s="514"/>
      <c r="R5087" s="293"/>
      <c r="S5087" s="316"/>
      <c r="T5087" s="355"/>
    </row>
    <row r="5088" spans="11:20" x14ac:dyDescent="0.25">
      <c r="K5088" s="312"/>
      <c r="N5088" s="514"/>
      <c r="R5088" s="293"/>
      <c r="S5088" s="316"/>
      <c r="T5088" s="355"/>
    </row>
    <row r="5089" spans="11:20" x14ac:dyDescent="0.25">
      <c r="K5089" s="312"/>
      <c r="N5089" s="514"/>
      <c r="R5089" s="293"/>
      <c r="S5089" s="316"/>
      <c r="T5089" s="355"/>
    </row>
    <row r="5090" spans="11:20" x14ac:dyDescent="0.25">
      <c r="K5090" s="312"/>
      <c r="N5090" s="514"/>
      <c r="R5090" s="293"/>
      <c r="S5090" s="316"/>
      <c r="T5090" s="355"/>
    </row>
    <row r="5091" spans="11:20" x14ac:dyDescent="0.25">
      <c r="K5091" s="312"/>
      <c r="N5091" s="514"/>
      <c r="R5091" s="293"/>
      <c r="S5091" s="316"/>
      <c r="T5091" s="355"/>
    </row>
    <row r="5092" spans="11:20" x14ac:dyDescent="0.25">
      <c r="K5092" s="312"/>
      <c r="N5092" s="514"/>
      <c r="R5092" s="293"/>
      <c r="S5092" s="316"/>
      <c r="T5092" s="355"/>
    </row>
    <row r="5093" spans="11:20" x14ac:dyDescent="0.25">
      <c r="K5093" s="312"/>
      <c r="N5093" s="514"/>
      <c r="R5093" s="293"/>
      <c r="S5093" s="316"/>
      <c r="T5093" s="355"/>
    </row>
    <row r="5094" spans="11:20" x14ac:dyDescent="0.25">
      <c r="K5094" s="312"/>
      <c r="N5094" s="514"/>
      <c r="R5094" s="293"/>
      <c r="S5094" s="316"/>
      <c r="T5094" s="355"/>
    </row>
    <row r="5095" spans="11:20" x14ac:dyDescent="0.25">
      <c r="K5095" s="312"/>
      <c r="N5095" s="514"/>
      <c r="R5095" s="293"/>
      <c r="S5095" s="316"/>
      <c r="T5095" s="355"/>
    </row>
    <row r="5096" spans="11:20" x14ac:dyDescent="0.25">
      <c r="K5096" s="312"/>
      <c r="N5096" s="514"/>
      <c r="R5096" s="293"/>
      <c r="S5096" s="316"/>
      <c r="T5096" s="355"/>
    </row>
    <row r="5097" spans="11:20" x14ac:dyDescent="0.25">
      <c r="K5097" s="312"/>
      <c r="N5097" s="514"/>
      <c r="R5097" s="293"/>
      <c r="S5097" s="316"/>
      <c r="T5097" s="355"/>
    </row>
    <row r="5098" spans="11:20" x14ac:dyDescent="0.25">
      <c r="K5098" s="312"/>
      <c r="N5098" s="514"/>
      <c r="R5098" s="293"/>
      <c r="S5098" s="316"/>
      <c r="T5098" s="355"/>
    </row>
    <row r="5099" spans="11:20" x14ac:dyDescent="0.25">
      <c r="K5099" s="312"/>
      <c r="N5099" s="514"/>
      <c r="R5099" s="293"/>
      <c r="S5099" s="316"/>
      <c r="T5099" s="355"/>
    </row>
    <row r="5100" spans="11:20" x14ac:dyDescent="0.25">
      <c r="K5100" s="312"/>
      <c r="N5100" s="514"/>
      <c r="R5100" s="293"/>
      <c r="S5100" s="316"/>
      <c r="T5100" s="355"/>
    </row>
    <row r="5101" spans="11:20" x14ac:dyDescent="0.25">
      <c r="K5101" s="312"/>
      <c r="N5101" s="514"/>
      <c r="R5101" s="293"/>
      <c r="S5101" s="316"/>
      <c r="T5101" s="355"/>
    </row>
    <row r="5102" spans="11:20" x14ac:dyDescent="0.25">
      <c r="K5102" s="312"/>
      <c r="N5102" s="514"/>
      <c r="R5102" s="293"/>
      <c r="S5102" s="316"/>
      <c r="T5102" s="355"/>
    </row>
    <row r="5103" spans="11:20" x14ac:dyDescent="0.25">
      <c r="K5103" s="312"/>
      <c r="N5103" s="514"/>
      <c r="R5103" s="293"/>
      <c r="S5103" s="316"/>
      <c r="T5103" s="355"/>
    </row>
    <row r="5104" spans="11:20" x14ac:dyDescent="0.25">
      <c r="K5104" s="312"/>
      <c r="N5104" s="514"/>
      <c r="R5104" s="293"/>
      <c r="S5104" s="316"/>
      <c r="T5104" s="355"/>
    </row>
    <row r="5105" spans="11:20" x14ac:dyDescent="0.25">
      <c r="K5105" s="312"/>
      <c r="N5105" s="514"/>
      <c r="R5105" s="293"/>
      <c r="S5105" s="316"/>
      <c r="T5105" s="355"/>
    </row>
    <row r="5106" spans="11:20" x14ac:dyDescent="0.25">
      <c r="K5106" s="312"/>
      <c r="N5106" s="514"/>
      <c r="R5106" s="293"/>
      <c r="S5106" s="316"/>
      <c r="T5106" s="355"/>
    </row>
    <row r="5107" spans="11:20" x14ac:dyDescent="0.25">
      <c r="K5107" s="312"/>
      <c r="N5107" s="514"/>
      <c r="R5107" s="293"/>
      <c r="S5107" s="316"/>
      <c r="T5107" s="355"/>
    </row>
    <row r="5108" spans="11:20" x14ac:dyDescent="0.25">
      <c r="K5108" s="312"/>
      <c r="N5108" s="514"/>
      <c r="R5108" s="293"/>
      <c r="S5108" s="316"/>
      <c r="T5108" s="355"/>
    </row>
    <row r="5109" spans="11:20" x14ac:dyDescent="0.25">
      <c r="K5109" s="312"/>
      <c r="N5109" s="514"/>
      <c r="R5109" s="293"/>
      <c r="S5109" s="316"/>
      <c r="T5109" s="355"/>
    </row>
    <row r="5110" spans="11:20" x14ac:dyDescent="0.25">
      <c r="K5110" s="312"/>
      <c r="N5110" s="514"/>
      <c r="R5110" s="293"/>
      <c r="S5110" s="316"/>
      <c r="T5110" s="355"/>
    </row>
    <row r="5111" spans="11:20" x14ac:dyDescent="0.25">
      <c r="K5111" s="312"/>
      <c r="N5111" s="514"/>
      <c r="R5111" s="293"/>
      <c r="S5111" s="316"/>
      <c r="T5111" s="355"/>
    </row>
    <row r="5112" spans="11:20" x14ac:dyDescent="0.25">
      <c r="K5112" s="312"/>
      <c r="N5112" s="514"/>
      <c r="R5112" s="293"/>
      <c r="S5112" s="316"/>
      <c r="T5112" s="355"/>
    </row>
    <row r="5113" spans="11:20" x14ac:dyDescent="0.25">
      <c r="K5113" s="312"/>
      <c r="N5113" s="514"/>
      <c r="R5113" s="293"/>
      <c r="S5113" s="316"/>
      <c r="T5113" s="355"/>
    </row>
    <row r="5114" spans="11:20" x14ac:dyDescent="0.25">
      <c r="K5114" s="312"/>
      <c r="N5114" s="514"/>
      <c r="R5114" s="293"/>
      <c r="S5114" s="316"/>
      <c r="T5114" s="355"/>
    </row>
    <row r="5115" spans="11:20" x14ac:dyDescent="0.25">
      <c r="K5115" s="312"/>
      <c r="N5115" s="514"/>
      <c r="R5115" s="293"/>
      <c r="S5115" s="316"/>
      <c r="T5115" s="355"/>
    </row>
    <row r="5116" spans="11:20" x14ac:dyDescent="0.25">
      <c r="K5116" s="312"/>
      <c r="N5116" s="514"/>
      <c r="R5116" s="293"/>
      <c r="S5116" s="316"/>
      <c r="T5116" s="355"/>
    </row>
    <row r="5117" spans="11:20" x14ac:dyDescent="0.25">
      <c r="K5117" s="312"/>
      <c r="N5117" s="514"/>
      <c r="R5117" s="293"/>
      <c r="S5117" s="316"/>
      <c r="T5117" s="355"/>
    </row>
    <row r="5118" spans="11:20" x14ac:dyDescent="0.25">
      <c r="K5118" s="312"/>
      <c r="N5118" s="514"/>
      <c r="R5118" s="293"/>
      <c r="S5118" s="316"/>
      <c r="T5118" s="355"/>
    </row>
    <row r="5119" spans="11:20" x14ac:dyDescent="0.25">
      <c r="K5119" s="312"/>
      <c r="N5119" s="514"/>
      <c r="R5119" s="293"/>
      <c r="S5119" s="316"/>
      <c r="T5119" s="355"/>
    </row>
    <row r="5120" spans="11:20" x14ac:dyDescent="0.25">
      <c r="K5120" s="312"/>
      <c r="N5120" s="514"/>
      <c r="R5120" s="293"/>
      <c r="S5120" s="316"/>
      <c r="T5120" s="355"/>
    </row>
    <row r="5121" spans="11:20" x14ac:dyDescent="0.25">
      <c r="K5121" s="312"/>
      <c r="N5121" s="514"/>
      <c r="R5121" s="293"/>
      <c r="S5121" s="316"/>
      <c r="T5121" s="355"/>
    </row>
    <row r="5122" spans="11:20" x14ac:dyDescent="0.25">
      <c r="K5122" s="312"/>
      <c r="N5122" s="514"/>
      <c r="R5122" s="293"/>
      <c r="S5122" s="316"/>
      <c r="T5122" s="355"/>
    </row>
    <row r="5123" spans="11:20" x14ac:dyDescent="0.25">
      <c r="K5123" s="312"/>
      <c r="N5123" s="514"/>
      <c r="R5123" s="293"/>
      <c r="S5123" s="316"/>
      <c r="T5123" s="355"/>
    </row>
    <row r="5124" spans="11:20" x14ac:dyDescent="0.25">
      <c r="K5124" s="312"/>
      <c r="N5124" s="514"/>
      <c r="R5124" s="293"/>
      <c r="S5124" s="316"/>
      <c r="T5124" s="355"/>
    </row>
    <row r="5125" spans="11:20" x14ac:dyDescent="0.25">
      <c r="K5125" s="312"/>
      <c r="N5125" s="514"/>
      <c r="R5125" s="293"/>
      <c r="S5125" s="316"/>
      <c r="T5125" s="355"/>
    </row>
    <row r="5126" spans="11:20" x14ac:dyDescent="0.25">
      <c r="K5126" s="312"/>
      <c r="N5126" s="514"/>
      <c r="R5126" s="293"/>
      <c r="S5126" s="316"/>
      <c r="T5126" s="355"/>
    </row>
    <row r="5127" spans="11:20" x14ac:dyDescent="0.25">
      <c r="K5127" s="312"/>
      <c r="N5127" s="514"/>
      <c r="R5127" s="293"/>
      <c r="S5127" s="316"/>
      <c r="T5127" s="355"/>
    </row>
    <row r="5128" spans="11:20" x14ac:dyDescent="0.25">
      <c r="K5128" s="312"/>
      <c r="N5128" s="514"/>
      <c r="R5128" s="293"/>
      <c r="S5128" s="316"/>
      <c r="T5128" s="355"/>
    </row>
    <row r="5129" spans="11:20" x14ac:dyDescent="0.25">
      <c r="K5129" s="312"/>
      <c r="N5129" s="514"/>
      <c r="R5129" s="293"/>
      <c r="S5129" s="316"/>
      <c r="T5129" s="355"/>
    </row>
    <row r="5130" spans="11:20" x14ac:dyDescent="0.25">
      <c r="K5130" s="312"/>
      <c r="N5130" s="514"/>
      <c r="R5130" s="293"/>
      <c r="S5130" s="316"/>
      <c r="T5130" s="355"/>
    </row>
    <row r="5131" spans="11:20" x14ac:dyDescent="0.25">
      <c r="K5131" s="312"/>
      <c r="N5131" s="514"/>
      <c r="R5131" s="293"/>
      <c r="S5131" s="316"/>
      <c r="T5131" s="355"/>
    </row>
    <row r="5132" spans="11:20" x14ac:dyDescent="0.25">
      <c r="K5132" s="312"/>
      <c r="N5132" s="514"/>
      <c r="R5132" s="293"/>
      <c r="S5132" s="316"/>
      <c r="T5132" s="355"/>
    </row>
    <row r="5133" spans="11:20" x14ac:dyDescent="0.25">
      <c r="K5133" s="312"/>
      <c r="N5133" s="514"/>
      <c r="R5133" s="293"/>
      <c r="S5133" s="316"/>
      <c r="T5133" s="355"/>
    </row>
    <row r="5134" spans="11:20" x14ac:dyDescent="0.25">
      <c r="K5134" s="312"/>
      <c r="N5134" s="514"/>
      <c r="R5134" s="293"/>
      <c r="S5134" s="316"/>
      <c r="T5134" s="355"/>
    </row>
    <row r="5135" spans="11:20" x14ac:dyDescent="0.25">
      <c r="K5135" s="312"/>
      <c r="N5135" s="514"/>
      <c r="R5135" s="293"/>
      <c r="S5135" s="316"/>
      <c r="T5135" s="355"/>
    </row>
    <row r="5136" spans="11:20" x14ac:dyDescent="0.25">
      <c r="K5136" s="312"/>
      <c r="N5136" s="514"/>
      <c r="R5136" s="293"/>
      <c r="S5136" s="316"/>
      <c r="T5136" s="355"/>
    </row>
    <row r="5137" spans="11:20" x14ac:dyDescent="0.25">
      <c r="K5137" s="312"/>
      <c r="N5137" s="514"/>
      <c r="R5137" s="293"/>
      <c r="S5137" s="316"/>
      <c r="T5137" s="355"/>
    </row>
    <row r="5138" spans="11:20" x14ac:dyDescent="0.25">
      <c r="K5138" s="312"/>
      <c r="N5138" s="514"/>
      <c r="R5138" s="293"/>
      <c r="S5138" s="316"/>
      <c r="T5138" s="355"/>
    </row>
    <row r="5139" spans="11:20" x14ac:dyDescent="0.25">
      <c r="K5139" s="312"/>
      <c r="N5139" s="514"/>
      <c r="R5139" s="293"/>
      <c r="S5139" s="316"/>
      <c r="T5139" s="355"/>
    </row>
    <row r="5140" spans="11:20" x14ac:dyDescent="0.25">
      <c r="K5140" s="312"/>
      <c r="N5140" s="514"/>
      <c r="R5140" s="293"/>
      <c r="S5140" s="316"/>
      <c r="T5140" s="355"/>
    </row>
    <row r="5141" spans="11:20" x14ac:dyDescent="0.25">
      <c r="K5141" s="312"/>
      <c r="N5141" s="514"/>
      <c r="R5141" s="293"/>
      <c r="S5141" s="316"/>
      <c r="T5141" s="355"/>
    </row>
    <row r="5142" spans="11:20" x14ac:dyDescent="0.25">
      <c r="K5142" s="312"/>
      <c r="N5142" s="514"/>
      <c r="R5142" s="293"/>
      <c r="S5142" s="316"/>
      <c r="T5142" s="355"/>
    </row>
    <row r="5143" spans="11:20" x14ac:dyDescent="0.25">
      <c r="K5143" s="312"/>
      <c r="N5143" s="514"/>
      <c r="R5143" s="293"/>
      <c r="S5143" s="316"/>
      <c r="T5143" s="355"/>
    </row>
    <row r="5144" spans="11:20" x14ac:dyDescent="0.25">
      <c r="K5144" s="312"/>
      <c r="N5144" s="514"/>
      <c r="R5144" s="293"/>
      <c r="S5144" s="316"/>
      <c r="T5144" s="355"/>
    </row>
    <row r="5145" spans="11:20" x14ac:dyDescent="0.25">
      <c r="K5145" s="312"/>
      <c r="N5145" s="514"/>
      <c r="R5145" s="293"/>
      <c r="S5145" s="316"/>
      <c r="T5145" s="355"/>
    </row>
    <row r="5146" spans="11:20" x14ac:dyDescent="0.25">
      <c r="K5146" s="312"/>
      <c r="N5146" s="514"/>
      <c r="R5146" s="293"/>
      <c r="S5146" s="316"/>
      <c r="T5146" s="355"/>
    </row>
    <row r="5147" spans="11:20" x14ac:dyDescent="0.25">
      <c r="K5147" s="312"/>
      <c r="N5147" s="514"/>
      <c r="R5147" s="293"/>
      <c r="S5147" s="316"/>
      <c r="T5147" s="355"/>
    </row>
    <row r="5148" spans="11:20" x14ac:dyDescent="0.25">
      <c r="K5148" s="312"/>
      <c r="N5148" s="514"/>
      <c r="R5148" s="293"/>
      <c r="S5148" s="316"/>
      <c r="T5148" s="355"/>
    </row>
    <row r="5149" spans="11:20" x14ac:dyDescent="0.25">
      <c r="K5149" s="312"/>
      <c r="N5149" s="514"/>
      <c r="R5149" s="293"/>
      <c r="S5149" s="316"/>
      <c r="T5149" s="355"/>
    </row>
    <row r="5150" spans="11:20" x14ac:dyDescent="0.25">
      <c r="K5150" s="312"/>
      <c r="N5150" s="514"/>
      <c r="R5150" s="293"/>
      <c r="S5150" s="316"/>
      <c r="T5150" s="355"/>
    </row>
    <row r="5151" spans="11:20" x14ac:dyDescent="0.25">
      <c r="K5151" s="312"/>
      <c r="N5151" s="514"/>
      <c r="R5151" s="293"/>
      <c r="S5151" s="316"/>
      <c r="T5151" s="355"/>
    </row>
    <row r="5152" spans="11:20" x14ac:dyDescent="0.25">
      <c r="K5152" s="312"/>
      <c r="N5152" s="514"/>
      <c r="R5152" s="293"/>
      <c r="S5152" s="316"/>
      <c r="T5152" s="355"/>
    </row>
    <row r="5153" spans="11:20" x14ac:dyDescent="0.25">
      <c r="K5153" s="312"/>
      <c r="N5153" s="514"/>
      <c r="R5153" s="293"/>
      <c r="S5153" s="316"/>
      <c r="T5153" s="355"/>
    </row>
    <row r="5154" spans="11:20" x14ac:dyDescent="0.25">
      <c r="K5154" s="312"/>
      <c r="N5154" s="514"/>
      <c r="R5154" s="293"/>
      <c r="S5154" s="316"/>
      <c r="T5154" s="355"/>
    </row>
    <row r="5155" spans="11:20" x14ac:dyDescent="0.25">
      <c r="K5155" s="312"/>
      <c r="N5155" s="514"/>
      <c r="R5155" s="293"/>
      <c r="S5155" s="316"/>
      <c r="T5155" s="355"/>
    </row>
    <row r="5156" spans="11:20" x14ac:dyDescent="0.25">
      <c r="K5156" s="312"/>
      <c r="N5156" s="514"/>
      <c r="R5156" s="293"/>
      <c r="S5156" s="316"/>
      <c r="T5156" s="355"/>
    </row>
    <row r="5157" spans="11:20" x14ac:dyDescent="0.25">
      <c r="K5157" s="312"/>
      <c r="N5157" s="514"/>
      <c r="R5157" s="293"/>
      <c r="S5157" s="316"/>
      <c r="T5157" s="355"/>
    </row>
    <row r="5158" spans="11:20" x14ac:dyDescent="0.25">
      <c r="K5158" s="312"/>
      <c r="N5158" s="514"/>
      <c r="R5158" s="293"/>
      <c r="S5158" s="316"/>
      <c r="T5158" s="355"/>
    </row>
    <row r="5159" spans="11:20" x14ac:dyDescent="0.25">
      <c r="K5159" s="312"/>
      <c r="N5159" s="514"/>
      <c r="R5159" s="293"/>
      <c r="S5159" s="316"/>
      <c r="T5159" s="355"/>
    </row>
    <row r="5160" spans="11:20" x14ac:dyDescent="0.25">
      <c r="K5160" s="312"/>
      <c r="N5160" s="514"/>
      <c r="R5160" s="293"/>
      <c r="S5160" s="316"/>
      <c r="T5160" s="355"/>
    </row>
    <row r="5161" spans="11:20" x14ac:dyDescent="0.25">
      <c r="K5161" s="312"/>
      <c r="N5161" s="514"/>
      <c r="R5161" s="293"/>
      <c r="S5161" s="316"/>
      <c r="T5161" s="355"/>
    </row>
    <row r="5162" spans="11:20" x14ac:dyDescent="0.25">
      <c r="K5162" s="312"/>
      <c r="N5162" s="514"/>
      <c r="R5162" s="293"/>
      <c r="S5162" s="316"/>
      <c r="T5162" s="355"/>
    </row>
    <row r="5163" spans="11:20" x14ac:dyDescent="0.25">
      <c r="K5163" s="312"/>
      <c r="N5163" s="514"/>
      <c r="R5163" s="293"/>
      <c r="S5163" s="316"/>
      <c r="T5163" s="355"/>
    </row>
    <row r="5164" spans="11:20" x14ac:dyDescent="0.25">
      <c r="K5164" s="312"/>
      <c r="N5164" s="514"/>
      <c r="R5164" s="293"/>
      <c r="S5164" s="316"/>
      <c r="T5164" s="355"/>
    </row>
    <row r="5165" spans="11:20" x14ac:dyDescent="0.25">
      <c r="K5165" s="312"/>
      <c r="N5165" s="514"/>
      <c r="R5165" s="293"/>
      <c r="S5165" s="316"/>
      <c r="T5165" s="355"/>
    </row>
    <row r="5166" spans="11:20" x14ac:dyDescent="0.25">
      <c r="K5166" s="312"/>
      <c r="N5166" s="514"/>
      <c r="R5166" s="293"/>
      <c r="S5166" s="316"/>
      <c r="T5166" s="355"/>
    </row>
    <row r="5167" spans="11:20" x14ac:dyDescent="0.25">
      <c r="K5167" s="312"/>
      <c r="N5167" s="514"/>
      <c r="R5167" s="293"/>
      <c r="S5167" s="316"/>
      <c r="T5167" s="355"/>
    </row>
    <row r="5168" spans="11:20" x14ac:dyDescent="0.25">
      <c r="K5168" s="312"/>
      <c r="N5168" s="514"/>
      <c r="R5168" s="293"/>
      <c r="S5168" s="316"/>
      <c r="T5168" s="355"/>
    </row>
    <row r="5169" spans="11:20" x14ac:dyDescent="0.25">
      <c r="K5169" s="312"/>
      <c r="N5169" s="514"/>
      <c r="R5169" s="293"/>
      <c r="S5169" s="316"/>
      <c r="T5169" s="355"/>
    </row>
    <row r="5170" spans="11:20" x14ac:dyDescent="0.25">
      <c r="K5170" s="312"/>
      <c r="N5170" s="514"/>
      <c r="R5170" s="293"/>
      <c r="S5170" s="316"/>
      <c r="T5170" s="355"/>
    </row>
    <row r="5171" spans="11:20" x14ac:dyDescent="0.25">
      <c r="K5171" s="312"/>
      <c r="N5171" s="514"/>
      <c r="R5171" s="293"/>
      <c r="S5171" s="316"/>
      <c r="T5171" s="355"/>
    </row>
    <row r="5172" spans="11:20" x14ac:dyDescent="0.25">
      <c r="K5172" s="312"/>
      <c r="N5172" s="514"/>
      <c r="R5172" s="293"/>
      <c r="S5172" s="316"/>
      <c r="T5172" s="355"/>
    </row>
    <row r="5173" spans="11:20" x14ac:dyDescent="0.25">
      <c r="K5173" s="312"/>
      <c r="N5173" s="514"/>
      <c r="R5173" s="293"/>
      <c r="S5173" s="316"/>
      <c r="T5173" s="355"/>
    </row>
    <row r="5174" spans="11:20" x14ac:dyDescent="0.25">
      <c r="K5174" s="312"/>
      <c r="N5174" s="514"/>
      <c r="R5174" s="293"/>
      <c r="S5174" s="316"/>
      <c r="T5174" s="355"/>
    </row>
    <row r="5175" spans="11:20" x14ac:dyDescent="0.25">
      <c r="K5175" s="312"/>
      <c r="N5175" s="514"/>
      <c r="R5175" s="293"/>
      <c r="S5175" s="316"/>
      <c r="T5175" s="355"/>
    </row>
    <row r="5176" spans="11:20" x14ac:dyDescent="0.25">
      <c r="K5176" s="312"/>
      <c r="N5176" s="514"/>
      <c r="R5176" s="293"/>
      <c r="S5176" s="316"/>
      <c r="T5176" s="355"/>
    </row>
    <row r="5177" spans="11:20" x14ac:dyDescent="0.25">
      <c r="K5177" s="312"/>
      <c r="N5177" s="514"/>
      <c r="R5177" s="293"/>
      <c r="S5177" s="316"/>
      <c r="T5177" s="355"/>
    </row>
    <row r="5178" spans="11:20" x14ac:dyDescent="0.25">
      <c r="K5178" s="312"/>
      <c r="N5178" s="514"/>
      <c r="R5178" s="293"/>
      <c r="S5178" s="316"/>
      <c r="T5178" s="355"/>
    </row>
    <row r="5179" spans="11:20" x14ac:dyDescent="0.25">
      <c r="K5179" s="312"/>
      <c r="N5179" s="514"/>
      <c r="R5179" s="293"/>
      <c r="S5179" s="316"/>
      <c r="T5179" s="355"/>
    </row>
    <row r="5180" spans="11:20" x14ac:dyDescent="0.25">
      <c r="K5180" s="312"/>
      <c r="N5180" s="514"/>
      <c r="R5180" s="293"/>
      <c r="S5180" s="316"/>
      <c r="T5180" s="355"/>
    </row>
    <row r="5181" spans="11:20" x14ac:dyDescent="0.25">
      <c r="K5181" s="312"/>
      <c r="N5181" s="514"/>
      <c r="R5181" s="293"/>
      <c r="S5181" s="316"/>
      <c r="T5181" s="355"/>
    </row>
    <row r="5182" spans="11:20" x14ac:dyDescent="0.25">
      <c r="K5182" s="312"/>
      <c r="N5182" s="514"/>
      <c r="R5182" s="293"/>
      <c r="S5182" s="316"/>
      <c r="T5182" s="355"/>
    </row>
    <row r="5183" spans="11:20" x14ac:dyDescent="0.25">
      <c r="K5183" s="312"/>
      <c r="N5183" s="514"/>
      <c r="R5183" s="293"/>
      <c r="S5183" s="316"/>
      <c r="T5183" s="355"/>
    </row>
    <row r="5184" spans="11:20" x14ac:dyDescent="0.25">
      <c r="K5184" s="312"/>
      <c r="N5184" s="514"/>
      <c r="R5184" s="293"/>
      <c r="S5184" s="316"/>
      <c r="T5184" s="355"/>
    </row>
    <row r="5185" spans="11:20" x14ac:dyDescent="0.25">
      <c r="K5185" s="312"/>
      <c r="N5185" s="514"/>
      <c r="R5185" s="293"/>
      <c r="S5185" s="316"/>
      <c r="T5185" s="355"/>
    </row>
    <row r="5186" spans="11:20" x14ac:dyDescent="0.25">
      <c r="K5186" s="312"/>
      <c r="N5186" s="514"/>
      <c r="R5186" s="293"/>
      <c r="S5186" s="316"/>
      <c r="T5186" s="355"/>
    </row>
    <row r="5187" spans="11:20" x14ac:dyDescent="0.25">
      <c r="K5187" s="312"/>
      <c r="N5187" s="514"/>
      <c r="R5187" s="293"/>
      <c r="S5187" s="316"/>
      <c r="T5187" s="355"/>
    </row>
    <row r="5188" spans="11:20" x14ac:dyDescent="0.25">
      <c r="K5188" s="312"/>
      <c r="N5188" s="514"/>
      <c r="R5188" s="293"/>
      <c r="S5188" s="316"/>
      <c r="T5188" s="355"/>
    </row>
    <row r="5189" spans="11:20" x14ac:dyDescent="0.25">
      <c r="K5189" s="312"/>
      <c r="N5189" s="514"/>
      <c r="R5189" s="293"/>
      <c r="S5189" s="316"/>
      <c r="T5189" s="355"/>
    </row>
    <row r="5190" spans="11:20" x14ac:dyDescent="0.25">
      <c r="K5190" s="312"/>
      <c r="N5190" s="514"/>
      <c r="R5190" s="293"/>
      <c r="S5190" s="316"/>
      <c r="T5190" s="355"/>
    </row>
    <row r="5191" spans="11:20" x14ac:dyDescent="0.25">
      <c r="K5191" s="312"/>
      <c r="N5191" s="514"/>
      <c r="R5191" s="293"/>
      <c r="S5191" s="316"/>
      <c r="T5191" s="355"/>
    </row>
    <row r="5192" spans="11:20" x14ac:dyDescent="0.25">
      <c r="K5192" s="312"/>
      <c r="N5192" s="514"/>
      <c r="R5192" s="293"/>
      <c r="S5192" s="316"/>
      <c r="T5192" s="355"/>
    </row>
    <row r="5193" spans="11:20" x14ac:dyDescent="0.25">
      <c r="K5193" s="312"/>
      <c r="N5193" s="514"/>
      <c r="R5193" s="293"/>
      <c r="S5193" s="316"/>
      <c r="T5193" s="355"/>
    </row>
    <row r="5194" spans="11:20" x14ac:dyDescent="0.25">
      <c r="K5194" s="312"/>
      <c r="N5194" s="514"/>
      <c r="R5194" s="293"/>
      <c r="S5194" s="316"/>
      <c r="T5194" s="355"/>
    </row>
    <row r="5195" spans="11:20" x14ac:dyDescent="0.25">
      <c r="K5195" s="312"/>
      <c r="N5195" s="514"/>
      <c r="R5195" s="293"/>
      <c r="S5195" s="316"/>
      <c r="T5195" s="355"/>
    </row>
    <row r="5196" spans="11:20" x14ac:dyDescent="0.25">
      <c r="K5196" s="312"/>
      <c r="N5196" s="514"/>
      <c r="R5196" s="293"/>
      <c r="S5196" s="316"/>
      <c r="T5196" s="355"/>
    </row>
    <row r="5197" spans="11:20" x14ac:dyDescent="0.25">
      <c r="K5197" s="312"/>
      <c r="N5197" s="514"/>
      <c r="R5197" s="293"/>
      <c r="S5197" s="316"/>
      <c r="T5197" s="355"/>
    </row>
    <row r="5198" spans="11:20" x14ac:dyDescent="0.25">
      <c r="K5198" s="312"/>
      <c r="N5198" s="514"/>
      <c r="R5198" s="293"/>
      <c r="S5198" s="316"/>
      <c r="T5198" s="355"/>
    </row>
    <row r="5199" spans="11:20" x14ac:dyDescent="0.25">
      <c r="K5199" s="312"/>
      <c r="N5199" s="514"/>
      <c r="R5199" s="293"/>
      <c r="S5199" s="316"/>
      <c r="T5199" s="355"/>
    </row>
    <row r="5200" spans="11:20" x14ac:dyDescent="0.25">
      <c r="K5200" s="312"/>
      <c r="N5200" s="514"/>
      <c r="R5200" s="293"/>
      <c r="S5200" s="316"/>
      <c r="T5200" s="355"/>
    </row>
    <row r="5201" spans="11:20" x14ac:dyDescent="0.25">
      <c r="K5201" s="312"/>
      <c r="N5201" s="514"/>
      <c r="R5201" s="293"/>
      <c r="S5201" s="316"/>
      <c r="T5201" s="355"/>
    </row>
    <row r="5202" spans="11:20" x14ac:dyDescent="0.25">
      <c r="K5202" s="312"/>
      <c r="N5202" s="514"/>
      <c r="R5202" s="293"/>
      <c r="S5202" s="316"/>
      <c r="T5202" s="355"/>
    </row>
    <row r="5203" spans="11:20" x14ac:dyDescent="0.25">
      <c r="K5203" s="312"/>
      <c r="N5203" s="514"/>
      <c r="R5203" s="293"/>
      <c r="S5203" s="316"/>
      <c r="T5203" s="355"/>
    </row>
    <row r="5204" spans="11:20" x14ac:dyDescent="0.25">
      <c r="K5204" s="312"/>
      <c r="N5204" s="514"/>
      <c r="R5204" s="293"/>
      <c r="S5204" s="316"/>
      <c r="T5204" s="355"/>
    </row>
    <row r="5205" spans="11:20" x14ac:dyDescent="0.25">
      <c r="K5205" s="312"/>
      <c r="N5205" s="514"/>
      <c r="R5205" s="293"/>
      <c r="S5205" s="316"/>
      <c r="T5205" s="355"/>
    </row>
    <row r="5206" spans="11:20" x14ac:dyDescent="0.25">
      <c r="K5206" s="312"/>
      <c r="N5206" s="514"/>
      <c r="R5206" s="293"/>
      <c r="S5206" s="316"/>
      <c r="T5206" s="355"/>
    </row>
    <row r="5207" spans="11:20" x14ac:dyDescent="0.25">
      <c r="K5207" s="312"/>
      <c r="N5207" s="514"/>
      <c r="R5207" s="293"/>
      <c r="S5207" s="316"/>
      <c r="T5207" s="355"/>
    </row>
    <row r="5208" spans="11:20" x14ac:dyDescent="0.25">
      <c r="K5208" s="312"/>
      <c r="N5208" s="514"/>
      <c r="R5208" s="293"/>
      <c r="S5208" s="316"/>
      <c r="T5208" s="355"/>
    </row>
    <row r="5209" spans="11:20" x14ac:dyDescent="0.25">
      <c r="K5209" s="312"/>
      <c r="N5209" s="514"/>
      <c r="R5209" s="293"/>
      <c r="S5209" s="316"/>
      <c r="T5209" s="355"/>
    </row>
    <row r="5210" spans="11:20" x14ac:dyDescent="0.25">
      <c r="K5210" s="312"/>
      <c r="N5210" s="514"/>
      <c r="R5210" s="293"/>
      <c r="S5210" s="316"/>
      <c r="T5210" s="355"/>
    </row>
    <row r="5211" spans="11:20" x14ac:dyDescent="0.25">
      <c r="K5211" s="312"/>
      <c r="N5211" s="514"/>
      <c r="R5211" s="293"/>
      <c r="S5211" s="316"/>
      <c r="T5211" s="355"/>
    </row>
    <row r="5212" spans="11:20" x14ac:dyDescent="0.25">
      <c r="K5212" s="312"/>
      <c r="N5212" s="514"/>
      <c r="R5212" s="293"/>
      <c r="S5212" s="316"/>
      <c r="T5212" s="355"/>
    </row>
    <row r="5213" spans="11:20" x14ac:dyDescent="0.25">
      <c r="K5213" s="312"/>
      <c r="N5213" s="514"/>
      <c r="R5213" s="293"/>
      <c r="S5213" s="316"/>
      <c r="T5213" s="355"/>
    </row>
    <row r="5214" spans="11:20" x14ac:dyDescent="0.25">
      <c r="K5214" s="312"/>
      <c r="N5214" s="514"/>
      <c r="R5214" s="293"/>
      <c r="S5214" s="316"/>
      <c r="T5214" s="355"/>
    </row>
    <row r="5215" spans="11:20" x14ac:dyDescent="0.25">
      <c r="K5215" s="312"/>
      <c r="N5215" s="514"/>
      <c r="R5215" s="293"/>
      <c r="S5215" s="316"/>
      <c r="T5215" s="355"/>
    </row>
    <row r="5216" spans="11:20" x14ac:dyDescent="0.25">
      <c r="K5216" s="312"/>
      <c r="N5216" s="514"/>
      <c r="R5216" s="293"/>
      <c r="S5216" s="316"/>
      <c r="T5216" s="355"/>
    </row>
    <row r="5217" spans="11:20" x14ac:dyDescent="0.25">
      <c r="K5217" s="312"/>
      <c r="N5217" s="514"/>
      <c r="R5217" s="293"/>
      <c r="S5217" s="316"/>
      <c r="T5217" s="355"/>
    </row>
    <row r="5218" spans="11:20" x14ac:dyDescent="0.25">
      <c r="K5218" s="312"/>
      <c r="N5218" s="514"/>
      <c r="R5218" s="293"/>
      <c r="S5218" s="316"/>
      <c r="T5218" s="355"/>
    </row>
    <row r="5219" spans="11:20" x14ac:dyDescent="0.25">
      <c r="K5219" s="312"/>
      <c r="N5219" s="514"/>
      <c r="R5219" s="293"/>
      <c r="S5219" s="316"/>
      <c r="T5219" s="355"/>
    </row>
    <row r="5220" spans="11:20" x14ac:dyDescent="0.25">
      <c r="K5220" s="312"/>
      <c r="N5220" s="514"/>
      <c r="R5220" s="293"/>
      <c r="S5220" s="316"/>
      <c r="T5220" s="355"/>
    </row>
    <row r="5221" spans="11:20" x14ac:dyDescent="0.25">
      <c r="K5221" s="312"/>
      <c r="N5221" s="514"/>
      <c r="R5221" s="293"/>
      <c r="S5221" s="316"/>
      <c r="T5221" s="355"/>
    </row>
    <row r="5222" spans="11:20" x14ac:dyDescent="0.25">
      <c r="K5222" s="312"/>
      <c r="N5222" s="514"/>
      <c r="R5222" s="293"/>
      <c r="S5222" s="316"/>
      <c r="T5222" s="355"/>
    </row>
    <row r="5223" spans="11:20" x14ac:dyDescent="0.25">
      <c r="K5223" s="312"/>
      <c r="N5223" s="514"/>
      <c r="R5223" s="293"/>
      <c r="S5223" s="316"/>
      <c r="T5223" s="355"/>
    </row>
    <row r="5224" spans="11:20" x14ac:dyDescent="0.25">
      <c r="K5224" s="312"/>
      <c r="N5224" s="514"/>
      <c r="R5224" s="293"/>
      <c r="S5224" s="316"/>
      <c r="T5224" s="355"/>
    </row>
    <row r="5225" spans="11:20" x14ac:dyDescent="0.25">
      <c r="K5225" s="312"/>
      <c r="N5225" s="514"/>
      <c r="R5225" s="293"/>
      <c r="S5225" s="316"/>
      <c r="T5225" s="355"/>
    </row>
    <row r="5226" spans="11:20" x14ac:dyDescent="0.25">
      <c r="K5226" s="312"/>
      <c r="N5226" s="514"/>
      <c r="R5226" s="293"/>
      <c r="S5226" s="316"/>
      <c r="T5226" s="355"/>
    </row>
    <row r="5227" spans="11:20" x14ac:dyDescent="0.25">
      <c r="K5227" s="312"/>
      <c r="N5227" s="514"/>
      <c r="R5227" s="293"/>
      <c r="S5227" s="316"/>
      <c r="T5227" s="355"/>
    </row>
    <row r="5228" spans="11:20" x14ac:dyDescent="0.25">
      <c r="K5228" s="312"/>
      <c r="N5228" s="514"/>
      <c r="R5228" s="293"/>
      <c r="S5228" s="316"/>
      <c r="T5228" s="355"/>
    </row>
    <row r="5229" spans="11:20" x14ac:dyDescent="0.25">
      <c r="K5229" s="312"/>
      <c r="N5229" s="514"/>
      <c r="R5229" s="293"/>
      <c r="S5229" s="316"/>
      <c r="T5229" s="355"/>
    </row>
    <row r="5230" spans="11:20" x14ac:dyDescent="0.25">
      <c r="K5230" s="312"/>
      <c r="N5230" s="514"/>
      <c r="R5230" s="293"/>
      <c r="S5230" s="316"/>
      <c r="T5230" s="355"/>
    </row>
    <row r="5231" spans="11:20" x14ac:dyDescent="0.25">
      <c r="K5231" s="312"/>
      <c r="N5231" s="514"/>
      <c r="R5231" s="293"/>
      <c r="S5231" s="316"/>
      <c r="T5231" s="355"/>
    </row>
    <row r="5232" spans="11:20" x14ac:dyDescent="0.25">
      <c r="K5232" s="312"/>
      <c r="N5232" s="514"/>
      <c r="R5232" s="293"/>
      <c r="S5232" s="316"/>
      <c r="T5232" s="355"/>
    </row>
    <row r="5233" spans="11:20" x14ac:dyDescent="0.25">
      <c r="K5233" s="312"/>
      <c r="N5233" s="514"/>
      <c r="R5233" s="293"/>
      <c r="S5233" s="316"/>
      <c r="T5233" s="355"/>
    </row>
    <row r="5234" spans="11:20" x14ac:dyDescent="0.25">
      <c r="K5234" s="312"/>
      <c r="N5234" s="514"/>
      <c r="R5234" s="293"/>
      <c r="S5234" s="316"/>
      <c r="T5234" s="355"/>
    </row>
    <row r="5235" spans="11:20" x14ac:dyDescent="0.25">
      <c r="K5235" s="312"/>
      <c r="N5235" s="514"/>
      <c r="R5235" s="293"/>
      <c r="S5235" s="316"/>
      <c r="T5235" s="355"/>
    </row>
    <row r="5236" spans="11:20" x14ac:dyDescent="0.25">
      <c r="K5236" s="312"/>
      <c r="N5236" s="514"/>
      <c r="R5236" s="293"/>
      <c r="S5236" s="316"/>
      <c r="T5236" s="355"/>
    </row>
    <row r="5237" spans="11:20" x14ac:dyDescent="0.25">
      <c r="K5237" s="312"/>
      <c r="N5237" s="514"/>
      <c r="R5237" s="293"/>
      <c r="S5237" s="316"/>
      <c r="T5237" s="355"/>
    </row>
    <row r="5238" spans="11:20" x14ac:dyDescent="0.25">
      <c r="K5238" s="312"/>
      <c r="N5238" s="514"/>
      <c r="R5238" s="293"/>
      <c r="S5238" s="316"/>
      <c r="T5238" s="355"/>
    </row>
    <row r="5239" spans="11:20" x14ac:dyDescent="0.25">
      <c r="K5239" s="312"/>
      <c r="N5239" s="514"/>
      <c r="R5239" s="293"/>
      <c r="S5239" s="316"/>
      <c r="T5239" s="355"/>
    </row>
    <row r="5240" spans="11:20" x14ac:dyDescent="0.25">
      <c r="K5240" s="312"/>
      <c r="N5240" s="514"/>
      <c r="R5240" s="293"/>
      <c r="S5240" s="316"/>
      <c r="T5240" s="355"/>
    </row>
    <row r="5241" spans="11:20" x14ac:dyDescent="0.25">
      <c r="K5241" s="312"/>
      <c r="N5241" s="514"/>
      <c r="R5241" s="293"/>
      <c r="S5241" s="316"/>
      <c r="T5241" s="355"/>
    </row>
    <row r="5242" spans="11:20" x14ac:dyDescent="0.25">
      <c r="K5242" s="312"/>
      <c r="N5242" s="514"/>
      <c r="R5242" s="293"/>
      <c r="S5242" s="316"/>
      <c r="T5242" s="355"/>
    </row>
    <row r="5243" spans="11:20" x14ac:dyDescent="0.25">
      <c r="K5243" s="312"/>
      <c r="N5243" s="514"/>
      <c r="R5243" s="293"/>
      <c r="S5243" s="316"/>
      <c r="T5243" s="355"/>
    </row>
    <row r="5244" spans="11:20" x14ac:dyDescent="0.25">
      <c r="K5244" s="312"/>
      <c r="N5244" s="514"/>
      <c r="R5244" s="293"/>
      <c r="S5244" s="316"/>
      <c r="T5244" s="355"/>
    </row>
    <row r="5245" spans="11:20" x14ac:dyDescent="0.25">
      <c r="K5245" s="312"/>
      <c r="N5245" s="514"/>
      <c r="R5245" s="293"/>
      <c r="S5245" s="316"/>
      <c r="T5245" s="355"/>
    </row>
    <row r="5246" spans="11:20" x14ac:dyDescent="0.25">
      <c r="K5246" s="312"/>
      <c r="N5246" s="514"/>
      <c r="R5246" s="293"/>
      <c r="S5246" s="316"/>
      <c r="T5246" s="355"/>
    </row>
    <row r="5247" spans="11:20" x14ac:dyDescent="0.25">
      <c r="K5247" s="312"/>
      <c r="N5247" s="514"/>
      <c r="R5247" s="293"/>
      <c r="S5247" s="316"/>
      <c r="T5247" s="355"/>
    </row>
    <row r="5248" spans="11:20" x14ac:dyDescent="0.25">
      <c r="K5248" s="312"/>
      <c r="N5248" s="514"/>
      <c r="R5248" s="293"/>
      <c r="S5248" s="316"/>
      <c r="T5248" s="355"/>
    </row>
    <row r="5249" spans="11:20" x14ac:dyDescent="0.25">
      <c r="K5249" s="312"/>
      <c r="N5249" s="514"/>
      <c r="R5249" s="293"/>
      <c r="S5249" s="316"/>
      <c r="T5249" s="355"/>
    </row>
    <row r="5250" spans="11:20" x14ac:dyDescent="0.25">
      <c r="K5250" s="312"/>
      <c r="N5250" s="514"/>
      <c r="R5250" s="293"/>
      <c r="S5250" s="316"/>
      <c r="T5250" s="355"/>
    </row>
    <row r="5251" spans="11:20" x14ac:dyDescent="0.25">
      <c r="K5251" s="312"/>
      <c r="N5251" s="514"/>
      <c r="R5251" s="293"/>
      <c r="S5251" s="316"/>
      <c r="T5251" s="355"/>
    </row>
    <row r="5252" spans="11:20" x14ac:dyDescent="0.25">
      <c r="K5252" s="312"/>
      <c r="N5252" s="514"/>
      <c r="R5252" s="293"/>
      <c r="S5252" s="316"/>
      <c r="T5252" s="355"/>
    </row>
    <row r="5253" spans="11:20" x14ac:dyDescent="0.25">
      <c r="K5253" s="312"/>
      <c r="N5253" s="514"/>
      <c r="R5253" s="293"/>
      <c r="S5253" s="316"/>
      <c r="T5253" s="355"/>
    </row>
    <row r="5254" spans="11:20" x14ac:dyDescent="0.25">
      <c r="K5254" s="312"/>
      <c r="N5254" s="514"/>
      <c r="R5254" s="293"/>
      <c r="S5254" s="316"/>
      <c r="T5254" s="355"/>
    </row>
    <row r="5255" spans="11:20" x14ac:dyDescent="0.25">
      <c r="K5255" s="312"/>
      <c r="N5255" s="514"/>
      <c r="R5255" s="293"/>
      <c r="S5255" s="316"/>
      <c r="T5255" s="355"/>
    </row>
    <row r="5256" spans="11:20" x14ac:dyDescent="0.25">
      <c r="K5256" s="312"/>
      <c r="N5256" s="514"/>
      <c r="R5256" s="293"/>
      <c r="S5256" s="316"/>
      <c r="T5256" s="355"/>
    </row>
    <row r="5257" spans="11:20" x14ac:dyDescent="0.25">
      <c r="K5257" s="312"/>
      <c r="N5257" s="514"/>
      <c r="R5257" s="293"/>
      <c r="S5257" s="316"/>
      <c r="T5257" s="355"/>
    </row>
    <row r="5258" spans="11:20" x14ac:dyDescent="0.25">
      <c r="K5258" s="312"/>
      <c r="N5258" s="514"/>
      <c r="R5258" s="293"/>
      <c r="S5258" s="316"/>
      <c r="T5258" s="355"/>
    </row>
    <row r="5259" spans="11:20" x14ac:dyDescent="0.25">
      <c r="K5259" s="312"/>
      <c r="N5259" s="514"/>
      <c r="R5259" s="293"/>
      <c r="S5259" s="316"/>
      <c r="T5259" s="355"/>
    </row>
    <row r="5260" spans="11:20" x14ac:dyDescent="0.25">
      <c r="K5260" s="312"/>
      <c r="N5260" s="514"/>
      <c r="R5260" s="293"/>
      <c r="S5260" s="316"/>
      <c r="T5260" s="355"/>
    </row>
    <row r="5261" spans="11:20" x14ac:dyDescent="0.25">
      <c r="K5261" s="312"/>
      <c r="N5261" s="514"/>
      <c r="R5261" s="293"/>
      <c r="S5261" s="316"/>
      <c r="T5261" s="355"/>
    </row>
    <row r="5262" spans="11:20" x14ac:dyDescent="0.25">
      <c r="K5262" s="312"/>
      <c r="N5262" s="514"/>
      <c r="R5262" s="293"/>
      <c r="S5262" s="316"/>
      <c r="T5262" s="355"/>
    </row>
    <row r="5263" spans="11:20" x14ac:dyDescent="0.25">
      <c r="K5263" s="312"/>
      <c r="N5263" s="514"/>
      <c r="R5263" s="293"/>
      <c r="S5263" s="316"/>
      <c r="T5263" s="355"/>
    </row>
    <row r="5264" spans="11:20" x14ac:dyDescent="0.25">
      <c r="K5264" s="312"/>
      <c r="N5264" s="514"/>
      <c r="R5264" s="293"/>
      <c r="S5264" s="316"/>
      <c r="T5264" s="355"/>
    </row>
    <row r="5265" spans="11:20" x14ac:dyDescent="0.25">
      <c r="K5265" s="312"/>
      <c r="N5265" s="514"/>
      <c r="R5265" s="293"/>
      <c r="S5265" s="316"/>
      <c r="T5265" s="355"/>
    </row>
    <row r="5266" spans="11:20" x14ac:dyDescent="0.25">
      <c r="K5266" s="312"/>
      <c r="N5266" s="514"/>
      <c r="R5266" s="293"/>
      <c r="S5266" s="316"/>
      <c r="T5266" s="355"/>
    </row>
    <row r="5267" spans="11:20" x14ac:dyDescent="0.25">
      <c r="K5267" s="312"/>
      <c r="N5267" s="514"/>
      <c r="R5267" s="293"/>
      <c r="S5267" s="316"/>
      <c r="T5267" s="355"/>
    </row>
    <row r="5268" spans="11:20" x14ac:dyDescent="0.25">
      <c r="K5268" s="312"/>
      <c r="N5268" s="514"/>
      <c r="R5268" s="293"/>
      <c r="S5268" s="316"/>
      <c r="T5268" s="355"/>
    </row>
    <row r="5269" spans="11:20" x14ac:dyDescent="0.25">
      <c r="K5269" s="312"/>
      <c r="N5269" s="514"/>
      <c r="R5269" s="293"/>
      <c r="S5269" s="316"/>
      <c r="T5269" s="355"/>
    </row>
    <row r="5270" spans="11:20" x14ac:dyDescent="0.25">
      <c r="K5270" s="312"/>
      <c r="N5270" s="514"/>
      <c r="R5270" s="293"/>
      <c r="S5270" s="316"/>
      <c r="T5270" s="355"/>
    </row>
    <row r="5271" spans="11:20" x14ac:dyDescent="0.25">
      <c r="K5271" s="312"/>
      <c r="N5271" s="514"/>
      <c r="R5271" s="293"/>
      <c r="S5271" s="316"/>
      <c r="T5271" s="355"/>
    </row>
    <row r="5272" spans="11:20" x14ac:dyDescent="0.25">
      <c r="K5272" s="312"/>
      <c r="N5272" s="514"/>
      <c r="R5272" s="293"/>
      <c r="S5272" s="316"/>
      <c r="T5272" s="355"/>
    </row>
    <row r="5273" spans="11:20" x14ac:dyDescent="0.25">
      <c r="K5273" s="312"/>
      <c r="N5273" s="514"/>
      <c r="R5273" s="293"/>
      <c r="S5273" s="316"/>
      <c r="T5273" s="355"/>
    </row>
    <row r="5274" spans="11:20" x14ac:dyDescent="0.25">
      <c r="K5274" s="312"/>
      <c r="N5274" s="514"/>
      <c r="R5274" s="293"/>
      <c r="S5274" s="316"/>
      <c r="T5274" s="355"/>
    </row>
    <row r="5275" spans="11:20" x14ac:dyDescent="0.25">
      <c r="K5275" s="312"/>
      <c r="N5275" s="514"/>
      <c r="R5275" s="293"/>
      <c r="S5275" s="316"/>
      <c r="T5275" s="355"/>
    </row>
    <row r="5276" spans="11:20" x14ac:dyDescent="0.25">
      <c r="K5276" s="312"/>
      <c r="N5276" s="514"/>
      <c r="R5276" s="293"/>
      <c r="S5276" s="316"/>
      <c r="T5276" s="355"/>
    </row>
    <row r="5277" spans="11:20" x14ac:dyDescent="0.25">
      <c r="K5277" s="312"/>
      <c r="N5277" s="514"/>
      <c r="R5277" s="293"/>
      <c r="S5277" s="316"/>
      <c r="T5277" s="355"/>
    </row>
    <row r="5278" spans="11:20" x14ac:dyDescent="0.25">
      <c r="K5278" s="312"/>
      <c r="N5278" s="514"/>
      <c r="R5278" s="293"/>
      <c r="S5278" s="316"/>
      <c r="T5278" s="355"/>
    </row>
    <row r="5279" spans="11:20" x14ac:dyDescent="0.25">
      <c r="K5279" s="312"/>
      <c r="N5279" s="514"/>
      <c r="R5279" s="293"/>
      <c r="S5279" s="316"/>
      <c r="T5279" s="355"/>
    </row>
    <row r="5280" spans="11:20" x14ac:dyDescent="0.25">
      <c r="K5280" s="312"/>
      <c r="N5280" s="514"/>
      <c r="R5280" s="293"/>
      <c r="S5280" s="316"/>
      <c r="T5280" s="355"/>
    </row>
    <row r="5281" spans="11:20" x14ac:dyDescent="0.25">
      <c r="K5281" s="312"/>
      <c r="N5281" s="514"/>
      <c r="R5281" s="293"/>
      <c r="S5281" s="316"/>
      <c r="T5281" s="355"/>
    </row>
    <row r="5282" spans="11:20" x14ac:dyDescent="0.25">
      <c r="K5282" s="312"/>
      <c r="N5282" s="514"/>
      <c r="R5282" s="293"/>
      <c r="S5282" s="316"/>
      <c r="T5282" s="355"/>
    </row>
    <row r="5283" spans="11:20" x14ac:dyDescent="0.25">
      <c r="K5283" s="312"/>
      <c r="N5283" s="514"/>
      <c r="R5283" s="293"/>
      <c r="S5283" s="316"/>
      <c r="T5283" s="355"/>
    </row>
    <row r="5284" spans="11:20" x14ac:dyDescent="0.25">
      <c r="K5284" s="312"/>
      <c r="N5284" s="514"/>
      <c r="R5284" s="293"/>
      <c r="S5284" s="316"/>
      <c r="T5284" s="355"/>
    </row>
    <row r="5285" spans="11:20" x14ac:dyDescent="0.25">
      <c r="K5285" s="312"/>
      <c r="N5285" s="514"/>
      <c r="R5285" s="293"/>
      <c r="S5285" s="316"/>
      <c r="T5285" s="355"/>
    </row>
    <row r="5286" spans="11:20" x14ac:dyDescent="0.25">
      <c r="K5286" s="312"/>
      <c r="N5286" s="514"/>
      <c r="R5286" s="293"/>
      <c r="S5286" s="316"/>
      <c r="T5286" s="355"/>
    </row>
    <row r="5287" spans="11:20" x14ac:dyDescent="0.25">
      <c r="K5287" s="312"/>
      <c r="N5287" s="514"/>
      <c r="R5287" s="293"/>
      <c r="S5287" s="316"/>
      <c r="T5287" s="355"/>
    </row>
    <row r="5288" spans="11:20" x14ac:dyDescent="0.25">
      <c r="K5288" s="312"/>
      <c r="N5288" s="514"/>
      <c r="R5288" s="293"/>
      <c r="S5288" s="316"/>
      <c r="T5288" s="355"/>
    </row>
    <row r="5289" spans="11:20" x14ac:dyDescent="0.25">
      <c r="K5289" s="312"/>
      <c r="N5289" s="514"/>
      <c r="R5289" s="293"/>
      <c r="S5289" s="316"/>
      <c r="T5289" s="355"/>
    </row>
    <row r="5290" spans="11:20" x14ac:dyDescent="0.25">
      <c r="K5290" s="312"/>
      <c r="N5290" s="514"/>
      <c r="R5290" s="293"/>
      <c r="S5290" s="316"/>
      <c r="T5290" s="355"/>
    </row>
    <row r="5291" spans="11:20" x14ac:dyDescent="0.25">
      <c r="K5291" s="312"/>
      <c r="N5291" s="514"/>
      <c r="R5291" s="293"/>
      <c r="S5291" s="316"/>
      <c r="T5291" s="355"/>
    </row>
    <row r="5292" spans="11:20" x14ac:dyDescent="0.25">
      <c r="K5292" s="312"/>
      <c r="N5292" s="514"/>
      <c r="R5292" s="293"/>
      <c r="S5292" s="316"/>
      <c r="T5292" s="355"/>
    </row>
    <row r="5293" spans="11:20" x14ac:dyDescent="0.25">
      <c r="K5293" s="312"/>
      <c r="N5293" s="514"/>
      <c r="R5293" s="293"/>
      <c r="S5293" s="316"/>
      <c r="T5293" s="355"/>
    </row>
    <row r="5294" spans="11:20" x14ac:dyDescent="0.25">
      <c r="K5294" s="312"/>
      <c r="N5294" s="514"/>
      <c r="R5294" s="293"/>
      <c r="S5294" s="316"/>
      <c r="T5294" s="355"/>
    </row>
    <row r="5295" spans="11:20" x14ac:dyDescent="0.25">
      <c r="K5295" s="312"/>
      <c r="N5295" s="514"/>
      <c r="R5295" s="293"/>
      <c r="S5295" s="316"/>
      <c r="T5295" s="355"/>
    </row>
    <row r="5296" spans="11:20" x14ac:dyDescent="0.25">
      <c r="K5296" s="312"/>
      <c r="N5296" s="514"/>
      <c r="R5296" s="293"/>
      <c r="S5296" s="316"/>
      <c r="T5296" s="355"/>
    </row>
    <row r="5297" spans="11:20" x14ac:dyDescent="0.25">
      <c r="K5297" s="312"/>
      <c r="N5297" s="514"/>
      <c r="R5297" s="293"/>
      <c r="S5297" s="316"/>
      <c r="T5297" s="355"/>
    </row>
    <row r="5298" spans="11:20" x14ac:dyDescent="0.25">
      <c r="K5298" s="312"/>
      <c r="N5298" s="514"/>
      <c r="R5298" s="293"/>
      <c r="S5298" s="316"/>
      <c r="T5298" s="355"/>
    </row>
    <row r="5299" spans="11:20" x14ac:dyDescent="0.25">
      <c r="K5299" s="312"/>
      <c r="N5299" s="514"/>
      <c r="R5299" s="293"/>
      <c r="S5299" s="316"/>
      <c r="T5299" s="355"/>
    </row>
    <row r="5300" spans="11:20" x14ac:dyDescent="0.25">
      <c r="K5300" s="312"/>
      <c r="N5300" s="514"/>
      <c r="R5300" s="293"/>
      <c r="S5300" s="316"/>
      <c r="T5300" s="355"/>
    </row>
    <row r="5301" spans="11:20" x14ac:dyDescent="0.25">
      <c r="K5301" s="312"/>
      <c r="N5301" s="514"/>
      <c r="R5301" s="293"/>
      <c r="S5301" s="316"/>
      <c r="T5301" s="355"/>
    </row>
    <row r="5302" spans="11:20" x14ac:dyDescent="0.25">
      <c r="K5302" s="312"/>
      <c r="N5302" s="514"/>
      <c r="R5302" s="293"/>
      <c r="S5302" s="316"/>
      <c r="T5302" s="355"/>
    </row>
    <row r="5303" spans="11:20" x14ac:dyDescent="0.25">
      <c r="K5303" s="312"/>
      <c r="N5303" s="514"/>
      <c r="R5303" s="293"/>
      <c r="S5303" s="316"/>
      <c r="T5303" s="355"/>
    </row>
    <row r="5304" spans="11:20" x14ac:dyDescent="0.25">
      <c r="K5304" s="312"/>
      <c r="N5304" s="514"/>
      <c r="R5304" s="293"/>
      <c r="S5304" s="316"/>
      <c r="T5304" s="355"/>
    </row>
    <row r="5305" spans="11:20" x14ac:dyDescent="0.25">
      <c r="K5305" s="312"/>
      <c r="N5305" s="514"/>
      <c r="R5305" s="293"/>
      <c r="S5305" s="316"/>
      <c r="T5305" s="355"/>
    </row>
    <row r="5306" spans="11:20" x14ac:dyDescent="0.25">
      <c r="K5306" s="312"/>
      <c r="N5306" s="514"/>
      <c r="R5306" s="293"/>
      <c r="S5306" s="316"/>
      <c r="T5306" s="355"/>
    </row>
    <row r="5307" spans="11:20" x14ac:dyDescent="0.25">
      <c r="K5307" s="312"/>
      <c r="N5307" s="514"/>
      <c r="R5307" s="293"/>
      <c r="S5307" s="316"/>
      <c r="T5307" s="355"/>
    </row>
    <row r="5308" spans="11:20" x14ac:dyDescent="0.25">
      <c r="K5308" s="312"/>
      <c r="N5308" s="514"/>
      <c r="R5308" s="293"/>
      <c r="S5308" s="316"/>
      <c r="T5308" s="355"/>
    </row>
    <row r="5309" spans="11:20" x14ac:dyDescent="0.25">
      <c r="K5309" s="312"/>
      <c r="N5309" s="514"/>
      <c r="R5309" s="293"/>
      <c r="S5309" s="316"/>
      <c r="T5309" s="355"/>
    </row>
    <row r="5310" spans="11:20" x14ac:dyDescent="0.25">
      <c r="K5310" s="312"/>
      <c r="N5310" s="514"/>
      <c r="R5310" s="293"/>
      <c r="S5310" s="316"/>
      <c r="T5310" s="355"/>
    </row>
    <row r="5311" spans="11:20" x14ac:dyDescent="0.25">
      <c r="K5311" s="312"/>
      <c r="N5311" s="514"/>
      <c r="R5311" s="293"/>
      <c r="S5311" s="316"/>
      <c r="T5311" s="355"/>
    </row>
    <row r="5312" spans="11:20" x14ac:dyDescent="0.25">
      <c r="K5312" s="312"/>
      <c r="N5312" s="514"/>
      <c r="R5312" s="293"/>
      <c r="S5312" s="316"/>
      <c r="T5312" s="355"/>
    </row>
    <row r="5313" spans="11:20" x14ac:dyDescent="0.25">
      <c r="K5313" s="312"/>
      <c r="N5313" s="514"/>
      <c r="R5313" s="293"/>
      <c r="S5313" s="316"/>
      <c r="T5313" s="355"/>
    </row>
    <row r="5314" spans="11:20" x14ac:dyDescent="0.25">
      <c r="K5314" s="312"/>
      <c r="N5314" s="514"/>
      <c r="R5314" s="293"/>
      <c r="S5314" s="316"/>
      <c r="T5314" s="355"/>
    </row>
    <row r="5315" spans="11:20" x14ac:dyDescent="0.25">
      <c r="K5315" s="312"/>
      <c r="N5315" s="514"/>
      <c r="R5315" s="293"/>
      <c r="S5315" s="316"/>
      <c r="T5315" s="355"/>
    </row>
    <row r="5316" spans="11:20" x14ac:dyDescent="0.25">
      <c r="K5316" s="312"/>
      <c r="N5316" s="514"/>
      <c r="R5316" s="293"/>
      <c r="S5316" s="316"/>
      <c r="T5316" s="355"/>
    </row>
    <row r="5317" spans="11:20" x14ac:dyDescent="0.25">
      <c r="K5317" s="312"/>
      <c r="N5317" s="514"/>
      <c r="R5317" s="293"/>
      <c r="S5317" s="316"/>
      <c r="T5317" s="355"/>
    </row>
    <row r="5318" spans="11:20" x14ac:dyDescent="0.25">
      <c r="K5318" s="312"/>
      <c r="N5318" s="514"/>
      <c r="R5318" s="293"/>
      <c r="S5318" s="316"/>
      <c r="T5318" s="355"/>
    </row>
    <row r="5319" spans="11:20" x14ac:dyDescent="0.25">
      <c r="K5319" s="312"/>
      <c r="N5319" s="514"/>
      <c r="R5319" s="293"/>
      <c r="S5319" s="316"/>
      <c r="T5319" s="355"/>
    </row>
    <row r="5320" spans="11:20" x14ac:dyDescent="0.25">
      <c r="K5320" s="312"/>
      <c r="N5320" s="514"/>
      <c r="R5320" s="293"/>
      <c r="S5320" s="316"/>
      <c r="T5320" s="355"/>
    </row>
    <row r="5321" spans="11:20" x14ac:dyDescent="0.25">
      <c r="K5321" s="312"/>
      <c r="N5321" s="514"/>
      <c r="R5321" s="293"/>
      <c r="S5321" s="316"/>
      <c r="T5321" s="355"/>
    </row>
    <row r="5322" spans="11:20" x14ac:dyDescent="0.25">
      <c r="K5322" s="312"/>
      <c r="N5322" s="514"/>
      <c r="R5322" s="293"/>
      <c r="S5322" s="316"/>
      <c r="T5322" s="355"/>
    </row>
    <row r="5323" spans="11:20" x14ac:dyDescent="0.25">
      <c r="K5323" s="312"/>
      <c r="N5323" s="514"/>
      <c r="R5323" s="293"/>
      <c r="S5323" s="316"/>
      <c r="T5323" s="355"/>
    </row>
    <row r="5324" spans="11:20" x14ac:dyDescent="0.25">
      <c r="K5324" s="312"/>
      <c r="N5324" s="514"/>
      <c r="R5324" s="293"/>
      <c r="S5324" s="316"/>
      <c r="T5324" s="355"/>
    </row>
    <row r="5325" spans="11:20" x14ac:dyDescent="0.25">
      <c r="K5325" s="312"/>
      <c r="N5325" s="514"/>
      <c r="R5325" s="293"/>
      <c r="S5325" s="316"/>
      <c r="T5325" s="355"/>
    </row>
    <row r="5326" spans="11:20" x14ac:dyDescent="0.25">
      <c r="K5326" s="312"/>
      <c r="N5326" s="514"/>
      <c r="R5326" s="293"/>
      <c r="S5326" s="316"/>
      <c r="T5326" s="355"/>
    </row>
    <row r="5327" spans="11:20" x14ac:dyDescent="0.25">
      <c r="K5327" s="312"/>
      <c r="N5327" s="514"/>
      <c r="R5327" s="293"/>
      <c r="S5327" s="316"/>
      <c r="T5327" s="355"/>
    </row>
    <row r="5328" spans="11:20" x14ac:dyDescent="0.25">
      <c r="K5328" s="312"/>
      <c r="N5328" s="514"/>
      <c r="R5328" s="293"/>
      <c r="S5328" s="316"/>
      <c r="T5328" s="355"/>
    </row>
    <row r="5329" spans="11:20" x14ac:dyDescent="0.25">
      <c r="K5329" s="312"/>
      <c r="N5329" s="514"/>
      <c r="R5329" s="293"/>
      <c r="S5329" s="316"/>
      <c r="T5329" s="355"/>
    </row>
    <row r="5330" spans="11:20" x14ac:dyDescent="0.25">
      <c r="K5330" s="312"/>
      <c r="N5330" s="514"/>
      <c r="R5330" s="293"/>
      <c r="S5330" s="316"/>
      <c r="T5330" s="355"/>
    </row>
    <row r="5331" spans="11:20" x14ac:dyDescent="0.25">
      <c r="K5331" s="312"/>
      <c r="N5331" s="514"/>
      <c r="R5331" s="293"/>
      <c r="S5331" s="316"/>
      <c r="T5331" s="355"/>
    </row>
    <row r="5332" spans="11:20" x14ac:dyDescent="0.25">
      <c r="K5332" s="312"/>
      <c r="N5332" s="514"/>
      <c r="R5332" s="293"/>
      <c r="S5332" s="316"/>
      <c r="T5332" s="355"/>
    </row>
    <row r="5333" spans="11:20" x14ac:dyDescent="0.25">
      <c r="K5333" s="312"/>
      <c r="N5333" s="514"/>
      <c r="R5333" s="293"/>
      <c r="S5333" s="316"/>
      <c r="T5333" s="355"/>
    </row>
    <row r="5334" spans="11:20" x14ac:dyDescent="0.25">
      <c r="K5334" s="312"/>
      <c r="N5334" s="514"/>
      <c r="R5334" s="293"/>
      <c r="S5334" s="316"/>
      <c r="T5334" s="355"/>
    </row>
    <row r="5335" spans="11:20" x14ac:dyDescent="0.25">
      <c r="K5335" s="312"/>
      <c r="N5335" s="514"/>
      <c r="R5335" s="293"/>
      <c r="S5335" s="316"/>
      <c r="T5335" s="355"/>
    </row>
    <row r="5336" spans="11:20" x14ac:dyDescent="0.25">
      <c r="K5336" s="312"/>
      <c r="N5336" s="514"/>
      <c r="R5336" s="293"/>
      <c r="S5336" s="316"/>
      <c r="T5336" s="355"/>
    </row>
    <row r="5337" spans="11:20" x14ac:dyDescent="0.25">
      <c r="K5337" s="312"/>
      <c r="N5337" s="514"/>
      <c r="R5337" s="293"/>
      <c r="S5337" s="316"/>
      <c r="T5337" s="355"/>
    </row>
    <row r="5338" spans="11:20" x14ac:dyDescent="0.25">
      <c r="K5338" s="312"/>
      <c r="N5338" s="514"/>
      <c r="R5338" s="293"/>
      <c r="S5338" s="316"/>
      <c r="T5338" s="355"/>
    </row>
    <row r="5339" spans="11:20" x14ac:dyDescent="0.25">
      <c r="K5339" s="312"/>
      <c r="N5339" s="514"/>
      <c r="R5339" s="293"/>
      <c r="S5339" s="316"/>
      <c r="T5339" s="355"/>
    </row>
    <row r="5340" spans="11:20" x14ac:dyDescent="0.25">
      <c r="K5340" s="312"/>
      <c r="N5340" s="514"/>
      <c r="R5340" s="293"/>
      <c r="S5340" s="316"/>
      <c r="T5340" s="355"/>
    </row>
    <row r="5341" spans="11:20" x14ac:dyDescent="0.25">
      <c r="K5341" s="312"/>
      <c r="N5341" s="514"/>
      <c r="R5341" s="293"/>
      <c r="S5341" s="316"/>
      <c r="T5341" s="355"/>
    </row>
    <row r="5342" spans="11:20" x14ac:dyDescent="0.25">
      <c r="K5342" s="312"/>
      <c r="N5342" s="514"/>
      <c r="R5342" s="293"/>
      <c r="S5342" s="316"/>
      <c r="T5342" s="355"/>
    </row>
    <row r="5343" spans="11:20" x14ac:dyDescent="0.25">
      <c r="K5343" s="312"/>
      <c r="N5343" s="514"/>
      <c r="R5343" s="293"/>
      <c r="S5343" s="316"/>
      <c r="T5343" s="355"/>
    </row>
    <row r="5344" spans="11:20" x14ac:dyDescent="0.25">
      <c r="K5344" s="312"/>
      <c r="N5344" s="514"/>
      <c r="R5344" s="293"/>
      <c r="S5344" s="316"/>
      <c r="T5344" s="355"/>
    </row>
    <row r="5345" spans="11:20" x14ac:dyDescent="0.25">
      <c r="K5345" s="312"/>
      <c r="N5345" s="514"/>
      <c r="R5345" s="293"/>
      <c r="S5345" s="316"/>
      <c r="T5345" s="355"/>
    </row>
    <row r="5346" spans="11:20" x14ac:dyDescent="0.25">
      <c r="K5346" s="312"/>
      <c r="N5346" s="514"/>
      <c r="R5346" s="293"/>
      <c r="S5346" s="316"/>
      <c r="T5346" s="355"/>
    </row>
    <row r="5347" spans="11:20" x14ac:dyDescent="0.25">
      <c r="K5347" s="312"/>
      <c r="N5347" s="514"/>
      <c r="R5347" s="293"/>
      <c r="S5347" s="316"/>
      <c r="T5347" s="355"/>
    </row>
    <row r="5348" spans="11:20" x14ac:dyDescent="0.25">
      <c r="K5348" s="312"/>
      <c r="N5348" s="514"/>
      <c r="R5348" s="293"/>
      <c r="S5348" s="316"/>
      <c r="T5348" s="355"/>
    </row>
    <row r="5349" spans="11:20" x14ac:dyDescent="0.25">
      <c r="K5349" s="312"/>
      <c r="N5349" s="514"/>
      <c r="R5349" s="293"/>
      <c r="S5349" s="316"/>
      <c r="T5349" s="355"/>
    </row>
    <row r="5350" spans="11:20" x14ac:dyDescent="0.25">
      <c r="K5350" s="312"/>
      <c r="N5350" s="514"/>
      <c r="R5350" s="293"/>
      <c r="S5350" s="316"/>
      <c r="T5350" s="355"/>
    </row>
    <row r="5351" spans="11:20" x14ac:dyDescent="0.25">
      <c r="K5351" s="312"/>
      <c r="N5351" s="514"/>
      <c r="R5351" s="293"/>
      <c r="S5351" s="316"/>
      <c r="T5351" s="355"/>
    </row>
    <row r="5352" spans="11:20" x14ac:dyDescent="0.25">
      <c r="K5352" s="312"/>
      <c r="N5352" s="514"/>
      <c r="R5352" s="293"/>
      <c r="S5352" s="316"/>
      <c r="T5352" s="355"/>
    </row>
    <row r="5353" spans="11:20" x14ac:dyDescent="0.25">
      <c r="K5353" s="312"/>
      <c r="N5353" s="514"/>
      <c r="R5353" s="293"/>
      <c r="S5353" s="316"/>
      <c r="T5353" s="355"/>
    </row>
    <row r="5354" spans="11:20" x14ac:dyDescent="0.25">
      <c r="K5354" s="312"/>
      <c r="N5354" s="514"/>
      <c r="R5354" s="293"/>
      <c r="S5354" s="316"/>
      <c r="T5354" s="355"/>
    </row>
    <row r="5355" spans="11:20" x14ac:dyDescent="0.25">
      <c r="K5355" s="312"/>
      <c r="N5355" s="514"/>
      <c r="R5355" s="293"/>
      <c r="S5355" s="316"/>
      <c r="T5355" s="355"/>
    </row>
    <row r="5356" spans="11:20" x14ac:dyDescent="0.25">
      <c r="K5356" s="312"/>
      <c r="N5356" s="514"/>
      <c r="R5356" s="293"/>
      <c r="S5356" s="316"/>
      <c r="T5356" s="355"/>
    </row>
    <row r="5357" spans="11:20" x14ac:dyDescent="0.25">
      <c r="K5357" s="312"/>
      <c r="N5357" s="514"/>
      <c r="R5357" s="293"/>
      <c r="S5357" s="316"/>
      <c r="T5357" s="355"/>
    </row>
    <row r="5358" spans="11:20" x14ac:dyDescent="0.25">
      <c r="K5358" s="312"/>
      <c r="N5358" s="514"/>
      <c r="R5358" s="293"/>
      <c r="S5358" s="316"/>
      <c r="T5358" s="355"/>
    </row>
    <row r="5359" spans="11:20" x14ac:dyDescent="0.25">
      <c r="K5359" s="312"/>
      <c r="N5359" s="514"/>
      <c r="R5359" s="293"/>
      <c r="S5359" s="316"/>
      <c r="T5359" s="355"/>
    </row>
    <row r="5360" spans="11:20" x14ac:dyDescent="0.25">
      <c r="K5360" s="312"/>
      <c r="N5360" s="514"/>
      <c r="R5360" s="293"/>
      <c r="S5360" s="316"/>
      <c r="T5360" s="355"/>
    </row>
    <row r="5361" spans="11:20" x14ac:dyDescent="0.25">
      <c r="K5361" s="312"/>
      <c r="N5361" s="514"/>
      <c r="R5361" s="293"/>
      <c r="S5361" s="316"/>
      <c r="T5361" s="355"/>
    </row>
    <row r="5362" spans="11:20" x14ac:dyDescent="0.25">
      <c r="K5362" s="312"/>
      <c r="N5362" s="514"/>
      <c r="R5362" s="293"/>
      <c r="S5362" s="316"/>
      <c r="T5362" s="355"/>
    </row>
    <row r="5363" spans="11:20" x14ac:dyDescent="0.25">
      <c r="K5363" s="312"/>
      <c r="N5363" s="514"/>
      <c r="R5363" s="293"/>
      <c r="S5363" s="316"/>
      <c r="T5363" s="355"/>
    </row>
    <row r="5364" spans="11:20" x14ac:dyDescent="0.25">
      <c r="K5364" s="312"/>
      <c r="N5364" s="514"/>
      <c r="R5364" s="293"/>
      <c r="S5364" s="316"/>
      <c r="T5364" s="355"/>
    </row>
    <row r="5365" spans="11:20" x14ac:dyDescent="0.25">
      <c r="K5365" s="312"/>
      <c r="N5365" s="514"/>
      <c r="R5365" s="293"/>
      <c r="S5365" s="316"/>
      <c r="T5365" s="355"/>
    </row>
    <row r="5366" spans="11:20" x14ac:dyDescent="0.25">
      <c r="K5366" s="312"/>
      <c r="N5366" s="514"/>
      <c r="R5366" s="293"/>
      <c r="S5366" s="316"/>
      <c r="T5366" s="355"/>
    </row>
    <row r="5367" spans="11:20" x14ac:dyDescent="0.25">
      <c r="K5367" s="312"/>
      <c r="N5367" s="514"/>
      <c r="R5367" s="293"/>
      <c r="S5367" s="316"/>
      <c r="T5367" s="355"/>
    </row>
    <row r="5368" spans="11:20" x14ac:dyDescent="0.25">
      <c r="K5368" s="312"/>
      <c r="N5368" s="514"/>
      <c r="R5368" s="293"/>
      <c r="S5368" s="316"/>
      <c r="T5368" s="355"/>
    </row>
    <row r="5369" spans="11:20" x14ac:dyDescent="0.25">
      <c r="K5369" s="312"/>
      <c r="N5369" s="514"/>
      <c r="R5369" s="293"/>
      <c r="S5369" s="316"/>
      <c r="T5369" s="355"/>
    </row>
    <row r="5370" spans="11:20" x14ac:dyDescent="0.25">
      <c r="K5370" s="312"/>
      <c r="N5370" s="514"/>
      <c r="R5370" s="293"/>
      <c r="S5370" s="316"/>
      <c r="T5370" s="355"/>
    </row>
    <row r="5371" spans="11:20" x14ac:dyDescent="0.25">
      <c r="K5371" s="312"/>
      <c r="N5371" s="514"/>
      <c r="R5371" s="293"/>
      <c r="S5371" s="316"/>
      <c r="T5371" s="355"/>
    </row>
    <row r="5372" spans="11:20" x14ac:dyDescent="0.25">
      <c r="K5372" s="312"/>
      <c r="N5372" s="514"/>
      <c r="R5372" s="293"/>
      <c r="S5372" s="316"/>
      <c r="T5372" s="355"/>
    </row>
    <row r="5373" spans="11:20" x14ac:dyDescent="0.25">
      <c r="K5373" s="312"/>
      <c r="N5373" s="514"/>
      <c r="R5373" s="293"/>
      <c r="S5373" s="316"/>
      <c r="T5373" s="355"/>
    </row>
    <row r="5374" spans="11:20" x14ac:dyDescent="0.25">
      <c r="K5374" s="312"/>
      <c r="N5374" s="514"/>
      <c r="R5374" s="293"/>
      <c r="S5374" s="316"/>
      <c r="T5374" s="355"/>
    </row>
    <row r="5375" spans="11:20" x14ac:dyDescent="0.25">
      <c r="K5375" s="312"/>
      <c r="N5375" s="514"/>
      <c r="R5375" s="293"/>
      <c r="S5375" s="316"/>
      <c r="T5375" s="355"/>
    </row>
    <row r="5376" spans="11:20" x14ac:dyDescent="0.25">
      <c r="K5376" s="312"/>
      <c r="N5376" s="514"/>
      <c r="R5376" s="293"/>
      <c r="S5376" s="316"/>
      <c r="T5376" s="355"/>
    </row>
    <row r="5377" spans="11:20" x14ac:dyDescent="0.25">
      <c r="K5377" s="312"/>
      <c r="N5377" s="514"/>
      <c r="R5377" s="293"/>
      <c r="S5377" s="316"/>
      <c r="T5377" s="355"/>
    </row>
    <row r="5378" spans="11:20" x14ac:dyDescent="0.25">
      <c r="K5378" s="312"/>
      <c r="N5378" s="514"/>
      <c r="R5378" s="293"/>
      <c r="S5378" s="316"/>
      <c r="T5378" s="355"/>
    </row>
    <row r="5379" spans="11:20" x14ac:dyDescent="0.25">
      <c r="K5379" s="312"/>
      <c r="N5379" s="514"/>
      <c r="R5379" s="293"/>
      <c r="S5379" s="316"/>
      <c r="T5379" s="355"/>
    </row>
    <row r="5380" spans="11:20" x14ac:dyDescent="0.25">
      <c r="K5380" s="312"/>
      <c r="N5380" s="514"/>
      <c r="R5380" s="293"/>
      <c r="S5380" s="316"/>
      <c r="T5380" s="355"/>
    </row>
    <row r="5381" spans="11:20" x14ac:dyDescent="0.25">
      <c r="K5381" s="312"/>
      <c r="N5381" s="514"/>
      <c r="R5381" s="293"/>
      <c r="S5381" s="316"/>
      <c r="T5381" s="355"/>
    </row>
    <row r="5382" spans="11:20" x14ac:dyDescent="0.25">
      <c r="K5382" s="312"/>
      <c r="N5382" s="514"/>
      <c r="R5382" s="293"/>
      <c r="S5382" s="316"/>
      <c r="T5382" s="355"/>
    </row>
    <row r="5383" spans="11:20" x14ac:dyDescent="0.25">
      <c r="K5383" s="312"/>
      <c r="N5383" s="514"/>
      <c r="R5383" s="293"/>
      <c r="S5383" s="316"/>
      <c r="T5383" s="355"/>
    </row>
    <row r="5384" spans="11:20" x14ac:dyDescent="0.25">
      <c r="K5384" s="312"/>
      <c r="N5384" s="514"/>
      <c r="R5384" s="293"/>
      <c r="S5384" s="316"/>
      <c r="T5384" s="355"/>
    </row>
    <row r="5385" spans="11:20" x14ac:dyDescent="0.25">
      <c r="K5385" s="312"/>
      <c r="N5385" s="514"/>
      <c r="R5385" s="293"/>
      <c r="S5385" s="316"/>
      <c r="T5385" s="355"/>
    </row>
    <row r="5386" spans="11:20" x14ac:dyDescent="0.25">
      <c r="K5386" s="312"/>
      <c r="N5386" s="514"/>
      <c r="R5386" s="293"/>
      <c r="S5386" s="316"/>
      <c r="T5386" s="355"/>
    </row>
    <row r="5387" spans="11:20" x14ac:dyDescent="0.25">
      <c r="K5387" s="312"/>
      <c r="N5387" s="514"/>
      <c r="R5387" s="293"/>
      <c r="S5387" s="316"/>
      <c r="T5387" s="355"/>
    </row>
    <row r="5388" spans="11:20" x14ac:dyDescent="0.25">
      <c r="K5388" s="312"/>
      <c r="N5388" s="514"/>
      <c r="R5388" s="293"/>
      <c r="S5388" s="316"/>
      <c r="T5388" s="355"/>
    </row>
    <row r="5389" spans="11:20" x14ac:dyDescent="0.25">
      <c r="K5389" s="312"/>
      <c r="N5389" s="514"/>
      <c r="R5389" s="293"/>
      <c r="S5389" s="316"/>
      <c r="T5389" s="355"/>
    </row>
    <row r="5390" spans="11:20" x14ac:dyDescent="0.25">
      <c r="K5390" s="312"/>
      <c r="N5390" s="514"/>
      <c r="R5390" s="293"/>
      <c r="S5390" s="316"/>
      <c r="T5390" s="355"/>
    </row>
    <row r="5391" spans="11:20" x14ac:dyDescent="0.25">
      <c r="K5391" s="312"/>
      <c r="N5391" s="514"/>
      <c r="R5391" s="293"/>
      <c r="S5391" s="316"/>
      <c r="T5391" s="355"/>
    </row>
    <row r="5392" spans="11:20" x14ac:dyDescent="0.25">
      <c r="K5392" s="312"/>
      <c r="N5392" s="514"/>
      <c r="R5392" s="293"/>
      <c r="S5392" s="316"/>
      <c r="T5392" s="355"/>
    </row>
    <row r="5393" spans="11:20" x14ac:dyDescent="0.25">
      <c r="K5393" s="312"/>
      <c r="N5393" s="514"/>
      <c r="R5393" s="293"/>
      <c r="S5393" s="316"/>
      <c r="T5393" s="355"/>
    </row>
    <row r="5394" spans="11:20" x14ac:dyDescent="0.25">
      <c r="K5394" s="312"/>
      <c r="N5394" s="514"/>
      <c r="R5394" s="293"/>
      <c r="S5394" s="316"/>
      <c r="T5394" s="355"/>
    </row>
    <row r="5395" spans="11:20" x14ac:dyDescent="0.25">
      <c r="K5395" s="312"/>
      <c r="N5395" s="514"/>
      <c r="R5395" s="293"/>
      <c r="S5395" s="316"/>
      <c r="T5395" s="355"/>
    </row>
    <row r="5396" spans="11:20" x14ac:dyDescent="0.25">
      <c r="K5396" s="312"/>
      <c r="N5396" s="514"/>
      <c r="R5396" s="293"/>
      <c r="S5396" s="316"/>
      <c r="T5396" s="355"/>
    </row>
    <row r="5397" spans="11:20" x14ac:dyDescent="0.25">
      <c r="K5397" s="312"/>
      <c r="N5397" s="514"/>
      <c r="R5397" s="293"/>
      <c r="S5397" s="316"/>
      <c r="T5397" s="355"/>
    </row>
    <row r="5398" spans="11:20" x14ac:dyDescent="0.25">
      <c r="K5398" s="312"/>
      <c r="N5398" s="514"/>
      <c r="R5398" s="293"/>
      <c r="S5398" s="316"/>
      <c r="T5398" s="355"/>
    </row>
    <row r="5399" spans="11:20" x14ac:dyDescent="0.25">
      <c r="K5399" s="312"/>
      <c r="N5399" s="514"/>
      <c r="R5399" s="293"/>
      <c r="S5399" s="316"/>
      <c r="T5399" s="355"/>
    </row>
    <row r="5400" spans="11:20" x14ac:dyDescent="0.25">
      <c r="K5400" s="312"/>
      <c r="N5400" s="514"/>
      <c r="R5400" s="293"/>
      <c r="S5400" s="316"/>
      <c r="T5400" s="355"/>
    </row>
    <row r="5401" spans="11:20" x14ac:dyDescent="0.25">
      <c r="K5401" s="312"/>
      <c r="N5401" s="514"/>
      <c r="R5401" s="293"/>
      <c r="S5401" s="316"/>
      <c r="T5401" s="355"/>
    </row>
    <row r="5402" spans="11:20" x14ac:dyDescent="0.25">
      <c r="K5402" s="312"/>
      <c r="N5402" s="514"/>
      <c r="R5402" s="293"/>
      <c r="S5402" s="316"/>
      <c r="T5402" s="355"/>
    </row>
    <row r="5403" spans="11:20" x14ac:dyDescent="0.25">
      <c r="K5403" s="312"/>
      <c r="N5403" s="514"/>
      <c r="R5403" s="293"/>
      <c r="S5403" s="316"/>
      <c r="T5403" s="355"/>
    </row>
    <row r="5404" spans="11:20" x14ac:dyDescent="0.25">
      <c r="K5404" s="312"/>
      <c r="N5404" s="514"/>
      <c r="R5404" s="293"/>
      <c r="S5404" s="316"/>
      <c r="T5404" s="355"/>
    </row>
    <row r="5405" spans="11:20" x14ac:dyDescent="0.25">
      <c r="K5405" s="312"/>
      <c r="N5405" s="514"/>
      <c r="R5405" s="293"/>
      <c r="S5405" s="316"/>
      <c r="T5405" s="355"/>
    </row>
    <row r="5406" spans="11:20" x14ac:dyDescent="0.25">
      <c r="K5406" s="312"/>
      <c r="N5406" s="514"/>
      <c r="R5406" s="293"/>
      <c r="S5406" s="316"/>
      <c r="T5406" s="355"/>
    </row>
    <row r="5407" spans="11:20" x14ac:dyDescent="0.25">
      <c r="K5407" s="312"/>
      <c r="N5407" s="514"/>
      <c r="R5407" s="293"/>
      <c r="S5407" s="316"/>
      <c r="T5407" s="355"/>
    </row>
    <row r="5408" spans="11:20" x14ac:dyDescent="0.25">
      <c r="K5408" s="312"/>
      <c r="N5408" s="514"/>
      <c r="R5408" s="293"/>
      <c r="S5408" s="316"/>
      <c r="T5408" s="355"/>
    </row>
    <row r="5409" spans="11:20" x14ac:dyDescent="0.25">
      <c r="K5409" s="312"/>
      <c r="N5409" s="514"/>
      <c r="R5409" s="293"/>
      <c r="S5409" s="316"/>
      <c r="T5409" s="355"/>
    </row>
    <row r="5410" spans="11:20" x14ac:dyDescent="0.25">
      <c r="K5410" s="312"/>
      <c r="N5410" s="514"/>
      <c r="R5410" s="293"/>
      <c r="S5410" s="316"/>
      <c r="T5410" s="355"/>
    </row>
    <row r="5411" spans="11:20" x14ac:dyDescent="0.25">
      <c r="K5411" s="312"/>
      <c r="N5411" s="514"/>
      <c r="R5411" s="293"/>
      <c r="S5411" s="316"/>
      <c r="T5411" s="355"/>
    </row>
    <row r="5412" spans="11:20" x14ac:dyDescent="0.25">
      <c r="K5412" s="312"/>
      <c r="N5412" s="514"/>
      <c r="R5412" s="293"/>
      <c r="S5412" s="316"/>
      <c r="T5412" s="355"/>
    </row>
    <row r="5413" spans="11:20" x14ac:dyDescent="0.25">
      <c r="K5413" s="312"/>
      <c r="N5413" s="514"/>
      <c r="R5413" s="293"/>
      <c r="S5413" s="316"/>
      <c r="T5413" s="355"/>
    </row>
    <row r="5414" spans="11:20" x14ac:dyDescent="0.25">
      <c r="K5414" s="312"/>
      <c r="N5414" s="514"/>
      <c r="R5414" s="293"/>
      <c r="S5414" s="316"/>
      <c r="T5414" s="355"/>
    </row>
    <row r="5415" spans="11:20" x14ac:dyDescent="0.25">
      <c r="K5415" s="312"/>
      <c r="N5415" s="514"/>
      <c r="R5415" s="293"/>
      <c r="S5415" s="316"/>
      <c r="T5415" s="355"/>
    </row>
    <row r="5416" spans="11:20" x14ac:dyDescent="0.25">
      <c r="K5416" s="312"/>
      <c r="N5416" s="514"/>
      <c r="R5416" s="293"/>
      <c r="S5416" s="316"/>
      <c r="T5416" s="355"/>
    </row>
    <row r="5417" spans="11:20" x14ac:dyDescent="0.25">
      <c r="K5417" s="312"/>
      <c r="N5417" s="514"/>
      <c r="R5417" s="293"/>
      <c r="S5417" s="316"/>
      <c r="T5417" s="355"/>
    </row>
    <row r="5418" spans="11:20" x14ac:dyDescent="0.25">
      <c r="K5418" s="312"/>
      <c r="N5418" s="514"/>
      <c r="R5418" s="293"/>
      <c r="S5418" s="316"/>
      <c r="T5418" s="355"/>
    </row>
    <row r="5419" spans="11:20" x14ac:dyDescent="0.25">
      <c r="K5419" s="312"/>
      <c r="N5419" s="514"/>
      <c r="R5419" s="293"/>
      <c r="S5419" s="316"/>
      <c r="T5419" s="355"/>
    </row>
    <row r="5420" spans="11:20" x14ac:dyDescent="0.25">
      <c r="K5420" s="312"/>
      <c r="N5420" s="514"/>
      <c r="R5420" s="293"/>
      <c r="S5420" s="316"/>
      <c r="T5420" s="355"/>
    </row>
    <row r="5421" spans="11:20" x14ac:dyDescent="0.25">
      <c r="K5421" s="312"/>
      <c r="N5421" s="514"/>
      <c r="R5421" s="293"/>
      <c r="S5421" s="316"/>
      <c r="T5421" s="355"/>
    </row>
    <row r="5422" spans="11:20" x14ac:dyDescent="0.25">
      <c r="K5422" s="312"/>
      <c r="N5422" s="514"/>
      <c r="R5422" s="293"/>
      <c r="S5422" s="316"/>
      <c r="T5422" s="355"/>
    </row>
    <row r="5423" spans="11:20" x14ac:dyDescent="0.25">
      <c r="K5423" s="312"/>
      <c r="N5423" s="514"/>
      <c r="R5423" s="293"/>
      <c r="S5423" s="316"/>
      <c r="T5423" s="355"/>
    </row>
    <row r="5424" spans="11:20" x14ac:dyDescent="0.25">
      <c r="K5424" s="312"/>
      <c r="N5424" s="514"/>
      <c r="R5424" s="293"/>
      <c r="S5424" s="316"/>
      <c r="T5424" s="355"/>
    </row>
    <row r="5425" spans="11:20" x14ac:dyDescent="0.25">
      <c r="K5425" s="312"/>
      <c r="N5425" s="514"/>
      <c r="R5425" s="293"/>
      <c r="S5425" s="316"/>
      <c r="T5425" s="355"/>
    </row>
    <row r="5426" spans="11:20" x14ac:dyDescent="0.25">
      <c r="K5426" s="312"/>
      <c r="N5426" s="514"/>
      <c r="R5426" s="293"/>
      <c r="S5426" s="316"/>
      <c r="T5426" s="355"/>
    </row>
    <row r="5427" spans="11:20" x14ac:dyDescent="0.25">
      <c r="K5427" s="312"/>
      <c r="N5427" s="514"/>
      <c r="R5427" s="293"/>
      <c r="S5427" s="316"/>
      <c r="T5427" s="355"/>
    </row>
    <row r="5428" spans="11:20" x14ac:dyDescent="0.25">
      <c r="K5428" s="312"/>
      <c r="N5428" s="514"/>
      <c r="R5428" s="293"/>
      <c r="S5428" s="316"/>
      <c r="T5428" s="355"/>
    </row>
    <row r="5429" spans="11:20" x14ac:dyDescent="0.25">
      <c r="K5429" s="312"/>
      <c r="N5429" s="514"/>
      <c r="R5429" s="293"/>
      <c r="S5429" s="316"/>
      <c r="T5429" s="355"/>
    </row>
    <row r="5430" spans="11:20" x14ac:dyDescent="0.25">
      <c r="K5430" s="312"/>
      <c r="N5430" s="514"/>
      <c r="R5430" s="293"/>
      <c r="S5430" s="316"/>
      <c r="T5430" s="355"/>
    </row>
    <row r="5431" spans="11:20" x14ac:dyDescent="0.25">
      <c r="K5431" s="312"/>
      <c r="N5431" s="514"/>
      <c r="R5431" s="293"/>
      <c r="S5431" s="316"/>
      <c r="T5431" s="355"/>
    </row>
    <row r="5432" spans="11:20" x14ac:dyDescent="0.25">
      <c r="K5432" s="312"/>
      <c r="N5432" s="514"/>
      <c r="R5432" s="293"/>
      <c r="S5432" s="316"/>
      <c r="T5432" s="355"/>
    </row>
    <row r="5433" spans="11:20" x14ac:dyDescent="0.25">
      <c r="K5433" s="312"/>
      <c r="N5433" s="514"/>
      <c r="R5433" s="293"/>
      <c r="S5433" s="316"/>
      <c r="T5433" s="355"/>
    </row>
    <row r="5434" spans="11:20" x14ac:dyDescent="0.25">
      <c r="K5434" s="312"/>
      <c r="N5434" s="514"/>
      <c r="R5434" s="293"/>
      <c r="S5434" s="316"/>
      <c r="T5434" s="355"/>
    </row>
    <row r="5435" spans="11:20" x14ac:dyDescent="0.25">
      <c r="K5435" s="312"/>
      <c r="N5435" s="514"/>
      <c r="R5435" s="293"/>
      <c r="S5435" s="316"/>
      <c r="T5435" s="355"/>
    </row>
    <row r="5436" spans="11:20" x14ac:dyDescent="0.25">
      <c r="K5436" s="312"/>
      <c r="N5436" s="514"/>
      <c r="R5436" s="293"/>
      <c r="S5436" s="316"/>
      <c r="T5436" s="355"/>
    </row>
    <row r="5437" spans="11:20" x14ac:dyDescent="0.25">
      <c r="K5437" s="312"/>
      <c r="N5437" s="514"/>
      <c r="R5437" s="293"/>
      <c r="S5437" s="316"/>
      <c r="T5437" s="355"/>
    </row>
    <row r="5438" spans="11:20" x14ac:dyDescent="0.25">
      <c r="K5438" s="312"/>
      <c r="N5438" s="514"/>
      <c r="R5438" s="293"/>
      <c r="S5438" s="316"/>
      <c r="T5438" s="355"/>
    </row>
    <row r="5439" spans="11:20" x14ac:dyDescent="0.25">
      <c r="K5439" s="312"/>
      <c r="N5439" s="514"/>
      <c r="R5439" s="293"/>
      <c r="S5439" s="316"/>
      <c r="T5439" s="355"/>
    </row>
    <row r="5440" spans="11:20" x14ac:dyDescent="0.25">
      <c r="K5440" s="312"/>
      <c r="N5440" s="514"/>
      <c r="R5440" s="293"/>
      <c r="S5440" s="316"/>
      <c r="T5440" s="355"/>
    </row>
    <row r="5441" spans="11:20" x14ac:dyDescent="0.25">
      <c r="K5441" s="312"/>
      <c r="N5441" s="514"/>
      <c r="R5441" s="293"/>
      <c r="S5441" s="316"/>
      <c r="T5441" s="355"/>
    </row>
    <row r="5442" spans="11:20" x14ac:dyDescent="0.25">
      <c r="K5442" s="312"/>
      <c r="N5442" s="514"/>
      <c r="R5442" s="293"/>
      <c r="S5442" s="316"/>
      <c r="T5442" s="355"/>
    </row>
    <row r="5443" spans="11:20" x14ac:dyDescent="0.25">
      <c r="K5443" s="312"/>
      <c r="N5443" s="514"/>
      <c r="R5443" s="293"/>
      <c r="S5443" s="316"/>
      <c r="T5443" s="355"/>
    </row>
    <row r="5444" spans="11:20" x14ac:dyDescent="0.25">
      <c r="K5444" s="312"/>
      <c r="N5444" s="514"/>
      <c r="R5444" s="293"/>
      <c r="S5444" s="316"/>
      <c r="T5444" s="355"/>
    </row>
    <row r="5445" spans="11:20" x14ac:dyDescent="0.25">
      <c r="K5445" s="312"/>
      <c r="N5445" s="514"/>
      <c r="R5445" s="293"/>
      <c r="S5445" s="316"/>
      <c r="T5445" s="355"/>
    </row>
    <row r="5446" spans="11:20" x14ac:dyDescent="0.25">
      <c r="K5446" s="312"/>
      <c r="N5446" s="514"/>
      <c r="R5446" s="293"/>
      <c r="S5446" s="316"/>
      <c r="T5446" s="355"/>
    </row>
    <row r="5447" spans="11:20" x14ac:dyDescent="0.25">
      <c r="K5447" s="312"/>
      <c r="N5447" s="514"/>
      <c r="R5447" s="293"/>
      <c r="S5447" s="316"/>
      <c r="T5447" s="355"/>
    </row>
    <row r="5448" spans="11:20" x14ac:dyDescent="0.25">
      <c r="K5448" s="312"/>
      <c r="N5448" s="514"/>
      <c r="R5448" s="293"/>
      <c r="S5448" s="316"/>
      <c r="T5448" s="355"/>
    </row>
    <row r="5449" spans="11:20" x14ac:dyDescent="0.25">
      <c r="K5449" s="312"/>
      <c r="N5449" s="514"/>
      <c r="R5449" s="293"/>
      <c r="S5449" s="316"/>
      <c r="T5449" s="355"/>
    </row>
    <row r="5450" spans="11:20" x14ac:dyDescent="0.25">
      <c r="K5450" s="312"/>
      <c r="N5450" s="514"/>
      <c r="R5450" s="293"/>
      <c r="S5450" s="316"/>
      <c r="T5450" s="355"/>
    </row>
    <row r="5451" spans="11:20" x14ac:dyDescent="0.25">
      <c r="K5451" s="312"/>
      <c r="N5451" s="514"/>
      <c r="R5451" s="293"/>
      <c r="S5451" s="316"/>
      <c r="T5451" s="355"/>
    </row>
    <row r="5452" spans="11:20" x14ac:dyDescent="0.25">
      <c r="K5452" s="312"/>
      <c r="N5452" s="514"/>
      <c r="R5452" s="293"/>
      <c r="S5452" s="316"/>
      <c r="T5452" s="355"/>
    </row>
    <row r="5453" spans="11:20" x14ac:dyDescent="0.25">
      <c r="K5453" s="312"/>
      <c r="N5453" s="514"/>
      <c r="R5453" s="293"/>
      <c r="S5453" s="316"/>
      <c r="T5453" s="355"/>
    </row>
    <row r="5454" spans="11:20" x14ac:dyDescent="0.25">
      <c r="K5454" s="312"/>
      <c r="N5454" s="514"/>
      <c r="R5454" s="293"/>
      <c r="S5454" s="316"/>
      <c r="T5454" s="355"/>
    </row>
    <row r="5455" spans="11:20" x14ac:dyDescent="0.25">
      <c r="K5455" s="312"/>
      <c r="N5455" s="514"/>
      <c r="R5455" s="293"/>
      <c r="S5455" s="316"/>
      <c r="T5455" s="355"/>
    </row>
    <row r="5456" spans="11:20" x14ac:dyDescent="0.25">
      <c r="K5456" s="312"/>
      <c r="N5456" s="514"/>
      <c r="R5456" s="293"/>
      <c r="S5456" s="316"/>
      <c r="T5456" s="355"/>
    </row>
    <row r="5457" spans="11:20" x14ac:dyDescent="0.25">
      <c r="K5457" s="312"/>
      <c r="N5457" s="514"/>
      <c r="R5457" s="293"/>
      <c r="S5457" s="316"/>
      <c r="T5457" s="355"/>
    </row>
    <row r="5458" spans="11:20" x14ac:dyDescent="0.25">
      <c r="K5458" s="312"/>
      <c r="N5458" s="514"/>
      <c r="R5458" s="293"/>
      <c r="S5458" s="316"/>
      <c r="T5458" s="355"/>
    </row>
    <row r="5459" spans="11:20" x14ac:dyDescent="0.25">
      <c r="K5459" s="312"/>
      <c r="N5459" s="514"/>
      <c r="R5459" s="293"/>
      <c r="S5459" s="316"/>
      <c r="T5459" s="355"/>
    </row>
    <row r="5460" spans="11:20" x14ac:dyDescent="0.25">
      <c r="K5460" s="312"/>
      <c r="N5460" s="514"/>
      <c r="R5460" s="293"/>
      <c r="S5460" s="316"/>
      <c r="T5460" s="355"/>
    </row>
    <row r="5461" spans="11:20" x14ac:dyDescent="0.25">
      <c r="K5461" s="312"/>
      <c r="N5461" s="514"/>
      <c r="R5461" s="293"/>
      <c r="S5461" s="316"/>
      <c r="T5461" s="355"/>
    </row>
    <row r="5462" spans="11:20" x14ac:dyDescent="0.25">
      <c r="K5462" s="312"/>
      <c r="N5462" s="514"/>
      <c r="R5462" s="293"/>
      <c r="S5462" s="316"/>
      <c r="T5462" s="355"/>
    </row>
    <row r="5463" spans="11:20" x14ac:dyDescent="0.25">
      <c r="K5463" s="312"/>
      <c r="N5463" s="514"/>
      <c r="R5463" s="293"/>
      <c r="S5463" s="316"/>
      <c r="T5463" s="355"/>
    </row>
    <row r="5464" spans="11:20" x14ac:dyDescent="0.25">
      <c r="K5464" s="312"/>
      <c r="N5464" s="514"/>
      <c r="R5464" s="293"/>
      <c r="S5464" s="316"/>
      <c r="T5464" s="355"/>
    </row>
    <row r="5465" spans="11:20" x14ac:dyDescent="0.25">
      <c r="K5465" s="312"/>
      <c r="N5465" s="514"/>
      <c r="R5465" s="293"/>
      <c r="S5465" s="316"/>
      <c r="T5465" s="355"/>
    </row>
    <row r="5466" spans="11:20" x14ac:dyDescent="0.25">
      <c r="K5466" s="312"/>
      <c r="N5466" s="514"/>
      <c r="R5466" s="293"/>
      <c r="S5466" s="316"/>
      <c r="T5466" s="355"/>
    </row>
    <row r="5467" spans="11:20" x14ac:dyDescent="0.25">
      <c r="K5467" s="312"/>
      <c r="N5467" s="514"/>
      <c r="R5467" s="293"/>
      <c r="S5467" s="316"/>
      <c r="T5467" s="355"/>
    </row>
    <row r="5468" spans="11:20" x14ac:dyDescent="0.25">
      <c r="K5468" s="312"/>
      <c r="N5468" s="514"/>
      <c r="R5468" s="293"/>
      <c r="S5468" s="316"/>
      <c r="T5468" s="355"/>
    </row>
    <row r="5469" spans="11:20" x14ac:dyDescent="0.25">
      <c r="K5469" s="312"/>
      <c r="N5469" s="514"/>
      <c r="R5469" s="293"/>
      <c r="S5469" s="316"/>
      <c r="T5469" s="355"/>
    </row>
    <row r="5470" spans="11:20" x14ac:dyDescent="0.25">
      <c r="K5470" s="312"/>
      <c r="N5470" s="514"/>
      <c r="R5470" s="293"/>
      <c r="S5470" s="316"/>
      <c r="T5470" s="355"/>
    </row>
    <row r="5471" spans="11:20" x14ac:dyDescent="0.25">
      <c r="K5471" s="312"/>
      <c r="N5471" s="514"/>
      <c r="R5471" s="293"/>
      <c r="S5471" s="316"/>
      <c r="T5471" s="355"/>
    </row>
    <row r="5472" spans="11:20" x14ac:dyDescent="0.25">
      <c r="K5472" s="312"/>
      <c r="N5472" s="514"/>
      <c r="R5472" s="293"/>
      <c r="S5472" s="316"/>
      <c r="T5472" s="355"/>
    </row>
    <row r="5473" spans="11:20" x14ac:dyDescent="0.25">
      <c r="K5473" s="312"/>
      <c r="N5473" s="514"/>
      <c r="R5473" s="293"/>
      <c r="S5473" s="316"/>
      <c r="T5473" s="355"/>
    </row>
    <row r="5474" spans="11:20" x14ac:dyDescent="0.25">
      <c r="K5474" s="312"/>
      <c r="N5474" s="514"/>
      <c r="R5474" s="293"/>
      <c r="S5474" s="316"/>
      <c r="T5474" s="355"/>
    </row>
    <row r="5475" spans="11:20" x14ac:dyDescent="0.25">
      <c r="K5475" s="312"/>
      <c r="N5475" s="514"/>
      <c r="R5475" s="293"/>
      <c r="S5475" s="316"/>
      <c r="T5475" s="355"/>
    </row>
    <row r="5476" spans="11:20" x14ac:dyDescent="0.25">
      <c r="K5476" s="312"/>
      <c r="N5476" s="514"/>
      <c r="R5476" s="293"/>
      <c r="S5476" s="316"/>
      <c r="T5476" s="355"/>
    </row>
    <row r="5477" spans="11:20" x14ac:dyDescent="0.25">
      <c r="K5477" s="312"/>
      <c r="N5477" s="514"/>
      <c r="R5477" s="293"/>
      <c r="S5477" s="316"/>
      <c r="T5477" s="355"/>
    </row>
    <row r="5478" spans="11:20" x14ac:dyDescent="0.25">
      <c r="K5478" s="312"/>
      <c r="N5478" s="514"/>
      <c r="R5478" s="293"/>
      <c r="S5478" s="316"/>
      <c r="T5478" s="355"/>
    </row>
    <row r="5479" spans="11:20" x14ac:dyDescent="0.25">
      <c r="K5479" s="312"/>
      <c r="N5479" s="514"/>
      <c r="R5479" s="293"/>
      <c r="S5479" s="316"/>
      <c r="T5479" s="355"/>
    </row>
    <row r="5480" spans="11:20" x14ac:dyDescent="0.25">
      <c r="K5480" s="312"/>
      <c r="N5480" s="514"/>
      <c r="R5480" s="293"/>
      <c r="S5480" s="316"/>
      <c r="T5480" s="355"/>
    </row>
    <row r="5481" spans="11:20" x14ac:dyDescent="0.25">
      <c r="K5481" s="312"/>
      <c r="N5481" s="514"/>
      <c r="R5481" s="293"/>
      <c r="S5481" s="316"/>
      <c r="T5481" s="355"/>
    </row>
    <row r="5482" spans="11:20" x14ac:dyDescent="0.25">
      <c r="K5482" s="312"/>
      <c r="N5482" s="514"/>
      <c r="R5482" s="293"/>
      <c r="S5482" s="316"/>
      <c r="T5482" s="355"/>
    </row>
    <row r="5483" spans="11:20" x14ac:dyDescent="0.25">
      <c r="K5483" s="312"/>
      <c r="N5483" s="514"/>
      <c r="R5483" s="293"/>
      <c r="S5483" s="316"/>
      <c r="T5483" s="355"/>
    </row>
    <row r="5484" spans="11:20" x14ac:dyDescent="0.25">
      <c r="K5484" s="312"/>
      <c r="N5484" s="514"/>
      <c r="R5484" s="293"/>
      <c r="S5484" s="316"/>
      <c r="T5484" s="355"/>
    </row>
    <row r="5485" spans="11:20" x14ac:dyDescent="0.25">
      <c r="K5485" s="312"/>
      <c r="N5485" s="514"/>
      <c r="R5485" s="293"/>
      <c r="S5485" s="316"/>
      <c r="T5485" s="355"/>
    </row>
    <row r="5486" spans="11:20" x14ac:dyDescent="0.25">
      <c r="K5486" s="312"/>
      <c r="N5486" s="514"/>
      <c r="R5486" s="293"/>
      <c r="S5486" s="316"/>
      <c r="T5486" s="355"/>
    </row>
    <row r="5487" spans="11:20" x14ac:dyDescent="0.25">
      <c r="K5487" s="312"/>
      <c r="N5487" s="514"/>
      <c r="R5487" s="293"/>
      <c r="S5487" s="316"/>
      <c r="T5487" s="355"/>
    </row>
    <row r="5488" spans="11:20" x14ac:dyDescent="0.25">
      <c r="K5488" s="312"/>
      <c r="N5488" s="514"/>
      <c r="R5488" s="293"/>
      <c r="S5488" s="316"/>
      <c r="T5488" s="355"/>
    </row>
    <row r="5489" spans="11:20" x14ac:dyDescent="0.25">
      <c r="K5489" s="312"/>
      <c r="N5489" s="514"/>
      <c r="R5489" s="293"/>
      <c r="S5489" s="316"/>
      <c r="T5489" s="355"/>
    </row>
    <row r="5490" spans="11:20" x14ac:dyDescent="0.25">
      <c r="K5490" s="312"/>
      <c r="N5490" s="514"/>
      <c r="R5490" s="293"/>
      <c r="S5490" s="316"/>
      <c r="T5490" s="355"/>
    </row>
    <row r="5491" spans="11:20" x14ac:dyDescent="0.25">
      <c r="K5491" s="312"/>
      <c r="N5491" s="514"/>
      <c r="R5491" s="293"/>
      <c r="S5491" s="316"/>
      <c r="T5491" s="355"/>
    </row>
    <row r="5492" spans="11:20" x14ac:dyDescent="0.25">
      <c r="K5492" s="312"/>
      <c r="N5492" s="514"/>
      <c r="R5492" s="293"/>
      <c r="S5492" s="316"/>
      <c r="T5492" s="355"/>
    </row>
    <row r="5493" spans="11:20" x14ac:dyDescent="0.25">
      <c r="K5493" s="312"/>
      <c r="N5493" s="514"/>
      <c r="R5493" s="293"/>
      <c r="S5493" s="316"/>
      <c r="T5493" s="355"/>
    </row>
    <row r="5494" spans="11:20" x14ac:dyDescent="0.25">
      <c r="K5494" s="312"/>
      <c r="N5494" s="514"/>
      <c r="R5494" s="293"/>
      <c r="S5494" s="316"/>
      <c r="T5494" s="355"/>
    </row>
    <row r="5495" spans="11:20" x14ac:dyDescent="0.25">
      <c r="K5495" s="312"/>
      <c r="N5495" s="514"/>
      <c r="R5495" s="293"/>
      <c r="S5495" s="316"/>
      <c r="T5495" s="355"/>
    </row>
    <row r="5496" spans="11:20" x14ac:dyDescent="0.25">
      <c r="K5496" s="312"/>
      <c r="N5496" s="514"/>
      <c r="R5496" s="293"/>
      <c r="S5496" s="316"/>
      <c r="T5496" s="355"/>
    </row>
    <row r="5497" spans="11:20" x14ac:dyDescent="0.25">
      <c r="K5497" s="312"/>
      <c r="N5497" s="514"/>
      <c r="R5497" s="293"/>
      <c r="S5497" s="316"/>
      <c r="T5497" s="355"/>
    </row>
    <row r="5498" spans="11:20" x14ac:dyDescent="0.25">
      <c r="K5498" s="312"/>
      <c r="N5498" s="514"/>
      <c r="R5498" s="293"/>
      <c r="S5498" s="316"/>
      <c r="T5498" s="355"/>
    </row>
    <row r="5499" spans="11:20" x14ac:dyDescent="0.25">
      <c r="K5499" s="312"/>
      <c r="N5499" s="514"/>
      <c r="R5499" s="293"/>
      <c r="S5499" s="316"/>
      <c r="T5499" s="355"/>
    </row>
    <row r="5500" spans="11:20" x14ac:dyDescent="0.25">
      <c r="K5500" s="312"/>
      <c r="N5500" s="514"/>
      <c r="R5500" s="293"/>
      <c r="S5500" s="316"/>
      <c r="T5500" s="355"/>
    </row>
    <row r="5501" spans="11:20" x14ac:dyDescent="0.25">
      <c r="K5501" s="312"/>
      <c r="N5501" s="514"/>
      <c r="R5501" s="293"/>
      <c r="S5501" s="316"/>
      <c r="T5501" s="355"/>
    </row>
    <row r="5502" spans="11:20" x14ac:dyDescent="0.25">
      <c r="K5502" s="312"/>
      <c r="N5502" s="514"/>
      <c r="R5502" s="293"/>
      <c r="S5502" s="316"/>
      <c r="T5502" s="355"/>
    </row>
    <row r="5503" spans="11:20" x14ac:dyDescent="0.25">
      <c r="K5503" s="312"/>
      <c r="N5503" s="514"/>
      <c r="R5503" s="293"/>
      <c r="S5503" s="316"/>
      <c r="T5503" s="355"/>
    </row>
    <row r="5504" spans="11:20" x14ac:dyDescent="0.25">
      <c r="K5504" s="312"/>
      <c r="N5504" s="514"/>
      <c r="R5504" s="293"/>
      <c r="S5504" s="316"/>
      <c r="T5504" s="355"/>
    </row>
    <row r="5505" spans="11:20" x14ac:dyDescent="0.25">
      <c r="K5505" s="312"/>
      <c r="N5505" s="514"/>
      <c r="R5505" s="293"/>
      <c r="S5505" s="316"/>
      <c r="T5505" s="355"/>
    </row>
    <row r="5506" spans="11:20" x14ac:dyDescent="0.25">
      <c r="K5506" s="312"/>
      <c r="N5506" s="514"/>
      <c r="R5506" s="293"/>
      <c r="S5506" s="316"/>
      <c r="T5506" s="355"/>
    </row>
    <row r="5507" spans="11:20" x14ac:dyDescent="0.25">
      <c r="K5507" s="312"/>
      <c r="N5507" s="514"/>
      <c r="R5507" s="293"/>
      <c r="S5507" s="316"/>
      <c r="T5507" s="355"/>
    </row>
    <row r="5508" spans="11:20" x14ac:dyDescent="0.25">
      <c r="K5508" s="312"/>
      <c r="N5508" s="514"/>
      <c r="R5508" s="293"/>
      <c r="S5508" s="316"/>
      <c r="T5508" s="355"/>
    </row>
    <row r="5509" spans="11:20" x14ac:dyDescent="0.25">
      <c r="K5509" s="312"/>
      <c r="N5509" s="514"/>
      <c r="R5509" s="293"/>
      <c r="S5509" s="316"/>
      <c r="T5509" s="355"/>
    </row>
    <row r="5510" spans="11:20" x14ac:dyDescent="0.25">
      <c r="K5510" s="312"/>
      <c r="N5510" s="514"/>
      <c r="R5510" s="293"/>
      <c r="S5510" s="316"/>
      <c r="T5510" s="355"/>
    </row>
    <row r="5511" spans="11:20" x14ac:dyDescent="0.25">
      <c r="K5511" s="312"/>
      <c r="N5511" s="514"/>
      <c r="R5511" s="293"/>
      <c r="S5511" s="316"/>
      <c r="T5511" s="355"/>
    </row>
    <row r="5512" spans="11:20" x14ac:dyDescent="0.25">
      <c r="K5512" s="312"/>
      <c r="N5512" s="514"/>
      <c r="R5512" s="293"/>
      <c r="S5512" s="316"/>
      <c r="T5512" s="355"/>
    </row>
    <row r="5513" spans="11:20" x14ac:dyDescent="0.25">
      <c r="K5513" s="312"/>
      <c r="N5513" s="514"/>
      <c r="R5513" s="293"/>
      <c r="S5513" s="316"/>
      <c r="T5513" s="355"/>
    </row>
    <row r="5514" spans="11:20" x14ac:dyDescent="0.25">
      <c r="K5514" s="312"/>
      <c r="N5514" s="514"/>
      <c r="R5514" s="293"/>
      <c r="S5514" s="316"/>
      <c r="T5514" s="355"/>
    </row>
    <row r="5515" spans="11:20" x14ac:dyDescent="0.25">
      <c r="K5515" s="312"/>
      <c r="N5515" s="514"/>
      <c r="R5515" s="293"/>
      <c r="S5515" s="316"/>
      <c r="T5515" s="355"/>
    </row>
    <row r="5516" spans="11:20" x14ac:dyDescent="0.25">
      <c r="K5516" s="312"/>
      <c r="N5516" s="514"/>
      <c r="R5516" s="293"/>
      <c r="S5516" s="316"/>
      <c r="T5516" s="355"/>
    </row>
    <row r="5517" spans="11:20" x14ac:dyDescent="0.25">
      <c r="K5517" s="312"/>
      <c r="N5517" s="514"/>
      <c r="R5517" s="293"/>
      <c r="S5517" s="316"/>
      <c r="T5517" s="355"/>
    </row>
    <row r="5518" spans="11:20" x14ac:dyDescent="0.25">
      <c r="K5518" s="312"/>
      <c r="N5518" s="514"/>
      <c r="R5518" s="293"/>
      <c r="S5518" s="316"/>
      <c r="T5518" s="355"/>
    </row>
    <row r="5519" spans="11:20" x14ac:dyDescent="0.25">
      <c r="K5519" s="312"/>
      <c r="N5519" s="514"/>
      <c r="R5519" s="293"/>
      <c r="S5519" s="316"/>
      <c r="T5519" s="355"/>
    </row>
    <row r="5520" spans="11:20" x14ac:dyDescent="0.25">
      <c r="K5520" s="312"/>
      <c r="N5520" s="514"/>
      <c r="R5520" s="293"/>
      <c r="S5520" s="316"/>
      <c r="T5520" s="355"/>
    </row>
    <row r="5521" spans="11:20" x14ac:dyDescent="0.25">
      <c r="K5521" s="312"/>
      <c r="N5521" s="514"/>
      <c r="R5521" s="293"/>
      <c r="S5521" s="316"/>
      <c r="T5521" s="355"/>
    </row>
    <row r="5522" spans="11:20" x14ac:dyDescent="0.25">
      <c r="K5522" s="312"/>
      <c r="N5522" s="514"/>
      <c r="R5522" s="293"/>
      <c r="S5522" s="316"/>
      <c r="T5522" s="355"/>
    </row>
    <row r="5523" spans="11:20" x14ac:dyDescent="0.25">
      <c r="K5523" s="312"/>
      <c r="N5523" s="514"/>
      <c r="R5523" s="293"/>
      <c r="S5523" s="316"/>
      <c r="T5523" s="355"/>
    </row>
    <row r="5524" spans="11:20" x14ac:dyDescent="0.25">
      <c r="K5524" s="312"/>
      <c r="N5524" s="514"/>
      <c r="R5524" s="293"/>
      <c r="S5524" s="316"/>
      <c r="T5524" s="355"/>
    </row>
    <row r="5525" spans="11:20" x14ac:dyDescent="0.25">
      <c r="K5525" s="312"/>
      <c r="N5525" s="514"/>
      <c r="R5525" s="293"/>
      <c r="S5525" s="316"/>
      <c r="T5525" s="355"/>
    </row>
    <row r="5526" spans="11:20" x14ac:dyDescent="0.25">
      <c r="K5526" s="312"/>
      <c r="N5526" s="514"/>
      <c r="R5526" s="293"/>
      <c r="S5526" s="316"/>
      <c r="T5526" s="355"/>
    </row>
    <row r="5527" spans="11:20" x14ac:dyDescent="0.25">
      <c r="K5527" s="312"/>
      <c r="N5527" s="514"/>
      <c r="R5527" s="293"/>
      <c r="S5527" s="316"/>
      <c r="T5527" s="355"/>
    </row>
    <row r="5528" spans="11:20" x14ac:dyDescent="0.25">
      <c r="K5528" s="312"/>
      <c r="N5528" s="514"/>
      <c r="R5528" s="293"/>
      <c r="S5528" s="316"/>
      <c r="T5528" s="355"/>
    </row>
    <row r="5529" spans="11:20" x14ac:dyDescent="0.25">
      <c r="K5529" s="312"/>
      <c r="N5529" s="514"/>
      <c r="R5529" s="293"/>
      <c r="S5529" s="316"/>
      <c r="T5529" s="355"/>
    </row>
    <row r="5530" spans="11:20" x14ac:dyDescent="0.25">
      <c r="K5530" s="312"/>
      <c r="N5530" s="514"/>
      <c r="R5530" s="293"/>
      <c r="S5530" s="316"/>
      <c r="T5530" s="355"/>
    </row>
    <row r="5531" spans="11:20" x14ac:dyDescent="0.25">
      <c r="K5531" s="312"/>
      <c r="N5531" s="514"/>
      <c r="R5531" s="293"/>
      <c r="S5531" s="316"/>
      <c r="T5531" s="355"/>
    </row>
    <row r="5532" spans="11:20" x14ac:dyDescent="0.25">
      <c r="K5532" s="312"/>
      <c r="N5532" s="514"/>
      <c r="R5532" s="293"/>
      <c r="S5532" s="316"/>
      <c r="T5532" s="355"/>
    </row>
    <row r="5533" spans="11:20" x14ac:dyDescent="0.25">
      <c r="K5533" s="312"/>
      <c r="N5533" s="514"/>
      <c r="R5533" s="293"/>
      <c r="S5533" s="316"/>
      <c r="T5533" s="355"/>
    </row>
    <row r="5534" spans="11:20" x14ac:dyDescent="0.25">
      <c r="K5534" s="312"/>
      <c r="N5534" s="514"/>
      <c r="R5534" s="293"/>
      <c r="S5534" s="316"/>
      <c r="T5534" s="355"/>
    </row>
    <row r="5535" spans="11:20" x14ac:dyDescent="0.25">
      <c r="K5535" s="312"/>
      <c r="N5535" s="514"/>
      <c r="R5535" s="293"/>
      <c r="S5535" s="316"/>
      <c r="T5535" s="355"/>
    </row>
    <row r="5536" spans="11:20" x14ac:dyDescent="0.25">
      <c r="K5536" s="312"/>
      <c r="N5536" s="514"/>
      <c r="R5536" s="293"/>
      <c r="S5536" s="316"/>
      <c r="T5536" s="355"/>
    </row>
    <row r="5537" spans="11:20" x14ac:dyDescent="0.25">
      <c r="K5537" s="312"/>
      <c r="N5537" s="514"/>
      <c r="R5537" s="293"/>
      <c r="S5537" s="316"/>
      <c r="T5537" s="355"/>
    </row>
    <row r="5538" spans="11:20" x14ac:dyDescent="0.25">
      <c r="K5538" s="312"/>
      <c r="N5538" s="514"/>
      <c r="R5538" s="293"/>
      <c r="S5538" s="316"/>
      <c r="T5538" s="355"/>
    </row>
    <row r="5539" spans="11:20" x14ac:dyDescent="0.25">
      <c r="K5539" s="312"/>
      <c r="N5539" s="514"/>
      <c r="R5539" s="293"/>
      <c r="S5539" s="316"/>
      <c r="T5539" s="355"/>
    </row>
    <row r="5540" spans="11:20" x14ac:dyDescent="0.25">
      <c r="K5540" s="312"/>
      <c r="N5540" s="514"/>
      <c r="R5540" s="293"/>
      <c r="S5540" s="316"/>
      <c r="T5540" s="355"/>
    </row>
    <row r="5541" spans="11:20" x14ac:dyDescent="0.25">
      <c r="K5541" s="312"/>
      <c r="N5541" s="514"/>
      <c r="R5541" s="293"/>
      <c r="S5541" s="316"/>
      <c r="T5541" s="355"/>
    </row>
    <row r="5542" spans="11:20" x14ac:dyDescent="0.25">
      <c r="K5542" s="312"/>
      <c r="N5542" s="514"/>
      <c r="R5542" s="293"/>
      <c r="S5542" s="316"/>
      <c r="T5542" s="355"/>
    </row>
    <row r="5543" spans="11:20" x14ac:dyDescent="0.25">
      <c r="K5543" s="312"/>
      <c r="N5543" s="514"/>
      <c r="R5543" s="293"/>
      <c r="S5543" s="316"/>
      <c r="T5543" s="355"/>
    </row>
    <row r="5544" spans="11:20" x14ac:dyDescent="0.25">
      <c r="K5544" s="312"/>
      <c r="N5544" s="514"/>
      <c r="R5544" s="293"/>
      <c r="S5544" s="316"/>
      <c r="T5544" s="355"/>
    </row>
    <row r="5545" spans="11:20" x14ac:dyDescent="0.25">
      <c r="K5545" s="312"/>
      <c r="N5545" s="514"/>
      <c r="R5545" s="293"/>
      <c r="S5545" s="316"/>
      <c r="T5545" s="355"/>
    </row>
    <row r="5546" spans="11:20" x14ac:dyDescent="0.25">
      <c r="K5546" s="312"/>
      <c r="N5546" s="514"/>
      <c r="R5546" s="293"/>
      <c r="S5546" s="316"/>
      <c r="T5546" s="355"/>
    </row>
    <row r="5547" spans="11:20" x14ac:dyDescent="0.25">
      <c r="K5547" s="312"/>
      <c r="N5547" s="514"/>
      <c r="R5547" s="293"/>
      <c r="S5547" s="316"/>
      <c r="T5547" s="355"/>
    </row>
    <row r="5548" spans="11:20" x14ac:dyDescent="0.25">
      <c r="K5548" s="312"/>
      <c r="N5548" s="514"/>
      <c r="R5548" s="293"/>
      <c r="S5548" s="316"/>
      <c r="T5548" s="355"/>
    </row>
    <row r="5549" spans="11:20" x14ac:dyDescent="0.25">
      <c r="K5549" s="312"/>
      <c r="N5549" s="514"/>
      <c r="R5549" s="293"/>
      <c r="S5549" s="316"/>
      <c r="T5549" s="355"/>
    </row>
    <row r="5550" spans="11:20" x14ac:dyDescent="0.25">
      <c r="K5550" s="312"/>
      <c r="N5550" s="514"/>
      <c r="R5550" s="293"/>
      <c r="S5550" s="316"/>
      <c r="T5550" s="355"/>
    </row>
    <row r="5551" spans="11:20" x14ac:dyDescent="0.25">
      <c r="K5551" s="312"/>
      <c r="N5551" s="514"/>
      <c r="R5551" s="293"/>
      <c r="S5551" s="316"/>
      <c r="T5551" s="355"/>
    </row>
    <row r="5552" spans="11:20" x14ac:dyDescent="0.25">
      <c r="K5552" s="312"/>
      <c r="N5552" s="514"/>
      <c r="R5552" s="293"/>
      <c r="S5552" s="316"/>
      <c r="T5552" s="355"/>
    </row>
    <row r="5553" spans="11:20" x14ac:dyDescent="0.25">
      <c r="K5553" s="312"/>
      <c r="N5553" s="514"/>
      <c r="R5553" s="293"/>
      <c r="S5553" s="316"/>
      <c r="T5553" s="355"/>
    </row>
    <row r="5554" spans="11:20" x14ac:dyDescent="0.25">
      <c r="K5554" s="312"/>
      <c r="N5554" s="514"/>
      <c r="R5554" s="293"/>
      <c r="S5554" s="316"/>
      <c r="T5554" s="355"/>
    </row>
    <row r="5555" spans="11:20" x14ac:dyDescent="0.25">
      <c r="K5555" s="312"/>
      <c r="N5555" s="514"/>
      <c r="R5555" s="293"/>
      <c r="S5555" s="316"/>
      <c r="T5555" s="355"/>
    </row>
    <row r="5556" spans="11:20" x14ac:dyDescent="0.25">
      <c r="K5556" s="312"/>
      <c r="N5556" s="514"/>
      <c r="R5556" s="293"/>
      <c r="S5556" s="316"/>
      <c r="T5556" s="355"/>
    </row>
    <row r="5557" spans="11:20" x14ac:dyDescent="0.25">
      <c r="K5557" s="312"/>
      <c r="N5557" s="514"/>
      <c r="R5557" s="293"/>
      <c r="S5557" s="316"/>
      <c r="T5557" s="355"/>
    </row>
    <row r="5558" spans="11:20" x14ac:dyDescent="0.25">
      <c r="K5558" s="312"/>
      <c r="N5558" s="514"/>
      <c r="R5558" s="293"/>
      <c r="S5558" s="316"/>
      <c r="T5558" s="355"/>
    </row>
    <row r="5559" spans="11:20" x14ac:dyDescent="0.25">
      <c r="K5559" s="312"/>
      <c r="N5559" s="514"/>
      <c r="R5559" s="293"/>
      <c r="S5559" s="316"/>
      <c r="T5559" s="355"/>
    </row>
    <row r="5560" spans="11:20" x14ac:dyDescent="0.25">
      <c r="K5560" s="312"/>
      <c r="N5560" s="514"/>
      <c r="R5560" s="293"/>
      <c r="S5560" s="316"/>
      <c r="T5560" s="355"/>
    </row>
    <row r="5561" spans="11:20" x14ac:dyDescent="0.25">
      <c r="K5561" s="312"/>
      <c r="N5561" s="514"/>
      <c r="R5561" s="293"/>
      <c r="S5561" s="316"/>
      <c r="T5561" s="355"/>
    </row>
    <row r="5562" spans="11:20" x14ac:dyDescent="0.25">
      <c r="K5562" s="312"/>
      <c r="N5562" s="514"/>
      <c r="R5562" s="293"/>
      <c r="S5562" s="316"/>
      <c r="T5562" s="355"/>
    </row>
    <row r="5563" spans="11:20" x14ac:dyDescent="0.25">
      <c r="K5563" s="312"/>
      <c r="N5563" s="514"/>
      <c r="R5563" s="293"/>
      <c r="S5563" s="316"/>
      <c r="T5563" s="355"/>
    </row>
    <row r="5564" spans="11:20" x14ac:dyDescent="0.25">
      <c r="K5564" s="312"/>
      <c r="N5564" s="514"/>
      <c r="R5564" s="293"/>
      <c r="S5564" s="316"/>
      <c r="T5564" s="355"/>
    </row>
    <row r="5565" spans="11:20" x14ac:dyDescent="0.25">
      <c r="K5565" s="312"/>
      <c r="N5565" s="514"/>
      <c r="R5565" s="293"/>
      <c r="S5565" s="316"/>
      <c r="T5565" s="355"/>
    </row>
    <row r="5566" spans="11:20" x14ac:dyDescent="0.25">
      <c r="K5566" s="312"/>
      <c r="N5566" s="514"/>
      <c r="R5566" s="293"/>
      <c r="S5566" s="316"/>
      <c r="T5566" s="355"/>
    </row>
    <row r="5567" spans="11:20" x14ac:dyDescent="0.25">
      <c r="K5567" s="312"/>
      <c r="N5567" s="514"/>
      <c r="R5567" s="293"/>
      <c r="S5567" s="316"/>
      <c r="T5567" s="355"/>
    </row>
    <row r="5568" spans="11:20" x14ac:dyDescent="0.25">
      <c r="K5568" s="312"/>
      <c r="N5568" s="514"/>
      <c r="R5568" s="293"/>
      <c r="S5568" s="316"/>
      <c r="T5568" s="355"/>
    </row>
    <row r="5569" spans="11:20" x14ac:dyDescent="0.25">
      <c r="K5569" s="312"/>
      <c r="N5569" s="514"/>
      <c r="R5569" s="293"/>
      <c r="S5569" s="316"/>
      <c r="T5569" s="355"/>
    </row>
    <row r="5570" spans="11:20" x14ac:dyDescent="0.25">
      <c r="K5570" s="312"/>
      <c r="N5570" s="514"/>
      <c r="R5570" s="293"/>
      <c r="S5570" s="316"/>
      <c r="T5570" s="355"/>
    </row>
    <row r="5571" spans="11:20" x14ac:dyDescent="0.25">
      <c r="K5571" s="312"/>
      <c r="N5571" s="514"/>
      <c r="R5571" s="293"/>
      <c r="S5571" s="316"/>
      <c r="T5571" s="355"/>
    </row>
    <row r="5572" spans="11:20" x14ac:dyDescent="0.25">
      <c r="K5572" s="312"/>
      <c r="N5572" s="514"/>
      <c r="R5572" s="293"/>
      <c r="S5572" s="316"/>
      <c r="T5572" s="355"/>
    </row>
    <row r="5573" spans="11:20" x14ac:dyDescent="0.25">
      <c r="K5573" s="312"/>
      <c r="N5573" s="514"/>
      <c r="R5573" s="293"/>
      <c r="S5573" s="316"/>
      <c r="T5573" s="355"/>
    </row>
    <row r="5574" spans="11:20" x14ac:dyDescent="0.25">
      <c r="K5574" s="312"/>
      <c r="N5574" s="514"/>
      <c r="R5574" s="293"/>
      <c r="S5574" s="316"/>
      <c r="T5574" s="355"/>
    </row>
    <row r="5575" spans="11:20" x14ac:dyDescent="0.25">
      <c r="K5575" s="312"/>
      <c r="N5575" s="514"/>
      <c r="R5575" s="293"/>
      <c r="S5575" s="316"/>
      <c r="T5575" s="355"/>
    </row>
    <row r="5576" spans="11:20" x14ac:dyDescent="0.25">
      <c r="K5576" s="312"/>
      <c r="N5576" s="514"/>
      <c r="R5576" s="293"/>
      <c r="S5576" s="316"/>
      <c r="T5576" s="355"/>
    </row>
    <row r="5577" spans="11:20" x14ac:dyDescent="0.25">
      <c r="K5577" s="312"/>
      <c r="N5577" s="514"/>
      <c r="R5577" s="293"/>
      <c r="S5577" s="316"/>
      <c r="T5577" s="355"/>
    </row>
    <row r="5578" spans="11:20" x14ac:dyDescent="0.25">
      <c r="K5578" s="312"/>
      <c r="N5578" s="514"/>
      <c r="R5578" s="293"/>
      <c r="S5578" s="316"/>
      <c r="T5578" s="355"/>
    </row>
    <row r="5579" spans="11:20" x14ac:dyDescent="0.25">
      <c r="K5579" s="312"/>
      <c r="N5579" s="514"/>
      <c r="R5579" s="293"/>
      <c r="S5579" s="316"/>
      <c r="T5579" s="355"/>
    </row>
    <row r="5580" spans="11:20" x14ac:dyDescent="0.25">
      <c r="K5580" s="312"/>
      <c r="N5580" s="514"/>
      <c r="R5580" s="293"/>
      <c r="S5580" s="316"/>
      <c r="T5580" s="355"/>
    </row>
    <row r="5581" spans="11:20" x14ac:dyDescent="0.25">
      <c r="K5581" s="312"/>
      <c r="N5581" s="514"/>
      <c r="R5581" s="293"/>
      <c r="S5581" s="316"/>
      <c r="T5581" s="355"/>
    </row>
    <row r="5582" spans="11:20" x14ac:dyDescent="0.25">
      <c r="K5582" s="312"/>
      <c r="N5582" s="514"/>
      <c r="R5582" s="293"/>
      <c r="S5582" s="316"/>
      <c r="T5582" s="355"/>
    </row>
    <row r="5583" spans="11:20" x14ac:dyDescent="0.25">
      <c r="K5583" s="312"/>
      <c r="N5583" s="514"/>
      <c r="R5583" s="293"/>
      <c r="S5583" s="316"/>
      <c r="T5583" s="355"/>
    </row>
    <row r="5584" spans="11:20" x14ac:dyDescent="0.25">
      <c r="K5584" s="312"/>
      <c r="N5584" s="514"/>
      <c r="R5584" s="293"/>
      <c r="S5584" s="316"/>
      <c r="T5584" s="355"/>
    </row>
    <row r="5585" spans="11:20" x14ac:dyDescent="0.25">
      <c r="K5585" s="312"/>
      <c r="N5585" s="514"/>
      <c r="R5585" s="293"/>
      <c r="S5585" s="316"/>
      <c r="T5585" s="355"/>
    </row>
    <row r="5586" spans="11:20" x14ac:dyDescent="0.25">
      <c r="K5586" s="312"/>
      <c r="N5586" s="514"/>
      <c r="R5586" s="293"/>
      <c r="S5586" s="316"/>
      <c r="T5586" s="355"/>
    </row>
    <row r="5587" spans="11:20" x14ac:dyDescent="0.25">
      <c r="K5587" s="312"/>
      <c r="N5587" s="514"/>
      <c r="R5587" s="293"/>
      <c r="S5587" s="316"/>
      <c r="T5587" s="355"/>
    </row>
    <row r="5588" spans="11:20" x14ac:dyDescent="0.25">
      <c r="K5588" s="312"/>
      <c r="N5588" s="514"/>
      <c r="R5588" s="293"/>
      <c r="S5588" s="316"/>
      <c r="T5588" s="355"/>
    </row>
    <row r="5589" spans="11:20" x14ac:dyDescent="0.25">
      <c r="K5589" s="312"/>
      <c r="N5589" s="514"/>
      <c r="R5589" s="293"/>
      <c r="S5589" s="316"/>
      <c r="T5589" s="355"/>
    </row>
    <row r="5590" spans="11:20" x14ac:dyDescent="0.25">
      <c r="K5590" s="312"/>
      <c r="N5590" s="514"/>
      <c r="R5590" s="293"/>
      <c r="S5590" s="316"/>
      <c r="T5590" s="355"/>
    </row>
    <row r="5591" spans="11:20" x14ac:dyDescent="0.25">
      <c r="K5591" s="312"/>
      <c r="N5591" s="514"/>
      <c r="R5591" s="293"/>
      <c r="S5591" s="316"/>
      <c r="T5591" s="355"/>
    </row>
    <row r="5592" spans="11:20" x14ac:dyDescent="0.25">
      <c r="K5592" s="312"/>
      <c r="N5592" s="514"/>
      <c r="R5592" s="293"/>
      <c r="S5592" s="316"/>
      <c r="T5592" s="355"/>
    </row>
    <row r="5593" spans="11:20" x14ac:dyDescent="0.25">
      <c r="K5593" s="312"/>
      <c r="N5593" s="514"/>
      <c r="R5593" s="293"/>
      <c r="S5593" s="316"/>
      <c r="T5593" s="355"/>
    </row>
    <row r="5594" spans="11:20" x14ac:dyDescent="0.25">
      <c r="K5594" s="312"/>
      <c r="N5594" s="514"/>
      <c r="R5594" s="293"/>
      <c r="S5594" s="316"/>
      <c r="T5594" s="355"/>
    </row>
    <row r="5595" spans="11:20" x14ac:dyDescent="0.25">
      <c r="K5595" s="312"/>
      <c r="N5595" s="514"/>
      <c r="R5595" s="293"/>
      <c r="S5595" s="316"/>
      <c r="T5595" s="355"/>
    </row>
    <row r="5596" spans="11:20" x14ac:dyDescent="0.25">
      <c r="K5596" s="312"/>
      <c r="N5596" s="514"/>
      <c r="R5596" s="293"/>
      <c r="S5596" s="316"/>
      <c r="T5596" s="355"/>
    </row>
    <row r="5597" spans="11:20" x14ac:dyDescent="0.25">
      <c r="K5597" s="312"/>
      <c r="N5597" s="514"/>
      <c r="R5597" s="293"/>
      <c r="S5597" s="316"/>
      <c r="T5597" s="355"/>
    </row>
    <row r="5598" spans="11:20" x14ac:dyDescent="0.25">
      <c r="K5598" s="312"/>
      <c r="N5598" s="514"/>
      <c r="R5598" s="293"/>
      <c r="S5598" s="316"/>
      <c r="T5598" s="355"/>
    </row>
    <row r="5599" spans="11:20" x14ac:dyDescent="0.25">
      <c r="K5599" s="312"/>
      <c r="N5599" s="514"/>
      <c r="R5599" s="293"/>
      <c r="S5599" s="316"/>
      <c r="T5599" s="355"/>
    </row>
    <row r="5600" spans="11:20" x14ac:dyDescent="0.25">
      <c r="K5600" s="312"/>
      <c r="N5600" s="514"/>
      <c r="R5600" s="293"/>
      <c r="S5600" s="316"/>
      <c r="T5600" s="355"/>
    </row>
    <row r="5601" spans="11:20" x14ac:dyDescent="0.25">
      <c r="K5601" s="312"/>
      <c r="N5601" s="514"/>
      <c r="R5601" s="293"/>
      <c r="S5601" s="316"/>
      <c r="T5601" s="355"/>
    </row>
    <row r="5602" spans="11:20" x14ac:dyDescent="0.25">
      <c r="K5602" s="312"/>
      <c r="N5602" s="514"/>
      <c r="R5602" s="293"/>
      <c r="S5602" s="316"/>
      <c r="T5602" s="355"/>
    </row>
    <row r="5603" spans="11:20" x14ac:dyDescent="0.25">
      <c r="K5603" s="312"/>
      <c r="N5603" s="514"/>
      <c r="R5603" s="293"/>
      <c r="S5603" s="316"/>
      <c r="T5603" s="355"/>
    </row>
    <row r="5604" spans="11:20" x14ac:dyDescent="0.25">
      <c r="K5604" s="312"/>
      <c r="N5604" s="514"/>
      <c r="R5604" s="293"/>
      <c r="S5604" s="316"/>
      <c r="T5604" s="355"/>
    </row>
    <row r="5605" spans="11:20" x14ac:dyDescent="0.25">
      <c r="K5605" s="312"/>
      <c r="N5605" s="514"/>
      <c r="R5605" s="293"/>
      <c r="S5605" s="316"/>
      <c r="T5605" s="355"/>
    </row>
    <row r="5606" spans="11:20" x14ac:dyDescent="0.25">
      <c r="K5606" s="312"/>
      <c r="N5606" s="514"/>
      <c r="R5606" s="293"/>
      <c r="S5606" s="316"/>
      <c r="T5606" s="355"/>
    </row>
    <row r="5607" spans="11:20" x14ac:dyDescent="0.25">
      <c r="K5607" s="312"/>
      <c r="N5607" s="514"/>
      <c r="R5607" s="293"/>
      <c r="S5607" s="316"/>
      <c r="T5607" s="355"/>
    </row>
    <row r="5608" spans="11:20" x14ac:dyDescent="0.25">
      <c r="K5608" s="312"/>
      <c r="N5608" s="514"/>
      <c r="R5608" s="293"/>
      <c r="S5608" s="316"/>
      <c r="T5608" s="355"/>
    </row>
    <row r="5609" spans="11:20" x14ac:dyDescent="0.25">
      <c r="K5609" s="312"/>
      <c r="N5609" s="514"/>
      <c r="R5609" s="293"/>
      <c r="S5609" s="316"/>
      <c r="T5609" s="355"/>
    </row>
    <row r="5610" spans="11:20" x14ac:dyDescent="0.25">
      <c r="K5610" s="312"/>
      <c r="N5610" s="514"/>
      <c r="R5610" s="293"/>
      <c r="S5610" s="316"/>
      <c r="T5610" s="355"/>
    </row>
    <row r="5611" spans="11:20" x14ac:dyDescent="0.25">
      <c r="K5611" s="312"/>
      <c r="N5611" s="514"/>
      <c r="R5611" s="293"/>
      <c r="S5611" s="316"/>
      <c r="T5611" s="355"/>
    </row>
    <row r="5612" spans="11:20" x14ac:dyDescent="0.25">
      <c r="K5612" s="312"/>
      <c r="N5612" s="514"/>
      <c r="R5612" s="293"/>
      <c r="S5612" s="316"/>
      <c r="T5612" s="355"/>
    </row>
    <row r="5613" spans="11:20" x14ac:dyDescent="0.25">
      <c r="K5613" s="312"/>
      <c r="N5613" s="514"/>
      <c r="R5613" s="293"/>
      <c r="S5613" s="316"/>
      <c r="T5613" s="355"/>
    </row>
    <row r="5614" spans="11:20" x14ac:dyDescent="0.25">
      <c r="K5614" s="312"/>
      <c r="N5614" s="514"/>
      <c r="R5614" s="293"/>
      <c r="S5614" s="316"/>
      <c r="T5614" s="355"/>
    </row>
    <row r="5615" spans="11:20" x14ac:dyDescent="0.25">
      <c r="K5615" s="312"/>
      <c r="N5615" s="514"/>
      <c r="R5615" s="293"/>
      <c r="S5615" s="316"/>
      <c r="T5615" s="355"/>
    </row>
    <row r="5616" spans="11:20" x14ac:dyDescent="0.25">
      <c r="K5616" s="312"/>
      <c r="N5616" s="514"/>
      <c r="R5616" s="293"/>
      <c r="S5616" s="316"/>
      <c r="T5616" s="355"/>
    </row>
    <row r="5617" spans="11:20" x14ac:dyDescent="0.25">
      <c r="K5617" s="312"/>
      <c r="N5617" s="514"/>
      <c r="R5617" s="293"/>
      <c r="S5617" s="316"/>
      <c r="T5617" s="355"/>
    </row>
    <row r="5618" spans="11:20" x14ac:dyDescent="0.25">
      <c r="K5618" s="312"/>
      <c r="N5618" s="514"/>
      <c r="R5618" s="293"/>
      <c r="S5618" s="316"/>
      <c r="T5618" s="355"/>
    </row>
    <row r="5619" spans="11:20" x14ac:dyDescent="0.25">
      <c r="K5619" s="312"/>
      <c r="N5619" s="514"/>
      <c r="R5619" s="293"/>
      <c r="S5619" s="316"/>
      <c r="T5619" s="355"/>
    </row>
    <row r="5620" spans="11:20" x14ac:dyDescent="0.25">
      <c r="K5620" s="312"/>
      <c r="N5620" s="514"/>
      <c r="R5620" s="293"/>
      <c r="S5620" s="316"/>
      <c r="T5620" s="355"/>
    </row>
    <row r="5621" spans="11:20" x14ac:dyDescent="0.25">
      <c r="K5621" s="312"/>
      <c r="N5621" s="514"/>
      <c r="R5621" s="293"/>
      <c r="S5621" s="316"/>
      <c r="T5621" s="355"/>
    </row>
    <row r="5622" spans="11:20" x14ac:dyDescent="0.25">
      <c r="K5622" s="312"/>
      <c r="N5622" s="514"/>
      <c r="R5622" s="293"/>
      <c r="S5622" s="316"/>
      <c r="T5622" s="355"/>
    </row>
    <row r="5623" spans="11:20" x14ac:dyDescent="0.25">
      <c r="K5623" s="312"/>
      <c r="N5623" s="514"/>
      <c r="R5623" s="293"/>
      <c r="S5623" s="316"/>
      <c r="T5623" s="355"/>
    </row>
    <row r="5624" spans="11:20" x14ac:dyDescent="0.25">
      <c r="K5624" s="312"/>
      <c r="N5624" s="514"/>
      <c r="R5624" s="293"/>
      <c r="S5624" s="316"/>
      <c r="T5624" s="355"/>
    </row>
    <row r="5625" spans="11:20" x14ac:dyDescent="0.25">
      <c r="K5625" s="312"/>
      <c r="N5625" s="514"/>
      <c r="R5625" s="293"/>
      <c r="S5625" s="316"/>
      <c r="T5625" s="355"/>
    </row>
    <row r="5626" spans="11:20" x14ac:dyDescent="0.25">
      <c r="K5626" s="312"/>
      <c r="N5626" s="514"/>
      <c r="R5626" s="293"/>
      <c r="S5626" s="316"/>
      <c r="T5626" s="355"/>
    </row>
    <row r="5627" spans="11:20" x14ac:dyDescent="0.25">
      <c r="K5627" s="312"/>
      <c r="N5627" s="514"/>
      <c r="R5627" s="293"/>
      <c r="S5627" s="316"/>
      <c r="T5627" s="355"/>
    </row>
    <row r="5628" spans="11:20" x14ac:dyDescent="0.25">
      <c r="K5628" s="312"/>
      <c r="N5628" s="514"/>
      <c r="R5628" s="293"/>
      <c r="S5628" s="316"/>
      <c r="T5628" s="355"/>
    </row>
    <row r="5629" spans="11:20" x14ac:dyDescent="0.25">
      <c r="K5629" s="312"/>
      <c r="N5629" s="514"/>
      <c r="R5629" s="293"/>
      <c r="S5629" s="316"/>
      <c r="T5629" s="355"/>
    </row>
    <row r="5630" spans="11:20" x14ac:dyDescent="0.25">
      <c r="K5630" s="312"/>
      <c r="N5630" s="514"/>
      <c r="R5630" s="293"/>
      <c r="S5630" s="316"/>
      <c r="T5630" s="355"/>
    </row>
    <row r="5631" spans="11:20" x14ac:dyDescent="0.25">
      <c r="K5631" s="312"/>
      <c r="N5631" s="514"/>
      <c r="R5631" s="293"/>
      <c r="S5631" s="316"/>
      <c r="T5631" s="355"/>
    </row>
    <row r="5632" spans="11:20" x14ac:dyDescent="0.25">
      <c r="K5632" s="312"/>
      <c r="N5632" s="514"/>
      <c r="R5632" s="293"/>
      <c r="S5632" s="316"/>
      <c r="T5632" s="355"/>
    </row>
    <row r="5633" spans="11:20" x14ac:dyDescent="0.25">
      <c r="K5633" s="312"/>
      <c r="N5633" s="514"/>
      <c r="R5633" s="293"/>
      <c r="S5633" s="316"/>
      <c r="T5633" s="355"/>
    </row>
    <row r="5634" spans="11:20" x14ac:dyDescent="0.25">
      <c r="K5634" s="312"/>
      <c r="N5634" s="514"/>
      <c r="R5634" s="293"/>
      <c r="S5634" s="316"/>
      <c r="T5634" s="355"/>
    </row>
    <row r="5635" spans="11:20" x14ac:dyDescent="0.25">
      <c r="K5635" s="312"/>
      <c r="N5635" s="514"/>
      <c r="R5635" s="293"/>
      <c r="S5635" s="316"/>
      <c r="T5635" s="355"/>
    </row>
    <row r="5636" spans="11:20" x14ac:dyDescent="0.25">
      <c r="K5636" s="312"/>
      <c r="N5636" s="514"/>
      <c r="R5636" s="293"/>
      <c r="S5636" s="316"/>
      <c r="T5636" s="355"/>
    </row>
    <row r="5637" spans="11:20" x14ac:dyDescent="0.25">
      <c r="K5637" s="312"/>
      <c r="N5637" s="514"/>
      <c r="R5637" s="293"/>
      <c r="S5637" s="316"/>
      <c r="T5637" s="355"/>
    </row>
    <row r="5638" spans="11:20" x14ac:dyDescent="0.25">
      <c r="K5638" s="312"/>
      <c r="N5638" s="514"/>
      <c r="R5638" s="293"/>
      <c r="S5638" s="316"/>
      <c r="T5638" s="355"/>
    </row>
    <row r="5639" spans="11:20" x14ac:dyDescent="0.25">
      <c r="K5639" s="312"/>
      <c r="N5639" s="514"/>
      <c r="R5639" s="293"/>
      <c r="S5639" s="316"/>
      <c r="T5639" s="355"/>
    </row>
    <row r="5640" spans="11:20" x14ac:dyDescent="0.25">
      <c r="K5640" s="312"/>
      <c r="N5640" s="514"/>
      <c r="R5640" s="293"/>
      <c r="S5640" s="316"/>
      <c r="T5640" s="355"/>
    </row>
    <row r="5641" spans="11:20" x14ac:dyDescent="0.25">
      <c r="K5641" s="312"/>
      <c r="N5641" s="514"/>
      <c r="R5641" s="293"/>
      <c r="S5641" s="316"/>
      <c r="T5641" s="355"/>
    </row>
    <row r="5642" spans="11:20" x14ac:dyDescent="0.25">
      <c r="K5642" s="312"/>
      <c r="N5642" s="514"/>
      <c r="R5642" s="293"/>
      <c r="S5642" s="316"/>
      <c r="T5642" s="355"/>
    </row>
    <row r="5643" spans="11:20" x14ac:dyDescent="0.25">
      <c r="K5643" s="312"/>
      <c r="N5643" s="514"/>
      <c r="R5643" s="293"/>
      <c r="S5643" s="316"/>
      <c r="T5643" s="355"/>
    </row>
    <row r="5644" spans="11:20" x14ac:dyDescent="0.25">
      <c r="K5644" s="312"/>
      <c r="N5644" s="514"/>
      <c r="R5644" s="293"/>
      <c r="S5644" s="316"/>
      <c r="T5644" s="355"/>
    </row>
    <row r="5645" spans="11:20" x14ac:dyDescent="0.25">
      <c r="K5645" s="312"/>
      <c r="N5645" s="514"/>
      <c r="R5645" s="293"/>
      <c r="S5645" s="316"/>
      <c r="T5645" s="355"/>
    </row>
    <row r="5646" spans="11:20" x14ac:dyDescent="0.25">
      <c r="K5646" s="312"/>
      <c r="N5646" s="514"/>
      <c r="R5646" s="293"/>
      <c r="S5646" s="316"/>
      <c r="T5646" s="355"/>
    </row>
    <row r="5647" spans="11:20" x14ac:dyDescent="0.25">
      <c r="K5647" s="312"/>
      <c r="N5647" s="514"/>
      <c r="R5647" s="293"/>
      <c r="S5647" s="316"/>
      <c r="T5647" s="355"/>
    </row>
    <row r="5648" spans="11:20" x14ac:dyDescent="0.25">
      <c r="K5648" s="312"/>
      <c r="N5648" s="514"/>
      <c r="R5648" s="293"/>
      <c r="S5648" s="316"/>
      <c r="T5648" s="355"/>
    </row>
    <row r="5649" spans="11:20" x14ac:dyDescent="0.25">
      <c r="K5649" s="312"/>
      <c r="N5649" s="514"/>
      <c r="R5649" s="293"/>
      <c r="S5649" s="316"/>
      <c r="T5649" s="355"/>
    </row>
    <row r="5650" spans="11:20" x14ac:dyDescent="0.25">
      <c r="K5650" s="312"/>
      <c r="N5650" s="514"/>
      <c r="R5650" s="293"/>
      <c r="S5650" s="316"/>
      <c r="T5650" s="355"/>
    </row>
    <row r="5651" spans="11:20" x14ac:dyDescent="0.25">
      <c r="K5651" s="312"/>
      <c r="N5651" s="514"/>
      <c r="R5651" s="293"/>
      <c r="S5651" s="316"/>
      <c r="T5651" s="355"/>
    </row>
    <row r="5652" spans="11:20" x14ac:dyDescent="0.25">
      <c r="K5652" s="312"/>
      <c r="N5652" s="514"/>
      <c r="R5652" s="293"/>
      <c r="S5652" s="316"/>
      <c r="T5652" s="355"/>
    </row>
    <row r="5653" spans="11:20" x14ac:dyDescent="0.25">
      <c r="K5653" s="312"/>
      <c r="N5653" s="514"/>
      <c r="R5653" s="293"/>
      <c r="S5653" s="316"/>
      <c r="T5653" s="355"/>
    </row>
    <row r="5654" spans="11:20" x14ac:dyDescent="0.25">
      <c r="K5654" s="312"/>
      <c r="N5654" s="514"/>
      <c r="R5654" s="293"/>
      <c r="S5654" s="316"/>
      <c r="T5654" s="355"/>
    </row>
    <row r="5655" spans="11:20" x14ac:dyDescent="0.25">
      <c r="K5655" s="312"/>
      <c r="N5655" s="514"/>
      <c r="R5655" s="293"/>
      <c r="S5655" s="316"/>
      <c r="T5655" s="355"/>
    </row>
    <row r="5656" spans="11:20" x14ac:dyDescent="0.25">
      <c r="K5656" s="312"/>
      <c r="N5656" s="514"/>
      <c r="R5656" s="293"/>
      <c r="S5656" s="316"/>
      <c r="T5656" s="355"/>
    </row>
    <row r="5657" spans="11:20" x14ac:dyDescent="0.25">
      <c r="K5657" s="312"/>
      <c r="N5657" s="514"/>
      <c r="R5657" s="293"/>
      <c r="S5657" s="316"/>
      <c r="T5657" s="355"/>
    </row>
    <row r="5658" spans="11:20" x14ac:dyDescent="0.25">
      <c r="K5658" s="312"/>
      <c r="N5658" s="514"/>
      <c r="R5658" s="293"/>
      <c r="S5658" s="316"/>
      <c r="T5658" s="355"/>
    </row>
    <row r="5659" spans="11:20" x14ac:dyDescent="0.25">
      <c r="K5659" s="312"/>
      <c r="N5659" s="514"/>
      <c r="R5659" s="293"/>
      <c r="S5659" s="316"/>
      <c r="T5659" s="355"/>
    </row>
    <row r="5660" spans="11:20" x14ac:dyDescent="0.25">
      <c r="K5660" s="312"/>
      <c r="N5660" s="514"/>
      <c r="R5660" s="293"/>
      <c r="S5660" s="316"/>
      <c r="T5660" s="355"/>
    </row>
    <row r="5661" spans="11:20" x14ac:dyDescent="0.25">
      <c r="K5661" s="312"/>
      <c r="N5661" s="514"/>
      <c r="R5661" s="293"/>
      <c r="S5661" s="316"/>
      <c r="T5661" s="355"/>
    </row>
    <row r="5662" spans="11:20" x14ac:dyDescent="0.25">
      <c r="K5662" s="312"/>
      <c r="N5662" s="514"/>
      <c r="R5662" s="293"/>
      <c r="S5662" s="316"/>
      <c r="T5662" s="355"/>
    </row>
    <row r="5663" spans="11:20" x14ac:dyDescent="0.25">
      <c r="K5663" s="312"/>
      <c r="N5663" s="514"/>
      <c r="R5663" s="293"/>
      <c r="S5663" s="316"/>
      <c r="T5663" s="355"/>
    </row>
    <row r="5664" spans="11:20" x14ac:dyDescent="0.25">
      <c r="K5664" s="312"/>
      <c r="N5664" s="514"/>
      <c r="R5664" s="293"/>
      <c r="S5664" s="316"/>
      <c r="T5664" s="355"/>
    </row>
    <row r="5665" spans="11:20" x14ac:dyDescent="0.25">
      <c r="K5665" s="312"/>
      <c r="N5665" s="514"/>
      <c r="R5665" s="293"/>
      <c r="S5665" s="316"/>
      <c r="T5665" s="355"/>
    </row>
    <row r="5666" spans="11:20" x14ac:dyDescent="0.25">
      <c r="K5666" s="312"/>
      <c r="N5666" s="514"/>
      <c r="R5666" s="293"/>
      <c r="S5666" s="316"/>
      <c r="T5666" s="355"/>
    </row>
    <row r="5667" spans="11:20" x14ac:dyDescent="0.25">
      <c r="K5667" s="312"/>
      <c r="N5667" s="514"/>
      <c r="R5667" s="293"/>
      <c r="S5667" s="316"/>
      <c r="T5667" s="355"/>
    </row>
    <row r="5668" spans="11:20" x14ac:dyDescent="0.25">
      <c r="K5668" s="312"/>
      <c r="N5668" s="514"/>
      <c r="R5668" s="293"/>
      <c r="S5668" s="316"/>
      <c r="T5668" s="355"/>
    </row>
    <row r="5669" spans="11:20" x14ac:dyDescent="0.25">
      <c r="K5669" s="312"/>
      <c r="N5669" s="514"/>
      <c r="R5669" s="293"/>
      <c r="S5669" s="316"/>
      <c r="T5669" s="355"/>
    </row>
    <row r="5670" spans="11:20" x14ac:dyDescent="0.25">
      <c r="K5670" s="312"/>
      <c r="N5670" s="514"/>
      <c r="R5670" s="293"/>
      <c r="S5670" s="316"/>
      <c r="T5670" s="355"/>
    </row>
    <row r="5671" spans="11:20" x14ac:dyDescent="0.25">
      <c r="K5671" s="312"/>
      <c r="N5671" s="514"/>
      <c r="R5671" s="293"/>
      <c r="S5671" s="316"/>
      <c r="T5671" s="355"/>
    </row>
    <row r="5672" spans="11:20" x14ac:dyDescent="0.25">
      <c r="K5672" s="312"/>
      <c r="N5672" s="514"/>
      <c r="R5672" s="293"/>
      <c r="S5672" s="316"/>
      <c r="T5672" s="355"/>
    </row>
    <row r="5673" spans="11:20" x14ac:dyDescent="0.25">
      <c r="K5673" s="312"/>
      <c r="N5673" s="514"/>
      <c r="R5673" s="293"/>
      <c r="S5673" s="316"/>
      <c r="T5673" s="355"/>
    </row>
    <row r="5674" spans="11:20" x14ac:dyDescent="0.25">
      <c r="K5674" s="312"/>
      <c r="N5674" s="514"/>
      <c r="R5674" s="293"/>
      <c r="S5674" s="316"/>
      <c r="T5674" s="355"/>
    </row>
    <row r="5675" spans="11:20" x14ac:dyDescent="0.25">
      <c r="K5675" s="312"/>
      <c r="N5675" s="514"/>
      <c r="R5675" s="293"/>
      <c r="S5675" s="316"/>
      <c r="T5675" s="355"/>
    </row>
    <row r="5676" spans="11:20" x14ac:dyDescent="0.25">
      <c r="K5676" s="312"/>
      <c r="N5676" s="514"/>
      <c r="R5676" s="293"/>
      <c r="S5676" s="316"/>
      <c r="T5676" s="355"/>
    </row>
    <row r="5677" spans="11:20" x14ac:dyDescent="0.25">
      <c r="K5677" s="312"/>
      <c r="N5677" s="514"/>
      <c r="R5677" s="293"/>
      <c r="S5677" s="316"/>
      <c r="T5677" s="355"/>
    </row>
    <row r="5678" spans="11:20" x14ac:dyDescent="0.25">
      <c r="K5678" s="312"/>
      <c r="N5678" s="514"/>
      <c r="R5678" s="293"/>
      <c r="S5678" s="316"/>
      <c r="T5678" s="355"/>
    </row>
    <row r="5679" spans="11:20" x14ac:dyDescent="0.25">
      <c r="K5679" s="312"/>
      <c r="N5679" s="514"/>
      <c r="R5679" s="293"/>
      <c r="S5679" s="316"/>
      <c r="T5679" s="355"/>
    </row>
    <row r="5680" spans="11:20" x14ac:dyDescent="0.25">
      <c r="K5680" s="312"/>
      <c r="N5680" s="514"/>
      <c r="R5680" s="293"/>
      <c r="S5680" s="316"/>
      <c r="T5680" s="355"/>
    </row>
    <row r="5681" spans="11:20" x14ac:dyDescent="0.25">
      <c r="K5681" s="312"/>
      <c r="N5681" s="514"/>
      <c r="R5681" s="293"/>
      <c r="S5681" s="316"/>
      <c r="T5681" s="355"/>
    </row>
    <row r="5682" spans="11:20" x14ac:dyDescent="0.25">
      <c r="K5682" s="312"/>
      <c r="N5682" s="514"/>
      <c r="R5682" s="293"/>
      <c r="S5682" s="316"/>
      <c r="T5682" s="355"/>
    </row>
    <row r="5683" spans="11:20" x14ac:dyDescent="0.25">
      <c r="K5683" s="312"/>
      <c r="N5683" s="514"/>
      <c r="R5683" s="293"/>
      <c r="S5683" s="316"/>
      <c r="T5683" s="355"/>
    </row>
    <row r="5684" spans="11:20" x14ac:dyDescent="0.25">
      <c r="K5684" s="312"/>
      <c r="N5684" s="514"/>
      <c r="R5684" s="293"/>
      <c r="S5684" s="316"/>
      <c r="T5684" s="355"/>
    </row>
    <row r="5685" spans="11:20" x14ac:dyDescent="0.25">
      <c r="K5685" s="312"/>
      <c r="N5685" s="514"/>
      <c r="R5685" s="293"/>
      <c r="S5685" s="316"/>
      <c r="T5685" s="355"/>
    </row>
    <row r="5686" spans="11:20" x14ac:dyDescent="0.25">
      <c r="K5686" s="312"/>
      <c r="N5686" s="514"/>
      <c r="R5686" s="293"/>
      <c r="S5686" s="316"/>
      <c r="T5686" s="355"/>
    </row>
    <row r="5687" spans="11:20" x14ac:dyDescent="0.25">
      <c r="K5687" s="312"/>
      <c r="N5687" s="514"/>
      <c r="R5687" s="293"/>
      <c r="S5687" s="316"/>
      <c r="T5687" s="355"/>
    </row>
    <row r="5688" spans="11:20" x14ac:dyDescent="0.25">
      <c r="K5688" s="312"/>
      <c r="N5688" s="514"/>
      <c r="R5688" s="293"/>
      <c r="S5688" s="316"/>
      <c r="T5688" s="355"/>
    </row>
    <row r="5689" spans="11:20" x14ac:dyDescent="0.25">
      <c r="K5689" s="312"/>
      <c r="N5689" s="514"/>
      <c r="R5689" s="293"/>
      <c r="S5689" s="316"/>
      <c r="T5689" s="355"/>
    </row>
    <row r="5690" spans="11:20" x14ac:dyDescent="0.25">
      <c r="K5690" s="312"/>
      <c r="N5690" s="514"/>
      <c r="R5690" s="293"/>
      <c r="S5690" s="316"/>
      <c r="T5690" s="355"/>
    </row>
    <row r="5691" spans="11:20" x14ac:dyDescent="0.25">
      <c r="K5691" s="312"/>
      <c r="N5691" s="514"/>
      <c r="R5691" s="293"/>
      <c r="S5691" s="316"/>
      <c r="T5691" s="355"/>
    </row>
    <row r="5692" spans="11:20" x14ac:dyDescent="0.25">
      <c r="K5692" s="312"/>
      <c r="N5692" s="514"/>
      <c r="R5692" s="293"/>
      <c r="S5692" s="316"/>
      <c r="T5692" s="355"/>
    </row>
    <row r="5693" spans="11:20" x14ac:dyDescent="0.25">
      <c r="K5693" s="312"/>
      <c r="N5693" s="514"/>
      <c r="R5693" s="293"/>
      <c r="S5693" s="316"/>
      <c r="T5693" s="355"/>
    </row>
    <row r="5694" spans="11:20" x14ac:dyDescent="0.25">
      <c r="K5694" s="312"/>
      <c r="N5694" s="514"/>
      <c r="R5694" s="293"/>
      <c r="S5694" s="316"/>
      <c r="T5694" s="355"/>
    </row>
    <row r="5695" spans="11:20" x14ac:dyDescent="0.25">
      <c r="K5695" s="312"/>
      <c r="N5695" s="514"/>
      <c r="R5695" s="293"/>
      <c r="S5695" s="316"/>
      <c r="T5695" s="355"/>
    </row>
    <row r="5696" spans="11:20" x14ac:dyDescent="0.25">
      <c r="K5696" s="312"/>
      <c r="N5696" s="514"/>
      <c r="R5696" s="293"/>
      <c r="S5696" s="316"/>
      <c r="T5696" s="355"/>
    </row>
    <row r="5697" spans="11:20" x14ac:dyDescent="0.25">
      <c r="K5697" s="312"/>
      <c r="N5697" s="514"/>
      <c r="R5697" s="293"/>
      <c r="S5697" s="316"/>
      <c r="T5697" s="355"/>
    </row>
    <row r="5698" spans="11:20" x14ac:dyDescent="0.25">
      <c r="K5698" s="312"/>
      <c r="N5698" s="514"/>
      <c r="R5698" s="293"/>
      <c r="S5698" s="316"/>
      <c r="T5698" s="355"/>
    </row>
    <row r="5699" spans="11:20" x14ac:dyDescent="0.25">
      <c r="K5699" s="312"/>
      <c r="N5699" s="514"/>
      <c r="R5699" s="293"/>
      <c r="S5699" s="316"/>
      <c r="T5699" s="355"/>
    </row>
    <row r="5700" spans="11:20" x14ac:dyDescent="0.25">
      <c r="K5700" s="312"/>
      <c r="N5700" s="514"/>
      <c r="R5700" s="293"/>
      <c r="S5700" s="316"/>
      <c r="T5700" s="355"/>
    </row>
    <row r="5701" spans="11:20" x14ac:dyDescent="0.25">
      <c r="K5701" s="312"/>
      <c r="N5701" s="514"/>
      <c r="R5701" s="293"/>
      <c r="S5701" s="316"/>
      <c r="T5701" s="355"/>
    </row>
    <row r="5702" spans="11:20" x14ac:dyDescent="0.25">
      <c r="K5702" s="312"/>
      <c r="N5702" s="514"/>
      <c r="R5702" s="293"/>
      <c r="S5702" s="316"/>
      <c r="T5702" s="355"/>
    </row>
    <row r="5703" spans="11:20" x14ac:dyDescent="0.25">
      <c r="K5703" s="312"/>
      <c r="N5703" s="514"/>
      <c r="R5703" s="293"/>
      <c r="S5703" s="316"/>
      <c r="T5703" s="355"/>
    </row>
    <row r="5704" spans="11:20" x14ac:dyDescent="0.25">
      <c r="K5704" s="312"/>
      <c r="N5704" s="514"/>
      <c r="R5704" s="293"/>
      <c r="S5704" s="316"/>
      <c r="T5704" s="355"/>
    </row>
    <row r="5705" spans="11:20" x14ac:dyDescent="0.25">
      <c r="K5705" s="312"/>
      <c r="N5705" s="514"/>
      <c r="R5705" s="293"/>
      <c r="S5705" s="316"/>
      <c r="T5705" s="355"/>
    </row>
    <row r="5706" spans="11:20" x14ac:dyDescent="0.25">
      <c r="K5706" s="312"/>
      <c r="N5706" s="514"/>
      <c r="R5706" s="293"/>
      <c r="S5706" s="316"/>
      <c r="T5706" s="355"/>
    </row>
    <row r="5707" spans="11:20" x14ac:dyDescent="0.25">
      <c r="K5707" s="312"/>
      <c r="N5707" s="514"/>
      <c r="R5707" s="293"/>
      <c r="S5707" s="316"/>
      <c r="T5707" s="355"/>
    </row>
    <row r="5708" spans="11:20" x14ac:dyDescent="0.25">
      <c r="K5708" s="312"/>
      <c r="N5708" s="514"/>
      <c r="R5708" s="293"/>
      <c r="S5708" s="316"/>
      <c r="T5708" s="355"/>
    </row>
    <row r="5709" spans="11:20" x14ac:dyDescent="0.25">
      <c r="K5709" s="312"/>
      <c r="N5709" s="514"/>
      <c r="R5709" s="293"/>
      <c r="S5709" s="316"/>
      <c r="T5709" s="355"/>
    </row>
    <row r="5710" spans="11:20" x14ac:dyDescent="0.25">
      <c r="K5710" s="312"/>
      <c r="N5710" s="514"/>
      <c r="R5710" s="293"/>
      <c r="S5710" s="316"/>
      <c r="T5710" s="355"/>
    </row>
    <row r="5711" spans="11:20" x14ac:dyDescent="0.25">
      <c r="K5711" s="312"/>
      <c r="N5711" s="514"/>
      <c r="R5711" s="293"/>
      <c r="S5711" s="316"/>
      <c r="T5711" s="355"/>
    </row>
    <row r="5712" spans="11:20" x14ac:dyDescent="0.25">
      <c r="K5712" s="312"/>
      <c r="N5712" s="514"/>
      <c r="R5712" s="293"/>
      <c r="S5712" s="316"/>
      <c r="T5712" s="355"/>
    </row>
    <row r="5713" spans="11:20" x14ac:dyDescent="0.25">
      <c r="K5713" s="312"/>
      <c r="N5713" s="514"/>
      <c r="R5713" s="293"/>
      <c r="S5713" s="316"/>
      <c r="T5713" s="355"/>
    </row>
    <row r="5714" spans="11:20" x14ac:dyDescent="0.25">
      <c r="K5714" s="312"/>
      <c r="N5714" s="514"/>
      <c r="R5714" s="293"/>
      <c r="S5714" s="316"/>
      <c r="T5714" s="355"/>
    </row>
    <row r="5715" spans="11:20" x14ac:dyDescent="0.25">
      <c r="K5715" s="312"/>
      <c r="N5715" s="514"/>
      <c r="R5715" s="293"/>
      <c r="S5715" s="316"/>
      <c r="T5715" s="355"/>
    </row>
    <row r="5716" spans="11:20" x14ac:dyDescent="0.25">
      <c r="K5716" s="312"/>
      <c r="N5716" s="514"/>
      <c r="R5716" s="293"/>
      <c r="S5716" s="316"/>
      <c r="T5716" s="355"/>
    </row>
    <row r="5717" spans="11:20" x14ac:dyDescent="0.25">
      <c r="K5717" s="312"/>
      <c r="N5717" s="514"/>
      <c r="R5717" s="293"/>
      <c r="S5717" s="316"/>
      <c r="T5717" s="355"/>
    </row>
    <row r="5718" spans="11:20" x14ac:dyDescent="0.25">
      <c r="K5718" s="312"/>
      <c r="N5718" s="514"/>
      <c r="R5718" s="293"/>
      <c r="S5718" s="316"/>
      <c r="T5718" s="355"/>
    </row>
    <row r="5719" spans="11:20" x14ac:dyDescent="0.25">
      <c r="K5719" s="312"/>
      <c r="N5719" s="514"/>
      <c r="R5719" s="293"/>
      <c r="S5719" s="316"/>
      <c r="T5719" s="355"/>
    </row>
    <row r="5720" spans="11:20" x14ac:dyDescent="0.25">
      <c r="K5720" s="312"/>
      <c r="N5720" s="514"/>
      <c r="R5720" s="293"/>
      <c r="S5720" s="316"/>
      <c r="T5720" s="355"/>
    </row>
    <row r="5721" spans="11:20" x14ac:dyDescent="0.25">
      <c r="K5721" s="312"/>
      <c r="N5721" s="514"/>
      <c r="R5721" s="293"/>
      <c r="S5721" s="316"/>
      <c r="T5721" s="355"/>
    </row>
    <row r="5722" spans="11:20" x14ac:dyDescent="0.25">
      <c r="K5722" s="312"/>
      <c r="N5722" s="514"/>
      <c r="R5722" s="293"/>
      <c r="S5722" s="316"/>
      <c r="T5722" s="355"/>
    </row>
    <row r="5723" spans="11:20" x14ac:dyDescent="0.25">
      <c r="K5723" s="312"/>
      <c r="N5723" s="514"/>
      <c r="R5723" s="293"/>
      <c r="S5723" s="316"/>
      <c r="T5723" s="355"/>
    </row>
    <row r="5724" spans="11:20" x14ac:dyDescent="0.25">
      <c r="K5724" s="312"/>
      <c r="N5724" s="514"/>
      <c r="R5724" s="293"/>
      <c r="S5724" s="316"/>
      <c r="T5724" s="355"/>
    </row>
    <row r="5725" spans="11:20" x14ac:dyDescent="0.25">
      <c r="K5725" s="312"/>
      <c r="N5725" s="514"/>
      <c r="R5725" s="293"/>
      <c r="S5725" s="316"/>
      <c r="T5725" s="355"/>
    </row>
    <row r="5726" spans="11:20" x14ac:dyDescent="0.25">
      <c r="K5726" s="312"/>
      <c r="N5726" s="514"/>
      <c r="R5726" s="293"/>
      <c r="S5726" s="316"/>
      <c r="T5726" s="355"/>
    </row>
    <row r="5727" spans="11:20" x14ac:dyDescent="0.25">
      <c r="K5727" s="312"/>
      <c r="N5727" s="514"/>
      <c r="R5727" s="293"/>
      <c r="S5727" s="316"/>
      <c r="T5727" s="355"/>
    </row>
    <row r="5728" spans="11:20" x14ac:dyDescent="0.25">
      <c r="K5728" s="312"/>
      <c r="N5728" s="514"/>
      <c r="R5728" s="293"/>
      <c r="S5728" s="316"/>
      <c r="T5728" s="355"/>
    </row>
    <row r="5729" spans="11:20" x14ac:dyDescent="0.25">
      <c r="K5729" s="312"/>
      <c r="N5729" s="514"/>
      <c r="R5729" s="293"/>
      <c r="S5729" s="316"/>
      <c r="T5729" s="355"/>
    </row>
    <row r="5730" spans="11:20" x14ac:dyDescent="0.25">
      <c r="K5730" s="312"/>
      <c r="N5730" s="514"/>
      <c r="R5730" s="293"/>
      <c r="S5730" s="316"/>
      <c r="T5730" s="355"/>
    </row>
    <row r="5731" spans="11:20" x14ac:dyDescent="0.25">
      <c r="K5731" s="312"/>
      <c r="N5731" s="514"/>
      <c r="R5731" s="293"/>
      <c r="S5731" s="316"/>
      <c r="T5731" s="355"/>
    </row>
    <row r="5732" spans="11:20" x14ac:dyDescent="0.25">
      <c r="K5732" s="312"/>
      <c r="N5732" s="514"/>
      <c r="R5732" s="293"/>
      <c r="S5732" s="316"/>
      <c r="T5732" s="355"/>
    </row>
    <row r="5733" spans="11:20" x14ac:dyDescent="0.25">
      <c r="K5733" s="312"/>
      <c r="N5733" s="514"/>
      <c r="R5733" s="293"/>
      <c r="S5733" s="316"/>
      <c r="T5733" s="355"/>
    </row>
    <row r="5734" spans="11:20" x14ac:dyDescent="0.25">
      <c r="K5734" s="312"/>
      <c r="N5734" s="514"/>
      <c r="R5734" s="293"/>
      <c r="S5734" s="316"/>
      <c r="T5734" s="355"/>
    </row>
    <row r="5735" spans="11:20" x14ac:dyDescent="0.25">
      <c r="K5735" s="312"/>
      <c r="N5735" s="514"/>
      <c r="R5735" s="293"/>
      <c r="S5735" s="316"/>
      <c r="T5735" s="355"/>
    </row>
    <row r="5736" spans="11:20" x14ac:dyDescent="0.25">
      <c r="K5736" s="312"/>
      <c r="N5736" s="514"/>
      <c r="R5736" s="293"/>
      <c r="S5736" s="316"/>
      <c r="T5736" s="355"/>
    </row>
    <row r="5737" spans="11:20" x14ac:dyDescent="0.25">
      <c r="K5737" s="312"/>
      <c r="N5737" s="514"/>
      <c r="R5737" s="293"/>
      <c r="S5737" s="316"/>
      <c r="T5737" s="355"/>
    </row>
    <row r="5738" spans="11:20" x14ac:dyDescent="0.25">
      <c r="K5738" s="312"/>
      <c r="N5738" s="514"/>
      <c r="R5738" s="293"/>
      <c r="S5738" s="316"/>
      <c r="T5738" s="355"/>
    </row>
    <row r="5739" spans="11:20" x14ac:dyDescent="0.25">
      <c r="K5739" s="312"/>
      <c r="N5739" s="514"/>
      <c r="R5739" s="293"/>
      <c r="S5739" s="316"/>
      <c r="T5739" s="355"/>
    </row>
    <row r="5740" spans="11:20" x14ac:dyDescent="0.25">
      <c r="K5740" s="312"/>
      <c r="N5740" s="514"/>
      <c r="R5740" s="293"/>
      <c r="S5740" s="316"/>
      <c r="T5740" s="355"/>
    </row>
    <row r="5741" spans="11:20" x14ac:dyDescent="0.25">
      <c r="K5741" s="312"/>
      <c r="N5741" s="514"/>
      <c r="R5741" s="293"/>
      <c r="S5741" s="316"/>
      <c r="T5741" s="355"/>
    </row>
    <row r="5742" spans="11:20" x14ac:dyDescent="0.25">
      <c r="K5742" s="312"/>
      <c r="N5742" s="514"/>
      <c r="R5742" s="293"/>
      <c r="S5742" s="316"/>
      <c r="T5742" s="355"/>
    </row>
    <row r="5743" spans="11:20" x14ac:dyDescent="0.25">
      <c r="K5743" s="312"/>
      <c r="N5743" s="514"/>
      <c r="R5743" s="293"/>
      <c r="S5743" s="316"/>
      <c r="T5743" s="355"/>
    </row>
    <row r="5744" spans="11:20" x14ac:dyDescent="0.25">
      <c r="K5744" s="312"/>
      <c r="N5744" s="514"/>
      <c r="R5744" s="293"/>
      <c r="S5744" s="316"/>
      <c r="T5744" s="355"/>
    </row>
    <row r="5745" spans="11:20" x14ac:dyDescent="0.25">
      <c r="K5745" s="312"/>
      <c r="N5745" s="514"/>
      <c r="R5745" s="293"/>
      <c r="S5745" s="316"/>
      <c r="T5745" s="355"/>
    </row>
    <row r="5746" spans="11:20" x14ac:dyDescent="0.25">
      <c r="K5746" s="312"/>
      <c r="N5746" s="514"/>
      <c r="R5746" s="293"/>
      <c r="S5746" s="316"/>
      <c r="T5746" s="355"/>
    </row>
    <row r="5747" spans="11:20" x14ac:dyDescent="0.25">
      <c r="K5747" s="312"/>
      <c r="N5747" s="514"/>
      <c r="R5747" s="293"/>
      <c r="S5747" s="316"/>
      <c r="T5747" s="355"/>
    </row>
    <row r="5748" spans="11:20" x14ac:dyDescent="0.25">
      <c r="K5748" s="312"/>
      <c r="N5748" s="514"/>
      <c r="R5748" s="293"/>
      <c r="S5748" s="316"/>
      <c r="T5748" s="355"/>
    </row>
    <row r="5749" spans="11:20" x14ac:dyDescent="0.25">
      <c r="K5749" s="312"/>
      <c r="N5749" s="514"/>
      <c r="R5749" s="293"/>
      <c r="S5749" s="316"/>
      <c r="T5749" s="355"/>
    </row>
    <row r="5750" spans="11:20" x14ac:dyDescent="0.25">
      <c r="K5750" s="312"/>
      <c r="N5750" s="514"/>
      <c r="R5750" s="293"/>
      <c r="S5750" s="316"/>
      <c r="T5750" s="355"/>
    </row>
    <row r="5751" spans="11:20" x14ac:dyDescent="0.25">
      <c r="K5751" s="312"/>
      <c r="N5751" s="514"/>
      <c r="R5751" s="293"/>
      <c r="S5751" s="316"/>
      <c r="T5751" s="355"/>
    </row>
    <row r="5752" spans="11:20" x14ac:dyDescent="0.25">
      <c r="K5752" s="312"/>
      <c r="N5752" s="514"/>
      <c r="R5752" s="293"/>
      <c r="S5752" s="316"/>
      <c r="T5752" s="355"/>
    </row>
    <row r="5753" spans="11:20" x14ac:dyDescent="0.25">
      <c r="K5753" s="312"/>
      <c r="N5753" s="514"/>
      <c r="R5753" s="293"/>
      <c r="S5753" s="316"/>
      <c r="T5753" s="355"/>
    </row>
    <row r="5754" spans="11:20" x14ac:dyDescent="0.25">
      <c r="K5754" s="312"/>
      <c r="N5754" s="514"/>
      <c r="R5754" s="293"/>
      <c r="S5754" s="316"/>
      <c r="T5754" s="355"/>
    </row>
    <row r="5755" spans="11:20" x14ac:dyDescent="0.25">
      <c r="K5755" s="312"/>
      <c r="N5755" s="514"/>
      <c r="R5755" s="293"/>
      <c r="S5755" s="316"/>
      <c r="T5755" s="355"/>
    </row>
    <row r="5756" spans="11:20" x14ac:dyDescent="0.25">
      <c r="K5756" s="312"/>
      <c r="N5756" s="514"/>
      <c r="R5756" s="293"/>
      <c r="S5756" s="316"/>
      <c r="T5756" s="355"/>
    </row>
    <row r="5757" spans="11:20" x14ac:dyDescent="0.25">
      <c r="K5757" s="312"/>
      <c r="N5757" s="514"/>
      <c r="R5757" s="293"/>
      <c r="S5757" s="316"/>
      <c r="T5757" s="355"/>
    </row>
    <row r="5758" spans="11:20" x14ac:dyDescent="0.25">
      <c r="K5758" s="312"/>
      <c r="N5758" s="514"/>
      <c r="R5758" s="293"/>
      <c r="S5758" s="316"/>
      <c r="T5758" s="355"/>
    </row>
    <row r="5759" spans="11:20" x14ac:dyDescent="0.25">
      <c r="K5759" s="312"/>
      <c r="N5759" s="514"/>
      <c r="R5759" s="293"/>
      <c r="S5759" s="316"/>
      <c r="T5759" s="355"/>
    </row>
    <row r="5760" spans="11:20" x14ac:dyDescent="0.25">
      <c r="K5760" s="312"/>
      <c r="N5760" s="514"/>
      <c r="R5760" s="293"/>
      <c r="S5760" s="316"/>
      <c r="T5760" s="355"/>
    </row>
    <row r="5761" spans="11:20" x14ac:dyDescent="0.25">
      <c r="K5761" s="312"/>
      <c r="N5761" s="514"/>
      <c r="R5761" s="293"/>
      <c r="S5761" s="316"/>
      <c r="T5761" s="355"/>
    </row>
    <row r="5762" spans="11:20" x14ac:dyDescent="0.25">
      <c r="K5762" s="312"/>
      <c r="N5762" s="514"/>
      <c r="R5762" s="293"/>
      <c r="S5762" s="316"/>
      <c r="T5762" s="355"/>
    </row>
    <row r="5763" spans="11:20" x14ac:dyDescent="0.25">
      <c r="K5763" s="312"/>
      <c r="N5763" s="514"/>
      <c r="R5763" s="293"/>
      <c r="S5763" s="316"/>
      <c r="T5763" s="355"/>
    </row>
    <row r="5764" spans="11:20" x14ac:dyDescent="0.25">
      <c r="K5764" s="312"/>
      <c r="N5764" s="514"/>
      <c r="R5764" s="293"/>
      <c r="S5764" s="316"/>
      <c r="T5764" s="355"/>
    </row>
    <row r="5765" spans="11:20" x14ac:dyDescent="0.25">
      <c r="K5765" s="312"/>
      <c r="N5765" s="514"/>
      <c r="R5765" s="293"/>
      <c r="S5765" s="316"/>
      <c r="T5765" s="355"/>
    </row>
    <row r="5766" spans="11:20" x14ac:dyDescent="0.25">
      <c r="K5766" s="312"/>
      <c r="N5766" s="514"/>
      <c r="R5766" s="293"/>
      <c r="S5766" s="316"/>
      <c r="T5766" s="355"/>
    </row>
    <row r="5767" spans="11:20" x14ac:dyDescent="0.25">
      <c r="K5767" s="312"/>
      <c r="N5767" s="514"/>
      <c r="R5767" s="293"/>
      <c r="S5767" s="316"/>
      <c r="T5767" s="355"/>
    </row>
    <row r="5768" spans="11:20" x14ac:dyDescent="0.25">
      <c r="K5768" s="312"/>
      <c r="N5768" s="514"/>
      <c r="R5768" s="293"/>
      <c r="S5768" s="316"/>
      <c r="T5768" s="355"/>
    </row>
    <row r="5769" spans="11:20" x14ac:dyDescent="0.25">
      <c r="K5769" s="312"/>
      <c r="N5769" s="514"/>
      <c r="R5769" s="293"/>
      <c r="S5769" s="316"/>
      <c r="T5769" s="355"/>
    </row>
    <row r="5770" spans="11:20" x14ac:dyDescent="0.25">
      <c r="K5770" s="312"/>
      <c r="N5770" s="514"/>
      <c r="R5770" s="293"/>
      <c r="S5770" s="316"/>
      <c r="T5770" s="355"/>
    </row>
    <row r="5771" spans="11:20" x14ac:dyDescent="0.25">
      <c r="K5771" s="312"/>
      <c r="N5771" s="514"/>
      <c r="R5771" s="293"/>
      <c r="S5771" s="316"/>
      <c r="T5771" s="355"/>
    </row>
    <row r="5772" spans="11:20" x14ac:dyDescent="0.25">
      <c r="K5772" s="312"/>
      <c r="N5772" s="514"/>
      <c r="R5772" s="293"/>
      <c r="S5772" s="316"/>
      <c r="T5772" s="355"/>
    </row>
    <row r="5773" spans="11:20" x14ac:dyDescent="0.25">
      <c r="K5773" s="312"/>
      <c r="N5773" s="514"/>
      <c r="R5773" s="293"/>
      <c r="S5773" s="316"/>
      <c r="T5773" s="355"/>
    </row>
    <row r="5774" spans="11:20" x14ac:dyDescent="0.25">
      <c r="K5774" s="312"/>
      <c r="N5774" s="514"/>
      <c r="R5774" s="293"/>
      <c r="S5774" s="316"/>
      <c r="T5774" s="355"/>
    </row>
    <row r="5775" spans="11:20" x14ac:dyDescent="0.25">
      <c r="K5775" s="312"/>
      <c r="N5775" s="514"/>
      <c r="R5775" s="293"/>
      <c r="S5775" s="316"/>
      <c r="T5775" s="355"/>
    </row>
    <row r="5776" spans="11:20" x14ac:dyDescent="0.25">
      <c r="K5776" s="312"/>
      <c r="N5776" s="514"/>
      <c r="R5776" s="293"/>
      <c r="S5776" s="316"/>
      <c r="T5776" s="355"/>
    </row>
    <row r="5777" spans="11:20" x14ac:dyDescent="0.25">
      <c r="K5777" s="312"/>
      <c r="N5777" s="514"/>
      <c r="R5777" s="293"/>
      <c r="S5777" s="316"/>
      <c r="T5777" s="355"/>
    </row>
    <row r="5778" spans="11:20" x14ac:dyDescent="0.25">
      <c r="K5778" s="312"/>
      <c r="N5778" s="514"/>
      <c r="R5778" s="293"/>
      <c r="S5778" s="316"/>
      <c r="T5778" s="355"/>
    </row>
    <row r="5779" spans="11:20" x14ac:dyDescent="0.25">
      <c r="K5779" s="312"/>
      <c r="N5779" s="514"/>
      <c r="R5779" s="293"/>
      <c r="S5779" s="316"/>
      <c r="T5779" s="355"/>
    </row>
    <row r="5780" spans="11:20" x14ac:dyDescent="0.25">
      <c r="K5780" s="312"/>
      <c r="N5780" s="514"/>
      <c r="R5780" s="293"/>
      <c r="S5780" s="316"/>
      <c r="T5780" s="355"/>
    </row>
    <row r="5781" spans="11:20" x14ac:dyDescent="0.25">
      <c r="K5781" s="312"/>
      <c r="N5781" s="514"/>
      <c r="R5781" s="293"/>
      <c r="S5781" s="316"/>
      <c r="T5781" s="355"/>
    </row>
    <row r="5782" spans="11:20" x14ac:dyDescent="0.25">
      <c r="K5782" s="312"/>
      <c r="N5782" s="514"/>
      <c r="R5782" s="293"/>
      <c r="S5782" s="316"/>
      <c r="T5782" s="355"/>
    </row>
    <row r="5783" spans="11:20" x14ac:dyDescent="0.25">
      <c r="K5783" s="312"/>
      <c r="N5783" s="514"/>
      <c r="R5783" s="293"/>
      <c r="S5783" s="316"/>
      <c r="T5783" s="355"/>
    </row>
    <row r="5784" spans="11:20" x14ac:dyDescent="0.25">
      <c r="K5784" s="312"/>
      <c r="N5784" s="514"/>
      <c r="R5784" s="293"/>
      <c r="S5784" s="316"/>
      <c r="T5784" s="355"/>
    </row>
    <row r="5785" spans="11:20" x14ac:dyDescent="0.25">
      <c r="K5785" s="312"/>
      <c r="N5785" s="514"/>
      <c r="R5785" s="293"/>
      <c r="S5785" s="316"/>
      <c r="T5785" s="355"/>
    </row>
    <row r="5786" spans="11:20" x14ac:dyDescent="0.25">
      <c r="K5786" s="312"/>
      <c r="N5786" s="514"/>
      <c r="R5786" s="293"/>
      <c r="S5786" s="316"/>
      <c r="T5786" s="355"/>
    </row>
    <row r="5787" spans="11:20" x14ac:dyDescent="0.25">
      <c r="K5787" s="312"/>
      <c r="N5787" s="514"/>
      <c r="R5787" s="293"/>
      <c r="S5787" s="316"/>
      <c r="T5787" s="355"/>
    </row>
    <row r="5788" spans="11:20" x14ac:dyDescent="0.25">
      <c r="K5788" s="312"/>
      <c r="N5788" s="514"/>
      <c r="R5788" s="293"/>
      <c r="S5788" s="316"/>
      <c r="T5788" s="355"/>
    </row>
    <row r="5789" spans="11:20" x14ac:dyDescent="0.25">
      <c r="K5789" s="312"/>
      <c r="N5789" s="514"/>
      <c r="R5789" s="293"/>
      <c r="S5789" s="316"/>
      <c r="T5789" s="355"/>
    </row>
    <row r="5790" spans="11:20" x14ac:dyDescent="0.25">
      <c r="K5790" s="312"/>
      <c r="N5790" s="514"/>
      <c r="R5790" s="293"/>
      <c r="S5790" s="316"/>
      <c r="T5790" s="355"/>
    </row>
    <row r="5791" spans="11:20" x14ac:dyDescent="0.25">
      <c r="K5791" s="312"/>
      <c r="N5791" s="514"/>
      <c r="R5791" s="293"/>
      <c r="S5791" s="316"/>
      <c r="T5791" s="355"/>
    </row>
    <row r="5792" spans="11:20" x14ac:dyDescent="0.25">
      <c r="K5792" s="312"/>
      <c r="N5792" s="514"/>
      <c r="R5792" s="293"/>
      <c r="S5792" s="316"/>
      <c r="T5792" s="355"/>
    </row>
    <row r="5793" spans="11:20" x14ac:dyDescent="0.25">
      <c r="K5793" s="312"/>
      <c r="N5793" s="514"/>
      <c r="R5793" s="293"/>
      <c r="S5793" s="316"/>
      <c r="T5793" s="355"/>
    </row>
    <row r="5794" spans="11:20" x14ac:dyDescent="0.25">
      <c r="K5794" s="312"/>
      <c r="N5794" s="514"/>
      <c r="R5794" s="293"/>
      <c r="S5794" s="316"/>
      <c r="T5794" s="355"/>
    </row>
    <row r="5795" spans="11:20" x14ac:dyDescent="0.25">
      <c r="K5795" s="312"/>
      <c r="N5795" s="514"/>
      <c r="R5795" s="293"/>
      <c r="S5795" s="316"/>
      <c r="T5795" s="355"/>
    </row>
    <row r="5796" spans="11:20" x14ac:dyDescent="0.25">
      <c r="K5796" s="312"/>
      <c r="N5796" s="514"/>
      <c r="R5796" s="293"/>
      <c r="S5796" s="316"/>
      <c r="T5796" s="355"/>
    </row>
    <row r="5797" spans="11:20" x14ac:dyDescent="0.25">
      <c r="K5797" s="312"/>
      <c r="N5797" s="514"/>
      <c r="R5797" s="293"/>
      <c r="S5797" s="316"/>
      <c r="T5797" s="355"/>
    </row>
    <row r="5798" spans="11:20" x14ac:dyDescent="0.25">
      <c r="K5798" s="312"/>
      <c r="N5798" s="514"/>
      <c r="R5798" s="293"/>
      <c r="S5798" s="316"/>
      <c r="T5798" s="355"/>
    </row>
    <row r="5799" spans="11:20" x14ac:dyDescent="0.25">
      <c r="K5799" s="312"/>
      <c r="N5799" s="514"/>
      <c r="R5799" s="293"/>
      <c r="S5799" s="316"/>
      <c r="T5799" s="355"/>
    </row>
    <row r="5800" spans="11:20" x14ac:dyDescent="0.25">
      <c r="K5800" s="312"/>
      <c r="N5800" s="514"/>
      <c r="R5800" s="293"/>
      <c r="S5800" s="316"/>
      <c r="T5800" s="355"/>
    </row>
    <row r="5801" spans="11:20" x14ac:dyDescent="0.25">
      <c r="K5801" s="312"/>
      <c r="N5801" s="514"/>
      <c r="R5801" s="293"/>
      <c r="S5801" s="316"/>
      <c r="T5801" s="355"/>
    </row>
    <row r="5802" spans="11:20" x14ac:dyDescent="0.25">
      <c r="K5802" s="312"/>
      <c r="N5802" s="514"/>
      <c r="R5802" s="293"/>
      <c r="S5802" s="316"/>
      <c r="T5802" s="355"/>
    </row>
    <row r="5803" spans="11:20" x14ac:dyDescent="0.25">
      <c r="K5803" s="312"/>
      <c r="N5803" s="514"/>
      <c r="R5803" s="293"/>
      <c r="S5803" s="316"/>
      <c r="T5803" s="355"/>
    </row>
    <row r="5804" spans="11:20" x14ac:dyDescent="0.25">
      <c r="K5804" s="312"/>
      <c r="N5804" s="514"/>
      <c r="R5804" s="293"/>
      <c r="S5804" s="316"/>
      <c r="T5804" s="355"/>
    </row>
    <row r="5805" spans="11:20" x14ac:dyDescent="0.25">
      <c r="K5805" s="312"/>
      <c r="N5805" s="514"/>
      <c r="R5805" s="293"/>
      <c r="S5805" s="316"/>
      <c r="T5805" s="355"/>
    </row>
    <row r="5806" spans="11:20" x14ac:dyDescent="0.25">
      <c r="K5806" s="312"/>
      <c r="N5806" s="514"/>
      <c r="R5806" s="293"/>
      <c r="S5806" s="316"/>
      <c r="T5806" s="355"/>
    </row>
    <row r="5807" spans="11:20" x14ac:dyDescent="0.25">
      <c r="K5807" s="312"/>
      <c r="N5807" s="514"/>
      <c r="R5807" s="293"/>
      <c r="S5807" s="316"/>
      <c r="T5807" s="355"/>
    </row>
    <row r="5808" spans="11:20" x14ac:dyDescent="0.25">
      <c r="K5808" s="312"/>
      <c r="N5808" s="514"/>
      <c r="R5808" s="293"/>
      <c r="S5808" s="316"/>
      <c r="T5808" s="355"/>
    </row>
    <row r="5809" spans="11:20" x14ac:dyDescent="0.25">
      <c r="K5809" s="312"/>
      <c r="N5809" s="514"/>
      <c r="R5809" s="293"/>
      <c r="S5809" s="316"/>
      <c r="T5809" s="355"/>
    </row>
    <row r="5810" spans="11:20" x14ac:dyDescent="0.25">
      <c r="K5810" s="312"/>
      <c r="N5810" s="514"/>
      <c r="R5810" s="293"/>
      <c r="S5810" s="316"/>
      <c r="T5810" s="355"/>
    </row>
    <row r="5811" spans="11:20" x14ac:dyDescent="0.25">
      <c r="K5811" s="312"/>
      <c r="N5811" s="514"/>
      <c r="R5811" s="293"/>
      <c r="S5811" s="316"/>
      <c r="T5811" s="355"/>
    </row>
    <row r="5812" spans="11:20" x14ac:dyDescent="0.25">
      <c r="K5812" s="312"/>
      <c r="N5812" s="514"/>
      <c r="R5812" s="293"/>
      <c r="S5812" s="316"/>
      <c r="T5812" s="355"/>
    </row>
    <row r="5813" spans="11:20" x14ac:dyDescent="0.25">
      <c r="K5813" s="312"/>
      <c r="N5813" s="514"/>
      <c r="R5813" s="293"/>
      <c r="S5813" s="316"/>
      <c r="T5813" s="355"/>
    </row>
    <row r="5814" spans="11:20" x14ac:dyDescent="0.25">
      <c r="K5814" s="312"/>
      <c r="N5814" s="514"/>
      <c r="R5814" s="293"/>
      <c r="S5814" s="316"/>
      <c r="T5814" s="355"/>
    </row>
    <row r="5815" spans="11:20" x14ac:dyDescent="0.25">
      <c r="K5815" s="312"/>
      <c r="N5815" s="514"/>
      <c r="R5815" s="293"/>
      <c r="S5815" s="316"/>
      <c r="T5815" s="355"/>
    </row>
    <row r="5816" spans="11:20" x14ac:dyDescent="0.25">
      <c r="K5816" s="312"/>
      <c r="N5816" s="514"/>
      <c r="R5816" s="293"/>
      <c r="S5816" s="316"/>
      <c r="T5816" s="355"/>
    </row>
    <row r="5817" spans="11:20" x14ac:dyDescent="0.25">
      <c r="K5817" s="312"/>
      <c r="N5817" s="514"/>
      <c r="R5817" s="293"/>
      <c r="S5817" s="316"/>
      <c r="T5817" s="355"/>
    </row>
    <row r="5818" spans="11:20" x14ac:dyDescent="0.25">
      <c r="K5818" s="312"/>
      <c r="N5818" s="514"/>
      <c r="R5818" s="293"/>
      <c r="S5818" s="316"/>
      <c r="T5818" s="355"/>
    </row>
    <row r="5819" spans="11:20" x14ac:dyDescent="0.25">
      <c r="K5819" s="312"/>
      <c r="N5819" s="514"/>
      <c r="R5819" s="293"/>
      <c r="S5819" s="316"/>
      <c r="T5819" s="355"/>
    </row>
    <row r="5820" spans="11:20" x14ac:dyDescent="0.25">
      <c r="K5820" s="312"/>
      <c r="N5820" s="514"/>
      <c r="R5820" s="293"/>
      <c r="S5820" s="316"/>
      <c r="T5820" s="355"/>
    </row>
    <row r="5821" spans="11:20" x14ac:dyDescent="0.25">
      <c r="K5821" s="312"/>
      <c r="N5821" s="514"/>
      <c r="R5821" s="293"/>
      <c r="S5821" s="316"/>
      <c r="T5821" s="355"/>
    </row>
    <row r="5822" spans="11:20" x14ac:dyDescent="0.25">
      <c r="K5822" s="312"/>
      <c r="N5822" s="514"/>
      <c r="R5822" s="293"/>
      <c r="S5822" s="316"/>
      <c r="T5822" s="355"/>
    </row>
    <row r="5823" spans="11:20" x14ac:dyDescent="0.25">
      <c r="K5823" s="312"/>
      <c r="N5823" s="514"/>
      <c r="R5823" s="293"/>
      <c r="S5823" s="316"/>
      <c r="T5823" s="355"/>
    </row>
    <row r="5824" spans="11:20" x14ac:dyDescent="0.25">
      <c r="K5824" s="312"/>
      <c r="N5824" s="514"/>
      <c r="R5824" s="293"/>
      <c r="S5824" s="316"/>
      <c r="T5824" s="355"/>
    </row>
    <row r="5825" spans="11:20" x14ac:dyDescent="0.25">
      <c r="K5825" s="312"/>
      <c r="N5825" s="514"/>
      <c r="R5825" s="293"/>
      <c r="S5825" s="316"/>
      <c r="T5825" s="355"/>
    </row>
    <row r="5826" spans="11:20" x14ac:dyDescent="0.25">
      <c r="K5826" s="312"/>
      <c r="N5826" s="514"/>
      <c r="R5826" s="293"/>
      <c r="S5826" s="316"/>
      <c r="T5826" s="355"/>
    </row>
    <row r="5827" spans="11:20" x14ac:dyDescent="0.25">
      <c r="K5827" s="312"/>
      <c r="N5827" s="514"/>
      <c r="R5827" s="293"/>
      <c r="S5827" s="316"/>
      <c r="T5827" s="355"/>
    </row>
    <row r="5828" spans="11:20" x14ac:dyDescent="0.25">
      <c r="K5828" s="312"/>
      <c r="N5828" s="514"/>
      <c r="R5828" s="293"/>
      <c r="S5828" s="316"/>
      <c r="T5828" s="355"/>
    </row>
    <row r="5829" spans="11:20" x14ac:dyDescent="0.25">
      <c r="K5829" s="312"/>
      <c r="N5829" s="514"/>
      <c r="R5829" s="293"/>
      <c r="S5829" s="316"/>
      <c r="T5829" s="355"/>
    </row>
    <row r="5830" spans="11:20" x14ac:dyDescent="0.25">
      <c r="K5830" s="312"/>
      <c r="N5830" s="514"/>
      <c r="R5830" s="293"/>
      <c r="S5830" s="316"/>
      <c r="T5830" s="355"/>
    </row>
    <row r="5831" spans="11:20" x14ac:dyDescent="0.25">
      <c r="K5831" s="312"/>
      <c r="N5831" s="514"/>
      <c r="R5831" s="293"/>
      <c r="S5831" s="316"/>
      <c r="T5831" s="355"/>
    </row>
    <row r="5832" spans="11:20" x14ac:dyDescent="0.25">
      <c r="K5832" s="312"/>
      <c r="N5832" s="514"/>
      <c r="R5832" s="293"/>
      <c r="S5832" s="316"/>
      <c r="T5832" s="355"/>
    </row>
    <row r="5833" spans="11:20" x14ac:dyDescent="0.25">
      <c r="K5833" s="312"/>
      <c r="N5833" s="514"/>
      <c r="R5833" s="293"/>
      <c r="S5833" s="316"/>
      <c r="T5833" s="355"/>
    </row>
    <row r="5834" spans="11:20" x14ac:dyDescent="0.25">
      <c r="K5834" s="312"/>
      <c r="N5834" s="514"/>
      <c r="R5834" s="293"/>
      <c r="S5834" s="316"/>
      <c r="T5834" s="355"/>
    </row>
    <row r="5835" spans="11:20" x14ac:dyDescent="0.25">
      <c r="K5835" s="312"/>
      <c r="N5835" s="514"/>
      <c r="R5835" s="293"/>
      <c r="S5835" s="316"/>
      <c r="T5835" s="355"/>
    </row>
    <row r="5836" spans="11:20" x14ac:dyDescent="0.25">
      <c r="K5836" s="312"/>
      <c r="N5836" s="514"/>
      <c r="R5836" s="293"/>
      <c r="S5836" s="316"/>
      <c r="T5836" s="355"/>
    </row>
    <row r="5837" spans="11:20" x14ac:dyDescent="0.25">
      <c r="K5837" s="312"/>
      <c r="N5837" s="514"/>
      <c r="R5837" s="293"/>
      <c r="S5837" s="316"/>
      <c r="T5837" s="355"/>
    </row>
    <row r="5838" spans="11:20" x14ac:dyDescent="0.25">
      <c r="K5838" s="312"/>
      <c r="N5838" s="514"/>
      <c r="R5838" s="293"/>
      <c r="S5838" s="316"/>
      <c r="T5838" s="355"/>
    </row>
    <row r="5839" spans="11:20" x14ac:dyDescent="0.25">
      <c r="K5839" s="312"/>
      <c r="N5839" s="514"/>
      <c r="R5839" s="293"/>
      <c r="S5839" s="316"/>
      <c r="T5839" s="355"/>
    </row>
    <row r="5840" spans="11:20" x14ac:dyDescent="0.25">
      <c r="K5840" s="312"/>
      <c r="N5840" s="514"/>
      <c r="R5840" s="293"/>
      <c r="S5840" s="316"/>
      <c r="T5840" s="355"/>
    </row>
    <row r="5841" spans="11:20" x14ac:dyDescent="0.25">
      <c r="K5841" s="312"/>
      <c r="N5841" s="514"/>
      <c r="R5841" s="293"/>
      <c r="S5841" s="316"/>
      <c r="T5841" s="355"/>
    </row>
    <row r="5842" spans="11:20" x14ac:dyDescent="0.25">
      <c r="K5842" s="312"/>
      <c r="N5842" s="514"/>
      <c r="R5842" s="293"/>
      <c r="S5842" s="316"/>
      <c r="T5842" s="355"/>
    </row>
    <row r="5843" spans="11:20" x14ac:dyDescent="0.25">
      <c r="K5843" s="312"/>
      <c r="N5843" s="514"/>
      <c r="R5843" s="293"/>
      <c r="S5843" s="316"/>
      <c r="T5843" s="355"/>
    </row>
    <row r="5844" spans="11:20" x14ac:dyDescent="0.25">
      <c r="K5844" s="312"/>
      <c r="N5844" s="514"/>
      <c r="R5844" s="293"/>
      <c r="S5844" s="316"/>
      <c r="T5844" s="355"/>
    </row>
    <row r="5845" spans="11:20" x14ac:dyDescent="0.25">
      <c r="K5845" s="312"/>
      <c r="N5845" s="514"/>
      <c r="R5845" s="293"/>
      <c r="S5845" s="316"/>
      <c r="T5845" s="355"/>
    </row>
    <row r="5846" spans="11:20" x14ac:dyDescent="0.25">
      <c r="K5846" s="312"/>
      <c r="N5846" s="514"/>
      <c r="R5846" s="293"/>
      <c r="S5846" s="316"/>
      <c r="T5846" s="355"/>
    </row>
    <row r="5847" spans="11:20" x14ac:dyDescent="0.25">
      <c r="K5847" s="312"/>
      <c r="N5847" s="514"/>
      <c r="R5847" s="293"/>
      <c r="S5847" s="316"/>
      <c r="T5847" s="355"/>
    </row>
    <row r="5848" spans="11:20" x14ac:dyDescent="0.25">
      <c r="K5848" s="312"/>
      <c r="N5848" s="514"/>
      <c r="R5848" s="293"/>
      <c r="S5848" s="316"/>
      <c r="T5848" s="355"/>
    </row>
    <row r="5849" spans="11:20" x14ac:dyDescent="0.25">
      <c r="K5849" s="312"/>
      <c r="N5849" s="514"/>
      <c r="R5849" s="293"/>
      <c r="S5849" s="316"/>
      <c r="T5849" s="355"/>
    </row>
    <row r="5850" spans="11:20" x14ac:dyDescent="0.25">
      <c r="K5850" s="312"/>
      <c r="N5850" s="514"/>
      <c r="R5850" s="293"/>
      <c r="S5850" s="316"/>
      <c r="T5850" s="355"/>
    </row>
    <row r="5851" spans="11:20" x14ac:dyDescent="0.25">
      <c r="K5851" s="312"/>
      <c r="N5851" s="514"/>
      <c r="R5851" s="293"/>
      <c r="S5851" s="316"/>
      <c r="T5851" s="355"/>
    </row>
    <row r="5852" spans="11:20" x14ac:dyDescent="0.25">
      <c r="K5852" s="312"/>
      <c r="N5852" s="514"/>
      <c r="R5852" s="293"/>
      <c r="S5852" s="316"/>
      <c r="T5852" s="355"/>
    </row>
    <row r="5853" spans="11:20" x14ac:dyDescent="0.25">
      <c r="K5853" s="312"/>
      <c r="N5853" s="514"/>
      <c r="R5853" s="293"/>
      <c r="S5853" s="316"/>
      <c r="T5853" s="355"/>
    </row>
    <row r="5854" spans="11:20" x14ac:dyDescent="0.25">
      <c r="K5854" s="312"/>
      <c r="N5854" s="514"/>
      <c r="R5854" s="293"/>
      <c r="S5854" s="316"/>
      <c r="T5854" s="355"/>
    </row>
    <row r="5855" spans="11:20" x14ac:dyDescent="0.25">
      <c r="K5855" s="312"/>
      <c r="N5855" s="514"/>
      <c r="R5855" s="293"/>
      <c r="S5855" s="316"/>
      <c r="T5855" s="355"/>
    </row>
    <row r="5856" spans="11:20" x14ac:dyDescent="0.25">
      <c r="K5856" s="312"/>
      <c r="N5856" s="514"/>
      <c r="R5856" s="293"/>
      <c r="S5856" s="316"/>
      <c r="T5856" s="355"/>
    </row>
    <row r="5857" spans="11:20" x14ac:dyDescent="0.25">
      <c r="K5857" s="312"/>
      <c r="N5857" s="514"/>
      <c r="R5857" s="293"/>
      <c r="S5857" s="316"/>
      <c r="T5857" s="355"/>
    </row>
    <row r="5858" spans="11:20" x14ac:dyDescent="0.25">
      <c r="K5858" s="312"/>
      <c r="N5858" s="514"/>
      <c r="R5858" s="293"/>
      <c r="S5858" s="316"/>
      <c r="T5858" s="355"/>
    </row>
    <row r="5859" spans="11:20" x14ac:dyDescent="0.25">
      <c r="K5859" s="312"/>
      <c r="N5859" s="514"/>
      <c r="R5859" s="293"/>
      <c r="S5859" s="316"/>
      <c r="T5859" s="355"/>
    </row>
    <row r="5860" spans="11:20" x14ac:dyDescent="0.25">
      <c r="K5860" s="312"/>
      <c r="N5860" s="514"/>
      <c r="R5860" s="293"/>
      <c r="S5860" s="316"/>
      <c r="T5860" s="355"/>
    </row>
    <row r="5861" spans="11:20" x14ac:dyDescent="0.25">
      <c r="K5861" s="312"/>
      <c r="N5861" s="514"/>
      <c r="R5861" s="293"/>
      <c r="S5861" s="316"/>
      <c r="T5861" s="355"/>
    </row>
    <row r="5862" spans="11:20" x14ac:dyDescent="0.25">
      <c r="K5862" s="312"/>
      <c r="N5862" s="514"/>
      <c r="R5862" s="293"/>
      <c r="S5862" s="316"/>
      <c r="T5862" s="355"/>
    </row>
    <row r="5863" spans="11:20" x14ac:dyDescent="0.25">
      <c r="K5863" s="312"/>
      <c r="N5863" s="514"/>
      <c r="R5863" s="293"/>
      <c r="S5863" s="316"/>
      <c r="T5863" s="355"/>
    </row>
    <row r="5864" spans="11:20" x14ac:dyDescent="0.25">
      <c r="K5864" s="312"/>
      <c r="N5864" s="514"/>
      <c r="R5864" s="293"/>
      <c r="S5864" s="316"/>
      <c r="T5864" s="355"/>
    </row>
    <row r="5865" spans="11:20" x14ac:dyDescent="0.25">
      <c r="K5865" s="312"/>
      <c r="N5865" s="514"/>
      <c r="R5865" s="293"/>
      <c r="S5865" s="316"/>
      <c r="T5865" s="355"/>
    </row>
    <row r="5866" spans="11:20" x14ac:dyDescent="0.25">
      <c r="K5866" s="312"/>
      <c r="N5866" s="514"/>
      <c r="R5866" s="293"/>
      <c r="S5866" s="316"/>
      <c r="T5866" s="355"/>
    </row>
    <row r="5867" spans="11:20" x14ac:dyDescent="0.25">
      <c r="K5867" s="312"/>
      <c r="N5867" s="514"/>
      <c r="R5867" s="293"/>
      <c r="S5867" s="316"/>
      <c r="T5867" s="355"/>
    </row>
    <row r="5868" spans="11:20" x14ac:dyDescent="0.25">
      <c r="K5868" s="312"/>
      <c r="N5868" s="514"/>
      <c r="R5868" s="293"/>
      <c r="S5868" s="316"/>
      <c r="T5868" s="355"/>
    </row>
    <row r="5869" spans="11:20" x14ac:dyDescent="0.25">
      <c r="K5869" s="312"/>
      <c r="N5869" s="514"/>
      <c r="R5869" s="293"/>
      <c r="S5869" s="316"/>
      <c r="T5869" s="355"/>
    </row>
    <row r="5870" spans="11:20" x14ac:dyDescent="0.25">
      <c r="K5870" s="312"/>
      <c r="N5870" s="514"/>
      <c r="R5870" s="293"/>
      <c r="S5870" s="316"/>
      <c r="T5870" s="355"/>
    </row>
    <row r="5871" spans="11:20" x14ac:dyDescent="0.25">
      <c r="K5871" s="312"/>
      <c r="N5871" s="514"/>
      <c r="R5871" s="293"/>
      <c r="S5871" s="316"/>
      <c r="T5871" s="355"/>
    </row>
    <row r="5872" spans="11:20" x14ac:dyDescent="0.25">
      <c r="K5872" s="312"/>
      <c r="N5872" s="514"/>
      <c r="R5872" s="293"/>
      <c r="S5872" s="316"/>
      <c r="T5872" s="355"/>
    </row>
    <row r="5873" spans="11:20" x14ac:dyDescent="0.25">
      <c r="K5873" s="312"/>
      <c r="N5873" s="514"/>
      <c r="R5873" s="293"/>
      <c r="S5873" s="316"/>
      <c r="T5873" s="355"/>
    </row>
    <row r="5874" spans="11:20" x14ac:dyDescent="0.25">
      <c r="K5874" s="312"/>
      <c r="N5874" s="514"/>
      <c r="R5874" s="293"/>
      <c r="S5874" s="316"/>
      <c r="T5874" s="355"/>
    </row>
    <row r="5875" spans="11:20" x14ac:dyDescent="0.25">
      <c r="K5875" s="312"/>
      <c r="N5875" s="514"/>
      <c r="R5875" s="293"/>
      <c r="S5875" s="316"/>
      <c r="T5875" s="355"/>
    </row>
    <row r="5876" spans="11:20" x14ac:dyDescent="0.25">
      <c r="K5876" s="312"/>
      <c r="N5876" s="514"/>
      <c r="R5876" s="293"/>
      <c r="S5876" s="316"/>
      <c r="T5876" s="355"/>
    </row>
    <row r="5877" spans="11:20" x14ac:dyDescent="0.25">
      <c r="K5877" s="312"/>
      <c r="N5877" s="514"/>
      <c r="R5877" s="293"/>
      <c r="S5877" s="316"/>
      <c r="T5877" s="355"/>
    </row>
    <row r="5878" spans="11:20" x14ac:dyDescent="0.25">
      <c r="K5878" s="312"/>
      <c r="N5878" s="514"/>
      <c r="R5878" s="293"/>
      <c r="S5878" s="316"/>
      <c r="T5878" s="355"/>
    </row>
    <row r="5879" spans="11:20" x14ac:dyDescent="0.25">
      <c r="K5879" s="312"/>
      <c r="N5879" s="514"/>
      <c r="R5879" s="293"/>
      <c r="S5879" s="316"/>
      <c r="T5879" s="355"/>
    </row>
    <row r="5880" spans="11:20" x14ac:dyDescent="0.25">
      <c r="K5880" s="312"/>
      <c r="N5880" s="514"/>
      <c r="R5880" s="293"/>
      <c r="S5880" s="316"/>
      <c r="T5880" s="355"/>
    </row>
    <row r="5881" spans="11:20" x14ac:dyDescent="0.25">
      <c r="K5881" s="312"/>
      <c r="N5881" s="514"/>
      <c r="R5881" s="293"/>
      <c r="S5881" s="316"/>
      <c r="T5881" s="355"/>
    </row>
    <row r="5882" spans="11:20" x14ac:dyDescent="0.25">
      <c r="K5882" s="312"/>
      <c r="N5882" s="514"/>
      <c r="R5882" s="293"/>
      <c r="S5882" s="316"/>
      <c r="T5882" s="355"/>
    </row>
    <row r="5883" spans="11:20" x14ac:dyDescent="0.25">
      <c r="K5883" s="312"/>
      <c r="N5883" s="514"/>
      <c r="R5883" s="293"/>
      <c r="S5883" s="316"/>
      <c r="T5883" s="355"/>
    </row>
    <row r="5884" spans="11:20" x14ac:dyDescent="0.25">
      <c r="K5884" s="312"/>
      <c r="N5884" s="514"/>
      <c r="R5884" s="293"/>
      <c r="S5884" s="316"/>
      <c r="T5884" s="355"/>
    </row>
    <row r="5885" spans="11:20" x14ac:dyDescent="0.25">
      <c r="K5885" s="312"/>
      <c r="N5885" s="514"/>
      <c r="R5885" s="293"/>
      <c r="S5885" s="316"/>
      <c r="T5885" s="355"/>
    </row>
    <row r="5886" spans="11:20" x14ac:dyDescent="0.25">
      <c r="K5886" s="312"/>
      <c r="N5886" s="514"/>
      <c r="R5886" s="293"/>
      <c r="S5886" s="316"/>
      <c r="T5886" s="355"/>
    </row>
    <row r="5887" spans="11:20" x14ac:dyDescent="0.25">
      <c r="K5887" s="312"/>
      <c r="N5887" s="514"/>
      <c r="R5887" s="293"/>
      <c r="S5887" s="316"/>
      <c r="T5887" s="355"/>
    </row>
    <row r="5888" spans="11:20" x14ac:dyDescent="0.25">
      <c r="K5888" s="312"/>
      <c r="N5888" s="514"/>
      <c r="R5888" s="293"/>
      <c r="S5888" s="316"/>
      <c r="T5888" s="355"/>
    </row>
    <row r="5889" spans="11:20" x14ac:dyDescent="0.25">
      <c r="K5889" s="312"/>
      <c r="N5889" s="514"/>
      <c r="R5889" s="293"/>
      <c r="S5889" s="316"/>
      <c r="T5889" s="355"/>
    </row>
    <row r="5890" spans="11:20" x14ac:dyDescent="0.25">
      <c r="K5890" s="312"/>
      <c r="N5890" s="514"/>
      <c r="R5890" s="293"/>
      <c r="S5890" s="316"/>
      <c r="T5890" s="355"/>
    </row>
    <row r="5891" spans="11:20" x14ac:dyDescent="0.25">
      <c r="K5891" s="312"/>
      <c r="N5891" s="514"/>
      <c r="R5891" s="293"/>
      <c r="S5891" s="316"/>
      <c r="T5891" s="355"/>
    </row>
    <row r="5892" spans="11:20" x14ac:dyDescent="0.25">
      <c r="K5892" s="312"/>
      <c r="N5892" s="514"/>
      <c r="R5892" s="293"/>
      <c r="S5892" s="316"/>
      <c r="T5892" s="355"/>
    </row>
    <row r="5893" spans="11:20" x14ac:dyDescent="0.25">
      <c r="K5893" s="312"/>
      <c r="N5893" s="514"/>
      <c r="R5893" s="293"/>
      <c r="S5893" s="316"/>
      <c r="T5893" s="355"/>
    </row>
    <row r="5894" spans="11:20" x14ac:dyDescent="0.25">
      <c r="K5894" s="312"/>
      <c r="N5894" s="514"/>
      <c r="R5894" s="293"/>
      <c r="S5894" s="316"/>
      <c r="T5894" s="355"/>
    </row>
    <row r="5895" spans="11:20" x14ac:dyDescent="0.25">
      <c r="K5895" s="312"/>
      <c r="N5895" s="514"/>
      <c r="R5895" s="293"/>
      <c r="S5895" s="316"/>
      <c r="T5895" s="355"/>
    </row>
    <row r="5896" spans="11:20" x14ac:dyDescent="0.25">
      <c r="K5896" s="312"/>
      <c r="N5896" s="514"/>
      <c r="R5896" s="293"/>
      <c r="S5896" s="316"/>
      <c r="T5896" s="355"/>
    </row>
    <row r="5897" spans="11:20" x14ac:dyDescent="0.25">
      <c r="K5897" s="312"/>
      <c r="N5897" s="514"/>
      <c r="R5897" s="293"/>
      <c r="S5897" s="316"/>
      <c r="T5897" s="355"/>
    </row>
    <row r="5898" spans="11:20" x14ac:dyDescent="0.25">
      <c r="K5898" s="312"/>
      <c r="N5898" s="514"/>
      <c r="R5898" s="293"/>
      <c r="S5898" s="316"/>
      <c r="T5898" s="355"/>
    </row>
    <row r="5899" spans="11:20" x14ac:dyDescent="0.25">
      <c r="K5899" s="312"/>
      <c r="N5899" s="514"/>
      <c r="R5899" s="293"/>
      <c r="S5899" s="316"/>
      <c r="T5899" s="355"/>
    </row>
    <row r="5900" spans="11:20" x14ac:dyDescent="0.25">
      <c r="K5900" s="312"/>
      <c r="N5900" s="514"/>
      <c r="R5900" s="293"/>
      <c r="S5900" s="316"/>
      <c r="T5900" s="355"/>
    </row>
    <row r="5901" spans="11:20" x14ac:dyDescent="0.25">
      <c r="K5901" s="312"/>
      <c r="N5901" s="514"/>
      <c r="R5901" s="293"/>
      <c r="S5901" s="316"/>
      <c r="T5901" s="355"/>
    </row>
    <row r="5902" spans="11:20" x14ac:dyDescent="0.25">
      <c r="K5902" s="312"/>
      <c r="N5902" s="514"/>
      <c r="R5902" s="293"/>
      <c r="S5902" s="316"/>
      <c r="T5902" s="355"/>
    </row>
    <row r="5903" spans="11:20" x14ac:dyDescent="0.25">
      <c r="K5903" s="312"/>
      <c r="N5903" s="514"/>
      <c r="R5903" s="293"/>
      <c r="S5903" s="316"/>
      <c r="T5903" s="355"/>
    </row>
    <row r="5904" spans="11:20" x14ac:dyDescent="0.25">
      <c r="K5904" s="312"/>
      <c r="N5904" s="514"/>
      <c r="R5904" s="293"/>
      <c r="S5904" s="316"/>
      <c r="T5904" s="355"/>
    </row>
    <row r="5905" spans="11:20" x14ac:dyDescent="0.25">
      <c r="K5905" s="312"/>
      <c r="N5905" s="514"/>
      <c r="R5905" s="293"/>
      <c r="S5905" s="316"/>
      <c r="T5905" s="355"/>
    </row>
    <row r="5906" spans="11:20" x14ac:dyDescent="0.25">
      <c r="K5906" s="312"/>
      <c r="N5906" s="514"/>
      <c r="R5906" s="293"/>
      <c r="S5906" s="316"/>
      <c r="T5906" s="355"/>
    </row>
    <row r="5907" spans="11:20" x14ac:dyDescent="0.25">
      <c r="K5907" s="312"/>
      <c r="N5907" s="514"/>
      <c r="R5907" s="293"/>
      <c r="S5907" s="316"/>
      <c r="T5907" s="355"/>
    </row>
    <row r="5908" spans="11:20" x14ac:dyDescent="0.25">
      <c r="K5908" s="312"/>
      <c r="N5908" s="514"/>
      <c r="R5908" s="293"/>
      <c r="S5908" s="316"/>
      <c r="T5908" s="355"/>
    </row>
    <row r="5909" spans="11:20" x14ac:dyDescent="0.25">
      <c r="K5909" s="312"/>
      <c r="N5909" s="514"/>
      <c r="R5909" s="293"/>
      <c r="S5909" s="316"/>
      <c r="T5909" s="355"/>
    </row>
    <row r="5910" spans="11:20" x14ac:dyDescent="0.25">
      <c r="K5910" s="312"/>
      <c r="N5910" s="514"/>
      <c r="R5910" s="293"/>
      <c r="S5910" s="316"/>
      <c r="T5910" s="355"/>
    </row>
    <row r="5911" spans="11:20" x14ac:dyDescent="0.25">
      <c r="K5911" s="312"/>
      <c r="N5911" s="514"/>
      <c r="R5911" s="293"/>
      <c r="S5911" s="316"/>
      <c r="T5911" s="355"/>
    </row>
    <row r="5912" spans="11:20" x14ac:dyDescent="0.25">
      <c r="K5912" s="312"/>
      <c r="N5912" s="514"/>
      <c r="R5912" s="293"/>
      <c r="S5912" s="316"/>
      <c r="T5912" s="355"/>
    </row>
    <row r="5913" spans="11:20" x14ac:dyDescent="0.25">
      <c r="K5913" s="312"/>
      <c r="N5913" s="514"/>
      <c r="R5913" s="293"/>
      <c r="S5913" s="316"/>
      <c r="T5913" s="355"/>
    </row>
    <row r="5914" spans="11:20" x14ac:dyDescent="0.25">
      <c r="K5914" s="312"/>
      <c r="N5914" s="514"/>
      <c r="R5914" s="293"/>
      <c r="S5914" s="316"/>
      <c r="T5914" s="355"/>
    </row>
    <row r="5915" spans="11:20" x14ac:dyDescent="0.25">
      <c r="K5915" s="312"/>
      <c r="N5915" s="514"/>
      <c r="R5915" s="293"/>
      <c r="S5915" s="316"/>
      <c r="T5915" s="355"/>
    </row>
    <row r="5916" spans="11:20" x14ac:dyDescent="0.25">
      <c r="K5916" s="312"/>
      <c r="N5916" s="514"/>
      <c r="R5916" s="293"/>
      <c r="S5916" s="316"/>
      <c r="T5916" s="355"/>
    </row>
    <row r="5917" spans="11:20" x14ac:dyDescent="0.25">
      <c r="K5917" s="312"/>
      <c r="N5917" s="514"/>
      <c r="R5917" s="293"/>
      <c r="S5917" s="316"/>
      <c r="T5917" s="355"/>
    </row>
    <row r="5918" spans="11:20" x14ac:dyDescent="0.25">
      <c r="K5918" s="312"/>
      <c r="N5918" s="514"/>
      <c r="R5918" s="293"/>
      <c r="S5918" s="316"/>
      <c r="T5918" s="355"/>
    </row>
    <row r="5919" spans="11:20" x14ac:dyDescent="0.25">
      <c r="K5919" s="312"/>
      <c r="N5919" s="514"/>
      <c r="R5919" s="293"/>
      <c r="S5919" s="316"/>
      <c r="T5919" s="355"/>
    </row>
    <row r="5920" spans="11:20" x14ac:dyDescent="0.25">
      <c r="K5920" s="312"/>
      <c r="N5920" s="514"/>
      <c r="R5920" s="293"/>
      <c r="S5920" s="316"/>
      <c r="T5920" s="355"/>
    </row>
    <row r="5921" spans="11:20" x14ac:dyDescent="0.25">
      <c r="K5921" s="312"/>
      <c r="N5921" s="514"/>
      <c r="R5921" s="293"/>
      <c r="S5921" s="316"/>
      <c r="T5921" s="355"/>
    </row>
    <row r="5922" spans="11:20" x14ac:dyDescent="0.25">
      <c r="K5922" s="312"/>
      <c r="N5922" s="514"/>
      <c r="R5922" s="293"/>
      <c r="S5922" s="316"/>
      <c r="T5922" s="355"/>
    </row>
    <row r="5923" spans="11:20" x14ac:dyDescent="0.25">
      <c r="K5923" s="312"/>
      <c r="N5923" s="514"/>
      <c r="R5923" s="293"/>
      <c r="S5923" s="316"/>
      <c r="T5923" s="355"/>
    </row>
    <row r="5924" spans="11:20" x14ac:dyDescent="0.25">
      <c r="K5924" s="312"/>
      <c r="N5924" s="514"/>
      <c r="R5924" s="293"/>
      <c r="S5924" s="316"/>
      <c r="T5924" s="355"/>
    </row>
    <row r="5925" spans="11:20" x14ac:dyDescent="0.25">
      <c r="K5925" s="312"/>
      <c r="N5925" s="514"/>
      <c r="R5925" s="293"/>
      <c r="S5925" s="316"/>
      <c r="T5925" s="355"/>
    </row>
    <row r="5926" spans="11:20" x14ac:dyDescent="0.25">
      <c r="K5926" s="312"/>
      <c r="N5926" s="514"/>
      <c r="R5926" s="293"/>
      <c r="S5926" s="316"/>
      <c r="T5926" s="355"/>
    </row>
    <row r="5927" spans="11:20" x14ac:dyDescent="0.25">
      <c r="K5927" s="312"/>
      <c r="N5927" s="514"/>
      <c r="R5927" s="293"/>
      <c r="S5927" s="316"/>
      <c r="T5927" s="355"/>
    </row>
    <row r="5928" spans="11:20" x14ac:dyDescent="0.25">
      <c r="K5928" s="312"/>
      <c r="N5928" s="514"/>
      <c r="R5928" s="293"/>
      <c r="S5928" s="316"/>
      <c r="T5928" s="355"/>
    </row>
    <row r="5929" spans="11:20" x14ac:dyDescent="0.25">
      <c r="K5929" s="312"/>
      <c r="N5929" s="514"/>
      <c r="R5929" s="293"/>
      <c r="S5929" s="316"/>
      <c r="T5929" s="355"/>
    </row>
    <row r="5930" spans="11:20" x14ac:dyDescent="0.25">
      <c r="K5930" s="312"/>
      <c r="N5930" s="514"/>
      <c r="R5930" s="293"/>
      <c r="S5930" s="316"/>
      <c r="T5930" s="355"/>
    </row>
    <row r="5931" spans="11:20" x14ac:dyDescent="0.25">
      <c r="K5931" s="312"/>
      <c r="N5931" s="514"/>
      <c r="R5931" s="293"/>
      <c r="S5931" s="316"/>
      <c r="T5931" s="355"/>
    </row>
    <row r="5932" spans="11:20" x14ac:dyDescent="0.25">
      <c r="K5932" s="312"/>
      <c r="N5932" s="514"/>
      <c r="R5932" s="293"/>
      <c r="S5932" s="316"/>
      <c r="T5932" s="355"/>
    </row>
    <row r="5933" spans="11:20" x14ac:dyDescent="0.25">
      <c r="K5933" s="312"/>
      <c r="N5933" s="514"/>
      <c r="R5933" s="293"/>
      <c r="S5933" s="316"/>
      <c r="T5933" s="355"/>
    </row>
    <row r="5934" spans="11:20" x14ac:dyDescent="0.25">
      <c r="K5934" s="312"/>
      <c r="N5934" s="514"/>
      <c r="R5934" s="293"/>
      <c r="S5934" s="316"/>
      <c r="T5934" s="355"/>
    </row>
    <row r="5935" spans="11:20" x14ac:dyDescent="0.25">
      <c r="K5935" s="312"/>
      <c r="N5935" s="514"/>
      <c r="R5935" s="293"/>
      <c r="S5935" s="316"/>
      <c r="T5935" s="355"/>
    </row>
    <row r="5936" spans="11:20" x14ac:dyDescent="0.25">
      <c r="K5936" s="312"/>
      <c r="N5936" s="514"/>
      <c r="R5936" s="293"/>
      <c r="S5936" s="316"/>
      <c r="T5936" s="355"/>
    </row>
    <row r="5937" spans="11:20" x14ac:dyDescent="0.25">
      <c r="K5937" s="312"/>
      <c r="N5937" s="514"/>
      <c r="R5937" s="293"/>
      <c r="S5937" s="316"/>
      <c r="T5937" s="355"/>
    </row>
    <row r="5938" spans="11:20" x14ac:dyDescent="0.25">
      <c r="K5938" s="312"/>
      <c r="N5938" s="514"/>
      <c r="R5938" s="293"/>
      <c r="S5938" s="316"/>
      <c r="T5938" s="355"/>
    </row>
    <row r="5939" spans="11:20" x14ac:dyDescent="0.25">
      <c r="K5939" s="312"/>
      <c r="N5939" s="514"/>
      <c r="R5939" s="293"/>
      <c r="S5939" s="316"/>
      <c r="T5939" s="355"/>
    </row>
    <row r="5940" spans="11:20" x14ac:dyDescent="0.25">
      <c r="K5940" s="312"/>
      <c r="N5940" s="514"/>
      <c r="R5940" s="293"/>
      <c r="S5940" s="316"/>
      <c r="T5940" s="355"/>
    </row>
    <row r="5941" spans="11:20" x14ac:dyDescent="0.25">
      <c r="K5941" s="312"/>
      <c r="N5941" s="514"/>
      <c r="R5941" s="293"/>
      <c r="S5941" s="316"/>
      <c r="T5941" s="355"/>
    </row>
    <row r="5942" spans="11:20" x14ac:dyDescent="0.25">
      <c r="K5942" s="312"/>
      <c r="N5942" s="514"/>
      <c r="R5942" s="293"/>
      <c r="S5942" s="316"/>
      <c r="T5942" s="355"/>
    </row>
    <row r="5943" spans="11:20" x14ac:dyDescent="0.25">
      <c r="K5943" s="312"/>
      <c r="N5943" s="514"/>
      <c r="R5943" s="293"/>
      <c r="S5943" s="316"/>
      <c r="T5943" s="355"/>
    </row>
    <row r="5944" spans="11:20" x14ac:dyDescent="0.25">
      <c r="K5944" s="312"/>
      <c r="N5944" s="514"/>
      <c r="R5944" s="293"/>
      <c r="S5944" s="316"/>
      <c r="T5944" s="355"/>
    </row>
    <row r="5945" spans="11:20" x14ac:dyDescent="0.25">
      <c r="K5945" s="312"/>
      <c r="N5945" s="514"/>
      <c r="R5945" s="293"/>
      <c r="S5945" s="316"/>
      <c r="T5945" s="355"/>
    </row>
    <row r="5946" spans="11:20" x14ac:dyDescent="0.25">
      <c r="K5946" s="312"/>
      <c r="N5946" s="514"/>
      <c r="R5946" s="293"/>
      <c r="S5946" s="316"/>
      <c r="T5946" s="355"/>
    </row>
    <row r="5947" spans="11:20" x14ac:dyDescent="0.25">
      <c r="K5947" s="312"/>
      <c r="N5947" s="514"/>
      <c r="R5947" s="293"/>
      <c r="S5947" s="316"/>
      <c r="T5947" s="355"/>
    </row>
    <row r="5948" spans="11:20" x14ac:dyDescent="0.25">
      <c r="K5948" s="312"/>
      <c r="N5948" s="514"/>
      <c r="R5948" s="293"/>
      <c r="S5948" s="316"/>
      <c r="T5948" s="355"/>
    </row>
    <row r="5949" spans="11:20" x14ac:dyDescent="0.25">
      <c r="K5949" s="312"/>
      <c r="N5949" s="514"/>
      <c r="R5949" s="293"/>
      <c r="S5949" s="316"/>
      <c r="T5949" s="355"/>
    </row>
    <row r="5950" spans="11:20" x14ac:dyDescent="0.25">
      <c r="K5950" s="312"/>
      <c r="N5950" s="514"/>
      <c r="R5950" s="293"/>
      <c r="S5950" s="316"/>
      <c r="T5950" s="355"/>
    </row>
    <row r="5951" spans="11:20" x14ac:dyDescent="0.25">
      <c r="K5951" s="312"/>
      <c r="N5951" s="514"/>
      <c r="R5951" s="293"/>
      <c r="S5951" s="316"/>
      <c r="T5951" s="355"/>
    </row>
    <row r="5952" spans="11:20" x14ac:dyDescent="0.25">
      <c r="K5952" s="312"/>
      <c r="N5952" s="514"/>
      <c r="R5952" s="293"/>
      <c r="S5952" s="316"/>
      <c r="T5952" s="355"/>
    </row>
    <row r="5953" spans="11:20" x14ac:dyDescent="0.25">
      <c r="K5953" s="312"/>
      <c r="N5953" s="514"/>
      <c r="R5953" s="293"/>
      <c r="S5953" s="316"/>
      <c r="T5953" s="355"/>
    </row>
    <row r="5954" spans="11:20" x14ac:dyDescent="0.25">
      <c r="K5954" s="312"/>
      <c r="N5954" s="514"/>
      <c r="R5954" s="293"/>
      <c r="S5954" s="316"/>
      <c r="T5954" s="355"/>
    </row>
    <row r="5955" spans="11:20" x14ac:dyDescent="0.25">
      <c r="K5955" s="312"/>
      <c r="N5955" s="514"/>
      <c r="R5955" s="293"/>
      <c r="S5955" s="316"/>
      <c r="T5955" s="355"/>
    </row>
    <row r="5956" spans="11:20" x14ac:dyDescent="0.25">
      <c r="K5956" s="312"/>
      <c r="N5956" s="514"/>
      <c r="R5956" s="293"/>
      <c r="S5956" s="316"/>
      <c r="T5956" s="355"/>
    </row>
    <row r="5957" spans="11:20" x14ac:dyDescent="0.25">
      <c r="K5957" s="312"/>
      <c r="N5957" s="514"/>
      <c r="R5957" s="293"/>
      <c r="S5957" s="316"/>
      <c r="T5957" s="355"/>
    </row>
    <row r="5958" spans="11:20" x14ac:dyDescent="0.25">
      <c r="K5958" s="312"/>
      <c r="N5958" s="514"/>
      <c r="R5958" s="293"/>
      <c r="S5958" s="316"/>
      <c r="T5958" s="355"/>
    </row>
    <row r="5959" spans="11:20" x14ac:dyDescent="0.25">
      <c r="K5959" s="312"/>
      <c r="N5959" s="514"/>
      <c r="R5959" s="293"/>
      <c r="S5959" s="316"/>
      <c r="T5959" s="355"/>
    </row>
    <row r="5960" spans="11:20" x14ac:dyDescent="0.25">
      <c r="K5960" s="312"/>
      <c r="N5960" s="514"/>
      <c r="R5960" s="293"/>
      <c r="S5960" s="316"/>
      <c r="T5960" s="355"/>
    </row>
    <row r="5961" spans="11:20" x14ac:dyDescent="0.25">
      <c r="K5961" s="312"/>
      <c r="N5961" s="514"/>
      <c r="R5961" s="293"/>
      <c r="S5961" s="316"/>
      <c r="T5961" s="355"/>
    </row>
    <row r="5962" spans="11:20" x14ac:dyDescent="0.25">
      <c r="K5962" s="312"/>
      <c r="N5962" s="514"/>
      <c r="R5962" s="293"/>
      <c r="S5962" s="316"/>
      <c r="T5962" s="355"/>
    </row>
    <row r="5963" spans="11:20" x14ac:dyDescent="0.25">
      <c r="K5963" s="312"/>
      <c r="N5963" s="514"/>
      <c r="R5963" s="293"/>
      <c r="S5963" s="316"/>
      <c r="T5963" s="355"/>
    </row>
    <row r="5964" spans="11:20" x14ac:dyDescent="0.25">
      <c r="K5964" s="312"/>
      <c r="N5964" s="514"/>
      <c r="R5964" s="293"/>
      <c r="S5964" s="316"/>
      <c r="T5964" s="355"/>
    </row>
    <row r="5965" spans="11:20" x14ac:dyDescent="0.25">
      <c r="K5965" s="312"/>
      <c r="N5965" s="514"/>
      <c r="R5965" s="293"/>
      <c r="S5965" s="316"/>
      <c r="T5965" s="355"/>
    </row>
    <row r="5966" spans="11:20" x14ac:dyDescent="0.25">
      <c r="K5966" s="312"/>
      <c r="N5966" s="514"/>
      <c r="R5966" s="293"/>
      <c r="S5966" s="316"/>
      <c r="T5966" s="355"/>
    </row>
    <row r="5967" spans="11:20" x14ac:dyDescent="0.25">
      <c r="K5967" s="312"/>
      <c r="N5967" s="514"/>
      <c r="R5967" s="293"/>
      <c r="S5967" s="316"/>
      <c r="T5967" s="355"/>
    </row>
    <row r="5968" spans="11:20" x14ac:dyDescent="0.25">
      <c r="K5968" s="312"/>
      <c r="N5968" s="514"/>
      <c r="R5968" s="293"/>
      <c r="S5968" s="316"/>
      <c r="T5968" s="355"/>
    </row>
    <row r="5969" spans="11:20" x14ac:dyDescent="0.25">
      <c r="K5969" s="312"/>
      <c r="N5969" s="514"/>
      <c r="R5969" s="293"/>
      <c r="S5969" s="316"/>
      <c r="T5969" s="355"/>
    </row>
    <row r="5970" spans="11:20" x14ac:dyDescent="0.25">
      <c r="K5970" s="312"/>
      <c r="N5970" s="514"/>
      <c r="R5970" s="293"/>
      <c r="S5970" s="316"/>
      <c r="T5970" s="355"/>
    </row>
    <row r="5971" spans="11:20" x14ac:dyDescent="0.25">
      <c r="K5971" s="312"/>
      <c r="N5971" s="514"/>
      <c r="R5971" s="293"/>
      <c r="S5971" s="316"/>
      <c r="T5971" s="355"/>
    </row>
    <row r="5972" spans="11:20" x14ac:dyDescent="0.25">
      <c r="K5972" s="312"/>
      <c r="N5972" s="514"/>
      <c r="R5972" s="293"/>
      <c r="S5972" s="316"/>
      <c r="T5972" s="355"/>
    </row>
    <row r="5973" spans="11:20" x14ac:dyDescent="0.25">
      <c r="K5973" s="312"/>
      <c r="N5973" s="514"/>
      <c r="R5973" s="293"/>
      <c r="S5973" s="316"/>
      <c r="T5973" s="355"/>
    </row>
    <row r="5974" spans="11:20" x14ac:dyDescent="0.25">
      <c r="K5974" s="312"/>
      <c r="N5974" s="514"/>
      <c r="R5974" s="293"/>
      <c r="S5974" s="316"/>
      <c r="T5974" s="355"/>
    </row>
    <row r="5975" spans="11:20" x14ac:dyDescent="0.25">
      <c r="K5975" s="312"/>
      <c r="N5975" s="514"/>
      <c r="R5975" s="293"/>
      <c r="S5975" s="316"/>
      <c r="T5975" s="355"/>
    </row>
    <row r="5976" spans="11:20" x14ac:dyDescent="0.25">
      <c r="K5976" s="312"/>
      <c r="N5976" s="514"/>
      <c r="R5976" s="293"/>
      <c r="S5976" s="316"/>
      <c r="T5976" s="355"/>
    </row>
    <row r="5977" spans="11:20" x14ac:dyDescent="0.25">
      <c r="K5977" s="312"/>
      <c r="N5977" s="514"/>
      <c r="R5977" s="293"/>
      <c r="S5977" s="316"/>
      <c r="T5977" s="355"/>
    </row>
    <row r="5978" spans="11:20" x14ac:dyDescent="0.25">
      <c r="K5978" s="312"/>
      <c r="N5978" s="514"/>
      <c r="R5978" s="293"/>
      <c r="S5978" s="316"/>
      <c r="T5978" s="355"/>
    </row>
    <row r="5979" spans="11:20" x14ac:dyDescent="0.25">
      <c r="K5979" s="312"/>
      <c r="N5979" s="514"/>
      <c r="R5979" s="293"/>
      <c r="S5979" s="316"/>
      <c r="T5979" s="355"/>
    </row>
    <row r="5980" spans="11:20" x14ac:dyDescent="0.25">
      <c r="K5980" s="312"/>
      <c r="N5980" s="514"/>
      <c r="R5980" s="293"/>
      <c r="S5980" s="316"/>
      <c r="T5980" s="355"/>
    </row>
    <row r="5981" spans="11:20" x14ac:dyDescent="0.25">
      <c r="K5981" s="312"/>
      <c r="N5981" s="514"/>
      <c r="R5981" s="293"/>
      <c r="S5981" s="316"/>
      <c r="T5981" s="355"/>
    </row>
    <row r="5982" spans="11:20" x14ac:dyDescent="0.25">
      <c r="K5982" s="312"/>
      <c r="N5982" s="514"/>
      <c r="R5982" s="293"/>
      <c r="S5982" s="316"/>
      <c r="T5982" s="355"/>
    </row>
    <row r="5983" spans="11:20" x14ac:dyDescent="0.25">
      <c r="K5983" s="312"/>
      <c r="N5983" s="514"/>
      <c r="R5983" s="293"/>
      <c r="S5983" s="316"/>
      <c r="T5983" s="355"/>
    </row>
    <row r="5984" spans="11:20" x14ac:dyDescent="0.25">
      <c r="K5984" s="312"/>
      <c r="N5984" s="514"/>
      <c r="R5984" s="293"/>
      <c r="S5984" s="316"/>
      <c r="T5984" s="355"/>
    </row>
    <row r="5985" spans="11:20" x14ac:dyDescent="0.25">
      <c r="K5985" s="312"/>
      <c r="N5985" s="514"/>
      <c r="R5985" s="293"/>
      <c r="S5985" s="316"/>
      <c r="T5985" s="355"/>
    </row>
    <row r="5986" spans="11:20" x14ac:dyDescent="0.25">
      <c r="K5986" s="312"/>
      <c r="N5986" s="514"/>
      <c r="R5986" s="293"/>
      <c r="S5986" s="316"/>
      <c r="T5986" s="355"/>
    </row>
    <row r="5987" spans="11:20" x14ac:dyDescent="0.25">
      <c r="K5987" s="312"/>
      <c r="N5987" s="514"/>
      <c r="R5987" s="293"/>
      <c r="S5987" s="316"/>
      <c r="T5987" s="355"/>
    </row>
    <row r="5988" spans="11:20" x14ac:dyDescent="0.25">
      <c r="K5988" s="312"/>
      <c r="N5988" s="514"/>
      <c r="R5988" s="293"/>
      <c r="S5988" s="316"/>
      <c r="T5988" s="355"/>
    </row>
    <row r="5989" spans="11:20" x14ac:dyDescent="0.25">
      <c r="K5989" s="312"/>
      <c r="N5989" s="514"/>
      <c r="R5989" s="293"/>
      <c r="S5989" s="316"/>
      <c r="T5989" s="355"/>
    </row>
    <row r="5990" spans="11:20" x14ac:dyDescent="0.25">
      <c r="K5990" s="312"/>
      <c r="N5990" s="514"/>
      <c r="R5990" s="293"/>
      <c r="S5990" s="316"/>
      <c r="T5990" s="355"/>
    </row>
    <row r="5991" spans="11:20" x14ac:dyDescent="0.25">
      <c r="K5991" s="312"/>
      <c r="N5991" s="514"/>
      <c r="R5991" s="293"/>
      <c r="S5991" s="316"/>
      <c r="T5991" s="355"/>
    </row>
    <row r="5992" spans="11:20" x14ac:dyDescent="0.25">
      <c r="K5992" s="312"/>
      <c r="N5992" s="514"/>
      <c r="R5992" s="293"/>
      <c r="S5992" s="316"/>
      <c r="T5992" s="355"/>
    </row>
    <row r="5993" spans="11:20" x14ac:dyDescent="0.25">
      <c r="K5993" s="312"/>
      <c r="N5993" s="514"/>
      <c r="R5993" s="293"/>
      <c r="S5993" s="316"/>
      <c r="T5993" s="355"/>
    </row>
    <row r="5994" spans="11:20" x14ac:dyDescent="0.25">
      <c r="K5994" s="312"/>
      <c r="N5994" s="514"/>
      <c r="R5994" s="293"/>
      <c r="S5994" s="316"/>
      <c r="T5994" s="355"/>
    </row>
    <row r="5995" spans="11:20" x14ac:dyDescent="0.25">
      <c r="K5995" s="312"/>
      <c r="N5995" s="514"/>
      <c r="R5995" s="293"/>
      <c r="S5995" s="316"/>
      <c r="T5995" s="355"/>
    </row>
    <row r="5996" spans="11:20" x14ac:dyDescent="0.25">
      <c r="K5996" s="312"/>
      <c r="N5996" s="514"/>
      <c r="R5996" s="293"/>
      <c r="S5996" s="316"/>
      <c r="T5996" s="355"/>
    </row>
    <row r="5997" spans="11:20" x14ac:dyDescent="0.25">
      <c r="K5997" s="312"/>
      <c r="N5997" s="514"/>
      <c r="R5997" s="293"/>
      <c r="S5997" s="316"/>
      <c r="T5997" s="355"/>
    </row>
    <row r="5998" spans="11:20" x14ac:dyDescent="0.25">
      <c r="K5998" s="312"/>
      <c r="N5998" s="514"/>
      <c r="R5998" s="293"/>
      <c r="S5998" s="316"/>
      <c r="T5998" s="355"/>
    </row>
    <row r="5999" spans="11:20" x14ac:dyDescent="0.25">
      <c r="K5999" s="312"/>
      <c r="N5999" s="514"/>
      <c r="R5999" s="293"/>
      <c r="S5999" s="316"/>
      <c r="T5999" s="355"/>
    </row>
    <row r="6000" spans="11:20" x14ac:dyDescent="0.25">
      <c r="K6000" s="312"/>
      <c r="N6000" s="514"/>
      <c r="R6000" s="293"/>
      <c r="S6000" s="316"/>
      <c r="T6000" s="355"/>
    </row>
    <row r="6001" spans="11:20" x14ac:dyDescent="0.25">
      <c r="K6001" s="312"/>
      <c r="N6001" s="514"/>
      <c r="R6001" s="293"/>
      <c r="S6001" s="316"/>
      <c r="T6001" s="355"/>
    </row>
    <row r="6002" spans="11:20" x14ac:dyDescent="0.25">
      <c r="K6002" s="312"/>
      <c r="N6002" s="514"/>
      <c r="R6002" s="293"/>
      <c r="S6002" s="316"/>
      <c r="T6002" s="355"/>
    </row>
    <row r="6003" spans="11:20" x14ac:dyDescent="0.25">
      <c r="K6003" s="312"/>
      <c r="N6003" s="514"/>
      <c r="R6003" s="293"/>
      <c r="S6003" s="316"/>
      <c r="T6003" s="355"/>
    </row>
    <row r="6004" spans="11:20" x14ac:dyDescent="0.25">
      <c r="K6004" s="312"/>
      <c r="N6004" s="514"/>
      <c r="R6004" s="293"/>
      <c r="S6004" s="316"/>
      <c r="T6004" s="355"/>
    </row>
    <row r="6005" spans="11:20" x14ac:dyDescent="0.25">
      <c r="K6005" s="312"/>
      <c r="N6005" s="514"/>
      <c r="R6005" s="293"/>
      <c r="S6005" s="316"/>
      <c r="T6005" s="355"/>
    </row>
    <row r="6006" spans="11:20" x14ac:dyDescent="0.25">
      <c r="K6006" s="312"/>
      <c r="N6006" s="514"/>
      <c r="R6006" s="293"/>
      <c r="S6006" s="316"/>
      <c r="T6006" s="355"/>
    </row>
    <row r="6007" spans="11:20" x14ac:dyDescent="0.25">
      <c r="K6007" s="312"/>
      <c r="N6007" s="514"/>
      <c r="R6007" s="293"/>
      <c r="S6007" s="316"/>
      <c r="T6007" s="355"/>
    </row>
    <row r="6008" spans="11:20" x14ac:dyDescent="0.25">
      <c r="K6008" s="312"/>
      <c r="N6008" s="514"/>
      <c r="R6008" s="293"/>
      <c r="S6008" s="316"/>
      <c r="T6008" s="355"/>
    </row>
    <row r="6009" spans="11:20" x14ac:dyDescent="0.25">
      <c r="K6009" s="312"/>
      <c r="N6009" s="514"/>
      <c r="R6009" s="293"/>
      <c r="S6009" s="316"/>
      <c r="T6009" s="355"/>
    </row>
    <row r="6010" spans="11:20" x14ac:dyDescent="0.25">
      <c r="K6010" s="312"/>
      <c r="N6010" s="514"/>
      <c r="R6010" s="293"/>
      <c r="S6010" s="316"/>
      <c r="T6010" s="355"/>
    </row>
    <row r="6011" spans="11:20" x14ac:dyDescent="0.25">
      <c r="K6011" s="312"/>
      <c r="N6011" s="514"/>
      <c r="R6011" s="293"/>
      <c r="S6011" s="316"/>
      <c r="T6011" s="355"/>
    </row>
    <row r="6012" spans="11:20" x14ac:dyDescent="0.25">
      <c r="K6012" s="312"/>
      <c r="N6012" s="514"/>
      <c r="R6012" s="293"/>
      <c r="S6012" s="316"/>
      <c r="T6012" s="355"/>
    </row>
    <row r="6013" spans="11:20" x14ac:dyDescent="0.25">
      <c r="K6013" s="312"/>
      <c r="N6013" s="514"/>
      <c r="R6013" s="293"/>
      <c r="S6013" s="316"/>
      <c r="T6013" s="355"/>
    </row>
    <row r="6014" spans="11:20" x14ac:dyDescent="0.25">
      <c r="K6014" s="312"/>
      <c r="N6014" s="514"/>
      <c r="R6014" s="293"/>
      <c r="S6014" s="316"/>
      <c r="T6014" s="355"/>
    </row>
    <row r="6015" spans="11:20" x14ac:dyDescent="0.25">
      <c r="K6015" s="312"/>
      <c r="N6015" s="514"/>
      <c r="R6015" s="293"/>
      <c r="S6015" s="316"/>
      <c r="T6015" s="355"/>
    </row>
    <row r="6016" spans="11:20" x14ac:dyDescent="0.25">
      <c r="K6016" s="312"/>
      <c r="N6016" s="514"/>
      <c r="R6016" s="293"/>
      <c r="S6016" s="316"/>
      <c r="T6016" s="355"/>
    </row>
    <row r="6017" spans="11:20" x14ac:dyDescent="0.25">
      <c r="K6017" s="312"/>
      <c r="N6017" s="514"/>
      <c r="R6017" s="293"/>
      <c r="S6017" s="316"/>
      <c r="T6017" s="355"/>
    </row>
    <row r="6018" spans="11:20" x14ac:dyDescent="0.25">
      <c r="K6018" s="312"/>
      <c r="N6018" s="514"/>
      <c r="R6018" s="293"/>
      <c r="S6018" s="316"/>
      <c r="T6018" s="355"/>
    </row>
    <row r="6019" spans="11:20" x14ac:dyDescent="0.25">
      <c r="K6019" s="312"/>
      <c r="N6019" s="514"/>
      <c r="R6019" s="293"/>
      <c r="S6019" s="316"/>
      <c r="T6019" s="355"/>
    </row>
    <row r="6020" spans="11:20" x14ac:dyDescent="0.25">
      <c r="K6020" s="312"/>
      <c r="N6020" s="514"/>
      <c r="R6020" s="293"/>
      <c r="S6020" s="316"/>
      <c r="T6020" s="355"/>
    </row>
    <row r="6021" spans="11:20" x14ac:dyDescent="0.25">
      <c r="K6021" s="312"/>
      <c r="N6021" s="514"/>
      <c r="R6021" s="293"/>
      <c r="S6021" s="316"/>
      <c r="T6021" s="355"/>
    </row>
    <row r="6022" spans="11:20" x14ac:dyDescent="0.25">
      <c r="K6022" s="312"/>
      <c r="N6022" s="514"/>
      <c r="R6022" s="293"/>
      <c r="S6022" s="316"/>
      <c r="T6022" s="355"/>
    </row>
    <row r="6023" spans="11:20" x14ac:dyDescent="0.25">
      <c r="K6023" s="312"/>
      <c r="N6023" s="514"/>
      <c r="R6023" s="293"/>
      <c r="S6023" s="316"/>
      <c r="T6023" s="355"/>
    </row>
    <row r="6024" spans="11:20" x14ac:dyDescent="0.25">
      <c r="K6024" s="312"/>
      <c r="N6024" s="514"/>
      <c r="R6024" s="293"/>
      <c r="S6024" s="316"/>
      <c r="T6024" s="355"/>
    </row>
    <row r="6025" spans="11:20" x14ac:dyDescent="0.25">
      <c r="K6025" s="312"/>
      <c r="N6025" s="514"/>
      <c r="R6025" s="293"/>
      <c r="S6025" s="316"/>
      <c r="T6025" s="355"/>
    </row>
    <row r="6026" spans="11:20" x14ac:dyDescent="0.25">
      <c r="K6026" s="312"/>
      <c r="N6026" s="514"/>
      <c r="R6026" s="293"/>
      <c r="S6026" s="316"/>
      <c r="T6026" s="355"/>
    </row>
    <row r="6027" spans="11:20" x14ac:dyDescent="0.25">
      <c r="K6027" s="312"/>
      <c r="N6027" s="514"/>
      <c r="R6027" s="293"/>
      <c r="S6027" s="316"/>
      <c r="T6027" s="355"/>
    </row>
    <row r="6028" spans="11:20" x14ac:dyDescent="0.25">
      <c r="K6028" s="312"/>
      <c r="N6028" s="514"/>
      <c r="R6028" s="293"/>
      <c r="S6028" s="316"/>
      <c r="T6028" s="355"/>
    </row>
    <row r="6029" spans="11:20" x14ac:dyDescent="0.25">
      <c r="K6029" s="312"/>
      <c r="N6029" s="514"/>
      <c r="R6029" s="293"/>
      <c r="S6029" s="316"/>
      <c r="T6029" s="355"/>
    </row>
    <row r="6030" spans="11:20" x14ac:dyDescent="0.25">
      <c r="K6030" s="312"/>
      <c r="N6030" s="514"/>
      <c r="R6030" s="293"/>
      <c r="S6030" s="316"/>
      <c r="T6030" s="355"/>
    </row>
    <row r="6031" spans="11:20" x14ac:dyDescent="0.25">
      <c r="K6031" s="312"/>
      <c r="N6031" s="514"/>
      <c r="R6031" s="293"/>
      <c r="S6031" s="316"/>
      <c r="T6031" s="355"/>
    </row>
    <row r="6032" spans="11:20" x14ac:dyDescent="0.25">
      <c r="K6032" s="312"/>
      <c r="N6032" s="514"/>
      <c r="R6032" s="293"/>
      <c r="S6032" s="316"/>
      <c r="T6032" s="355"/>
    </row>
    <row r="6033" spans="11:20" x14ac:dyDescent="0.25">
      <c r="K6033" s="312"/>
      <c r="N6033" s="514"/>
      <c r="R6033" s="293"/>
      <c r="S6033" s="316"/>
      <c r="T6033" s="355"/>
    </row>
    <row r="6034" spans="11:20" x14ac:dyDescent="0.25">
      <c r="K6034" s="312"/>
      <c r="N6034" s="514"/>
      <c r="R6034" s="293"/>
      <c r="S6034" s="316"/>
      <c r="T6034" s="355"/>
    </row>
    <row r="6035" spans="11:20" x14ac:dyDescent="0.25">
      <c r="K6035" s="312"/>
      <c r="N6035" s="514"/>
      <c r="R6035" s="293"/>
      <c r="S6035" s="316"/>
      <c r="T6035" s="355"/>
    </row>
    <row r="6036" spans="11:20" x14ac:dyDescent="0.25">
      <c r="K6036" s="312"/>
      <c r="N6036" s="514"/>
      <c r="R6036" s="293"/>
      <c r="S6036" s="316"/>
      <c r="T6036" s="355"/>
    </row>
    <row r="6037" spans="11:20" x14ac:dyDescent="0.25">
      <c r="K6037" s="312"/>
      <c r="N6037" s="514"/>
      <c r="R6037" s="293"/>
      <c r="S6037" s="316"/>
      <c r="T6037" s="355"/>
    </row>
    <row r="6038" spans="11:20" x14ac:dyDescent="0.25">
      <c r="K6038" s="312"/>
      <c r="N6038" s="514"/>
      <c r="R6038" s="293"/>
      <c r="S6038" s="316"/>
      <c r="T6038" s="355"/>
    </row>
    <row r="6039" spans="11:20" x14ac:dyDescent="0.25">
      <c r="K6039" s="312"/>
      <c r="N6039" s="514"/>
      <c r="R6039" s="293"/>
      <c r="S6039" s="316"/>
      <c r="T6039" s="355"/>
    </row>
    <row r="6040" spans="11:20" x14ac:dyDescent="0.25">
      <c r="K6040" s="312"/>
      <c r="N6040" s="514"/>
      <c r="R6040" s="293"/>
      <c r="S6040" s="316"/>
      <c r="T6040" s="355"/>
    </row>
    <row r="6041" spans="11:20" x14ac:dyDescent="0.25">
      <c r="K6041" s="312"/>
      <c r="N6041" s="514"/>
      <c r="R6041" s="293"/>
      <c r="S6041" s="316"/>
      <c r="T6041" s="355"/>
    </row>
    <row r="6042" spans="11:20" x14ac:dyDescent="0.25">
      <c r="K6042" s="312"/>
      <c r="N6042" s="514"/>
      <c r="R6042" s="293"/>
      <c r="S6042" s="316"/>
      <c r="T6042" s="355"/>
    </row>
    <row r="6043" spans="11:20" x14ac:dyDescent="0.25">
      <c r="K6043" s="312"/>
      <c r="N6043" s="514"/>
      <c r="R6043" s="293"/>
      <c r="S6043" s="316"/>
      <c r="T6043" s="355"/>
    </row>
    <row r="6044" spans="11:20" x14ac:dyDescent="0.25">
      <c r="K6044" s="312"/>
      <c r="N6044" s="514"/>
      <c r="R6044" s="293"/>
      <c r="S6044" s="316"/>
      <c r="T6044" s="355"/>
    </row>
    <row r="6045" spans="11:20" x14ac:dyDescent="0.25">
      <c r="K6045" s="312"/>
      <c r="N6045" s="514"/>
      <c r="R6045" s="293"/>
      <c r="S6045" s="316"/>
      <c r="T6045" s="355"/>
    </row>
    <row r="6046" spans="11:20" x14ac:dyDescent="0.25">
      <c r="K6046" s="312"/>
      <c r="N6046" s="514"/>
      <c r="R6046" s="293"/>
      <c r="S6046" s="316"/>
      <c r="T6046" s="355"/>
    </row>
    <row r="6047" spans="11:20" x14ac:dyDescent="0.25">
      <c r="K6047" s="312"/>
      <c r="N6047" s="514"/>
      <c r="R6047" s="293"/>
      <c r="S6047" s="316"/>
      <c r="T6047" s="355"/>
    </row>
    <row r="6048" spans="11:20" x14ac:dyDescent="0.25">
      <c r="K6048" s="312"/>
      <c r="N6048" s="514"/>
      <c r="R6048" s="293"/>
      <c r="S6048" s="316"/>
      <c r="T6048" s="355"/>
    </row>
    <row r="6049" spans="11:20" x14ac:dyDescent="0.25">
      <c r="K6049" s="312"/>
      <c r="N6049" s="514"/>
      <c r="R6049" s="293"/>
      <c r="S6049" s="316"/>
      <c r="T6049" s="355"/>
    </row>
    <row r="6050" spans="11:20" x14ac:dyDescent="0.25">
      <c r="K6050" s="312"/>
      <c r="N6050" s="514"/>
      <c r="R6050" s="293"/>
      <c r="S6050" s="316"/>
      <c r="T6050" s="355"/>
    </row>
    <row r="6051" spans="11:20" x14ac:dyDescent="0.25">
      <c r="K6051" s="312"/>
      <c r="N6051" s="514"/>
      <c r="R6051" s="293"/>
      <c r="S6051" s="316"/>
      <c r="T6051" s="355"/>
    </row>
    <row r="6052" spans="11:20" x14ac:dyDescent="0.25">
      <c r="K6052" s="312"/>
      <c r="N6052" s="514"/>
      <c r="R6052" s="293"/>
      <c r="S6052" s="316"/>
      <c r="T6052" s="355"/>
    </row>
    <row r="6053" spans="11:20" x14ac:dyDescent="0.25">
      <c r="K6053" s="312"/>
      <c r="N6053" s="514"/>
      <c r="R6053" s="293"/>
      <c r="S6053" s="316"/>
      <c r="T6053" s="355"/>
    </row>
    <row r="6054" spans="11:20" x14ac:dyDescent="0.25">
      <c r="K6054" s="312"/>
      <c r="N6054" s="514"/>
      <c r="R6054" s="293"/>
      <c r="S6054" s="316"/>
      <c r="T6054" s="355"/>
    </row>
    <row r="6055" spans="11:20" x14ac:dyDescent="0.25">
      <c r="K6055" s="312"/>
      <c r="N6055" s="514"/>
      <c r="R6055" s="293"/>
      <c r="S6055" s="316"/>
      <c r="T6055" s="355"/>
    </row>
    <row r="6056" spans="11:20" x14ac:dyDescent="0.25">
      <c r="K6056" s="312"/>
      <c r="N6056" s="514"/>
      <c r="R6056" s="293"/>
      <c r="S6056" s="316"/>
      <c r="T6056" s="355"/>
    </row>
    <row r="6057" spans="11:20" x14ac:dyDescent="0.25">
      <c r="K6057" s="312"/>
      <c r="N6057" s="514"/>
      <c r="R6057" s="293"/>
      <c r="S6057" s="316"/>
      <c r="T6057" s="355"/>
    </row>
    <row r="6058" spans="11:20" x14ac:dyDescent="0.25">
      <c r="K6058" s="312"/>
      <c r="N6058" s="514"/>
      <c r="R6058" s="293"/>
      <c r="S6058" s="316"/>
      <c r="T6058" s="355"/>
    </row>
    <row r="6059" spans="11:20" x14ac:dyDescent="0.25">
      <c r="K6059" s="312"/>
      <c r="N6059" s="514"/>
      <c r="R6059" s="293"/>
      <c r="S6059" s="316"/>
      <c r="T6059" s="355"/>
    </row>
    <row r="6060" spans="11:20" x14ac:dyDescent="0.25">
      <c r="K6060" s="312"/>
      <c r="N6060" s="514"/>
      <c r="R6060" s="293"/>
      <c r="S6060" s="316"/>
      <c r="T6060" s="355"/>
    </row>
    <row r="6061" spans="11:20" x14ac:dyDescent="0.25">
      <c r="K6061" s="312"/>
      <c r="N6061" s="514"/>
      <c r="R6061" s="293"/>
      <c r="S6061" s="316"/>
      <c r="T6061" s="355"/>
    </row>
    <row r="6062" spans="11:20" x14ac:dyDescent="0.25">
      <c r="K6062" s="312"/>
      <c r="N6062" s="514"/>
      <c r="R6062" s="293"/>
      <c r="S6062" s="316"/>
      <c r="T6062" s="355"/>
    </row>
    <row r="6063" spans="11:20" x14ac:dyDescent="0.25">
      <c r="K6063" s="312"/>
      <c r="N6063" s="514"/>
      <c r="R6063" s="293"/>
      <c r="S6063" s="316"/>
      <c r="T6063" s="355"/>
    </row>
    <row r="6064" spans="11:20" x14ac:dyDescent="0.25">
      <c r="K6064" s="312"/>
      <c r="N6064" s="514"/>
      <c r="R6064" s="293"/>
      <c r="S6064" s="316"/>
      <c r="T6064" s="355"/>
    </row>
    <row r="6065" spans="11:20" x14ac:dyDescent="0.25">
      <c r="K6065" s="312"/>
      <c r="N6065" s="514"/>
      <c r="R6065" s="293"/>
      <c r="S6065" s="316"/>
      <c r="T6065" s="355"/>
    </row>
    <row r="6066" spans="11:20" x14ac:dyDescent="0.25">
      <c r="K6066" s="312"/>
      <c r="N6066" s="514"/>
      <c r="R6066" s="293"/>
      <c r="S6066" s="316"/>
      <c r="T6066" s="355"/>
    </row>
    <row r="6067" spans="11:20" x14ac:dyDescent="0.25">
      <c r="K6067" s="312"/>
      <c r="N6067" s="514"/>
      <c r="R6067" s="293"/>
      <c r="S6067" s="316"/>
      <c r="T6067" s="355"/>
    </row>
    <row r="6068" spans="11:20" x14ac:dyDescent="0.25">
      <c r="K6068" s="312"/>
      <c r="N6068" s="514"/>
      <c r="R6068" s="293"/>
      <c r="S6068" s="316"/>
      <c r="T6068" s="355"/>
    </row>
    <row r="6069" spans="11:20" x14ac:dyDescent="0.25">
      <c r="K6069" s="312"/>
      <c r="N6069" s="514"/>
      <c r="R6069" s="293"/>
      <c r="S6069" s="316"/>
      <c r="T6069" s="355"/>
    </row>
    <row r="6070" spans="11:20" x14ac:dyDescent="0.25">
      <c r="K6070" s="312"/>
      <c r="N6070" s="514"/>
      <c r="R6070" s="293"/>
      <c r="S6070" s="316"/>
      <c r="T6070" s="355"/>
    </row>
    <row r="6071" spans="11:20" x14ac:dyDescent="0.25">
      <c r="K6071" s="312"/>
      <c r="N6071" s="514"/>
      <c r="R6071" s="293"/>
      <c r="S6071" s="316"/>
      <c r="T6071" s="355"/>
    </row>
    <row r="6072" spans="11:20" x14ac:dyDescent="0.25">
      <c r="K6072" s="312"/>
      <c r="N6072" s="514"/>
      <c r="R6072" s="293"/>
      <c r="S6072" s="316"/>
      <c r="T6072" s="355"/>
    </row>
    <row r="6073" spans="11:20" x14ac:dyDescent="0.25">
      <c r="K6073" s="312"/>
      <c r="N6073" s="514"/>
      <c r="R6073" s="293"/>
      <c r="S6073" s="316"/>
      <c r="T6073" s="355"/>
    </row>
    <row r="6074" spans="11:20" x14ac:dyDescent="0.25">
      <c r="K6074" s="312"/>
      <c r="N6074" s="514"/>
      <c r="R6074" s="293"/>
      <c r="S6074" s="316"/>
      <c r="T6074" s="355"/>
    </row>
    <row r="6075" spans="11:20" x14ac:dyDescent="0.25">
      <c r="K6075" s="312"/>
      <c r="N6075" s="514"/>
      <c r="R6075" s="293"/>
      <c r="S6075" s="316"/>
      <c r="T6075" s="355"/>
    </row>
    <row r="6076" spans="11:20" x14ac:dyDescent="0.25">
      <c r="K6076" s="312"/>
      <c r="N6076" s="514"/>
      <c r="R6076" s="293"/>
      <c r="S6076" s="316"/>
      <c r="T6076" s="355"/>
    </row>
    <row r="6077" spans="11:20" x14ac:dyDescent="0.25">
      <c r="K6077" s="312"/>
      <c r="N6077" s="514"/>
      <c r="R6077" s="293"/>
      <c r="S6077" s="316"/>
      <c r="T6077" s="355"/>
    </row>
    <row r="6078" spans="11:20" x14ac:dyDescent="0.25">
      <c r="K6078" s="312"/>
      <c r="N6078" s="514"/>
      <c r="R6078" s="293"/>
      <c r="S6078" s="316"/>
      <c r="T6078" s="355"/>
    </row>
    <row r="6079" spans="11:20" x14ac:dyDescent="0.25">
      <c r="K6079" s="312"/>
      <c r="N6079" s="514"/>
      <c r="R6079" s="293"/>
      <c r="S6079" s="316"/>
      <c r="T6079" s="355"/>
    </row>
    <row r="6080" spans="11:20" x14ac:dyDescent="0.25">
      <c r="K6080" s="312"/>
      <c r="N6080" s="514"/>
      <c r="R6080" s="293"/>
      <c r="S6080" s="316"/>
      <c r="T6080" s="355"/>
    </row>
    <row r="6081" spans="11:20" x14ac:dyDescent="0.25">
      <c r="K6081" s="312"/>
      <c r="N6081" s="514"/>
      <c r="R6081" s="293"/>
      <c r="S6081" s="316"/>
      <c r="T6081" s="355"/>
    </row>
    <row r="6082" spans="11:20" x14ac:dyDescent="0.25">
      <c r="K6082" s="312"/>
      <c r="N6082" s="514"/>
      <c r="R6082" s="293"/>
      <c r="S6082" s="316"/>
      <c r="T6082" s="355"/>
    </row>
    <row r="6083" spans="11:20" x14ac:dyDescent="0.25">
      <c r="K6083" s="312"/>
      <c r="N6083" s="514"/>
      <c r="R6083" s="293"/>
      <c r="S6083" s="316"/>
      <c r="T6083" s="355"/>
    </row>
    <row r="6084" spans="11:20" x14ac:dyDescent="0.25">
      <c r="K6084" s="312"/>
      <c r="N6084" s="514"/>
      <c r="R6084" s="293"/>
      <c r="S6084" s="316"/>
      <c r="T6084" s="355"/>
    </row>
    <row r="6085" spans="11:20" x14ac:dyDescent="0.25">
      <c r="K6085" s="312"/>
      <c r="N6085" s="514"/>
      <c r="R6085" s="293"/>
      <c r="S6085" s="316"/>
      <c r="T6085" s="355"/>
    </row>
    <row r="6086" spans="11:20" x14ac:dyDescent="0.25">
      <c r="K6086" s="312"/>
      <c r="N6086" s="514"/>
      <c r="R6086" s="293"/>
      <c r="S6086" s="316"/>
      <c r="T6086" s="355"/>
    </row>
    <row r="6087" spans="11:20" x14ac:dyDescent="0.25">
      <c r="K6087" s="312"/>
      <c r="N6087" s="514"/>
      <c r="R6087" s="293"/>
      <c r="S6087" s="316"/>
      <c r="T6087" s="355"/>
    </row>
    <row r="6088" spans="11:20" x14ac:dyDescent="0.25">
      <c r="K6088" s="312"/>
      <c r="N6088" s="514"/>
      <c r="R6088" s="293"/>
      <c r="S6088" s="316"/>
      <c r="T6088" s="355"/>
    </row>
    <row r="6089" spans="11:20" x14ac:dyDescent="0.25">
      <c r="K6089" s="312"/>
      <c r="N6089" s="514"/>
      <c r="R6089" s="293"/>
      <c r="S6089" s="316"/>
      <c r="T6089" s="355"/>
    </row>
    <row r="6090" spans="11:20" x14ac:dyDescent="0.25">
      <c r="K6090" s="312"/>
      <c r="N6090" s="514"/>
      <c r="R6090" s="293"/>
      <c r="S6090" s="316"/>
      <c r="T6090" s="355"/>
    </row>
    <row r="6091" spans="11:20" x14ac:dyDescent="0.25">
      <c r="K6091" s="312"/>
      <c r="N6091" s="514"/>
      <c r="R6091" s="293"/>
      <c r="S6091" s="316"/>
      <c r="T6091" s="355"/>
    </row>
    <row r="6092" spans="11:20" x14ac:dyDescent="0.25">
      <c r="K6092" s="312"/>
      <c r="N6092" s="514"/>
      <c r="R6092" s="293"/>
      <c r="S6092" s="316"/>
      <c r="T6092" s="355"/>
    </row>
    <row r="6093" spans="11:20" x14ac:dyDescent="0.25">
      <c r="K6093" s="312"/>
      <c r="N6093" s="514"/>
      <c r="R6093" s="293"/>
      <c r="S6093" s="316"/>
      <c r="T6093" s="355"/>
    </row>
    <row r="6094" spans="11:20" x14ac:dyDescent="0.25">
      <c r="K6094" s="312"/>
      <c r="N6094" s="514"/>
      <c r="R6094" s="293"/>
      <c r="S6094" s="316"/>
      <c r="T6094" s="355"/>
    </row>
    <row r="6095" spans="11:20" x14ac:dyDescent="0.25">
      <c r="K6095" s="312"/>
      <c r="N6095" s="514"/>
      <c r="R6095" s="293"/>
      <c r="S6095" s="316"/>
      <c r="T6095" s="355"/>
    </row>
    <row r="6096" spans="11:20" x14ac:dyDescent="0.25">
      <c r="K6096" s="312"/>
      <c r="N6096" s="514"/>
      <c r="R6096" s="293"/>
      <c r="S6096" s="316"/>
      <c r="T6096" s="355"/>
    </row>
    <row r="6097" spans="11:20" x14ac:dyDescent="0.25">
      <c r="K6097" s="312"/>
      <c r="N6097" s="514"/>
      <c r="R6097" s="293"/>
      <c r="S6097" s="316"/>
      <c r="T6097" s="355"/>
    </row>
    <row r="6098" spans="11:20" x14ac:dyDescent="0.25">
      <c r="K6098" s="312"/>
      <c r="N6098" s="514"/>
      <c r="R6098" s="293"/>
      <c r="S6098" s="316"/>
      <c r="T6098" s="355"/>
    </row>
    <row r="6099" spans="11:20" x14ac:dyDescent="0.25">
      <c r="K6099" s="312"/>
      <c r="N6099" s="514"/>
      <c r="R6099" s="293"/>
      <c r="S6099" s="316"/>
      <c r="T6099" s="355"/>
    </row>
    <row r="6100" spans="11:20" x14ac:dyDescent="0.25">
      <c r="K6100" s="312"/>
      <c r="N6100" s="514"/>
      <c r="R6100" s="293"/>
      <c r="S6100" s="316"/>
      <c r="T6100" s="355"/>
    </row>
    <row r="6101" spans="11:20" x14ac:dyDescent="0.25">
      <c r="K6101" s="312"/>
      <c r="N6101" s="514"/>
      <c r="R6101" s="293"/>
      <c r="S6101" s="316"/>
      <c r="T6101" s="355"/>
    </row>
    <row r="6102" spans="11:20" x14ac:dyDescent="0.25">
      <c r="K6102" s="312"/>
      <c r="N6102" s="514"/>
      <c r="R6102" s="293"/>
      <c r="S6102" s="316"/>
      <c r="T6102" s="355"/>
    </row>
    <row r="6103" spans="11:20" x14ac:dyDescent="0.25">
      <c r="K6103" s="312"/>
      <c r="N6103" s="514"/>
      <c r="R6103" s="293"/>
      <c r="S6103" s="316"/>
      <c r="T6103" s="355"/>
    </row>
    <row r="6104" spans="11:20" x14ac:dyDescent="0.25">
      <c r="K6104" s="312"/>
      <c r="N6104" s="514"/>
      <c r="R6104" s="293"/>
      <c r="S6104" s="316"/>
      <c r="T6104" s="355"/>
    </row>
    <row r="6105" spans="11:20" x14ac:dyDescent="0.25">
      <c r="K6105" s="312"/>
      <c r="N6105" s="514"/>
      <c r="R6105" s="293"/>
      <c r="S6105" s="316"/>
      <c r="T6105" s="355"/>
    </row>
    <row r="6106" spans="11:20" x14ac:dyDescent="0.25">
      <c r="K6106" s="312"/>
      <c r="N6106" s="514"/>
      <c r="R6106" s="293"/>
      <c r="S6106" s="316"/>
      <c r="T6106" s="355"/>
    </row>
    <row r="6107" spans="11:20" x14ac:dyDescent="0.25">
      <c r="K6107" s="312"/>
      <c r="N6107" s="514"/>
      <c r="R6107" s="293"/>
      <c r="S6107" s="316"/>
      <c r="T6107" s="355"/>
    </row>
    <row r="6108" spans="11:20" x14ac:dyDescent="0.25">
      <c r="K6108" s="312"/>
      <c r="N6108" s="514"/>
      <c r="R6108" s="293"/>
      <c r="S6108" s="316"/>
      <c r="T6108" s="355"/>
    </row>
    <row r="6109" spans="11:20" x14ac:dyDescent="0.25">
      <c r="K6109" s="312"/>
      <c r="N6109" s="514"/>
      <c r="R6109" s="293"/>
      <c r="S6109" s="316"/>
      <c r="T6109" s="355"/>
    </row>
    <row r="6110" spans="11:20" x14ac:dyDescent="0.25">
      <c r="K6110" s="312"/>
      <c r="N6110" s="514"/>
      <c r="R6110" s="293"/>
      <c r="S6110" s="316"/>
      <c r="T6110" s="355"/>
    </row>
    <row r="6111" spans="11:20" x14ac:dyDescent="0.25">
      <c r="K6111" s="312"/>
      <c r="N6111" s="514"/>
      <c r="R6111" s="293"/>
      <c r="S6111" s="316"/>
      <c r="T6111" s="355"/>
    </row>
    <row r="6112" spans="11:20" x14ac:dyDescent="0.25">
      <c r="K6112" s="312"/>
      <c r="N6112" s="514"/>
      <c r="R6112" s="293"/>
      <c r="S6112" s="316"/>
      <c r="T6112" s="355"/>
    </row>
    <row r="6113" spans="11:20" x14ac:dyDescent="0.25">
      <c r="K6113" s="312"/>
      <c r="N6113" s="514"/>
      <c r="R6113" s="293"/>
      <c r="S6113" s="316"/>
      <c r="T6113" s="355"/>
    </row>
    <row r="6114" spans="11:20" x14ac:dyDescent="0.25">
      <c r="K6114" s="312"/>
      <c r="N6114" s="514"/>
      <c r="R6114" s="293"/>
      <c r="S6114" s="316"/>
      <c r="T6114" s="355"/>
    </row>
    <row r="6115" spans="11:20" x14ac:dyDescent="0.25">
      <c r="K6115" s="312"/>
      <c r="N6115" s="514"/>
      <c r="R6115" s="293"/>
      <c r="S6115" s="316"/>
      <c r="T6115" s="355"/>
    </row>
    <row r="6116" spans="11:20" x14ac:dyDescent="0.25">
      <c r="K6116" s="312"/>
      <c r="N6116" s="514"/>
      <c r="R6116" s="293"/>
      <c r="S6116" s="316"/>
      <c r="T6116" s="355"/>
    </row>
    <row r="6117" spans="11:20" x14ac:dyDescent="0.25">
      <c r="K6117" s="312"/>
      <c r="N6117" s="514"/>
      <c r="R6117" s="293"/>
      <c r="S6117" s="316"/>
      <c r="T6117" s="355"/>
    </row>
    <row r="6118" spans="11:20" x14ac:dyDescent="0.25">
      <c r="K6118" s="312"/>
      <c r="N6118" s="514"/>
      <c r="R6118" s="293"/>
      <c r="S6118" s="316"/>
      <c r="T6118" s="355"/>
    </row>
    <row r="6119" spans="11:20" x14ac:dyDescent="0.25">
      <c r="K6119" s="312"/>
      <c r="N6119" s="514"/>
      <c r="R6119" s="293"/>
      <c r="S6119" s="316"/>
      <c r="T6119" s="355"/>
    </row>
    <row r="6120" spans="11:20" x14ac:dyDescent="0.25">
      <c r="K6120" s="312"/>
      <c r="N6120" s="514"/>
      <c r="R6120" s="293"/>
      <c r="S6120" s="316"/>
      <c r="T6120" s="355"/>
    </row>
    <row r="6121" spans="11:20" x14ac:dyDescent="0.25">
      <c r="K6121" s="312"/>
      <c r="N6121" s="514"/>
      <c r="R6121" s="293"/>
      <c r="S6121" s="316"/>
      <c r="T6121" s="355"/>
    </row>
    <row r="6122" spans="11:20" x14ac:dyDescent="0.25">
      <c r="K6122" s="312"/>
      <c r="N6122" s="514"/>
      <c r="R6122" s="293"/>
      <c r="S6122" s="316"/>
      <c r="T6122" s="355"/>
    </row>
    <row r="6123" spans="11:20" x14ac:dyDescent="0.25">
      <c r="K6123" s="312"/>
      <c r="N6123" s="514"/>
      <c r="R6123" s="293"/>
      <c r="S6123" s="316"/>
      <c r="T6123" s="355"/>
    </row>
    <row r="6124" spans="11:20" x14ac:dyDescent="0.25">
      <c r="K6124" s="312"/>
      <c r="N6124" s="514"/>
      <c r="R6124" s="293"/>
      <c r="S6124" s="316"/>
      <c r="T6124" s="355"/>
    </row>
    <row r="6125" spans="11:20" x14ac:dyDescent="0.25">
      <c r="K6125" s="312"/>
      <c r="N6125" s="514"/>
      <c r="R6125" s="293"/>
      <c r="S6125" s="316"/>
      <c r="T6125" s="355"/>
    </row>
    <row r="6126" spans="11:20" x14ac:dyDescent="0.25">
      <c r="K6126" s="312"/>
      <c r="N6126" s="514"/>
      <c r="R6126" s="293"/>
      <c r="S6126" s="316"/>
      <c r="T6126" s="355"/>
    </row>
    <row r="6127" spans="11:20" x14ac:dyDescent="0.25">
      <c r="K6127" s="312"/>
      <c r="N6127" s="514"/>
      <c r="R6127" s="293"/>
      <c r="S6127" s="316"/>
      <c r="T6127" s="355"/>
    </row>
    <row r="6128" spans="11:20" x14ac:dyDescent="0.25">
      <c r="K6128" s="312"/>
      <c r="N6128" s="514"/>
      <c r="R6128" s="293"/>
      <c r="S6128" s="316"/>
      <c r="T6128" s="355"/>
    </row>
    <row r="6129" spans="11:20" x14ac:dyDescent="0.25">
      <c r="K6129" s="312"/>
      <c r="N6129" s="514"/>
      <c r="R6129" s="293"/>
      <c r="S6129" s="316"/>
      <c r="T6129" s="355"/>
    </row>
    <row r="6130" spans="11:20" x14ac:dyDescent="0.25">
      <c r="K6130" s="312"/>
      <c r="N6130" s="514"/>
      <c r="R6130" s="293"/>
      <c r="S6130" s="316"/>
      <c r="T6130" s="355"/>
    </row>
    <row r="6131" spans="11:20" x14ac:dyDescent="0.25">
      <c r="K6131" s="312"/>
      <c r="N6131" s="514"/>
      <c r="R6131" s="293"/>
      <c r="S6131" s="316"/>
      <c r="T6131" s="355"/>
    </row>
    <row r="6132" spans="11:20" x14ac:dyDescent="0.25">
      <c r="K6132" s="312"/>
      <c r="N6132" s="514"/>
      <c r="R6132" s="293"/>
      <c r="S6132" s="316"/>
      <c r="T6132" s="355"/>
    </row>
    <row r="6133" spans="11:20" x14ac:dyDescent="0.25">
      <c r="K6133" s="312"/>
      <c r="N6133" s="514"/>
      <c r="R6133" s="293"/>
      <c r="S6133" s="316"/>
      <c r="T6133" s="355"/>
    </row>
    <row r="6134" spans="11:20" x14ac:dyDescent="0.25">
      <c r="K6134" s="312"/>
      <c r="N6134" s="514"/>
      <c r="R6134" s="293"/>
      <c r="S6134" s="316"/>
      <c r="T6134" s="355"/>
    </row>
    <row r="6135" spans="11:20" x14ac:dyDescent="0.25">
      <c r="K6135" s="312"/>
      <c r="N6135" s="514"/>
      <c r="R6135" s="293"/>
      <c r="S6135" s="316"/>
      <c r="T6135" s="355"/>
    </row>
    <row r="6136" spans="11:20" x14ac:dyDescent="0.25">
      <c r="K6136" s="312"/>
      <c r="N6136" s="514"/>
      <c r="R6136" s="293"/>
      <c r="S6136" s="316"/>
      <c r="T6136" s="355"/>
    </row>
    <row r="6137" spans="11:20" x14ac:dyDescent="0.25">
      <c r="K6137" s="312"/>
      <c r="N6137" s="514"/>
      <c r="R6137" s="293"/>
      <c r="S6137" s="316"/>
      <c r="T6137" s="355"/>
    </row>
    <row r="6138" spans="11:20" x14ac:dyDescent="0.25">
      <c r="K6138" s="312"/>
      <c r="N6138" s="514"/>
      <c r="R6138" s="293"/>
      <c r="S6138" s="316"/>
      <c r="T6138" s="355"/>
    </row>
    <row r="6139" spans="11:20" x14ac:dyDescent="0.25">
      <c r="K6139" s="312"/>
      <c r="N6139" s="514"/>
      <c r="R6139" s="293"/>
      <c r="S6139" s="316"/>
      <c r="T6139" s="355"/>
    </row>
    <row r="6140" spans="11:20" x14ac:dyDescent="0.25">
      <c r="K6140" s="312"/>
      <c r="N6140" s="514"/>
      <c r="R6140" s="293"/>
      <c r="S6140" s="316"/>
      <c r="T6140" s="355"/>
    </row>
    <row r="6141" spans="11:20" x14ac:dyDescent="0.25">
      <c r="K6141" s="312"/>
      <c r="N6141" s="514"/>
      <c r="R6141" s="293"/>
      <c r="S6141" s="316"/>
      <c r="T6141" s="355"/>
    </row>
    <row r="6142" spans="11:20" x14ac:dyDescent="0.25">
      <c r="K6142" s="312"/>
      <c r="N6142" s="514"/>
      <c r="R6142" s="293"/>
      <c r="S6142" s="316"/>
      <c r="T6142" s="355"/>
    </row>
    <row r="6143" spans="11:20" x14ac:dyDescent="0.25">
      <c r="K6143" s="312"/>
      <c r="N6143" s="514"/>
      <c r="R6143" s="293"/>
      <c r="S6143" s="316"/>
      <c r="T6143" s="355"/>
    </row>
    <row r="6144" spans="11:20" x14ac:dyDescent="0.25">
      <c r="K6144" s="312"/>
      <c r="N6144" s="514"/>
      <c r="R6144" s="293"/>
      <c r="S6144" s="316"/>
      <c r="T6144" s="355"/>
    </row>
    <row r="6145" spans="11:20" x14ac:dyDescent="0.25">
      <c r="K6145" s="312"/>
      <c r="N6145" s="514"/>
      <c r="R6145" s="293"/>
      <c r="S6145" s="316"/>
      <c r="T6145" s="355"/>
    </row>
    <row r="6146" spans="11:20" x14ac:dyDescent="0.25">
      <c r="K6146" s="312"/>
      <c r="N6146" s="514"/>
      <c r="R6146" s="293"/>
      <c r="S6146" s="316"/>
      <c r="T6146" s="355"/>
    </row>
    <row r="6147" spans="11:20" x14ac:dyDescent="0.25">
      <c r="K6147" s="312"/>
      <c r="N6147" s="514"/>
      <c r="R6147" s="293"/>
      <c r="S6147" s="316"/>
      <c r="T6147" s="355"/>
    </row>
    <row r="6148" spans="11:20" x14ac:dyDescent="0.25">
      <c r="K6148" s="312"/>
      <c r="N6148" s="514"/>
      <c r="R6148" s="293"/>
      <c r="S6148" s="316"/>
      <c r="T6148" s="355"/>
    </row>
    <row r="6149" spans="11:20" x14ac:dyDescent="0.25">
      <c r="K6149" s="312"/>
      <c r="N6149" s="514"/>
      <c r="R6149" s="293"/>
      <c r="S6149" s="316"/>
      <c r="T6149" s="355"/>
    </row>
    <row r="6150" spans="11:20" x14ac:dyDescent="0.25">
      <c r="K6150" s="312"/>
      <c r="N6150" s="514"/>
      <c r="R6150" s="293"/>
      <c r="S6150" s="316"/>
      <c r="T6150" s="355"/>
    </row>
    <row r="6151" spans="11:20" x14ac:dyDescent="0.25">
      <c r="K6151" s="312"/>
      <c r="N6151" s="514"/>
      <c r="R6151" s="293"/>
      <c r="S6151" s="316"/>
      <c r="T6151" s="355"/>
    </row>
    <row r="6152" spans="11:20" x14ac:dyDescent="0.25">
      <c r="K6152" s="312"/>
      <c r="N6152" s="514"/>
      <c r="R6152" s="293"/>
      <c r="S6152" s="316"/>
      <c r="T6152" s="355"/>
    </row>
    <row r="6153" spans="11:20" x14ac:dyDescent="0.25">
      <c r="K6153" s="312"/>
      <c r="N6153" s="514"/>
      <c r="R6153" s="293"/>
      <c r="S6153" s="316"/>
      <c r="T6153" s="355"/>
    </row>
    <row r="6154" spans="11:20" x14ac:dyDescent="0.25">
      <c r="K6154" s="312"/>
      <c r="N6154" s="514"/>
      <c r="R6154" s="293"/>
      <c r="S6154" s="316"/>
      <c r="T6154" s="355"/>
    </row>
    <row r="6155" spans="11:20" x14ac:dyDescent="0.25">
      <c r="K6155" s="312"/>
      <c r="N6155" s="514"/>
      <c r="R6155" s="293"/>
      <c r="S6155" s="316"/>
      <c r="T6155" s="355"/>
    </row>
    <row r="6156" spans="11:20" x14ac:dyDescent="0.25">
      <c r="K6156" s="312"/>
      <c r="N6156" s="514"/>
      <c r="R6156" s="293"/>
      <c r="S6156" s="316"/>
      <c r="T6156" s="355"/>
    </row>
    <row r="6157" spans="11:20" x14ac:dyDescent="0.25">
      <c r="K6157" s="312"/>
      <c r="N6157" s="514"/>
      <c r="R6157" s="293"/>
      <c r="S6157" s="316"/>
      <c r="T6157" s="355"/>
    </row>
    <row r="6158" spans="11:20" x14ac:dyDescent="0.25">
      <c r="K6158" s="312"/>
      <c r="N6158" s="514"/>
      <c r="R6158" s="293"/>
      <c r="S6158" s="316"/>
      <c r="T6158" s="355"/>
    </row>
    <row r="6159" spans="11:20" x14ac:dyDescent="0.25">
      <c r="K6159" s="312"/>
      <c r="N6159" s="514"/>
      <c r="R6159" s="293"/>
      <c r="S6159" s="316"/>
      <c r="T6159" s="355"/>
    </row>
    <row r="6160" spans="11:20" x14ac:dyDescent="0.25">
      <c r="K6160" s="312"/>
      <c r="N6160" s="514"/>
      <c r="R6160" s="293"/>
      <c r="S6160" s="316"/>
      <c r="T6160" s="355"/>
    </row>
    <row r="6161" spans="11:20" x14ac:dyDescent="0.25">
      <c r="K6161" s="312"/>
      <c r="N6161" s="514"/>
      <c r="R6161" s="293"/>
      <c r="S6161" s="316"/>
      <c r="T6161" s="355"/>
    </row>
    <row r="6162" spans="11:20" x14ac:dyDescent="0.25">
      <c r="K6162" s="312"/>
      <c r="N6162" s="514"/>
      <c r="R6162" s="293"/>
      <c r="S6162" s="316"/>
      <c r="T6162" s="355"/>
    </row>
    <row r="6163" spans="11:20" x14ac:dyDescent="0.25">
      <c r="K6163" s="312"/>
      <c r="N6163" s="514"/>
      <c r="R6163" s="293"/>
      <c r="S6163" s="316"/>
      <c r="T6163" s="355"/>
    </row>
    <row r="6164" spans="11:20" x14ac:dyDescent="0.25">
      <c r="K6164" s="312"/>
      <c r="N6164" s="514"/>
      <c r="R6164" s="293"/>
      <c r="S6164" s="316"/>
      <c r="T6164" s="355"/>
    </row>
    <row r="6165" spans="11:20" x14ac:dyDescent="0.25">
      <c r="K6165" s="312"/>
      <c r="N6165" s="514"/>
      <c r="R6165" s="293"/>
      <c r="S6165" s="316"/>
      <c r="T6165" s="355"/>
    </row>
    <row r="6166" spans="11:20" x14ac:dyDescent="0.25">
      <c r="K6166" s="312"/>
      <c r="N6166" s="514"/>
      <c r="R6166" s="293"/>
      <c r="S6166" s="316"/>
      <c r="T6166" s="355"/>
    </row>
    <row r="6167" spans="11:20" x14ac:dyDescent="0.25">
      <c r="K6167" s="312"/>
      <c r="N6167" s="514"/>
      <c r="R6167" s="293"/>
      <c r="S6167" s="316"/>
      <c r="T6167" s="355"/>
    </row>
    <row r="6168" spans="11:20" x14ac:dyDescent="0.25">
      <c r="K6168" s="312"/>
      <c r="N6168" s="514"/>
      <c r="R6168" s="293"/>
      <c r="S6168" s="316"/>
      <c r="T6168" s="355"/>
    </row>
    <row r="6169" spans="11:20" x14ac:dyDescent="0.25">
      <c r="K6169" s="312"/>
      <c r="N6169" s="514"/>
      <c r="R6169" s="293"/>
      <c r="S6169" s="316"/>
      <c r="T6169" s="355"/>
    </row>
    <row r="6170" spans="11:20" x14ac:dyDescent="0.25">
      <c r="K6170" s="312"/>
      <c r="N6170" s="514"/>
      <c r="R6170" s="293"/>
      <c r="S6170" s="316"/>
      <c r="T6170" s="355"/>
    </row>
    <row r="6171" spans="11:20" x14ac:dyDescent="0.25">
      <c r="K6171" s="312"/>
      <c r="N6171" s="514"/>
      <c r="R6171" s="293"/>
      <c r="S6171" s="316"/>
      <c r="T6171" s="355"/>
    </row>
    <row r="6172" spans="11:20" x14ac:dyDescent="0.25">
      <c r="K6172" s="312"/>
      <c r="N6172" s="514"/>
      <c r="R6172" s="293"/>
      <c r="S6172" s="316"/>
      <c r="T6172" s="355"/>
    </row>
    <row r="6173" spans="11:20" x14ac:dyDescent="0.25">
      <c r="K6173" s="312"/>
      <c r="N6173" s="514"/>
      <c r="R6173" s="293"/>
      <c r="S6173" s="316"/>
      <c r="T6173" s="355"/>
    </row>
    <row r="6174" spans="11:20" x14ac:dyDescent="0.25">
      <c r="K6174" s="312"/>
      <c r="N6174" s="514"/>
      <c r="R6174" s="293"/>
      <c r="S6174" s="316"/>
      <c r="T6174" s="355"/>
    </row>
    <row r="6175" spans="11:20" x14ac:dyDescent="0.25">
      <c r="K6175" s="312"/>
      <c r="N6175" s="514"/>
      <c r="R6175" s="293"/>
      <c r="S6175" s="316"/>
      <c r="T6175" s="355"/>
    </row>
    <row r="6176" spans="11:20" x14ac:dyDescent="0.25">
      <c r="K6176" s="312"/>
      <c r="N6176" s="514"/>
      <c r="R6176" s="293"/>
      <c r="S6176" s="316"/>
      <c r="T6176" s="355"/>
    </row>
    <row r="6177" spans="11:20" x14ac:dyDescent="0.25">
      <c r="K6177" s="312"/>
      <c r="N6177" s="514"/>
      <c r="R6177" s="293"/>
      <c r="S6177" s="316"/>
      <c r="T6177" s="355"/>
    </row>
    <row r="6178" spans="11:20" x14ac:dyDescent="0.25">
      <c r="K6178" s="312"/>
      <c r="N6178" s="514"/>
      <c r="R6178" s="293"/>
      <c r="S6178" s="316"/>
      <c r="T6178" s="355"/>
    </row>
    <row r="6179" spans="11:20" x14ac:dyDescent="0.25">
      <c r="K6179" s="312"/>
      <c r="N6179" s="514"/>
      <c r="R6179" s="293"/>
      <c r="S6179" s="316"/>
      <c r="T6179" s="355"/>
    </row>
    <row r="6180" spans="11:20" x14ac:dyDescent="0.25">
      <c r="K6180" s="312"/>
      <c r="N6180" s="514"/>
      <c r="R6180" s="293"/>
      <c r="S6180" s="316"/>
      <c r="T6180" s="355"/>
    </row>
    <row r="6181" spans="11:20" x14ac:dyDescent="0.25">
      <c r="K6181" s="312"/>
      <c r="N6181" s="514"/>
      <c r="R6181" s="293"/>
      <c r="S6181" s="316"/>
      <c r="T6181" s="355"/>
    </row>
    <row r="6182" spans="11:20" x14ac:dyDescent="0.25">
      <c r="K6182" s="312"/>
      <c r="N6182" s="514"/>
      <c r="R6182" s="293"/>
      <c r="S6182" s="316"/>
      <c r="T6182" s="355"/>
    </row>
    <row r="6183" spans="11:20" x14ac:dyDescent="0.25">
      <c r="K6183" s="312"/>
      <c r="N6183" s="514"/>
      <c r="R6183" s="293"/>
      <c r="S6183" s="316"/>
      <c r="T6183" s="355"/>
    </row>
    <row r="6184" spans="11:20" x14ac:dyDescent="0.25">
      <c r="K6184" s="312"/>
      <c r="N6184" s="514"/>
      <c r="R6184" s="293"/>
      <c r="S6184" s="316"/>
      <c r="T6184" s="355"/>
    </row>
    <row r="6185" spans="11:20" x14ac:dyDescent="0.25">
      <c r="K6185" s="312"/>
      <c r="N6185" s="514"/>
      <c r="R6185" s="293"/>
      <c r="S6185" s="316"/>
      <c r="T6185" s="355"/>
    </row>
    <row r="6186" spans="11:20" x14ac:dyDescent="0.25">
      <c r="K6186" s="312"/>
      <c r="N6186" s="514"/>
      <c r="R6186" s="293"/>
      <c r="S6186" s="316"/>
      <c r="T6186" s="355"/>
    </row>
    <row r="6187" spans="11:20" x14ac:dyDescent="0.25">
      <c r="K6187" s="312"/>
      <c r="N6187" s="514"/>
      <c r="R6187" s="293"/>
      <c r="S6187" s="316"/>
      <c r="T6187" s="355"/>
    </row>
    <row r="6188" spans="11:20" x14ac:dyDescent="0.25">
      <c r="K6188" s="312"/>
      <c r="N6188" s="514"/>
      <c r="R6188" s="293"/>
      <c r="S6188" s="316"/>
      <c r="T6188" s="355"/>
    </row>
    <row r="6189" spans="11:20" x14ac:dyDescent="0.25">
      <c r="K6189" s="312"/>
      <c r="N6189" s="514"/>
      <c r="R6189" s="293"/>
      <c r="S6189" s="316"/>
      <c r="T6189" s="355"/>
    </row>
    <row r="6190" spans="11:20" x14ac:dyDescent="0.25">
      <c r="K6190" s="312"/>
      <c r="N6190" s="514"/>
      <c r="R6190" s="293"/>
      <c r="S6190" s="316"/>
      <c r="T6190" s="355"/>
    </row>
    <row r="6191" spans="11:20" x14ac:dyDescent="0.25">
      <c r="K6191" s="312"/>
      <c r="N6191" s="514"/>
      <c r="R6191" s="293"/>
      <c r="S6191" s="316"/>
      <c r="T6191" s="355"/>
    </row>
    <row r="6192" spans="11:20" x14ac:dyDescent="0.25">
      <c r="K6192" s="312"/>
      <c r="N6192" s="514"/>
      <c r="R6192" s="293"/>
      <c r="S6192" s="316"/>
      <c r="T6192" s="355"/>
    </row>
    <row r="6193" spans="11:20" x14ac:dyDescent="0.25">
      <c r="K6193" s="312"/>
      <c r="N6193" s="514"/>
      <c r="R6193" s="293"/>
      <c r="S6193" s="316"/>
      <c r="T6193" s="355"/>
    </row>
    <row r="6194" spans="11:20" x14ac:dyDescent="0.25">
      <c r="K6194" s="312"/>
      <c r="N6194" s="514"/>
      <c r="R6194" s="293"/>
      <c r="S6194" s="316"/>
      <c r="T6194" s="355"/>
    </row>
    <row r="6195" spans="11:20" x14ac:dyDescent="0.25">
      <c r="K6195" s="312"/>
      <c r="N6195" s="514"/>
      <c r="R6195" s="293"/>
      <c r="S6195" s="316"/>
      <c r="T6195" s="355"/>
    </row>
    <row r="6196" spans="11:20" x14ac:dyDescent="0.25">
      <c r="K6196" s="312"/>
      <c r="N6196" s="514"/>
      <c r="R6196" s="293"/>
      <c r="S6196" s="316"/>
      <c r="T6196" s="355"/>
    </row>
    <row r="6197" spans="11:20" x14ac:dyDescent="0.25">
      <c r="K6197" s="312"/>
      <c r="N6197" s="514"/>
      <c r="R6197" s="293"/>
      <c r="S6197" s="316"/>
      <c r="T6197" s="355"/>
    </row>
    <row r="6198" spans="11:20" x14ac:dyDescent="0.25">
      <c r="K6198" s="312"/>
      <c r="N6198" s="514"/>
      <c r="R6198" s="293"/>
      <c r="S6198" s="316"/>
      <c r="T6198" s="355"/>
    </row>
    <row r="6199" spans="11:20" x14ac:dyDescent="0.25">
      <c r="K6199" s="312"/>
      <c r="N6199" s="514"/>
      <c r="R6199" s="293"/>
      <c r="S6199" s="316"/>
      <c r="T6199" s="355"/>
    </row>
    <row r="6200" spans="11:20" x14ac:dyDescent="0.25">
      <c r="K6200" s="312"/>
      <c r="N6200" s="514"/>
      <c r="R6200" s="293"/>
      <c r="S6200" s="316"/>
      <c r="T6200" s="355"/>
    </row>
    <row r="6201" spans="11:20" x14ac:dyDescent="0.25">
      <c r="K6201" s="312"/>
      <c r="N6201" s="514"/>
      <c r="R6201" s="293"/>
      <c r="S6201" s="316"/>
      <c r="T6201" s="355"/>
    </row>
    <row r="6202" spans="11:20" x14ac:dyDescent="0.25">
      <c r="K6202" s="312"/>
      <c r="N6202" s="514"/>
      <c r="R6202" s="293"/>
      <c r="S6202" s="316"/>
      <c r="T6202" s="355"/>
    </row>
    <row r="6203" spans="11:20" x14ac:dyDescent="0.25">
      <c r="K6203" s="312"/>
      <c r="N6203" s="514"/>
      <c r="R6203" s="293"/>
      <c r="S6203" s="316"/>
      <c r="T6203" s="355"/>
    </row>
    <row r="6204" spans="11:20" x14ac:dyDescent="0.25">
      <c r="K6204" s="312"/>
      <c r="N6204" s="514"/>
      <c r="R6204" s="293"/>
      <c r="S6204" s="316"/>
      <c r="T6204" s="355"/>
    </row>
    <row r="6205" spans="11:20" x14ac:dyDescent="0.25">
      <c r="K6205" s="312"/>
      <c r="N6205" s="514"/>
      <c r="R6205" s="293"/>
      <c r="S6205" s="316"/>
      <c r="T6205" s="355"/>
    </row>
    <row r="6206" spans="11:20" x14ac:dyDescent="0.25">
      <c r="K6206" s="312"/>
      <c r="N6206" s="514"/>
      <c r="R6206" s="293"/>
      <c r="S6206" s="316"/>
      <c r="T6206" s="355"/>
    </row>
    <row r="6207" spans="11:20" x14ac:dyDescent="0.25">
      <c r="K6207" s="312"/>
      <c r="N6207" s="514"/>
      <c r="R6207" s="293"/>
      <c r="S6207" s="316"/>
      <c r="T6207" s="355"/>
    </row>
    <row r="6208" spans="11:20" x14ac:dyDescent="0.25">
      <c r="K6208" s="312"/>
      <c r="N6208" s="514"/>
      <c r="R6208" s="293"/>
      <c r="S6208" s="316"/>
      <c r="T6208" s="355"/>
    </row>
    <row r="6209" spans="11:20" x14ac:dyDescent="0.25">
      <c r="K6209" s="312"/>
      <c r="N6209" s="514"/>
      <c r="R6209" s="293"/>
      <c r="S6209" s="316"/>
      <c r="T6209" s="355"/>
    </row>
    <row r="6210" spans="11:20" x14ac:dyDescent="0.25">
      <c r="K6210" s="312"/>
      <c r="N6210" s="514"/>
      <c r="R6210" s="293"/>
      <c r="S6210" s="316"/>
      <c r="T6210" s="355"/>
    </row>
    <row r="6211" spans="11:20" x14ac:dyDescent="0.25">
      <c r="K6211" s="312"/>
      <c r="N6211" s="514"/>
      <c r="R6211" s="293"/>
      <c r="S6211" s="316"/>
      <c r="T6211" s="355"/>
    </row>
    <row r="6212" spans="11:20" x14ac:dyDescent="0.25">
      <c r="K6212" s="312"/>
      <c r="N6212" s="514"/>
      <c r="R6212" s="293"/>
      <c r="S6212" s="316"/>
      <c r="T6212" s="355"/>
    </row>
    <row r="6213" spans="11:20" x14ac:dyDescent="0.25">
      <c r="K6213" s="312"/>
      <c r="N6213" s="514"/>
      <c r="R6213" s="293"/>
      <c r="S6213" s="316"/>
      <c r="T6213" s="355"/>
    </row>
    <row r="6214" spans="11:20" x14ac:dyDescent="0.25">
      <c r="K6214" s="312"/>
      <c r="N6214" s="514"/>
      <c r="R6214" s="293"/>
      <c r="S6214" s="316"/>
      <c r="T6214" s="355"/>
    </row>
    <row r="6215" spans="11:20" x14ac:dyDescent="0.25">
      <c r="K6215" s="312"/>
      <c r="N6215" s="514"/>
      <c r="R6215" s="293"/>
      <c r="S6215" s="316"/>
      <c r="T6215" s="355"/>
    </row>
    <row r="6216" spans="11:20" x14ac:dyDescent="0.25">
      <c r="K6216" s="312"/>
      <c r="N6216" s="514"/>
      <c r="R6216" s="293"/>
      <c r="S6216" s="316"/>
      <c r="T6216" s="355"/>
    </row>
    <row r="6217" spans="11:20" x14ac:dyDescent="0.25">
      <c r="K6217" s="312"/>
      <c r="N6217" s="514"/>
      <c r="R6217" s="293"/>
      <c r="S6217" s="316"/>
      <c r="T6217" s="355"/>
    </row>
    <row r="6218" spans="11:20" x14ac:dyDescent="0.25">
      <c r="K6218" s="312"/>
      <c r="N6218" s="514"/>
      <c r="R6218" s="293"/>
      <c r="S6218" s="316"/>
      <c r="T6218" s="355"/>
    </row>
    <row r="6219" spans="11:20" x14ac:dyDescent="0.25">
      <c r="K6219" s="312"/>
      <c r="N6219" s="514"/>
      <c r="R6219" s="293"/>
      <c r="S6219" s="316"/>
      <c r="T6219" s="355"/>
    </row>
    <row r="6220" spans="11:20" x14ac:dyDescent="0.25">
      <c r="K6220" s="312"/>
      <c r="N6220" s="514"/>
      <c r="R6220" s="293"/>
      <c r="S6220" s="316"/>
      <c r="T6220" s="355"/>
    </row>
    <row r="6221" spans="11:20" x14ac:dyDescent="0.25">
      <c r="K6221" s="312"/>
      <c r="N6221" s="514"/>
      <c r="R6221" s="293"/>
      <c r="S6221" s="316"/>
      <c r="T6221" s="355"/>
    </row>
    <row r="6222" spans="11:20" x14ac:dyDescent="0.25">
      <c r="K6222" s="312"/>
      <c r="N6222" s="514"/>
      <c r="R6222" s="293"/>
      <c r="S6222" s="316"/>
      <c r="T6222" s="355"/>
    </row>
    <row r="6223" spans="11:20" x14ac:dyDescent="0.25">
      <c r="K6223" s="312"/>
      <c r="N6223" s="514"/>
      <c r="R6223" s="293"/>
      <c r="S6223" s="316"/>
      <c r="T6223" s="355"/>
    </row>
    <row r="6224" spans="11:20" x14ac:dyDescent="0.25">
      <c r="K6224" s="312"/>
      <c r="N6224" s="514"/>
      <c r="R6224" s="293"/>
      <c r="S6224" s="316"/>
      <c r="T6224" s="355"/>
    </row>
    <row r="6225" spans="11:20" x14ac:dyDescent="0.25">
      <c r="K6225" s="312"/>
      <c r="N6225" s="514"/>
      <c r="R6225" s="293"/>
      <c r="S6225" s="316"/>
      <c r="T6225" s="355"/>
    </row>
    <row r="6226" spans="11:20" x14ac:dyDescent="0.25">
      <c r="K6226" s="312"/>
      <c r="N6226" s="514"/>
      <c r="R6226" s="293"/>
      <c r="S6226" s="316"/>
      <c r="T6226" s="355"/>
    </row>
    <row r="6227" spans="11:20" x14ac:dyDescent="0.25">
      <c r="K6227" s="312"/>
      <c r="N6227" s="514"/>
      <c r="R6227" s="293"/>
      <c r="S6227" s="316"/>
      <c r="T6227" s="355"/>
    </row>
    <row r="6228" spans="11:20" x14ac:dyDescent="0.25">
      <c r="K6228" s="312"/>
      <c r="N6228" s="514"/>
      <c r="R6228" s="293"/>
      <c r="S6228" s="316"/>
      <c r="T6228" s="355"/>
    </row>
    <row r="6229" spans="11:20" x14ac:dyDescent="0.25">
      <c r="K6229" s="312"/>
      <c r="N6229" s="514"/>
      <c r="R6229" s="293"/>
      <c r="S6229" s="316"/>
      <c r="T6229" s="355"/>
    </row>
    <row r="6230" spans="11:20" x14ac:dyDescent="0.25">
      <c r="K6230" s="312"/>
      <c r="N6230" s="514"/>
      <c r="R6230" s="293"/>
      <c r="S6230" s="316"/>
      <c r="T6230" s="355"/>
    </row>
    <row r="6231" spans="11:20" x14ac:dyDescent="0.25">
      <c r="K6231" s="312"/>
      <c r="N6231" s="514"/>
      <c r="R6231" s="293"/>
      <c r="S6231" s="316"/>
      <c r="T6231" s="355"/>
    </row>
    <row r="6232" spans="11:20" x14ac:dyDescent="0.25">
      <c r="K6232" s="312"/>
      <c r="N6232" s="514"/>
      <c r="R6232" s="293"/>
      <c r="S6232" s="316"/>
      <c r="T6232" s="355"/>
    </row>
    <row r="6233" spans="11:20" x14ac:dyDescent="0.25">
      <c r="K6233" s="312"/>
      <c r="N6233" s="514"/>
      <c r="R6233" s="293"/>
      <c r="S6233" s="316"/>
      <c r="T6233" s="355"/>
    </row>
    <row r="6234" spans="11:20" x14ac:dyDescent="0.25">
      <c r="K6234" s="312"/>
      <c r="N6234" s="514"/>
      <c r="R6234" s="293"/>
      <c r="S6234" s="316"/>
      <c r="T6234" s="355"/>
    </row>
    <row r="6235" spans="11:20" x14ac:dyDescent="0.25">
      <c r="K6235" s="312"/>
      <c r="N6235" s="514"/>
      <c r="R6235" s="293"/>
      <c r="S6235" s="316"/>
      <c r="T6235" s="355"/>
    </row>
    <row r="6236" spans="11:20" x14ac:dyDescent="0.25">
      <c r="K6236" s="312"/>
      <c r="N6236" s="514"/>
      <c r="R6236" s="293"/>
      <c r="S6236" s="316"/>
      <c r="T6236" s="355"/>
    </row>
    <row r="6237" spans="11:20" x14ac:dyDescent="0.25">
      <c r="K6237" s="312"/>
      <c r="N6237" s="514"/>
      <c r="R6237" s="293"/>
      <c r="S6237" s="316"/>
      <c r="T6237" s="355"/>
    </row>
    <row r="6238" spans="11:20" x14ac:dyDescent="0.25">
      <c r="K6238" s="312"/>
      <c r="N6238" s="514"/>
      <c r="R6238" s="293"/>
      <c r="S6238" s="316"/>
      <c r="T6238" s="355"/>
    </row>
    <row r="6239" spans="11:20" x14ac:dyDescent="0.25">
      <c r="K6239" s="312"/>
      <c r="N6239" s="514"/>
      <c r="R6239" s="293"/>
      <c r="S6239" s="316"/>
      <c r="T6239" s="355"/>
    </row>
    <row r="6240" spans="11:20" x14ac:dyDescent="0.25">
      <c r="K6240" s="312"/>
      <c r="N6240" s="514"/>
      <c r="R6240" s="293"/>
      <c r="S6240" s="316"/>
      <c r="T6240" s="355"/>
    </row>
    <row r="6241" spans="11:20" x14ac:dyDescent="0.25">
      <c r="K6241" s="312"/>
      <c r="N6241" s="514"/>
      <c r="R6241" s="293"/>
      <c r="S6241" s="316"/>
      <c r="T6241" s="355"/>
    </row>
    <row r="6242" spans="11:20" x14ac:dyDescent="0.25">
      <c r="K6242" s="312"/>
      <c r="N6242" s="514"/>
      <c r="R6242" s="293"/>
      <c r="S6242" s="316"/>
      <c r="T6242" s="355"/>
    </row>
    <row r="6243" spans="11:20" x14ac:dyDescent="0.25">
      <c r="K6243" s="312"/>
      <c r="N6243" s="514"/>
      <c r="R6243" s="293"/>
      <c r="S6243" s="316"/>
      <c r="T6243" s="355"/>
    </row>
    <row r="6244" spans="11:20" x14ac:dyDescent="0.25">
      <c r="K6244" s="312"/>
      <c r="N6244" s="514"/>
      <c r="R6244" s="293"/>
      <c r="S6244" s="316"/>
      <c r="T6244" s="355"/>
    </row>
    <row r="6245" spans="11:20" x14ac:dyDescent="0.25">
      <c r="K6245" s="312"/>
      <c r="N6245" s="514"/>
      <c r="R6245" s="293"/>
      <c r="S6245" s="316"/>
      <c r="T6245" s="355"/>
    </row>
    <row r="6246" spans="11:20" x14ac:dyDescent="0.25">
      <c r="K6246" s="312"/>
      <c r="N6246" s="514"/>
      <c r="R6246" s="293"/>
      <c r="S6246" s="316"/>
      <c r="T6246" s="355"/>
    </row>
    <row r="6247" spans="11:20" x14ac:dyDescent="0.25">
      <c r="K6247" s="312"/>
      <c r="N6247" s="514"/>
      <c r="R6247" s="293"/>
      <c r="S6247" s="316"/>
      <c r="T6247" s="355"/>
    </row>
    <row r="6248" spans="11:20" x14ac:dyDescent="0.25">
      <c r="K6248" s="312"/>
      <c r="N6248" s="514"/>
      <c r="R6248" s="293"/>
      <c r="S6248" s="316"/>
      <c r="T6248" s="355"/>
    </row>
    <row r="6249" spans="11:20" x14ac:dyDescent="0.25">
      <c r="K6249" s="312"/>
      <c r="N6249" s="514"/>
      <c r="R6249" s="293"/>
      <c r="S6249" s="316"/>
      <c r="T6249" s="355"/>
    </row>
    <row r="6250" spans="11:20" x14ac:dyDescent="0.25">
      <c r="K6250" s="312"/>
      <c r="N6250" s="514"/>
      <c r="R6250" s="293"/>
      <c r="S6250" s="316"/>
      <c r="T6250" s="355"/>
    </row>
    <row r="6251" spans="11:20" x14ac:dyDescent="0.25">
      <c r="K6251" s="312"/>
      <c r="N6251" s="514"/>
      <c r="R6251" s="293"/>
      <c r="S6251" s="316"/>
      <c r="T6251" s="355"/>
    </row>
    <row r="6252" spans="11:20" x14ac:dyDescent="0.25">
      <c r="K6252" s="312"/>
      <c r="N6252" s="514"/>
      <c r="R6252" s="293"/>
      <c r="S6252" s="316"/>
      <c r="T6252" s="355"/>
    </row>
    <row r="6253" spans="11:20" x14ac:dyDescent="0.25">
      <c r="K6253" s="312"/>
      <c r="N6253" s="514"/>
      <c r="R6253" s="293"/>
      <c r="S6253" s="316"/>
      <c r="T6253" s="355"/>
    </row>
    <row r="6254" spans="11:20" x14ac:dyDescent="0.25">
      <c r="K6254" s="312"/>
      <c r="N6254" s="514"/>
      <c r="R6254" s="293"/>
      <c r="S6254" s="316"/>
      <c r="T6254" s="355"/>
    </row>
    <row r="6255" spans="11:20" x14ac:dyDescent="0.25">
      <c r="K6255" s="312"/>
      <c r="N6255" s="514"/>
      <c r="R6255" s="293"/>
      <c r="S6255" s="316"/>
      <c r="T6255" s="355"/>
    </row>
    <row r="6256" spans="11:20" x14ac:dyDescent="0.25">
      <c r="K6256" s="312"/>
      <c r="N6256" s="514"/>
      <c r="R6256" s="293"/>
      <c r="S6256" s="316"/>
      <c r="T6256" s="355"/>
    </row>
    <row r="6257" spans="11:20" x14ac:dyDescent="0.25">
      <c r="K6257" s="312"/>
      <c r="N6257" s="514"/>
      <c r="R6257" s="293"/>
      <c r="S6257" s="316"/>
      <c r="T6257" s="355"/>
    </row>
    <row r="6258" spans="11:20" x14ac:dyDescent="0.25">
      <c r="K6258" s="312"/>
      <c r="N6258" s="514"/>
      <c r="R6258" s="293"/>
      <c r="S6258" s="316"/>
      <c r="T6258" s="355"/>
    </row>
    <row r="6259" spans="11:20" x14ac:dyDescent="0.25">
      <c r="K6259" s="312"/>
      <c r="N6259" s="514"/>
      <c r="R6259" s="293"/>
      <c r="S6259" s="316"/>
      <c r="T6259" s="355"/>
    </row>
    <row r="6260" spans="11:20" x14ac:dyDescent="0.25">
      <c r="K6260" s="312"/>
      <c r="N6260" s="514"/>
      <c r="R6260" s="293"/>
      <c r="S6260" s="316"/>
      <c r="T6260" s="355"/>
    </row>
    <row r="6261" spans="11:20" x14ac:dyDescent="0.25">
      <c r="K6261" s="312"/>
      <c r="N6261" s="514"/>
      <c r="R6261" s="293"/>
      <c r="S6261" s="316"/>
      <c r="T6261" s="355"/>
    </row>
    <row r="6262" spans="11:20" x14ac:dyDescent="0.25">
      <c r="K6262" s="312"/>
      <c r="N6262" s="514"/>
      <c r="R6262" s="293"/>
      <c r="S6262" s="316"/>
      <c r="T6262" s="355"/>
    </row>
    <row r="6263" spans="11:20" x14ac:dyDescent="0.25">
      <c r="K6263" s="312"/>
      <c r="N6263" s="514"/>
      <c r="R6263" s="293"/>
      <c r="S6263" s="316"/>
      <c r="T6263" s="355"/>
    </row>
    <row r="6264" spans="11:20" x14ac:dyDescent="0.25">
      <c r="K6264" s="312"/>
      <c r="N6264" s="514"/>
      <c r="R6264" s="293"/>
      <c r="S6264" s="316"/>
      <c r="T6264" s="355"/>
    </row>
    <row r="6265" spans="11:20" x14ac:dyDescent="0.25">
      <c r="K6265" s="312"/>
      <c r="N6265" s="514"/>
      <c r="R6265" s="293"/>
      <c r="S6265" s="316"/>
      <c r="T6265" s="355"/>
    </row>
    <row r="6266" spans="11:20" x14ac:dyDescent="0.25">
      <c r="K6266" s="312"/>
      <c r="N6266" s="514"/>
      <c r="R6266" s="293"/>
      <c r="S6266" s="316"/>
      <c r="T6266" s="355"/>
    </row>
    <row r="6267" spans="11:20" x14ac:dyDescent="0.25">
      <c r="K6267" s="312"/>
      <c r="N6267" s="514"/>
      <c r="R6267" s="293"/>
      <c r="S6267" s="316"/>
      <c r="T6267" s="355"/>
    </row>
    <row r="6268" spans="11:20" x14ac:dyDescent="0.25">
      <c r="K6268" s="312"/>
      <c r="N6268" s="514"/>
      <c r="R6268" s="293"/>
      <c r="S6268" s="316"/>
      <c r="T6268" s="355"/>
    </row>
    <row r="6269" spans="11:20" x14ac:dyDescent="0.25">
      <c r="K6269" s="312"/>
      <c r="N6269" s="514"/>
      <c r="R6269" s="293"/>
      <c r="S6269" s="316"/>
      <c r="T6269" s="355"/>
    </row>
    <row r="6270" spans="11:20" x14ac:dyDescent="0.25">
      <c r="K6270" s="312"/>
      <c r="N6270" s="514"/>
      <c r="R6270" s="293"/>
      <c r="S6270" s="316"/>
      <c r="T6270" s="355"/>
    </row>
    <row r="6271" spans="11:20" x14ac:dyDescent="0.25">
      <c r="K6271" s="312"/>
      <c r="N6271" s="514"/>
      <c r="R6271" s="293"/>
      <c r="S6271" s="316"/>
      <c r="T6271" s="355"/>
    </row>
    <row r="6272" spans="11:20" x14ac:dyDescent="0.25">
      <c r="K6272" s="312"/>
      <c r="N6272" s="514"/>
      <c r="R6272" s="293"/>
      <c r="S6272" s="316"/>
      <c r="T6272" s="355"/>
    </row>
    <row r="6273" spans="11:20" x14ac:dyDescent="0.25">
      <c r="K6273" s="312"/>
      <c r="N6273" s="514"/>
      <c r="R6273" s="293"/>
      <c r="S6273" s="316"/>
      <c r="T6273" s="355"/>
    </row>
    <row r="6274" spans="11:20" x14ac:dyDescent="0.25">
      <c r="K6274" s="312"/>
      <c r="N6274" s="514"/>
      <c r="R6274" s="293"/>
      <c r="S6274" s="316"/>
      <c r="T6274" s="355"/>
    </row>
    <row r="6275" spans="11:20" x14ac:dyDescent="0.25">
      <c r="K6275" s="312"/>
      <c r="N6275" s="514"/>
      <c r="R6275" s="293"/>
      <c r="S6275" s="316"/>
      <c r="T6275" s="355"/>
    </row>
    <row r="6276" spans="11:20" x14ac:dyDescent="0.25">
      <c r="K6276" s="312"/>
      <c r="N6276" s="514"/>
      <c r="R6276" s="293"/>
      <c r="S6276" s="316"/>
      <c r="T6276" s="355"/>
    </row>
    <row r="6277" spans="11:20" x14ac:dyDescent="0.25">
      <c r="K6277" s="312"/>
      <c r="N6277" s="514"/>
      <c r="R6277" s="293"/>
      <c r="S6277" s="316"/>
      <c r="T6277" s="355"/>
    </row>
    <row r="6278" spans="11:20" x14ac:dyDescent="0.25">
      <c r="K6278" s="312"/>
      <c r="N6278" s="514"/>
      <c r="R6278" s="293"/>
      <c r="S6278" s="316"/>
      <c r="T6278" s="355"/>
    </row>
    <row r="6279" spans="11:20" x14ac:dyDescent="0.25">
      <c r="K6279" s="312"/>
      <c r="N6279" s="514"/>
      <c r="R6279" s="293"/>
      <c r="S6279" s="316"/>
      <c r="T6279" s="355"/>
    </row>
    <row r="6280" spans="11:20" x14ac:dyDescent="0.25">
      <c r="K6280" s="312"/>
      <c r="N6280" s="514"/>
      <c r="R6280" s="293"/>
      <c r="S6280" s="316"/>
      <c r="T6280" s="355"/>
    </row>
    <row r="6281" spans="11:20" x14ac:dyDescent="0.25">
      <c r="K6281" s="312"/>
      <c r="N6281" s="514"/>
      <c r="R6281" s="293"/>
      <c r="S6281" s="316"/>
      <c r="T6281" s="355"/>
    </row>
    <row r="6282" spans="11:20" x14ac:dyDescent="0.25">
      <c r="K6282" s="312"/>
      <c r="N6282" s="514"/>
      <c r="R6282" s="293"/>
      <c r="S6282" s="316"/>
      <c r="T6282" s="355"/>
    </row>
    <row r="6283" spans="11:20" x14ac:dyDescent="0.25">
      <c r="K6283" s="312"/>
      <c r="N6283" s="514"/>
      <c r="R6283" s="293"/>
      <c r="S6283" s="316"/>
      <c r="T6283" s="355"/>
    </row>
    <row r="6284" spans="11:20" x14ac:dyDescent="0.25">
      <c r="K6284" s="312"/>
      <c r="N6284" s="514"/>
      <c r="R6284" s="293"/>
      <c r="S6284" s="316"/>
      <c r="T6284" s="355"/>
    </row>
    <row r="6285" spans="11:20" x14ac:dyDescent="0.25">
      <c r="K6285" s="312"/>
      <c r="N6285" s="514"/>
      <c r="R6285" s="293"/>
      <c r="S6285" s="316"/>
      <c r="T6285" s="355"/>
    </row>
    <row r="6286" spans="11:20" x14ac:dyDescent="0.25">
      <c r="K6286" s="312"/>
      <c r="N6286" s="514"/>
      <c r="R6286" s="293"/>
      <c r="S6286" s="316"/>
      <c r="T6286" s="355"/>
    </row>
    <row r="6287" spans="11:20" x14ac:dyDescent="0.25">
      <c r="K6287" s="312"/>
      <c r="N6287" s="514"/>
      <c r="R6287" s="293"/>
      <c r="S6287" s="316"/>
      <c r="T6287" s="355"/>
    </row>
    <row r="6288" spans="11:20" x14ac:dyDescent="0.25">
      <c r="K6288" s="312"/>
      <c r="N6288" s="514"/>
      <c r="R6288" s="293"/>
      <c r="S6288" s="316"/>
      <c r="T6288" s="355"/>
    </row>
    <row r="6289" spans="11:20" x14ac:dyDescent="0.25">
      <c r="K6289" s="312"/>
      <c r="N6289" s="514"/>
      <c r="R6289" s="293"/>
      <c r="S6289" s="316"/>
      <c r="T6289" s="355"/>
    </row>
    <row r="6290" spans="11:20" x14ac:dyDescent="0.25">
      <c r="K6290" s="312"/>
      <c r="N6290" s="514"/>
      <c r="R6290" s="293"/>
      <c r="S6290" s="316"/>
      <c r="T6290" s="355"/>
    </row>
    <row r="6291" spans="11:20" x14ac:dyDescent="0.25">
      <c r="K6291" s="312"/>
      <c r="N6291" s="514"/>
      <c r="R6291" s="293"/>
      <c r="S6291" s="316"/>
      <c r="T6291" s="355"/>
    </row>
    <row r="6292" spans="11:20" x14ac:dyDescent="0.25">
      <c r="K6292" s="312"/>
      <c r="N6292" s="514"/>
      <c r="R6292" s="293"/>
      <c r="S6292" s="316"/>
      <c r="T6292" s="355"/>
    </row>
    <row r="6293" spans="11:20" x14ac:dyDescent="0.25">
      <c r="K6293" s="312"/>
      <c r="N6293" s="514"/>
      <c r="R6293" s="293"/>
      <c r="S6293" s="316"/>
      <c r="T6293" s="355"/>
    </row>
    <row r="6294" spans="11:20" x14ac:dyDescent="0.25">
      <c r="K6294" s="312"/>
      <c r="N6294" s="514"/>
      <c r="R6294" s="293"/>
      <c r="S6294" s="316"/>
      <c r="T6294" s="355"/>
    </row>
    <row r="6295" spans="11:20" x14ac:dyDescent="0.25">
      <c r="K6295" s="312"/>
      <c r="N6295" s="514"/>
      <c r="R6295" s="293"/>
      <c r="S6295" s="316"/>
      <c r="T6295" s="355"/>
    </row>
    <row r="6296" spans="11:20" x14ac:dyDescent="0.25">
      <c r="K6296" s="312"/>
      <c r="N6296" s="514"/>
      <c r="R6296" s="293"/>
      <c r="S6296" s="316"/>
      <c r="T6296" s="355"/>
    </row>
    <row r="6297" spans="11:20" x14ac:dyDescent="0.25">
      <c r="K6297" s="312"/>
      <c r="N6297" s="514"/>
      <c r="R6297" s="293"/>
      <c r="S6297" s="316"/>
      <c r="T6297" s="355"/>
    </row>
    <row r="6298" spans="11:20" x14ac:dyDescent="0.25">
      <c r="K6298" s="312"/>
      <c r="N6298" s="514"/>
      <c r="R6298" s="293"/>
      <c r="S6298" s="316"/>
      <c r="T6298" s="355"/>
    </row>
    <row r="6299" spans="11:20" x14ac:dyDescent="0.25">
      <c r="K6299" s="312"/>
      <c r="N6299" s="514"/>
      <c r="R6299" s="293"/>
      <c r="S6299" s="316"/>
      <c r="T6299" s="355"/>
    </row>
    <row r="6300" spans="11:20" x14ac:dyDescent="0.25">
      <c r="K6300" s="312"/>
      <c r="N6300" s="514"/>
      <c r="R6300" s="293"/>
      <c r="S6300" s="316"/>
      <c r="T6300" s="355"/>
    </row>
    <row r="6301" spans="11:20" x14ac:dyDescent="0.25">
      <c r="K6301" s="312"/>
      <c r="N6301" s="514"/>
      <c r="R6301" s="293"/>
      <c r="S6301" s="316"/>
      <c r="T6301" s="355"/>
    </row>
    <row r="6302" spans="11:20" x14ac:dyDescent="0.25">
      <c r="K6302" s="312"/>
      <c r="N6302" s="514"/>
      <c r="R6302" s="293"/>
      <c r="S6302" s="316"/>
      <c r="T6302" s="355"/>
    </row>
    <row r="6303" spans="11:20" x14ac:dyDescent="0.25">
      <c r="K6303" s="312"/>
      <c r="N6303" s="514"/>
      <c r="R6303" s="293"/>
      <c r="S6303" s="316"/>
      <c r="T6303" s="355"/>
    </row>
    <row r="6304" spans="11:20" x14ac:dyDescent="0.25">
      <c r="K6304" s="312"/>
      <c r="N6304" s="514"/>
      <c r="R6304" s="293"/>
      <c r="S6304" s="316"/>
      <c r="T6304" s="355"/>
    </row>
    <row r="6305" spans="11:20" x14ac:dyDescent="0.25">
      <c r="K6305" s="312"/>
      <c r="N6305" s="514"/>
      <c r="R6305" s="293"/>
      <c r="S6305" s="316"/>
      <c r="T6305" s="355"/>
    </row>
    <row r="6306" spans="11:20" x14ac:dyDescent="0.25">
      <c r="K6306" s="312"/>
      <c r="N6306" s="514"/>
      <c r="R6306" s="293"/>
      <c r="S6306" s="316"/>
      <c r="T6306" s="355"/>
    </row>
    <row r="6307" spans="11:20" x14ac:dyDescent="0.25">
      <c r="K6307" s="312"/>
      <c r="N6307" s="514"/>
      <c r="R6307" s="293"/>
      <c r="S6307" s="316"/>
      <c r="T6307" s="355"/>
    </row>
    <row r="6308" spans="11:20" x14ac:dyDescent="0.25">
      <c r="K6308" s="312"/>
      <c r="N6308" s="514"/>
      <c r="R6308" s="293"/>
      <c r="S6308" s="316"/>
      <c r="T6308" s="355"/>
    </row>
    <row r="6309" spans="11:20" x14ac:dyDescent="0.25">
      <c r="K6309" s="312"/>
      <c r="N6309" s="514"/>
      <c r="R6309" s="293"/>
      <c r="S6309" s="316"/>
      <c r="T6309" s="355"/>
    </row>
    <row r="6310" spans="11:20" x14ac:dyDescent="0.25">
      <c r="K6310" s="312"/>
      <c r="N6310" s="514"/>
      <c r="R6310" s="293"/>
      <c r="S6310" s="316"/>
      <c r="T6310" s="355"/>
    </row>
    <row r="6311" spans="11:20" x14ac:dyDescent="0.25">
      <c r="K6311" s="312"/>
      <c r="N6311" s="514"/>
      <c r="R6311" s="293"/>
      <c r="S6311" s="316"/>
      <c r="T6311" s="355"/>
    </row>
    <row r="6312" spans="11:20" x14ac:dyDescent="0.25">
      <c r="K6312" s="312"/>
      <c r="N6312" s="514"/>
      <c r="R6312" s="293"/>
      <c r="S6312" s="316"/>
      <c r="T6312" s="355"/>
    </row>
    <row r="6313" spans="11:20" x14ac:dyDescent="0.25">
      <c r="K6313" s="312"/>
      <c r="N6313" s="514"/>
      <c r="R6313" s="293"/>
      <c r="S6313" s="316"/>
      <c r="T6313" s="355"/>
    </row>
    <row r="6314" spans="11:20" x14ac:dyDescent="0.25">
      <c r="K6314" s="312"/>
      <c r="N6314" s="514"/>
      <c r="R6314" s="293"/>
      <c r="S6314" s="316"/>
      <c r="T6314" s="355"/>
    </row>
    <row r="6315" spans="11:20" x14ac:dyDescent="0.25">
      <c r="K6315" s="312"/>
      <c r="N6315" s="514"/>
      <c r="R6315" s="293"/>
      <c r="S6315" s="316"/>
      <c r="T6315" s="355"/>
    </row>
    <row r="6316" spans="11:20" x14ac:dyDescent="0.25">
      <c r="K6316" s="312"/>
      <c r="N6316" s="514"/>
      <c r="R6316" s="293"/>
      <c r="S6316" s="316"/>
      <c r="T6316" s="355"/>
    </row>
    <row r="6317" spans="11:20" x14ac:dyDescent="0.25">
      <c r="K6317" s="312"/>
      <c r="N6317" s="514"/>
      <c r="R6317" s="293"/>
      <c r="S6317" s="316"/>
      <c r="T6317" s="355"/>
    </row>
    <row r="6318" spans="11:20" x14ac:dyDescent="0.25">
      <c r="K6318" s="312"/>
      <c r="N6318" s="514"/>
      <c r="R6318" s="293"/>
      <c r="S6318" s="316"/>
      <c r="T6318" s="355"/>
    </row>
    <row r="6319" spans="11:20" x14ac:dyDescent="0.25">
      <c r="K6319" s="312"/>
      <c r="N6319" s="514"/>
      <c r="R6319" s="293"/>
      <c r="S6319" s="316"/>
      <c r="T6319" s="355"/>
    </row>
    <row r="6320" spans="11:20" x14ac:dyDescent="0.25">
      <c r="K6320" s="312"/>
      <c r="N6320" s="514"/>
      <c r="R6320" s="293"/>
      <c r="S6320" s="316"/>
      <c r="T6320" s="355"/>
    </row>
    <row r="6321" spans="11:20" x14ac:dyDescent="0.25">
      <c r="K6321" s="312"/>
      <c r="N6321" s="514"/>
      <c r="R6321" s="293"/>
      <c r="S6321" s="316"/>
      <c r="T6321" s="355"/>
    </row>
    <row r="6322" spans="11:20" x14ac:dyDescent="0.25">
      <c r="K6322" s="312"/>
      <c r="N6322" s="514"/>
      <c r="R6322" s="293"/>
      <c r="S6322" s="316"/>
      <c r="T6322" s="355"/>
    </row>
    <row r="6323" spans="11:20" x14ac:dyDescent="0.25">
      <c r="K6323" s="312"/>
      <c r="N6323" s="514"/>
      <c r="R6323" s="293"/>
      <c r="S6323" s="316"/>
      <c r="T6323" s="355"/>
    </row>
    <row r="6324" spans="11:20" x14ac:dyDescent="0.25">
      <c r="K6324" s="312"/>
      <c r="N6324" s="514"/>
      <c r="R6324" s="293"/>
      <c r="S6324" s="316"/>
      <c r="T6324" s="355"/>
    </row>
    <row r="6325" spans="11:20" x14ac:dyDescent="0.25">
      <c r="K6325" s="312"/>
      <c r="N6325" s="514"/>
      <c r="R6325" s="293"/>
      <c r="S6325" s="316"/>
      <c r="T6325" s="355"/>
    </row>
    <row r="6326" spans="11:20" x14ac:dyDescent="0.25">
      <c r="K6326" s="312"/>
      <c r="N6326" s="514"/>
      <c r="R6326" s="293"/>
      <c r="S6326" s="316"/>
      <c r="T6326" s="355"/>
    </row>
    <row r="6327" spans="11:20" x14ac:dyDescent="0.25">
      <c r="K6327" s="312"/>
      <c r="N6327" s="514"/>
      <c r="R6327" s="293"/>
      <c r="S6327" s="316"/>
      <c r="T6327" s="355"/>
    </row>
    <row r="6328" spans="11:20" x14ac:dyDescent="0.25">
      <c r="K6328" s="312"/>
      <c r="N6328" s="514"/>
      <c r="R6328" s="293"/>
      <c r="S6328" s="316"/>
      <c r="T6328" s="355"/>
    </row>
    <row r="6329" spans="11:20" x14ac:dyDescent="0.25">
      <c r="K6329" s="312"/>
      <c r="N6329" s="514"/>
      <c r="R6329" s="293"/>
      <c r="S6329" s="316"/>
      <c r="T6329" s="355"/>
    </row>
    <row r="6330" spans="11:20" x14ac:dyDescent="0.25">
      <c r="K6330" s="312"/>
      <c r="N6330" s="514"/>
      <c r="R6330" s="293"/>
      <c r="S6330" s="316"/>
      <c r="T6330" s="355"/>
    </row>
    <row r="6331" spans="11:20" x14ac:dyDescent="0.25">
      <c r="K6331" s="312"/>
      <c r="N6331" s="514"/>
      <c r="R6331" s="293"/>
      <c r="S6331" s="316"/>
      <c r="T6331" s="355"/>
    </row>
    <row r="6332" spans="11:20" x14ac:dyDescent="0.25">
      <c r="K6332" s="312"/>
      <c r="N6332" s="514"/>
      <c r="R6332" s="293"/>
      <c r="S6332" s="316"/>
      <c r="T6332" s="355"/>
    </row>
    <row r="6333" spans="11:20" x14ac:dyDescent="0.25">
      <c r="K6333" s="312"/>
      <c r="N6333" s="514"/>
      <c r="R6333" s="293"/>
      <c r="S6333" s="316"/>
      <c r="T6333" s="355"/>
    </row>
    <row r="6334" spans="11:20" x14ac:dyDescent="0.25">
      <c r="K6334" s="312"/>
      <c r="N6334" s="514"/>
      <c r="R6334" s="293"/>
      <c r="S6334" s="316"/>
      <c r="T6334" s="355"/>
    </row>
    <row r="6335" spans="11:20" x14ac:dyDescent="0.25">
      <c r="K6335" s="312"/>
      <c r="N6335" s="514"/>
      <c r="R6335" s="293"/>
      <c r="S6335" s="316"/>
      <c r="T6335" s="355"/>
    </row>
    <row r="6336" spans="11:20" x14ac:dyDescent="0.25">
      <c r="K6336" s="312"/>
      <c r="N6336" s="514"/>
      <c r="R6336" s="293"/>
      <c r="S6336" s="316"/>
      <c r="T6336" s="355"/>
    </row>
    <row r="6337" spans="11:20" x14ac:dyDescent="0.25">
      <c r="K6337" s="312"/>
      <c r="N6337" s="514"/>
      <c r="R6337" s="293"/>
      <c r="S6337" s="316"/>
      <c r="T6337" s="355"/>
    </row>
    <row r="6338" spans="11:20" x14ac:dyDescent="0.25">
      <c r="K6338" s="312"/>
      <c r="N6338" s="514"/>
      <c r="R6338" s="293"/>
      <c r="S6338" s="316"/>
      <c r="T6338" s="355"/>
    </row>
    <row r="6339" spans="11:20" x14ac:dyDescent="0.25">
      <c r="K6339" s="312"/>
      <c r="N6339" s="514"/>
      <c r="R6339" s="293"/>
      <c r="S6339" s="316"/>
      <c r="T6339" s="355"/>
    </row>
    <row r="6340" spans="11:20" x14ac:dyDescent="0.25">
      <c r="K6340" s="312"/>
      <c r="N6340" s="514"/>
      <c r="R6340" s="293"/>
      <c r="S6340" s="316"/>
      <c r="T6340" s="355"/>
    </row>
    <row r="6341" spans="11:20" x14ac:dyDescent="0.25">
      <c r="K6341" s="312"/>
      <c r="N6341" s="514"/>
      <c r="R6341" s="293"/>
      <c r="S6341" s="316"/>
      <c r="T6341" s="355"/>
    </row>
    <row r="6342" spans="11:20" x14ac:dyDescent="0.25">
      <c r="K6342" s="312"/>
      <c r="N6342" s="514"/>
      <c r="R6342" s="293"/>
      <c r="S6342" s="316"/>
      <c r="T6342" s="355"/>
    </row>
    <row r="6343" spans="11:20" x14ac:dyDescent="0.25">
      <c r="K6343" s="312"/>
      <c r="N6343" s="514"/>
      <c r="R6343" s="293"/>
      <c r="S6343" s="316"/>
      <c r="T6343" s="355"/>
    </row>
    <row r="6344" spans="11:20" x14ac:dyDescent="0.25">
      <c r="K6344" s="312"/>
      <c r="N6344" s="514"/>
      <c r="R6344" s="293"/>
      <c r="S6344" s="316"/>
      <c r="T6344" s="355"/>
    </row>
    <row r="6345" spans="11:20" x14ac:dyDescent="0.25">
      <c r="K6345" s="312"/>
      <c r="N6345" s="514"/>
      <c r="R6345" s="293"/>
      <c r="S6345" s="316"/>
      <c r="T6345" s="355"/>
    </row>
    <row r="6346" spans="11:20" x14ac:dyDescent="0.25">
      <c r="K6346" s="312"/>
      <c r="N6346" s="514"/>
      <c r="R6346" s="293"/>
      <c r="S6346" s="316"/>
      <c r="T6346" s="355"/>
    </row>
    <row r="6347" spans="11:20" x14ac:dyDescent="0.25">
      <c r="K6347" s="312"/>
      <c r="N6347" s="514"/>
      <c r="R6347" s="293"/>
      <c r="S6347" s="316"/>
      <c r="T6347" s="355"/>
    </row>
    <row r="6348" spans="11:20" x14ac:dyDescent="0.25">
      <c r="K6348" s="312"/>
      <c r="N6348" s="514"/>
      <c r="R6348" s="293"/>
      <c r="S6348" s="316"/>
      <c r="T6348" s="355"/>
    </row>
    <row r="6349" spans="11:20" x14ac:dyDescent="0.25">
      <c r="K6349" s="312"/>
      <c r="N6349" s="514"/>
      <c r="R6349" s="293"/>
      <c r="S6349" s="316"/>
      <c r="T6349" s="355"/>
    </row>
    <row r="6350" spans="11:20" x14ac:dyDescent="0.25">
      <c r="K6350" s="312"/>
      <c r="N6350" s="514"/>
      <c r="R6350" s="293"/>
      <c r="S6350" s="316"/>
      <c r="T6350" s="355"/>
    </row>
    <row r="6351" spans="11:20" x14ac:dyDescent="0.25">
      <c r="K6351" s="312"/>
      <c r="N6351" s="514"/>
      <c r="R6351" s="293"/>
      <c r="S6351" s="316"/>
      <c r="T6351" s="355"/>
    </row>
    <row r="6352" spans="11:20" x14ac:dyDescent="0.25">
      <c r="K6352" s="312"/>
      <c r="N6352" s="514"/>
      <c r="R6352" s="293"/>
      <c r="S6352" s="316"/>
      <c r="T6352" s="355"/>
    </row>
    <row r="6353" spans="11:20" x14ac:dyDescent="0.25">
      <c r="K6353" s="312"/>
      <c r="N6353" s="514"/>
      <c r="R6353" s="293"/>
      <c r="S6353" s="316"/>
      <c r="T6353" s="355"/>
    </row>
    <row r="6354" spans="11:20" x14ac:dyDescent="0.25">
      <c r="K6354" s="312"/>
      <c r="N6354" s="514"/>
      <c r="R6354" s="293"/>
      <c r="S6354" s="316"/>
      <c r="T6354" s="355"/>
    </row>
    <row r="6355" spans="11:20" x14ac:dyDescent="0.25">
      <c r="K6355" s="312"/>
      <c r="N6355" s="514"/>
      <c r="R6355" s="293"/>
      <c r="S6355" s="316"/>
      <c r="T6355" s="355"/>
    </row>
    <row r="6356" spans="11:20" x14ac:dyDescent="0.25">
      <c r="K6356" s="312"/>
      <c r="N6356" s="514"/>
      <c r="R6356" s="293"/>
      <c r="S6356" s="316"/>
      <c r="T6356" s="355"/>
    </row>
    <row r="6357" spans="11:20" x14ac:dyDescent="0.25">
      <c r="K6357" s="312"/>
      <c r="N6357" s="514"/>
      <c r="R6357" s="293"/>
      <c r="S6357" s="316"/>
      <c r="T6357" s="355"/>
    </row>
    <row r="6358" spans="11:20" x14ac:dyDescent="0.25">
      <c r="K6358" s="312"/>
      <c r="N6358" s="514"/>
      <c r="R6358" s="293"/>
      <c r="S6358" s="316"/>
      <c r="T6358" s="355"/>
    </row>
    <row r="6359" spans="11:20" x14ac:dyDescent="0.25">
      <c r="K6359" s="312"/>
      <c r="N6359" s="514"/>
      <c r="R6359" s="293"/>
      <c r="S6359" s="316"/>
      <c r="T6359" s="355"/>
    </row>
    <row r="6360" spans="11:20" x14ac:dyDescent="0.25">
      <c r="K6360" s="312"/>
      <c r="N6360" s="514"/>
      <c r="R6360" s="293"/>
      <c r="S6360" s="316"/>
      <c r="T6360" s="355"/>
    </row>
    <row r="6361" spans="11:20" x14ac:dyDescent="0.25">
      <c r="K6361" s="312"/>
      <c r="N6361" s="514"/>
      <c r="R6361" s="293"/>
      <c r="S6361" s="316"/>
      <c r="T6361" s="355"/>
    </row>
    <row r="6362" spans="11:20" x14ac:dyDescent="0.25">
      <c r="K6362" s="312"/>
      <c r="N6362" s="514"/>
      <c r="R6362" s="293"/>
      <c r="S6362" s="316"/>
      <c r="T6362" s="355"/>
    </row>
    <row r="6363" spans="11:20" x14ac:dyDescent="0.25">
      <c r="K6363" s="312"/>
      <c r="N6363" s="514"/>
      <c r="R6363" s="293"/>
      <c r="S6363" s="316"/>
      <c r="T6363" s="355"/>
    </row>
    <row r="6364" spans="11:20" x14ac:dyDescent="0.25">
      <c r="K6364" s="312"/>
      <c r="N6364" s="514"/>
      <c r="R6364" s="293"/>
      <c r="S6364" s="316"/>
      <c r="T6364" s="355"/>
    </row>
    <row r="6365" spans="11:20" x14ac:dyDescent="0.25">
      <c r="K6365" s="312"/>
      <c r="N6365" s="514"/>
      <c r="R6365" s="293"/>
      <c r="S6365" s="316"/>
      <c r="T6365" s="355"/>
    </row>
    <row r="6366" spans="11:20" x14ac:dyDescent="0.25">
      <c r="K6366" s="312"/>
      <c r="N6366" s="514"/>
      <c r="R6366" s="293"/>
      <c r="S6366" s="316"/>
      <c r="T6366" s="355"/>
    </row>
    <row r="6367" spans="11:20" x14ac:dyDescent="0.25">
      <c r="K6367" s="312"/>
      <c r="N6367" s="514"/>
      <c r="R6367" s="293"/>
      <c r="S6367" s="316"/>
      <c r="T6367" s="355"/>
    </row>
    <row r="6368" spans="11:20" x14ac:dyDescent="0.25">
      <c r="K6368" s="312"/>
      <c r="N6368" s="514"/>
      <c r="R6368" s="293"/>
      <c r="S6368" s="316"/>
      <c r="T6368" s="355"/>
    </row>
    <row r="6369" spans="11:20" x14ac:dyDescent="0.25">
      <c r="K6369" s="312"/>
      <c r="N6369" s="514"/>
      <c r="R6369" s="293"/>
      <c r="S6369" s="316"/>
      <c r="T6369" s="355"/>
    </row>
    <row r="6370" spans="11:20" x14ac:dyDescent="0.25">
      <c r="K6370" s="312"/>
      <c r="N6370" s="514"/>
      <c r="R6370" s="293"/>
      <c r="S6370" s="316"/>
      <c r="T6370" s="355"/>
    </row>
    <row r="6371" spans="11:20" x14ac:dyDescent="0.25">
      <c r="K6371" s="312"/>
      <c r="N6371" s="514"/>
      <c r="R6371" s="293"/>
      <c r="S6371" s="316"/>
      <c r="T6371" s="355"/>
    </row>
    <row r="6372" spans="11:20" x14ac:dyDescent="0.25">
      <c r="K6372" s="312"/>
      <c r="N6372" s="514"/>
      <c r="R6372" s="293"/>
      <c r="S6372" s="316"/>
      <c r="T6372" s="355"/>
    </row>
    <row r="6373" spans="11:20" x14ac:dyDescent="0.25">
      <c r="K6373" s="312"/>
      <c r="N6373" s="514"/>
      <c r="R6373" s="293"/>
      <c r="S6373" s="316"/>
      <c r="T6373" s="355"/>
    </row>
    <row r="6374" spans="11:20" x14ac:dyDescent="0.25">
      <c r="K6374" s="312"/>
      <c r="N6374" s="514"/>
      <c r="R6374" s="293"/>
      <c r="S6374" s="316"/>
      <c r="T6374" s="355"/>
    </row>
    <row r="6375" spans="11:20" x14ac:dyDescent="0.25">
      <c r="K6375" s="312"/>
      <c r="N6375" s="514"/>
      <c r="R6375" s="293"/>
      <c r="S6375" s="316"/>
      <c r="T6375" s="355"/>
    </row>
    <row r="6376" spans="11:20" x14ac:dyDescent="0.25">
      <c r="K6376" s="312"/>
      <c r="N6376" s="514"/>
      <c r="R6376" s="293"/>
      <c r="S6376" s="316"/>
      <c r="T6376" s="355"/>
    </row>
    <row r="6377" spans="11:20" x14ac:dyDescent="0.25">
      <c r="K6377" s="312"/>
      <c r="N6377" s="514"/>
      <c r="R6377" s="293"/>
      <c r="S6377" s="316"/>
      <c r="T6377" s="355"/>
    </row>
    <row r="6378" spans="11:20" x14ac:dyDescent="0.25">
      <c r="K6378" s="312"/>
      <c r="N6378" s="514"/>
      <c r="R6378" s="293"/>
      <c r="S6378" s="316"/>
      <c r="T6378" s="355"/>
    </row>
    <row r="6379" spans="11:20" x14ac:dyDescent="0.25">
      <c r="K6379" s="312"/>
      <c r="N6379" s="514"/>
      <c r="R6379" s="293"/>
      <c r="S6379" s="316"/>
      <c r="T6379" s="355"/>
    </row>
    <row r="6380" spans="11:20" x14ac:dyDescent="0.25">
      <c r="K6380" s="312"/>
      <c r="N6380" s="514"/>
      <c r="R6380" s="293"/>
      <c r="S6380" s="316"/>
      <c r="T6380" s="355"/>
    </row>
    <row r="6381" spans="11:20" x14ac:dyDescent="0.25">
      <c r="K6381" s="312"/>
      <c r="N6381" s="514"/>
      <c r="R6381" s="293"/>
      <c r="S6381" s="316"/>
      <c r="T6381" s="355"/>
    </row>
    <row r="6382" spans="11:20" x14ac:dyDescent="0.25">
      <c r="K6382" s="312"/>
      <c r="N6382" s="514"/>
      <c r="R6382" s="293"/>
      <c r="S6382" s="316"/>
      <c r="T6382" s="355"/>
    </row>
    <row r="6383" spans="11:20" x14ac:dyDescent="0.25">
      <c r="K6383" s="312"/>
      <c r="N6383" s="514"/>
      <c r="R6383" s="293"/>
      <c r="S6383" s="316"/>
      <c r="T6383" s="355"/>
    </row>
    <row r="6384" spans="11:20" x14ac:dyDescent="0.25">
      <c r="K6384" s="312"/>
      <c r="N6384" s="514"/>
      <c r="R6384" s="293"/>
      <c r="S6384" s="316"/>
      <c r="T6384" s="355"/>
    </row>
    <row r="6385" spans="11:20" x14ac:dyDescent="0.25">
      <c r="K6385" s="312"/>
      <c r="N6385" s="514"/>
      <c r="R6385" s="293"/>
      <c r="S6385" s="316"/>
      <c r="T6385" s="355"/>
    </row>
    <row r="6386" spans="11:20" x14ac:dyDescent="0.25">
      <c r="K6386" s="312"/>
      <c r="N6386" s="514"/>
      <c r="R6386" s="293"/>
      <c r="S6386" s="316"/>
      <c r="T6386" s="355"/>
    </row>
    <row r="6387" spans="11:20" x14ac:dyDescent="0.25">
      <c r="K6387" s="312"/>
      <c r="N6387" s="514"/>
      <c r="R6387" s="293"/>
      <c r="S6387" s="316"/>
      <c r="T6387" s="355"/>
    </row>
    <row r="6388" spans="11:20" x14ac:dyDescent="0.25">
      <c r="K6388" s="312"/>
      <c r="N6388" s="514"/>
      <c r="R6388" s="293"/>
      <c r="S6388" s="316"/>
      <c r="T6388" s="355"/>
    </row>
    <row r="6389" spans="11:20" x14ac:dyDescent="0.25">
      <c r="K6389" s="312"/>
      <c r="N6389" s="514"/>
      <c r="R6389" s="293"/>
      <c r="S6389" s="316"/>
      <c r="T6389" s="355"/>
    </row>
    <row r="6390" spans="11:20" x14ac:dyDescent="0.25">
      <c r="K6390" s="312"/>
      <c r="N6390" s="514"/>
      <c r="R6390" s="293"/>
      <c r="S6390" s="316"/>
      <c r="T6390" s="355"/>
    </row>
    <row r="6391" spans="11:20" x14ac:dyDescent="0.25">
      <c r="K6391" s="312"/>
      <c r="N6391" s="514"/>
      <c r="R6391" s="293"/>
      <c r="S6391" s="316"/>
      <c r="T6391" s="355"/>
    </row>
    <row r="6392" spans="11:20" x14ac:dyDescent="0.25">
      <c r="K6392" s="312"/>
      <c r="N6392" s="514"/>
      <c r="R6392" s="293"/>
      <c r="S6392" s="316"/>
      <c r="T6392" s="355"/>
    </row>
    <row r="6393" spans="11:20" x14ac:dyDescent="0.25">
      <c r="K6393" s="312"/>
      <c r="N6393" s="514"/>
      <c r="R6393" s="293"/>
      <c r="S6393" s="316"/>
      <c r="T6393" s="355"/>
    </row>
    <row r="6394" spans="11:20" x14ac:dyDescent="0.25">
      <c r="K6394" s="312"/>
      <c r="N6394" s="514"/>
      <c r="R6394" s="293"/>
      <c r="S6394" s="316"/>
      <c r="T6394" s="355"/>
    </row>
    <row r="6395" spans="11:20" x14ac:dyDescent="0.25">
      <c r="K6395" s="312"/>
      <c r="N6395" s="514"/>
      <c r="R6395" s="293"/>
      <c r="S6395" s="316"/>
      <c r="T6395" s="355"/>
    </row>
    <row r="6396" spans="11:20" x14ac:dyDescent="0.25">
      <c r="K6396" s="312"/>
      <c r="N6396" s="514"/>
      <c r="R6396" s="293"/>
      <c r="S6396" s="316"/>
      <c r="T6396" s="355"/>
    </row>
    <row r="6397" spans="11:20" x14ac:dyDescent="0.25">
      <c r="K6397" s="312"/>
      <c r="N6397" s="514"/>
      <c r="R6397" s="293"/>
      <c r="S6397" s="316"/>
      <c r="T6397" s="355"/>
    </row>
    <row r="6398" spans="11:20" x14ac:dyDescent="0.25">
      <c r="K6398" s="312"/>
      <c r="N6398" s="514"/>
      <c r="R6398" s="293"/>
      <c r="S6398" s="316"/>
      <c r="T6398" s="355"/>
    </row>
    <row r="6399" spans="11:20" x14ac:dyDescent="0.25">
      <c r="K6399" s="312"/>
      <c r="N6399" s="514"/>
      <c r="R6399" s="293"/>
      <c r="S6399" s="316"/>
      <c r="T6399" s="355"/>
    </row>
    <row r="6400" spans="11:20" x14ac:dyDescent="0.25">
      <c r="K6400" s="312"/>
      <c r="N6400" s="514"/>
      <c r="R6400" s="293"/>
      <c r="S6400" s="316"/>
      <c r="T6400" s="355"/>
    </row>
    <row r="6401" spans="11:20" x14ac:dyDescent="0.25">
      <c r="K6401" s="312"/>
      <c r="N6401" s="514"/>
      <c r="R6401" s="293"/>
      <c r="S6401" s="316"/>
      <c r="T6401" s="355"/>
    </row>
    <row r="6402" spans="11:20" x14ac:dyDescent="0.25">
      <c r="K6402" s="312"/>
      <c r="N6402" s="514"/>
      <c r="R6402" s="293"/>
      <c r="S6402" s="316"/>
      <c r="T6402" s="355"/>
    </row>
    <row r="6403" spans="11:20" x14ac:dyDescent="0.25">
      <c r="K6403" s="312"/>
      <c r="N6403" s="514"/>
      <c r="R6403" s="293"/>
      <c r="S6403" s="316"/>
      <c r="T6403" s="355"/>
    </row>
    <row r="6404" spans="11:20" x14ac:dyDescent="0.25">
      <c r="K6404" s="312"/>
      <c r="N6404" s="514"/>
      <c r="R6404" s="293"/>
      <c r="S6404" s="316"/>
      <c r="T6404" s="355"/>
    </row>
    <row r="6405" spans="11:20" x14ac:dyDescent="0.25">
      <c r="K6405" s="312"/>
      <c r="N6405" s="514"/>
      <c r="R6405" s="293"/>
      <c r="S6405" s="316"/>
      <c r="T6405" s="355"/>
    </row>
    <row r="6406" spans="11:20" x14ac:dyDescent="0.25">
      <c r="K6406" s="312"/>
      <c r="N6406" s="514"/>
      <c r="R6406" s="293"/>
      <c r="S6406" s="316"/>
      <c r="T6406" s="355"/>
    </row>
    <row r="6407" spans="11:20" x14ac:dyDescent="0.25">
      <c r="K6407" s="312"/>
      <c r="N6407" s="514"/>
      <c r="R6407" s="293"/>
      <c r="S6407" s="316"/>
      <c r="T6407" s="355"/>
    </row>
    <row r="6408" spans="11:20" x14ac:dyDescent="0.25">
      <c r="K6408" s="312"/>
      <c r="N6408" s="514"/>
      <c r="R6408" s="293"/>
      <c r="S6408" s="316"/>
      <c r="T6408" s="355"/>
    </row>
    <row r="6409" spans="11:20" x14ac:dyDescent="0.25">
      <c r="K6409" s="312"/>
      <c r="N6409" s="514"/>
      <c r="R6409" s="293"/>
      <c r="S6409" s="316"/>
      <c r="T6409" s="355"/>
    </row>
    <row r="6410" spans="11:20" x14ac:dyDescent="0.25">
      <c r="K6410" s="312"/>
      <c r="N6410" s="514"/>
      <c r="R6410" s="293"/>
      <c r="S6410" s="316"/>
      <c r="T6410" s="355"/>
    </row>
    <row r="6411" spans="11:20" x14ac:dyDescent="0.25">
      <c r="K6411" s="312"/>
      <c r="N6411" s="514"/>
      <c r="R6411" s="293"/>
      <c r="S6411" s="316"/>
      <c r="T6411" s="355"/>
    </row>
    <row r="6412" spans="11:20" x14ac:dyDescent="0.25">
      <c r="K6412" s="312"/>
      <c r="N6412" s="514"/>
      <c r="R6412" s="293"/>
      <c r="S6412" s="316"/>
      <c r="T6412" s="355"/>
    </row>
    <row r="6413" spans="11:20" x14ac:dyDescent="0.25">
      <c r="K6413" s="312"/>
      <c r="N6413" s="514"/>
      <c r="R6413" s="293"/>
      <c r="S6413" s="316"/>
      <c r="T6413" s="355"/>
    </row>
    <row r="6414" spans="11:20" x14ac:dyDescent="0.25">
      <c r="K6414" s="312"/>
      <c r="N6414" s="514"/>
      <c r="R6414" s="293"/>
      <c r="S6414" s="316"/>
      <c r="T6414" s="355"/>
    </row>
    <row r="6415" spans="11:20" x14ac:dyDescent="0.25">
      <c r="K6415" s="312"/>
      <c r="N6415" s="514"/>
      <c r="R6415" s="293"/>
      <c r="S6415" s="316"/>
      <c r="T6415" s="355"/>
    </row>
    <row r="6416" spans="11:20" x14ac:dyDescent="0.25">
      <c r="K6416" s="312"/>
      <c r="N6416" s="514"/>
      <c r="R6416" s="293"/>
      <c r="S6416" s="316"/>
      <c r="T6416" s="355"/>
    </row>
    <row r="6417" spans="11:20" x14ac:dyDescent="0.25">
      <c r="K6417" s="312"/>
      <c r="N6417" s="514"/>
      <c r="R6417" s="293"/>
      <c r="S6417" s="316"/>
      <c r="T6417" s="355"/>
    </row>
    <row r="6418" spans="11:20" x14ac:dyDescent="0.25">
      <c r="K6418" s="312"/>
      <c r="N6418" s="514"/>
      <c r="R6418" s="293"/>
      <c r="S6418" s="316"/>
      <c r="T6418" s="355"/>
    </row>
    <row r="6419" spans="11:20" x14ac:dyDescent="0.25">
      <c r="K6419" s="312"/>
      <c r="N6419" s="514"/>
      <c r="R6419" s="293"/>
      <c r="S6419" s="316"/>
      <c r="T6419" s="355"/>
    </row>
    <row r="6420" spans="11:20" x14ac:dyDescent="0.25">
      <c r="K6420" s="312"/>
      <c r="N6420" s="514"/>
      <c r="R6420" s="293"/>
      <c r="S6420" s="316"/>
      <c r="T6420" s="355"/>
    </row>
    <row r="6421" spans="11:20" x14ac:dyDescent="0.25">
      <c r="K6421" s="312"/>
      <c r="N6421" s="514"/>
      <c r="R6421" s="293"/>
      <c r="S6421" s="316"/>
      <c r="T6421" s="355"/>
    </row>
    <row r="6422" spans="11:20" x14ac:dyDescent="0.25">
      <c r="K6422" s="312"/>
      <c r="N6422" s="514"/>
      <c r="R6422" s="293"/>
      <c r="S6422" s="316"/>
      <c r="T6422" s="355"/>
    </row>
    <row r="6423" spans="11:20" x14ac:dyDescent="0.25">
      <c r="K6423" s="312"/>
      <c r="N6423" s="514"/>
      <c r="R6423" s="293"/>
      <c r="S6423" s="316"/>
      <c r="T6423" s="355"/>
    </row>
    <row r="6424" spans="11:20" x14ac:dyDescent="0.25">
      <c r="K6424" s="312"/>
      <c r="N6424" s="514"/>
      <c r="R6424" s="293"/>
      <c r="S6424" s="316"/>
      <c r="T6424" s="355"/>
    </row>
    <row r="6425" spans="11:20" x14ac:dyDescent="0.25">
      <c r="K6425" s="312"/>
      <c r="N6425" s="514"/>
      <c r="R6425" s="293"/>
      <c r="S6425" s="316"/>
      <c r="T6425" s="355"/>
    </row>
    <row r="6426" spans="11:20" x14ac:dyDescent="0.25">
      <c r="K6426" s="312"/>
      <c r="N6426" s="514"/>
      <c r="R6426" s="293"/>
      <c r="S6426" s="316"/>
      <c r="T6426" s="355"/>
    </row>
    <row r="6427" spans="11:20" x14ac:dyDescent="0.25">
      <c r="K6427" s="312"/>
      <c r="N6427" s="514"/>
      <c r="R6427" s="293"/>
      <c r="S6427" s="316"/>
      <c r="T6427" s="355"/>
    </row>
    <row r="6428" spans="11:20" x14ac:dyDescent="0.25">
      <c r="K6428" s="312"/>
      <c r="N6428" s="514"/>
      <c r="R6428" s="293"/>
      <c r="S6428" s="316"/>
      <c r="T6428" s="355"/>
    </row>
    <row r="6429" spans="11:20" x14ac:dyDescent="0.25">
      <c r="K6429" s="312"/>
      <c r="N6429" s="514"/>
      <c r="R6429" s="293"/>
      <c r="S6429" s="316"/>
      <c r="T6429" s="355"/>
    </row>
    <row r="6430" spans="11:20" x14ac:dyDescent="0.25">
      <c r="K6430" s="312"/>
      <c r="N6430" s="514"/>
      <c r="R6430" s="293"/>
      <c r="S6430" s="316"/>
      <c r="T6430" s="355"/>
    </row>
    <row r="6431" spans="11:20" x14ac:dyDescent="0.25">
      <c r="K6431" s="312"/>
      <c r="N6431" s="514"/>
      <c r="R6431" s="293"/>
      <c r="S6431" s="316"/>
      <c r="T6431" s="355"/>
    </row>
    <row r="6432" spans="11:20" x14ac:dyDescent="0.25">
      <c r="K6432" s="312"/>
      <c r="N6432" s="514"/>
      <c r="R6432" s="293"/>
      <c r="S6432" s="316"/>
      <c r="T6432" s="355"/>
    </row>
    <row r="6433" spans="11:20" x14ac:dyDescent="0.25">
      <c r="K6433" s="312"/>
      <c r="N6433" s="514"/>
      <c r="R6433" s="293"/>
      <c r="S6433" s="316"/>
      <c r="T6433" s="355"/>
    </row>
    <row r="6434" spans="11:20" x14ac:dyDescent="0.25">
      <c r="K6434" s="312"/>
      <c r="N6434" s="514"/>
      <c r="R6434" s="293"/>
      <c r="S6434" s="316"/>
      <c r="T6434" s="355"/>
    </row>
    <row r="6435" spans="11:20" x14ac:dyDescent="0.25">
      <c r="K6435" s="312"/>
      <c r="N6435" s="514"/>
      <c r="R6435" s="293"/>
      <c r="S6435" s="316"/>
      <c r="T6435" s="355"/>
    </row>
    <row r="6436" spans="11:20" x14ac:dyDescent="0.25">
      <c r="K6436" s="312"/>
      <c r="N6436" s="514"/>
      <c r="R6436" s="293"/>
      <c r="S6436" s="316"/>
      <c r="T6436" s="355"/>
    </row>
    <row r="6437" spans="11:20" x14ac:dyDescent="0.25">
      <c r="K6437" s="312"/>
      <c r="N6437" s="514"/>
      <c r="R6437" s="293"/>
      <c r="S6437" s="316"/>
      <c r="T6437" s="355"/>
    </row>
    <row r="6438" spans="11:20" x14ac:dyDescent="0.25">
      <c r="K6438" s="312"/>
      <c r="N6438" s="514"/>
      <c r="R6438" s="293"/>
      <c r="S6438" s="316"/>
      <c r="T6438" s="355"/>
    </row>
    <row r="6439" spans="11:20" x14ac:dyDescent="0.25">
      <c r="K6439" s="312"/>
      <c r="N6439" s="514"/>
      <c r="R6439" s="293"/>
      <c r="S6439" s="316"/>
      <c r="T6439" s="355"/>
    </row>
    <row r="6440" spans="11:20" x14ac:dyDescent="0.25">
      <c r="K6440" s="312"/>
      <c r="N6440" s="514"/>
      <c r="R6440" s="293"/>
      <c r="S6440" s="316"/>
      <c r="T6440" s="355"/>
    </row>
    <row r="6441" spans="11:20" x14ac:dyDescent="0.25">
      <c r="K6441" s="312"/>
      <c r="N6441" s="514"/>
      <c r="R6441" s="293"/>
      <c r="S6441" s="316"/>
      <c r="T6441" s="355"/>
    </row>
    <row r="6442" spans="11:20" x14ac:dyDescent="0.25">
      <c r="K6442" s="312"/>
      <c r="N6442" s="514"/>
      <c r="R6442" s="293"/>
      <c r="S6442" s="316"/>
      <c r="T6442" s="355"/>
    </row>
    <row r="6443" spans="11:20" x14ac:dyDescent="0.25">
      <c r="K6443" s="312"/>
      <c r="N6443" s="514"/>
      <c r="R6443" s="293"/>
      <c r="S6443" s="316"/>
      <c r="T6443" s="355"/>
    </row>
    <row r="6444" spans="11:20" x14ac:dyDescent="0.25">
      <c r="K6444" s="312"/>
      <c r="N6444" s="514"/>
      <c r="R6444" s="293"/>
      <c r="S6444" s="316"/>
      <c r="T6444" s="355"/>
    </row>
    <row r="6445" spans="11:20" x14ac:dyDescent="0.25">
      <c r="K6445" s="312"/>
      <c r="N6445" s="514"/>
      <c r="R6445" s="293"/>
      <c r="S6445" s="316"/>
      <c r="T6445" s="355"/>
    </row>
    <row r="6446" spans="11:20" x14ac:dyDescent="0.25">
      <c r="K6446" s="312"/>
      <c r="N6446" s="514"/>
      <c r="R6446" s="293"/>
      <c r="S6446" s="316"/>
      <c r="T6446" s="355"/>
    </row>
    <row r="6447" spans="11:20" x14ac:dyDescent="0.25">
      <c r="K6447" s="312"/>
      <c r="N6447" s="514"/>
      <c r="R6447" s="293"/>
      <c r="S6447" s="316"/>
      <c r="T6447" s="355"/>
    </row>
    <row r="6448" spans="11:20" x14ac:dyDescent="0.25">
      <c r="K6448" s="312"/>
      <c r="N6448" s="514"/>
      <c r="R6448" s="293"/>
      <c r="S6448" s="316"/>
      <c r="T6448" s="355"/>
    </row>
    <row r="6449" spans="11:20" x14ac:dyDescent="0.25">
      <c r="K6449" s="312"/>
      <c r="N6449" s="514"/>
      <c r="R6449" s="293"/>
      <c r="S6449" s="316"/>
      <c r="T6449" s="355"/>
    </row>
    <row r="6450" spans="11:20" x14ac:dyDescent="0.25">
      <c r="K6450" s="312"/>
      <c r="N6450" s="514"/>
      <c r="R6450" s="293"/>
      <c r="S6450" s="316"/>
      <c r="T6450" s="355"/>
    </row>
    <row r="6451" spans="11:20" x14ac:dyDescent="0.25">
      <c r="K6451" s="312"/>
      <c r="N6451" s="514"/>
      <c r="R6451" s="293"/>
      <c r="S6451" s="316"/>
      <c r="T6451" s="355"/>
    </row>
    <row r="6452" spans="11:20" x14ac:dyDescent="0.25">
      <c r="K6452" s="312"/>
      <c r="N6452" s="514"/>
      <c r="R6452" s="293"/>
      <c r="S6452" s="316"/>
      <c r="T6452" s="355"/>
    </row>
    <row r="6453" spans="11:20" x14ac:dyDescent="0.25">
      <c r="K6453" s="312"/>
      <c r="N6453" s="514"/>
      <c r="R6453" s="293"/>
      <c r="S6453" s="316"/>
      <c r="T6453" s="355"/>
    </row>
    <row r="6454" spans="11:20" x14ac:dyDescent="0.25">
      <c r="K6454" s="312"/>
      <c r="N6454" s="514"/>
      <c r="R6454" s="293"/>
      <c r="S6454" s="316"/>
      <c r="T6454" s="355"/>
    </row>
    <row r="6455" spans="11:20" x14ac:dyDescent="0.25">
      <c r="K6455" s="312"/>
      <c r="N6455" s="514"/>
      <c r="R6455" s="293"/>
      <c r="S6455" s="316"/>
      <c r="T6455" s="355"/>
    </row>
    <row r="6456" spans="11:20" x14ac:dyDescent="0.25">
      <c r="K6456" s="312"/>
      <c r="N6456" s="514"/>
      <c r="R6456" s="293"/>
      <c r="S6456" s="316"/>
      <c r="T6456" s="355"/>
    </row>
    <row r="6457" spans="11:20" x14ac:dyDescent="0.25">
      <c r="K6457" s="312"/>
      <c r="N6457" s="514"/>
      <c r="R6457" s="293"/>
      <c r="S6457" s="316"/>
      <c r="T6457" s="355"/>
    </row>
    <row r="6458" spans="11:20" x14ac:dyDescent="0.25">
      <c r="K6458" s="312"/>
      <c r="N6458" s="514"/>
      <c r="R6458" s="293"/>
      <c r="S6458" s="316"/>
      <c r="T6458" s="355"/>
    </row>
    <row r="6459" spans="11:20" x14ac:dyDescent="0.25">
      <c r="K6459" s="312"/>
      <c r="N6459" s="514"/>
      <c r="R6459" s="293"/>
      <c r="S6459" s="316"/>
      <c r="T6459" s="355"/>
    </row>
    <row r="6460" spans="11:20" x14ac:dyDescent="0.25">
      <c r="K6460" s="312"/>
      <c r="N6460" s="514"/>
      <c r="R6460" s="293"/>
      <c r="S6460" s="316"/>
      <c r="T6460" s="355"/>
    </row>
    <row r="6461" spans="11:20" x14ac:dyDescent="0.25">
      <c r="K6461" s="312"/>
      <c r="N6461" s="514"/>
      <c r="R6461" s="293"/>
      <c r="S6461" s="316"/>
      <c r="T6461" s="355"/>
    </row>
    <row r="6462" spans="11:20" x14ac:dyDescent="0.25">
      <c r="K6462" s="312"/>
      <c r="N6462" s="514"/>
      <c r="R6462" s="293"/>
      <c r="S6462" s="316"/>
      <c r="T6462" s="355"/>
    </row>
    <row r="6463" spans="11:20" x14ac:dyDescent="0.25">
      <c r="K6463" s="312"/>
      <c r="N6463" s="514"/>
      <c r="R6463" s="293"/>
      <c r="S6463" s="316"/>
      <c r="T6463" s="355"/>
    </row>
    <row r="6464" spans="11:20" x14ac:dyDescent="0.25">
      <c r="K6464" s="312"/>
      <c r="N6464" s="514"/>
      <c r="R6464" s="293"/>
      <c r="S6464" s="316"/>
      <c r="T6464" s="355"/>
    </row>
    <row r="6465" spans="11:20" x14ac:dyDescent="0.25">
      <c r="K6465" s="312"/>
      <c r="N6465" s="514"/>
      <c r="R6465" s="293"/>
      <c r="S6465" s="316"/>
      <c r="T6465" s="355"/>
    </row>
    <row r="6466" spans="11:20" x14ac:dyDescent="0.25">
      <c r="K6466" s="312"/>
      <c r="N6466" s="514"/>
      <c r="R6466" s="293"/>
      <c r="S6466" s="316"/>
      <c r="T6466" s="355"/>
    </row>
    <row r="6467" spans="11:20" x14ac:dyDescent="0.25">
      <c r="K6467" s="312"/>
      <c r="N6467" s="514"/>
      <c r="R6467" s="293"/>
      <c r="S6467" s="316"/>
      <c r="T6467" s="355"/>
    </row>
    <row r="6468" spans="11:20" x14ac:dyDescent="0.25">
      <c r="K6468" s="312"/>
      <c r="N6468" s="514"/>
      <c r="R6468" s="293"/>
      <c r="S6468" s="316"/>
      <c r="T6468" s="355"/>
    </row>
    <row r="6469" spans="11:20" x14ac:dyDescent="0.25">
      <c r="K6469" s="312"/>
      <c r="N6469" s="514"/>
      <c r="R6469" s="293"/>
      <c r="S6469" s="316"/>
      <c r="T6469" s="355"/>
    </row>
    <row r="6470" spans="11:20" x14ac:dyDescent="0.25">
      <c r="K6470" s="312"/>
      <c r="N6470" s="514"/>
      <c r="R6470" s="293"/>
      <c r="S6470" s="316"/>
      <c r="T6470" s="355"/>
    </row>
    <row r="6471" spans="11:20" x14ac:dyDescent="0.25">
      <c r="K6471" s="312"/>
      <c r="N6471" s="514"/>
      <c r="R6471" s="293"/>
      <c r="S6471" s="316"/>
      <c r="T6471" s="355"/>
    </row>
    <row r="6472" spans="11:20" x14ac:dyDescent="0.25">
      <c r="K6472" s="312"/>
      <c r="N6472" s="514"/>
      <c r="R6472" s="293"/>
      <c r="S6472" s="316"/>
      <c r="T6472" s="355"/>
    </row>
    <row r="6473" spans="11:20" x14ac:dyDescent="0.25">
      <c r="K6473" s="312"/>
      <c r="N6473" s="514"/>
      <c r="R6473" s="293"/>
      <c r="S6473" s="316"/>
      <c r="T6473" s="355"/>
    </row>
    <row r="6474" spans="11:20" x14ac:dyDescent="0.25">
      <c r="K6474" s="312"/>
      <c r="N6474" s="514"/>
      <c r="R6474" s="293"/>
      <c r="S6474" s="316"/>
      <c r="T6474" s="355"/>
    </row>
    <row r="6475" spans="11:20" x14ac:dyDescent="0.25">
      <c r="K6475" s="312"/>
      <c r="N6475" s="514"/>
      <c r="R6475" s="293"/>
      <c r="S6475" s="316"/>
      <c r="T6475" s="355"/>
    </row>
    <row r="6476" spans="11:20" x14ac:dyDescent="0.25">
      <c r="K6476" s="312"/>
      <c r="N6476" s="514"/>
      <c r="R6476" s="293"/>
      <c r="S6476" s="316"/>
      <c r="T6476" s="355"/>
    </row>
    <row r="6477" spans="11:20" x14ac:dyDescent="0.25">
      <c r="K6477" s="312"/>
      <c r="N6477" s="514"/>
      <c r="R6477" s="293"/>
      <c r="S6477" s="316"/>
      <c r="T6477" s="355"/>
    </row>
    <row r="6478" spans="11:20" x14ac:dyDescent="0.25">
      <c r="K6478" s="312"/>
      <c r="N6478" s="514"/>
      <c r="R6478" s="293"/>
      <c r="S6478" s="316"/>
      <c r="T6478" s="355"/>
    </row>
    <row r="6479" spans="11:20" x14ac:dyDescent="0.25">
      <c r="K6479" s="312"/>
      <c r="N6479" s="514"/>
      <c r="R6479" s="293"/>
      <c r="S6479" s="316"/>
      <c r="T6479" s="355"/>
    </row>
    <row r="6480" spans="11:20" x14ac:dyDescent="0.25">
      <c r="K6480" s="312"/>
      <c r="N6480" s="514"/>
      <c r="R6480" s="293"/>
      <c r="S6480" s="316"/>
      <c r="T6480" s="355"/>
    </row>
    <row r="6481" spans="11:20" x14ac:dyDescent="0.25">
      <c r="K6481" s="312"/>
      <c r="N6481" s="514"/>
      <c r="R6481" s="293"/>
      <c r="S6481" s="316"/>
      <c r="T6481" s="355"/>
    </row>
    <row r="6482" spans="11:20" x14ac:dyDescent="0.25">
      <c r="K6482" s="312"/>
      <c r="N6482" s="514"/>
      <c r="R6482" s="293"/>
      <c r="S6482" s="316"/>
      <c r="T6482" s="355"/>
    </row>
    <row r="6483" spans="11:20" x14ac:dyDescent="0.25">
      <c r="K6483" s="312"/>
      <c r="N6483" s="514"/>
      <c r="R6483" s="293"/>
      <c r="S6483" s="316"/>
      <c r="T6483" s="355"/>
    </row>
    <row r="6484" spans="11:20" x14ac:dyDescent="0.25">
      <c r="K6484" s="312"/>
      <c r="N6484" s="514"/>
      <c r="R6484" s="293"/>
      <c r="S6484" s="316"/>
      <c r="T6484" s="355"/>
    </row>
    <row r="6485" spans="11:20" x14ac:dyDescent="0.25">
      <c r="K6485" s="312"/>
      <c r="N6485" s="514"/>
      <c r="R6485" s="293"/>
      <c r="S6485" s="316"/>
      <c r="T6485" s="355"/>
    </row>
    <row r="6486" spans="11:20" x14ac:dyDescent="0.25">
      <c r="K6486" s="312"/>
      <c r="N6486" s="514"/>
      <c r="R6486" s="293"/>
      <c r="S6486" s="316"/>
      <c r="T6486" s="355"/>
    </row>
    <row r="6487" spans="11:20" x14ac:dyDescent="0.25">
      <c r="K6487" s="312"/>
      <c r="N6487" s="514"/>
      <c r="R6487" s="293"/>
      <c r="S6487" s="316"/>
      <c r="T6487" s="355"/>
    </row>
    <row r="6488" spans="11:20" x14ac:dyDescent="0.25">
      <c r="K6488" s="312"/>
      <c r="N6488" s="514"/>
      <c r="R6488" s="293"/>
      <c r="S6488" s="316"/>
      <c r="T6488" s="355"/>
    </row>
    <row r="6489" spans="11:20" x14ac:dyDescent="0.25">
      <c r="K6489" s="312"/>
      <c r="N6489" s="514"/>
      <c r="R6489" s="293"/>
      <c r="S6489" s="316"/>
      <c r="T6489" s="355"/>
    </row>
    <row r="6490" spans="11:20" x14ac:dyDescent="0.25">
      <c r="K6490" s="312"/>
      <c r="N6490" s="514"/>
      <c r="R6490" s="293"/>
      <c r="S6490" s="316"/>
      <c r="T6490" s="355"/>
    </row>
    <row r="6491" spans="11:20" x14ac:dyDescent="0.25">
      <c r="K6491" s="312"/>
      <c r="N6491" s="514"/>
      <c r="R6491" s="293"/>
      <c r="S6491" s="316"/>
      <c r="T6491" s="355"/>
    </row>
    <row r="6492" spans="11:20" x14ac:dyDescent="0.25">
      <c r="K6492" s="312"/>
      <c r="N6492" s="514"/>
      <c r="R6492" s="293"/>
      <c r="S6492" s="316"/>
      <c r="T6492" s="355"/>
    </row>
    <row r="6493" spans="11:20" x14ac:dyDescent="0.25">
      <c r="K6493" s="312"/>
      <c r="N6493" s="514"/>
      <c r="R6493" s="293"/>
      <c r="S6493" s="316"/>
      <c r="T6493" s="355"/>
    </row>
    <row r="6494" spans="11:20" x14ac:dyDescent="0.25">
      <c r="K6494" s="312"/>
      <c r="N6494" s="514"/>
      <c r="R6494" s="293"/>
      <c r="S6494" s="316"/>
      <c r="T6494" s="355"/>
    </row>
    <row r="6495" spans="11:20" x14ac:dyDescent="0.25">
      <c r="K6495" s="312"/>
      <c r="N6495" s="514"/>
      <c r="R6495" s="293"/>
      <c r="S6495" s="316"/>
      <c r="T6495" s="355"/>
    </row>
    <row r="6496" spans="11:20" x14ac:dyDescent="0.25">
      <c r="K6496" s="312"/>
      <c r="N6496" s="514"/>
      <c r="R6496" s="293"/>
      <c r="S6496" s="316"/>
      <c r="T6496" s="355"/>
    </row>
    <row r="6497" spans="11:20" x14ac:dyDescent="0.25">
      <c r="K6497" s="312"/>
      <c r="N6497" s="514"/>
      <c r="R6497" s="293"/>
      <c r="S6497" s="316"/>
      <c r="T6497" s="355"/>
    </row>
    <row r="6498" spans="11:20" x14ac:dyDescent="0.25">
      <c r="K6498" s="312"/>
      <c r="N6498" s="514"/>
      <c r="R6498" s="293"/>
      <c r="S6498" s="316"/>
      <c r="T6498" s="355"/>
    </row>
    <row r="6499" spans="11:20" x14ac:dyDescent="0.25">
      <c r="K6499" s="312"/>
      <c r="N6499" s="514"/>
      <c r="R6499" s="293"/>
      <c r="S6499" s="316"/>
      <c r="T6499" s="355"/>
    </row>
    <row r="6500" spans="11:20" x14ac:dyDescent="0.25">
      <c r="K6500" s="312"/>
      <c r="N6500" s="514"/>
      <c r="R6500" s="293"/>
      <c r="S6500" s="316"/>
      <c r="T6500" s="355"/>
    </row>
    <row r="6501" spans="11:20" x14ac:dyDescent="0.25">
      <c r="K6501" s="312"/>
      <c r="N6501" s="514"/>
      <c r="R6501" s="293"/>
      <c r="S6501" s="316"/>
      <c r="T6501" s="355"/>
    </row>
    <row r="6502" spans="11:20" x14ac:dyDescent="0.25">
      <c r="K6502" s="312"/>
      <c r="N6502" s="514"/>
      <c r="R6502" s="293"/>
      <c r="S6502" s="316"/>
      <c r="T6502" s="355"/>
    </row>
    <row r="6503" spans="11:20" x14ac:dyDescent="0.25">
      <c r="K6503" s="312"/>
      <c r="N6503" s="514"/>
      <c r="R6503" s="293"/>
      <c r="S6503" s="316"/>
      <c r="T6503" s="355"/>
    </row>
    <row r="6504" spans="11:20" x14ac:dyDescent="0.25">
      <c r="K6504" s="312"/>
      <c r="N6504" s="514"/>
      <c r="R6504" s="293"/>
      <c r="S6504" s="316"/>
      <c r="T6504" s="355"/>
    </row>
    <row r="6505" spans="11:20" x14ac:dyDescent="0.25">
      <c r="K6505" s="312"/>
      <c r="N6505" s="514"/>
      <c r="R6505" s="293"/>
      <c r="S6505" s="316"/>
      <c r="T6505" s="355"/>
    </row>
    <row r="6506" spans="11:20" x14ac:dyDescent="0.25">
      <c r="K6506" s="312"/>
      <c r="N6506" s="514"/>
      <c r="R6506" s="293"/>
      <c r="S6506" s="316"/>
      <c r="T6506" s="355"/>
    </row>
    <row r="6507" spans="11:20" x14ac:dyDescent="0.25">
      <c r="K6507" s="312"/>
      <c r="N6507" s="514"/>
      <c r="R6507" s="293"/>
      <c r="S6507" s="316"/>
      <c r="T6507" s="355"/>
    </row>
    <row r="6508" spans="11:20" x14ac:dyDescent="0.25">
      <c r="K6508" s="312"/>
      <c r="N6508" s="514"/>
      <c r="R6508" s="293"/>
      <c r="S6508" s="316"/>
      <c r="T6508" s="355"/>
    </row>
    <row r="6509" spans="11:20" x14ac:dyDescent="0.25">
      <c r="K6509" s="312"/>
      <c r="N6509" s="514"/>
      <c r="R6509" s="293"/>
      <c r="S6509" s="316"/>
      <c r="T6509" s="355"/>
    </row>
    <row r="6510" spans="11:20" x14ac:dyDescent="0.25">
      <c r="K6510" s="312"/>
      <c r="N6510" s="514"/>
      <c r="R6510" s="293"/>
      <c r="S6510" s="316"/>
      <c r="T6510" s="355"/>
    </row>
    <row r="6511" spans="11:20" x14ac:dyDescent="0.25">
      <c r="K6511" s="312"/>
      <c r="N6511" s="514"/>
      <c r="R6511" s="293"/>
      <c r="S6511" s="316"/>
      <c r="T6511" s="355"/>
    </row>
    <row r="6512" spans="11:20" x14ac:dyDescent="0.25">
      <c r="K6512" s="312"/>
      <c r="N6512" s="514"/>
      <c r="R6512" s="293"/>
      <c r="S6512" s="316"/>
      <c r="T6512" s="355"/>
    </row>
    <row r="6513" spans="11:20" x14ac:dyDescent="0.25">
      <c r="K6513" s="312"/>
      <c r="N6513" s="514"/>
      <c r="R6513" s="293"/>
      <c r="S6513" s="316"/>
      <c r="T6513" s="355"/>
    </row>
    <row r="6514" spans="11:20" x14ac:dyDescent="0.25">
      <c r="K6514" s="312"/>
      <c r="N6514" s="514"/>
      <c r="R6514" s="293"/>
      <c r="S6514" s="316"/>
      <c r="T6514" s="355"/>
    </row>
    <row r="6515" spans="11:20" x14ac:dyDescent="0.25">
      <c r="K6515" s="312"/>
      <c r="N6515" s="514"/>
      <c r="R6515" s="293"/>
      <c r="S6515" s="316"/>
      <c r="T6515" s="355"/>
    </row>
    <row r="6516" spans="11:20" x14ac:dyDescent="0.25">
      <c r="K6516" s="312"/>
      <c r="N6516" s="514"/>
      <c r="R6516" s="293"/>
      <c r="S6516" s="316"/>
      <c r="T6516" s="355"/>
    </row>
    <row r="6517" spans="11:20" x14ac:dyDescent="0.25">
      <c r="K6517" s="312"/>
      <c r="N6517" s="514"/>
      <c r="R6517" s="293"/>
      <c r="S6517" s="316"/>
      <c r="T6517" s="355"/>
    </row>
    <row r="6518" spans="11:20" x14ac:dyDescent="0.25">
      <c r="K6518" s="312"/>
      <c r="N6518" s="514"/>
      <c r="R6518" s="293"/>
      <c r="S6518" s="316"/>
      <c r="T6518" s="355"/>
    </row>
    <row r="6519" spans="11:20" x14ac:dyDescent="0.25">
      <c r="K6519" s="312"/>
      <c r="N6519" s="514"/>
      <c r="R6519" s="293"/>
      <c r="S6519" s="316"/>
      <c r="T6519" s="355"/>
    </row>
    <row r="6520" spans="11:20" x14ac:dyDescent="0.25">
      <c r="K6520" s="312"/>
      <c r="N6520" s="514"/>
      <c r="R6520" s="293"/>
      <c r="S6520" s="316"/>
      <c r="T6520" s="355"/>
    </row>
    <row r="6521" spans="11:20" x14ac:dyDescent="0.25">
      <c r="K6521" s="312"/>
      <c r="N6521" s="514"/>
      <c r="R6521" s="293"/>
      <c r="S6521" s="316"/>
      <c r="T6521" s="355"/>
    </row>
    <row r="6522" spans="11:20" x14ac:dyDescent="0.25">
      <c r="K6522" s="312"/>
      <c r="N6522" s="514"/>
      <c r="R6522" s="293"/>
      <c r="S6522" s="316"/>
      <c r="T6522" s="355"/>
    </row>
    <row r="6523" spans="11:20" x14ac:dyDescent="0.25">
      <c r="K6523" s="312"/>
      <c r="N6523" s="514"/>
      <c r="R6523" s="293"/>
      <c r="S6523" s="316"/>
      <c r="T6523" s="355"/>
    </row>
    <row r="6524" spans="11:20" x14ac:dyDescent="0.25">
      <c r="K6524" s="312"/>
      <c r="N6524" s="514"/>
      <c r="R6524" s="293"/>
      <c r="S6524" s="316"/>
      <c r="T6524" s="355"/>
    </row>
    <row r="6525" spans="11:20" x14ac:dyDescent="0.25">
      <c r="K6525" s="312"/>
      <c r="N6525" s="514"/>
      <c r="R6525" s="293"/>
      <c r="S6525" s="316"/>
      <c r="T6525" s="355"/>
    </row>
    <row r="6526" spans="11:20" x14ac:dyDescent="0.25">
      <c r="K6526" s="312"/>
      <c r="N6526" s="514"/>
      <c r="R6526" s="293"/>
      <c r="S6526" s="316"/>
      <c r="T6526" s="355"/>
    </row>
    <row r="6527" spans="11:20" x14ac:dyDescent="0.25">
      <c r="K6527" s="312"/>
      <c r="N6527" s="514"/>
      <c r="R6527" s="293"/>
      <c r="S6527" s="316"/>
      <c r="T6527" s="355"/>
    </row>
    <row r="6528" spans="11:20" x14ac:dyDescent="0.25">
      <c r="K6528" s="312"/>
      <c r="N6528" s="514"/>
      <c r="R6528" s="293"/>
      <c r="S6528" s="316"/>
      <c r="T6528" s="355"/>
    </row>
    <row r="6529" spans="11:20" x14ac:dyDescent="0.25">
      <c r="K6529" s="312"/>
      <c r="N6529" s="514"/>
      <c r="R6529" s="293"/>
      <c r="S6529" s="316"/>
      <c r="T6529" s="355"/>
    </row>
    <row r="6530" spans="11:20" x14ac:dyDescent="0.25">
      <c r="K6530" s="312"/>
      <c r="N6530" s="514"/>
      <c r="R6530" s="293"/>
      <c r="S6530" s="316"/>
      <c r="T6530" s="355"/>
    </row>
    <row r="6531" spans="11:20" x14ac:dyDescent="0.25">
      <c r="K6531" s="312"/>
      <c r="N6531" s="514"/>
      <c r="R6531" s="293"/>
      <c r="S6531" s="316"/>
      <c r="T6531" s="355"/>
    </row>
    <row r="6532" spans="11:20" x14ac:dyDescent="0.25">
      <c r="K6532" s="312"/>
      <c r="N6532" s="514"/>
      <c r="R6532" s="293"/>
      <c r="S6532" s="316"/>
      <c r="T6532" s="355"/>
    </row>
    <row r="6533" spans="11:20" x14ac:dyDescent="0.25">
      <c r="K6533" s="312"/>
      <c r="N6533" s="514"/>
      <c r="R6533" s="293"/>
      <c r="S6533" s="316"/>
      <c r="T6533" s="355"/>
    </row>
    <row r="6534" spans="11:20" x14ac:dyDescent="0.25">
      <c r="K6534" s="312"/>
      <c r="N6534" s="514"/>
      <c r="R6534" s="293"/>
      <c r="S6534" s="316"/>
      <c r="T6534" s="355"/>
    </row>
    <row r="6535" spans="11:20" x14ac:dyDescent="0.25">
      <c r="K6535" s="312"/>
      <c r="N6535" s="514"/>
      <c r="R6535" s="293"/>
      <c r="S6535" s="316"/>
      <c r="T6535" s="355"/>
    </row>
    <row r="6536" spans="11:20" x14ac:dyDescent="0.25">
      <c r="K6536" s="312"/>
      <c r="N6536" s="514"/>
      <c r="R6536" s="293"/>
      <c r="S6536" s="316"/>
      <c r="T6536" s="355"/>
    </row>
    <row r="6537" spans="11:20" x14ac:dyDescent="0.25">
      <c r="K6537" s="312"/>
      <c r="N6537" s="514"/>
      <c r="R6537" s="293"/>
      <c r="S6537" s="316"/>
      <c r="T6537" s="355"/>
    </row>
    <row r="6538" spans="11:20" x14ac:dyDescent="0.25">
      <c r="K6538" s="312"/>
      <c r="N6538" s="514"/>
      <c r="R6538" s="293"/>
      <c r="S6538" s="316"/>
      <c r="T6538" s="355"/>
    </row>
    <row r="6539" spans="11:20" x14ac:dyDescent="0.25">
      <c r="K6539" s="312"/>
      <c r="N6539" s="514"/>
      <c r="R6539" s="293"/>
      <c r="S6539" s="316"/>
      <c r="T6539" s="355"/>
    </row>
    <row r="6540" spans="11:20" x14ac:dyDescent="0.25">
      <c r="K6540" s="312"/>
      <c r="N6540" s="514"/>
      <c r="R6540" s="293"/>
      <c r="S6540" s="316"/>
      <c r="T6540" s="355"/>
    </row>
    <row r="6541" spans="11:20" x14ac:dyDescent="0.25">
      <c r="K6541" s="312"/>
      <c r="N6541" s="514"/>
      <c r="R6541" s="293"/>
      <c r="S6541" s="316"/>
      <c r="T6541" s="355"/>
    </row>
    <row r="6542" spans="11:20" x14ac:dyDescent="0.25">
      <c r="K6542" s="312"/>
      <c r="N6542" s="514"/>
      <c r="R6542" s="293"/>
      <c r="S6542" s="316"/>
      <c r="T6542" s="355"/>
    </row>
    <row r="6543" spans="11:20" x14ac:dyDescent="0.25">
      <c r="K6543" s="312"/>
      <c r="N6543" s="514"/>
      <c r="R6543" s="293"/>
      <c r="S6543" s="316"/>
      <c r="T6543" s="355"/>
    </row>
    <row r="6544" spans="11:20" x14ac:dyDescent="0.25">
      <c r="K6544" s="312"/>
      <c r="N6544" s="514"/>
      <c r="R6544" s="293"/>
      <c r="S6544" s="316"/>
      <c r="T6544" s="355"/>
    </row>
    <row r="6545" spans="11:20" x14ac:dyDescent="0.25">
      <c r="K6545" s="312"/>
      <c r="N6545" s="514"/>
      <c r="R6545" s="293"/>
      <c r="S6545" s="316"/>
      <c r="T6545" s="355"/>
    </row>
    <row r="6546" spans="11:20" x14ac:dyDescent="0.25">
      <c r="K6546" s="312"/>
      <c r="N6546" s="514"/>
      <c r="R6546" s="293"/>
      <c r="S6546" s="316"/>
      <c r="T6546" s="355"/>
    </row>
    <row r="6547" spans="11:20" x14ac:dyDescent="0.25">
      <c r="K6547" s="312"/>
      <c r="N6547" s="514"/>
      <c r="R6547" s="293"/>
      <c r="S6547" s="316"/>
      <c r="T6547" s="355"/>
    </row>
    <row r="6548" spans="11:20" x14ac:dyDescent="0.25">
      <c r="K6548" s="312"/>
      <c r="N6548" s="514"/>
      <c r="R6548" s="293"/>
      <c r="S6548" s="316"/>
      <c r="T6548" s="355"/>
    </row>
    <row r="6549" spans="11:20" x14ac:dyDescent="0.25">
      <c r="K6549" s="312"/>
      <c r="N6549" s="514"/>
      <c r="R6549" s="293"/>
      <c r="S6549" s="316"/>
      <c r="T6549" s="355"/>
    </row>
    <row r="6550" spans="11:20" x14ac:dyDescent="0.25">
      <c r="K6550" s="312"/>
      <c r="N6550" s="514"/>
      <c r="R6550" s="293"/>
      <c r="S6550" s="316"/>
      <c r="T6550" s="355"/>
    </row>
    <row r="6551" spans="11:20" x14ac:dyDescent="0.25">
      <c r="K6551" s="312"/>
      <c r="N6551" s="514"/>
      <c r="R6551" s="293"/>
      <c r="S6551" s="316"/>
      <c r="T6551" s="355"/>
    </row>
    <row r="6552" spans="11:20" x14ac:dyDescent="0.25">
      <c r="K6552" s="312"/>
      <c r="N6552" s="514"/>
      <c r="R6552" s="293"/>
      <c r="S6552" s="316"/>
      <c r="T6552" s="355"/>
    </row>
    <row r="6553" spans="11:20" x14ac:dyDescent="0.25">
      <c r="K6553" s="312"/>
      <c r="N6553" s="514"/>
      <c r="R6553" s="293"/>
      <c r="S6553" s="316"/>
      <c r="T6553" s="355"/>
    </row>
    <row r="6554" spans="11:20" x14ac:dyDescent="0.25">
      <c r="K6554" s="312"/>
      <c r="N6554" s="514"/>
      <c r="R6554" s="293"/>
      <c r="S6554" s="316"/>
      <c r="T6554" s="355"/>
    </row>
    <row r="6555" spans="11:20" x14ac:dyDescent="0.25">
      <c r="K6555" s="312"/>
      <c r="N6555" s="514"/>
      <c r="R6555" s="293"/>
      <c r="S6555" s="316"/>
      <c r="T6555" s="355"/>
    </row>
    <row r="6556" spans="11:20" x14ac:dyDescent="0.25">
      <c r="K6556" s="312"/>
      <c r="N6556" s="514"/>
      <c r="R6556" s="293"/>
      <c r="S6556" s="316"/>
      <c r="T6556" s="355"/>
    </row>
    <row r="6557" spans="11:20" x14ac:dyDescent="0.25">
      <c r="K6557" s="312"/>
      <c r="N6557" s="514"/>
      <c r="R6557" s="293"/>
      <c r="S6557" s="316"/>
      <c r="T6557" s="355"/>
    </row>
    <row r="6558" spans="11:20" x14ac:dyDescent="0.25">
      <c r="K6558" s="312"/>
      <c r="N6558" s="514"/>
      <c r="R6558" s="293"/>
      <c r="S6558" s="316"/>
      <c r="T6558" s="355"/>
    </row>
    <row r="6559" spans="11:20" x14ac:dyDescent="0.25">
      <c r="K6559" s="312"/>
      <c r="N6559" s="514"/>
      <c r="R6559" s="293"/>
      <c r="S6559" s="316"/>
      <c r="T6559" s="355"/>
    </row>
    <row r="6560" spans="11:20" x14ac:dyDescent="0.25">
      <c r="K6560" s="312"/>
      <c r="N6560" s="514"/>
      <c r="R6560" s="293"/>
      <c r="S6560" s="316"/>
      <c r="T6560" s="355"/>
    </row>
    <row r="6561" spans="11:20" x14ac:dyDescent="0.25">
      <c r="K6561" s="312"/>
      <c r="N6561" s="514"/>
      <c r="R6561" s="293"/>
      <c r="S6561" s="316"/>
      <c r="T6561" s="355"/>
    </row>
    <row r="6562" spans="11:20" x14ac:dyDescent="0.25">
      <c r="K6562" s="312"/>
      <c r="N6562" s="514"/>
      <c r="R6562" s="293"/>
      <c r="S6562" s="316"/>
      <c r="T6562" s="355"/>
    </row>
    <row r="6563" spans="11:20" x14ac:dyDescent="0.25">
      <c r="K6563" s="312"/>
      <c r="N6563" s="514"/>
      <c r="R6563" s="293"/>
      <c r="S6563" s="316"/>
      <c r="T6563" s="355"/>
    </row>
    <row r="6564" spans="11:20" x14ac:dyDescent="0.25">
      <c r="K6564" s="312"/>
      <c r="N6564" s="514"/>
      <c r="R6564" s="293"/>
      <c r="S6564" s="316"/>
      <c r="T6564" s="355"/>
    </row>
    <row r="6565" spans="11:20" x14ac:dyDescent="0.25">
      <c r="K6565" s="312"/>
      <c r="N6565" s="514"/>
      <c r="R6565" s="293"/>
      <c r="S6565" s="316"/>
      <c r="T6565" s="355"/>
    </row>
    <row r="6566" spans="11:20" x14ac:dyDescent="0.25">
      <c r="K6566" s="312"/>
      <c r="N6566" s="514"/>
      <c r="R6566" s="293"/>
      <c r="S6566" s="316"/>
      <c r="T6566" s="355"/>
    </row>
    <row r="6567" spans="11:20" x14ac:dyDescent="0.25">
      <c r="K6567" s="312"/>
      <c r="N6567" s="514"/>
      <c r="R6567" s="293"/>
      <c r="S6567" s="316"/>
      <c r="T6567" s="355"/>
    </row>
    <row r="6568" spans="11:20" x14ac:dyDescent="0.25">
      <c r="K6568" s="312"/>
      <c r="N6568" s="514"/>
      <c r="R6568" s="293"/>
      <c r="S6568" s="316"/>
      <c r="T6568" s="355"/>
    </row>
    <row r="6569" spans="11:20" x14ac:dyDescent="0.25">
      <c r="K6569" s="312"/>
      <c r="N6569" s="514"/>
      <c r="R6569" s="293"/>
      <c r="S6569" s="316"/>
      <c r="T6569" s="355"/>
    </row>
    <row r="6570" spans="11:20" x14ac:dyDescent="0.25">
      <c r="K6570" s="312"/>
      <c r="N6570" s="514"/>
      <c r="R6570" s="293"/>
      <c r="S6570" s="316"/>
      <c r="T6570" s="355"/>
    </row>
    <row r="6571" spans="11:20" x14ac:dyDescent="0.25">
      <c r="K6571" s="312"/>
      <c r="N6571" s="514"/>
      <c r="R6571" s="293"/>
      <c r="S6571" s="316"/>
      <c r="T6571" s="355"/>
    </row>
    <row r="6572" spans="11:20" x14ac:dyDescent="0.25">
      <c r="K6572" s="312"/>
      <c r="N6572" s="514"/>
      <c r="R6572" s="293"/>
      <c r="S6572" s="316"/>
      <c r="T6572" s="355"/>
    </row>
    <row r="6573" spans="11:20" x14ac:dyDescent="0.25">
      <c r="K6573" s="312"/>
      <c r="N6573" s="514"/>
      <c r="R6573" s="293"/>
      <c r="S6573" s="316"/>
      <c r="T6573" s="355"/>
    </row>
    <row r="6574" spans="11:20" x14ac:dyDescent="0.25">
      <c r="K6574" s="312"/>
      <c r="N6574" s="514"/>
      <c r="R6574" s="293"/>
      <c r="S6574" s="316"/>
      <c r="T6574" s="355"/>
    </row>
    <row r="6575" spans="11:20" x14ac:dyDescent="0.25">
      <c r="K6575" s="312"/>
      <c r="N6575" s="514"/>
      <c r="R6575" s="293"/>
      <c r="S6575" s="316"/>
      <c r="T6575" s="355"/>
    </row>
    <row r="6576" spans="11:20" x14ac:dyDescent="0.25">
      <c r="K6576" s="312"/>
      <c r="N6576" s="514"/>
      <c r="R6576" s="293"/>
      <c r="S6576" s="316"/>
      <c r="T6576" s="355"/>
    </row>
    <row r="6577" spans="11:20" x14ac:dyDescent="0.25">
      <c r="K6577" s="312"/>
      <c r="N6577" s="514"/>
      <c r="R6577" s="293"/>
      <c r="S6577" s="316"/>
      <c r="T6577" s="355"/>
    </row>
    <row r="6578" spans="11:20" x14ac:dyDescent="0.25">
      <c r="K6578" s="312"/>
      <c r="N6578" s="514"/>
      <c r="R6578" s="293"/>
      <c r="S6578" s="316"/>
      <c r="T6578" s="355"/>
    </row>
    <row r="6579" spans="11:20" x14ac:dyDescent="0.25">
      <c r="K6579" s="312"/>
      <c r="N6579" s="514"/>
      <c r="R6579" s="293"/>
      <c r="S6579" s="316"/>
      <c r="T6579" s="355"/>
    </row>
    <row r="6580" spans="11:20" x14ac:dyDescent="0.25">
      <c r="K6580" s="312"/>
      <c r="N6580" s="514"/>
      <c r="R6580" s="293"/>
      <c r="S6580" s="316"/>
      <c r="T6580" s="355"/>
    </row>
    <row r="6581" spans="11:20" x14ac:dyDescent="0.25">
      <c r="K6581" s="312"/>
      <c r="N6581" s="514"/>
      <c r="R6581" s="293"/>
      <c r="S6581" s="316"/>
      <c r="T6581" s="355"/>
    </row>
    <row r="6582" spans="11:20" x14ac:dyDescent="0.25">
      <c r="K6582" s="312"/>
      <c r="N6582" s="514"/>
      <c r="R6582" s="293"/>
      <c r="S6582" s="316"/>
      <c r="T6582" s="355"/>
    </row>
    <row r="6583" spans="11:20" x14ac:dyDescent="0.25">
      <c r="K6583" s="312"/>
      <c r="N6583" s="514"/>
      <c r="R6583" s="293"/>
      <c r="S6583" s="316"/>
      <c r="T6583" s="355"/>
    </row>
    <row r="6584" spans="11:20" x14ac:dyDescent="0.25">
      <c r="K6584" s="312"/>
      <c r="N6584" s="514"/>
      <c r="R6584" s="293"/>
      <c r="S6584" s="316"/>
      <c r="T6584" s="355"/>
    </row>
    <row r="6585" spans="11:20" x14ac:dyDescent="0.25">
      <c r="K6585" s="312"/>
      <c r="N6585" s="514"/>
      <c r="R6585" s="293"/>
      <c r="S6585" s="316"/>
      <c r="T6585" s="355"/>
    </row>
    <row r="6586" spans="11:20" x14ac:dyDescent="0.25">
      <c r="K6586" s="312"/>
      <c r="N6586" s="514"/>
      <c r="R6586" s="293"/>
      <c r="S6586" s="316"/>
      <c r="T6586" s="355"/>
    </row>
    <row r="6587" spans="11:20" x14ac:dyDescent="0.25">
      <c r="K6587" s="312"/>
      <c r="N6587" s="514"/>
      <c r="R6587" s="293"/>
      <c r="S6587" s="316"/>
      <c r="T6587" s="355"/>
    </row>
    <row r="6588" spans="11:20" x14ac:dyDescent="0.25">
      <c r="K6588" s="312"/>
      <c r="N6588" s="514"/>
      <c r="R6588" s="293"/>
      <c r="S6588" s="316"/>
      <c r="T6588" s="355"/>
    </row>
    <row r="6589" spans="11:20" x14ac:dyDescent="0.25">
      <c r="K6589" s="312"/>
      <c r="N6589" s="514"/>
      <c r="R6589" s="293"/>
      <c r="S6589" s="316"/>
      <c r="T6589" s="355"/>
    </row>
    <row r="6590" spans="11:20" x14ac:dyDescent="0.25">
      <c r="K6590" s="312"/>
      <c r="N6590" s="514"/>
      <c r="R6590" s="293"/>
      <c r="S6590" s="316"/>
      <c r="T6590" s="355"/>
    </row>
    <row r="6591" spans="11:20" x14ac:dyDescent="0.25">
      <c r="K6591" s="312"/>
      <c r="N6591" s="514"/>
      <c r="R6591" s="293"/>
      <c r="S6591" s="316"/>
      <c r="T6591" s="355"/>
    </row>
    <row r="6592" spans="11:20" x14ac:dyDescent="0.25">
      <c r="K6592" s="312"/>
      <c r="N6592" s="514"/>
      <c r="R6592" s="293"/>
      <c r="S6592" s="316"/>
      <c r="T6592" s="355"/>
    </row>
    <row r="6593" spans="11:20" x14ac:dyDescent="0.25">
      <c r="K6593" s="312"/>
      <c r="N6593" s="514"/>
      <c r="R6593" s="293"/>
      <c r="S6593" s="316"/>
      <c r="T6593" s="355"/>
    </row>
    <row r="6594" spans="11:20" x14ac:dyDescent="0.25">
      <c r="K6594" s="312"/>
      <c r="N6594" s="514"/>
      <c r="R6594" s="293"/>
      <c r="S6594" s="316"/>
      <c r="T6594" s="355"/>
    </row>
    <row r="6595" spans="11:20" x14ac:dyDescent="0.25">
      <c r="K6595" s="312"/>
      <c r="N6595" s="514"/>
      <c r="R6595" s="293"/>
      <c r="S6595" s="316"/>
      <c r="T6595" s="355"/>
    </row>
    <row r="6596" spans="11:20" x14ac:dyDescent="0.25">
      <c r="K6596" s="312"/>
      <c r="N6596" s="514"/>
      <c r="R6596" s="293"/>
      <c r="S6596" s="316"/>
      <c r="T6596" s="355"/>
    </row>
    <row r="6597" spans="11:20" x14ac:dyDescent="0.25">
      <c r="K6597" s="312"/>
      <c r="N6597" s="514"/>
      <c r="R6597" s="293"/>
      <c r="S6597" s="316"/>
      <c r="T6597" s="355"/>
    </row>
    <row r="6598" spans="11:20" x14ac:dyDescent="0.25">
      <c r="K6598" s="312"/>
      <c r="N6598" s="514"/>
      <c r="R6598" s="293"/>
      <c r="S6598" s="316"/>
      <c r="T6598" s="355"/>
    </row>
    <row r="6599" spans="11:20" x14ac:dyDescent="0.25">
      <c r="K6599" s="312"/>
      <c r="N6599" s="514"/>
      <c r="R6599" s="293"/>
      <c r="S6599" s="316"/>
      <c r="T6599" s="355"/>
    </row>
    <row r="6600" spans="11:20" x14ac:dyDescent="0.25">
      <c r="K6600" s="312"/>
      <c r="N6600" s="514"/>
      <c r="R6600" s="293"/>
      <c r="S6600" s="316"/>
      <c r="T6600" s="355"/>
    </row>
    <row r="6601" spans="11:20" x14ac:dyDescent="0.25">
      <c r="K6601" s="312"/>
      <c r="N6601" s="514"/>
      <c r="R6601" s="293"/>
      <c r="S6601" s="316"/>
      <c r="T6601" s="355"/>
    </row>
    <row r="6602" spans="11:20" x14ac:dyDescent="0.25">
      <c r="K6602" s="312"/>
      <c r="N6602" s="514"/>
      <c r="R6602" s="293"/>
      <c r="S6602" s="316"/>
      <c r="T6602" s="355"/>
    </row>
    <row r="6603" spans="11:20" x14ac:dyDescent="0.25">
      <c r="K6603" s="312"/>
      <c r="N6603" s="514"/>
      <c r="R6603" s="293"/>
      <c r="S6603" s="316"/>
      <c r="T6603" s="355"/>
    </row>
    <row r="6604" spans="11:20" x14ac:dyDescent="0.25">
      <c r="K6604" s="312"/>
      <c r="N6604" s="514"/>
      <c r="R6604" s="293"/>
      <c r="S6604" s="316"/>
      <c r="T6604" s="355"/>
    </row>
    <row r="6605" spans="11:20" x14ac:dyDescent="0.25">
      <c r="K6605" s="312"/>
      <c r="N6605" s="514"/>
      <c r="R6605" s="293"/>
      <c r="S6605" s="316"/>
      <c r="T6605" s="355"/>
    </row>
    <row r="6606" spans="11:20" x14ac:dyDescent="0.25">
      <c r="K6606" s="312"/>
      <c r="N6606" s="514"/>
      <c r="R6606" s="293"/>
      <c r="S6606" s="316"/>
      <c r="T6606" s="355"/>
    </row>
    <row r="6607" spans="11:20" x14ac:dyDescent="0.25">
      <c r="K6607" s="312"/>
      <c r="N6607" s="514"/>
      <c r="R6607" s="293"/>
      <c r="S6607" s="316"/>
      <c r="T6607" s="355"/>
    </row>
    <row r="6608" spans="11:20" x14ac:dyDescent="0.25">
      <c r="K6608" s="312"/>
      <c r="N6608" s="514"/>
      <c r="R6608" s="293"/>
      <c r="S6608" s="316"/>
      <c r="T6608" s="355"/>
    </row>
    <row r="6609" spans="11:20" x14ac:dyDescent="0.25">
      <c r="K6609" s="312"/>
      <c r="N6609" s="514"/>
      <c r="R6609" s="293"/>
      <c r="S6609" s="316"/>
      <c r="T6609" s="355"/>
    </row>
    <row r="6610" spans="11:20" x14ac:dyDescent="0.25">
      <c r="K6610" s="312"/>
      <c r="N6610" s="514"/>
      <c r="R6610" s="293"/>
      <c r="S6610" s="316"/>
      <c r="T6610" s="355"/>
    </row>
    <row r="6611" spans="11:20" x14ac:dyDescent="0.25">
      <c r="K6611" s="312"/>
      <c r="N6611" s="514"/>
      <c r="R6611" s="293"/>
      <c r="S6611" s="316"/>
      <c r="T6611" s="355"/>
    </row>
    <row r="6612" spans="11:20" x14ac:dyDescent="0.25">
      <c r="K6612" s="312"/>
      <c r="N6612" s="514"/>
      <c r="R6612" s="293"/>
      <c r="S6612" s="316"/>
      <c r="T6612" s="355"/>
    </row>
    <row r="6613" spans="11:20" x14ac:dyDescent="0.25">
      <c r="K6613" s="312"/>
      <c r="N6613" s="514"/>
      <c r="R6613" s="293"/>
      <c r="S6613" s="316"/>
      <c r="T6613" s="355"/>
    </row>
    <row r="6614" spans="11:20" x14ac:dyDescent="0.25">
      <c r="K6614" s="312"/>
      <c r="N6614" s="514"/>
      <c r="R6614" s="293"/>
      <c r="S6614" s="316"/>
      <c r="T6614" s="355"/>
    </row>
    <row r="6615" spans="11:20" x14ac:dyDescent="0.25">
      <c r="K6615" s="312"/>
      <c r="N6615" s="514"/>
      <c r="R6615" s="293"/>
      <c r="S6615" s="316"/>
      <c r="T6615" s="355"/>
    </row>
    <row r="6616" spans="11:20" x14ac:dyDescent="0.25">
      <c r="K6616" s="312"/>
      <c r="N6616" s="514"/>
      <c r="R6616" s="293"/>
      <c r="S6616" s="316"/>
      <c r="T6616" s="355"/>
    </row>
    <row r="6617" spans="11:20" x14ac:dyDescent="0.25">
      <c r="K6617" s="312"/>
      <c r="N6617" s="514"/>
      <c r="R6617" s="293"/>
      <c r="S6617" s="316"/>
      <c r="T6617" s="355"/>
    </row>
    <row r="6618" spans="11:20" x14ac:dyDescent="0.25">
      <c r="K6618" s="312"/>
      <c r="N6618" s="514"/>
      <c r="R6618" s="293"/>
      <c r="S6618" s="316"/>
      <c r="T6618" s="355"/>
    </row>
    <row r="6619" spans="11:20" x14ac:dyDescent="0.25">
      <c r="K6619" s="312"/>
      <c r="N6619" s="514"/>
      <c r="R6619" s="293"/>
      <c r="S6619" s="316"/>
      <c r="T6619" s="355"/>
    </row>
    <row r="6620" spans="11:20" x14ac:dyDescent="0.25">
      <c r="K6620" s="312"/>
      <c r="N6620" s="514"/>
      <c r="R6620" s="293"/>
      <c r="S6620" s="316"/>
      <c r="T6620" s="355"/>
    </row>
    <row r="6621" spans="11:20" x14ac:dyDescent="0.25">
      <c r="K6621" s="312"/>
      <c r="N6621" s="514"/>
      <c r="R6621" s="293"/>
      <c r="S6621" s="316"/>
      <c r="T6621" s="355"/>
    </row>
    <row r="6622" spans="11:20" x14ac:dyDescent="0.25">
      <c r="K6622" s="312"/>
      <c r="N6622" s="514"/>
      <c r="R6622" s="293"/>
      <c r="S6622" s="316"/>
      <c r="T6622" s="355"/>
    </row>
    <row r="6623" spans="11:20" x14ac:dyDescent="0.25">
      <c r="K6623" s="312"/>
      <c r="N6623" s="514"/>
      <c r="R6623" s="293"/>
      <c r="S6623" s="316"/>
      <c r="T6623" s="355"/>
    </row>
    <row r="6624" spans="11:20" x14ac:dyDescent="0.25">
      <c r="K6624" s="312"/>
      <c r="N6624" s="514"/>
      <c r="R6624" s="293"/>
      <c r="S6624" s="316"/>
      <c r="T6624" s="355"/>
    </row>
    <row r="6625" spans="11:20" x14ac:dyDescent="0.25">
      <c r="K6625" s="312"/>
      <c r="N6625" s="514"/>
      <c r="R6625" s="293"/>
      <c r="S6625" s="316"/>
      <c r="T6625" s="355"/>
    </row>
    <row r="6626" spans="11:20" x14ac:dyDescent="0.25">
      <c r="K6626" s="312"/>
      <c r="N6626" s="514"/>
      <c r="R6626" s="293"/>
      <c r="S6626" s="316"/>
      <c r="T6626" s="355"/>
    </row>
    <row r="6627" spans="11:20" x14ac:dyDescent="0.25">
      <c r="K6627" s="312"/>
      <c r="N6627" s="514"/>
      <c r="R6627" s="293"/>
      <c r="S6627" s="316"/>
      <c r="T6627" s="355"/>
    </row>
    <row r="6628" spans="11:20" x14ac:dyDescent="0.25">
      <c r="K6628" s="312"/>
      <c r="N6628" s="514"/>
      <c r="R6628" s="293"/>
      <c r="S6628" s="316"/>
      <c r="T6628" s="355"/>
    </row>
    <row r="6629" spans="11:20" x14ac:dyDescent="0.25">
      <c r="K6629" s="312"/>
      <c r="N6629" s="514"/>
      <c r="R6629" s="293"/>
      <c r="S6629" s="316"/>
      <c r="T6629" s="355"/>
    </row>
    <row r="6630" spans="11:20" x14ac:dyDescent="0.25">
      <c r="K6630" s="312"/>
      <c r="N6630" s="514"/>
      <c r="R6630" s="293"/>
      <c r="S6630" s="316"/>
      <c r="T6630" s="355"/>
    </row>
    <row r="6631" spans="11:20" x14ac:dyDescent="0.25">
      <c r="K6631" s="312"/>
      <c r="N6631" s="514"/>
      <c r="R6631" s="293"/>
      <c r="S6631" s="316"/>
      <c r="T6631" s="355"/>
    </row>
    <row r="6632" spans="11:20" x14ac:dyDescent="0.25">
      <c r="K6632" s="312"/>
      <c r="N6632" s="514"/>
      <c r="R6632" s="293"/>
      <c r="S6632" s="316"/>
      <c r="T6632" s="355"/>
    </row>
    <row r="6633" spans="11:20" x14ac:dyDescent="0.25">
      <c r="K6633" s="312"/>
      <c r="N6633" s="514"/>
      <c r="R6633" s="293"/>
      <c r="S6633" s="316"/>
      <c r="T6633" s="355"/>
    </row>
    <row r="6634" spans="11:20" x14ac:dyDescent="0.25">
      <c r="K6634" s="312"/>
      <c r="N6634" s="514"/>
      <c r="R6634" s="293"/>
      <c r="S6634" s="316"/>
      <c r="T6634" s="355"/>
    </row>
    <row r="6635" spans="11:20" x14ac:dyDescent="0.25">
      <c r="K6635" s="312"/>
      <c r="N6635" s="514"/>
      <c r="R6635" s="293"/>
      <c r="S6635" s="316"/>
      <c r="T6635" s="355"/>
    </row>
    <row r="6636" spans="11:20" x14ac:dyDescent="0.25">
      <c r="K6636" s="312"/>
      <c r="N6636" s="514"/>
      <c r="R6636" s="293"/>
      <c r="S6636" s="316"/>
      <c r="T6636" s="355"/>
    </row>
    <row r="6637" spans="11:20" x14ac:dyDescent="0.25">
      <c r="K6637" s="312"/>
      <c r="N6637" s="514"/>
      <c r="R6637" s="293"/>
      <c r="S6637" s="316"/>
      <c r="T6637" s="355"/>
    </row>
    <row r="6638" spans="11:20" x14ac:dyDescent="0.25">
      <c r="K6638" s="312"/>
      <c r="N6638" s="514"/>
      <c r="R6638" s="293"/>
      <c r="S6638" s="316"/>
      <c r="T6638" s="355"/>
    </row>
    <row r="6639" spans="11:20" x14ac:dyDescent="0.25">
      <c r="K6639" s="312"/>
      <c r="N6639" s="514"/>
      <c r="R6639" s="293"/>
      <c r="S6639" s="316"/>
      <c r="T6639" s="355"/>
    </row>
    <row r="6640" spans="11:20" x14ac:dyDescent="0.25">
      <c r="K6640" s="312"/>
      <c r="N6640" s="514"/>
      <c r="R6640" s="293"/>
      <c r="S6640" s="316"/>
      <c r="T6640" s="355"/>
    </row>
    <row r="6641" spans="11:20" x14ac:dyDescent="0.25">
      <c r="K6641" s="312"/>
      <c r="N6641" s="514"/>
      <c r="R6641" s="293"/>
      <c r="S6641" s="316"/>
      <c r="T6641" s="355"/>
    </row>
    <row r="6642" spans="11:20" x14ac:dyDescent="0.25">
      <c r="K6642" s="312"/>
      <c r="N6642" s="514"/>
      <c r="R6642" s="293"/>
      <c r="S6642" s="316"/>
      <c r="T6642" s="355"/>
    </row>
    <row r="6643" spans="11:20" x14ac:dyDescent="0.25">
      <c r="K6643" s="312"/>
      <c r="N6643" s="514"/>
      <c r="R6643" s="293"/>
      <c r="S6643" s="316"/>
      <c r="T6643" s="355"/>
    </row>
    <row r="6644" spans="11:20" x14ac:dyDescent="0.25">
      <c r="K6644" s="312"/>
      <c r="N6644" s="514"/>
      <c r="R6644" s="293"/>
      <c r="S6644" s="316"/>
      <c r="T6644" s="355"/>
    </row>
    <row r="6645" spans="11:20" x14ac:dyDescent="0.25">
      <c r="K6645" s="312"/>
      <c r="N6645" s="514"/>
      <c r="R6645" s="293"/>
      <c r="S6645" s="316"/>
      <c r="T6645" s="355"/>
    </row>
    <row r="6646" spans="11:20" x14ac:dyDescent="0.25">
      <c r="K6646" s="312"/>
      <c r="N6646" s="514"/>
      <c r="R6646" s="293"/>
      <c r="S6646" s="316"/>
      <c r="T6646" s="355"/>
    </row>
    <row r="6647" spans="11:20" x14ac:dyDescent="0.25">
      <c r="K6647" s="312"/>
      <c r="N6647" s="514"/>
      <c r="R6647" s="293"/>
      <c r="S6647" s="316"/>
      <c r="T6647" s="355"/>
    </row>
    <row r="6648" spans="11:20" x14ac:dyDescent="0.25">
      <c r="K6648" s="312"/>
      <c r="N6648" s="514"/>
      <c r="R6648" s="293"/>
      <c r="S6648" s="316"/>
      <c r="T6648" s="355"/>
    </row>
    <row r="6649" spans="11:20" x14ac:dyDescent="0.25">
      <c r="K6649" s="312"/>
      <c r="N6649" s="514"/>
      <c r="R6649" s="293"/>
      <c r="S6649" s="316"/>
      <c r="T6649" s="355"/>
    </row>
    <row r="6650" spans="11:20" x14ac:dyDescent="0.25">
      <c r="K6650" s="312"/>
      <c r="N6650" s="514"/>
      <c r="R6650" s="293"/>
      <c r="S6650" s="316"/>
      <c r="T6650" s="355"/>
    </row>
    <row r="6651" spans="11:20" x14ac:dyDescent="0.25">
      <c r="K6651" s="312"/>
      <c r="N6651" s="514"/>
      <c r="R6651" s="293"/>
      <c r="S6651" s="316"/>
      <c r="T6651" s="355"/>
    </row>
    <row r="6652" spans="11:20" x14ac:dyDescent="0.25">
      <c r="K6652" s="312"/>
      <c r="N6652" s="514"/>
      <c r="R6652" s="293"/>
      <c r="S6652" s="316"/>
      <c r="T6652" s="355"/>
    </row>
    <row r="6653" spans="11:20" x14ac:dyDescent="0.25">
      <c r="K6653" s="312"/>
      <c r="N6653" s="514"/>
      <c r="R6653" s="293"/>
      <c r="S6653" s="316"/>
      <c r="T6653" s="355"/>
    </row>
    <row r="6654" spans="11:20" x14ac:dyDescent="0.25">
      <c r="K6654" s="312"/>
      <c r="N6654" s="514"/>
      <c r="R6654" s="293"/>
      <c r="S6654" s="316"/>
      <c r="T6654" s="355"/>
    </row>
    <row r="6655" spans="11:20" x14ac:dyDescent="0.25">
      <c r="K6655" s="312"/>
      <c r="N6655" s="514"/>
      <c r="R6655" s="293"/>
      <c r="S6655" s="316"/>
      <c r="T6655" s="355"/>
    </row>
    <row r="6656" spans="11:20" x14ac:dyDescent="0.25">
      <c r="K6656" s="312"/>
      <c r="N6656" s="514"/>
      <c r="R6656" s="293"/>
      <c r="S6656" s="316"/>
      <c r="T6656" s="355"/>
    </row>
    <row r="6657" spans="11:20" x14ac:dyDescent="0.25">
      <c r="K6657" s="312"/>
      <c r="N6657" s="514"/>
      <c r="R6657" s="293"/>
      <c r="S6657" s="316"/>
      <c r="T6657" s="355"/>
    </row>
    <row r="6658" spans="11:20" x14ac:dyDescent="0.25">
      <c r="K6658" s="312"/>
      <c r="N6658" s="514"/>
      <c r="R6658" s="293"/>
      <c r="S6658" s="316"/>
      <c r="T6658" s="355"/>
    </row>
    <row r="6659" spans="11:20" x14ac:dyDescent="0.25">
      <c r="K6659" s="312"/>
      <c r="N6659" s="514"/>
      <c r="R6659" s="293"/>
      <c r="S6659" s="316"/>
      <c r="T6659" s="355"/>
    </row>
    <row r="6660" spans="11:20" x14ac:dyDescent="0.25">
      <c r="K6660" s="312"/>
      <c r="N6660" s="514"/>
      <c r="R6660" s="293"/>
      <c r="S6660" s="316"/>
      <c r="T6660" s="355"/>
    </row>
    <row r="6661" spans="11:20" x14ac:dyDescent="0.25">
      <c r="K6661" s="312"/>
      <c r="N6661" s="514"/>
      <c r="R6661" s="293"/>
      <c r="S6661" s="316"/>
      <c r="T6661" s="355"/>
    </row>
    <row r="6662" spans="11:20" x14ac:dyDescent="0.25">
      <c r="K6662" s="312"/>
      <c r="N6662" s="514"/>
      <c r="R6662" s="293"/>
      <c r="S6662" s="316"/>
      <c r="T6662" s="355"/>
    </row>
    <row r="6663" spans="11:20" x14ac:dyDescent="0.25">
      <c r="K6663" s="312"/>
      <c r="N6663" s="514"/>
      <c r="R6663" s="293"/>
      <c r="S6663" s="316"/>
      <c r="T6663" s="355"/>
    </row>
    <row r="6664" spans="11:20" x14ac:dyDescent="0.25">
      <c r="K6664" s="312"/>
      <c r="N6664" s="514"/>
      <c r="R6664" s="293"/>
      <c r="S6664" s="316"/>
      <c r="T6664" s="355"/>
    </row>
    <row r="6665" spans="11:20" x14ac:dyDescent="0.25">
      <c r="K6665" s="312"/>
      <c r="N6665" s="514"/>
      <c r="R6665" s="293"/>
      <c r="S6665" s="316"/>
      <c r="T6665" s="355"/>
    </row>
    <row r="6666" spans="11:20" x14ac:dyDescent="0.25">
      <c r="K6666" s="312"/>
      <c r="N6666" s="514"/>
      <c r="R6666" s="293"/>
      <c r="S6666" s="316"/>
      <c r="T6666" s="355"/>
    </row>
    <row r="6667" spans="11:20" x14ac:dyDescent="0.25">
      <c r="K6667" s="312"/>
      <c r="N6667" s="514"/>
      <c r="R6667" s="293"/>
      <c r="S6667" s="316"/>
      <c r="T6667" s="355"/>
    </row>
    <row r="6668" spans="11:20" x14ac:dyDescent="0.25">
      <c r="K6668" s="312"/>
      <c r="N6668" s="514"/>
      <c r="R6668" s="293"/>
      <c r="S6668" s="316"/>
      <c r="T6668" s="355"/>
    </row>
    <row r="6669" spans="11:20" x14ac:dyDescent="0.25">
      <c r="K6669" s="312"/>
      <c r="N6669" s="514"/>
      <c r="R6669" s="293"/>
      <c r="S6669" s="316"/>
      <c r="T6669" s="355"/>
    </row>
    <row r="6670" spans="11:20" x14ac:dyDescent="0.25">
      <c r="K6670" s="312"/>
      <c r="N6670" s="514"/>
      <c r="R6670" s="293"/>
      <c r="S6670" s="316"/>
      <c r="T6670" s="355"/>
    </row>
    <row r="6671" spans="11:20" x14ac:dyDescent="0.25">
      <c r="K6671" s="312"/>
      <c r="N6671" s="514"/>
      <c r="R6671" s="293"/>
      <c r="S6671" s="316"/>
      <c r="T6671" s="355"/>
    </row>
    <row r="6672" spans="11:20" x14ac:dyDescent="0.25">
      <c r="K6672" s="312"/>
      <c r="N6672" s="514"/>
      <c r="R6672" s="293"/>
      <c r="S6672" s="316"/>
      <c r="T6672" s="355"/>
    </row>
    <row r="6673" spans="11:20" x14ac:dyDescent="0.25">
      <c r="K6673" s="312"/>
      <c r="N6673" s="514"/>
      <c r="R6673" s="293"/>
      <c r="S6673" s="316"/>
      <c r="T6673" s="355"/>
    </row>
    <row r="6674" spans="11:20" x14ac:dyDescent="0.25">
      <c r="K6674" s="312"/>
      <c r="N6674" s="514"/>
      <c r="R6674" s="293"/>
      <c r="S6674" s="316"/>
      <c r="T6674" s="355"/>
    </row>
    <row r="6675" spans="11:20" x14ac:dyDescent="0.25">
      <c r="K6675" s="312"/>
      <c r="N6675" s="514"/>
      <c r="R6675" s="293"/>
      <c r="S6675" s="316"/>
      <c r="T6675" s="355"/>
    </row>
    <row r="6676" spans="11:20" x14ac:dyDescent="0.25">
      <c r="K6676" s="312"/>
      <c r="N6676" s="514"/>
      <c r="R6676" s="293"/>
      <c r="S6676" s="316"/>
      <c r="T6676" s="355"/>
    </row>
    <row r="6677" spans="11:20" x14ac:dyDescent="0.25">
      <c r="K6677" s="312"/>
      <c r="N6677" s="514"/>
      <c r="R6677" s="293"/>
      <c r="S6677" s="316"/>
      <c r="T6677" s="355"/>
    </row>
    <row r="6678" spans="11:20" x14ac:dyDescent="0.25">
      <c r="K6678" s="312"/>
      <c r="N6678" s="514"/>
      <c r="R6678" s="293"/>
      <c r="S6678" s="316"/>
      <c r="T6678" s="355"/>
    </row>
    <row r="6679" spans="11:20" x14ac:dyDescent="0.25">
      <c r="K6679" s="312"/>
      <c r="N6679" s="514"/>
      <c r="R6679" s="293"/>
      <c r="S6679" s="316"/>
      <c r="T6679" s="355"/>
    </row>
    <row r="6680" spans="11:20" x14ac:dyDescent="0.25">
      <c r="K6680" s="312"/>
      <c r="N6680" s="514"/>
      <c r="R6680" s="293"/>
      <c r="S6680" s="316"/>
      <c r="T6680" s="355"/>
    </row>
    <row r="6681" spans="11:20" x14ac:dyDescent="0.25">
      <c r="K6681" s="312"/>
      <c r="N6681" s="514"/>
      <c r="R6681" s="293"/>
      <c r="S6681" s="316"/>
      <c r="T6681" s="355"/>
    </row>
    <row r="6682" spans="11:20" x14ac:dyDescent="0.25">
      <c r="K6682" s="312"/>
      <c r="N6682" s="514"/>
      <c r="R6682" s="293"/>
      <c r="S6682" s="316"/>
      <c r="T6682" s="355"/>
    </row>
    <row r="6683" spans="11:20" x14ac:dyDescent="0.25">
      <c r="K6683" s="312"/>
      <c r="N6683" s="514"/>
      <c r="R6683" s="293"/>
      <c r="S6683" s="316"/>
      <c r="T6683" s="355"/>
    </row>
    <row r="6684" spans="11:20" x14ac:dyDescent="0.25">
      <c r="K6684" s="312"/>
      <c r="N6684" s="514"/>
      <c r="R6684" s="293"/>
      <c r="S6684" s="316"/>
      <c r="T6684" s="355"/>
    </row>
    <row r="6685" spans="11:20" x14ac:dyDescent="0.25">
      <c r="K6685" s="312"/>
      <c r="N6685" s="514"/>
      <c r="R6685" s="293"/>
      <c r="S6685" s="316"/>
      <c r="T6685" s="355"/>
    </row>
    <row r="6686" spans="11:20" x14ac:dyDescent="0.25">
      <c r="K6686" s="312"/>
      <c r="N6686" s="514"/>
      <c r="R6686" s="293"/>
      <c r="S6686" s="316"/>
      <c r="T6686" s="355"/>
    </row>
    <row r="6687" spans="11:20" x14ac:dyDescent="0.25">
      <c r="K6687" s="312"/>
      <c r="N6687" s="514"/>
      <c r="R6687" s="293"/>
      <c r="S6687" s="316"/>
      <c r="T6687" s="355"/>
    </row>
    <row r="6688" spans="11:20" x14ac:dyDescent="0.25">
      <c r="K6688" s="312"/>
      <c r="N6688" s="514"/>
      <c r="R6688" s="293"/>
      <c r="S6688" s="316"/>
      <c r="T6688" s="355"/>
    </row>
    <row r="6689" spans="11:20" x14ac:dyDescent="0.25">
      <c r="K6689" s="312"/>
      <c r="N6689" s="514"/>
      <c r="R6689" s="293"/>
      <c r="S6689" s="316"/>
      <c r="T6689" s="355"/>
    </row>
    <row r="6690" spans="11:20" x14ac:dyDescent="0.25">
      <c r="K6690" s="312"/>
      <c r="N6690" s="514"/>
      <c r="R6690" s="293"/>
      <c r="S6690" s="316"/>
      <c r="T6690" s="355"/>
    </row>
    <row r="6691" spans="11:20" x14ac:dyDescent="0.25">
      <c r="K6691" s="312"/>
      <c r="N6691" s="514"/>
      <c r="R6691" s="293"/>
      <c r="S6691" s="316"/>
      <c r="T6691" s="355"/>
    </row>
    <row r="6692" spans="11:20" x14ac:dyDescent="0.25">
      <c r="K6692" s="312"/>
      <c r="N6692" s="514"/>
      <c r="R6692" s="293"/>
      <c r="S6692" s="316"/>
      <c r="T6692" s="355"/>
    </row>
    <row r="6693" spans="11:20" x14ac:dyDescent="0.25">
      <c r="K6693" s="312"/>
      <c r="N6693" s="514"/>
      <c r="R6693" s="293"/>
      <c r="S6693" s="316"/>
      <c r="T6693" s="355"/>
    </row>
    <row r="6694" spans="11:20" x14ac:dyDescent="0.25">
      <c r="K6694" s="312"/>
      <c r="N6694" s="514"/>
      <c r="R6694" s="293"/>
      <c r="S6694" s="316"/>
      <c r="T6694" s="355"/>
    </row>
    <row r="6695" spans="11:20" x14ac:dyDescent="0.25">
      <c r="K6695" s="312"/>
      <c r="N6695" s="514"/>
      <c r="R6695" s="293"/>
      <c r="S6695" s="316"/>
      <c r="T6695" s="355"/>
    </row>
    <row r="6696" spans="11:20" x14ac:dyDescent="0.25">
      <c r="K6696" s="312"/>
      <c r="N6696" s="514"/>
      <c r="R6696" s="293"/>
      <c r="S6696" s="316"/>
      <c r="T6696" s="355"/>
    </row>
    <row r="6697" spans="11:20" x14ac:dyDescent="0.25">
      <c r="K6697" s="312"/>
      <c r="N6697" s="514"/>
      <c r="R6697" s="293"/>
      <c r="S6697" s="316"/>
      <c r="T6697" s="355"/>
    </row>
    <row r="6698" spans="11:20" x14ac:dyDescent="0.25">
      <c r="K6698" s="312"/>
      <c r="N6698" s="514"/>
      <c r="R6698" s="293"/>
      <c r="S6698" s="316"/>
      <c r="T6698" s="355"/>
    </row>
    <row r="6699" spans="11:20" x14ac:dyDescent="0.25">
      <c r="K6699" s="312"/>
      <c r="N6699" s="514"/>
      <c r="R6699" s="293"/>
      <c r="S6699" s="316"/>
      <c r="T6699" s="355"/>
    </row>
    <row r="6700" spans="11:20" x14ac:dyDescent="0.25">
      <c r="K6700" s="312"/>
      <c r="N6700" s="514"/>
      <c r="R6700" s="293"/>
      <c r="S6700" s="316"/>
      <c r="T6700" s="355"/>
    </row>
    <row r="6701" spans="11:20" x14ac:dyDescent="0.25">
      <c r="K6701" s="312"/>
      <c r="N6701" s="514"/>
      <c r="R6701" s="293"/>
      <c r="S6701" s="316"/>
      <c r="T6701" s="355"/>
    </row>
    <row r="6702" spans="11:20" x14ac:dyDescent="0.25">
      <c r="K6702" s="312"/>
      <c r="N6702" s="514"/>
      <c r="R6702" s="293"/>
      <c r="S6702" s="316"/>
      <c r="T6702" s="355"/>
    </row>
    <row r="6703" spans="11:20" x14ac:dyDescent="0.25">
      <c r="K6703" s="312"/>
      <c r="N6703" s="514"/>
      <c r="R6703" s="293"/>
      <c r="S6703" s="316"/>
      <c r="T6703" s="355"/>
    </row>
    <row r="6704" spans="11:20" x14ac:dyDescent="0.25">
      <c r="K6704" s="312"/>
      <c r="N6704" s="514"/>
      <c r="R6704" s="293"/>
      <c r="S6704" s="316"/>
      <c r="T6704" s="355"/>
    </row>
    <row r="6705" spans="11:20" x14ac:dyDescent="0.25">
      <c r="K6705" s="312"/>
      <c r="N6705" s="514"/>
      <c r="R6705" s="293"/>
      <c r="S6705" s="316"/>
      <c r="T6705" s="355"/>
    </row>
    <row r="6706" spans="11:20" x14ac:dyDescent="0.25">
      <c r="K6706" s="312"/>
      <c r="N6706" s="514"/>
      <c r="R6706" s="293"/>
      <c r="S6706" s="316"/>
      <c r="T6706" s="355"/>
    </row>
    <row r="6707" spans="11:20" x14ac:dyDescent="0.25">
      <c r="K6707" s="312"/>
      <c r="N6707" s="514"/>
      <c r="R6707" s="293"/>
      <c r="S6707" s="316"/>
      <c r="T6707" s="355"/>
    </row>
    <row r="6708" spans="11:20" x14ac:dyDescent="0.25">
      <c r="K6708" s="312"/>
      <c r="N6708" s="514"/>
      <c r="R6708" s="293"/>
      <c r="S6708" s="316"/>
      <c r="T6708" s="355"/>
    </row>
    <row r="6709" spans="11:20" x14ac:dyDescent="0.25">
      <c r="K6709" s="312"/>
      <c r="N6709" s="514"/>
      <c r="R6709" s="293"/>
      <c r="S6709" s="316"/>
      <c r="T6709" s="355"/>
    </row>
    <row r="6710" spans="11:20" x14ac:dyDescent="0.25">
      <c r="K6710" s="312"/>
      <c r="N6710" s="514"/>
      <c r="R6710" s="293"/>
      <c r="S6710" s="316"/>
      <c r="T6710" s="355"/>
    </row>
    <row r="6711" spans="11:20" x14ac:dyDescent="0.25">
      <c r="K6711" s="312"/>
      <c r="N6711" s="514"/>
      <c r="R6711" s="293"/>
      <c r="S6711" s="316"/>
      <c r="T6711" s="355"/>
    </row>
    <row r="6712" spans="11:20" x14ac:dyDescent="0.25">
      <c r="K6712" s="312"/>
      <c r="N6712" s="514"/>
      <c r="R6712" s="293"/>
      <c r="S6712" s="316"/>
      <c r="T6712" s="355"/>
    </row>
    <row r="6713" spans="11:20" x14ac:dyDescent="0.25">
      <c r="K6713" s="312"/>
      <c r="N6713" s="514"/>
      <c r="R6713" s="293"/>
      <c r="S6713" s="316"/>
      <c r="T6713" s="355"/>
    </row>
    <row r="6714" spans="11:20" x14ac:dyDescent="0.25">
      <c r="K6714" s="312"/>
      <c r="N6714" s="514"/>
      <c r="R6714" s="293"/>
      <c r="S6714" s="316"/>
      <c r="T6714" s="355"/>
    </row>
    <row r="6715" spans="11:20" x14ac:dyDescent="0.25">
      <c r="K6715" s="312"/>
      <c r="N6715" s="514"/>
      <c r="R6715" s="293"/>
      <c r="S6715" s="316"/>
      <c r="T6715" s="355"/>
    </row>
    <row r="6716" spans="11:20" x14ac:dyDescent="0.25">
      <c r="K6716" s="312"/>
      <c r="N6716" s="514"/>
      <c r="R6716" s="293"/>
      <c r="S6716" s="316"/>
      <c r="T6716" s="355"/>
    </row>
    <row r="6717" spans="11:20" x14ac:dyDescent="0.25">
      <c r="K6717" s="312"/>
      <c r="N6717" s="514"/>
      <c r="R6717" s="293"/>
      <c r="S6717" s="316"/>
      <c r="T6717" s="355"/>
    </row>
    <row r="6718" spans="11:20" x14ac:dyDescent="0.25">
      <c r="K6718" s="312"/>
      <c r="N6718" s="514"/>
      <c r="R6718" s="293"/>
      <c r="S6718" s="316"/>
      <c r="T6718" s="355"/>
    </row>
    <row r="6719" spans="11:20" x14ac:dyDescent="0.25">
      <c r="K6719" s="312"/>
      <c r="N6719" s="514"/>
      <c r="R6719" s="293"/>
      <c r="S6719" s="316"/>
      <c r="T6719" s="355"/>
    </row>
    <row r="6720" spans="11:20" x14ac:dyDescent="0.25">
      <c r="K6720" s="312"/>
      <c r="N6720" s="514"/>
      <c r="R6720" s="293"/>
      <c r="S6720" s="316"/>
      <c r="T6720" s="355"/>
    </row>
    <row r="6721" spans="11:20" x14ac:dyDescent="0.25">
      <c r="K6721" s="312"/>
      <c r="N6721" s="514"/>
      <c r="R6721" s="293"/>
      <c r="S6721" s="316"/>
      <c r="T6721" s="355"/>
    </row>
    <row r="6722" spans="11:20" x14ac:dyDescent="0.25">
      <c r="K6722" s="312"/>
      <c r="N6722" s="514"/>
      <c r="R6722" s="293"/>
      <c r="S6722" s="316"/>
      <c r="T6722" s="355"/>
    </row>
    <row r="6723" spans="11:20" x14ac:dyDescent="0.25">
      <c r="K6723" s="312"/>
      <c r="N6723" s="514"/>
      <c r="R6723" s="293"/>
      <c r="S6723" s="316"/>
      <c r="T6723" s="355"/>
    </row>
    <row r="6724" spans="11:20" x14ac:dyDescent="0.25">
      <c r="K6724" s="312"/>
      <c r="N6724" s="514"/>
      <c r="R6724" s="293"/>
      <c r="S6724" s="316"/>
      <c r="T6724" s="355"/>
    </row>
    <row r="6725" spans="11:20" x14ac:dyDescent="0.25">
      <c r="K6725" s="312"/>
      <c r="N6725" s="514"/>
      <c r="R6725" s="293"/>
      <c r="S6725" s="316"/>
      <c r="T6725" s="355"/>
    </row>
    <row r="6726" spans="11:20" x14ac:dyDescent="0.25">
      <c r="K6726" s="312"/>
      <c r="N6726" s="514"/>
      <c r="R6726" s="293"/>
      <c r="S6726" s="316"/>
      <c r="T6726" s="355"/>
    </row>
    <row r="6727" spans="11:20" x14ac:dyDescent="0.25">
      <c r="K6727" s="312"/>
      <c r="N6727" s="514"/>
      <c r="R6727" s="293"/>
      <c r="S6727" s="316"/>
      <c r="T6727" s="355"/>
    </row>
    <row r="6728" spans="11:20" x14ac:dyDescent="0.25">
      <c r="K6728" s="312"/>
      <c r="N6728" s="514"/>
      <c r="R6728" s="293"/>
      <c r="S6728" s="316"/>
      <c r="T6728" s="355"/>
    </row>
    <row r="6729" spans="11:20" x14ac:dyDescent="0.25">
      <c r="K6729" s="312"/>
      <c r="N6729" s="514"/>
      <c r="R6729" s="293"/>
      <c r="S6729" s="316"/>
      <c r="T6729" s="355"/>
    </row>
    <row r="6730" spans="11:20" x14ac:dyDescent="0.25">
      <c r="K6730" s="312"/>
      <c r="N6730" s="514"/>
      <c r="R6730" s="293"/>
      <c r="S6730" s="316"/>
      <c r="T6730" s="355"/>
    </row>
    <row r="6731" spans="11:20" x14ac:dyDescent="0.25">
      <c r="K6731" s="312"/>
      <c r="N6731" s="514"/>
      <c r="R6731" s="293"/>
      <c r="S6731" s="316"/>
      <c r="T6731" s="355"/>
    </row>
    <row r="6732" spans="11:20" x14ac:dyDescent="0.25">
      <c r="K6732" s="312"/>
      <c r="N6732" s="514"/>
      <c r="R6732" s="293"/>
      <c r="S6732" s="316"/>
      <c r="T6732" s="355"/>
    </row>
    <row r="6733" spans="11:20" x14ac:dyDescent="0.25">
      <c r="K6733" s="312"/>
      <c r="N6733" s="514"/>
      <c r="R6733" s="293"/>
      <c r="S6733" s="316"/>
      <c r="T6733" s="355"/>
    </row>
    <row r="6734" spans="11:20" x14ac:dyDescent="0.25">
      <c r="K6734" s="312"/>
      <c r="N6734" s="514"/>
      <c r="R6734" s="293"/>
      <c r="S6734" s="316"/>
      <c r="T6734" s="355"/>
    </row>
    <row r="6735" spans="11:20" x14ac:dyDescent="0.25">
      <c r="K6735" s="312"/>
      <c r="N6735" s="514"/>
      <c r="R6735" s="293"/>
      <c r="S6735" s="316"/>
      <c r="T6735" s="355"/>
    </row>
    <row r="6736" spans="11:20" x14ac:dyDescent="0.25">
      <c r="K6736" s="312"/>
      <c r="N6736" s="514"/>
      <c r="R6736" s="293"/>
      <c r="S6736" s="316"/>
      <c r="T6736" s="355"/>
    </row>
    <row r="6737" spans="11:20" x14ac:dyDescent="0.25">
      <c r="K6737" s="312"/>
      <c r="N6737" s="514"/>
      <c r="R6737" s="293"/>
      <c r="S6737" s="316"/>
      <c r="T6737" s="355"/>
    </row>
    <row r="6738" spans="11:20" x14ac:dyDescent="0.25">
      <c r="K6738" s="312"/>
      <c r="N6738" s="514"/>
      <c r="R6738" s="293"/>
      <c r="S6738" s="316"/>
      <c r="T6738" s="355"/>
    </row>
    <row r="6739" spans="11:20" x14ac:dyDescent="0.25">
      <c r="K6739" s="312"/>
      <c r="N6739" s="514"/>
      <c r="R6739" s="293"/>
      <c r="S6739" s="316"/>
      <c r="T6739" s="355"/>
    </row>
    <row r="6740" spans="11:20" x14ac:dyDescent="0.25">
      <c r="K6740" s="312"/>
      <c r="N6740" s="514"/>
      <c r="R6740" s="293"/>
      <c r="S6740" s="316"/>
      <c r="T6740" s="355"/>
    </row>
    <row r="6741" spans="11:20" x14ac:dyDescent="0.25">
      <c r="K6741" s="312"/>
      <c r="N6741" s="514"/>
      <c r="R6741" s="293"/>
      <c r="S6741" s="316"/>
      <c r="T6741" s="355"/>
    </row>
    <row r="6742" spans="11:20" x14ac:dyDescent="0.25">
      <c r="K6742" s="312"/>
      <c r="N6742" s="514"/>
      <c r="R6742" s="293"/>
      <c r="S6742" s="316"/>
      <c r="T6742" s="355"/>
    </row>
    <row r="6743" spans="11:20" x14ac:dyDescent="0.25">
      <c r="K6743" s="312"/>
      <c r="N6743" s="514"/>
      <c r="R6743" s="293"/>
      <c r="S6743" s="316"/>
      <c r="T6743" s="355"/>
    </row>
    <row r="6744" spans="11:20" x14ac:dyDescent="0.25">
      <c r="K6744" s="312"/>
      <c r="N6744" s="514"/>
      <c r="R6744" s="293"/>
      <c r="S6744" s="316"/>
      <c r="T6744" s="355"/>
    </row>
    <row r="6745" spans="11:20" x14ac:dyDescent="0.25">
      <c r="K6745" s="312"/>
      <c r="N6745" s="514"/>
      <c r="R6745" s="293"/>
      <c r="S6745" s="316"/>
      <c r="T6745" s="355"/>
    </row>
    <row r="6746" spans="11:20" x14ac:dyDescent="0.25">
      <c r="K6746" s="312"/>
      <c r="N6746" s="514"/>
      <c r="R6746" s="293"/>
      <c r="S6746" s="316"/>
      <c r="T6746" s="355"/>
    </row>
    <row r="6747" spans="11:20" x14ac:dyDescent="0.25">
      <c r="K6747" s="312"/>
      <c r="N6747" s="514"/>
      <c r="R6747" s="293"/>
      <c r="S6747" s="316"/>
      <c r="T6747" s="355"/>
    </row>
    <row r="6748" spans="11:20" x14ac:dyDescent="0.25">
      <c r="K6748" s="312"/>
      <c r="N6748" s="514"/>
      <c r="R6748" s="293"/>
      <c r="S6748" s="316"/>
      <c r="T6748" s="355"/>
    </row>
    <row r="6749" spans="11:20" x14ac:dyDescent="0.25">
      <c r="K6749" s="312"/>
      <c r="N6749" s="514"/>
      <c r="R6749" s="293"/>
      <c r="S6749" s="316"/>
      <c r="T6749" s="355"/>
    </row>
    <row r="6750" spans="11:20" x14ac:dyDescent="0.25">
      <c r="K6750" s="312"/>
      <c r="N6750" s="514"/>
      <c r="R6750" s="293"/>
      <c r="S6750" s="316"/>
      <c r="T6750" s="355"/>
    </row>
    <row r="6751" spans="11:20" x14ac:dyDescent="0.25">
      <c r="K6751" s="312"/>
      <c r="N6751" s="514"/>
      <c r="R6751" s="293"/>
      <c r="S6751" s="316"/>
      <c r="T6751" s="355"/>
    </row>
    <row r="6752" spans="11:20" x14ac:dyDescent="0.25">
      <c r="K6752" s="312"/>
      <c r="N6752" s="514"/>
      <c r="R6752" s="293"/>
      <c r="S6752" s="316"/>
      <c r="T6752" s="355"/>
    </row>
    <row r="6753" spans="11:20" x14ac:dyDescent="0.25">
      <c r="K6753" s="312"/>
      <c r="N6753" s="514"/>
      <c r="R6753" s="293"/>
      <c r="S6753" s="316"/>
      <c r="T6753" s="355"/>
    </row>
    <row r="6754" spans="11:20" x14ac:dyDescent="0.25">
      <c r="K6754" s="312"/>
      <c r="N6754" s="514"/>
      <c r="R6754" s="293"/>
      <c r="S6754" s="316"/>
      <c r="T6754" s="355"/>
    </row>
    <row r="6755" spans="11:20" x14ac:dyDescent="0.25">
      <c r="K6755" s="312"/>
      <c r="N6755" s="514"/>
      <c r="R6755" s="293"/>
      <c r="S6755" s="316"/>
      <c r="T6755" s="355"/>
    </row>
    <row r="6756" spans="11:20" x14ac:dyDescent="0.25">
      <c r="K6756" s="312"/>
      <c r="N6756" s="514"/>
      <c r="R6756" s="293"/>
      <c r="S6756" s="316"/>
      <c r="T6756" s="355"/>
    </row>
    <row r="6757" spans="11:20" x14ac:dyDescent="0.25">
      <c r="K6757" s="312"/>
      <c r="N6757" s="514"/>
      <c r="R6757" s="293"/>
      <c r="S6757" s="316"/>
      <c r="T6757" s="355"/>
    </row>
    <row r="6758" spans="11:20" x14ac:dyDescent="0.25">
      <c r="K6758" s="312"/>
      <c r="N6758" s="514"/>
      <c r="R6758" s="293"/>
      <c r="S6758" s="316"/>
      <c r="T6758" s="355"/>
    </row>
    <row r="6759" spans="11:20" x14ac:dyDescent="0.25">
      <c r="K6759" s="312"/>
      <c r="N6759" s="514"/>
      <c r="R6759" s="293"/>
      <c r="S6759" s="316"/>
      <c r="T6759" s="355"/>
    </row>
    <row r="6760" spans="11:20" x14ac:dyDescent="0.25">
      <c r="K6760" s="312"/>
      <c r="N6760" s="514"/>
      <c r="R6760" s="293"/>
      <c r="S6760" s="316"/>
      <c r="T6760" s="355"/>
    </row>
    <row r="6761" spans="11:20" x14ac:dyDescent="0.25">
      <c r="K6761" s="312"/>
      <c r="N6761" s="514"/>
      <c r="R6761" s="293"/>
      <c r="S6761" s="316"/>
      <c r="T6761" s="355"/>
    </row>
    <row r="6762" spans="11:20" x14ac:dyDescent="0.25">
      <c r="K6762" s="312"/>
      <c r="N6762" s="514"/>
      <c r="R6762" s="293"/>
      <c r="S6762" s="316"/>
      <c r="T6762" s="355"/>
    </row>
    <row r="6763" spans="11:20" x14ac:dyDescent="0.25">
      <c r="K6763" s="312"/>
      <c r="N6763" s="514"/>
      <c r="R6763" s="293"/>
      <c r="S6763" s="316"/>
      <c r="T6763" s="355"/>
    </row>
    <row r="6764" spans="11:20" x14ac:dyDescent="0.25">
      <c r="K6764" s="312"/>
      <c r="N6764" s="514"/>
      <c r="R6764" s="293"/>
      <c r="S6764" s="316"/>
      <c r="T6764" s="355"/>
    </row>
    <row r="6765" spans="11:20" x14ac:dyDescent="0.25">
      <c r="K6765" s="312"/>
      <c r="N6765" s="514"/>
      <c r="R6765" s="293"/>
      <c r="S6765" s="316"/>
      <c r="T6765" s="355"/>
    </row>
    <row r="6766" spans="11:20" x14ac:dyDescent="0.25">
      <c r="K6766" s="312"/>
      <c r="N6766" s="514"/>
      <c r="R6766" s="293"/>
      <c r="S6766" s="316"/>
      <c r="T6766" s="355"/>
    </row>
    <row r="6767" spans="11:20" x14ac:dyDescent="0.25">
      <c r="K6767" s="312"/>
      <c r="N6767" s="514"/>
      <c r="R6767" s="293"/>
      <c r="S6767" s="316"/>
      <c r="T6767" s="355"/>
    </row>
    <row r="6768" spans="11:20" x14ac:dyDescent="0.25">
      <c r="K6768" s="312"/>
      <c r="N6768" s="514"/>
      <c r="R6768" s="293"/>
      <c r="S6768" s="316"/>
      <c r="T6768" s="355"/>
    </row>
    <row r="6769" spans="11:20" x14ac:dyDescent="0.25">
      <c r="K6769" s="312"/>
      <c r="N6769" s="514"/>
      <c r="R6769" s="293"/>
      <c r="S6769" s="316"/>
      <c r="T6769" s="355"/>
    </row>
    <row r="6770" spans="11:20" x14ac:dyDescent="0.25">
      <c r="K6770" s="312"/>
      <c r="N6770" s="514"/>
      <c r="R6770" s="293"/>
      <c r="S6770" s="316"/>
      <c r="T6770" s="355"/>
    </row>
    <row r="6771" spans="11:20" x14ac:dyDescent="0.25">
      <c r="K6771" s="312"/>
      <c r="N6771" s="514"/>
      <c r="R6771" s="293"/>
      <c r="S6771" s="316"/>
      <c r="T6771" s="355"/>
    </row>
    <row r="6772" spans="11:20" x14ac:dyDescent="0.25">
      <c r="K6772" s="312"/>
      <c r="N6772" s="514"/>
      <c r="R6772" s="293"/>
      <c r="S6772" s="316"/>
      <c r="T6772" s="355"/>
    </row>
    <row r="6773" spans="11:20" x14ac:dyDescent="0.25">
      <c r="K6773" s="312"/>
      <c r="N6773" s="514"/>
      <c r="R6773" s="293"/>
      <c r="S6773" s="316"/>
      <c r="T6773" s="355"/>
    </row>
    <row r="6774" spans="11:20" x14ac:dyDescent="0.25">
      <c r="K6774" s="312"/>
      <c r="N6774" s="514"/>
      <c r="R6774" s="293"/>
      <c r="S6774" s="316"/>
      <c r="T6774" s="355"/>
    </row>
    <row r="6775" spans="11:20" x14ac:dyDescent="0.25">
      <c r="K6775" s="312"/>
      <c r="N6775" s="514"/>
      <c r="R6775" s="293"/>
      <c r="S6775" s="316"/>
      <c r="T6775" s="355"/>
    </row>
    <row r="6776" spans="11:20" x14ac:dyDescent="0.25">
      <c r="K6776" s="312"/>
      <c r="N6776" s="514"/>
      <c r="R6776" s="293"/>
      <c r="S6776" s="316"/>
      <c r="T6776" s="355"/>
    </row>
    <row r="6777" spans="11:20" x14ac:dyDescent="0.25">
      <c r="K6777" s="312"/>
      <c r="N6777" s="514"/>
      <c r="R6777" s="293"/>
      <c r="S6777" s="316"/>
      <c r="T6777" s="355"/>
    </row>
    <row r="6778" spans="11:20" x14ac:dyDescent="0.25">
      <c r="K6778" s="312"/>
      <c r="N6778" s="514"/>
      <c r="R6778" s="293"/>
      <c r="S6778" s="316"/>
      <c r="T6778" s="355"/>
    </row>
    <row r="6779" spans="11:20" x14ac:dyDescent="0.25">
      <c r="K6779" s="312"/>
      <c r="N6779" s="514"/>
      <c r="R6779" s="293"/>
      <c r="S6779" s="316"/>
      <c r="T6779" s="355"/>
    </row>
    <row r="6780" spans="11:20" x14ac:dyDescent="0.25">
      <c r="K6780" s="312"/>
      <c r="N6780" s="514"/>
      <c r="R6780" s="293"/>
      <c r="S6780" s="316"/>
      <c r="T6780" s="355"/>
    </row>
    <row r="6781" spans="11:20" x14ac:dyDescent="0.25">
      <c r="K6781" s="312"/>
      <c r="N6781" s="514"/>
      <c r="R6781" s="293"/>
      <c r="S6781" s="316"/>
      <c r="T6781" s="355"/>
    </row>
    <row r="6782" spans="11:20" x14ac:dyDescent="0.25">
      <c r="K6782" s="312"/>
      <c r="N6782" s="514"/>
      <c r="R6782" s="293"/>
      <c r="S6782" s="316"/>
      <c r="T6782" s="355"/>
    </row>
    <row r="6783" spans="11:20" x14ac:dyDescent="0.25">
      <c r="K6783" s="312"/>
      <c r="N6783" s="514"/>
      <c r="R6783" s="293"/>
      <c r="S6783" s="316"/>
      <c r="T6783" s="355"/>
    </row>
    <row r="6784" spans="11:20" x14ac:dyDescent="0.25">
      <c r="K6784" s="312"/>
      <c r="N6784" s="514"/>
      <c r="R6784" s="293"/>
      <c r="S6784" s="316"/>
      <c r="T6784" s="355"/>
    </row>
    <row r="6785" spans="11:20" x14ac:dyDescent="0.25">
      <c r="K6785" s="312"/>
      <c r="N6785" s="514"/>
      <c r="R6785" s="293"/>
      <c r="S6785" s="316"/>
      <c r="T6785" s="355"/>
    </row>
    <row r="6786" spans="11:20" x14ac:dyDescent="0.25">
      <c r="K6786" s="312"/>
      <c r="N6786" s="514"/>
      <c r="R6786" s="293"/>
      <c r="S6786" s="316"/>
      <c r="T6786" s="355"/>
    </row>
    <row r="6787" spans="11:20" x14ac:dyDescent="0.25">
      <c r="K6787" s="312"/>
      <c r="N6787" s="514"/>
      <c r="R6787" s="293"/>
      <c r="S6787" s="316"/>
      <c r="T6787" s="355"/>
    </row>
    <row r="6788" spans="11:20" x14ac:dyDescent="0.25">
      <c r="K6788" s="312"/>
      <c r="N6788" s="514"/>
      <c r="R6788" s="293"/>
      <c r="S6788" s="316"/>
      <c r="T6788" s="355"/>
    </row>
    <row r="6789" spans="11:20" x14ac:dyDescent="0.25">
      <c r="K6789" s="312"/>
      <c r="N6789" s="514"/>
      <c r="R6789" s="293"/>
      <c r="S6789" s="316"/>
      <c r="T6789" s="355"/>
    </row>
    <row r="6790" spans="11:20" x14ac:dyDescent="0.25">
      <c r="K6790" s="312"/>
      <c r="N6790" s="514"/>
      <c r="R6790" s="293"/>
      <c r="S6790" s="316"/>
      <c r="T6790" s="355"/>
    </row>
    <row r="6791" spans="11:20" x14ac:dyDescent="0.25">
      <c r="K6791" s="312"/>
      <c r="N6791" s="514"/>
      <c r="R6791" s="293"/>
      <c r="S6791" s="316"/>
      <c r="T6791" s="355"/>
    </row>
    <row r="6792" spans="11:20" x14ac:dyDescent="0.25">
      <c r="K6792" s="312"/>
      <c r="N6792" s="514"/>
      <c r="R6792" s="293"/>
      <c r="S6792" s="316"/>
      <c r="T6792" s="355"/>
    </row>
    <row r="6793" spans="11:20" x14ac:dyDescent="0.25">
      <c r="K6793" s="312"/>
      <c r="N6793" s="514"/>
      <c r="R6793" s="293"/>
      <c r="S6793" s="316"/>
      <c r="T6793" s="355"/>
    </row>
    <row r="6794" spans="11:20" x14ac:dyDescent="0.25">
      <c r="K6794" s="312"/>
      <c r="N6794" s="514"/>
      <c r="R6794" s="293"/>
      <c r="S6794" s="316"/>
      <c r="T6794" s="355"/>
    </row>
    <row r="6795" spans="11:20" x14ac:dyDescent="0.25">
      <c r="K6795" s="312"/>
      <c r="N6795" s="514"/>
      <c r="R6795" s="293"/>
      <c r="S6795" s="316"/>
      <c r="T6795" s="355"/>
    </row>
    <row r="6796" spans="11:20" x14ac:dyDescent="0.25">
      <c r="K6796" s="312"/>
      <c r="N6796" s="514"/>
      <c r="R6796" s="293"/>
      <c r="S6796" s="316"/>
      <c r="T6796" s="355"/>
    </row>
    <row r="6797" spans="11:20" x14ac:dyDescent="0.25">
      <c r="K6797" s="312"/>
      <c r="N6797" s="514"/>
      <c r="R6797" s="293"/>
      <c r="S6797" s="316"/>
      <c r="T6797" s="355"/>
    </row>
    <row r="6798" spans="11:20" x14ac:dyDescent="0.25">
      <c r="K6798" s="312"/>
      <c r="N6798" s="514"/>
      <c r="R6798" s="293"/>
      <c r="S6798" s="316"/>
      <c r="T6798" s="355"/>
    </row>
    <row r="6799" spans="11:20" x14ac:dyDescent="0.25">
      <c r="K6799" s="312"/>
      <c r="N6799" s="514"/>
      <c r="R6799" s="293"/>
      <c r="S6799" s="316"/>
      <c r="T6799" s="355"/>
    </row>
    <row r="6800" spans="11:20" x14ac:dyDescent="0.25">
      <c r="K6800" s="312"/>
      <c r="N6800" s="514"/>
      <c r="R6800" s="293"/>
      <c r="S6800" s="316"/>
      <c r="T6800" s="355"/>
    </row>
    <row r="6801" spans="11:20" x14ac:dyDescent="0.25">
      <c r="K6801" s="312"/>
      <c r="N6801" s="514"/>
      <c r="R6801" s="293"/>
      <c r="S6801" s="316"/>
      <c r="T6801" s="355"/>
    </row>
    <row r="6802" spans="11:20" x14ac:dyDescent="0.25">
      <c r="K6802" s="312"/>
      <c r="N6802" s="514"/>
      <c r="R6802" s="293"/>
      <c r="S6802" s="316"/>
      <c r="T6802" s="355"/>
    </row>
    <row r="6803" spans="11:20" x14ac:dyDescent="0.25">
      <c r="K6803" s="312"/>
      <c r="N6803" s="514"/>
      <c r="R6803" s="293"/>
      <c r="S6803" s="316"/>
      <c r="T6803" s="355"/>
    </row>
    <row r="6804" spans="11:20" x14ac:dyDescent="0.25">
      <c r="K6804" s="312"/>
      <c r="N6804" s="514"/>
      <c r="R6804" s="293"/>
      <c r="S6804" s="316"/>
      <c r="T6804" s="355"/>
    </row>
    <row r="6805" spans="11:20" x14ac:dyDescent="0.25">
      <c r="K6805" s="312"/>
      <c r="N6805" s="514"/>
      <c r="R6805" s="293"/>
      <c r="S6805" s="316"/>
      <c r="T6805" s="355"/>
    </row>
    <row r="6806" spans="11:20" x14ac:dyDescent="0.25">
      <c r="K6806" s="312"/>
      <c r="N6806" s="514"/>
      <c r="R6806" s="293"/>
      <c r="S6806" s="316"/>
      <c r="T6806" s="355"/>
    </row>
    <row r="6807" spans="11:20" x14ac:dyDescent="0.25">
      <c r="K6807" s="312"/>
      <c r="N6807" s="514"/>
      <c r="R6807" s="293"/>
      <c r="S6807" s="316"/>
      <c r="T6807" s="355"/>
    </row>
    <row r="6808" spans="11:20" x14ac:dyDescent="0.25">
      <c r="K6808" s="312"/>
      <c r="N6808" s="514"/>
      <c r="R6808" s="293"/>
      <c r="S6808" s="316"/>
      <c r="T6808" s="355"/>
    </row>
    <row r="6809" spans="11:20" x14ac:dyDescent="0.25">
      <c r="K6809" s="312"/>
      <c r="N6809" s="514"/>
      <c r="R6809" s="293"/>
      <c r="S6809" s="316"/>
      <c r="T6809" s="355"/>
    </row>
    <row r="6810" spans="11:20" x14ac:dyDescent="0.25">
      <c r="K6810" s="312"/>
      <c r="N6810" s="514"/>
      <c r="R6810" s="293"/>
      <c r="S6810" s="316"/>
      <c r="T6810" s="355"/>
    </row>
    <row r="6811" spans="11:20" x14ac:dyDescent="0.25">
      <c r="K6811" s="312"/>
      <c r="N6811" s="514"/>
      <c r="R6811" s="293"/>
      <c r="S6811" s="316"/>
      <c r="T6811" s="355"/>
    </row>
    <row r="6812" spans="11:20" x14ac:dyDescent="0.25">
      <c r="K6812" s="312"/>
      <c r="N6812" s="514"/>
      <c r="R6812" s="293"/>
      <c r="S6812" s="316"/>
      <c r="T6812" s="355"/>
    </row>
    <row r="6813" spans="11:20" x14ac:dyDescent="0.25">
      <c r="K6813" s="312"/>
      <c r="N6813" s="514"/>
      <c r="R6813" s="293"/>
      <c r="S6813" s="316"/>
      <c r="T6813" s="355"/>
    </row>
    <row r="6814" spans="11:20" x14ac:dyDescent="0.25">
      <c r="K6814" s="312"/>
      <c r="N6814" s="514"/>
      <c r="R6814" s="293"/>
      <c r="S6814" s="316"/>
      <c r="T6814" s="355"/>
    </row>
    <row r="6815" spans="11:20" x14ac:dyDescent="0.25">
      <c r="K6815" s="312"/>
      <c r="N6815" s="514"/>
      <c r="R6815" s="293"/>
      <c r="S6815" s="316"/>
      <c r="T6815" s="355"/>
    </row>
    <row r="6816" spans="11:20" x14ac:dyDescent="0.25">
      <c r="K6816" s="312"/>
      <c r="N6816" s="514"/>
      <c r="R6816" s="293"/>
      <c r="S6816" s="316"/>
      <c r="T6816" s="355"/>
    </row>
    <row r="6817" spans="11:20" x14ac:dyDescent="0.25">
      <c r="K6817" s="312"/>
      <c r="N6817" s="514"/>
      <c r="R6817" s="293"/>
      <c r="S6817" s="316"/>
      <c r="T6817" s="355"/>
    </row>
    <row r="6818" spans="11:20" x14ac:dyDescent="0.25">
      <c r="K6818" s="312"/>
      <c r="N6818" s="514"/>
      <c r="R6818" s="293"/>
      <c r="S6818" s="316"/>
      <c r="T6818" s="355"/>
    </row>
    <row r="6819" spans="11:20" x14ac:dyDescent="0.25">
      <c r="K6819" s="312"/>
      <c r="N6819" s="514"/>
      <c r="R6819" s="293"/>
      <c r="S6819" s="316"/>
      <c r="T6819" s="355"/>
    </row>
    <row r="6820" spans="11:20" x14ac:dyDescent="0.25">
      <c r="K6820" s="312"/>
      <c r="N6820" s="514"/>
      <c r="R6820" s="293"/>
      <c r="S6820" s="316"/>
      <c r="T6820" s="355"/>
    </row>
    <row r="6821" spans="11:20" x14ac:dyDescent="0.25">
      <c r="K6821" s="312"/>
      <c r="N6821" s="514"/>
      <c r="R6821" s="293"/>
      <c r="S6821" s="316"/>
      <c r="T6821" s="355"/>
    </row>
    <row r="6822" spans="11:20" x14ac:dyDescent="0.25">
      <c r="K6822" s="312"/>
      <c r="N6822" s="514"/>
      <c r="R6822" s="293"/>
      <c r="S6822" s="316"/>
      <c r="T6822" s="355"/>
    </row>
    <row r="6823" spans="11:20" x14ac:dyDescent="0.25">
      <c r="K6823" s="312"/>
      <c r="N6823" s="514"/>
      <c r="R6823" s="293"/>
      <c r="S6823" s="316"/>
      <c r="T6823" s="355"/>
    </row>
    <row r="6824" spans="11:20" x14ac:dyDescent="0.25">
      <c r="K6824" s="312"/>
      <c r="N6824" s="514"/>
      <c r="R6824" s="293"/>
      <c r="S6824" s="316"/>
      <c r="T6824" s="355"/>
    </row>
    <row r="6825" spans="11:20" x14ac:dyDescent="0.25">
      <c r="K6825" s="312"/>
      <c r="N6825" s="514"/>
      <c r="R6825" s="293"/>
      <c r="S6825" s="316"/>
      <c r="T6825" s="355"/>
    </row>
    <row r="6826" spans="11:20" x14ac:dyDescent="0.25">
      <c r="K6826" s="312"/>
      <c r="N6826" s="514"/>
      <c r="R6826" s="293"/>
      <c r="S6826" s="316"/>
      <c r="T6826" s="355"/>
    </row>
    <row r="6827" spans="11:20" x14ac:dyDescent="0.25">
      <c r="K6827" s="312"/>
      <c r="N6827" s="514"/>
      <c r="R6827" s="293"/>
      <c r="S6827" s="316"/>
      <c r="T6827" s="355"/>
    </row>
    <row r="6828" spans="11:20" x14ac:dyDescent="0.25">
      <c r="K6828" s="312"/>
      <c r="N6828" s="514"/>
      <c r="R6828" s="293"/>
      <c r="S6828" s="316"/>
      <c r="T6828" s="355"/>
    </row>
    <row r="6829" spans="11:20" x14ac:dyDescent="0.25">
      <c r="K6829" s="312"/>
      <c r="N6829" s="514"/>
      <c r="R6829" s="293"/>
      <c r="S6829" s="316"/>
      <c r="T6829" s="355"/>
    </row>
    <row r="6830" spans="11:20" x14ac:dyDescent="0.25">
      <c r="K6830" s="312"/>
      <c r="N6830" s="514"/>
      <c r="R6830" s="293"/>
      <c r="S6830" s="316"/>
      <c r="T6830" s="355"/>
    </row>
    <row r="6831" spans="11:20" x14ac:dyDescent="0.25">
      <c r="K6831" s="312"/>
      <c r="N6831" s="514"/>
      <c r="R6831" s="293"/>
      <c r="S6831" s="316"/>
      <c r="T6831" s="355"/>
    </row>
    <row r="6832" spans="11:20" x14ac:dyDescent="0.25">
      <c r="K6832" s="312"/>
      <c r="N6832" s="514"/>
      <c r="R6832" s="293"/>
      <c r="S6832" s="316"/>
      <c r="T6832" s="355"/>
    </row>
    <row r="6833" spans="11:20" x14ac:dyDescent="0.25">
      <c r="K6833" s="312"/>
      <c r="N6833" s="514"/>
      <c r="R6833" s="293"/>
      <c r="S6833" s="316"/>
      <c r="T6833" s="355"/>
    </row>
    <row r="6834" spans="11:20" x14ac:dyDescent="0.25">
      <c r="K6834" s="312"/>
      <c r="N6834" s="514"/>
      <c r="R6834" s="293"/>
      <c r="S6834" s="316"/>
      <c r="T6834" s="355"/>
    </row>
    <row r="6835" spans="11:20" x14ac:dyDescent="0.25">
      <c r="K6835" s="312"/>
      <c r="N6835" s="514"/>
      <c r="R6835" s="293"/>
      <c r="S6835" s="316"/>
      <c r="T6835" s="355"/>
    </row>
    <row r="6836" spans="11:20" x14ac:dyDescent="0.25">
      <c r="K6836" s="312"/>
      <c r="N6836" s="514"/>
      <c r="R6836" s="293"/>
      <c r="S6836" s="316"/>
      <c r="T6836" s="355"/>
    </row>
    <row r="6837" spans="11:20" x14ac:dyDescent="0.25">
      <c r="K6837" s="312"/>
      <c r="N6837" s="514"/>
      <c r="R6837" s="293"/>
      <c r="S6837" s="316"/>
      <c r="T6837" s="355"/>
    </row>
    <row r="6838" spans="11:20" x14ac:dyDescent="0.25">
      <c r="K6838" s="312"/>
      <c r="N6838" s="514"/>
      <c r="R6838" s="293"/>
      <c r="S6838" s="316"/>
      <c r="T6838" s="355"/>
    </row>
    <row r="6839" spans="11:20" x14ac:dyDescent="0.25">
      <c r="K6839" s="312"/>
      <c r="N6839" s="514"/>
      <c r="R6839" s="293"/>
      <c r="S6839" s="316"/>
      <c r="T6839" s="355"/>
    </row>
    <row r="6840" spans="11:20" x14ac:dyDescent="0.25">
      <c r="K6840" s="312"/>
      <c r="N6840" s="514"/>
      <c r="R6840" s="293"/>
      <c r="S6840" s="316"/>
      <c r="T6840" s="355"/>
    </row>
    <row r="6841" spans="11:20" x14ac:dyDescent="0.25">
      <c r="K6841" s="312"/>
      <c r="N6841" s="514"/>
      <c r="R6841" s="293"/>
      <c r="S6841" s="316"/>
      <c r="T6841" s="355"/>
    </row>
    <row r="6842" spans="11:20" x14ac:dyDescent="0.25">
      <c r="K6842" s="312"/>
      <c r="N6842" s="514"/>
      <c r="R6842" s="293"/>
      <c r="S6842" s="316"/>
      <c r="T6842" s="355"/>
    </row>
    <row r="6843" spans="11:20" x14ac:dyDescent="0.25">
      <c r="K6843" s="312"/>
      <c r="N6843" s="514"/>
      <c r="R6843" s="293"/>
      <c r="S6843" s="316"/>
      <c r="T6843" s="355"/>
    </row>
    <row r="6844" spans="11:20" x14ac:dyDescent="0.25">
      <c r="K6844" s="312"/>
      <c r="N6844" s="514"/>
      <c r="R6844" s="293"/>
      <c r="S6844" s="316"/>
      <c r="T6844" s="355"/>
    </row>
    <row r="6845" spans="11:20" x14ac:dyDescent="0.25">
      <c r="K6845" s="312"/>
      <c r="N6845" s="514"/>
      <c r="R6845" s="293"/>
      <c r="S6845" s="316"/>
      <c r="T6845" s="355"/>
    </row>
    <row r="6846" spans="11:20" x14ac:dyDescent="0.25">
      <c r="K6846" s="312"/>
      <c r="N6846" s="514"/>
      <c r="R6846" s="293"/>
      <c r="S6846" s="316"/>
      <c r="T6846" s="355"/>
    </row>
    <row r="6847" spans="11:20" x14ac:dyDescent="0.25">
      <c r="K6847" s="312"/>
      <c r="N6847" s="514"/>
      <c r="R6847" s="293"/>
      <c r="S6847" s="316"/>
      <c r="T6847" s="355"/>
    </row>
    <row r="6848" spans="11:20" x14ac:dyDescent="0.25">
      <c r="K6848" s="312"/>
      <c r="N6848" s="514"/>
      <c r="R6848" s="293"/>
      <c r="S6848" s="316"/>
      <c r="T6848" s="355"/>
    </row>
    <row r="6849" spans="11:20" x14ac:dyDescent="0.25">
      <c r="K6849" s="312"/>
      <c r="N6849" s="514"/>
      <c r="R6849" s="293"/>
      <c r="S6849" s="316"/>
      <c r="T6849" s="355"/>
    </row>
    <row r="6850" spans="11:20" x14ac:dyDescent="0.25">
      <c r="K6850" s="312"/>
      <c r="N6850" s="514"/>
      <c r="R6850" s="293"/>
      <c r="S6850" s="316"/>
      <c r="T6850" s="355"/>
    </row>
    <row r="6851" spans="11:20" x14ac:dyDescent="0.25">
      <c r="K6851" s="312"/>
      <c r="N6851" s="514"/>
      <c r="R6851" s="293"/>
      <c r="S6851" s="316"/>
      <c r="T6851" s="355"/>
    </row>
    <row r="6852" spans="11:20" x14ac:dyDescent="0.25">
      <c r="K6852" s="312"/>
      <c r="N6852" s="514"/>
      <c r="R6852" s="293"/>
      <c r="S6852" s="316"/>
      <c r="T6852" s="355"/>
    </row>
    <row r="6853" spans="11:20" x14ac:dyDescent="0.25">
      <c r="K6853" s="312"/>
      <c r="N6853" s="514"/>
      <c r="R6853" s="293"/>
      <c r="S6853" s="316"/>
      <c r="T6853" s="355"/>
    </row>
    <row r="6854" spans="11:20" x14ac:dyDescent="0.25">
      <c r="K6854" s="312"/>
      <c r="N6854" s="514"/>
      <c r="R6854" s="293"/>
      <c r="S6854" s="316"/>
      <c r="T6854" s="355"/>
    </row>
    <row r="6855" spans="11:20" x14ac:dyDescent="0.25">
      <c r="K6855" s="312"/>
      <c r="N6855" s="514"/>
      <c r="R6855" s="293"/>
      <c r="S6855" s="316"/>
      <c r="T6855" s="355"/>
    </row>
    <row r="6856" spans="11:20" x14ac:dyDescent="0.25">
      <c r="K6856" s="312"/>
      <c r="N6856" s="514"/>
      <c r="R6856" s="293"/>
      <c r="S6856" s="316"/>
      <c r="T6856" s="355"/>
    </row>
    <row r="6857" spans="11:20" x14ac:dyDescent="0.25">
      <c r="K6857" s="312"/>
      <c r="N6857" s="514"/>
      <c r="R6857" s="293"/>
      <c r="S6857" s="316"/>
      <c r="T6857" s="355"/>
    </row>
    <row r="6858" spans="11:20" x14ac:dyDescent="0.25">
      <c r="K6858" s="312"/>
      <c r="N6858" s="514"/>
      <c r="R6858" s="293"/>
      <c r="S6858" s="316"/>
      <c r="T6858" s="355"/>
    </row>
    <row r="6859" spans="11:20" x14ac:dyDescent="0.25">
      <c r="K6859" s="312"/>
      <c r="N6859" s="514"/>
      <c r="R6859" s="293"/>
      <c r="S6859" s="316"/>
      <c r="T6859" s="355"/>
    </row>
    <row r="6860" spans="11:20" x14ac:dyDescent="0.25">
      <c r="K6860" s="312"/>
      <c r="N6860" s="514"/>
      <c r="R6860" s="293"/>
      <c r="S6860" s="316"/>
      <c r="T6860" s="355"/>
    </row>
    <row r="6861" spans="11:20" x14ac:dyDescent="0.25">
      <c r="K6861" s="312"/>
      <c r="N6861" s="514"/>
      <c r="R6861" s="293"/>
      <c r="S6861" s="316"/>
      <c r="T6861" s="355"/>
    </row>
    <row r="6862" spans="11:20" x14ac:dyDescent="0.25">
      <c r="K6862" s="312"/>
      <c r="N6862" s="514"/>
      <c r="R6862" s="293"/>
      <c r="S6862" s="316"/>
      <c r="T6862" s="355"/>
    </row>
    <row r="6863" spans="11:20" x14ac:dyDescent="0.25">
      <c r="K6863" s="312"/>
      <c r="N6863" s="514"/>
      <c r="R6863" s="293"/>
      <c r="S6863" s="316"/>
      <c r="T6863" s="355"/>
    </row>
    <row r="6864" spans="11:20" x14ac:dyDescent="0.25">
      <c r="K6864" s="312"/>
      <c r="N6864" s="514"/>
      <c r="R6864" s="293"/>
      <c r="S6864" s="316"/>
      <c r="T6864" s="355"/>
    </row>
    <row r="6865" spans="11:20" x14ac:dyDescent="0.25">
      <c r="K6865" s="312"/>
      <c r="N6865" s="514"/>
      <c r="R6865" s="293"/>
      <c r="S6865" s="316"/>
      <c r="T6865" s="355"/>
    </row>
    <row r="6866" spans="11:20" x14ac:dyDescent="0.25">
      <c r="K6866" s="312"/>
      <c r="N6866" s="514"/>
      <c r="R6866" s="293"/>
      <c r="S6866" s="316"/>
      <c r="T6866" s="355"/>
    </row>
    <row r="6867" spans="11:20" x14ac:dyDescent="0.25">
      <c r="K6867" s="312"/>
      <c r="N6867" s="514"/>
      <c r="R6867" s="293"/>
      <c r="S6867" s="316"/>
      <c r="T6867" s="355"/>
    </row>
    <row r="6868" spans="11:20" x14ac:dyDescent="0.25">
      <c r="K6868" s="312"/>
      <c r="N6868" s="514"/>
      <c r="R6868" s="293"/>
      <c r="S6868" s="316"/>
      <c r="T6868" s="355"/>
    </row>
    <row r="6869" spans="11:20" x14ac:dyDescent="0.25">
      <c r="K6869" s="312"/>
      <c r="N6869" s="514"/>
      <c r="R6869" s="293"/>
      <c r="S6869" s="316"/>
      <c r="T6869" s="355"/>
    </row>
    <row r="6870" spans="11:20" x14ac:dyDescent="0.25">
      <c r="K6870" s="312"/>
      <c r="N6870" s="514"/>
      <c r="R6870" s="293"/>
      <c r="S6870" s="316"/>
      <c r="T6870" s="355"/>
    </row>
    <row r="6871" spans="11:20" x14ac:dyDescent="0.25">
      <c r="K6871" s="312"/>
      <c r="N6871" s="514"/>
      <c r="R6871" s="293"/>
      <c r="S6871" s="316"/>
      <c r="T6871" s="355"/>
    </row>
    <row r="6872" spans="11:20" x14ac:dyDescent="0.25">
      <c r="K6872" s="312"/>
      <c r="N6872" s="514"/>
      <c r="R6872" s="293"/>
      <c r="S6872" s="316"/>
      <c r="T6872" s="355"/>
    </row>
    <row r="6873" spans="11:20" x14ac:dyDescent="0.25">
      <c r="K6873" s="312"/>
      <c r="N6873" s="514"/>
      <c r="R6873" s="293"/>
      <c r="S6873" s="316"/>
      <c r="T6873" s="355"/>
    </row>
    <row r="6874" spans="11:20" x14ac:dyDescent="0.25">
      <c r="K6874" s="312"/>
      <c r="N6874" s="514"/>
      <c r="R6874" s="293"/>
      <c r="S6874" s="316"/>
      <c r="T6874" s="355"/>
    </row>
    <row r="6875" spans="11:20" x14ac:dyDescent="0.25">
      <c r="K6875" s="312"/>
      <c r="N6875" s="514"/>
      <c r="R6875" s="293"/>
      <c r="S6875" s="316"/>
      <c r="T6875" s="355"/>
    </row>
    <row r="6876" spans="11:20" x14ac:dyDescent="0.25">
      <c r="K6876" s="312"/>
      <c r="N6876" s="514"/>
      <c r="R6876" s="293"/>
      <c r="S6876" s="316"/>
      <c r="T6876" s="355"/>
    </row>
    <row r="6877" spans="11:20" x14ac:dyDescent="0.25">
      <c r="K6877" s="312"/>
      <c r="N6877" s="514"/>
      <c r="R6877" s="293"/>
      <c r="S6877" s="316"/>
      <c r="T6877" s="355"/>
    </row>
    <row r="6878" spans="11:20" x14ac:dyDescent="0.25">
      <c r="K6878" s="312"/>
      <c r="N6878" s="514"/>
      <c r="R6878" s="293"/>
      <c r="S6878" s="316"/>
      <c r="T6878" s="355"/>
    </row>
    <row r="6879" spans="11:20" x14ac:dyDescent="0.25">
      <c r="K6879" s="312"/>
      <c r="N6879" s="514"/>
      <c r="R6879" s="293"/>
      <c r="S6879" s="316"/>
      <c r="T6879" s="355"/>
    </row>
    <row r="6880" spans="11:20" x14ac:dyDescent="0.25">
      <c r="K6880" s="312"/>
      <c r="N6880" s="514"/>
      <c r="R6880" s="293"/>
      <c r="S6880" s="316"/>
      <c r="T6880" s="355"/>
    </row>
    <row r="6881" spans="11:20" x14ac:dyDescent="0.25">
      <c r="K6881" s="312"/>
      <c r="N6881" s="514"/>
      <c r="R6881" s="293"/>
      <c r="S6881" s="316"/>
      <c r="T6881" s="355"/>
    </row>
    <row r="6882" spans="11:20" x14ac:dyDescent="0.25">
      <c r="K6882" s="312"/>
      <c r="N6882" s="514"/>
      <c r="R6882" s="293"/>
      <c r="S6882" s="316"/>
      <c r="T6882" s="355"/>
    </row>
    <row r="6883" spans="11:20" x14ac:dyDescent="0.25">
      <c r="K6883" s="312"/>
      <c r="N6883" s="514"/>
      <c r="R6883" s="293"/>
      <c r="S6883" s="316"/>
      <c r="T6883" s="355"/>
    </row>
    <row r="6884" spans="11:20" x14ac:dyDescent="0.25">
      <c r="K6884" s="312"/>
      <c r="N6884" s="514"/>
      <c r="R6884" s="293"/>
      <c r="S6884" s="316"/>
      <c r="T6884" s="355"/>
    </row>
    <row r="6885" spans="11:20" x14ac:dyDescent="0.25">
      <c r="K6885" s="312"/>
      <c r="N6885" s="514"/>
      <c r="R6885" s="293"/>
      <c r="S6885" s="316"/>
      <c r="T6885" s="355"/>
    </row>
    <row r="6886" spans="11:20" x14ac:dyDescent="0.25">
      <c r="K6886" s="312"/>
      <c r="N6886" s="514"/>
      <c r="R6886" s="293"/>
      <c r="S6886" s="316"/>
      <c r="T6886" s="355"/>
    </row>
    <row r="6887" spans="11:20" x14ac:dyDescent="0.25">
      <c r="K6887" s="312"/>
      <c r="N6887" s="514"/>
      <c r="R6887" s="293"/>
      <c r="S6887" s="316"/>
      <c r="T6887" s="355"/>
    </row>
    <row r="6888" spans="11:20" x14ac:dyDescent="0.25">
      <c r="K6888" s="312"/>
      <c r="N6888" s="514"/>
      <c r="R6888" s="293"/>
      <c r="S6888" s="316"/>
      <c r="T6888" s="355"/>
    </row>
    <row r="6889" spans="11:20" x14ac:dyDescent="0.25">
      <c r="K6889" s="312"/>
      <c r="N6889" s="514"/>
      <c r="R6889" s="293"/>
      <c r="S6889" s="316"/>
      <c r="T6889" s="355"/>
    </row>
    <row r="6890" spans="11:20" x14ac:dyDescent="0.25">
      <c r="K6890" s="312"/>
      <c r="N6890" s="514"/>
      <c r="R6890" s="293"/>
      <c r="S6890" s="316"/>
      <c r="T6890" s="355"/>
    </row>
    <row r="6891" spans="11:20" x14ac:dyDescent="0.25">
      <c r="K6891" s="312"/>
      <c r="N6891" s="514"/>
      <c r="R6891" s="293"/>
      <c r="S6891" s="316"/>
      <c r="T6891" s="355"/>
    </row>
    <row r="6892" spans="11:20" x14ac:dyDescent="0.25">
      <c r="K6892" s="312"/>
      <c r="N6892" s="514"/>
      <c r="R6892" s="293"/>
      <c r="S6892" s="316"/>
      <c r="T6892" s="355"/>
    </row>
    <row r="6893" spans="11:20" x14ac:dyDescent="0.25">
      <c r="K6893" s="312"/>
      <c r="N6893" s="514"/>
      <c r="R6893" s="293"/>
      <c r="S6893" s="316"/>
      <c r="T6893" s="355"/>
    </row>
    <row r="6894" spans="11:20" x14ac:dyDescent="0.25">
      <c r="K6894" s="312"/>
      <c r="N6894" s="514"/>
      <c r="R6894" s="293"/>
      <c r="S6894" s="316"/>
      <c r="T6894" s="355"/>
    </row>
    <row r="6895" spans="11:20" x14ac:dyDescent="0.25">
      <c r="K6895" s="312"/>
      <c r="N6895" s="514"/>
      <c r="R6895" s="293"/>
      <c r="S6895" s="316"/>
      <c r="T6895" s="355"/>
    </row>
    <row r="6896" spans="11:20" x14ac:dyDescent="0.25">
      <c r="K6896" s="312"/>
      <c r="N6896" s="514"/>
      <c r="R6896" s="293"/>
      <c r="S6896" s="316"/>
      <c r="T6896" s="355"/>
    </row>
    <row r="6897" spans="11:20" x14ac:dyDescent="0.25">
      <c r="K6897" s="312"/>
      <c r="N6897" s="514"/>
      <c r="R6897" s="293"/>
      <c r="S6897" s="316"/>
      <c r="T6897" s="355"/>
    </row>
    <row r="6898" spans="11:20" x14ac:dyDescent="0.25">
      <c r="K6898" s="312"/>
      <c r="N6898" s="514"/>
      <c r="R6898" s="293"/>
      <c r="S6898" s="316"/>
      <c r="T6898" s="355"/>
    </row>
    <row r="6899" spans="11:20" x14ac:dyDescent="0.25">
      <c r="K6899" s="312"/>
      <c r="N6899" s="514"/>
      <c r="R6899" s="293"/>
      <c r="S6899" s="316"/>
      <c r="T6899" s="355"/>
    </row>
    <row r="6900" spans="11:20" x14ac:dyDescent="0.25">
      <c r="K6900" s="312"/>
      <c r="N6900" s="514"/>
      <c r="R6900" s="293"/>
      <c r="S6900" s="316"/>
      <c r="T6900" s="355"/>
    </row>
    <row r="6901" spans="11:20" x14ac:dyDescent="0.25">
      <c r="K6901" s="312"/>
      <c r="N6901" s="514"/>
      <c r="R6901" s="293"/>
      <c r="S6901" s="316"/>
      <c r="T6901" s="355"/>
    </row>
    <row r="6902" spans="11:20" x14ac:dyDescent="0.25">
      <c r="K6902" s="312"/>
      <c r="N6902" s="514"/>
      <c r="R6902" s="293"/>
      <c r="S6902" s="316"/>
      <c r="T6902" s="355"/>
    </row>
    <row r="6903" spans="11:20" x14ac:dyDescent="0.25">
      <c r="K6903" s="312"/>
      <c r="N6903" s="514"/>
      <c r="R6903" s="293"/>
      <c r="S6903" s="316"/>
      <c r="T6903" s="355"/>
    </row>
    <row r="6904" spans="11:20" x14ac:dyDescent="0.25">
      <c r="K6904" s="312"/>
      <c r="N6904" s="514"/>
      <c r="R6904" s="293"/>
      <c r="S6904" s="316"/>
      <c r="T6904" s="355"/>
    </row>
    <row r="6905" spans="11:20" x14ac:dyDescent="0.25">
      <c r="K6905" s="312"/>
      <c r="N6905" s="514"/>
      <c r="R6905" s="293"/>
      <c r="S6905" s="316"/>
      <c r="T6905" s="355"/>
    </row>
    <row r="6906" spans="11:20" x14ac:dyDescent="0.25">
      <c r="K6906" s="312"/>
      <c r="N6906" s="514"/>
      <c r="R6906" s="293"/>
      <c r="S6906" s="316"/>
      <c r="T6906" s="355"/>
    </row>
    <row r="6907" spans="11:20" x14ac:dyDescent="0.25">
      <c r="K6907" s="312"/>
      <c r="N6907" s="514"/>
      <c r="R6907" s="293"/>
      <c r="S6907" s="316"/>
      <c r="T6907" s="355"/>
    </row>
    <row r="6908" spans="11:20" x14ac:dyDescent="0.25">
      <c r="K6908" s="312"/>
      <c r="N6908" s="514"/>
      <c r="R6908" s="293"/>
      <c r="S6908" s="316"/>
      <c r="T6908" s="355"/>
    </row>
    <row r="6909" spans="11:20" x14ac:dyDescent="0.25">
      <c r="K6909" s="312"/>
      <c r="N6909" s="514"/>
      <c r="R6909" s="293"/>
      <c r="S6909" s="316"/>
      <c r="T6909" s="355"/>
    </row>
    <row r="6910" spans="11:20" x14ac:dyDescent="0.25">
      <c r="K6910" s="312"/>
      <c r="N6910" s="514"/>
      <c r="R6910" s="293"/>
      <c r="S6910" s="316"/>
      <c r="T6910" s="355"/>
    </row>
    <row r="6911" spans="11:20" x14ac:dyDescent="0.25">
      <c r="K6911" s="312"/>
      <c r="N6911" s="514"/>
      <c r="R6911" s="293"/>
      <c r="S6911" s="316"/>
      <c r="T6911" s="355"/>
    </row>
    <row r="6912" spans="11:20" x14ac:dyDescent="0.25">
      <c r="K6912" s="312"/>
      <c r="N6912" s="514"/>
      <c r="R6912" s="293"/>
      <c r="S6912" s="316"/>
      <c r="T6912" s="355"/>
    </row>
    <row r="6913" spans="11:20" x14ac:dyDescent="0.25">
      <c r="K6913" s="312"/>
      <c r="N6913" s="514"/>
      <c r="R6913" s="293"/>
      <c r="S6913" s="316"/>
      <c r="T6913" s="355"/>
    </row>
    <row r="6914" spans="11:20" x14ac:dyDescent="0.25">
      <c r="K6914" s="312"/>
      <c r="N6914" s="514"/>
      <c r="R6914" s="293"/>
      <c r="S6914" s="316"/>
      <c r="T6914" s="355"/>
    </row>
    <row r="6915" spans="11:20" x14ac:dyDescent="0.25">
      <c r="K6915" s="312"/>
      <c r="N6915" s="514"/>
      <c r="R6915" s="293"/>
      <c r="S6915" s="316"/>
      <c r="T6915" s="355"/>
    </row>
    <row r="6916" spans="11:20" x14ac:dyDescent="0.25">
      <c r="K6916" s="312"/>
      <c r="N6916" s="514"/>
      <c r="R6916" s="293"/>
      <c r="S6916" s="316"/>
      <c r="T6916" s="355"/>
    </row>
    <row r="6917" spans="11:20" x14ac:dyDescent="0.25">
      <c r="K6917" s="312"/>
      <c r="N6917" s="514"/>
      <c r="R6917" s="293"/>
      <c r="S6917" s="316"/>
      <c r="T6917" s="355"/>
    </row>
    <row r="6918" spans="11:20" x14ac:dyDescent="0.25">
      <c r="K6918" s="312"/>
      <c r="N6918" s="514"/>
      <c r="R6918" s="293"/>
      <c r="S6918" s="316"/>
      <c r="T6918" s="355"/>
    </row>
    <row r="6919" spans="11:20" x14ac:dyDescent="0.25">
      <c r="K6919" s="312"/>
      <c r="N6919" s="514"/>
      <c r="R6919" s="293"/>
      <c r="S6919" s="316"/>
      <c r="T6919" s="355"/>
    </row>
    <row r="6920" spans="11:20" x14ac:dyDescent="0.25">
      <c r="K6920" s="312"/>
      <c r="N6920" s="514"/>
      <c r="R6920" s="293"/>
      <c r="S6920" s="316"/>
      <c r="T6920" s="355"/>
    </row>
    <row r="6921" spans="11:20" x14ac:dyDescent="0.25">
      <c r="K6921" s="312"/>
      <c r="N6921" s="514"/>
      <c r="R6921" s="293"/>
      <c r="S6921" s="316"/>
      <c r="T6921" s="355"/>
    </row>
    <row r="6922" spans="11:20" x14ac:dyDescent="0.25">
      <c r="K6922" s="312"/>
      <c r="N6922" s="514"/>
      <c r="R6922" s="293"/>
      <c r="S6922" s="316"/>
      <c r="T6922" s="355"/>
    </row>
    <row r="6923" spans="11:20" x14ac:dyDescent="0.25">
      <c r="K6923" s="312"/>
      <c r="N6923" s="514"/>
      <c r="R6923" s="293"/>
      <c r="S6923" s="316"/>
      <c r="T6923" s="355"/>
    </row>
    <row r="6924" spans="11:20" x14ac:dyDescent="0.25">
      <c r="K6924" s="312"/>
      <c r="N6924" s="514"/>
      <c r="R6924" s="293"/>
      <c r="S6924" s="316"/>
      <c r="T6924" s="355"/>
    </row>
    <row r="6925" spans="11:20" x14ac:dyDescent="0.25">
      <c r="K6925" s="312"/>
      <c r="N6925" s="514"/>
      <c r="R6925" s="293"/>
      <c r="S6925" s="316"/>
      <c r="T6925" s="355"/>
    </row>
    <row r="6926" spans="11:20" x14ac:dyDescent="0.25">
      <c r="K6926" s="312"/>
      <c r="N6926" s="514"/>
      <c r="R6926" s="293"/>
      <c r="S6926" s="316"/>
      <c r="T6926" s="355"/>
    </row>
    <row r="6927" spans="11:20" x14ac:dyDescent="0.25">
      <c r="K6927" s="312"/>
      <c r="N6927" s="514"/>
      <c r="R6927" s="293"/>
      <c r="S6927" s="316"/>
      <c r="T6927" s="355"/>
    </row>
    <row r="6928" spans="11:20" x14ac:dyDescent="0.25">
      <c r="K6928" s="312"/>
      <c r="N6928" s="514"/>
      <c r="R6928" s="293"/>
      <c r="S6928" s="316"/>
      <c r="T6928" s="355"/>
    </row>
    <row r="6929" spans="11:20" x14ac:dyDescent="0.25">
      <c r="K6929" s="312"/>
      <c r="N6929" s="514"/>
      <c r="R6929" s="293"/>
      <c r="S6929" s="316"/>
      <c r="T6929" s="355"/>
    </row>
    <row r="6930" spans="11:20" x14ac:dyDescent="0.25">
      <c r="K6930" s="312"/>
      <c r="N6930" s="514"/>
      <c r="R6930" s="293"/>
      <c r="S6930" s="316"/>
      <c r="T6930" s="355"/>
    </row>
    <row r="6931" spans="11:20" x14ac:dyDescent="0.25">
      <c r="K6931" s="312"/>
      <c r="N6931" s="514"/>
      <c r="R6931" s="293"/>
      <c r="S6931" s="316"/>
      <c r="T6931" s="355"/>
    </row>
    <row r="6932" spans="11:20" x14ac:dyDescent="0.25">
      <c r="K6932" s="312"/>
      <c r="N6932" s="514"/>
      <c r="R6932" s="293"/>
      <c r="S6932" s="316"/>
      <c r="T6932" s="355"/>
    </row>
    <row r="6933" spans="11:20" x14ac:dyDescent="0.25">
      <c r="K6933" s="312"/>
      <c r="N6933" s="514"/>
      <c r="R6933" s="293"/>
      <c r="S6933" s="316"/>
      <c r="T6933" s="355"/>
    </row>
    <row r="6934" spans="11:20" x14ac:dyDescent="0.25">
      <c r="K6934" s="312"/>
      <c r="N6934" s="514"/>
      <c r="R6934" s="293"/>
      <c r="S6934" s="316"/>
      <c r="T6934" s="355"/>
    </row>
    <row r="6935" spans="11:20" x14ac:dyDescent="0.25">
      <c r="K6935" s="312"/>
      <c r="N6935" s="514"/>
      <c r="R6935" s="293"/>
      <c r="S6935" s="316"/>
      <c r="T6935" s="355"/>
    </row>
    <row r="6936" spans="11:20" x14ac:dyDescent="0.25">
      <c r="K6936" s="312"/>
      <c r="N6936" s="514"/>
      <c r="R6936" s="293"/>
      <c r="S6936" s="316"/>
      <c r="T6936" s="355"/>
    </row>
    <row r="6937" spans="11:20" x14ac:dyDescent="0.25">
      <c r="K6937" s="312"/>
      <c r="N6937" s="514"/>
      <c r="R6937" s="293"/>
      <c r="S6937" s="316"/>
      <c r="T6937" s="355"/>
    </row>
    <row r="6938" spans="11:20" x14ac:dyDescent="0.25">
      <c r="K6938" s="312"/>
      <c r="N6938" s="514"/>
      <c r="R6938" s="293"/>
      <c r="S6938" s="316"/>
      <c r="T6938" s="355"/>
    </row>
    <row r="6939" spans="11:20" x14ac:dyDescent="0.25">
      <c r="K6939" s="312"/>
      <c r="N6939" s="514"/>
      <c r="R6939" s="293"/>
      <c r="S6939" s="316"/>
      <c r="T6939" s="355"/>
    </row>
    <row r="6940" spans="11:20" x14ac:dyDescent="0.25">
      <c r="K6940" s="312"/>
      <c r="N6940" s="514"/>
      <c r="R6940" s="293"/>
      <c r="S6940" s="316"/>
      <c r="T6940" s="355"/>
    </row>
    <row r="6941" spans="11:20" x14ac:dyDescent="0.25">
      <c r="K6941" s="312"/>
      <c r="N6941" s="514"/>
      <c r="R6941" s="293"/>
      <c r="S6941" s="316"/>
      <c r="T6941" s="355"/>
    </row>
    <row r="6942" spans="11:20" x14ac:dyDescent="0.25">
      <c r="K6942" s="312"/>
      <c r="N6942" s="514"/>
      <c r="R6942" s="293"/>
      <c r="S6942" s="316"/>
      <c r="T6942" s="355"/>
    </row>
    <row r="6943" spans="11:20" x14ac:dyDescent="0.25">
      <c r="K6943" s="312"/>
      <c r="N6943" s="514"/>
      <c r="R6943" s="293"/>
      <c r="S6943" s="316"/>
      <c r="T6943" s="355"/>
    </row>
    <row r="6944" spans="11:20" x14ac:dyDescent="0.25">
      <c r="K6944" s="312"/>
      <c r="N6944" s="514"/>
      <c r="R6944" s="293"/>
      <c r="S6944" s="316"/>
      <c r="T6944" s="355"/>
    </row>
    <row r="6945" spans="11:20" x14ac:dyDescent="0.25">
      <c r="K6945" s="312"/>
      <c r="N6945" s="514"/>
      <c r="R6945" s="293"/>
      <c r="S6945" s="316"/>
      <c r="T6945" s="355"/>
    </row>
    <row r="6946" spans="11:20" x14ac:dyDescent="0.25">
      <c r="K6946" s="312"/>
      <c r="N6946" s="514"/>
      <c r="R6946" s="293"/>
      <c r="S6946" s="316"/>
      <c r="T6946" s="355"/>
    </row>
    <row r="6947" spans="11:20" x14ac:dyDescent="0.25">
      <c r="K6947" s="312"/>
      <c r="N6947" s="514"/>
      <c r="R6947" s="293"/>
      <c r="S6947" s="316"/>
      <c r="T6947" s="355"/>
    </row>
    <row r="6948" spans="11:20" x14ac:dyDescent="0.25">
      <c r="K6948" s="312"/>
      <c r="N6948" s="514"/>
      <c r="R6948" s="293"/>
      <c r="S6948" s="316"/>
      <c r="T6948" s="355"/>
    </row>
    <row r="6949" spans="11:20" x14ac:dyDescent="0.25">
      <c r="K6949" s="312"/>
      <c r="N6949" s="514"/>
      <c r="R6949" s="293"/>
      <c r="S6949" s="316"/>
      <c r="T6949" s="355"/>
    </row>
    <row r="6950" spans="11:20" x14ac:dyDescent="0.25">
      <c r="K6950" s="312"/>
      <c r="N6950" s="514"/>
      <c r="R6950" s="293"/>
      <c r="S6950" s="316"/>
      <c r="T6950" s="355"/>
    </row>
    <row r="6951" spans="11:20" x14ac:dyDescent="0.25">
      <c r="K6951" s="312"/>
      <c r="N6951" s="514"/>
      <c r="R6951" s="293"/>
      <c r="S6951" s="316"/>
      <c r="T6951" s="355"/>
    </row>
    <row r="6952" spans="11:20" x14ac:dyDescent="0.25">
      <c r="K6952" s="312"/>
      <c r="N6952" s="514"/>
      <c r="R6952" s="293"/>
      <c r="S6952" s="316"/>
      <c r="T6952" s="355"/>
    </row>
    <row r="6953" spans="11:20" x14ac:dyDescent="0.25">
      <c r="K6953" s="312"/>
      <c r="N6953" s="514"/>
      <c r="R6953" s="293"/>
      <c r="S6953" s="316"/>
      <c r="T6953" s="355"/>
    </row>
    <row r="6954" spans="11:20" x14ac:dyDescent="0.25">
      <c r="K6954" s="312"/>
      <c r="N6954" s="514"/>
      <c r="R6954" s="293"/>
      <c r="S6954" s="316"/>
      <c r="T6954" s="355"/>
    </row>
    <row r="6955" spans="11:20" x14ac:dyDescent="0.25">
      <c r="K6955" s="312"/>
      <c r="N6955" s="514"/>
      <c r="R6955" s="293"/>
      <c r="S6955" s="316"/>
      <c r="T6955" s="355"/>
    </row>
    <row r="6956" spans="11:20" x14ac:dyDescent="0.25">
      <c r="K6956" s="312"/>
      <c r="N6956" s="514"/>
      <c r="R6956" s="293"/>
      <c r="S6956" s="316"/>
      <c r="T6956" s="355"/>
    </row>
    <row r="6957" spans="11:20" x14ac:dyDescent="0.25">
      <c r="K6957" s="312"/>
      <c r="N6957" s="514"/>
      <c r="R6957" s="293"/>
      <c r="S6957" s="316"/>
      <c r="T6957" s="355"/>
    </row>
    <row r="6958" spans="11:20" x14ac:dyDescent="0.25">
      <c r="K6958" s="312"/>
      <c r="N6958" s="514"/>
      <c r="R6958" s="293"/>
      <c r="S6958" s="316"/>
      <c r="T6958" s="355"/>
    </row>
    <row r="6959" spans="11:20" x14ac:dyDescent="0.25">
      <c r="K6959" s="312"/>
      <c r="N6959" s="514"/>
      <c r="R6959" s="293"/>
      <c r="S6959" s="316"/>
      <c r="T6959" s="355"/>
    </row>
    <row r="6960" spans="11:20" x14ac:dyDescent="0.25">
      <c r="K6960" s="312"/>
      <c r="N6960" s="514"/>
      <c r="R6960" s="293"/>
      <c r="S6960" s="316"/>
      <c r="T6960" s="355"/>
    </row>
    <row r="6961" spans="11:20" x14ac:dyDescent="0.25">
      <c r="K6961" s="312"/>
      <c r="N6961" s="514"/>
      <c r="R6961" s="293"/>
      <c r="S6961" s="316"/>
      <c r="T6961" s="355"/>
    </row>
    <row r="6962" spans="11:20" x14ac:dyDescent="0.25">
      <c r="K6962" s="312"/>
      <c r="N6962" s="514"/>
      <c r="R6962" s="293"/>
      <c r="S6962" s="316"/>
      <c r="T6962" s="355"/>
    </row>
    <row r="6963" spans="11:20" x14ac:dyDescent="0.25">
      <c r="K6963" s="312"/>
      <c r="N6963" s="514"/>
      <c r="R6963" s="293"/>
      <c r="S6963" s="316"/>
      <c r="T6963" s="355"/>
    </row>
    <row r="6964" spans="11:20" x14ac:dyDescent="0.25">
      <c r="K6964" s="312"/>
      <c r="N6964" s="514"/>
      <c r="R6964" s="293"/>
      <c r="S6964" s="316"/>
      <c r="T6964" s="355"/>
    </row>
    <row r="6965" spans="11:20" x14ac:dyDescent="0.25">
      <c r="K6965" s="312"/>
      <c r="N6965" s="514"/>
      <c r="R6965" s="293"/>
      <c r="S6965" s="316"/>
      <c r="T6965" s="355"/>
    </row>
    <row r="6966" spans="11:20" x14ac:dyDescent="0.25">
      <c r="K6966" s="312"/>
      <c r="N6966" s="514"/>
      <c r="R6966" s="293"/>
      <c r="S6966" s="316"/>
      <c r="T6966" s="355"/>
    </row>
    <row r="6967" spans="11:20" x14ac:dyDescent="0.25">
      <c r="K6967" s="312"/>
      <c r="N6967" s="514"/>
      <c r="R6967" s="293"/>
      <c r="S6967" s="316"/>
      <c r="T6967" s="355"/>
    </row>
    <row r="6968" spans="11:20" x14ac:dyDescent="0.25">
      <c r="K6968" s="312"/>
      <c r="N6968" s="514"/>
      <c r="R6968" s="293"/>
      <c r="S6968" s="316"/>
      <c r="T6968" s="355"/>
    </row>
    <row r="6969" spans="11:20" x14ac:dyDescent="0.25">
      <c r="K6969" s="312"/>
      <c r="N6969" s="514"/>
      <c r="R6969" s="293"/>
      <c r="S6969" s="316"/>
      <c r="T6969" s="355"/>
    </row>
    <row r="6970" spans="11:20" x14ac:dyDescent="0.25">
      <c r="K6970" s="312"/>
      <c r="N6970" s="514"/>
      <c r="R6970" s="293"/>
      <c r="S6970" s="316"/>
      <c r="T6970" s="355"/>
    </row>
    <row r="6971" spans="11:20" x14ac:dyDescent="0.25">
      <c r="K6971" s="312"/>
      <c r="N6971" s="514"/>
      <c r="R6971" s="293"/>
      <c r="S6971" s="316"/>
      <c r="T6971" s="355"/>
    </row>
    <row r="6972" spans="11:20" x14ac:dyDescent="0.25">
      <c r="K6972" s="312"/>
      <c r="N6972" s="514"/>
      <c r="R6972" s="293"/>
      <c r="S6972" s="316"/>
      <c r="T6972" s="355"/>
    </row>
    <row r="6973" spans="11:20" x14ac:dyDescent="0.25">
      <c r="K6973" s="312"/>
      <c r="N6973" s="514"/>
      <c r="R6973" s="293"/>
      <c r="S6973" s="316"/>
      <c r="T6973" s="355"/>
    </row>
    <row r="6974" spans="11:20" x14ac:dyDescent="0.25">
      <c r="K6974" s="312"/>
      <c r="N6974" s="514"/>
      <c r="R6974" s="293"/>
      <c r="S6974" s="316"/>
      <c r="T6974" s="355"/>
    </row>
    <row r="6975" spans="11:20" x14ac:dyDescent="0.25">
      <c r="K6975" s="312"/>
      <c r="N6975" s="514"/>
      <c r="R6975" s="293"/>
      <c r="S6975" s="316"/>
      <c r="T6975" s="355"/>
    </row>
    <row r="6976" spans="11:20" x14ac:dyDescent="0.25">
      <c r="K6976" s="312"/>
      <c r="N6976" s="514"/>
      <c r="R6976" s="293"/>
      <c r="S6976" s="316"/>
      <c r="T6976" s="355"/>
    </row>
    <row r="6977" spans="11:20" x14ac:dyDescent="0.25">
      <c r="K6977" s="312"/>
      <c r="N6977" s="514"/>
      <c r="R6977" s="293"/>
      <c r="S6977" s="316"/>
      <c r="T6977" s="355"/>
    </row>
    <row r="6978" spans="11:20" x14ac:dyDescent="0.25">
      <c r="K6978" s="312"/>
      <c r="N6978" s="514"/>
      <c r="R6978" s="293"/>
      <c r="S6978" s="316"/>
      <c r="T6978" s="355"/>
    </row>
    <row r="6979" spans="11:20" x14ac:dyDescent="0.25">
      <c r="K6979" s="312"/>
      <c r="N6979" s="514"/>
      <c r="R6979" s="293"/>
      <c r="S6979" s="316"/>
      <c r="T6979" s="355"/>
    </row>
    <row r="6980" spans="11:20" x14ac:dyDescent="0.25">
      <c r="K6980" s="312"/>
      <c r="N6980" s="514"/>
      <c r="R6980" s="293"/>
      <c r="S6980" s="316"/>
      <c r="T6980" s="355"/>
    </row>
    <row r="6981" spans="11:20" x14ac:dyDescent="0.25">
      <c r="K6981" s="312"/>
      <c r="N6981" s="514"/>
      <c r="R6981" s="293"/>
      <c r="S6981" s="316"/>
      <c r="T6981" s="355"/>
    </row>
    <row r="6982" spans="11:20" x14ac:dyDescent="0.25">
      <c r="K6982" s="312"/>
      <c r="N6982" s="514"/>
      <c r="R6982" s="293"/>
      <c r="S6982" s="316"/>
      <c r="T6982" s="355"/>
    </row>
    <row r="6983" spans="11:20" x14ac:dyDescent="0.25">
      <c r="K6983" s="312"/>
      <c r="N6983" s="514"/>
      <c r="R6983" s="293"/>
      <c r="S6983" s="316"/>
      <c r="T6983" s="355"/>
    </row>
    <row r="6984" spans="11:20" x14ac:dyDescent="0.25">
      <c r="K6984" s="312"/>
      <c r="N6984" s="514"/>
      <c r="R6984" s="293"/>
      <c r="S6984" s="316"/>
      <c r="T6984" s="355"/>
    </row>
    <row r="6985" spans="11:20" x14ac:dyDescent="0.25">
      <c r="K6985" s="312"/>
      <c r="N6985" s="514"/>
      <c r="R6985" s="293"/>
      <c r="S6985" s="316"/>
      <c r="T6985" s="355"/>
    </row>
    <row r="6986" spans="11:20" x14ac:dyDescent="0.25">
      <c r="K6986" s="312"/>
      <c r="N6986" s="514"/>
      <c r="R6986" s="293"/>
      <c r="S6986" s="316"/>
      <c r="T6986" s="355"/>
    </row>
    <row r="6987" spans="11:20" x14ac:dyDescent="0.25">
      <c r="K6987" s="312"/>
      <c r="N6987" s="514"/>
      <c r="R6987" s="293"/>
      <c r="S6987" s="316"/>
      <c r="T6987" s="355"/>
    </row>
    <row r="6988" spans="11:20" x14ac:dyDescent="0.25">
      <c r="K6988" s="312"/>
      <c r="N6988" s="514"/>
      <c r="R6988" s="293"/>
      <c r="S6988" s="316"/>
      <c r="T6988" s="355"/>
    </row>
    <row r="6989" spans="11:20" x14ac:dyDescent="0.25">
      <c r="K6989" s="312"/>
      <c r="N6989" s="514"/>
      <c r="R6989" s="293"/>
      <c r="S6989" s="316"/>
      <c r="T6989" s="355"/>
    </row>
    <row r="6990" spans="11:20" x14ac:dyDescent="0.25">
      <c r="K6990" s="312"/>
      <c r="N6990" s="514"/>
      <c r="R6990" s="293"/>
      <c r="S6990" s="316"/>
      <c r="T6990" s="355"/>
    </row>
    <row r="6991" spans="11:20" x14ac:dyDescent="0.25">
      <c r="K6991" s="312"/>
      <c r="N6991" s="514"/>
      <c r="R6991" s="293"/>
      <c r="S6991" s="316"/>
      <c r="T6991" s="355"/>
    </row>
    <row r="6992" spans="11:20" x14ac:dyDescent="0.25">
      <c r="K6992" s="312"/>
      <c r="N6992" s="514"/>
      <c r="R6992" s="293"/>
      <c r="S6992" s="316"/>
      <c r="T6992" s="355"/>
    </row>
    <row r="6993" spans="11:20" x14ac:dyDescent="0.25">
      <c r="K6993" s="312"/>
      <c r="N6993" s="514"/>
      <c r="R6993" s="293"/>
      <c r="S6993" s="316"/>
      <c r="T6993" s="355"/>
    </row>
    <row r="6994" spans="11:20" x14ac:dyDescent="0.25">
      <c r="K6994" s="312"/>
      <c r="N6994" s="514"/>
      <c r="R6994" s="293"/>
      <c r="S6994" s="316"/>
      <c r="T6994" s="355"/>
    </row>
    <row r="6995" spans="11:20" x14ac:dyDescent="0.25">
      <c r="K6995" s="312"/>
      <c r="N6995" s="514"/>
      <c r="R6995" s="293"/>
      <c r="S6995" s="316"/>
      <c r="T6995" s="355"/>
    </row>
    <row r="6996" spans="11:20" x14ac:dyDescent="0.25">
      <c r="K6996" s="312"/>
      <c r="N6996" s="514"/>
      <c r="R6996" s="293"/>
      <c r="S6996" s="316"/>
      <c r="T6996" s="355"/>
    </row>
    <row r="6997" spans="11:20" x14ac:dyDescent="0.25">
      <c r="K6997" s="312"/>
      <c r="N6997" s="514"/>
      <c r="R6997" s="293"/>
      <c r="S6997" s="316"/>
      <c r="T6997" s="355"/>
    </row>
    <row r="6998" spans="11:20" x14ac:dyDescent="0.25">
      <c r="K6998" s="312"/>
      <c r="N6998" s="514"/>
      <c r="R6998" s="293"/>
      <c r="S6998" s="316"/>
      <c r="T6998" s="355"/>
    </row>
    <row r="6999" spans="11:20" x14ac:dyDescent="0.25">
      <c r="K6999" s="312"/>
      <c r="N6999" s="514"/>
      <c r="R6999" s="293"/>
      <c r="S6999" s="316"/>
      <c r="T6999" s="355"/>
    </row>
    <row r="7000" spans="11:20" x14ac:dyDescent="0.25">
      <c r="K7000" s="312"/>
      <c r="N7000" s="514"/>
      <c r="R7000" s="293"/>
      <c r="S7000" s="316"/>
      <c r="T7000" s="355"/>
    </row>
    <row r="7001" spans="11:20" x14ac:dyDescent="0.25">
      <c r="K7001" s="312"/>
      <c r="N7001" s="514"/>
      <c r="R7001" s="293"/>
      <c r="S7001" s="316"/>
      <c r="T7001" s="355"/>
    </row>
    <row r="7002" spans="11:20" x14ac:dyDescent="0.25">
      <c r="K7002" s="312"/>
      <c r="N7002" s="514"/>
      <c r="R7002" s="293"/>
      <c r="S7002" s="316"/>
      <c r="T7002" s="355"/>
    </row>
    <row r="7003" spans="11:20" x14ac:dyDescent="0.25">
      <c r="K7003" s="312"/>
      <c r="N7003" s="514"/>
      <c r="R7003" s="293"/>
      <c r="S7003" s="316"/>
      <c r="T7003" s="355"/>
    </row>
    <row r="7004" spans="11:20" x14ac:dyDescent="0.25">
      <c r="K7004" s="312"/>
      <c r="N7004" s="514"/>
      <c r="R7004" s="293"/>
      <c r="S7004" s="316"/>
      <c r="T7004" s="355"/>
    </row>
    <row r="7005" spans="11:20" x14ac:dyDescent="0.25">
      <c r="K7005" s="312"/>
      <c r="N7005" s="514"/>
      <c r="R7005" s="293"/>
      <c r="S7005" s="316"/>
      <c r="T7005" s="355"/>
    </row>
    <row r="7006" spans="11:20" x14ac:dyDescent="0.25">
      <c r="K7006" s="312"/>
      <c r="N7006" s="514"/>
      <c r="R7006" s="293"/>
      <c r="S7006" s="316"/>
      <c r="T7006" s="355"/>
    </row>
    <row r="7007" spans="11:20" x14ac:dyDescent="0.25">
      <c r="K7007" s="312"/>
      <c r="N7007" s="514"/>
      <c r="R7007" s="293"/>
      <c r="S7007" s="316"/>
      <c r="T7007" s="355"/>
    </row>
    <row r="7008" spans="11:20" x14ac:dyDescent="0.25">
      <c r="K7008" s="312"/>
      <c r="N7008" s="514"/>
      <c r="R7008" s="293"/>
      <c r="S7008" s="316"/>
      <c r="T7008" s="355"/>
    </row>
    <row r="7009" spans="11:20" x14ac:dyDescent="0.25">
      <c r="K7009" s="312"/>
      <c r="N7009" s="514"/>
      <c r="R7009" s="293"/>
      <c r="S7009" s="316"/>
      <c r="T7009" s="355"/>
    </row>
    <row r="7010" spans="11:20" x14ac:dyDescent="0.25">
      <c r="K7010" s="312"/>
      <c r="N7010" s="514"/>
      <c r="R7010" s="293"/>
      <c r="S7010" s="316"/>
      <c r="T7010" s="355"/>
    </row>
    <row r="7011" spans="11:20" x14ac:dyDescent="0.25">
      <c r="K7011" s="312"/>
      <c r="N7011" s="514"/>
      <c r="R7011" s="293"/>
      <c r="S7011" s="316"/>
      <c r="T7011" s="355"/>
    </row>
    <row r="7012" spans="11:20" x14ac:dyDescent="0.25">
      <c r="K7012" s="312"/>
      <c r="N7012" s="514"/>
      <c r="R7012" s="293"/>
      <c r="S7012" s="316"/>
      <c r="T7012" s="355"/>
    </row>
    <row r="7013" spans="11:20" x14ac:dyDescent="0.25">
      <c r="K7013" s="312"/>
      <c r="N7013" s="514"/>
      <c r="R7013" s="293"/>
      <c r="S7013" s="316"/>
      <c r="T7013" s="355"/>
    </row>
    <row r="7014" spans="11:20" x14ac:dyDescent="0.25">
      <c r="K7014" s="312"/>
      <c r="N7014" s="514"/>
      <c r="R7014" s="293"/>
      <c r="S7014" s="316"/>
      <c r="T7014" s="355"/>
    </row>
    <row r="7015" spans="11:20" x14ac:dyDescent="0.25">
      <c r="K7015" s="312"/>
      <c r="N7015" s="514"/>
      <c r="R7015" s="293"/>
      <c r="S7015" s="316"/>
      <c r="T7015" s="355"/>
    </row>
    <row r="7016" spans="11:20" x14ac:dyDescent="0.25">
      <c r="K7016" s="312"/>
      <c r="N7016" s="514"/>
      <c r="R7016" s="293"/>
      <c r="S7016" s="316"/>
      <c r="T7016" s="355"/>
    </row>
    <row r="7017" spans="11:20" x14ac:dyDescent="0.25">
      <c r="K7017" s="312"/>
      <c r="N7017" s="514"/>
      <c r="R7017" s="293"/>
      <c r="S7017" s="316"/>
      <c r="T7017" s="355"/>
    </row>
    <row r="7018" spans="11:20" x14ac:dyDescent="0.25">
      <c r="K7018" s="312"/>
      <c r="N7018" s="514"/>
      <c r="R7018" s="293"/>
      <c r="S7018" s="316"/>
      <c r="T7018" s="355"/>
    </row>
    <row r="7019" spans="11:20" x14ac:dyDescent="0.25">
      <c r="K7019" s="312"/>
      <c r="N7019" s="514"/>
      <c r="R7019" s="293"/>
      <c r="S7019" s="316"/>
      <c r="T7019" s="355"/>
    </row>
    <row r="7020" spans="11:20" x14ac:dyDescent="0.25">
      <c r="K7020" s="312"/>
      <c r="N7020" s="514"/>
      <c r="R7020" s="293"/>
      <c r="S7020" s="316"/>
      <c r="T7020" s="355"/>
    </row>
    <row r="7021" spans="11:20" x14ac:dyDescent="0.25">
      <c r="K7021" s="312"/>
      <c r="N7021" s="514"/>
      <c r="R7021" s="293"/>
      <c r="S7021" s="316"/>
      <c r="T7021" s="355"/>
    </row>
    <row r="7022" spans="11:20" x14ac:dyDescent="0.25">
      <c r="K7022" s="312"/>
      <c r="N7022" s="514"/>
      <c r="R7022" s="293"/>
      <c r="S7022" s="316"/>
      <c r="T7022" s="355"/>
    </row>
    <row r="7023" spans="11:20" x14ac:dyDescent="0.25">
      <c r="K7023" s="312"/>
      <c r="N7023" s="514"/>
      <c r="R7023" s="293"/>
      <c r="S7023" s="316"/>
      <c r="T7023" s="355"/>
    </row>
    <row r="7024" spans="11:20" x14ac:dyDescent="0.25">
      <c r="K7024" s="312"/>
      <c r="N7024" s="514"/>
      <c r="R7024" s="293"/>
      <c r="S7024" s="316"/>
      <c r="T7024" s="355"/>
    </row>
    <row r="7025" spans="11:20" x14ac:dyDescent="0.25">
      <c r="K7025" s="312"/>
      <c r="N7025" s="514"/>
      <c r="R7025" s="293"/>
      <c r="S7025" s="316"/>
      <c r="T7025" s="355"/>
    </row>
    <row r="7026" spans="11:20" x14ac:dyDescent="0.25">
      <c r="K7026" s="312"/>
      <c r="N7026" s="514"/>
      <c r="R7026" s="293"/>
      <c r="S7026" s="316"/>
      <c r="T7026" s="355"/>
    </row>
    <row r="7027" spans="11:20" x14ac:dyDescent="0.25">
      <c r="K7027" s="312"/>
      <c r="N7027" s="514"/>
      <c r="R7027" s="293"/>
      <c r="S7027" s="316"/>
      <c r="T7027" s="355"/>
    </row>
    <row r="7028" spans="11:20" x14ac:dyDescent="0.25">
      <c r="K7028" s="312"/>
      <c r="N7028" s="514"/>
      <c r="R7028" s="293"/>
      <c r="S7028" s="316"/>
      <c r="T7028" s="355"/>
    </row>
    <row r="7029" spans="11:20" x14ac:dyDescent="0.25">
      <c r="K7029" s="312"/>
      <c r="N7029" s="514"/>
      <c r="R7029" s="293"/>
      <c r="S7029" s="316"/>
      <c r="T7029" s="355"/>
    </row>
    <row r="7030" spans="11:20" x14ac:dyDescent="0.25">
      <c r="K7030" s="312"/>
      <c r="N7030" s="514"/>
      <c r="R7030" s="293"/>
      <c r="S7030" s="316"/>
      <c r="T7030" s="355"/>
    </row>
    <row r="7031" spans="11:20" x14ac:dyDescent="0.25">
      <c r="K7031" s="312"/>
      <c r="N7031" s="514"/>
      <c r="R7031" s="293"/>
      <c r="S7031" s="316"/>
      <c r="T7031" s="355"/>
    </row>
    <row r="7032" spans="11:20" x14ac:dyDescent="0.25">
      <c r="K7032" s="312"/>
      <c r="N7032" s="514"/>
      <c r="R7032" s="293"/>
      <c r="S7032" s="316"/>
      <c r="T7032" s="355"/>
    </row>
    <row r="7033" spans="11:20" x14ac:dyDescent="0.25">
      <c r="K7033" s="312"/>
      <c r="N7033" s="514"/>
      <c r="R7033" s="293"/>
      <c r="S7033" s="316"/>
      <c r="T7033" s="355"/>
    </row>
    <row r="7034" spans="11:20" x14ac:dyDescent="0.25">
      <c r="K7034" s="312"/>
      <c r="N7034" s="514"/>
      <c r="R7034" s="293"/>
      <c r="S7034" s="316"/>
      <c r="T7034" s="355"/>
    </row>
    <row r="7035" spans="11:20" x14ac:dyDescent="0.25">
      <c r="K7035" s="312"/>
      <c r="N7035" s="514"/>
      <c r="R7035" s="293"/>
      <c r="S7035" s="316"/>
      <c r="T7035" s="355"/>
    </row>
    <row r="7036" spans="11:20" x14ac:dyDescent="0.25">
      <c r="K7036" s="312"/>
      <c r="N7036" s="514"/>
      <c r="R7036" s="293"/>
      <c r="S7036" s="316"/>
      <c r="T7036" s="355"/>
    </row>
    <row r="7037" spans="11:20" x14ac:dyDescent="0.25">
      <c r="K7037" s="312"/>
      <c r="N7037" s="514"/>
      <c r="R7037" s="293"/>
      <c r="S7037" s="316"/>
      <c r="T7037" s="355"/>
    </row>
    <row r="7038" spans="11:20" x14ac:dyDescent="0.25">
      <c r="K7038" s="312"/>
      <c r="N7038" s="514"/>
      <c r="R7038" s="293"/>
      <c r="S7038" s="316"/>
      <c r="T7038" s="355"/>
    </row>
    <row r="7039" spans="11:20" x14ac:dyDescent="0.25">
      <c r="K7039" s="312"/>
      <c r="N7039" s="514"/>
      <c r="R7039" s="293"/>
      <c r="S7039" s="316"/>
      <c r="T7039" s="355"/>
    </row>
    <row r="7040" spans="11:20" x14ac:dyDescent="0.25">
      <c r="K7040" s="312"/>
      <c r="N7040" s="514"/>
      <c r="R7040" s="293"/>
      <c r="S7040" s="316"/>
      <c r="T7040" s="355"/>
    </row>
    <row r="7041" spans="11:20" x14ac:dyDescent="0.25">
      <c r="K7041" s="312"/>
      <c r="N7041" s="514"/>
      <c r="R7041" s="293"/>
      <c r="S7041" s="316"/>
      <c r="T7041" s="355"/>
    </row>
    <row r="7042" spans="11:20" x14ac:dyDescent="0.25">
      <c r="K7042" s="312"/>
      <c r="N7042" s="514"/>
      <c r="R7042" s="293"/>
      <c r="S7042" s="316"/>
      <c r="T7042" s="355"/>
    </row>
    <row r="7043" spans="11:20" x14ac:dyDescent="0.25">
      <c r="K7043" s="312"/>
      <c r="N7043" s="514"/>
      <c r="R7043" s="293"/>
      <c r="S7043" s="316"/>
      <c r="T7043" s="355"/>
    </row>
    <row r="7044" spans="11:20" x14ac:dyDescent="0.25">
      <c r="K7044" s="312"/>
      <c r="N7044" s="514"/>
      <c r="R7044" s="293"/>
      <c r="S7044" s="316"/>
      <c r="T7044" s="355"/>
    </row>
    <row r="7045" spans="11:20" x14ac:dyDescent="0.25">
      <c r="K7045" s="312"/>
      <c r="N7045" s="514"/>
      <c r="R7045" s="293"/>
      <c r="S7045" s="316"/>
      <c r="T7045" s="355"/>
    </row>
    <row r="7046" spans="11:20" x14ac:dyDescent="0.25">
      <c r="K7046" s="312"/>
      <c r="N7046" s="514"/>
      <c r="R7046" s="293"/>
      <c r="S7046" s="316"/>
      <c r="T7046" s="355"/>
    </row>
    <row r="7047" spans="11:20" x14ac:dyDescent="0.25">
      <c r="K7047" s="312"/>
      <c r="N7047" s="514"/>
      <c r="R7047" s="293"/>
      <c r="S7047" s="316"/>
      <c r="T7047" s="355"/>
    </row>
    <row r="7048" spans="11:20" x14ac:dyDescent="0.25">
      <c r="K7048" s="312"/>
      <c r="N7048" s="514"/>
      <c r="R7048" s="293"/>
      <c r="S7048" s="316"/>
      <c r="T7048" s="355"/>
    </row>
    <row r="7049" spans="11:20" x14ac:dyDescent="0.25">
      <c r="K7049" s="312"/>
      <c r="N7049" s="514"/>
      <c r="R7049" s="293"/>
      <c r="S7049" s="316"/>
      <c r="T7049" s="355"/>
    </row>
    <row r="7050" spans="11:20" x14ac:dyDescent="0.25">
      <c r="K7050" s="312"/>
      <c r="N7050" s="514"/>
      <c r="R7050" s="293"/>
      <c r="S7050" s="316"/>
      <c r="T7050" s="355"/>
    </row>
    <row r="7051" spans="11:20" x14ac:dyDescent="0.25">
      <c r="K7051" s="312"/>
      <c r="N7051" s="514"/>
      <c r="R7051" s="293"/>
      <c r="S7051" s="316"/>
      <c r="T7051" s="355"/>
    </row>
    <row r="7052" spans="11:20" x14ac:dyDescent="0.25">
      <c r="K7052" s="312"/>
      <c r="N7052" s="514"/>
      <c r="R7052" s="293"/>
      <c r="S7052" s="316"/>
      <c r="T7052" s="355"/>
    </row>
    <row r="7053" spans="11:20" x14ac:dyDescent="0.25">
      <c r="K7053" s="312"/>
      <c r="N7053" s="514"/>
      <c r="R7053" s="293"/>
      <c r="S7053" s="316"/>
      <c r="T7053" s="355"/>
    </row>
    <row r="7054" spans="11:20" x14ac:dyDescent="0.25">
      <c r="K7054" s="312"/>
      <c r="N7054" s="514"/>
      <c r="R7054" s="293"/>
      <c r="S7054" s="316"/>
      <c r="T7054" s="355"/>
    </row>
    <row r="7055" spans="11:20" x14ac:dyDescent="0.25">
      <c r="K7055" s="312"/>
      <c r="N7055" s="514"/>
      <c r="R7055" s="293"/>
      <c r="S7055" s="316"/>
      <c r="T7055" s="355"/>
    </row>
    <row r="7056" spans="11:20" x14ac:dyDescent="0.25">
      <c r="K7056" s="312"/>
      <c r="N7056" s="514"/>
      <c r="R7056" s="293"/>
      <c r="S7056" s="316"/>
      <c r="T7056" s="355"/>
    </row>
    <row r="7057" spans="11:20" x14ac:dyDescent="0.25">
      <c r="K7057" s="312"/>
      <c r="N7057" s="514"/>
      <c r="R7057" s="293"/>
      <c r="S7057" s="316"/>
      <c r="T7057" s="355"/>
    </row>
    <row r="7058" spans="11:20" x14ac:dyDescent="0.25">
      <c r="K7058" s="312"/>
      <c r="N7058" s="514"/>
      <c r="R7058" s="293"/>
      <c r="S7058" s="316"/>
      <c r="T7058" s="355"/>
    </row>
    <row r="7059" spans="11:20" x14ac:dyDescent="0.25">
      <c r="K7059" s="312"/>
      <c r="N7059" s="514"/>
      <c r="R7059" s="293"/>
      <c r="S7059" s="316"/>
      <c r="T7059" s="355"/>
    </row>
    <row r="7060" spans="11:20" x14ac:dyDescent="0.25">
      <c r="K7060" s="312"/>
      <c r="N7060" s="514"/>
      <c r="R7060" s="293"/>
      <c r="S7060" s="316"/>
      <c r="T7060" s="355"/>
    </row>
    <row r="7061" spans="11:20" x14ac:dyDescent="0.25">
      <c r="K7061" s="312"/>
      <c r="N7061" s="514"/>
      <c r="R7061" s="293"/>
      <c r="S7061" s="316"/>
      <c r="T7061" s="355"/>
    </row>
    <row r="7062" spans="11:20" x14ac:dyDescent="0.25">
      <c r="K7062" s="312"/>
      <c r="N7062" s="514"/>
      <c r="R7062" s="293"/>
      <c r="S7062" s="316"/>
      <c r="T7062" s="355"/>
    </row>
    <row r="7063" spans="11:20" x14ac:dyDescent="0.25">
      <c r="K7063" s="312"/>
      <c r="N7063" s="514"/>
      <c r="R7063" s="293"/>
      <c r="S7063" s="316"/>
      <c r="T7063" s="355"/>
    </row>
    <row r="7064" spans="11:20" x14ac:dyDescent="0.25">
      <c r="K7064" s="312"/>
      <c r="N7064" s="514"/>
      <c r="R7064" s="293"/>
      <c r="S7064" s="316"/>
      <c r="T7064" s="355"/>
    </row>
    <row r="7065" spans="11:20" x14ac:dyDescent="0.25">
      <c r="K7065" s="312"/>
      <c r="N7065" s="514"/>
      <c r="R7065" s="293"/>
      <c r="S7065" s="316"/>
      <c r="T7065" s="355"/>
    </row>
    <row r="7066" spans="11:20" x14ac:dyDescent="0.25">
      <c r="K7066" s="312"/>
      <c r="N7066" s="514"/>
      <c r="R7066" s="293"/>
      <c r="S7066" s="316"/>
      <c r="T7066" s="355"/>
    </row>
    <row r="7067" spans="11:20" x14ac:dyDescent="0.25">
      <c r="K7067" s="312"/>
      <c r="N7067" s="514"/>
      <c r="R7067" s="293"/>
      <c r="S7067" s="316"/>
      <c r="T7067" s="355"/>
    </row>
    <row r="7068" spans="11:20" x14ac:dyDescent="0.25">
      <c r="K7068" s="312"/>
      <c r="N7068" s="514"/>
      <c r="R7068" s="293"/>
      <c r="S7068" s="316"/>
      <c r="T7068" s="355"/>
    </row>
    <row r="7069" spans="11:20" x14ac:dyDescent="0.25">
      <c r="K7069" s="312"/>
      <c r="N7069" s="514"/>
      <c r="R7069" s="293"/>
      <c r="S7069" s="316"/>
      <c r="T7069" s="355"/>
    </row>
    <row r="7070" spans="11:20" x14ac:dyDescent="0.25">
      <c r="K7070" s="312"/>
      <c r="N7070" s="514"/>
      <c r="R7070" s="293"/>
      <c r="S7070" s="316"/>
      <c r="T7070" s="355"/>
    </row>
    <row r="7071" spans="11:20" x14ac:dyDescent="0.25">
      <c r="K7071" s="312"/>
      <c r="N7071" s="514"/>
      <c r="R7071" s="293"/>
      <c r="S7071" s="316"/>
      <c r="T7071" s="355"/>
    </row>
    <row r="7072" spans="11:20" x14ac:dyDescent="0.25">
      <c r="K7072" s="312"/>
      <c r="N7072" s="514"/>
      <c r="R7072" s="293"/>
      <c r="S7072" s="316"/>
      <c r="T7072" s="355"/>
    </row>
    <row r="7073" spans="11:20" x14ac:dyDescent="0.25">
      <c r="K7073" s="312"/>
      <c r="N7073" s="514"/>
      <c r="R7073" s="293"/>
      <c r="S7073" s="316"/>
      <c r="T7073" s="355"/>
    </row>
    <row r="7074" spans="11:20" x14ac:dyDescent="0.25">
      <c r="K7074" s="312"/>
      <c r="N7074" s="514"/>
      <c r="R7074" s="293"/>
      <c r="S7074" s="316"/>
      <c r="T7074" s="355"/>
    </row>
    <row r="7075" spans="11:20" x14ac:dyDescent="0.25">
      <c r="K7075" s="312"/>
      <c r="N7075" s="514"/>
      <c r="R7075" s="293"/>
      <c r="S7075" s="316"/>
      <c r="T7075" s="355"/>
    </row>
    <row r="7076" spans="11:20" x14ac:dyDescent="0.25">
      <c r="K7076" s="312"/>
      <c r="N7076" s="514"/>
      <c r="R7076" s="293"/>
      <c r="S7076" s="316"/>
      <c r="T7076" s="355"/>
    </row>
    <row r="7077" spans="11:20" x14ac:dyDescent="0.25">
      <c r="K7077" s="312"/>
      <c r="N7077" s="514"/>
      <c r="R7077" s="293"/>
      <c r="S7077" s="316"/>
      <c r="T7077" s="355"/>
    </row>
    <row r="7078" spans="11:20" x14ac:dyDescent="0.25">
      <c r="K7078" s="312"/>
      <c r="N7078" s="514"/>
      <c r="R7078" s="293"/>
      <c r="S7078" s="316"/>
      <c r="T7078" s="355"/>
    </row>
    <row r="7079" spans="11:20" x14ac:dyDescent="0.25">
      <c r="K7079" s="312"/>
      <c r="N7079" s="514"/>
      <c r="R7079" s="293"/>
      <c r="S7079" s="316"/>
      <c r="T7079" s="355"/>
    </row>
    <row r="7080" spans="11:20" x14ac:dyDescent="0.25">
      <c r="K7080" s="312"/>
      <c r="N7080" s="514"/>
      <c r="R7080" s="293"/>
      <c r="S7080" s="316"/>
      <c r="T7080" s="355"/>
    </row>
    <row r="7081" spans="11:20" x14ac:dyDescent="0.25">
      <c r="K7081" s="312"/>
      <c r="N7081" s="514"/>
      <c r="R7081" s="293"/>
      <c r="S7081" s="316"/>
      <c r="T7081" s="355"/>
    </row>
    <row r="7082" spans="11:20" x14ac:dyDescent="0.25">
      <c r="K7082" s="312"/>
      <c r="N7082" s="514"/>
      <c r="R7082" s="293"/>
      <c r="S7082" s="316"/>
      <c r="T7082" s="355"/>
    </row>
    <row r="7083" spans="11:20" x14ac:dyDescent="0.25">
      <c r="K7083" s="312"/>
      <c r="N7083" s="514"/>
      <c r="R7083" s="293"/>
      <c r="S7083" s="316"/>
      <c r="T7083" s="355"/>
    </row>
    <row r="7084" spans="11:20" x14ac:dyDescent="0.25">
      <c r="K7084" s="312"/>
      <c r="N7084" s="514"/>
      <c r="R7084" s="293"/>
      <c r="S7084" s="316"/>
      <c r="T7084" s="355"/>
    </row>
    <row r="7085" spans="11:20" x14ac:dyDescent="0.25">
      <c r="K7085" s="312"/>
      <c r="N7085" s="514"/>
      <c r="R7085" s="293"/>
      <c r="S7085" s="316"/>
      <c r="T7085" s="355"/>
    </row>
    <row r="7086" spans="11:20" x14ac:dyDescent="0.25">
      <c r="K7086" s="312"/>
      <c r="N7086" s="514"/>
      <c r="R7086" s="293"/>
      <c r="S7086" s="316"/>
      <c r="T7086" s="355"/>
    </row>
    <row r="7087" spans="11:20" x14ac:dyDescent="0.25">
      <c r="K7087" s="312"/>
      <c r="N7087" s="514"/>
      <c r="R7087" s="293"/>
      <c r="S7087" s="316"/>
      <c r="T7087" s="355"/>
    </row>
    <row r="7088" spans="11:20" x14ac:dyDescent="0.25">
      <c r="K7088" s="312"/>
      <c r="N7088" s="514"/>
      <c r="R7088" s="293"/>
      <c r="S7088" s="316"/>
      <c r="T7088" s="355"/>
    </row>
    <row r="7089" spans="11:20" x14ac:dyDescent="0.25">
      <c r="K7089" s="312"/>
      <c r="N7089" s="514"/>
      <c r="R7089" s="293"/>
      <c r="S7089" s="316"/>
      <c r="T7089" s="355"/>
    </row>
    <row r="7090" spans="11:20" x14ac:dyDescent="0.25">
      <c r="K7090" s="312"/>
      <c r="N7090" s="514"/>
      <c r="R7090" s="293"/>
      <c r="S7090" s="316"/>
      <c r="T7090" s="355"/>
    </row>
    <row r="7091" spans="11:20" x14ac:dyDescent="0.25">
      <c r="K7091" s="312"/>
      <c r="N7091" s="514"/>
      <c r="R7091" s="293"/>
      <c r="S7091" s="316"/>
      <c r="T7091" s="355"/>
    </row>
    <row r="7092" spans="11:20" x14ac:dyDescent="0.25">
      <c r="K7092" s="312"/>
      <c r="N7092" s="514"/>
      <c r="R7092" s="293"/>
      <c r="S7092" s="316"/>
      <c r="T7092" s="355"/>
    </row>
    <row r="7093" spans="11:20" x14ac:dyDescent="0.25">
      <c r="K7093" s="312"/>
      <c r="N7093" s="514"/>
      <c r="R7093" s="293"/>
      <c r="S7093" s="316"/>
      <c r="T7093" s="355"/>
    </row>
    <row r="7094" spans="11:20" x14ac:dyDescent="0.25">
      <c r="K7094" s="312"/>
      <c r="N7094" s="514"/>
      <c r="R7094" s="293"/>
      <c r="S7094" s="316"/>
      <c r="T7094" s="355"/>
    </row>
    <row r="7095" spans="11:20" x14ac:dyDescent="0.25">
      <c r="K7095" s="312"/>
      <c r="N7095" s="514"/>
      <c r="R7095" s="293"/>
      <c r="S7095" s="316"/>
      <c r="T7095" s="355"/>
    </row>
    <row r="7096" spans="11:20" x14ac:dyDescent="0.25">
      <c r="K7096" s="312"/>
      <c r="N7096" s="514"/>
      <c r="R7096" s="293"/>
      <c r="S7096" s="316"/>
      <c r="T7096" s="355"/>
    </row>
    <row r="7097" spans="11:20" x14ac:dyDescent="0.25">
      <c r="K7097" s="312"/>
      <c r="N7097" s="514"/>
      <c r="R7097" s="293"/>
      <c r="S7097" s="316"/>
      <c r="T7097" s="355"/>
    </row>
    <row r="7098" spans="11:20" x14ac:dyDescent="0.25">
      <c r="K7098" s="312"/>
      <c r="N7098" s="514"/>
      <c r="R7098" s="293"/>
      <c r="S7098" s="316"/>
      <c r="T7098" s="355"/>
    </row>
    <row r="7099" spans="11:20" x14ac:dyDescent="0.25">
      <c r="K7099" s="312"/>
      <c r="N7099" s="514"/>
      <c r="R7099" s="293"/>
      <c r="S7099" s="316"/>
      <c r="T7099" s="355"/>
    </row>
    <row r="7100" spans="11:20" x14ac:dyDescent="0.25">
      <c r="K7100" s="312"/>
      <c r="N7100" s="514"/>
      <c r="R7100" s="293"/>
      <c r="S7100" s="316"/>
      <c r="T7100" s="355"/>
    </row>
    <row r="7101" spans="11:20" x14ac:dyDescent="0.25">
      <c r="K7101" s="312"/>
      <c r="N7101" s="514"/>
      <c r="R7101" s="293"/>
      <c r="S7101" s="316"/>
      <c r="T7101" s="355"/>
    </row>
    <row r="7102" spans="11:20" x14ac:dyDescent="0.25">
      <c r="K7102" s="312"/>
      <c r="N7102" s="514"/>
      <c r="R7102" s="293"/>
      <c r="S7102" s="316"/>
      <c r="T7102" s="355"/>
    </row>
    <row r="7103" spans="11:20" x14ac:dyDescent="0.25">
      <c r="K7103" s="312"/>
      <c r="N7103" s="514"/>
      <c r="R7103" s="293"/>
      <c r="S7103" s="316"/>
      <c r="T7103" s="355"/>
    </row>
    <row r="7104" spans="11:20" x14ac:dyDescent="0.25">
      <c r="K7104" s="312"/>
      <c r="N7104" s="514"/>
      <c r="R7104" s="293"/>
      <c r="S7104" s="316"/>
      <c r="T7104" s="355"/>
    </row>
    <row r="7105" spans="11:20" x14ac:dyDescent="0.25">
      <c r="K7105" s="312"/>
      <c r="N7105" s="514"/>
      <c r="R7105" s="293"/>
      <c r="S7105" s="316"/>
      <c r="T7105" s="355"/>
    </row>
    <row r="7106" spans="11:20" x14ac:dyDescent="0.25">
      <c r="K7106" s="312"/>
      <c r="N7106" s="514"/>
      <c r="R7106" s="293"/>
      <c r="S7106" s="316"/>
      <c r="T7106" s="355"/>
    </row>
    <row r="7107" spans="11:20" x14ac:dyDescent="0.25">
      <c r="K7107" s="312"/>
      <c r="N7107" s="514"/>
      <c r="R7107" s="293"/>
      <c r="S7107" s="316"/>
      <c r="T7107" s="355"/>
    </row>
    <row r="7108" spans="11:20" x14ac:dyDescent="0.25">
      <c r="K7108" s="312"/>
      <c r="N7108" s="514"/>
      <c r="R7108" s="293"/>
      <c r="S7108" s="316"/>
      <c r="T7108" s="355"/>
    </row>
    <row r="7109" spans="11:20" x14ac:dyDescent="0.25">
      <c r="K7109" s="312"/>
      <c r="N7109" s="514"/>
      <c r="R7109" s="293"/>
      <c r="S7109" s="316"/>
      <c r="T7109" s="355"/>
    </row>
    <row r="7110" spans="11:20" x14ac:dyDescent="0.25">
      <c r="K7110" s="312"/>
      <c r="N7110" s="514"/>
      <c r="R7110" s="293"/>
      <c r="S7110" s="316"/>
      <c r="T7110" s="355"/>
    </row>
    <row r="7111" spans="11:20" x14ac:dyDescent="0.25">
      <c r="K7111" s="312"/>
      <c r="N7111" s="514"/>
      <c r="R7111" s="293"/>
      <c r="S7111" s="316"/>
      <c r="T7111" s="355"/>
    </row>
    <row r="7112" spans="11:20" x14ac:dyDescent="0.25">
      <c r="K7112" s="312"/>
      <c r="N7112" s="514"/>
      <c r="R7112" s="293"/>
      <c r="S7112" s="316"/>
      <c r="T7112" s="355"/>
    </row>
    <row r="7113" spans="11:20" x14ac:dyDescent="0.25">
      <c r="K7113" s="312"/>
      <c r="N7113" s="514"/>
      <c r="R7113" s="293"/>
      <c r="S7113" s="316"/>
      <c r="T7113" s="355"/>
    </row>
    <row r="7114" spans="11:20" x14ac:dyDescent="0.25">
      <c r="K7114" s="312"/>
      <c r="N7114" s="514"/>
      <c r="R7114" s="293"/>
      <c r="S7114" s="316"/>
      <c r="T7114" s="355"/>
    </row>
    <row r="7115" spans="11:20" x14ac:dyDescent="0.25">
      <c r="K7115" s="312"/>
      <c r="N7115" s="514"/>
      <c r="R7115" s="293"/>
      <c r="S7115" s="316"/>
      <c r="T7115" s="355"/>
    </row>
    <row r="7116" spans="11:20" x14ac:dyDescent="0.25">
      <c r="K7116" s="312"/>
      <c r="N7116" s="514"/>
      <c r="R7116" s="293"/>
      <c r="S7116" s="316"/>
      <c r="T7116" s="355"/>
    </row>
    <row r="7117" spans="11:20" x14ac:dyDescent="0.25">
      <c r="K7117" s="312"/>
      <c r="N7117" s="514"/>
      <c r="R7117" s="293"/>
      <c r="S7117" s="316"/>
      <c r="T7117" s="355"/>
    </row>
    <row r="7118" spans="11:20" x14ac:dyDescent="0.25">
      <c r="K7118" s="312"/>
      <c r="N7118" s="514"/>
      <c r="R7118" s="293"/>
      <c r="S7118" s="316"/>
      <c r="T7118" s="355"/>
    </row>
    <row r="7119" spans="11:20" x14ac:dyDescent="0.25">
      <c r="K7119" s="312"/>
      <c r="N7119" s="514"/>
      <c r="R7119" s="293"/>
      <c r="S7119" s="316"/>
      <c r="T7119" s="355"/>
    </row>
    <row r="7120" spans="11:20" x14ac:dyDescent="0.25">
      <c r="K7120" s="312"/>
      <c r="N7120" s="514"/>
      <c r="R7120" s="293"/>
      <c r="S7120" s="316"/>
      <c r="T7120" s="355"/>
    </row>
    <row r="7121" spans="11:20" x14ac:dyDescent="0.25">
      <c r="K7121" s="312"/>
      <c r="N7121" s="514"/>
      <c r="R7121" s="293"/>
      <c r="S7121" s="316"/>
      <c r="T7121" s="355"/>
    </row>
    <row r="7122" spans="11:20" x14ac:dyDescent="0.25">
      <c r="K7122" s="312"/>
      <c r="N7122" s="514"/>
      <c r="R7122" s="293"/>
      <c r="S7122" s="316"/>
      <c r="T7122" s="355"/>
    </row>
    <row r="7123" spans="11:20" x14ac:dyDescent="0.25">
      <c r="K7123" s="312"/>
      <c r="N7123" s="514"/>
      <c r="R7123" s="293"/>
      <c r="S7123" s="316"/>
      <c r="T7123" s="355"/>
    </row>
    <row r="7124" spans="11:20" x14ac:dyDescent="0.25">
      <c r="K7124" s="312"/>
      <c r="N7124" s="514"/>
      <c r="R7124" s="293"/>
      <c r="S7124" s="316"/>
      <c r="T7124" s="355"/>
    </row>
    <row r="7125" spans="11:20" x14ac:dyDescent="0.25">
      <c r="K7125" s="312"/>
      <c r="N7125" s="514"/>
      <c r="R7125" s="293"/>
      <c r="S7125" s="316"/>
      <c r="T7125" s="355"/>
    </row>
    <row r="7126" spans="11:20" x14ac:dyDescent="0.25">
      <c r="K7126" s="312"/>
      <c r="N7126" s="514"/>
      <c r="R7126" s="293"/>
      <c r="S7126" s="316"/>
      <c r="T7126" s="355"/>
    </row>
    <row r="7127" spans="11:20" x14ac:dyDescent="0.25">
      <c r="K7127" s="312"/>
      <c r="N7127" s="514"/>
      <c r="R7127" s="293"/>
      <c r="S7127" s="316"/>
      <c r="T7127" s="355"/>
    </row>
    <row r="7128" spans="11:20" x14ac:dyDescent="0.25">
      <c r="K7128" s="312"/>
      <c r="N7128" s="514"/>
      <c r="R7128" s="293"/>
      <c r="S7128" s="316"/>
      <c r="T7128" s="355"/>
    </row>
    <row r="7129" spans="11:20" x14ac:dyDescent="0.25">
      <c r="K7129" s="312"/>
      <c r="N7129" s="514"/>
      <c r="R7129" s="293"/>
      <c r="S7129" s="316"/>
      <c r="T7129" s="355"/>
    </row>
    <row r="7130" spans="11:20" x14ac:dyDescent="0.25">
      <c r="K7130" s="312"/>
      <c r="N7130" s="514"/>
      <c r="R7130" s="293"/>
      <c r="S7130" s="316"/>
      <c r="T7130" s="355"/>
    </row>
    <row r="7131" spans="11:20" x14ac:dyDescent="0.25">
      <c r="K7131" s="312"/>
      <c r="N7131" s="514"/>
      <c r="R7131" s="293"/>
      <c r="S7131" s="316"/>
      <c r="T7131" s="355"/>
    </row>
    <row r="7132" spans="11:20" x14ac:dyDescent="0.25">
      <c r="K7132" s="312"/>
      <c r="N7132" s="514"/>
      <c r="R7132" s="293"/>
      <c r="S7132" s="316"/>
      <c r="T7132" s="355"/>
    </row>
    <row r="7133" spans="11:20" x14ac:dyDescent="0.25">
      <c r="K7133" s="312"/>
      <c r="N7133" s="514"/>
      <c r="R7133" s="293"/>
      <c r="S7133" s="316"/>
      <c r="T7133" s="355"/>
    </row>
    <row r="7134" spans="11:20" x14ac:dyDescent="0.25">
      <c r="K7134" s="312"/>
      <c r="N7134" s="514"/>
      <c r="R7134" s="293"/>
      <c r="S7134" s="316"/>
      <c r="T7134" s="355"/>
    </row>
    <row r="7135" spans="11:20" x14ac:dyDescent="0.25">
      <c r="K7135" s="312"/>
      <c r="N7135" s="514"/>
      <c r="R7135" s="293"/>
      <c r="S7135" s="316"/>
      <c r="T7135" s="355"/>
    </row>
    <row r="7136" spans="11:20" x14ac:dyDescent="0.25">
      <c r="K7136" s="312"/>
      <c r="N7136" s="514"/>
      <c r="R7136" s="293"/>
      <c r="S7136" s="316"/>
      <c r="T7136" s="355"/>
    </row>
    <row r="7137" spans="11:20" x14ac:dyDescent="0.25">
      <c r="K7137" s="312"/>
      <c r="N7137" s="514"/>
      <c r="R7137" s="293"/>
      <c r="S7137" s="316"/>
      <c r="T7137" s="355"/>
    </row>
    <row r="7138" spans="11:20" x14ac:dyDescent="0.25">
      <c r="K7138" s="312"/>
      <c r="N7138" s="514"/>
      <c r="R7138" s="293"/>
      <c r="S7138" s="316"/>
      <c r="T7138" s="355"/>
    </row>
    <row r="7139" spans="11:20" x14ac:dyDescent="0.25">
      <c r="K7139" s="312"/>
      <c r="N7139" s="514"/>
      <c r="R7139" s="293"/>
      <c r="S7139" s="316"/>
      <c r="T7139" s="355"/>
    </row>
    <row r="7140" spans="11:20" x14ac:dyDescent="0.25">
      <c r="K7140" s="312"/>
      <c r="N7140" s="514"/>
      <c r="R7140" s="293"/>
      <c r="S7140" s="316"/>
      <c r="T7140" s="355"/>
    </row>
    <row r="7141" spans="11:20" x14ac:dyDescent="0.25">
      <c r="K7141" s="312"/>
      <c r="N7141" s="514"/>
      <c r="R7141" s="293"/>
      <c r="S7141" s="316"/>
      <c r="T7141" s="355"/>
    </row>
    <row r="7142" spans="11:20" x14ac:dyDescent="0.25">
      <c r="K7142" s="312"/>
      <c r="N7142" s="514"/>
      <c r="R7142" s="293"/>
      <c r="S7142" s="316"/>
      <c r="T7142" s="355"/>
    </row>
    <row r="7143" spans="11:20" x14ac:dyDescent="0.25">
      <c r="K7143" s="312"/>
      <c r="N7143" s="514"/>
      <c r="R7143" s="293"/>
      <c r="S7143" s="316"/>
      <c r="T7143" s="355"/>
    </row>
    <row r="7144" spans="11:20" x14ac:dyDescent="0.25">
      <c r="K7144" s="312"/>
      <c r="N7144" s="514"/>
      <c r="R7144" s="293"/>
      <c r="S7144" s="316"/>
      <c r="T7144" s="355"/>
    </row>
    <row r="7145" spans="11:20" x14ac:dyDescent="0.25">
      <c r="K7145" s="312"/>
      <c r="N7145" s="514"/>
      <c r="R7145" s="293"/>
      <c r="S7145" s="316"/>
      <c r="T7145" s="355"/>
    </row>
    <row r="7146" spans="11:20" x14ac:dyDescent="0.25">
      <c r="K7146" s="312"/>
      <c r="N7146" s="514"/>
      <c r="R7146" s="293"/>
      <c r="S7146" s="316"/>
      <c r="T7146" s="355"/>
    </row>
    <row r="7147" spans="11:20" x14ac:dyDescent="0.25">
      <c r="K7147" s="312"/>
      <c r="N7147" s="514"/>
      <c r="R7147" s="293"/>
      <c r="S7147" s="316"/>
      <c r="T7147" s="355"/>
    </row>
    <row r="7148" spans="11:20" x14ac:dyDescent="0.25">
      <c r="K7148" s="312"/>
      <c r="N7148" s="514"/>
      <c r="R7148" s="293"/>
      <c r="S7148" s="316"/>
      <c r="T7148" s="355"/>
    </row>
    <row r="7149" spans="11:20" x14ac:dyDescent="0.25">
      <c r="K7149" s="312"/>
      <c r="N7149" s="514"/>
      <c r="R7149" s="293"/>
      <c r="S7149" s="316"/>
      <c r="T7149" s="355"/>
    </row>
    <row r="7150" spans="11:20" x14ac:dyDescent="0.25">
      <c r="K7150" s="312"/>
      <c r="N7150" s="514"/>
      <c r="R7150" s="293"/>
      <c r="S7150" s="316"/>
      <c r="T7150" s="355"/>
    </row>
    <row r="7151" spans="11:20" x14ac:dyDescent="0.25">
      <c r="K7151" s="312"/>
      <c r="N7151" s="514"/>
      <c r="R7151" s="293"/>
      <c r="S7151" s="316"/>
      <c r="T7151" s="355"/>
    </row>
    <row r="7152" spans="11:20" x14ac:dyDescent="0.25">
      <c r="K7152" s="312"/>
      <c r="N7152" s="514"/>
      <c r="R7152" s="293"/>
      <c r="S7152" s="316"/>
      <c r="T7152" s="355"/>
    </row>
    <row r="7153" spans="11:20" x14ac:dyDescent="0.25">
      <c r="K7153" s="312"/>
      <c r="N7153" s="514"/>
      <c r="R7153" s="293"/>
      <c r="S7153" s="316"/>
      <c r="T7153" s="355"/>
    </row>
    <row r="7154" spans="11:20" x14ac:dyDescent="0.25">
      <c r="K7154" s="312"/>
      <c r="N7154" s="514"/>
      <c r="R7154" s="293"/>
      <c r="S7154" s="316"/>
      <c r="T7154" s="355"/>
    </row>
    <row r="7155" spans="11:20" x14ac:dyDescent="0.25">
      <c r="K7155" s="312"/>
      <c r="N7155" s="514"/>
      <c r="R7155" s="293"/>
      <c r="S7155" s="316"/>
      <c r="T7155" s="355"/>
    </row>
    <row r="7156" spans="11:20" x14ac:dyDescent="0.25">
      <c r="K7156" s="312"/>
      <c r="N7156" s="514"/>
      <c r="R7156" s="293"/>
      <c r="S7156" s="316"/>
      <c r="T7156" s="355"/>
    </row>
    <row r="7157" spans="11:20" x14ac:dyDescent="0.25">
      <c r="K7157" s="312"/>
      <c r="N7157" s="514"/>
      <c r="R7157" s="293"/>
      <c r="S7157" s="316"/>
      <c r="T7157" s="355"/>
    </row>
    <row r="7158" spans="11:20" x14ac:dyDescent="0.25">
      <c r="K7158" s="312"/>
      <c r="N7158" s="514"/>
      <c r="R7158" s="293"/>
      <c r="S7158" s="316"/>
      <c r="T7158" s="355"/>
    </row>
    <row r="7159" spans="11:20" x14ac:dyDescent="0.25">
      <c r="K7159" s="312"/>
      <c r="N7159" s="514"/>
      <c r="R7159" s="293"/>
      <c r="S7159" s="316"/>
      <c r="T7159" s="355"/>
    </row>
    <row r="7160" spans="11:20" x14ac:dyDescent="0.25">
      <c r="K7160" s="312"/>
      <c r="N7160" s="514"/>
      <c r="R7160" s="293"/>
      <c r="S7160" s="316"/>
      <c r="T7160" s="355"/>
    </row>
    <row r="7161" spans="11:20" x14ac:dyDescent="0.25">
      <c r="K7161" s="312"/>
      <c r="N7161" s="514"/>
      <c r="R7161" s="293"/>
      <c r="S7161" s="316"/>
      <c r="T7161" s="355"/>
    </row>
    <row r="7162" spans="11:20" x14ac:dyDescent="0.25">
      <c r="K7162" s="312"/>
      <c r="N7162" s="514"/>
      <c r="R7162" s="293"/>
      <c r="S7162" s="316"/>
      <c r="T7162" s="355"/>
    </row>
    <row r="7163" spans="11:20" x14ac:dyDescent="0.25">
      <c r="K7163" s="312"/>
      <c r="N7163" s="514"/>
      <c r="R7163" s="293"/>
      <c r="S7163" s="316"/>
      <c r="T7163" s="355"/>
    </row>
    <row r="7164" spans="11:20" x14ac:dyDescent="0.25">
      <c r="K7164" s="312"/>
      <c r="N7164" s="514"/>
      <c r="R7164" s="293"/>
      <c r="S7164" s="316"/>
      <c r="T7164" s="355"/>
    </row>
    <row r="7165" spans="11:20" x14ac:dyDescent="0.25">
      <c r="K7165" s="312"/>
      <c r="N7165" s="514"/>
      <c r="R7165" s="293"/>
      <c r="S7165" s="316"/>
      <c r="T7165" s="355"/>
    </row>
    <row r="7166" spans="11:20" x14ac:dyDescent="0.25">
      <c r="K7166" s="312"/>
      <c r="N7166" s="514"/>
      <c r="R7166" s="293"/>
      <c r="S7166" s="316"/>
      <c r="T7166" s="355"/>
    </row>
    <row r="7167" spans="11:20" x14ac:dyDescent="0.25">
      <c r="K7167" s="312"/>
      <c r="N7167" s="514"/>
      <c r="R7167" s="293"/>
      <c r="S7167" s="316"/>
      <c r="T7167" s="355"/>
    </row>
    <row r="7168" spans="11:20" x14ac:dyDescent="0.25">
      <c r="K7168" s="312"/>
      <c r="N7168" s="514"/>
      <c r="R7168" s="293"/>
      <c r="S7168" s="316"/>
      <c r="T7168" s="355"/>
    </row>
    <row r="7169" spans="11:20" x14ac:dyDescent="0.25">
      <c r="K7169" s="312"/>
      <c r="N7169" s="514"/>
      <c r="R7169" s="293"/>
      <c r="S7169" s="316"/>
      <c r="T7169" s="355"/>
    </row>
    <row r="7170" spans="11:20" x14ac:dyDescent="0.25">
      <c r="K7170" s="312"/>
      <c r="N7170" s="514"/>
      <c r="R7170" s="293"/>
      <c r="S7170" s="316"/>
      <c r="T7170" s="355"/>
    </row>
    <row r="7171" spans="11:20" x14ac:dyDescent="0.25">
      <c r="K7171" s="312"/>
      <c r="N7171" s="514"/>
      <c r="R7171" s="293"/>
      <c r="S7171" s="316"/>
      <c r="T7171" s="355"/>
    </row>
    <row r="7172" spans="11:20" x14ac:dyDescent="0.25">
      <c r="K7172" s="312"/>
      <c r="N7172" s="514"/>
      <c r="R7172" s="293"/>
      <c r="S7172" s="316"/>
      <c r="T7172" s="355"/>
    </row>
    <row r="7173" spans="11:20" x14ac:dyDescent="0.25">
      <c r="K7173" s="312"/>
      <c r="N7173" s="514"/>
      <c r="R7173" s="293"/>
      <c r="S7173" s="316"/>
      <c r="T7173" s="355"/>
    </row>
    <row r="7174" spans="11:20" x14ac:dyDescent="0.25">
      <c r="K7174" s="312"/>
      <c r="N7174" s="514"/>
      <c r="R7174" s="293"/>
      <c r="S7174" s="316"/>
      <c r="T7174" s="355"/>
    </row>
    <row r="7175" spans="11:20" x14ac:dyDescent="0.25">
      <c r="K7175" s="312"/>
      <c r="N7175" s="514"/>
      <c r="R7175" s="293"/>
      <c r="S7175" s="316"/>
      <c r="T7175" s="355"/>
    </row>
    <row r="7176" spans="11:20" x14ac:dyDescent="0.25">
      <c r="K7176" s="312"/>
      <c r="N7176" s="514"/>
      <c r="R7176" s="293"/>
      <c r="S7176" s="316"/>
      <c r="T7176" s="355"/>
    </row>
    <row r="7177" spans="11:20" x14ac:dyDescent="0.25">
      <c r="K7177" s="312"/>
      <c r="N7177" s="514"/>
      <c r="R7177" s="293"/>
      <c r="S7177" s="316"/>
      <c r="T7177" s="355"/>
    </row>
    <row r="7178" spans="11:20" x14ac:dyDescent="0.25">
      <c r="K7178" s="312"/>
      <c r="N7178" s="514"/>
      <c r="R7178" s="293"/>
      <c r="S7178" s="316"/>
      <c r="T7178" s="355"/>
    </row>
    <row r="7179" spans="11:20" x14ac:dyDescent="0.25">
      <c r="K7179" s="312"/>
      <c r="N7179" s="514"/>
      <c r="R7179" s="293"/>
      <c r="S7179" s="316"/>
      <c r="T7179" s="355"/>
    </row>
    <row r="7180" spans="11:20" x14ac:dyDescent="0.25">
      <c r="K7180" s="312"/>
      <c r="N7180" s="514"/>
      <c r="R7180" s="293"/>
      <c r="S7180" s="316"/>
      <c r="T7180" s="355"/>
    </row>
    <row r="7181" spans="11:20" x14ac:dyDescent="0.25">
      <c r="K7181" s="312"/>
      <c r="N7181" s="514"/>
      <c r="R7181" s="293"/>
      <c r="S7181" s="316"/>
      <c r="T7181" s="355"/>
    </row>
    <row r="7182" spans="11:20" x14ac:dyDescent="0.25">
      <c r="K7182" s="312"/>
      <c r="N7182" s="514"/>
      <c r="R7182" s="293"/>
      <c r="S7182" s="316"/>
      <c r="T7182" s="355"/>
    </row>
    <row r="7183" spans="11:20" x14ac:dyDescent="0.25">
      <c r="K7183" s="312"/>
      <c r="N7183" s="514"/>
      <c r="R7183" s="293"/>
      <c r="S7183" s="316"/>
      <c r="T7183" s="355"/>
    </row>
    <row r="7184" spans="11:20" x14ac:dyDescent="0.25">
      <c r="K7184" s="312"/>
      <c r="N7184" s="514"/>
      <c r="R7184" s="293"/>
      <c r="S7184" s="316"/>
      <c r="T7184" s="355"/>
    </row>
    <row r="7185" spans="11:20" x14ac:dyDescent="0.25">
      <c r="K7185" s="312"/>
      <c r="N7185" s="514"/>
      <c r="R7185" s="293"/>
      <c r="S7185" s="316"/>
      <c r="T7185" s="355"/>
    </row>
    <row r="7186" spans="11:20" x14ac:dyDescent="0.25">
      <c r="K7186" s="312"/>
      <c r="N7186" s="514"/>
      <c r="R7186" s="293"/>
      <c r="S7186" s="316"/>
      <c r="T7186" s="355"/>
    </row>
    <row r="7187" spans="11:20" x14ac:dyDescent="0.25">
      <c r="K7187" s="312"/>
      <c r="N7187" s="514"/>
      <c r="R7187" s="293"/>
      <c r="S7187" s="316"/>
      <c r="T7187" s="355"/>
    </row>
    <row r="7188" spans="11:20" x14ac:dyDescent="0.25">
      <c r="K7188" s="312"/>
      <c r="N7188" s="514"/>
      <c r="R7188" s="293"/>
      <c r="S7188" s="316"/>
      <c r="T7188" s="355"/>
    </row>
    <row r="7189" spans="11:20" x14ac:dyDescent="0.25">
      <c r="K7189" s="312"/>
      <c r="N7189" s="514"/>
      <c r="R7189" s="293"/>
      <c r="S7189" s="316"/>
      <c r="T7189" s="355"/>
    </row>
    <row r="7190" spans="11:20" x14ac:dyDescent="0.25">
      <c r="K7190" s="312"/>
      <c r="N7190" s="514"/>
      <c r="R7190" s="293"/>
      <c r="S7190" s="316"/>
      <c r="T7190" s="355"/>
    </row>
    <row r="7191" spans="11:20" x14ac:dyDescent="0.25">
      <c r="K7191" s="312"/>
      <c r="N7191" s="514"/>
      <c r="R7191" s="293"/>
      <c r="S7191" s="316"/>
      <c r="T7191" s="355"/>
    </row>
    <row r="7192" spans="11:20" x14ac:dyDescent="0.25">
      <c r="K7192" s="312"/>
      <c r="N7192" s="514"/>
      <c r="R7192" s="293"/>
      <c r="S7192" s="316"/>
      <c r="T7192" s="355"/>
    </row>
    <row r="7193" spans="11:20" x14ac:dyDescent="0.25">
      <c r="K7193" s="312"/>
      <c r="N7193" s="514"/>
      <c r="R7193" s="293"/>
      <c r="S7193" s="316"/>
      <c r="T7193" s="355"/>
    </row>
    <row r="7194" spans="11:20" x14ac:dyDescent="0.25">
      <c r="K7194" s="312"/>
      <c r="N7194" s="514"/>
      <c r="R7194" s="293"/>
      <c r="S7194" s="316"/>
      <c r="T7194" s="355"/>
    </row>
    <row r="7195" spans="11:20" x14ac:dyDescent="0.25">
      <c r="K7195" s="312"/>
      <c r="N7195" s="514"/>
      <c r="R7195" s="293"/>
      <c r="S7195" s="316"/>
      <c r="T7195" s="355"/>
    </row>
    <row r="7196" spans="11:20" x14ac:dyDescent="0.25">
      <c r="K7196" s="312"/>
      <c r="N7196" s="514"/>
      <c r="R7196" s="293"/>
      <c r="S7196" s="316"/>
      <c r="T7196" s="355"/>
    </row>
    <row r="7197" spans="11:20" x14ac:dyDescent="0.25">
      <c r="K7197" s="312"/>
      <c r="N7197" s="514"/>
      <c r="R7197" s="293"/>
      <c r="S7197" s="316"/>
      <c r="T7197" s="355"/>
    </row>
    <row r="7198" spans="11:20" x14ac:dyDescent="0.25">
      <c r="K7198" s="312"/>
      <c r="N7198" s="514"/>
      <c r="R7198" s="293"/>
      <c r="S7198" s="316"/>
      <c r="T7198" s="355"/>
    </row>
    <row r="7199" spans="11:20" x14ac:dyDescent="0.25">
      <c r="K7199" s="312"/>
      <c r="N7199" s="514"/>
      <c r="R7199" s="293"/>
      <c r="S7199" s="316"/>
      <c r="T7199" s="355"/>
    </row>
    <row r="7200" spans="11:20" x14ac:dyDescent="0.25">
      <c r="K7200" s="312"/>
      <c r="N7200" s="514"/>
      <c r="R7200" s="293"/>
      <c r="S7200" s="316"/>
      <c r="T7200" s="355"/>
    </row>
    <row r="7201" spans="11:20" x14ac:dyDescent="0.25">
      <c r="K7201" s="312"/>
      <c r="N7201" s="514"/>
      <c r="R7201" s="293"/>
      <c r="S7201" s="316"/>
      <c r="T7201" s="355"/>
    </row>
    <row r="7202" spans="11:20" x14ac:dyDescent="0.25">
      <c r="K7202" s="312"/>
      <c r="N7202" s="514"/>
      <c r="R7202" s="293"/>
      <c r="S7202" s="316"/>
      <c r="T7202" s="355"/>
    </row>
    <row r="7203" spans="11:20" x14ac:dyDescent="0.25">
      <c r="K7203" s="312"/>
      <c r="N7203" s="514"/>
      <c r="R7203" s="293"/>
      <c r="S7203" s="316"/>
      <c r="T7203" s="355"/>
    </row>
    <row r="7204" spans="11:20" x14ac:dyDescent="0.25">
      <c r="K7204" s="312"/>
      <c r="N7204" s="514"/>
      <c r="R7204" s="293"/>
      <c r="S7204" s="316"/>
      <c r="T7204" s="355"/>
    </row>
    <row r="7205" spans="11:20" x14ac:dyDescent="0.25">
      <c r="K7205" s="312"/>
      <c r="N7205" s="514"/>
      <c r="R7205" s="293"/>
      <c r="S7205" s="316"/>
      <c r="T7205" s="355"/>
    </row>
    <row r="7206" spans="11:20" x14ac:dyDescent="0.25">
      <c r="K7206" s="312"/>
      <c r="N7206" s="514"/>
      <c r="R7206" s="293"/>
      <c r="S7206" s="316"/>
      <c r="T7206" s="355"/>
    </row>
    <row r="7207" spans="11:20" x14ac:dyDescent="0.25">
      <c r="K7207" s="312"/>
      <c r="N7207" s="514"/>
      <c r="R7207" s="293"/>
      <c r="S7207" s="316"/>
      <c r="T7207" s="355"/>
    </row>
    <row r="7208" spans="11:20" x14ac:dyDescent="0.25">
      <c r="K7208" s="312"/>
      <c r="N7208" s="514"/>
      <c r="R7208" s="293"/>
      <c r="S7208" s="316"/>
      <c r="T7208" s="355"/>
    </row>
    <row r="7209" spans="11:20" x14ac:dyDescent="0.25">
      <c r="K7209" s="312"/>
      <c r="N7209" s="514"/>
      <c r="R7209" s="293"/>
      <c r="S7209" s="316"/>
      <c r="T7209" s="355"/>
    </row>
    <row r="7210" spans="11:20" x14ac:dyDescent="0.25">
      <c r="K7210" s="312"/>
      <c r="N7210" s="514"/>
      <c r="R7210" s="293"/>
      <c r="S7210" s="316"/>
      <c r="T7210" s="355"/>
    </row>
    <row r="7211" spans="11:20" x14ac:dyDescent="0.25">
      <c r="K7211" s="312"/>
      <c r="N7211" s="514"/>
      <c r="R7211" s="293"/>
      <c r="S7211" s="316"/>
      <c r="T7211" s="355"/>
    </row>
    <row r="7212" spans="11:20" x14ac:dyDescent="0.25">
      <c r="K7212" s="312"/>
      <c r="N7212" s="514"/>
      <c r="R7212" s="293"/>
      <c r="S7212" s="316"/>
      <c r="T7212" s="355"/>
    </row>
    <row r="7213" spans="11:20" x14ac:dyDescent="0.25">
      <c r="K7213" s="312"/>
      <c r="N7213" s="514"/>
      <c r="R7213" s="293"/>
      <c r="S7213" s="316"/>
      <c r="T7213" s="355"/>
    </row>
    <row r="7214" spans="11:20" x14ac:dyDescent="0.25">
      <c r="K7214" s="312"/>
      <c r="N7214" s="514"/>
      <c r="R7214" s="293"/>
      <c r="S7214" s="316"/>
      <c r="T7214" s="355"/>
    </row>
    <row r="7215" spans="11:20" x14ac:dyDescent="0.25">
      <c r="K7215" s="312"/>
      <c r="N7215" s="514"/>
      <c r="R7215" s="293"/>
      <c r="S7215" s="316"/>
      <c r="T7215" s="355"/>
    </row>
    <row r="7216" spans="11:20" x14ac:dyDescent="0.25">
      <c r="K7216" s="312"/>
      <c r="N7216" s="514"/>
      <c r="R7216" s="293"/>
      <c r="S7216" s="316"/>
      <c r="T7216" s="355"/>
    </row>
    <row r="7217" spans="11:20" x14ac:dyDescent="0.25">
      <c r="K7217" s="312"/>
      <c r="N7217" s="514"/>
      <c r="R7217" s="293"/>
      <c r="S7217" s="316"/>
      <c r="T7217" s="355"/>
    </row>
    <row r="7218" spans="11:20" x14ac:dyDescent="0.25">
      <c r="K7218" s="312"/>
      <c r="N7218" s="514"/>
      <c r="R7218" s="293"/>
      <c r="S7218" s="316"/>
      <c r="T7218" s="355"/>
    </row>
    <row r="7219" spans="11:20" x14ac:dyDescent="0.25">
      <c r="K7219" s="312"/>
      <c r="N7219" s="514"/>
      <c r="R7219" s="293"/>
      <c r="S7219" s="316"/>
      <c r="T7219" s="355"/>
    </row>
    <row r="7220" spans="11:20" x14ac:dyDescent="0.25">
      <c r="K7220" s="312"/>
      <c r="N7220" s="514"/>
      <c r="R7220" s="293"/>
      <c r="S7220" s="316"/>
      <c r="T7220" s="355"/>
    </row>
    <row r="7221" spans="11:20" x14ac:dyDescent="0.25">
      <c r="K7221" s="312"/>
      <c r="N7221" s="514"/>
      <c r="R7221" s="293"/>
      <c r="S7221" s="316"/>
      <c r="T7221" s="355"/>
    </row>
    <row r="7222" spans="11:20" x14ac:dyDescent="0.25">
      <c r="K7222" s="312"/>
      <c r="N7222" s="514"/>
      <c r="R7222" s="293"/>
      <c r="S7222" s="316"/>
      <c r="T7222" s="355"/>
    </row>
    <row r="7223" spans="11:20" x14ac:dyDescent="0.25">
      <c r="K7223" s="312"/>
      <c r="N7223" s="514"/>
      <c r="R7223" s="293"/>
      <c r="S7223" s="316"/>
      <c r="T7223" s="355"/>
    </row>
    <row r="7224" spans="11:20" x14ac:dyDescent="0.25">
      <c r="K7224" s="312"/>
      <c r="N7224" s="514"/>
      <c r="R7224" s="293"/>
      <c r="S7224" s="316"/>
      <c r="T7224" s="355"/>
    </row>
    <row r="7225" spans="11:20" x14ac:dyDescent="0.25">
      <c r="K7225" s="312"/>
      <c r="N7225" s="514"/>
      <c r="R7225" s="293"/>
      <c r="S7225" s="316"/>
      <c r="T7225" s="355"/>
    </row>
    <row r="7226" spans="11:20" x14ac:dyDescent="0.25">
      <c r="K7226" s="312"/>
      <c r="N7226" s="514"/>
      <c r="R7226" s="293"/>
      <c r="S7226" s="316"/>
      <c r="T7226" s="355"/>
    </row>
    <row r="7227" spans="11:20" x14ac:dyDescent="0.25">
      <c r="K7227" s="312"/>
      <c r="N7227" s="514"/>
      <c r="R7227" s="293"/>
      <c r="S7227" s="316"/>
      <c r="T7227" s="355"/>
    </row>
    <row r="7228" spans="11:20" x14ac:dyDescent="0.25">
      <c r="K7228" s="312"/>
      <c r="N7228" s="514"/>
      <c r="R7228" s="293"/>
      <c r="S7228" s="316"/>
      <c r="T7228" s="355"/>
    </row>
    <row r="7229" spans="11:20" x14ac:dyDescent="0.25">
      <c r="K7229" s="312"/>
      <c r="N7229" s="514"/>
      <c r="R7229" s="293"/>
      <c r="S7229" s="316"/>
      <c r="T7229" s="355"/>
    </row>
    <row r="7230" spans="11:20" x14ac:dyDescent="0.25">
      <c r="K7230" s="312"/>
      <c r="N7230" s="514"/>
      <c r="R7230" s="293"/>
      <c r="S7230" s="316"/>
      <c r="T7230" s="355"/>
    </row>
    <row r="7231" spans="11:20" x14ac:dyDescent="0.25">
      <c r="K7231" s="312"/>
      <c r="N7231" s="514"/>
      <c r="R7231" s="293"/>
      <c r="S7231" s="316"/>
      <c r="T7231" s="355"/>
    </row>
    <row r="7232" spans="11:20" x14ac:dyDescent="0.25">
      <c r="K7232" s="312"/>
      <c r="N7232" s="514"/>
      <c r="R7232" s="293"/>
      <c r="S7232" s="316"/>
      <c r="T7232" s="355"/>
    </row>
    <row r="7233" spans="11:20" x14ac:dyDescent="0.25">
      <c r="K7233" s="312"/>
      <c r="N7233" s="514"/>
      <c r="R7233" s="293"/>
      <c r="S7233" s="316"/>
      <c r="T7233" s="355"/>
    </row>
    <row r="7234" spans="11:20" x14ac:dyDescent="0.25">
      <c r="K7234" s="312"/>
      <c r="N7234" s="514"/>
      <c r="R7234" s="293"/>
      <c r="S7234" s="316"/>
      <c r="T7234" s="355"/>
    </row>
    <row r="7235" spans="11:20" x14ac:dyDescent="0.25">
      <c r="K7235" s="312"/>
      <c r="N7235" s="514"/>
      <c r="R7235" s="293"/>
      <c r="S7235" s="316"/>
      <c r="T7235" s="355"/>
    </row>
    <row r="7236" spans="11:20" x14ac:dyDescent="0.25">
      <c r="K7236" s="312"/>
      <c r="N7236" s="514"/>
      <c r="R7236" s="293"/>
      <c r="S7236" s="316"/>
      <c r="T7236" s="355"/>
    </row>
    <row r="7237" spans="11:20" x14ac:dyDescent="0.25">
      <c r="K7237" s="312"/>
      <c r="N7237" s="514"/>
      <c r="R7237" s="293"/>
      <c r="S7237" s="316"/>
      <c r="T7237" s="355"/>
    </row>
    <row r="7238" spans="11:20" x14ac:dyDescent="0.25">
      <c r="K7238" s="312"/>
      <c r="N7238" s="514"/>
      <c r="R7238" s="293"/>
      <c r="S7238" s="316"/>
      <c r="T7238" s="355"/>
    </row>
    <row r="7239" spans="11:20" x14ac:dyDescent="0.25">
      <c r="K7239" s="312"/>
      <c r="N7239" s="514"/>
      <c r="R7239" s="293"/>
      <c r="S7239" s="316"/>
      <c r="T7239" s="355"/>
    </row>
    <row r="7240" spans="11:20" x14ac:dyDescent="0.25">
      <c r="K7240" s="312"/>
      <c r="N7240" s="514"/>
      <c r="R7240" s="293"/>
      <c r="S7240" s="316"/>
      <c r="T7240" s="355"/>
    </row>
    <row r="7241" spans="11:20" x14ac:dyDescent="0.25">
      <c r="K7241" s="312"/>
      <c r="N7241" s="514"/>
      <c r="R7241" s="293"/>
      <c r="S7241" s="316"/>
      <c r="T7241" s="355"/>
    </row>
    <row r="7242" spans="11:20" x14ac:dyDescent="0.25">
      <c r="K7242" s="312"/>
      <c r="N7242" s="514"/>
      <c r="R7242" s="293"/>
      <c r="S7242" s="316"/>
      <c r="T7242" s="355"/>
    </row>
    <row r="7243" spans="11:20" x14ac:dyDescent="0.25">
      <c r="K7243" s="312"/>
      <c r="N7243" s="514"/>
      <c r="R7243" s="293"/>
      <c r="S7243" s="316"/>
      <c r="T7243" s="355"/>
    </row>
    <row r="7244" spans="11:20" x14ac:dyDescent="0.25">
      <c r="K7244" s="312"/>
      <c r="N7244" s="514"/>
      <c r="R7244" s="293"/>
      <c r="S7244" s="316"/>
      <c r="T7244" s="355"/>
    </row>
    <row r="7245" spans="11:20" x14ac:dyDescent="0.25">
      <c r="K7245" s="312"/>
      <c r="N7245" s="514"/>
      <c r="R7245" s="293"/>
      <c r="S7245" s="316"/>
      <c r="T7245" s="355"/>
    </row>
    <row r="7246" spans="11:20" x14ac:dyDescent="0.25">
      <c r="K7246" s="312"/>
      <c r="N7246" s="514"/>
      <c r="R7246" s="293"/>
      <c r="S7246" s="316"/>
      <c r="T7246" s="355"/>
    </row>
    <row r="7247" spans="11:20" x14ac:dyDescent="0.25">
      <c r="K7247" s="312"/>
      <c r="N7247" s="514"/>
      <c r="R7247" s="293"/>
      <c r="S7247" s="316"/>
      <c r="T7247" s="355"/>
    </row>
    <row r="7248" spans="11:20" x14ac:dyDescent="0.25">
      <c r="K7248" s="312"/>
      <c r="N7248" s="514"/>
      <c r="R7248" s="293"/>
      <c r="S7248" s="316"/>
      <c r="T7248" s="355"/>
    </row>
    <row r="7249" spans="11:20" x14ac:dyDescent="0.25">
      <c r="K7249" s="312"/>
      <c r="N7249" s="514"/>
      <c r="R7249" s="293"/>
      <c r="S7249" s="316"/>
      <c r="T7249" s="355"/>
    </row>
    <row r="7250" spans="11:20" x14ac:dyDescent="0.25">
      <c r="K7250" s="312"/>
      <c r="N7250" s="514"/>
      <c r="R7250" s="293"/>
      <c r="S7250" s="316"/>
      <c r="T7250" s="355"/>
    </row>
    <row r="7251" spans="11:20" x14ac:dyDescent="0.25">
      <c r="K7251" s="312"/>
      <c r="N7251" s="514"/>
      <c r="R7251" s="293"/>
      <c r="S7251" s="316"/>
      <c r="T7251" s="355"/>
    </row>
    <row r="7252" spans="11:20" x14ac:dyDescent="0.25">
      <c r="K7252" s="312"/>
      <c r="N7252" s="514"/>
      <c r="R7252" s="293"/>
      <c r="S7252" s="316"/>
      <c r="T7252" s="355"/>
    </row>
    <row r="7253" spans="11:20" x14ac:dyDescent="0.25">
      <c r="K7253" s="312"/>
      <c r="N7253" s="514"/>
      <c r="R7253" s="293"/>
      <c r="S7253" s="316"/>
      <c r="T7253" s="355"/>
    </row>
    <row r="7254" spans="11:20" x14ac:dyDescent="0.25">
      <c r="K7254" s="312"/>
      <c r="N7254" s="514"/>
      <c r="R7254" s="293"/>
      <c r="S7254" s="316"/>
      <c r="T7254" s="355"/>
    </row>
    <row r="7255" spans="11:20" x14ac:dyDescent="0.25">
      <c r="K7255" s="312"/>
      <c r="N7255" s="514"/>
      <c r="R7255" s="293"/>
      <c r="S7255" s="316"/>
      <c r="T7255" s="355"/>
    </row>
    <row r="7256" spans="11:20" x14ac:dyDescent="0.25">
      <c r="K7256" s="312"/>
      <c r="N7256" s="514"/>
      <c r="R7256" s="293"/>
      <c r="S7256" s="316"/>
      <c r="T7256" s="355"/>
    </row>
    <row r="7257" spans="11:20" x14ac:dyDescent="0.25">
      <c r="K7257" s="312"/>
      <c r="N7257" s="514"/>
      <c r="R7257" s="293"/>
      <c r="S7257" s="316"/>
      <c r="T7257" s="355"/>
    </row>
    <row r="7258" spans="11:20" x14ac:dyDescent="0.25">
      <c r="K7258" s="312"/>
      <c r="N7258" s="514"/>
      <c r="R7258" s="293"/>
      <c r="S7258" s="316"/>
      <c r="T7258" s="355"/>
    </row>
    <row r="7259" spans="11:20" x14ac:dyDescent="0.25">
      <c r="K7259" s="312"/>
      <c r="N7259" s="514"/>
      <c r="R7259" s="293"/>
      <c r="S7259" s="316"/>
      <c r="T7259" s="355"/>
    </row>
    <row r="7260" spans="11:20" x14ac:dyDescent="0.25">
      <c r="K7260" s="312"/>
      <c r="N7260" s="514"/>
      <c r="R7260" s="293"/>
      <c r="S7260" s="316"/>
      <c r="T7260" s="355"/>
    </row>
    <row r="7261" spans="11:20" x14ac:dyDescent="0.25">
      <c r="K7261" s="312"/>
      <c r="N7261" s="514"/>
      <c r="R7261" s="293"/>
      <c r="S7261" s="316"/>
      <c r="T7261" s="355"/>
    </row>
    <row r="7262" spans="11:20" x14ac:dyDescent="0.25">
      <c r="K7262" s="312"/>
      <c r="N7262" s="514"/>
      <c r="R7262" s="293"/>
      <c r="S7262" s="316"/>
      <c r="T7262" s="355"/>
    </row>
    <row r="7263" spans="11:20" x14ac:dyDescent="0.25">
      <c r="K7263" s="312"/>
      <c r="N7263" s="514"/>
      <c r="R7263" s="293"/>
      <c r="S7263" s="316"/>
      <c r="T7263" s="355"/>
    </row>
    <row r="7264" spans="11:20" x14ac:dyDescent="0.25">
      <c r="K7264" s="312"/>
      <c r="N7264" s="514"/>
      <c r="R7264" s="293"/>
      <c r="S7264" s="316"/>
      <c r="T7264" s="355"/>
    </row>
    <row r="7265" spans="11:20" x14ac:dyDescent="0.25">
      <c r="K7265" s="312"/>
      <c r="N7265" s="514"/>
      <c r="R7265" s="293"/>
      <c r="S7265" s="316"/>
      <c r="T7265" s="355"/>
    </row>
    <row r="7266" spans="11:20" x14ac:dyDescent="0.25">
      <c r="K7266" s="312"/>
      <c r="N7266" s="514"/>
      <c r="R7266" s="293"/>
      <c r="S7266" s="316"/>
      <c r="T7266" s="355"/>
    </row>
    <row r="7267" spans="11:20" x14ac:dyDescent="0.25">
      <c r="K7267" s="312"/>
      <c r="N7267" s="514"/>
      <c r="R7267" s="293"/>
      <c r="S7267" s="316"/>
      <c r="T7267" s="355"/>
    </row>
    <row r="7268" spans="11:20" x14ac:dyDescent="0.25">
      <c r="K7268" s="312"/>
      <c r="N7268" s="514"/>
      <c r="R7268" s="293"/>
      <c r="S7268" s="316"/>
      <c r="T7268" s="355"/>
    </row>
    <row r="7269" spans="11:20" x14ac:dyDescent="0.25">
      <c r="K7269" s="312"/>
      <c r="N7269" s="514"/>
      <c r="R7269" s="293"/>
      <c r="S7269" s="316"/>
      <c r="T7269" s="355"/>
    </row>
    <row r="7270" spans="11:20" x14ac:dyDescent="0.25">
      <c r="K7270" s="312"/>
      <c r="N7270" s="514"/>
      <c r="R7270" s="293"/>
      <c r="S7270" s="316"/>
      <c r="T7270" s="355"/>
    </row>
    <row r="7271" spans="11:20" x14ac:dyDescent="0.25">
      <c r="K7271" s="312"/>
      <c r="N7271" s="514"/>
      <c r="R7271" s="293"/>
      <c r="S7271" s="316"/>
      <c r="T7271" s="355"/>
    </row>
    <row r="7272" spans="11:20" x14ac:dyDescent="0.25">
      <c r="K7272" s="312"/>
      <c r="N7272" s="514"/>
      <c r="R7272" s="293"/>
      <c r="S7272" s="316"/>
      <c r="T7272" s="355"/>
    </row>
    <row r="7273" spans="11:20" x14ac:dyDescent="0.25">
      <c r="K7273" s="312"/>
      <c r="N7273" s="514"/>
      <c r="R7273" s="293"/>
      <c r="S7273" s="316"/>
      <c r="T7273" s="355"/>
    </row>
    <row r="7274" spans="11:20" x14ac:dyDescent="0.25">
      <c r="K7274" s="312"/>
      <c r="N7274" s="514"/>
      <c r="R7274" s="293"/>
      <c r="S7274" s="316"/>
      <c r="T7274" s="355"/>
    </row>
    <row r="7275" spans="11:20" x14ac:dyDescent="0.25">
      <c r="K7275" s="312"/>
      <c r="N7275" s="514"/>
      <c r="R7275" s="293"/>
      <c r="S7275" s="316"/>
      <c r="T7275" s="355"/>
    </row>
    <row r="7276" spans="11:20" x14ac:dyDescent="0.25">
      <c r="K7276" s="312"/>
      <c r="N7276" s="514"/>
      <c r="R7276" s="293"/>
      <c r="S7276" s="316"/>
      <c r="T7276" s="355"/>
    </row>
    <row r="7277" spans="11:20" x14ac:dyDescent="0.25">
      <c r="K7277" s="312"/>
      <c r="N7277" s="514"/>
      <c r="R7277" s="293"/>
      <c r="S7277" s="316"/>
      <c r="T7277" s="355"/>
    </row>
    <row r="7278" spans="11:20" x14ac:dyDescent="0.25">
      <c r="K7278" s="312"/>
      <c r="N7278" s="514"/>
      <c r="R7278" s="293"/>
      <c r="S7278" s="316"/>
      <c r="T7278" s="355"/>
    </row>
    <row r="7279" spans="11:20" x14ac:dyDescent="0.25">
      <c r="K7279" s="312"/>
      <c r="N7279" s="514"/>
      <c r="R7279" s="293"/>
      <c r="S7279" s="316"/>
      <c r="T7279" s="355"/>
    </row>
    <row r="7280" spans="11:20" x14ac:dyDescent="0.25">
      <c r="K7280" s="312"/>
      <c r="N7280" s="514"/>
      <c r="R7280" s="293"/>
      <c r="S7280" s="316"/>
      <c r="T7280" s="355"/>
    </row>
    <row r="7281" spans="11:20" x14ac:dyDescent="0.25">
      <c r="K7281" s="312"/>
      <c r="N7281" s="514"/>
      <c r="R7281" s="293"/>
      <c r="S7281" s="316"/>
      <c r="T7281" s="355"/>
    </row>
    <row r="7282" spans="11:20" x14ac:dyDescent="0.25">
      <c r="K7282" s="312"/>
      <c r="N7282" s="514"/>
      <c r="R7282" s="293"/>
      <c r="S7282" s="316"/>
      <c r="T7282" s="355"/>
    </row>
    <row r="7283" spans="11:20" x14ac:dyDescent="0.25">
      <c r="K7283" s="312"/>
      <c r="N7283" s="514"/>
      <c r="R7283" s="293"/>
      <c r="S7283" s="316"/>
      <c r="T7283" s="355"/>
    </row>
    <row r="7284" spans="11:20" x14ac:dyDescent="0.25">
      <c r="K7284" s="312"/>
      <c r="N7284" s="514"/>
      <c r="R7284" s="293"/>
      <c r="S7284" s="316"/>
      <c r="T7284" s="355"/>
    </row>
    <row r="7285" spans="11:20" x14ac:dyDescent="0.25">
      <c r="K7285" s="312"/>
      <c r="N7285" s="514"/>
      <c r="R7285" s="293"/>
      <c r="S7285" s="316"/>
      <c r="T7285" s="355"/>
    </row>
    <row r="7286" spans="11:20" x14ac:dyDescent="0.25">
      <c r="K7286" s="312"/>
      <c r="N7286" s="514"/>
      <c r="R7286" s="293"/>
      <c r="S7286" s="316"/>
      <c r="T7286" s="355"/>
    </row>
    <row r="7287" spans="11:20" x14ac:dyDescent="0.25">
      <c r="K7287" s="312"/>
      <c r="N7287" s="514"/>
      <c r="R7287" s="293"/>
      <c r="S7287" s="316"/>
      <c r="T7287" s="355"/>
    </row>
    <row r="7288" spans="11:20" x14ac:dyDescent="0.25">
      <c r="K7288" s="312"/>
      <c r="N7288" s="514"/>
      <c r="R7288" s="293"/>
      <c r="S7288" s="316"/>
      <c r="T7288" s="355"/>
    </row>
    <row r="7289" spans="11:20" x14ac:dyDescent="0.25">
      <c r="K7289" s="312"/>
      <c r="N7289" s="514"/>
      <c r="R7289" s="293"/>
      <c r="S7289" s="316"/>
      <c r="T7289" s="355"/>
    </row>
    <row r="7290" spans="11:20" x14ac:dyDescent="0.25">
      <c r="K7290" s="312"/>
      <c r="N7290" s="514"/>
      <c r="R7290" s="293"/>
      <c r="S7290" s="316"/>
      <c r="T7290" s="355"/>
    </row>
    <row r="7291" spans="11:20" x14ac:dyDescent="0.25">
      <c r="K7291" s="312"/>
      <c r="N7291" s="514"/>
      <c r="R7291" s="293"/>
      <c r="S7291" s="316"/>
      <c r="T7291" s="355"/>
    </row>
    <row r="7292" spans="11:20" x14ac:dyDescent="0.25">
      <c r="K7292" s="312"/>
      <c r="N7292" s="514"/>
      <c r="R7292" s="293"/>
      <c r="S7292" s="316"/>
      <c r="T7292" s="355"/>
    </row>
    <row r="7293" spans="11:20" x14ac:dyDescent="0.25">
      <c r="K7293" s="312"/>
      <c r="N7293" s="514"/>
      <c r="R7293" s="293"/>
      <c r="S7293" s="316"/>
      <c r="T7293" s="355"/>
    </row>
    <row r="7294" spans="11:20" x14ac:dyDescent="0.25">
      <c r="K7294" s="312"/>
      <c r="N7294" s="514"/>
      <c r="R7294" s="293"/>
      <c r="S7294" s="316"/>
      <c r="T7294" s="355"/>
    </row>
    <row r="7295" spans="11:20" x14ac:dyDescent="0.25">
      <c r="K7295" s="312"/>
      <c r="N7295" s="514"/>
      <c r="R7295" s="293"/>
      <c r="S7295" s="316"/>
      <c r="T7295" s="355"/>
    </row>
    <row r="7296" spans="11:20" x14ac:dyDescent="0.25">
      <c r="K7296" s="312"/>
      <c r="N7296" s="514"/>
      <c r="R7296" s="293"/>
      <c r="S7296" s="316"/>
      <c r="T7296" s="355"/>
    </row>
    <row r="7297" spans="11:20" x14ac:dyDescent="0.25">
      <c r="K7297" s="312"/>
      <c r="N7297" s="514"/>
      <c r="R7297" s="293"/>
      <c r="S7297" s="316"/>
      <c r="T7297" s="355"/>
    </row>
    <row r="7298" spans="11:20" x14ac:dyDescent="0.25">
      <c r="K7298" s="312"/>
      <c r="N7298" s="514"/>
      <c r="R7298" s="293"/>
      <c r="S7298" s="316"/>
      <c r="T7298" s="355"/>
    </row>
    <row r="7299" spans="11:20" x14ac:dyDescent="0.25">
      <c r="K7299" s="312"/>
      <c r="N7299" s="514"/>
      <c r="R7299" s="293"/>
      <c r="S7299" s="316"/>
      <c r="T7299" s="355"/>
    </row>
    <row r="7300" spans="11:20" x14ac:dyDescent="0.25">
      <c r="K7300" s="312"/>
      <c r="N7300" s="514"/>
      <c r="R7300" s="293"/>
      <c r="S7300" s="316"/>
      <c r="T7300" s="355"/>
    </row>
    <row r="7301" spans="11:20" x14ac:dyDescent="0.25">
      <c r="K7301" s="312"/>
      <c r="N7301" s="514"/>
      <c r="R7301" s="293"/>
      <c r="S7301" s="316"/>
      <c r="T7301" s="355"/>
    </row>
    <row r="7302" spans="11:20" x14ac:dyDescent="0.25">
      <c r="K7302" s="312"/>
      <c r="N7302" s="514"/>
      <c r="R7302" s="293"/>
      <c r="S7302" s="316"/>
      <c r="T7302" s="355"/>
    </row>
    <row r="7303" spans="11:20" x14ac:dyDescent="0.25">
      <c r="K7303" s="312"/>
      <c r="N7303" s="514"/>
      <c r="R7303" s="293"/>
      <c r="S7303" s="316"/>
      <c r="T7303" s="355"/>
    </row>
    <row r="7304" spans="11:20" x14ac:dyDescent="0.25">
      <c r="K7304" s="312"/>
      <c r="N7304" s="514"/>
      <c r="R7304" s="293"/>
      <c r="S7304" s="316"/>
      <c r="T7304" s="355"/>
    </row>
    <row r="7305" spans="11:20" x14ac:dyDescent="0.25">
      <c r="K7305" s="312"/>
      <c r="N7305" s="514"/>
      <c r="R7305" s="293"/>
      <c r="S7305" s="316"/>
      <c r="T7305" s="355"/>
    </row>
    <row r="7306" spans="11:20" x14ac:dyDescent="0.25">
      <c r="K7306" s="312"/>
      <c r="N7306" s="514"/>
      <c r="R7306" s="293"/>
      <c r="S7306" s="316"/>
      <c r="T7306" s="355"/>
    </row>
    <row r="7307" spans="11:20" x14ac:dyDescent="0.25">
      <c r="K7307" s="312"/>
      <c r="N7307" s="514"/>
      <c r="R7307" s="293"/>
      <c r="S7307" s="316"/>
      <c r="T7307" s="355"/>
    </row>
    <row r="7308" spans="11:20" x14ac:dyDescent="0.25">
      <c r="K7308" s="312"/>
      <c r="N7308" s="514"/>
      <c r="R7308" s="293"/>
      <c r="S7308" s="316"/>
      <c r="T7308" s="355"/>
    </row>
    <row r="7309" spans="11:20" x14ac:dyDescent="0.25">
      <c r="K7309" s="312"/>
      <c r="N7309" s="514"/>
      <c r="R7309" s="293"/>
      <c r="S7309" s="316"/>
      <c r="T7309" s="355"/>
    </row>
    <row r="7310" spans="11:20" x14ac:dyDescent="0.25">
      <c r="K7310" s="312"/>
      <c r="N7310" s="514"/>
      <c r="R7310" s="293"/>
      <c r="S7310" s="316"/>
      <c r="T7310" s="355"/>
    </row>
    <row r="7311" spans="11:20" x14ac:dyDescent="0.25">
      <c r="K7311" s="312"/>
      <c r="N7311" s="514"/>
      <c r="R7311" s="293"/>
      <c r="S7311" s="316"/>
      <c r="T7311" s="355"/>
    </row>
    <row r="7312" spans="11:20" x14ac:dyDescent="0.25">
      <c r="K7312" s="312"/>
      <c r="N7312" s="514"/>
      <c r="R7312" s="293"/>
      <c r="S7312" s="316"/>
      <c r="T7312" s="355"/>
    </row>
    <row r="7313" spans="11:20" x14ac:dyDescent="0.25">
      <c r="K7313" s="312"/>
      <c r="N7313" s="514"/>
      <c r="R7313" s="293"/>
      <c r="S7313" s="316"/>
      <c r="T7313" s="355"/>
    </row>
    <row r="7314" spans="11:20" x14ac:dyDescent="0.25">
      <c r="K7314" s="312"/>
      <c r="N7314" s="514"/>
      <c r="R7314" s="293"/>
      <c r="S7314" s="316"/>
      <c r="T7314" s="355"/>
    </row>
    <row r="7315" spans="11:20" x14ac:dyDescent="0.25">
      <c r="K7315" s="312"/>
      <c r="N7315" s="514"/>
      <c r="R7315" s="293"/>
      <c r="S7315" s="316"/>
      <c r="T7315" s="355"/>
    </row>
    <row r="7316" spans="11:20" x14ac:dyDescent="0.25">
      <c r="K7316" s="312"/>
      <c r="N7316" s="514"/>
      <c r="R7316" s="293"/>
      <c r="S7316" s="316"/>
      <c r="T7316" s="355"/>
    </row>
    <row r="7317" spans="11:20" x14ac:dyDescent="0.25">
      <c r="K7317" s="312"/>
      <c r="N7317" s="514"/>
      <c r="R7317" s="293"/>
      <c r="S7317" s="316"/>
      <c r="T7317" s="355"/>
    </row>
    <row r="7318" spans="11:20" x14ac:dyDescent="0.25">
      <c r="K7318" s="312"/>
      <c r="N7318" s="514"/>
      <c r="R7318" s="293"/>
      <c r="S7318" s="316"/>
      <c r="T7318" s="355"/>
    </row>
    <row r="7319" spans="11:20" x14ac:dyDescent="0.25">
      <c r="K7319" s="312"/>
      <c r="N7319" s="514"/>
      <c r="R7319" s="293"/>
      <c r="S7319" s="316"/>
      <c r="T7319" s="355"/>
    </row>
    <row r="7320" spans="11:20" x14ac:dyDescent="0.25">
      <c r="K7320" s="312"/>
      <c r="N7320" s="514"/>
      <c r="R7320" s="293"/>
      <c r="S7320" s="316"/>
      <c r="T7320" s="355"/>
    </row>
    <row r="7321" spans="11:20" x14ac:dyDescent="0.25">
      <c r="K7321" s="312"/>
      <c r="N7321" s="514"/>
      <c r="R7321" s="293"/>
      <c r="S7321" s="316"/>
      <c r="T7321" s="355"/>
    </row>
    <row r="7322" spans="11:20" x14ac:dyDescent="0.25">
      <c r="K7322" s="312"/>
      <c r="N7322" s="514"/>
      <c r="R7322" s="293"/>
      <c r="S7322" s="316"/>
      <c r="T7322" s="355"/>
    </row>
    <row r="7323" spans="11:20" x14ac:dyDescent="0.25">
      <c r="K7323" s="312"/>
      <c r="N7323" s="514"/>
      <c r="R7323" s="293"/>
      <c r="S7323" s="316"/>
      <c r="T7323" s="355"/>
    </row>
    <row r="7324" spans="11:20" x14ac:dyDescent="0.25">
      <c r="K7324" s="312"/>
      <c r="N7324" s="514"/>
      <c r="R7324" s="293"/>
      <c r="S7324" s="316"/>
      <c r="T7324" s="355"/>
    </row>
    <row r="7325" spans="11:20" x14ac:dyDescent="0.25">
      <c r="K7325" s="312"/>
      <c r="N7325" s="514"/>
      <c r="R7325" s="293"/>
      <c r="S7325" s="316"/>
      <c r="T7325" s="355"/>
    </row>
    <row r="7326" spans="11:20" x14ac:dyDescent="0.25">
      <c r="K7326" s="312"/>
      <c r="N7326" s="514"/>
      <c r="R7326" s="293"/>
      <c r="S7326" s="316"/>
      <c r="T7326" s="355"/>
    </row>
    <row r="7327" spans="11:20" x14ac:dyDescent="0.25">
      <c r="K7327" s="312"/>
      <c r="N7327" s="514"/>
      <c r="R7327" s="293"/>
      <c r="S7327" s="316"/>
      <c r="T7327" s="355"/>
    </row>
    <row r="7328" spans="11:20" x14ac:dyDescent="0.25">
      <c r="K7328" s="312"/>
      <c r="N7328" s="514"/>
      <c r="R7328" s="293"/>
      <c r="S7328" s="316"/>
      <c r="T7328" s="355"/>
    </row>
    <row r="7329" spans="11:20" x14ac:dyDescent="0.25">
      <c r="K7329" s="312"/>
      <c r="N7329" s="514"/>
      <c r="R7329" s="293"/>
      <c r="S7329" s="316"/>
      <c r="T7329" s="355"/>
    </row>
    <row r="7330" spans="11:20" x14ac:dyDescent="0.25">
      <c r="K7330" s="312"/>
      <c r="N7330" s="514"/>
      <c r="R7330" s="293"/>
      <c r="S7330" s="316"/>
      <c r="T7330" s="355"/>
    </row>
    <row r="7331" spans="11:20" x14ac:dyDescent="0.25">
      <c r="K7331" s="312"/>
      <c r="N7331" s="514"/>
      <c r="R7331" s="293"/>
      <c r="S7331" s="316"/>
      <c r="T7331" s="355"/>
    </row>
    <row r="7332" spans="11:20" x14ac:dyDescent="0.25">
      <c r="K7332" s="312"/>
      <c r="N7332" s="514"/>
      <c r="R7332" s="293"/>
      <c r="S7332" s="316"/>
      <c r="T7332" s="355"/>
    </row>
    <row r="7333" spans="11:20" x14ac:dyDescent="0.25">
      <c r="K7333" s="312"/>
      <c r="N7333" s="514"/>
      <c r="R7333" s="293"/>
      <c r="S7333" s="316"/>
      <c r="T7333" s="355"/>
    </row>
    <row r="7334" spans="11:20" x14ac:dyDescent="0.25">
      <c r="K7334" s="312"/>
      <c r="N7334" s="514"/>
      <c r="R7334" s="293"/>
      <c r="S7334" s="316"/>
      <c r="T7334" s="355"/>
    </row>
    <row r="7335" spans="11:20" x14ac:dyDescent="0.25">
      <c r="K7335" s="312"/>
      <c r="N7335" s="514"/>
      <c r="R7335" s="293"/>
      <c r="S7335" s="316"/>
      <c r="T7335" s="355"/>
    </row>
    <row r="7336" spans="11:20" x14ac:dyDescent="0.25">
      <c r="K7336" s="312"/>
      <c r="N7336" s="514"/>
      <c r="R7336" s="293"/>
      <c r="S7336" s="316"/>
      <c r="T7336" s="355"/>
    </row>
    <row r="7337" spans="11:20" x14ac:dyDescent="0.25">
      <c r="K7337" s="312"/>
      <c r="N7337" s="514"/>
      <c r="R7337" s="293"/>
      <c r="S7337" s="316"/>
      <c r="T7337" s="355"/>
    </row>
    <row r="7338" spans="11:20" x14ac:dyDescent="0.25">
      <c r="K7338" s="312"/>
      <c r="N7338" s="514"/>
      <c r="R7338" s="293"/>
      <c r="S7338" s="316"/>
      <c r="T7338" s="355"/>
    </row>
    <row r="7339" spans="11:20" x14ac:dyDescent="0.25">
      <c r="K7339" s="312"/>
      <c r="N7339" s="514"/>
      <c r="R7339" s="293"/>
      <c r="S7339" s="316"/>
      <c r="T7339" s="355"/>
    </row>
    <row r="7340" spans="11:20" x14ac:dyDescent="0.25">
      <c r="K7340" s="312"/>
      <c r="N7340" s="514"/>
      <c r="R7340" s="293"/>
      <c r="S7340" s="316"/>
      <c r="T7340" s="355"/>
    </row>
    <row r="7341" spans="11:20" x14ac:dyDescent="0.25">
      <c r="K7341" s="312"/>
      <c r="N7341" s="514"/>
      <c r="R7341" s="293"/>
      <c r="S7341" s="316"/>
      <c r="T7341" s="355"/>
    </row>
    <row r="7342" spans="11:20" x14ac:dyDescent="0.25">
      <c r="K7342" s="312"/>
      <c r="N7342" s="514"/>
      <c r="R7342" s="293"/>
      <c r="S7342" s="316"/>
      <c r="T7342" s="355"/>
    </row>
    <row r="7343" spans="11:20" x14ac:dyDescent="0.25">
      <c r="K7343" s="312"/>
      <c r="N7343" s="514"/>
      <c r="R7343" s="293"/>
      <c r="S7343" s="316"/>
      <c r="T7343" s="355"/>
    </row>
    <row r="7344" spans="11:20" x14ac:dyDescent="0.25">
      <c r="K7344" s="312"/>
      <c r="N7344" s="514"/>
      <c r="R7344" s="293"/>
      <c r="S7344" s="316"/>
      <c r="T7344" s="355"/>
    </row>
    <row r="7345" spans="11:20" x14ac:dyDescent="0.25">
      <c r="K7345" s="312"/>
      <c r="N7345" s="514"/>
      <c r="R7345" s="293"/>
      <c r="S7345" s="316"/>
      <c r="T7345" s="355"/>
    </row>
    <row r="7346" spans="11:20" x14ac:dyDescent="0.25">
      <c r="K7346" s="312"/>
      <c r="N7346" s="514"/>
      <c r="R7346" s="293"/>
      <c r="S7346" s="316"/>
      <c r="T7346" s="355"/>
    </row>
    <row r="7347" spans="11:20" x14ac:dyDescent="0.25">
      <c r="K7347" s="312"/>
      <c r="N7347" s="514"/>
      <c r="R7347" s="293"/>
      <c r="S7347" s="316"/>
      <c r="T7347" s="355"/>
    </row>
    <row r="7348" spans="11:20" x14ac:dyDescent="0.25">
      <c r="K7348" s="312"/>
      <c r="N7348" s="514"/>
      <c r="R7348" s="293"/>
      <c r="S7348" s="316"/>
      <c r="T7348" s="355"/>
    </row>
    <row r="7349" spans="11:20" x14ac:dyDescent="0.25">
      <c r="K7349" s="312"/>
      <c r="N7349" s="514"/>
      <c r="R7349" s="293"/>
      <c r="S7349" s="316"/>
      <c r="T7349" s="355"/>
    </row>
    <row r="7350" spans="11:20" x14ac:dyDescent="0.25">
      <c r="K7350" s="312"/>
      <c r="N7350" s="514"/>
      <c r="R7350" s="293"/>
      <c r="S7350" s="316"/>
      <c r="T7350" s="355"/>
    </row>
    <row r="7351" spans="11:20" x14ac:dyDescent="0.25">
      <c r="K7351" s="312"/>
      <c r="N7351" s="514"/>
      <c r="R7351" s="293"/>
      <c r="S7351" s="316"/>
      <c r="T7351" s="355"/>
    </row>
    <row r="7352" spans="11:20" x14ac:dyDescent="0.25">
      <c r="K7352" s="312"/>
      <c r="N7352" s="514"/>
      <c r="R7352" s="293"/>
      <c r="S7352" s="316"/>
      <c r="T7352" s="355"/>
    </row>
    <row r="7353" spans="11:20" x14ac:dyDescent="0.25">
      <c r="K7353" s="312"/>
      <c r="N7353" s="514"/>
      <c r="R7353" s="293"/>
      <c r="S7353" s="316"/>
      <c r="T7353" s="355"/>
    </row>
    <row r="7354" spans="11:20" x14ac:dyDescent="0.25">
      <c r="K7354" s="312"/>
      <c r="N7354" s="514"/>
      <c r="R7354" s="293"/>
      <c r="S7354" s="316"/>
      <c r="T7354" s="355"/>
    </row>
    <row r="7355" spans="11:20" x14ac:dyDescent="0.25">
      <c r="K7355" s="312"/>
      <c r="N7355" s="514"/>
      <c r="R7355" s="293"/>
      <c r="S7355" s="316"/>
      <c r="T7355" s="355"/>
    </row>
    <row r="7356" spans="11:20" x14ac:dyDescent="0.25">
      <c r="K7356" s="312"/>
      <c r="N7356" s="514"/>
      <c r="R7356" s="293"/>
      <c r="S7356" s="316"/>
      <c r="T7356" s="355"/>
    </row>
    <row r="7357" spans="11:20" x14ac:dyDescent="0.25">
      <c r="K7357" s="312"/>
      <c r="N7357" s="514"/>
      <c r="R7357" s="293"/>
      <c r="S7357" s="316"/>
      <c r="T7357" s="355"/>
    </row>
    <row r="7358" spans="11:20" x14ac:dyDescent="0.25">
      <c r="K7358" s="312"/>
      <c r="N7358" s="514"/>
      <c r="R7358" s="293"/>
      <c r="S7358" s="316"/>
      <c r="T7358" s="355"/>
    </row>
    <row r="7359" spans="11:20" x14ac:dyDescent="0.25">
      <c r="K7359" s="312"/>
      <c r="N7359" s="514"/>
      <c r="R7359" s="293"/>
      <c r="S7359" s="316"/>
      <c r="T7359" s="355"/>
    </row>
    <row r="7360" spans="11:20" x14ac:dyDescent="0.25">
      <c r="K7360" s="312"/>
      <c r="N7360" s="514"/>
      <c r="R7360" s="293"/>
      <c r="S7360" s="316"/>
      <c r="T7360" s="355"/>
    </row>
    <row r="7361" spans="11:20" x14ac:dyDescent="0.25">
      <c r="K7361" s="312"/>
      <c r="N7361" s="514"/>
      <c r="R7361" s="293"/>
      <c r="S7361" s="316"/>
      <c r="T7361" s="355"/>
    </row>
    <row r="7362" spans="11:20" x14ac:dyDescent="0.25">
      <c r="K7362" s="312"/>
      <c r="N7362" s="514"/>
      <c r="R7362" s="293"/>
      <c r="S7362" s="316"/>
      <c r="T7362" s="355"/>
    </row>
    <row r="7363" spans="11:20" x14ac:dyDescent="0.25">
      <c r="K7363" s="312"/>
      <c r="N7363" s="514"/>
      <c r="R7363" s="293"/>
      <c r="S7363" s="316"/>
      <c r="T7363" s="355"/>
    </row>
    <row r="7364" spans="11:20" x14ac:dyDescent="0.25">
      <c r="K7364" s="312"/>
      <c r="N7364" s="514"/>
      <c r="R7364" s="293"/>
      <c r="S7364" s="316"/>
      <c r="T7364" s="355"/>
    </row>
    <row r="7365" spans="11:20" x14ac:dyDescent="0.25">
      <c r="K7365" s="312"/>
      <c r="N7365" s="514"/>
      <c r="R7365" s="293"/>
      <c r="S7365" s="316"/>
      <c r="T7365" s="355"/>
    </row>
    <row r="7366" spans="11:20" x14ac:dyDescent="0.25">
      <c r="K7366" s="312"/>
      <c r="N7366" s="514"/>
      <c r="R7366" s="293"/>
      <c r="S7366" s="316"/>
      <c r="T7366" s="355"/>
    </row>
    <row r="7367" spans="11:20" x14ac:dyDescent="0.25">
      <c r="K7367" s="312"/>
      <c r="N7367" s="514"/>
      <c r="R7367" s="293"/>
      <c r="S7367" s="316"/>
      <c r="T7367" s="355"/>
    </row>
    <row r="7368" spans="11:20" x14ac:dyDescent="0.25">
      <c r="K7368" s="312"/>
      <c r="N7368" s="514"/>
      <c r="R7368" s="293"/>
      <c r="S7368" s="316"/>
      <c r="T7368" s="355"/>
    </row>
    <row r="7369" spans="11:20" x14ac:dyDescent="0.25">
      <c r="K7369" s="312"/>
      <c r="N7369" s="514"/>
      <c r="R7369" s="293"/>
      <c r="S7369" s="316"/>
      <c r="T7369" s="355"/>
    </row>
    <row r="7370" spans="11:20" x14ac:dyDescent="0.25">
      <c r="K7370" s="312"/>
      <c r="N7370" s="514"/>
      <c r="R7370" s="293"/>
      <c r="S7370" s="316"/>
      <c r="T7370" s="355"/>
    </row>
    <row r="7371" spans="11:20" x14ac:dyDescent="0.25">
      <c r="K7371" s="312"/>
      <c r="N7371" s="514"/>
      <c r="R7371" s="293"/>
      <c r="S7371" s="316"/>
      <c r="T7371" s="355"/>
    </row>
    <row r="7372" spans="11:20" x14ac:dyDescent="0.25">
      <c r="K7372" s="312"/>
      <c r="N7372" s="514"/>
      <c r="R7372" s="293"/>
      <c r="S7372" s="316"/>
      <c r="T7372" s="355"/>
    </row>
    <row r="7373" spans="11:20" x14ac:dyDescent="0.25">
      <c r="K7373" s="312"/>
      <c r="N7373" s="514"/>
      <c r="R7373" s="293"/>
      <c r="S7373" s="316"/>
      <c r="T7373" s="355"/>
    </row>
    <row r="7374" spans="11:20" x14ac:dyDescent="0.25">
      <c r="K7374" s="312"/>
      <c r="N7374" s="514"/>
      <c r="R7374" s="293"/>
      <c r="S7374" s="316"/>
      <c r="T7374" s="355"/>
    </row>
    <row r="7375" spans="11:20" x14ac:dyDescent="0.25">
      <c r="K7375" s="312"/>
      <c r="N7375" s="514"/>
      <c r="R7375" s="293"/>
      <c r="S7375" s="316"/>
      <c r="T7375" s="355"/>
    </row>
    <row r="7376" spans="11:20" x14ac:dyDescent="0.25">
      <c r="K7376" s="312"/>
      <c r="N7376" s="514"/>
      <c r="R7376" s="293"/>
      <c r="S7376" s="316"/>
      <c r="T7376" s="355"/>
    </row>
    <row r="7377" spans="11:20" x14ac:dyDescent="0.25">
      <c r="K7377" s="312"/>
      <c r="N7377" s="514"/>
      <c r="R7377" s="293"/>
      <c r="S7377" s="316"/>
      <c r="T7377" s="355"/>
    </row>
    <row r="7378" spans="11:20" x14ac:dyDescent="0.25">
      <c r="K7378" s="312"/>
      <c r="N7378" s="514"/>
      <c r="R7378" s="293"/>
      <c r="S7378" s="316"/>
      <c r="T7378" s="355"/>
    </row>
    <row r="7379" spans="11:20" x14ac:dyDescent="0.25">
      <c r="K7379" s="312"/>
      <c r="N7379" s="514"/>
      <c r="R7379" s="293"/>
      <c r="S7379" s="316"/>
      <c r="T7379" s="355"/>
    </row>
    <row r="7380" spans="11:20" x14ac:dyDescent="0.25">
      <c r="K7380" s="312"/>
      <c r="N7380" s="514"/>
      <c r="R7380" s="293"/>
      <c r="S7380" s="316"/>
      <c r="T7380" s="355"/>
    </row>
    <row r="7381" spans="11:20" x14ac:dyDescent="0.25">
      <c r="K7381" s="312"/>
      <c r="N7381" s="514"/>
      <c r="R7381" s="293"/>
      <c r="S7381" s="316"/>
      <c r="T7381" s="355"/>
    </row>
    <row r="7382" spans="11:20" x14ac:dyDescent="0.25">
      <c r="K7382" s="312"/>
      <c r="N7382" s="514"/>
      <c r="R7382" s="293"/>
      <c r="S7382" s="316"/>
      <c r="T7382" s="355"/>
    </row>
    <row r="7383" spans="11:20" x14ac:dyDescent="0.25">
      <c r="K7383" s="312"/>
      <c r="N7383" s="514"/>
      <c r="R7383" s="293"/>
      <c r="S7383" s="316"/>
      <c r="T7383" s="355"/>
    </row>
    <row r="7384" spans="11:20" x14ac:dyDescent="0.25">
      <c r="K7384" s="312"/>
      <c r="N7384" s="514"/>
      <c r="R7384" s="293"/>
      <c r="S7384" s="316"/>
      <c r="T7384" s="355"/>
    </row>
    <row r="7385" spans="11:20" x14ac:dyDescent="0.25">
      <c r="K7385" s="312"/>
      <c r="N7385" s="514"/>
      <c r="R7385" s="293"/>
      <c r="S7385" s="316"/>
      <c r="T7385" s="355"/>
    </row>
    <row r="7386" spans="11:20" x14ac:dyDescent="0.25">
      <c r="K7386" s="312"/>
      <c r="N7386" s="514"/>
      <c r="R7386" s="293"/>
      <c r="S7386" s="316"/>
      <c r="T7386" s="355"/>
    </row>
    <row r="7387" spans="11:20" x14ac:dyDescent="0.25">
      <c r="K7387" s="312"/>
      <c r="N7387" s="514"/>
      <c r="R7387" s="293"/>
      <c r="S7387" s="316"/>
      <c r="T7387" s="355"/>
    </row>
    <row r="7388" spans="11:20" x14ac:dyDescent="0.25">
      <c r="K7388" s="312"/>
      <c r="N7388" s="514"/>
      <c r="R7388" s="293"/>
      <c r="S7388" s="316"/>
      <c r="T7388" s="355"/>
    </row>
    <row r="7389" spans="11:20" x14ac:dyDescent="0.25">
      <c r="K7389" s="312"/>
      <c r="N7389" s="514"/>
      <c r="R7389" s="293"/>
      <c r="S7389" s="316"/>
      <c r="T7389" s="355"/>
    </row>
    <row r="7390" spans="11:20" x14ac:dyDescent="0.25">
      <c r="K7390" s="312"/>
      <c r="N7390" s="514"/>
      <c r="R7390" s="293"/>
      <c r="S7390" s="316"/>
      <c r="T7390" s="355"/>
    </row>
    <row r="7391" spans="11:20" x14ac:dyDescent="0.25">
      <c r="K7391" s="312"/>
      <c r="N7391" s="514"/>
      <c r="R7391" s="293"/>
      <c r="S7391" s="316"/>
      <c r="T7391" s="355"/>
    </row>
    <row r="7392" spans="11:20" x14ac:dyDescent="0.25">
      <c r="K7392" s="312"/>
      <c r="N7392" s="514"/>
      <c r="R7392" s="293"/>
      <c r="S7392" s="316"/>
      <c r="T7392" s="355"/>
    </row>
    <row r="7393" spans="11:20" x14ac:dyDescent="0.25">
      <c r="K7393" s="312"/>
      <c r="N7393" s="514"/>
      <c r="R7393" s="293"/>
      <c r="S7393" s="316"/>
      <c r="T7393" s="355"/>
    </row>
    <row r="7394" spans="11:20" x14ac:dyDescent="0.25">
      <c r="K7394" s="312"/>
      <c r="N7394" s="514"/>
      <c r="R7394" s="293"/>
      <c r="S7394" s="316"/>
      <c r="T7394" s="355"/>
    </row>
    <row r="7395" spans="11:20" x14ac:dyDescent="0.25">
      <c r="K7395" s="312"/>
      <c r="N7395" s="514"/>
      <c r="R7395" s="293"/>
      <c r="S7395" s="316"/>
      <c r="T7395" s="355"/>
    </row>
    <row r="7396" spans="11:20" x14ac:dyDescent="0.25">
      <c r="K7396" s="312"/>
      <c r="N7396" s="514"/>
      <c r="R7396" s="293"/>
      <c r="S7396" s="316"/>
      <c r="T7396" s="355"/>
    </row>
    <row r="7397" spans="11:20" x14ac:dyDescent="0.25">
      <c r="K7397" s="312"/>
      <c r="N7397" s="514"/>
      <c r="R7397" s="293"/>
      <c r="S7397" s="316"/>
      <c r="T7397" s="355"/>
    </row>
    <row r="7398" spans="11:20" x14ac:dyDescent="0.25">
      <c r="K7398" s="312"/>
      <c r="N7398" s="514"/>
      <c r="R7398" s="293"/>
      <c r="S7398" s="316"/>
      <c r="T7398" s="355"/>
    </row>
    <row r="7399" spans="11:20" x14ac:dyDescent="0.25">
      <c r="K7399" s="312"/>
      <c r="N7399" s="514"/>
      <c r="R7399" s="293"/>
      <c r="S7399" s="316"/>
      <c r="T7399" s="355"/>
    </row>
    <row r="7400" spans="11:20" x14ac:dyDescent="0.25">
      <c r="K7400" s="312"/>
      <c r="N7400" s="514"/>
      <c r="R7400" s="293"/>
      <c r="S7400" s="316"/>
      <c r="T7400" s="355"/>
    </row>
    <row r="7401" spans="11:20" x14ac:dyDescent="0.25">
      <c r="K7401" s="312"/>
      <c r="N7401" s="514"/>
      <c r="R7401" s="293"/>
      <c r="S7401" s="316"/>
      <c r="T7401" s="355"/>
    </row>
    <row r="7402" spans="11:20" x14ac:dyDescent="0.25">
      <c r="K7402" s="312"/>
      <c r="N7402" s="514"/>
      <c r="R7402" s="293"/>
      <c r="S7402" s="316"/>
      <c r="T7402" s="355"/>
    </row>
    <row r="7403" spans="11:20" x14ac:dyDescent="0.25">
      <c r="K7403" s="312"/>
      <c r="N7403" s="514"/>
      <c r="R7403" s="293"/>
      <c r="S7403" s="316"/>
      <c r="T7403" s="355"/>
    </row>
    <row r="7404" spans="11:20" x14ac:dyDescent="0.25">
      <c r="K7404" s="312"/>
      <c r="N7404" s="514"/>
      <c r="R7404" s="293"/>
      <c r="S7404" s="316"/>
      <c r="T7404" s="355"/>
    </row>
    <row r="7405" spans="11:20" x14ac:dyDescent="0.25">
      <c r="K7405" s="312"/>
      <c r="N7405" s="514"/>
      <c r="R7405" s="293"/>
      <c r="S7405" s="316"/>
      <c r="T7405" s="355"/>
    </row>
    <row r="7406" spans="11:20" x14ac:dyDescent="0.25">
      <c r="K7406" s="312"/>
      <c r="N7406" s="514"/>
      <c r="R7406" s="293"/>
      <c r="S7406" s="316"/>
      <c r="T7406" s="355"/>
    </row>
    <row r="7407" spans="11:20" x14ac:dyDescent="0.25">
      <c r="K7407" s="312"/>
      <c r="N7407" s="514"/>
      <c r="R7407" s="293"/>
      <c r="S7407" s="316"/>
      <c r="T7407" s="355"/>
    </row>
    <row r="7408" spans="11:20" x14ac:dyDescent="0.25">
      <c r="K7408" s="312"/>
      <c r="N7408" s="514"/>
      <c r="R7408" s="293"/>
      <c r="S7408" s="316"/>
      <c r="T7408" s="355"/>
    </row>
    <row r="7409" spans="11:20" x14ac:dyDescent="0.25">
      <c r="K7409" s="312"/>
      <c r="N7409" s="514"/>
      <c r="R7409" s="293"/>
      <c r="S7409" s="316"/>
      <c r="T7409" s="355"/>
    </row>
    <row r="7410" spans="11:20" x14ac:dyDescent="0.25">
      <c r="K7410" s="312"/>
      <c r="N7410" s="514"/>
      <c r="R7410" s="293"/>
      <c r="S7410" s="316"/>
      <c r="T7410" s="355"/>
    </row>
    <row r="7411" spans="11:20" x14ac:dyDescent="0.25">
      <c r="K7411" s="312"/>
      <c r="N7411" s="514"/>
      <c r="R7411" s="293"/>
      <c r="S7411" s="316"/>
      <c r="T7411" s="355"/>
    </row>
    <row r="7412" spans="11:20" x14ac:dyDescent="0.25">
      <c r="K7412" s="312"/>
      <c r="N7412" s="514"/>
      <c r="R7412" s="293"/>
      <c r="S7412" s="316"/>
      <c r="T7412" s="355"/>
    </row>
    <row r="7413" spans="11:20" x14ac:dyDescent="0.25">
      <c r="K7413" s="312"/>
      <c r="N7413" s="514"/>
      <c r="R7413" s="293"/>
      <c r="S7413" s="316"/>
      <c r="T7413" s="355"/>
    </row>
    <row r="7414" spans="11:20" x14ac:dyDescent="0.25">
      <c r="K7414" s="312"/>
      <c r="N7414" s="514"/>
      <c r="R7414" s="293"/>
      <c r="S7414" s="316"/>
      <c r="T7414" s="355"/>
    </row>
    <row r="7415" spans="11:20" x14ac:dyDescent="0.25">
      <c r="K7415" s="312"/>
      <c r="N7415" s="514"/>
      <c r="R7415" s="293"/>
      <c r="S7415" s="316"/>
      <c r="T7415" s="355"/>
    </row>
    <row r="7416" spans="11:20" x14ac:dyDescent="0.25">
      <c r="K7416" s="312"/>
      <c r="N7416" s="514"/>
      <c r="R7416" s="293"/>
      <c r="S7416" s="316"/>
      <c r="T7416" s="355"/>
    </row>
    <row r="7417" spans="11:20" x14ac:dyDescent="0.25">
      <c r="K7417" s="312"/>
      <c r="N7417" s="514"/>
      <c r="R7417" s="293"/>
      <c r="S7417" s="316"/>
      <c r="T7417" s="355"/>
    </row>
    <row r="7418" spans="11:20" x14ac:dyDescent="0.25">
      <c r="K7418" s="312"/>
      <c r="N7418" s="514"/>
      <c r="R7418" s="293"/>
      <c r="S7418" s="316"/>
      <c r="T7418" s="355"/>
    </row>
    <row r="7419" spans="11:20" x14ac:dyDescent="0.25">
      <c r="K7419" s="312"/>
      <c r="N7419" s="514"/>
      <c r="R7419" s="293"/>
      <c r="S7419" s="316"/>
      <c r="T7419" s="355"/>
    </row>
    <row r="7420" spans="11:20" x14ac:dyDescent="0.25">
      <c r="K7420" s="312"/>
      <c r="N7420" s="514"/>
      <c r="R7420" s="293"/>
      <c r="S7420" s="316"/>
      <c r="T7420" s="355"/>
    </row>
    <row r="7421" spans="11:20" x14ac:dyDescent="0.25">
      <c r="K7421" s="312"/>
      <c r="N7421" s="514"/>
      <c r="R7421" s="293"/>
      <c r="S7421" s="316"/>
      <c r="T7421" s="355"/>
    </row>
    <row r="7422" spans="11:20" x14ac:dyDescent="0.25">
      <c r="K7422" s="312"/>
      <c r="N7422" s="514"/>
      <c r="R7422" s="293"/>
      <c r="S7422" s="316"/>
      <c r="T7422" s="355"/>
    </row>
    <row r="7423" spans="11:20" x14ac:dyDescent="0.25">
      <c r="K7423" s="312"/>
      <c r="N7423" s="514"/>
      <c r="R7423" s="293"/>
      <c r="S7423" s="316"/>
      <c r="T7423" s="355"/>
    </row>
    <row r="7424" spans="11:20" x14ac:dyDescent="0.25">
      <c r="K7424" s="312"/>
      <c r="N7424" s="514"/>
      <c r="R7424" s="293"/>
      <c r="S7424" s="316"/>
      <c r="T7424" s="355"/>
    </row>
    <row r="7425" spans="11:20" x14ac:dyDescent="0.25">
      <c r="K7425" s="312"/>
      <c r="N7425" s="514"/>
      <c r="R7425" s="293"/>
      <c r="S7425" s="316"/>
      <c r="T7425" s="355"/>
    </row>
    <row r="7426" spans="11:20" x14ac:dyDescent="0.25">
      <c r="K7426" s="312"/>
      <c r="N7426" s="514"/>
      <c r="R7426" s="293"/>
      <c r="S7426" s="316"/>
      <c r="T7426" s="355"/>
    </row>
    <row r="7427" spans="11:20" x14ac:dyDescent="0.25">
      <c r="K7427" s="312"/>
      <c r="N7427" s="514"/>
      <c r="R7427" s="293"/>
      <c r="S7427" s="316"/>
      <c r="T7427" s="355"/>
    </row>
    <row r="7428" spans="11:20" x14ac:dyDescent="0.25">
      <c r="K7428" s="312"/>
      <c r="N7428" s="514"/>
      <c r="R7428" s="293"/>
      <c r="S7428" s="316"/>
      <c r="T7428" s="355"/>
    </row>
    <row r="7429" spans="11:20" x14ac:dyDescent="0.25">
      <c r="K7429" s="312"/>
      <c r="N7429" s="514"/>
      <c r="R7429" s="293"/>
      <c r="S7429" s="316"/>
      <c r="T7429" s="355"/>
    </row>
    <row r="7430" spans="11:20" x14ac:dyDescent="0.25">
      <c r="K7430" s="312"/>
      <c r="N7430" s="514"/>
      <c r="R7430" s="293"/>
      <c r="S7430" s="316"/>
      <c r="T7430" s="355"/>
    </row>
    <row r="7431" spans="11:20" x14ac:dyDescent="0.25">
      <c r="K7431" s="312"/>
      <c r="N7431" s="514"/>
      <c r="R7431" s="293"/>
      <c r="S7431" s="316"/>
      <c r="T7431" s="355"/>
    </row>
    <row r="7432" spans="11:20" x14ac:dyDescent="0.25">
      <c r="K7432" s="312"/>
      <c r="N7432" s="514"/>
      <c r="R7432" s="293"/>
      <c r="S7432" s="316"/>
      <c r="T7432" s="355"/>
    </row>
    <row r="7433" spans="11:20" x14ac:dyDescent="0.25">
      <c r="K7433" s="312"/>
      <c r="N7433" s="514"/>
      <c r="R7433" s="293"/>
      <c r="S7433" s="316"/>
      <c r="T7433" s="355"/>
    </row>
    <row r="7434" spans="11:20" x14ac:dyDescent="0.25">
      <c r="K7434" s="312"/>
      <c r="N7434" s="514"/>
      <c r="R7434" s="293"/>
      <c r="S7434" s="316"/>
      <c r="T7434" s="355"/>
    </row>
    <row r="7435" spans="11:20" x14ac:dyDescent="0.25">
      <c r="K7435" s="312"/>
      <c r="N7435" s="514"/>
      <c r="R7435" s="293"/>
      <c r="S7435" s="316"/>
      <c r="T7435" s="355"/>
    </row>
    <row r="7436" spans="11:20" x14ac:dyDescent="0.25">
      <c r="K7436" s="312"/>
      <c r="N7436" s="514"/>
      <c r="R7436" s="293"/>
      <c r="S7436" s="316"/>
      <c r="T7436" s="355"/>
    </row>
    <row r="7437" spans="11:20" x14ac:dyDescent="0.25">
      <c r="K7437" s="312"/>
      <c r="N7437" s="514"/>
      <c r="R7437" s="293"/>
      <c r="S7437" s="316"/>
      <c r="T7437" s="355"/>
    </row>
    <row r="7438" spans="11:20" x14ac:dyDescent="0.25">
      <c r="K7438" s="312"/>
      <c r="N7438" s="514"/>
      <c r="R7438" s="293"/>
      <c r="S7438" s="316"/>
      <c r="T7438" s="355"/>
    </row>
    <row r="7439" spans="11:20" x14ac:dyDescent="0.25">
      <c r="K7439" s="312"/>
      <c r="N7439" s="514"/>
      <c r="R7439" s="293"/>
      <c r="S7439" s="316"/>
      <c r="T7439" s="355"/>
    </row>
    <row r="7440" spans="11:20" x14ac:dyDescent="0.25">
      <c r="K7440" s="312"/>
      <c r="N7440" s="514"/>
      <c r="R7440" s="293"/>
      <c r="S7440" s="316"/>
      <c r="T7440" s="355"/>
    </row>
    <row r="7441" spans="11:20" x14ac:dyDescent="0.25">
      <c r="K7441" s="312"/>
      <c r="N7441" s="514"/>
      <c r="R7441" s="293"/>
      <c r="S7441" s="316"/>
      <c r="T7441" s="355"/>
    </row>
    <row r="7442" spans="11:20" x14ac:dyDescent="0.25">
      <c r="K7442" s="312"/>
      <c r="N7442" s="514"/>
      <c r="R7442" s="293"/>
      <c r="S7442" s="316"/>
      <c r="T7442" s="355"/>
    </row>
    <row r="7443" spans="11:20" x14ac:dyDescent="0.25">
      <c r="K7443" s="312"/>
      <c r="N7443" s="514"/>
      <c r="R7443" s="293"/>
      <c r="S7443" s="316"/>
      <c r="T7443" s="355"/>
    </row>
    <row r="7444" spans="11:20" x14ac:dyDescent="0.25">
      <c r="K7444" s="312"/>
      <c r="N7444" s="514"/>
      <c r="R7444" s="293"/>
      <c r="S7444" s="316"/>
      <c r="T7444" s="355"/>
    </row>
    <row r="7445" spans="11:20" x14ac:dyDescent="0.25">
      <c r="K7445" s="312"/>
      <c r="N7445" s="514"/>
      <c r="R7445" s="293"/>
      <c r="S7445" s="316"/>
      <c r="T7445" s="355"/>
    </row>
    <row r="7446" spans="11:20" x14ac:dyDescent="0.25">
      <c r="K7446" s="312"/>
      <c r="N7446" s="514"/>
      <c r="R7446" s="293"/>
      <c r="S7446" s="316"/>
      <c r="T7446" s="355"/>
    </row>
    <row r="7447" spans="11:20" x14ac:dyDescent="0.25">
      <c r="K7447" s="312"/>
      <c r="N7447" s="514"/>
      <c r="R7447" s="293"/>
      <c r="S7447" s="316"/>
      <c r="T7447" s="355"/>
    </row>
    <row r="7448" spans="11:20" x14ac:dyDescent="0.25">
      <c r="K7448" s="312"/>
      <c r="N7448" s="514"/>
      <c r="R7448" s="293"/>
      <c r="S7448" s="316"/>
      <c r="T7448" s="355"/>
    </row>
    <row r="7449" spans="11:20" x14ac:dyDescent="0.25">
      <c r="K7449" s="312"/>
      <c r="N7449" s="514"/>
      <c r="R7449" s="293"/>
      <c r="S7449" s="316"/>
      <c r="T7449" s="355"/>
    </row>
    <row r="7450" spans="11:20" x14ac:dyDescent="0.25">
      <c r="K7450" s="312"/>
      <c r="N7450" s="514"/>
      <c r="R7450" s="293"/>
      <c r="S7450" s="316"/>
      <c r="T7450" s="355"/>
    </row>
    <row r="7451" spans="11:20" x14ac:dyDescent="0.25">
      <c r="K7451" s="312"/>
      <c r="N7451" s="514"/>
      <c r="R7451" s="293"/>
      <c r="S7451" s="316"/>
      <c r="T7451" s="355"/>
    </row>
    <row r="7452" spans="11:20" x14ac:dyDescent="0.25">
      <c r="K7452" s="312"/>
      <c r="N7452" s="514"/>
      <c r="R7452" s="293"/>
      <c r="S7452" s="316"/>
      <c r="T7452" s="355"/>
    </row>
    <row r="7453" spans="11:20" x14ac:dyDescent="0.25">
      <c r="K7453" s="312"/>
      <c r="N7453" s="514"/>
      <c r="R7453" s="293"/>
      <c r="S7453" s="316"/>
      <c r="T7453" s="355"/>
    </row>
    <row r="7454" spans="11:20" x14ac:dyDescent="0.25">
      <c r="K7454" s="312"/>
      <c r="N7454" s="514"/>
      <c r="R7454" s="293"/>
      <c r="S7454" s="316"/>
      <c r="T7454" s="355"/>
    </row>
    <row r="7455" spans="11:20" x14ac:dyDescent="0.25">
      <c r="K7455" s="312"/>
      <c r="N7455" s="514"/>
      <c r="R7455" s="293"/>
      <c r="S7455" s="316"/>
      <c r="T7455" s="355"/>
    </row>
    <row r="7456" spans="11:20" x14ac:dyDescent="0.25">
      <c r="K7456" s="312"/>
      <c r="N7456" s="514"/>
      <c r="R7456" s="293"/>
      <c r="S7456" s="316"/>
      <c r="T7456" s="355"/>
    </row>
    <row r="7457" spans="11:20" x14ac:dyDescent="0.25">
      <c r="K7457" s="312"/>
      <c r="N7457" s="514"/>
      <c r="R7457" s="293"/>
      <c r="S7457" s="316"/>
      <c r="T7457" s="355"/>
    </row>
    <row r="7458" spans="11:20" x14ac:dyDescent="0.25">
      <c r="K7458" s="312"/>
      <c r="N7458" s="514"/>
      <c r="R7458" s="293"/>
      <c r="S7458" s="316"/>
      <c r="T7458" s="355"/>
    </row>
    <row r="7459" spans="11:20" x14ac:dyDescent="0.25">
      <c r="K7459" s="312"/>
      <c r="N7459" s="514"/>
      <c r="R7459" s="293"/>
      <c r="S7459" s="316"/>
      <c r="T7459" s="355"/>
    </row>
    <row r="7460" spans="11:20" x14ac:dyDescent="0.25">
      <c r="K7460" s="312"/>
      <c r="N7460" s="514"/>
      <c r="R7460" s="293"/>
      <c r="S7460" s="316"/>
      <c r="T7460" s="355"/>
    </row>
    <row r="7461" spans="11:20" x14ac:dyDescent="0.25">
      <c r="K7461" s="312"/>
      <c r="N7461" s="514"/>
      <c r="R7461" s="293"/>
      <c r="S7461" s="316"/>
      <c r="T7461" s="355"/>
    </row>
    <row r="7462" spans="11:20" x14ac:dyDescent="0.25">
      <c r="K7462" s="312"/>
      <c r="N7462" s="514"/>
      <c r="R7462" s="293"/>
      <c r="S7462" s="316"/>
      <c r="T7462" s="355"/>
    </row>
    <row r="7463" spans="11:20" x14ac:dyDescent="0.25">
      <c r="K7463" s="312"/>
      <c r="N7463" s="514"/>
      <c r="R7463" s="293"/>
      <c r="S7463" s="316"/>
      <c r="T7463" s="355"/>
    </row>
    <row r="7464" spans="11:20" x14ac:dyDescent="0.25">
      <c r="K7464" s="312"/>
      <c r="N7464" s="514"/>
      <c r="R7464" s="293"/>
      <c r="S7464" s="316"/>
      <c r="T7464" s="355"/>
    </row>
    <row r="7465" spans="11:20" x14ac:dyDescent="0.25">
      <c r="K7465" s="312"/>
      <c r="N7465" s="514"/>
      <c r="R7465" s="293"/>
      <c r="S7465" s="316"/>
      <c r="T7465" s="355"/>
    </row>
    <row r="7466" spans="11:20" x14ac:dyDescent="0.25">
      <c r="K7466" s="312"/>
      <c r="N7466" s="514"/>
      <c r="R7466" s="293"/>
      <c r="S7466" s="316"/>
      <c r="T7466" s="355"/>
    </row>
    <row r="7467" spans="11:20" x14ac:dyDescent="0.25">
      <c r="K7467" s="312"/>
      <c r="N7467" s="514"/>
      <c r="R7467" s="293"/>
      <c r="S7467" s="316"/>
      <c r="T7467" s="355"/>
    </row>
    <row r="7468" spans="11:20" x14ac:dyDescent="0.25">
      <c r="K7468" s="312"/>
      <c r="N7468" s="514"/>
      <c r="R7468" s="293"/>
      <c r="S7468" s="316"/>
      <c r="T7468" s="355"/>
    </row>
    <row r="7469" spans="11:20" x14ac:dyDescent="0.25">
      <c r="K7469" s="312"/>
      <c r="N7469" s="514"/>
      <c r="R7469" s="293"/>
      <c r="S7469" s="316"/>
      <c r="T7469" s="355"/>
    </row>
    <row r="7470" spans="11:20" x14ac:dyDescent="0.25">
      <c r="K7470" s="312"/>
      <c r="N7470" s="514"/>
      <c r="R7470" s="293"/>
      <c r="S7470" s="316"/>
      <c r="T7470" s="355"/>
    </row>
    <row r="7471" spans="11:20" x14ac:dyDescent="0.25">
      <c r="K7471" s="312"/>
      <c r="N7471" s="514"/>
      <c r="R7471" s="293"/>
      <c r="S7471" s="316"/>
      <c r="T7471" s="355"/>
    </row>
    <row r="7472" spans="11:20" x14ac:dyDescent="0.25">
      <c r="K7472" s="312"/>
      <c r="N7472" s="514"/>
      <c r="R7472" s="293"/>
      <c r="S7472" s="316"/>
      <c r="T7472" s="355"/>
    </row>
    <row r="7473" spans="11:20" x14ac:dyDescent="0.25">
      <c r="K7473" s="312"/>
      <c r="N7473" s="514"/>
      <c r="R7473" s="293"/>
      <c r="S7473" s="316"/>
      <c r="T7473" s="355"/>
    </row>
    <row r="7474" spans="11:20" x14ac:dyDescent="0.25">
      <c r="K7474" s="312"/>
      <c r="N7474" s="514"/>
      <c r="R7474" s="293"/>
      <c r="S7474" s="316"/>
      <c r="T7474" s="355"/>
    </row>
    <row r="7475" spans="11:20" x14ac:dyDescent="0.25">
      <c r="K7475" s="312"/>
      <c r="N7475" s="514"/>
      <c r="R7475" s="293"/>
      <c r="S7475" s="316"/>
      <c r="T7475" s="355"/>
    </row>
    <row r="7476" spans="11:20" x14ac:dyDescent="0.25">
      <c r="K7476" s="312"/>
      <c r="N7476" s="514"/>
      <c r="R7476" s="293"/>
      <c r="S7476" s="316"/>
      <c r="T7476" s="355"/>
    </row>
    <row r="7477" spans="11:20" x14ac:dyDescent="0.25">
      <c r="K7477" s="312"/>
      <c r="N7477" s="514"/>
      <c r="R7477" s="293"/>
      <c r="S7477" s="316"/>
      <c r="T7477" s="355"/>
    </row>
    <row r="7478" spans="11:20" x14ac:dyDescent="0.25">
      <c r="K7478" s="312"/>
      <c r="N7478" s="514"/>
      <c r="R7478" s="293"/>
      <c r="S7478" s="316"/>
      <c r="T7478" s="355"/>
    </row>
    <row r="7479" spans="11:20" x14ac:dyDescent="0.25">
      <c r="K7479" s="312"/>
      <c r="N7479" s="514"/>
      <c r="R7479" s="293"/>
      <c r="S7479" s="316"/>
      <c r="T7479" s="355"/>
    </row>
    <row r="7480" spans="11:20" x14ac:dyDescent="0.25">
      <c r="K7480" s="312"/>
      <c r="N7480" s="514"/>
      <c r="R7480" s="293"/>
      <c r="S7480" s="316"/>
      <c r="T7480" s="355"/>
    </row>
    <row r="7481" spans="11:20" x14ac:dyDescent="0.25">
      <c r="K7481" s="312"/>
      <c r="N7481" s="514"/>
      <c r="R7481" s="293"/>
      <c r="S7481" s="316"/>
      <c r="T7481" s="355"/>
    </row>
    <row r="7482" spans="11:20" x14ac:dyDescent="0.25">
      <c r="K7482" s="312"/>
      <c r="N7482" s="514"/>
      <c r="R7482" s="293"/>
      <c r="S7482" s="316"/>
      <c r="T7482" s="355"/>
    </row>
    <row r="7483" spans="11:20" x14ac:dyDescent="0.25">
      <c r="K7483" s="312"/>
      <c r="N7483" s="514"/>
      <c r="R7483" s="293"/>
      <c r="S7483" s="316"/>
      <c r="T7483" s="355"/>
    </row>
    <row r="7484" spans="11:20" x14ac:dyDescent="0.25">
      <c r="K7484" s="312"/>
      <c r="N7484" s="514"/>
      <c r="R7484" s="293"/>
      <c r="S7484" s="316"/>
      <c r="T7484" s="355"/>
    </row>
    <row r="7485" spans="11:20" x14ac:dyDescent="0.25">
      <c r="K7485" s="312"/>
      <c r="N7485" s="514"/>
      <c r="R7485" s="293"/>
      <c r="S7485" s="316"/>
      <c r="T7485" s="355"/>
    </row>
    <row r="7486" spans="11:20" x14ac:dyDescent="0.25">
      <c r="K7486" s="312"/>
      <c r="N7486" s="514"/>
      <c r="R7486" s="293"/>
      <c r="S7486" s="316"/>
      <c r="T7486" s="355"/>
    </row>
    <row r="7487" spans="11:20" x14ac:dyDescent="0.25">
      <c r="K7487" s="312"/>
      <c r="N7487" s="514"/>
      <c r="R7487" s="293"/>
      <c r="S7487" s="316"/>
      <c r="T7487" s="355"/>
    </row>
    <row r="7488" spans="11:20" x14ac:dyDescent="0.25">
      <c r="K7488" s="312"/>
      <c r="N7488" s="514"/>
      <c r="R7488" s="293"/>
      <c r="S7488" s="316"/>
      <c r="T7488" s="355"/>
    </row>
    <row r="7489" spans="11:20" x14ac:dyDescent="0.25">
      <c r="K7489" s="312"/>
      <c r="N7489" s="514"/>
      <c r="R7489" s="293"/>
      <c r="S7489" s="316"/>
      <c r="T7489" s="355"/>
    </row>
    <row r="7490" spans="11:20" x14ac:dyDescent="0.25">
      <c r="K7490" s="312"/>
      <c r="N7490" s="514"/>
      <c r="R7490" s="293"/>
      <c r="S7490" s="316"/>
      <c r="T7490" s="355"/>
    </row>
    <row r="7491" spans="11:20" x14ac:dyDescent="0.25">
      <c r="K7491" s="312"/>
      <c r="N7491" s="514"/>
      <c r="R7491" s="293"/>
      <c r="S7491" s="316"/>
      <c r="T7491" s="355"/>
    </row>
    <row r="7492" spans="11:20" x14ac:dyDescent="0.25">
      <c r="K7492" s="312"/>
      <c r="N7492" s="514"/>
      <c r="R7492" s="293"/>
      <c r="S7492" s="316"/>
      <c r="T7492" s="355"/>
    </row>
    <row r="7493" spans="11:20" x14ac:dyDescent="0.25">
      <c r="K7493" s="312"/>
      <c r="N7493" s="514"/>
      <c r="R7493" s="293"/>
      <c r="S7493" s="316"/>
      <c r="T7493" s="355"/>
    </row>
    <row r="7494" spans="11:20" x14ac:dyDescent="0.25">
      <c r="K7494" s="312"/>
      <c r="N7494" s="514"/>
      <c r="R7494" s="293"/>
      <c r="S7494" s="316"/>
      <c r="T7494" s="355"/>
    </row>
    <row r="7495" spans="11:20" x14ac:dyDescent="0.25">
      <c r="K7495" s="312"/>
      <c r="N7495" s="514"/>
      <c r="R7495" s="293"/>
      <c r="S7495" s="316"/>
      <c r="T7495" s="355"/>
    </row>
    <row r="7496" spans="11:20" x14ac:dyDescent="0.25">
      <c r="K7496" s="312"/>
      <c r="N7496" s="514"/>
      <c r="R7496" s="293"/>
      <c r="S7496" s="316"/>
      <c r="T7496" s="355"/>
    </row>
    <row r="7497" spans="11:20" x14ac:dyDescent="0.25">
      <c r="K7497" s="312"/>
      <c r="N7497" s="514"/>
      <c r="R7497" s="293"/>
      <c r="S7497" s="316"/>
      <c r="T7497" s="355"/>
    </row>
    <row r="7498" spans="11:20" x14ac:dyDescent="0.25">
      <c r="K7498" s="312"/>
      <c r="N7498" s="514"/>
      <c r="R7498" s="293"/>
      <c r="S7498" s="316"/>
      <c r="T7498" s="355"/>
    </row>
    <row r="7499" spans="11:20" x14ac:dyDescent="0.25">
      <c r="K7499" s="312"/>
      <c r="N7499" s="514"/>
      <c r="R7499" s="293"/>
      <c r="S7499" s="316"/>
      <c r="T7499" s="355"/>
    </row>
    <row r="7500" spans="11:20" x14ac:dyDescent="0.25">
      <c r="K7500" s="312"/>
      <c r="N7500" s="514"/>
      <c r="R7500" s="293"/>
      <c r="S7500" s="316"/>
      <c r="T7500" s="355"/>
    </row>
    <row r="7501" spans="11:20" x14ac:dyDescent="0.25">
      <c r="K7501" s="312"/>
      <c r="N7501" s="514"/>
      <c r="R7501" s="293"/>
      <c r="S7501" s="316"/>
      <c r="T7501" s="355"/>
    </row>
    <row r="7502" spans="11:20" x14ac:dyDescent="0.25">
      <c r="K7502" s="312"/>
      <c r="N7502" s="514"/>
      <c r="R7502" s="293"/>
      <c r="S7502" s="316"/>
      <c r="T7502" s="355"/>
    </row>
    <row r="7503" spans="11:20" x14ac:dyDescent="0.25">
      <c r="K7503" s="312"/>
      <c r="N7503" s="514"/>
      <c r="R7503" s="293"/>
      <c r="S7503" s="316"/>
      <c r="T7503" s="355"/>
    </row>
    <row r="7504" spans="11:20" x14ac:dyDescent="0.25">
      <c r="K7504" s="312"/>
      <c r="N7504" s="514"/>
      <c r="R7504" s="293"/>
      <c r="S7504" s="316"/>
      <c r="T7504" s="355"/>
    </row>
    <row r="7505" spans="11:20" x14ac:dyDescent="0.25">
      <c r="K7505" s="312"/>
      <c r="N7505" s="514"/>
      <c r="R7505" s="293"/>
      <c r="S7505" s="316"/>
      <c r="T7505" s="355"/>
    </row>
    <row r="7506" spans="11:20" x14ac:dyDescent="0.25">
      <c r="K7506" s="312"/>
      <c r="N7506" s="514"/>
      <c r="R7506" s="293"/>
      <c r="S7506" s="316"/>
      <c r="T7506" s="355"/>
    </row>
    <row r="7507" spans="11:20" x14ac:dyDescent="0.25">
      <c r="K7507" s="312"/>
      <c r="N7507" s="514"/>
      <c r="R7507" s="293"/>
      <c r="S7507" s="316"/>
      <c r="T7507" s="355"/>
    </row>
    <row r="7508" spans="11:20" x14ac:dyDescent="0.25">
      <c r="K7508" s="312"/>
      <c r="N7508" s="514"/>
      <c r="R7508" s="293"/>
      <c r="S7508" s="316"/>
      <c r="T7508" s="355"/>
    </row>
    <row r="7509" spans="11:20" x14ac:dyDescent="0.25">
      <c r="K7509" s="312"/>
      <c r="N7509" s="514"/>
      <c r="R7509" s="293"/>
      <c r="S7509" s="316"/>
      <c r="T7509" s="355"/>
    </row>
    <row r="7510" spans="11:20" x14ac:dyDescent="0.25">
      <c r="K7510" s="312"/>
      <c r="N7510" s="514"/>
      <c r="R7510" s="293"/>
      <c r="S7510" s="316"/>
      <c r="T7510" s="355"/>
    </row>
    <row r="7511" spans="11:20" x14ac:dyDescent="0.25">
      <c r="K7511" s="312"/>
      <c r="N7511" s="514"/>
      <c r="R7511" s="293"/>
      <c r="S7511" s="316"/>
      <c r="T7511" s="355"/>
    </row>
    <row r="7512" spans="11:20" x14ac:dyDescent="0.25">
      <c r="K7512" s="312"/>
      <c r="N7512" s="514"/>
      <c r="R7512" s="293"/>
      <c r="S7512" s="316"/>
      <c r="T7512" s="355"/>
    </row>
    <row r="7513" spans="11:20" x14ac:dyDescent="0.25">
      <c r="K7513" s="312"/>
      <c r="N7513" s="514"/>
      <c r="R7513" s="293"/>
      <c r="S7513" s="316"/>
      <c r="T7513" s="355"/>
    </row>
    <row r="7514" spans="11:20" x14ac:dyDescent="0.25">
      <c r="K7514" s="312"/>
      <c r="N7514" s="514"/>
      <c r="R7514" s="293"/>
      <c r="S7514" s="316"/>
      <c r="T7514" s="355"/>
    </row>
    <row r="7515" spans="11:20" x14ac:dyDescent="0.25">
      <c r="K7515" s="312"/>
      <c r="N7515" s="514"/>
      <c r="R7515" s="293"/>
      <c r="S7515" s="316"/>
      <c r="T7515" s="355"/>
    </row>
    <row r="7516" spans="11:20" x14ac:dyDescent="0.25">
      <c r="K7516" s="312"/>
      <c r="N7516" s="514"/>
      <c r="R7516" s="293"/>
      <c r="S7516" s="316"/>
      <c r="T7516" s="355"/>
    </row>
    <row r="7517" spans="11:20" x14ac:dyDescent="0.25">
      <c r="K7517" s="312"/>
      <c r="N7517" s="514"/>
      <c r="R7517" s="293"/>
      <c r="S7517" s="316"/>
      <c r="T7517" s="355"/>
    </row>
    <row r="7518" spans="11:20" x14ac:dyDescent="0.25">
      <c r="K7518" s="312"/>
      <c r="N7518" s="514"/>
      <c r="R7518" s="293"/>
      <c r="S7518" s="316"/>
      <c r="T7518" s="355"/>
    </row>
    <row r="7519" spans="11:20" x14ac:dyDescent="0.25">
      <c r="K7519" s="312"/>
      <c r="N7519" s="514"/>
      <c r="R7519" s="293"/>
      <c r="S7519" s="316"/>
      <c r="T7519" s="355"/>
    </row>
    <row r="7520" spans="11:20" x14ac:dyDescent="0.25">
      <c r="K7520" s="312"/>
      <c r="N7520" s="514"/>
      <c r="R7520" s="293"/>
      <c r="S7520" s="316"/>
      <c r="T7520" s="355"/>
    </row>
    <row r="7521" spans="11:20" x14ac:dyDescent="0.25">
      <c r="K7521" s="312"/>
      <c r="N7521" s="514"/>
      <c r="R7521" s="293"/>
      <c r="S7521" s="316"/>
      <c r="T7521" s="355"/>
    </row>
    <row r="7522" spans="11:20" x14ac:dyDescent="0.25">
      <c r="K7522" s="312"/>
      <c r="N7522" s="514"/>
      <c r="R7522" s="293"/>
      <c r="S7522" s="316"/>
      <c r="T7522" s="355"/>
    </row>
    <row r="7523" spans="11:20" x14ac:dyDescent="0.25">
      <c r="K7523" s="312"/>
      <c r="N7523" s="514"/>
      <c r="R7523" s="293"/>
      <c r="S7523" s="316"/>
      <c r="T7523" s="355"/>
    </row>
    <row r="7524" spans="11:20" x14ac:dyDescent="0.25">
      <c r="K7524" s="312"/>
      <c r="N7524" s="514"/>
      <c r="R7524" s="293"/>
      <c r="S7524" s="316"/>
      <c r="T7524" s="355"/>
    </row>
    <row r="7525" spans="11:20" x14ac:dyDescent="0.25">
      <c r="K7525" s="312"/>
      <c r="N7525" s="514"/>
      <c r="R7525" s="293"/>
      <c r="S7525" s="316"/>
      <c r="T7525" s="355"/>
    </row>
    <row r="7526" spans="11:20" x14ac:dyDescent="0.25">
      <c r="K7526" s="312"/>
      <c r="N7526" s="514"/>
      <c r="R7526" s="293"/>
      <c r="S7526" s="316"/>
      <c r="T7526" s="355"/>
    </row>
    <row r="7527" spans="11:20" x14ac:dyDescent="0.25">
      <c r="K7527" s="312"/>
      <c r="N7527" s="514"/>
      <c r="R7527" s="293"/>
      <c r="S7527" s="316"/>
      <c r="T7527" s="355"/>
    </row>
    <row r="7528" spans="11:20" x14ac:dyDescent="0.25">
      <c r="K7528" s="312"/>
      <c r="N7528" s="514"/>
      <c r="R7528" s="293"/>
      <c r="S7528" s="316"/>
      <c r="T7528" s="355"/>
    </row>
    <row r="7529" spans="11:20" x14ac:dyDescent="0.25">
      <c r="K7529" s="312"/>
      <c r="N7529" s="514"/>
      <c r="R7529" s="293"/>
      <c r="S7529" s="316"/>
      <c r="T7529" s="355"/>
    </row>
    <row r="7530" spans="11:20" x14ac:dyDescent="0.25">
      <c r="K7530" s="312"/>
      <c r="N7530" s="514"/>
      <c r="R7530" s="293"/>
      <c r="S7530" s="316"/>
      <c r="T7530" s="355"/>
    </row>
    <row r="7531" spans="11:20" x14ac:dyDescent="0.25">
      <c r="K7531" s="312"/>
      <c r="N7531" s="514"/>
      <c r="R7531" s="293"/>
      <c r="S7531" s="316"/>
      <c r="T7531" s="355"/>
    </row>
    <row r="7532" spans="11:20" x14ac:dyDescent="0.25">
      <c r="K7532" s="312"/>
      <c r="N7532" s="514"/>
      <c r="R7532" s="293"/>
      <c r="S7532" s="316"/>
      <c r="T7532" s="355"/>
    </row>
    <row r="7533" spans="11:20" x14ac:dyDescent="0.25">
      <c r="K7533" s="312"/>
      <c r="N7533" s="514"/>
      <c r="R7533" s="293"/>
      <c r="S7533" s="316"/>
      <c r="T7533" s="355"/>
    </row>
    <row r="7534" spans="11:20" x14ac:dyDescent="0.25">
      <c r="K7534" s="312"/>
      <c r="N7534" s="514"/>
      <c r="R7534" s="293"/>
      <c r="S7534" s="316"/>
      <c r="T7534" s="355"/>
    </row>
    <row r="7535" spans="11:20" x14ac:dyDescent="0.25">
      <c r="K7535" s="312"/>
      <c r="N7535" s="514"/>
      <c r="R7535" s="293"/>
      <c r="S7535" s="316"/>
      <c r="T7535" s="355"/>
    </row>
    <row r="7536" spans="11:20" x14ac:dyDescent="0.25">
      <c r="K7536" s="312"/>
      <c r="N7536" s="514"/>
      <c r="R7536" s="293"/>
      <c r="S7536" s="316"/>
      <c r="T7536" s="355"/>
    </row>
    <row r="7537" spans="11:20" x14ac:dyDescent="0.25">
      <c r="K7537" s="312"/>
      <c r="N7537" s="514"/>
      <c r="R7537" s="293"/>
      <c r="S7537" s="316"/>
      <c r="T7537" s="355"/>
    </row>
    <row r="7538" spans="11:20" x14ac:dyDescent="0.25">
      <c r="K7538" s="312"/>
      <c r="N7538" s="514"/>
      <c r="R7538" s="293"/>
      <c r="S7538" s="316"/>
      <c r="T7538" s="355"/>
    </row>
    <row r="7539" spans="11:20" x14ac:dyDescent="0.25">
      <c r="K7539" s="312"/>
      <c r="N7539" s="514"/>
      <c r="R7539" s="293"/>
      <c r="S7539" s="316"/>
      <c r="T7539" s="355"/>
    </row>
    <row r="7540" spans="11:20" x14ac:dyDescent="0.25">
      <c r="K7540" s="312"/>
      <c r="N7540" s="514"/>
      <c r="R7540" s="293"/>
      <c r="S7540" s="316"/>
      <c r="T7540" s="355"/>
    </row>
    <row r="7541" spans="11:20" x14ac:dyDescent="0.25">
      <c r="K7541" s="312"/>
      <c r="N7541" s="514"/>
      <c r="R7541" s="293"/>
      <c r="S7541" s="316"/>
      <c r="T7541" s="355"/>
    </row>
    <row r="7542" spans="11:20" x14ac:dyDescent="0.25">
      <c r="K7542" s="312"/>
      <c r="N7542" s="514"/>
      <c r="R7542" s="293"/>
      <c r="S7542" s="316"/>
      <c r="T7542" s="355"/>
    </row>
    <row r="7543" spans="11:20" x14ac:dyDescent="0.25">
      <c r="K7543" s="312"/>
      <c r="N7543" s="514"/>
      <c r="R7543" s="293"/>
      <c r="S7543" s="316"/>
      <c r="T7543" s="355"/>
    </row>
    <row r="7544" spans="11:20" x14ac:dyDescent="0.25">
      <c r="K7544" s="312"/>
      <c r="N7544" s="514"/>
      <c r="R7544" s="293"/>
      <c r="S7544" s="316"/>
      <c r="T7544" s="355"/>
    </row>
    <row r="7545" spans="11:20" x14ac:dyDescent="0.25">
      <c r="K7545" s="312"/>
      <c r="N7545" s="514"/>
      <c r="R7545" s="293"/>
      <c r="S7545" s="316"/>
      <c r="T7545" s="355"/>
    </row>
    <row r="7546" spans="11:20" x14ac:dyDescent="0.25">
      <c r="K7546" s="312"/>
      <c r="N7546" s="514"/>
      <c r="R7546" s="293"/>
      <c r="S7546" s="316"/>
      <c r="T7546" s="355"/>
    </row>
    <row r="7547" spans="11:20" x14ac:dyDescent="0.25">
      <c r="K7547" s="312"/>
      <c r="N7547" s="514"/>
      <c r="R7547" s="293"/>
      <c r="S7547" s="316"/>
      <c r="T7547" s="355"/>
    </row>
    <row r="7548" spans="11:20" x14ac:dyDescent="0.25">
      <c r="K7548" s="312"/>
      <c r="N7548" s="514"/>
      <c r="R7548" s="293"/>
      <c r="S7548" s="316"/>
      <c r="T7548" s="355"/>
    </row>
    <row r="7549" spans="11:20" x14ac:dyDescent="0.25">
      <c r="K7549" s="312"/>
      <c r="N7549" s="514"/>
      <c r="R7549" s="293"/>
      <c r="S7549" s="316"/>
      <c r="T7549" s="355"/>
    </row>
    <row r="7550" spans="11:20" x14ac:dyDescent="0.25">
      <c r="K7550" s="312"/>
      <c r="N7550" s="514"/>
      <c r="R7550" s="293"/>
      <c r="S7550" s="316"/>
      <c r="T7550" s="355"/>
    </row>
    <row r="7551" spans="11:20" x14ac:dyDescent="0.25">
      <c r="K7551" s="312"/>
      <c r="N7551" s="514"/>
      <c r="R7551" s="293"/>
      <c r="S7551" s="316"/>
      <c r="T7551" s="355"/>
    </row>
    <row r="7552" spans="11:20" x14ac:dyDescent="0.25">
      <c r="K7552" s="312"/>
      <c r="N7552" s="514"/>
      <c r="R7552" s="293"/>
      <c r="S7552" s="316"/>
      <c r="T7552" s="355"/>
    </row>
    <row r="7553" spans="11:20" x14ac:dyDescent="0.25">
      <c r="K7553" s="312"/>
      <c r="N7553" s="514"/>
      <c r="R7553" s="293"/>
      <c r="S7553" s="316"/>
      <c r="T7553" s="355"/>
    </row>
    <row r="7554" spans="11:20" x14ac:dyDescent="0.25">
      <c r="K7554" s="312"/>
      <c r="N7554" s="514"/>
      <c r="R7554" s="293"/>
      <c r="S7554" s="316"/>
      <c r="T7554" s="355"/>
    </row>
    <row r="7555" spans="11:20" x14ac:dyDescent="0.25">
      <c r="K7555" s="312"/>
      <c r="N7555" s="514"/>
      <c r="R7555" s="293"/>
      <c r="S7555" s="316"/>
      <c r="T7555" s="355"/>
    </row>
    <row r="7556" spans="11:20" x14ac:dyDescent="0.25">
      <c r="K7556" s="312"/>
      <c r="N7556" s="514"/>
      <c r="R7556" s="293"/>
      <c r="S7556" s="316"/>
      <c r="T7556" s="355"/>
    </row>
    <row r="7557" spans="11:20" x14ac:dyDescent="0.25">
      <c r="K7557" s="312"/>
      <c r="N7557" s="514"/>
      <c r="R7557" s="293"/>
      <c r="S7557" s="316"/>
      <c r="T7557" s="355"/>
    </row>
    <row r="7558" spans="11:20" x14ac:dyDescent="0.25">
      <c r="K7558" s="312"/>
      <c r="N7558" s="514"/>
      <c r="R7558" s="293"/>
      <c r="S7558" s="316"/>
      <c r="T7558" s="355"/>
    </row>
    <row r="7559" spans="11:20" x14ac:dyDescent="0.25">
      <c r="K7559" s="312"/>
      <c r="N7559" s="514"/>
      <c r="R7559" s="293"/>
      <c r="S7559" s="316"/>
      <c r="T7559" s="355"/>
    </row>
    <row r="7560" spans="11:20" x14ac:dyDescent="0.25">
      <c r="K7560" s="312"/>
      <c r="N7560" s="514"/>
      <c r="R7560" s="293"/>
      <c r="S7560" s="316"/>
      <c r="T7560" s="355"/>
    </row>
    <row r="7561" spans="11:20" x14ac:dyDescent="0.25">
      <c r="K7561" s="312"/>
      <c r="N7561" s="514"/>
      <c r="R7561" s="293"/>
      <c r="S7561" s="316"/>
      <c r="T7561" s="355"/>
    </row>
    <row r="7562" spans="11:20" x14ac:dyDescent="0.25">
      <c r="K7562" s="312"/>
      <c r="N7562" s="514"/>
      <c r="R7562" s="293"/>
      <c r="S7562" s="316"/>
      <c r="T7562" s="355"/>
    </row>
    <row r="7563" spans="11:20" x14ac:dyDescent="0.25">
      <c r="K7563" s="312"/>
      <c r="N7563" s="514"/>
      <c r="R7563" s="293"/>
      <c r="S7563" s="316"/>
      <c r="T7563" s="355"/>
    </row>
    <row r="7564" spans="11:20" x14ac:dyDescent="0.25">
      <c r="K7564" s="312"/>
      <c r="N7564" s="514"/>
      <c r="R7564" s="293"/>
      <c r="S7564" s="316"/>
      <c r="T7564" s="355"/>
    </row>
    <row r="7565" spans="11:20" x14ac:dyDescent="0.25">
      <c r="K7565" s="312"/>
      <c r="N7565" s="514"/>
      <c r="R7565" s="293"/>
      <c r="S7565" s="316"/>
      <c r="T7565" s="355"/>
    </row>
    <row r="7566" spans="11:20" x14ac:dyDescent="0.25">
      <c r="K7566" s="312"/>
      <c r="N7566" s="514"/>
      <c r="R7566" s="293"/>
      <c r="S7566" s="316"/>
      <c r="T7566" s="355"/>
    </row>
    <row r="7567" spans="11:20" x14ac:dyDescent="0.25">
      <c r="K7567" s="312"/>
      <c r="N7567" s="514"/>
      <c r="R7567" s="293"/>
      <c r="S7567" s="316"/>
      <c r="T7567" s="355"/>
    </row>
    <row r="7568" spans="11:20" x14ac:dyDescent="0.25">
      <c r="K7568" s="312"/>
      <c r="N7568" s="514"/>
      <c r="R7568" s="293"/>
      <c r="S7568" s="316"/>
      <c r="T7568" s="355"/>
    </row>
    <row r="7569" spans="11:20" x14ac:dyDescent="0.25">
      <c r="K7569" s="312"/>
      <c r="N7569" s="514"/>
      <c r="R7569" s="293"/>
      <c r="S7569" s="316"/>
      <c r="T7569" s="355"/>
    </row>
    <row r="7570" spans="11:20" x14ac:dyDescent="0.25">
      <c r="K7570" s="312"/>
      <c r="N7570" s="514"/>
      <c r="R7570" s="293"/>
      <c r="S7570" s="316"/>
      <c r="T7570" s="355"/>
    </row>
    <row r="7571" spans="11:20" x14ac:dyDescent="0.25">
      <c r="K7571" s="312"/>
      <c r="N7571" s="514"/>
      <c r="R7571" s="293"/>
      <c r="S7571" s="316"/>
      <c r="T7571" s="355"/>
    </row>
    <row r="7572" spans="11:20" x14ac:dyDescent="0.25">
      <c r="K7572" s="312"/>
      <c r="N7572" s="514"/>
      <c r="R7572" s="293"/>
      <c r="S7572" s="316"/>
      <c r="T7572" s="355"/>
    </row>
    <row r="7573" spans="11:20" x14ac:dyDescent="0.25">
      <c r="K7573" s="312"/>
      <c r="N7573" s="514"/>
      <c r="R7573" s="293"/>
      <c r="S7573" s="316"/>
      <c r="T7573" s="355"/>
    </row>
    <row r="7574" spans="11:20" x14ac:dyDescent="0.25">
      <c r="K7574" s="312"/>
      <c r="N7574" s="514"/>
      <c r="R7574" s="293"/>
      <c r="S7574" s="316"/>
      <c r="T7574" s="355"/>
    </row>
    <row r="7575" spans="11:20" x14ac:dyDescent="0.25">
      <c r="K7575" s="312"/>
      <c r="N7575" s="514"/>
      <c r="R7575" s="293"/>
      <c r="S7575" s="316"/>
      <c r="T7575" s="355"/>
    </row>
    <row r="7576" spans="11:20" x14ac:dyDescent="0.25">
      <c r="K7576" s="312"/>
      <c r="N7576" s="514"/>
      <c r="R7576" s="293"/>
      <c r="S7576" s="316"/>
      <c r="T7576" s="355"/>
    </row>
    <row r="7577" spans="11:20" x14ac:dyDescent="0.25">
      <c r="K7577" s="312"/>
      <c r="N7577" s="514"/>
      <c r="R7577" s="293"/>
      <c r="S7577" s="316"/>
      <c r="T7577" s="355"/>
    </row>
    <row r="7578" spans="11:20" x14ac:dyDescent="0.25">
      <c r="K7578" s="312"/>
      <c r="N7578" s="514"/>
      <c r="R7578" s="293"/>
      <c r="S7578" s="316"/>
      <c r="T7578" s="355"/>
    </row>
    <row r="7579" spans="11:20" x14ac:dyDescent="0.25">
      <c r="K7579" s="312"/>
      <c r="N7579" s="514"/>
      <c r="R7579" s="293"/>
      <c r="S7579" s="316"/>
      <c r="T7579" s="355"/>
    </row>
    <row r="7580" spans="11:20" x14ac:dyDescent="0.25">
      <c r="K7580" s="312"/>
      <c r="N7580" s="514"/>
      <c r="R7580" s="293"/>
      <c r="S7580" s="316"/>
      <c r="T7580" s="355"/>
    </row>
    <row r="7581" spans="11:20" x14ac:dyDescent="0.25">
      <c r="K7581" s="312"/>
      <c r="N7581" s="514"/>
      <c r="R7581" s="293"/>
      <c r="S7581" s="316"/>
      <c r="T7581" s="355"/>
    </row>
    <row r="7582" spans="11:20" x14ac:dyDescent="0.25">
      <c r="K7582" s="312"/>
      <c r="N7582" s="514"/>
      <c r="R7582" s="293"/>
      <c r="S7582" s="316"/>
      <c r="T7582" s="355"/>
    </row>
    <row r="7583" spans="11:20" x14ac:dyDescent="0.25">
      <c r="K7583" s="312"/>
      <c r="N7583" s="514"/>
      <c r="R7583" s="293"/>
      <c r="S7583" s="316"/>
      <c r="T7583" s="355"/>
    </row>
    <row r="7584" spans="11:20" x14ac:dyDescent="0.25">
      <c r="K7584" s="312"/>
      <c r="N7584" s="514"/>
      <c r="R7584" s="293"/>
      <c r="S7584" s="316"/>
      <c r="T7584" s="355"/>
    </row>
    <row r="7585" spans="11:20" x14ac:dyDescent="0.25">
      <c r="K7585" s="312"/>
      <c r="N7585" s="514"/>
      <c r="R7585" s="293"/>
      <c r="S7585" s="316"/>
      <c r="T7585" s="355"/>
    </row>
    <row r="7586" spans="11:20" x14ac:dyDescent="0.25">
      <c r="K7586" s="312"/>
      <c r="N7586" s="514"/>
      <c r="R7586" s="293"/>
      <c r="S7586" s="316"/>
      <c r="T7586" s="355"/>
    </row>
    <row r="7587" spans="11:20" x14ac:dyDescent="0.25">
      <c r="K7587" s="312"/>
      <c r="N7587" s="514"/>
      <c r="R7587" s="293"/>
      <c r="S7587" s="316"/>
      <c r="T7587" s="355"/>
    </row>
    <row r="7588" spans="11:20" x14ac:dyDescent="0.25">
      <c r="K7588" s="312"/>
      <c r="N7588" s="514"/>
      <c r="R7588" s="293"/>
      <c r="S7588" s="316"/>
      <c r="T7588" s="355"/>
    </row>
    <row r="7589" spans="11:20" x14ac:dyDescent="0.25">
      <c r="K7589" s="312"/>
      <c r="N7589" s="514"/>
      <c r="R7589" s="293"/>
      <c r="S7589" s="316"/>
      <c r="T7589" s="355"/>
    </row>
    <row r="7590" spans="11:20" x14ac:dyDescent="0.25">
      <c r="K7590" s="312"/>
      <c r="N7590" s="514"/>
      <c r="R7590" s="293"/>
      <c r="S7590" s="316"/>
      <c r="T7590" s="355"/>
    </row>
    <row r="7591" spans="11:20" x14ac:dyDescent="0.25">
      <c r="K7591" s="312"/>
      <c r="N7591" s="514"/>
      <c r="R7591" s="293"/>
      <c r="S7591" s="316"/>
      <c r="T7591" s="355"/>
    </row>
    <row r="7592" spans="11:20" x14ac:dyDescent="0.25">
      <c r="K7592" s="312"/>
      <c r="N7592" s="514"/>
      <c r="R7592" s="293"/>
      <c r="S7592" s="316"/>
      <c r="T7592" s="355"/>
    </row>
    <row r="7593" spans="11:20" x14ac:dyDescent="0.25">
      <c r="K7593" s="312"/>
      <c r="N7593" s="514"/>
      <c r="R7593" s="293"/>
      <c r="S7593" s="316"/>
      <c r="T7593" s="355"/>
    </row>
    <row r="7594" spans="11:20" x14ac:dyDescent="0.25">
      <c r="K7594" s="312"/>
      <c r="N7594" s="514"/>
      <c r="R7594" s="293"/>
      <c r="S7594" s="316"/>
      <c r="T7594" s="355"/>
    </row>
    <row r="7595" spans="11:20" x14ac:dyDescent="0.25">
      <c r="K7595" s="312"/>
      <c r="N7595" s="514"/>
      <c r="R7595" s="293"/>
      <c r="S7595" s="316"/>
      <c r="T7595" s="355"/>
    </row>
    <row r="7596" spans="11:20" x14ac:dyDescent="0.25">
      <c r="K7596" s="312"/>
      <c r="N7596" s="514"/>
      <c r="R7596" s="293"/>
      <c r="S7596" s="316"/>
      <c r="T7596" s="355"/>
    </row>
    <row r="7597" spans="11:20" x14ac:dyDescent="0.25">
      <c r="K7597" s="312"/>
      <c r="N7597" s="514"/>
      <c r="R7597" s="293"/>
      <c r="S7597" s="316"/>
      <c r="T7597" s="355"/>
    </row>
    <row r="7598" spans="11:20" x14ac:dyDescent="0.25">
      <c r="K7598" s="312"/>
      <c r="N7598" s="514"/>
      <c r="R7598" s="293"/>
      <c r="S7598" s="316"/>
      <c r="T7598" s="355"/>
    </row>
    <row r="7599" spans="11:20" x14ac:dyDescent="0.25">
      <c r="K7599" s="312"/>
      <c r="N7599" s="514"/>
      <c r="R7599" s="293"/>
      <c r="S7599" s="316"/>
      <c r="T7599" s="355"/>
    </row>
    <row r="7600" spans="11:20" x14ac:dyDescent="0.25">
      <c r="K7600" s="312"/>
      <c r="N7600" s="514"/>
      <c r="R7600" s="293"/>
      <c r="S7600" s="316"/>
      <c r="T7600" s="355"/>
    </row>
    <row r="7601" spans="11:20" x14ac:dyDescent="0.25">
      <c r="K7601" s="312"/>
      <c r="N7601" s="514"/>
      <c r="R7601" s="293"/>
      <c r="S7601" s="316"/>
      <c r="T7601" s="355"/>
    </row>
    <row r="7602" spans="11:20" x14ac:dyDescent="0.25">
      <c r="K7602" s="312"/>
      <c r="N7602" s="514"/>
      <c r="R7602" s="293"/>
      <c r="S7602" s="316"/>
      <c r="T7602" s="355"/>
    </row>
    <row r="7603" spans="11:20" x14ac:dyDescent="0.25">
      <c r="K7603" s="312"/>
      <c r="N7603" s="514"/>
      <c r="R7603" s="293"/>
      <c r="S7603" s="316"/>
      <c r="T7603" s="355"/>
    </row>
    <row r="7604" spans="11:20" x14ac:dyDescent="0.25">
      <c r="K7604" s="312"/>
      <c r="N7604" s="514"/>
      <c r="R7604" s="293"/>
      <c r="S7604" s="316"/>
      <c r="T7604" s="355"/>
    </row>
    <row r="7605" spans="11:20" x14ac:dyDescent="0.25">
      <c r="K7605" s="312"/>
      <c r="N7605" s="514"/>
      <c r="R7605" s="293"/>
      <c r="S7605" s="316"/>
      <c r="T7605" s="355"/>
    </row>
    <row r="7606" spans="11:20" x14ac:dyDescent="0.25">
      <c r="K7606" s="312"/>
      <c r="N7606" s="514"/>
      <c r="R7606" s="293"/>
      <c r="S7606" s="316"/>
      <c r="T7606" s="355"/>
    </row>
    <row r="7607" spans="11:20" x14ac:dyDescent="0.25">
      <c r="K7607" s="312"/>
      <c r="N7607" s="514"/>
      <c r="R7607" s="293"/>
      <c r="S7607" s="316"/>
      <c r="T7607" s="355"/>
    </row>
    <row r="7608" spans="11:20" x14ac:dyDescent="0.25">
      <c r="K7608" s="312"/>
      <c r="N7608" s="514"/>
      <c r="R7608" s="293"/>
      <c r="S7608" s="316"/>
      <c r="T7608" s="355"/>
    </row>
    <row r="7609" spans="11:20" x14ac:dyDescent="0.25">
      <c r="K7609" s="312"/>
      <c r="N7609" s="514"/>
      <c r="R7609" s="293"/>
      <c r="S7609" s="316"/>
      <c r="T7609" s="355"/>
    </row>
    <row r="7610" spans="11:20" x14ac:dyDescent="0.25">
      <c r="K7610" s="312"/>
      <c r="N7610" s="514"/>
      <c r="R7610" s="293"/>
      <c r="S7610" s="316"/>
      <c r="T7610" s="355"/>
    </row>
    <row r="7611" spans="11:20" x14ac:dyDescent="0.25">
      <c r="K7611" s="312"/>
      <c r="N7611" s="514"/>
      <c r="R7611" s="293"/>
      <c r="S7611" s="316"/>
      <c r="T7611" s="355"/>
    </row>
    <row r="7612" spans="11:20" x14ac:dyDescent="0.25">
      <c r="K7612" s="312"/>
      <c r="N7612" s="514"/>
      <c r="R7612" s="293"/>
      <c r="S7612" s="316"/>
      <c r="T7612" s="355"/>
    </row>
    <row r="7613" spans="11:20" x14ac:dyDescent="0.25">
      <c r="K7613" s="312"/>
      <c r="N7613" s="514"/>
      <c r="R7613" s="293"/>
      <c r="S7613" s="316"/>
      <c r="T7613" s="355"/>
    </row>
    <row r="7614" spans="11:20" x14ac:dyDescent="0.25">
      <c r="K7614" s="312"/>
      <c r="N7614" s="514"/>
      <c r="R7614" s="293"/>
      <c r="S7614" s="316"/>
      <c r="T7614" s="355"/>
    </row>
    <row r="7615" spans="11:20" x14ac:dyDescent="0.25">
      <c r="K7615" s="312"/>
      <c r="N7615" s="514"/>
      <c r="R7615" s="293"/>
      <c r="S7615" s="316"/>
      <c r="T7615" s="355"/>
    </row>
    <row r="7616" spans="11:20" x14ac:dyDescent="0.25">
      <c r="K7616" s="312"/>
      <c r="N7616" s="514"/>
      <c r="R7616" s="293"/>
      <c r="S7616" s="316"/>
      <c r="T7616" s="355"/>
    </row>
    <row r="7617" spans="11:20" x14ac:dyDescent="0.25">
      <c r="K7617" s="312"/>
      <c r="N7617" s="514"/>
      <c r="R7617" s="293"/>
      <c r="S7617" s="316"/>
      <c r="T7617" s="355"/>
    </row>
    <row r="7618" spans="11:20" x14ac:dyDescent="0.25">
      <c r="K7618" s="312"/>
      <c r="N7618" s="514"/>
      <c r="R7618" s="293"/>
      <c r="S7618" s="316"/>
      <c r="T7618" s="355"/>
    </row>
    <row r="7619" spans="11:20" x14ac:dyDescent="0.25">
      <c r="K7619" s="312"/>
      <c r="N7619" s="514"/>
      <c r="R7619" s="293"/>
      <c r="S7619" s="316"/>
      <c r="T7619" s="355"/>
    </row>
    <row r="7620" spans="11:20" x14ac:dyDescent="0.25">
      <c r="K7620" s="312"/>
      <c r="N7620" s="514"/>
      <c r="R7620" s="293"/>
      <c r="S7620" s="316"/>
      <c r="T7620" s="355"/>
    </row>
    <row r="7621" spans="11:20" x14ac:dyDescent="0.25">
      <c r="K7621" s="312"/>
      <c r="N7621" s="514"/>
      <c r="R7621" s="293"/>
      <c r="S7621" s="316"/>
      <c r="T7621" s="355"/>
    </row>
    <row r="7622" spans="11:20" x14ac:dyDescent="0.25">
      <c r="K7622" s="312"/>
      <c r="N7622" s="514"/>
      <c r="R7622" s="293"/>
      <c r="S7622" s="316"/>
      <c r="T7622" s="355"/>
    </row>
    <row r="7623" spans="11:20" x14ac:dyDescent="0.25">
      <c r="K7623" s="312"/>
      <c r="N7623" s="514"/>
      <c r="R7623" s="293"/>
      <c r="S7623" s="316"/>
      <c r="T7623" s="355"/>
    </row>
    <row r="7624" spans="11:20" x14ac:dyDescent="0.25">
      <c r="K7624" s="312"/>
      <c r="N7624" s="514"/>
      <c r="R7624" s="293"/>
      <c r="S7624" s="316"/>
      <c r="T7624" s="355"/>
    </row>
    <row r="7625" spans="11:20" x14ac:dyDescent="0.25">
      <c r="K7625" s="312"/>
      <c r="N7625" s="514"/>
      <c r="R7625" s="293"/>
      <c r="S7625" s="316"/>
      <c r="T7625" s="355"/>
    </row>
    <row r="7626" spans="11:20" x14ac:dyDescent="0.25">
      <c r="K7626" s="312"/>
      <c r="N7626" s="514"/>
      <c r="R7626" s="293"/>
      <c r="S7626" s="316"/>
      <c r="T7626" s="355"/>
    </row>
    <row r="7627" spans="11:20" x14ac:dyDescent="0.25">
      <c r="K7627" s="312"/>
      <c r="N7627" s="514"/>
      <c r="R7627" s="293"/>
      <c r="S7627" s="316"/>
      <c r="T7627" s="355"/>
    </row>
    <row r="7628" spans="11:20" x14ac:dyDescent="0.25">
      <c r="K7628" s="312"/>
      <c r="N7628" s="514"/>
      <c r="R7628" s="293"/>
      <c r="S7628" s="316"/>
      <c r="T7628" s="355"/>
    </row>
    <row r="7629" spans="11:20" x14ac:dyDescent="0.25">
      <c r="K7629" s="312"/>
      <c r="N7629" s="514"/>
      <c r="R7629" s="293"/>
      <c r="S7629" s="316"/>
      <c r="T7629" s="355"/>
    </row>
    <row r="7630" spans="11:20" x14ac:dyDescent="0.25">
      <c r="K7630" s="312"/>
      <c r="N7630" s="514"/>
      <c r="R7630" s="293"/>
      <c r="S7630" s="316"/>
      <c r="T7630" s="355"/>
    </row>
    <row r="7631" spans="11:20" x14ac:dyDescent="0.25">
      <c r="K7631" s="312"/>
      <c r="N7631" s="514"/>
      <c r="R7631" s="293"/>
      <c r="S7631" s="316"/>
      <c r="T7631" s="355"/>
    </row>
    <row r="7632" spans="11:20" x14ac:dyDescent="0.25">
      <c r="K7632" s="312"/>
      <c r="N7632" s="514"/>
      <c r="R7632" s="293"/>
      <c r="S7632" s="316"/>
      <c r="T7632" s="355"/>
    </row>
    <row r="7633" spans="11:20" x14ac:dyDescent="0.25">
      <c r="K7633" s="312"/>
      <c r="N7633" s="514"/>
      <c r="R7633" s="293"/>
      <c r="S7633" s="316"/>
      <c r="T7633" s="355"/>
    </row>
    <row r="7634" spans="11:20" x14ac:dyDescent="0.25">
      <c r="K7634" s="312"/>
      <c r="N7634" s="514"/>
      <c r="R7634" s="293"/>
      <c r="S7634" s="316"/>
      <c r="T7634" s="355"/>
    </row>
    <row r="7635" spans="11:20" x14ac:dyDescent="0.25">
      <c r="K7635" s="312"/>
      <c r="N7635" s="514"/>
      <c r="R7635" s="293"/>
      <c r="S7635" s="316"/>
      <c r="T7635" s="355"/>
    </row>
    <row r="7636" spans="11:20" x14ac:dyDescent="0.25">
      <c r="K7636" s="312"/>
      <c r="N7636" s="514"/>
      <c r="R7636" s="293"/>
      <c r="S7636" s="316"/>
      <c r="T7636" s="355"/>
    </row>
    <row r="7637" spans="11:20" x14ac:dyDescent="0.25">
      <c r="K7637" s="312"/>
      <c r="N7637" s="514"/>
      <c r="R7637" s="293"/>
      <c r="S7637" s="316"/>
      <c r="T7637" s="355"/>
    </row>
    <row r="7638" spans="11:20" x14ac:dyDescent="0.25">
      <c r="K7638" s="312"/>
      <c r="N7638" s="514"/>
      <c r="R7638" s="293"/>
      <c r="S7638" s="316"/>
      <c r="T7638" s="355"/>
    </row>
    <row r="7639" spans="11:20" x14ac:dyDescent="0.25">
      <c r="K7639" s="312"/>
      <c r="N7639" s="514"/>
      <c r="R7639" s="293"/>
      <c r="S7639" s="316"/>
      <c r="T7639" s="355"/>
    </row>
    <row r="7640" spans="11:20" x14ac:dyDescent="0.25">
      <c r="K7640" s="312"/>
      <c r="N7640" s="514"/>
      <c r="R7640" s="293"/>
      <c r="S7640" s="316"/>
      <c r="T7640" s="355"/>
    </row>
    <row r="7641" spans="11:20" x14ac:dyDescent="0.25">
      <c r="K7641" s="312"/>
      <c r="N7641" s="514"/>
      <c r="R7641" s="293"/>
      <c r="S7641" s="316"/>
      <c r="T7641" s="355"/>
    </row>
    <row r="7642" spans="11:20" x14ac:dyDescent="0.25">
      <c r="K7642" s="312"/>
      <c r="N7642" s="514"/>
      <c r="R7642" s="293"/>
      <c r="S7642" s="316"/>
      <c r="T7642" s="355"/>
    </row>
    <row r="7643" spans="11:20" x14ac:dyDescent="0.25">
      <c r="K7643" s="312"/>
      <c r="N7643" s="514"/>
      <c r="R7643" s="293"/>
      <c r="S7643" s="316"/>
      <c r="T7643" s="355"/>
    </row>
    <row r="7644" spans="11:20" x14ac:dyDescent="0.25">
      <c r="K7644" s="312"/>
      <c r="N7644" s="514"/>
      <c r="R7644" s="293"/>
      <c r="S7644" s="316"/>
      <c r="T7644" s="355"/>
    </row>
    <row r="7645" spans="11:20" x14ac:dyDescent="0.25">
      <c r="K7645" s="312"/>
      <c r="N7645" s="514"/>
      <c r="R7645" s="293"/>
      <c r="S7645" s="316"/>
      <c r="T7645" s="355"/>
    </row>
    <row r="7646" spans="11:20" x14ac:dyDescent="0.25">
      <c r="K7646" s="312"/>
      <c r="N7646" s="514"/>
      <c r="R7646" s="293"/>
      <c r="S7646" s="316"/>
      <c r="T7646" s="355"/>
    </row>
    <row r="7647" spans="11:20" x14ac:dyDescent="0.25">
      <c r="K7647" s="312"/>
      <c r="N7647" s="514"/>
      <c r="R7647" s="293"/>
      <c r="S7647" s="316"/>
      <c r="T7647" s="355"/>
    </row>
    <row r="7648" spans="11:20" x14ac:dyDescent="0.25">
      <c r="K7648" s="312"/>
      <c r="N7648" s="514"/>
      <c r="R7648" s="293"/>
      <c r="S7648" s="316"/>
      <c r="T7648" s="355"/>
    </row>
    <row r="7649" spans="11:20" x14ac:dyDescent="0.25">
      <c r="K7649" s="312"/>
      <c r="N7649" s="514"/>
      <c r="R7649" s="293"/>
      <c r="S7649" s="316"/>
      <c r="T7649" s="355"/>
    </row>
    <row r="7650" spans="11:20" x14ac:dyDescent="0.25">
      <c r="K7650" s="312"/>
      <c r="N7650" s="514"/>
      <c r="R7650" s="293"/>
      <c r="S7650" s="316"/>
      <c r="T7650" s="355"/>
    </row>
    <row r="7651" spans="11:20" x14ac:dyDescent="0.25">
      <c r="K7651" s="312"/>
      <c r="N7651" s="514"/>
      <c r="R7651" s="293"/>
      <c r="S7651" s="316"/>
      <c r="T7651" s="355"/>
    </row>
    <row r="7652" spans="11:20" x14ac:dyDescent="0.25">
      <c r="K7652" s="312"/>
      <c r="N7652" s="514"/>
      <c r="R7652" s="293"/>
      <c r="S7652" s="316"/>
      <c r="T7652" s="355"/>
    </row>
    <row r="7653" spans="11:20" x14ac:dyDescent="0.25">
      <c r="K7653" s="312"/>
      <c r="N7653" s="514"/>
      <c r="R7653" s="293"/>
      <c r="S7653" s="316"/>
      <c r="T7653" s="355"/>
    </row>
    <row r="7654" spans="11:20" x14ac:dyDescent="0.25">
      <c r="K7654" s="312"/>
      <c r="N7654" s="514"/>
      <c r="R7654" s="293"/>
      <c r="S7654" s="316"/>
      <c r="T7654" s="355"/>
    </row>
    <row r="7655" spans="11:20" x14ac:dyDescent="0.25">
      <c r="K7655" s="312"/>
      <c r="N7655" s="514"/>
      <c r="R7655" s="293"/>
      <c r="S7655" s="316"/>
      <c r="T7655" s="355"/>
    </row>
    <row r="7656" spans="11:20" x14ac:dyDescent="0.25">
      <c r="K7656" s="312"/>
      <c r="N7656" s="514"/>
      <c r="R7656" s="293"/>
      <c r="S7656" s="316"/>
      <c r="T7656" s="355"/>
    </row>
    <row r="7657" spans="11:20" x14ac:dyDescent="0.25">
      <c r="K7657" s="312"/>
      <c r="N7657" s="514"/>
      <c r="R7657" s="293"/>
      <c r="S7657" s="316"/>
      <c r="T7657" s="355"/>
    </row>
    <row r="7658" spans="11:20" x14ac:dyDescent="0.25">
      <c r="K7658" s="312"/>
      <c r="N7658" s="514"/>
      <c r="R7658" s="293"/>
      <c r="S7658" s="316"/>
      <c r="T7658" s="355"/>
    </row>
    <row r="7659" spans="11:20" x14ac:dyDescent="0.25">
      <c r="K7659" s="312"/>
      <c r="N7659" s="514"/>
      <c r="R7659" s="293"/>
      <c r="S7659" s="316"/>
      <c r="T7659" s="355"/>
    </row>
    <row r="7660" spans="11:20" x14ac:dyDescent="0.25">
      <c r="K7660" s="312"/>
      <c r="N7660" s="514"/>
      <c r="R7660" s="293"/>
      <c r="S7660" s="316"/>
      <c r="T7660" s="355"/>
    </row>
    <row r="7661" spans="11:20" x14ac:dyDescent="0.25">
      <c r="K7661" s="312"/>
      <c r="N7661" s="514"/>
      <c r="R7661" s="293"/>
      <c r="S7661" s="316"/>
      <c r="T7661" s="355"/>
    </row>
    <row r="7662" spans="11:20" x14ac:dyDescent="0.25">
      <c r="K7662" s="312"/>
      <c r="N7662" s="514"/>
      <c r="R7662" s="293"/>
      <c r="S7662" s="316"/>
      <c r="T7662" s="355"/>
    </row>
    <row r="7663" spans="11:20" x14ac:dyDescent="0.25">
      <c r="K7663" s="312"/>
      <c r="N7663" s="514"/>
      <c r="R7663" s="293"/>
      <c r="S7663" s="316"/>
      <c r="T7663" s="355"/>
    </row>
    <row r="7664" spans="11:20" x14ac:dyDescent="0.25">
      <c r="K7664" s="312"/>
      <c r="N7664" s="514"/>
      <c r="R7664" s="293"/>
      <c r="S7664" s="316"/>
      <c r="T7664" s="355"/>
    </row>
    <row r="7665" spans="11:20" x14ac:dyDescent="0.25">
      <c r="K7665" s="312"/>
      <c r="N7665" s="514"/>
      <c r="R7665" s="293"/>
      <c r="S7665" s="316"/>
      <c r="T7665" s="355"/>
    </row>
    <row r="7666" spans="11:20" x14ac:dyDescent="0.25">
      <c r="K7666" s="312"/>
      <c r="N7666" s="514"/>
      <c r="R7666" s="293"/>
      <c r="S7666" s="316"/>
      <c r="T7666" s="355"/>
    </row>
    <row r="7667" spans="11:20" x14ac:dyDescent="0.25">
      <c r="K7667" s="312"/>
      <c r="N7667" s="514"/>
      <c r="R7667" s="293"/>
      <c r="S7667" s="316"/>
      <c r="T7667" s="355"/>
    </row>
    <row r="7668" spans="11:20" x14ac:dyDescent="0.25">
      <c r="K7668" s="312"/>
      <c r="N7668" s="514"/>
      <c r="R7668" s="293"/>
      <c r="S7668" s="316"/>
      <c r="T7668" s="355"/>
    </row>
    <row r="7669" spans="11:20" x14ac:dyDescent="0.25">
      <c r="K7669" s="312"/>
      <c r="N7669" s="514"/>
      <c r="R7669" s="293"/>
      <c r="S7669" s="316"/>
      <c r="T7669" s="355"/>
    </row>
    <row r="7670" spans="11:20" x14ac:dyDescent="0.25">
      <c r="K7670" s="312"/>
      <c r="N7670" s="514"/>
      <c r="R7670" s="293"/>
      <c r="S7670" s="316"/>
      <c r="T7670" s="355"/>
    </row>
    <row r="7671" spans="11:20" x14ac:dyDescent="0.25">
      <c r="K7671" s="312"/>
      <c r="N7671" s="514"/>
      <c r="R7671" s="293"/>
      <c r="S7671" s="316"/>
      <c r="T7671" s="355"/>
    </row>
    <row r="7672" spans="11:20" x14ac:dyDescent="0.25">
      <c r="K7672" s="312"/>
      <c r="N7672" s="514"/>
      <c r="R7672" s="293"/>
      <c r="S7672" s="316"/>
      <c r="T7672" s="355"/>
    </row>
    <row r="7673" spans="11:20" x14ac:dyDescent="0.25">
      <c r="K7673" s="312"/>
      <c r="N7673" s="514"/>
      <c r="R7673" s="293"/>
      <c r="S7673" s="316"/>
      <c r="T7673" s="355"/>
    </row>
    <row r="7674" spans="11:20" x14ac:dyDescent="0.25">
      <c r="K7674" s="312"/>
      <c r="N7674" s="514"/>
      <c r="R7674" s="293"/>
      <c r="S7674" s="316"/>
      <c r="T7674" s="355"/>
    </row>
    <row r="7675" spans="11:20" x14ac:dyDescent="0.25">
      <c r="K7675" s="312"/>
      <c r="N7675" s="514"/>
      <c r="R7675" s="293"/>
      <c r="S7675" s="316"/>
      <c r="T7675" s="355"/>
    </row>
    <row r="7676" spans="11:20" x14ac:dyDescent="0.25">
      <c r="K7676" s="312"/>
      <c r="N7676" s="514"/>
      <c r="R7676" s="293"/>
      <c r="S7676" s="316"/>
      <c r="T7676" s="355"/>
    </row>
    <row r="7677" spans="11:20" x14ac:dyDescent="0.25">
      <c r="K7677" s="312"/>
      <c r="N7677" s="514"/>
      <c r="R7677" s="293"/>
      <c r="S7677" s="316"/>
      <c r="T7677" s="355"/>
    </row>
    <row r="7678" spans="11:20" x14ac:dyDescent="0.25">
      <c r="K7678" s="312"/>
      <c r="N7678" s="514"/>
      <c r="R7678" s="293"/>
      <c r="S7678" s="316"/>
      <c r="T7678" s="355"/>
    </row>
    <row r="7679" spans="11:20" x14ac:dyDescent="0.25">
      <c r="K7679" s="312"/>
      <c r="N7679" s="514"/>
      <c r="R7679" s="293"/>
      <c r="S7679" s="316"/>
      <c r="T7679" s="355"/>
    </row>
    <row r="7680" spans="11:20" x14ac:dyDescent="0.25">
      <c r="K7680" s="312"/>
      <c r="N7680" s="514"/>
      <c r="R7680" s="293"/>
      <c r="S7680" s="316"/>
      <c r="T7680" s="355"/>
    </row>
    <row r="7681" spans="11:20" x14ac:dyDescent="0.25">
      <c r="K7681" s="312"/>
      <c r="N7681" s="514"/>
      <c r="R7681" s="293"/>
      <c r="S7681" s="316"/>
      <c r="T7681" s="355"/>
    </row>
    <row r="7682" spans="11:20" x14ac:dyDescent="0.25">
      <c r="K7682" s="312"/>
      <c r="N7682" s="514"/>
      <c r="R7682" s="293"/>
      <c r="S7682" s="316"/>
      <c r="T7682" s="355"/>
    </row>
    <row r="7683" spans="11:20" x14ac:dyDescent="0.25">
      <c r="K7683" s="312"/>
      <c r="N7683" s="514"/>
      <c r="R7683" s="293"/>
      <c r="S7683" s="316"/>
      <c r="T7683" s="355"/>
    </row>
    <row r="7684" spans="11:20" x14ac:dyDescent="0.25">
      <c r="K7684" s="312"/>
      <c r="N7684" s="514"/>
      <c r="R7684" s="293"/>
      <c r="S7684" s="316"/>
      <c r="T7684" s="355"/>
    </row>
    <row r="7685" spans="11:20" x14ac:dyDescent="0.25">
      <c r="K7685" s="312"/>
      <c r="N7685" s="514"/>
      <c r="R7685" s="293"/>
      <c r="S7685" s="316"/>
      <c r="T7685" s="355"/>
    </row>
    <row r="7686" spans="11:20" x14ac:dyDescent="0.25">
      <c r="K7686" s="312"/>
      <c r="N7686" s="514"/>
      <c r="R7686" s="293"/>
      <c r="S7686" s="316"/>
      <c r="T7686" s="355"/>
    </row>
    <row r="7687" spans="11:20" x14ac:dyDescent="0.25">
      <c r="K7687" s="312"/>
      <c r="N7687" s="514"/>
      <c r="R7687" s="293"/>
      <c r="S7687" s="316"/>
      <c r="T7687" s="355"/>
    </row>
    <row r="7688" spans="11:20" x14ac:dyDescent="0.25">
      <c r="K7688" s="312"/>
      <c r="N7688" s="514"/>
      <c r="R7688" s="293"/>
      <c r="S7688" s="316"/>
      <c r="T7688" s="355"/>
    </row>
    <row r="7689" spans="11:20" x14ac:dyDescent="0.25">
      <c r="K7689" s="312"/>
      <c r="N7689" s="514"/>
      <c r="R7689" s="293"/>
      <c r="S7689" s="316"/>
      <c r="T7689" s="355"/>
    </row>
    <row r="7690" spans="11:20" x14ac:dyDescent="0.25">
      <c r="K7690" s="312"/>
      <c r="N7690" s="514"/>
      <c r="R7690" s="293"/>
      <c r="S7690" s="316"/>
      <c r="T7690" s="355"/>
    </row>
    <row r="7691" spans="11:20" x14ac:dyDescent="0.25">
      <c r="K7691" s="312"/>
      <c r="N7691" s="514"/>
      <c r="R7691" s="293"/>
      <c r="S7691" s="316"/>
      <c r="T7691" s="355"/>
    </row>
    <row r="7692" spans="11:20" x14ac:dyDescent="0.25">
      <c r="K7692" s="312"/>
      <c r="N7692" s="514"/>
      <c r="R7692" s="293"/>
      <c r="S7692" s="316"/>
      <c r="T7692" s="355"/>
    </row>
    <row r="7693" spans="11:20" x14ac:dyDescent="0.25">
      <c r="K7693" s="312"/>
      <c r="N7693" s="514"/>
      <c r="R7693" s="293"/>
      <c r="S7693" s="316"/>
      <c r="T7693" s="355"/>
    </row>
    <row r="7694" spans="11:20" x14ac:dyDescent="0.25">
      <c r="K7694" s="312"/>
      <c r="N7694" s="514"/>
      <c r="R7694" s="293"/>
      <c r="S7694" s="316"/>
      <c r="T7694" s="355"/>
    </row>
    <row r="7695" spans="11:20" x14ac:dyDescent="0.25">
      <c r="K7695" s="312"/>
      <c r="N7695" s="514"/>
      <c r="R7695" s="293"/>
      <c r="S7695" s="316"/>
      <c r="T7695" s="355"/>
    </row>
    <row r="7696" spans="11:20" x14ac:dyDescent="0.25">
      <c r="K7696" s="312"/>
      <c r="N7696" s="514"/>
      <c r="R7696" s="293"/>
      <c r="S7696" s="316"/>
      <c r="T7696" s="355"/>
    </row>
    <row r="7697" spans="11:20" x14ac:dyDescent="0.25">
      <c r="K7697" s="312"/>
      <c r="N7697" s="514"/>
      <c r="R7697" s="293"/>
      <c r="S7697" s="316"/>
      <c r="T7697" s="355"/>
    </row>
    <row r="7698" spans="11:20" x14ac:dyDescent="0.25">
      <c r="K7698" s="312"/>
      <c r="N7698" s="514"/>
      <c r="R7698" s="293"/>
      <c r="S7698" s="316"/>
      <c r="T7698" s="355"/>
    </row>
    <row r="7699" spans="11:20" x14ac:dyDescent="0.25">
      <c r="K7699" s="312"/>
      <c r="N7699" s="514"/>
      <c r="R7699" s="293"/>
      <c r="S7699" s="316"/>
      <c r="T7699" s="355"/>
    </row>
    <row r="7700" spans="11:20" x14ac:dyDescent="0.25">
      <c r="K7700" s="312"/>
      <c r="N7700" s="514"/>
      <c r="R7700" s="293"/>
      <c r="S7700" s="316"/>
      <c r="T7700" s="355"/>
    </row>
    <row r="7701" spans="11:20" x14ac:dyDescent="0.25">
      <c r="K7701" s="312"/>
      <c r="N7701" s="514"/>
      <c r="R7701" s="293"/>
      <c r="S7701" s="316"/>
      <c r="T7701" s="355"/>
    </row>
    <row r="7702" spans="11:20" x14ac:dyDescent="0.25">
      <c r="K7702" s="312"/>
      <c r="N7702" s="514"/>
      <c r="R7702" s="293"/>
      <c r="S7702" s="316"/>
      <c r="T7702" s="355"/>
    </row>
    <row r="7703" spans="11:20" x14ac:dyDescent="0.25">
      <c r="K7703" s="312"/>
      <c r="N7703" s="514"/>
      <c r="R7703" s="293"/>
      <c r="S7703" s="316"/>
      <c r="T7703" s="355"/>
    </row>
    <row r="7704" spans="11:20" x14ac:dyDescent="0.25">
      <c r="K7704" s="312"/>
      <c r="N7704" s="514"/>
      <c r="R7704" s="293"/>
      <c r="S7704" s="316"/>
      <c r="T7704" s="355"/>
    </row>
    <row r="7705" spans="11:20" x14ac:dyDescent="0.25">
      <c r="K7705" s="312"/>
      <c r="N7705" s="514"/>
      <c r="R7705" s="293"/>
      <c r="S7705" s="316"/>
      <c r="T7705" s="355"/>
    </row>
    <row r="7706" spans="11:20" x14ac:dyDescent="0.25">
      <c r="K7706" s="312"/>
      <c r="N7706" s="514"/>
      <c r="R7706" s="293"/>
      <c r="S7706" s="316"/>
      <c r="T7706" s="355"/>
    </row>
    <row r="7707" spans="11:20" x14ac:dyDescent="0.25">
      <c r="K7707" s="312"/>
      <c r="N7707" s="514"/>
      <c r="R7707" s="293"/>
      <c r="S7707" s="316"/>
      <c r="T7707" s="355"/>
    </row>
    <row r="7708" spans="11:20" x14ac:dyDescent="0.25">
      <c r="K7708" s="312"/>
      <c r="N7708" s="514"/>
      <c r="R7708" s="293"/>
      <c r="S7708" s="316"/>
      <c r="T7708" s="355"/>
    </row>
    <row r="7709" spans="11:20" x14ac:dyDescent="0.25">
      <c r="K7709" s="312"/>
      <c r="N7709" s="514"/>
      <c r="R7709" s="293"/>
      <c r="S7709" s="316"/>
      <c r="T7709" s="355"/>
    </row>
    <row r="7710" spans="11:20" x14ac:dyDescent="0.25">
      <c r="K7710" s="312"/>
      <c r="N7710" s="514"/>
      <c r="R7710" s="293"/>
      <c r="S7710" s="316"/>
      <c r="T7710" s="355"/>
    </row>
    <row r="7711" spans="11:20" x14ac:dyDescent="0.25">
      <c r="K7711" s="312"/>
      <c r="N7711" s="514"/>
      <c r="R7711" s="293"/>
      <c r="S7711" s="316"/>
      <c r="T7711" s="355"/>
    </row>
    <row r="7712" spans="11:20" x14ac:dyDescent="0.25">
      <c r="K7712" s="312"/>
      <c r="N7712" s="514"/>
      <c r="R7712" s="293"/>
      <c r="S7712" s="316"/>
      <c r="T7712" s="355"/>
    </row>
    <row r="7713" spans="11:20" x14ac:dyDescent="0.25">
      <c r="K7713" s="312"/>
      <c r="N7713" s="514"/>
      <c r="R7713" s="293"/>
      <c r="S7713" s="316"/>
      <c r="T7713" s="355"/>
    </row>
    <row r="7714" spans="11:20" x14ac:dyDescent="0.25">
      <c r="K7714" s="312"/>
      <c r="N7714" s="514"/>
      <c r="R7714" s="293"/>
      <c r="S7714" s="316"/>
      <c r="T7714" s="355"/>
    </row>
    <row r="7715" spans="11:20" x14ac:dyDescent="0.25">
      <c r="K7715" s="312"/>
      <c r="N7715" s="514"/>
      <c r="R7715" s="293"/>
      <c r="S7715" s="316"/>
      <c r="T7715" s="355"/>
    </row>
    <row r="7716" spans="11:20" x14ac:dyDescent="0.25">
      <c r="K7716" s="312"/>
      <c r="N7716" s="514"/>
      <c r="R7716" s="293"/>
      <c r="S7716" s="316"/>
      <c r="T7716" s="355"/>
    </row>
    <row r="7717" spans="11:20" x14ac:dyDescent="0.25">
      <c r="K7717" s="312"/>
      <c r="N7717" s="514"/>
      <c r="R7717" s="293"/>
      <c r="S7717" s="316"/>
      <c r="T7717" s="355"/>
    </row>
    <row r="7718" spans="11:20" x14ac:dyDescent="0.25">
      <c r="K7718" s="312"/>
      <c r="N7718" s="514"/>
      <c r="R7718" s="293"/>
      <c r="S7718" s="316"/>
      <c r="T7718" s="355"/>
    </row>
    <row r="7719" spans="11:20" x14ac:dyDescent="0.25">
      <c r="K7719" s="312"/>
      <c r="N7719" s="514"/>
      <c r="R7719" s="293"/>
      <c r="S7719" s="316"/>
      <c r="T7719" s="355"/>
    </row>
    <row r="7720" spans="11:20" x14ac:dyDescent="0.25">
      <c r="K7720" s="312"/>
      <c r="N7720" s="514"/>
      <c r="R7720" s="293"/>
      <c r="S7720" s="316"/>
      <c r="T7720" s="355"/>
    </row>
    <row r="7721" spans="11:20" x14ac:dyDescent="0.25">
      <c r="K7721" s="312"/>
      <c r="N7721" s="514"/>
      <c r="R7721" s="293"/>
      <c r="S7721" s="316"/>
      <c r="T7721" s="355"/>
    </row>
    <row r="7722" spans="11:20" x14ac:dyDescent="0.25">
      <c r="K7722" s="312"/>
      <c r="N7722" s="514"/>
      <c r="R7722" s="293"/>
      <c r="S7722" s="316"/>
      <c r="T7722" s="355"/>
    </row>
    <row r="7723" spans="11:20" x14ac:dyDescent="0.25">
      <c r="K7723" s="312"/>
      <c r="N7723" s="514"/>
      <c r="R7723" s="293"/>
      <c r="S7723" s="316"/>
      <c r="T7723" s="355"/>
    </row>
    <row r="7724" spans="11:20" x14ac:dyDescent="0.25">
      <c r="K7724" s="312"/>
      <c r="N7724" s="514"/>
      <c r="R7724" s="293"/>
      <c r="S7724" s="316"/>
      <c r="T7724" s="355"/>
    </row>
    <row r="7725" spans="11:20" x14ac:dyDescent="0.25">
      <c r="K7725" s="312"/>
      <c r="N7725" s="514"/>
      <c r="R7725" s="293"/>
      <c r="S7725" s="316"/>
      <c r="T7725" s="355"/>
    </row>
    <row r="7726" spans="11:20" x14ac:dyDescent="0.25">
      <c r="K7726" s="312"/>
      <c r="N7726" s="514"/>
      <c r="R7726" s="293"/>
      <c r="S7726" s="316"/>
      <c r="T7726" s="355"/>
    </row>
    <row r="7727" spans="11:20" x14ac:dyDescent="0.25">
      <c r="K7727" s="312"/>
      <c r="N7727" s="514"/>
      <c r="R7727" s="293"/>
      <c r="S7727" s="316"/>
      <c r="T7727" s="355"/>
    </row>
    <row r="7728" spans="11:20" x14ac:dyDescent="0.25">
      <c r="K7728" s="312"/>
      <c r="N7728" s="514"/>
      <c r="R7728" s="293"/>
      <c r="S7728" s="316"/>
      <c r="T7728" s="355"/>
    </row>
    <row r="7729" spans="11:20" x14ac:dyDescent="0.25">
      <c r="K7729" s="312"/>
      <c r="N7729" s="514"/>
      <c r="R7729" s="293"/>
      <c r="S7729" s="316"/>
      <c r="T7729" s="355"/>
    </row>
    <row r="7730" spans="11:20" x14ac:dyDescent="0.25">
      <c r="K7730" s="312"/>
      <c r="N7730" s="514"/>
      <c r="R7730" s="293"/>
      <c r="S7730" s="316"/>
      <c r="T7730" s="355"/>
    </row>
    <row r="7731" spans="11:20" x14ac:dyDescent="0.25">
      <c r="K7731" s="312"/>
      <c r="N7731" s="514"/>
      <c r="R7731" s="293"/>
      <c r="S7731" s="316"/>
      <c r="T7731" s="355"/>
    </row>
    <row r="7732" spans="11:20" x14ac:dyDescent="0.25">
      <c r="K7732" s="312"/>
      <c r="N7732" s="514"/>
      <c r="R7732" s="293"/>
      <c r="S7732" s="316"/>
      <c r="T7732" s="355"/>
    </row>
    <row r="7733" spans="11:20" x14ac:dyDescent="0.25">
      <c r="K7733" s="312"/>
      <c r="N7733" s="514"/>
      <c r="R7733" s="293"/>
      <c r="S7733" s="316"/>
      <c r="T7733" s="355"/>
    </row>
    <row r="7734" spans="11:20" x14ac:dyDescent="0.25">
      <c r="K7734" s="312"/>
      <c r="N7734" s="514"/>
      <c r="R7734" s="293"/>
      <c r="S7734" s="316"/>
      <c r="T7734" s="355"/>
    </row>
    <row r="7735" spans="11:20" x14ac:dyDescent="0.25">
      <c r="K7735" s="312"/>
      <c r="N7735" s="514"/>
      <c r="R7735" s="293"/>
      <c r="S7735" s="316"/>
      <c r="T7735" s="355"/>
    </row>
    <row r="7736" spans="11:20" x14ac:dyDescent="0.25">
      <c r="K7736" s="312"/>
      <c r="N7736" s="514"/>
      <c r="R7736" s="293"/>
      <c r="S7736" s="316"/>
      <c r="T7736" s="355"/>
    </row>
    <row r="7737" spans="11:20" x14ac:dyDescent="0.25">
      <c r="K7737" s="312"/>
      <c r="N7737" s="514"/>
      <c r="R7737" s="293"/>
      <c r="S7737" s="316"/>
      <c r="T7737" s="355"/>
    </row>
    <row r="7738" spans="11:20" x14ac:dyDescent="0.25">
      <c r="K7738" s="312"/>
      <c r="N7738" s="514"/>
      <c r="R7738" s="293"/>
      <c r="S7738" s="316"/>
      <c r="T7738" s="355"/>
    </row>
    <row r="7739" spans="11:20" x14ac:dyDescent="0.25">
      <c r="K7739" s="312"/>
      <c r="N7739" s="514"/>
      <c r="R7739" s="293"/>
      <c r="S7739" s="316"/>
      <c r="T7739" s="355"/>
    </row>
    <row r="7740" spans="11:20" x14ac:dyDescent="0.25">
      <c r="K7740" s="312"/>
      <c r="N7740" s="514"/>
      <c r="R7740" s="293"/>
      <c r="S7740" s="316"/>
      <c r="T7740" s="355"/>
    </row>
    <row r="7741" spans="11:20" x14ac:dyDescent="0.25">
      <c r="K7741" s="312"/>
      <c r="N7741" s="514"/>
      <c r="R7741" s="293"/>
      <c r="S7741" s="316"/>
      <c r="T7741" s="355"/>
    </row>
    <row r="7742" spans="11:20" x14ac:dyDescent="0.25">
      <c r="K7742" s="312"/>
      <c r="N7742" s="514"/>
      <c r="R7742" s="293"/>
      <c r="S7742" s="316"/>
      <c r="T7742" s="355"/>
    </row>
    <row r="7743" spans="11:20" x14ac:dyDescent="0.25">
      <c r="K7743" s="312"/>
      <c r="N7743" s="514"/>
      <c r="R7743" s="293"/>
      <c r="S7743" s="316"/>
      <c r="T7743" s="355"/>
    </row>
    <row r="7744" spans="11:20" x14ac:dyDescent="0.25">
      <c r="K7744" s="312"/>
      <c r="N7744" s="514"/>
      <c r="R7744" s="293"/>
      <c r="S7744" s="316"/>
      <c r="T7744" s="355"/>
    </row>
    <row r="7745" spans="11:20" x14ac:dyDescent="0.25">
      <c r="K7745" s="312"/>
      <c r="N7745" s="514"/>
      <c r="R7745" s="293"/>
      <c r="S7745" s="316"/>
      <c r="T7745" s="355"/>
    </row>
    <row r="7746" spans="11:20" x14ac:dyDescent="0.25">
      <c r="K7746" s="312"/>
      <c r="N7746" s="514"/>
      <c r="R7746" s="293"/>
      <c r="S7746" s="316"/>
      <c r="T7746" s="355"/>
    </row>
    <row r="7747" spans="11:20" x14ac:dyDescent="0.25">
      <c r="K7747" s="312"/>
      <c r="N7747" s="514"/>
      <c r="R7747" s="293"/>
      <c r="S7747" s="316"/>
      <c r="T7747" s="355"/>
    </row>
    <row r="7748" spans="11:20" x14ac:dyDescent="0.25">
      <c r="K7748" s="312"/>
      <c r="N7748" s="514"/>
      <c r="R7748" s="293"/>
      <c r="S7748" s="316"/>
      <c r="T7748" s="355"/>
    </row>
    <row r="7749" spans="11:20" x14ac:dyDescent="0.25">
      <c r="K7749" s="312"/>
      <c r="N7749" s="514"/>
      <c r="R7749" s="293"/>
      <c r="S7749" s="316"/>
      <c r="T7749" s="355"/>
    </row>
    <row r="7750" spans="11:20" x14ac:dyDescent="0.25">
      <c r="K7750" s="312"/>
      <c r="N7750" s="514"/>
      <c r="R7750" s="293"/>
      <c r="S7750" s="316"/>
      <c r="T7750" s="355"/>
    </row>
    <row r="7751" spans="11:20" x14ac:dyDescent="0.25">
      <c r="K7751" s="312"/>
      <c r="N7751" s="514"/>
      <c r="R7751" s="293"/>
      <c r="S7751" s="316"/>
      <c r="T7751" s="355"/>
    </row>
    <row r="7752" spans="11:20" x14ac:dyDescent="0.25">
      <c r="K7752" s="312"/>
      <c r="N7752" s="514"/>
      <c r="R7752" s="293"/>
      <c r="S7752" s="316"/>
      <c r="T7752" s="355"/>
    </row>
    <row r="7753" spans="11:20" x14ac:dyDescent="0.25">
      <c r="K7753" s="312"/>
      <c r="N7753" s="514"/>
      <c r="R7753" s="293"/>
      <c r="S7753" s="316"/>
      <c r="T7753" s="355"/>
    </row>
    <row r="7754" spans="11:20" x14ac:dyDescent="0.25">
      <c r="K7754" s="312"/>
      <c r="N7754" s="514"/>
      <c r="R7754" s="293"/>
      <c r="S7754" s="316"/>
      <c r="T7754" s="355"/>
    </row>
    <row r="7755" spans="11:20" x14ac:dyDescent="0.25">
      <c r="K7755" s="312"/>
      <c r="N7755" s="514"/>
      <c r="R7755" s="293"/>
      <c r="S7755" s="316"/>
      <c r="T7755" s="355"/>
    </row>
    <row r="7756" spans="11:20" x14ac:dyDescent="0.25">
      <c r="K7756" s="312"/>
      <c r="N7756" s="514"/>
      <c r="R7756" s="293"/>
      <c r="S7756" s="316"/>
      <c r="T7756" s="355"/>
    </row>
    <row r="7757" spans="11:20" x14ac:dyDescent="0.25">
      <c r="K7757" s="312"/>
      <c r="N7757" s="514"/>
      <c r="R7757" s="293"/>
      <c r="S7757" s="316"/>
      <c r="T7757" s="355"/>
    </row>
    <row r="7758" spans="11:20" x14ac:dyDescent="0.25">
      <c r="K7758" s="312"/>
      <c r="N7758" s="514"/>
      <c r="R7758" s="293"/>
      <c r="S7758" s="316"/>
      <c r="T7758" s="355"/>
    </row>
    <row r="7759" spans="11:20" x14ac:dyDescent="0.25">
      <c r="K7759" s="312"/>
      <c r="N7759" s="514"/>
      <c r="R7759" s="293"/>
      <c r="S7759" s="316"/>
      <c r="T7759" s="355"/>
    </row>
    <row r="7760" spans="11:20" x14ac:dyDescent="0.25">
      <c r="K7760" s="312"/>
      <c r="N7760" s="514"/>
      <c r="R7760" s="293"/>
      <c r="S7760" s="316"/>
      <c r="T7760" s="355"/>
    </row>
    <row r="7761" spans="11:20" x14ac:dyDescent="0.25">
      <c r="K7761" s="312"/>
      <c r="N7761" s="514"/>
      <c r="R7761" s="293"/>
      <c r="S7761" s="316"/>
      <c r="T7761" s="355"/>
    </row>
    <row r="7762" spans="11:20" x14ac:dyDescent="0.25">
      <c r="K7762" s="312"/>
      <c r="N7762" s="514"/>
      <c r="R7762" s="293"/>
      <c r="S7762" s="316"/>
      <c r="T7762" s="355"/>
    </row>
    <row r="7763" spans="11:20" x14ac:dyDescent="0.25">
      <c r="K7763" s="312"/>
      <c r="N7763" s="514"/>
      <c r="R7763" s="293"/>
      <c r="S7763" s="316"/>
      <c r="T7763" s="355"/>
    </row>
    <row r="7764" spans="11:20" x14ac:dyDescent="0.25">
      <c r="K7764" s="312"/>
      <c r="N7764" s="514"/>
      <c r="R7764" s="293"/>
      <c r="S7764" s="316"/>
      <c r="T7764" s="355"/>
    </row>
    <row r="7765" spans="11:20" x14ac:dyDescent="0.25">
      <c r="K7765" s="312"/>
      <c r="N7765" s="514"/>
      <c r="R7765" s="293"/>
      <c r="S7765" s="316"/>
      <c r="T7765" s="355"/>
    </row>
    <row r="7766" spans="11:20" x14ac:dyDescent="0.25">
      <c r="K7766" s="312"/>
      <c r="N7766" s="514"/>
      <c r="R7766" s="293"/>
      <c r="S7766" s="316"/>
      <c r="T7766" s="355"/>
    </row>
    <row r="7767" spans="11:20" x14ac:dyDescent="0.25">
      <c r="K7767" s="312"/>
      <c r="N7767" s="514"/>
      <c r="R7767" s="293"/>
      <c r="S7767" s="316"/>
      <c r="T7767" s="355"/>
    </row>
    <row r="7768" spans="11:20" x14ac:dyDescent="0.25">
      <c r="K7768" s="312"/>
      <c r="N7768" s="514"/>
      <c r="R7768" s="293"/>
      <c r="S7768" s="316"/>
      <c r="T7768" s="355"/>
    </row>
    <row r="7769" spans="11:20" x14ac:dyDescent="0.25">
      <c r="K7769" s="312"/>
      <c r="N7769" s="514"/>
      <c r="R7769" s="293"/>
      <c r="S7769" s="316"/>
      <c r="T7769" s="355"/>
    </row>
    <row r="7770" spans="11:20" x14ac:dyDescent="0.25">
      <c r="K7770" s="312"/>
      <c r="N7770" s="514"/>
      <c r="R7770" s="293"/>
      <c r="S7770" s="316"/>
      <c r="T7770" s="355"/>
    </row>
    <row r="7771" spans="11:20" x14ac:dyDescent="0.25">
      <c r="K7771" s="312"/>
      <c r="N7771" s="514"/>
      <c r="R7771" s="293"/>
      <c r="S7771" s="316"/>
      <c r="T7771" s="355"/>
    </row>
    <row r="7772" spans="11:20" x14ac:dyDescent="0.25">
      <c r="K7772" s="312"/>
      <c r="N7772" s="514"/>
      <c r="R7772" s="293"/>
      <c r="S7772" s="316"/>
      <c r="T7772" s="355"/>
    </row>
    <row r="7773" spans="11:20" x14ac:dyDescent="0.25">
      <c r="K7773" s="312"/>
      <c r="N7773" s="514"/>
      <c r="R7773" s="293"/>
      <c r="S7773" s="316"/>
      <c r="T7773" s="355"/>
    </row>
    <row r="7774" spans="11:20" x14ac:dyDescent="0.25">
      <c r="K7774" s="312"/>
      <c r="N7774" s="514"/>
      <c r="R7774" s="293"/>
      <c r="S7774" s="316"/>
      <c r="T7774" s="355"/>
    </row>
    <row r="7775" spans="11:20" x14ac:dyDescent="0.25">
      <c r="K7775" s="312"/>
      <c r="N7775" s="514"/>
      <c r="R7775" s="293"/>
      <c r="S7775" s="316"/>
      <c r="T7775" s="355"/>
    </row>
    <row r="7776" spans="11:20" x14ac:dyDescent="0.25">
      <c r="K7776" s="312"/>
      <c r="N7776" s="514"/>
      <c r="R7776" s="293"/>
      <c r="S7776" s="316"/>
      <c r="T7776" s="355"/>
    </row>
    <row r="7777" spans="11:20" x14ac:dyDescent="0.25">
      <c r="K7777" s="312"/>
      <c r="N7777" s="514"/>
      <c r="R7777" s="293"/>
      <c r="S7777" s="316"/>
      <c r="T7777" s="355"/>
    </row>
    <row r="7778" spans="11:20" x14ac:dyDescent="0.25">
      <c r="K7778" s="312"/>
      <c r="N7778" s="514"/>
      <c r="R7778" s="293"/>
      <c r="S7778" s="316"/>
      <c r="T7778" s="355"/>
    </row>
    <row r="7779" spans="11:20" x14ac:dyDescent="0.25">
      <c r="K7779" s="312"/>
      <c r="N7779" s="514"/>
      <c r="R7779" s="293"/>
      <c r="S7779" s="316"/>
      <c r="T7779" s="355"/>
    </row>
    <row r="7780" spans="11:20" x14ac:dyDescent="0.25">
      <c r="K7780" s="312"/>
      <c r="N7780" s="514"/>
      <c r="R7780" s="293"/>
      <c r="S7780" s="316"/>
      <c r="T7780" s="355"/>
    </row>
    <row r="7781" spans="11:20" x14ac:dyDescent="0.25">
      <c r="K7781" s="312"/>
      <c r="N7781" s="514"/>
      <c r="R7781" s="293"/>
      <c r="S7781" s="316"/>
      <c r="T7781" s="355"/>
    </row>
    <row r="7782" spans="11:20" x14ac:dyDescent="0.25">
      <c r="K7782" s="312"/>
      <c r="N7782" s="514"/>
      <c r="R7782" s="293"/>
      <c r="S7782" s="316"/>
      <c r="T7782" s="355"/>
    </row>
    <row r="7783" spans="11:20" x14ac:dyDescent="0.25">
      <c r="K7783" s="312"/>
      <c r="N7783" s="514"/>
      <c r="R7783" s="293"/>
      <c r="S7783" s="316"/>
      <c r="T7783" s="355"/>
    </row>
    <row r="7784" spans="11:20" x14ac:dyDescent="0.25">
      <c r="K7784" s="312"/>
      <c r="N7784" s="514"/>
      <c r="R7784" s="293"/>
      <c r="S7784" s="316"/>
      <c r="T7784" s="355"/>
    </row>
    <row r="7785" spans="11:20" x14ac:dyDescent="0.25">
      <c r="K7785" s="312"/>
      <c r="N7785" s="514"/>
      <c r="R7785" s="293"/>
      <c r="S7785" s="316"/>
      <c r="T7785" s="355"/>
    </row>
    <row r="7786" spans="11:20" x14ac:dyDescent="0.25">
      <c r="K7786" s="312"/>
      <c r="N7786" s="514"/>
      <c r="R7786" s="293"/>
      <c r="S7786" s="316"/>
      <c r="T7786" s="355"/>
    </row>
    <row r="7787" spans="11:20" x14ac:dyDescent="0.25">
      <c r="K7787" s="312"/>
      <c r="N7787" s="514"/>
      <c r="R7787" s="293"/>
      <c r="S7787" s="316"/>
      <c r="T7787" s="355"/>
    </row>
    <row r="7788" spans="11:20" x14ac:dyDescent="0.25">
      <c r="K7788" s="312"/>
      <c r="N7788" s="514"/>
      <c r="R7788" s="293"/>
      <c r="S7788" s="316"/>
      <c r="T7788" s="355"/>
    </row>
    <row r="7789" spans="11:20" x14ac:dyDescent="0.25">
      <c r="K7789" s="312"/>
      <c r="N7789" s="514"/>
      <c r="R7789" s="293"/>
      <c r="S7789" s="316"/>
      <c r="T7789" s="355"/>
    </row>
    <row r="7790" spans="11:20" x14ac:dyDescent="0.25">
      <c r="K7790" s="312"/>
      <c r="N7790" s="514"/>
      <c r="R7790" s="293"/>
      <c r="S7790" s="316"/>
      <c r="T7790" s="355"/>
    </row>
    <row r="7791" spans="11:20" x14ac:dyDescent="0.25">
      <c r="K7791" s="312"/>
      <c r="N7791" s="514"/>
      <c r="R7791" s="293"/>
      <c r="S7791" s="316"/>
      <c r="T7791" s="355"/>
    </row>
    <row r="7792" spans="11:20" x14ac:dyDescent="0.25">
      <c r="K7792" s="312"/>
      <c r="N7792" s="514"/>
      <c r="R7792" s="293"/>
      <c r="S7792" s="316"/>
      <c r="T7792" s="355"/>
    </row>
    <row r="7793" spans="11:20" x14ac:dyDescent="0.25">
      <c r="K7793" s="312"/>
      <c r="N7793" s="514"/>
      <c r="R7793" s="293"/>
      <c r="S7793" s="316"/>
      <c r="T7793" s="355"/>
    </row>
    <row r="7794" spans="11:20" x14ac:dyDescent="0.25">
      <c r="K7794" s="312"/>
      <c r="N7794" s="514"/>
      <c r="R7794" s="293"/>
      <c r="S7794" s="316"/>
      <c r="T7794" s="355"/>
    </row>
    <row r="7795" spans="11:20" x14ac:dyDescent="0.25">
      <c r="K7795" s="312"/>
      <c r="N7795" s="514"/>
      <c r="R7795" s="293"/>
      <c r="S7795" s="316"/>
      <c r="T7795" s="355"/>
    </row>
    <row r="7796" spans="11:20" x14ac:dyDescent="0.25">
      <c r="K7796" s="312"/>
      <c r="N7796" s="514"/>
      <c r="R7796" s="293"/>
      <c r="S7796" s="316"/>
      <c r="T7796" s="355"/>
    </row>
    <row r="7797" spans="11:20" x14ac:dyDescent="0.25">
      <c r="K7797" s="312"/>
      <c r="N7797" s="514"/>
      <c r="R7797" s="293"/>
      <c r="S7797" s="316"/>
      <c r="T7797" s="355"/>
    </row>
    <row r="7798" spans="11:20" x14ac:dyDescent="0.25">
      <c r="K7798" s="312"/>
      <c r="N7798" s="514"/>
      <c r="R7798" s="293"/>
      <c r="S7798" s="316"/>
      <c r="T7798" s="355"/>
    </row>
    <row r="7799" spans="11:20" x14ac:dyDescent="0.25">
      <c r="K7799" s="312"/>
      <c r="N7799" s="514"/>
      <c r="R7799" s="293"/>
      <c r="S7799" s="316"/>
      <c r="T7799" s="355"/>
    </row>
    <row r="7800" spans="11:20" x14ac:dyDescent="0.25">
      <c r="K7800" s="312"/>
      <c r="N7800" s="514"/>
      <c r="R7800" s="293"/>
      <c r="S7800" s="316"/>
      <c r="T7800" s="355"/>
    </row>
    <row r="7801" spans="11:20" x14ac:dyDescent="0.25">
      <c r="K7801" s="312"/>
      <c r="N7801" s="514"/>
      <c r="R7801" s="293"/>
      <c r="S7801" s="316"/>
      <c r="T7801" s="355"/>
    </row>
    <row r="7802" spans="11:20" x14ac:dyDescent="0.25">
      <c r="K7802" s="312"/>
      <c r="N7802" s="514"/>
      <c r="R7802" s="293"/>
      <c r="S7802" s="316"/>
      <c r="T7802" s="355"/>
    </row>
    <row r="7803" spans="11:20" x14ac:dyDescent="0.25">
      <c r="K7803" s="312"/>
      <c r="N7803" s="514"/>
      <c r="R7803" s="293"/>
      <c r="S7803" s="316"/>
      <c r="T7803" s="355"/>
    </row>
    <row r="7804" spans="11:20" x14ac:dyDescent="0.25">
      <c r="K7804" s="312"/>
      <c r="N7804" s="514"/>
      <c r="R7804" s="293"/>
      <c r="S7804" s="316"/>
      <c r="T7804" s="355"/>
    </row>
    <row r="7805" spans="11:20" x14ac:dyDescent="0.25">
      <c r="K7805" s="312"/>
      <c r="N7805" s="514"/>
      <c r="R7805" s="293"/>
      <c r="S7805" s="316"/>
      <c r="T7805" s="355"/>
    </row>
    <row r="7806" spans="11:20" x14ac:dyDescent="0.25">
      <c r="K7806" s="312"/>
      <c r="N7806" s="514"/>
      <c r="R7806" s="293"/>
      <c r="S7806" s="316"/>
      <c r="T7806" s="355"/>
    </row>
    <row r="7807" spans="11:20" x14ac:dyDescent="0.25">
      <c r="K7807" s="312"/>
      <c r="N7807" s="514"/>
      <c r="R7807" s="293"/>
      <c r="S7807" s="316"/>
      <c r="T7807" s="355"/>
    </row>
    <row r="7808" spans="11:20" x14ac:dyDescent="0.25">
      <c r="K7808" s="312"/>
      <c r="N7808" s="514"/>
      <c r="R7808" s="293"/>
      <c r="S7808" s="316"/>
      <c r="T7808" s="355"/>
    </row>
    <row r="7809" spans="11:20" x14ac:dyDescent="0.25">
      <c r="K7809" s="312"/>
      <c r="N7809" s="514"/>
      <c r="R7809" s="293"/>
      <c r="S7809" s="316"/>
      <c r="T7809" s="355"/>
    </row>
    <row r="7810" spans="11:20" x14ac:dyDescent="0.25">
      <c r="K7810" s="312"/>
      <c r="N7810" s="514"/>
      <c r="R7810" s="293"/>
      <c r="S7810" s="316"/>
      <c r="T7810" s="355"/>
    </row>
    <row r="7811" spans="11:20" x14ac:dyDescent="0.25">
      <c r="K7811" s="312"/>
      <c r="N7811" s="514"/>
      <c r="R7811" s="293"/>
      <c r="S7811" s="316"/>
      <c r="T7811" s="355"/>
    </row>
    <row r="7812" spans="11:20" x14ac:dyDescent="0.25">
      <c r="K7812" s="312"/>
      <c r="N7812" s="514"/>
      <c r="R7812" s="293"/>
      <c r="S7812" s="316"/>
      <c r="T7812" s="355"/>
    </row>
    <row r="7813" spans="11:20" x14ac:dyDescent="0.25">
      <c r="K7813" s="312"/>
      <c r="N7813" s="514"/>
      <c r="R7813" s="293"/>
      <c r="S7813" s="316"/>
      <c r="T7813" s="355"/>
    </row>
    <row r="7814" spans="11:20" x14ac:dyDescent="0.25">
      <c r="K7814" s="312"/>
      <c r="N7814" s="514"/>
      <c r="R7814" s="293"/>
      <c r="S7814" s="316"/>
      <c r="T7814" s="355"/>
    </row>
    <row r="7815" spans="11:20" x14ac:dyDescent="0.25">
      <c r="K7815" s="312"/>
      <c r="N7815" s="514"/>
      <c r="R7815" s="293"/>
      <c r="S7815" s="316"/>
      <c r="T7815" s="355"/>
    </row>
    <row r="7816" spans="11:20" x14ac:dyDescent="0.25">
      <c r="K7816" s="312"/>
      <c r="N7816" s="514"/>
      <c r="R7816" s="293"/>
      <c r="S7816" s="316"/>
      <c r="T7816" s="355"/>
    </row>
    <row r="7817" spans="11:20" x14ac:dyDescent="0.25">
      <c r="K7817" s="312"/>
      <c r="N7817" s="514"/>
      <c r="R7817" s="293"/>
      <c r="S7817" s="316"/>
      <c r="T7817" s="355"/>
    </row>
    <row r="7818" spans="11:20" x14ac:dyDescent="0.25">
      <c r="K7818" s="312"/>
      <c r="N7818" s="514"/>
      <c r="R7818" s="293"/>
      <c r="S7818" s="316"/>
      <c r="T7818" s="355"/>
    </row>
    <row r="7819" spans="11:20" x14ac:dyDescent="0.25">
      <c r="K7819" s="312"/>
      <c r="N7819" s="514"/>
      <c r="R7819" s="293"/>
      <c r="S7819" s="316"/>
      <c r="T7819" s="355"/>
    </row>
    <row r="7820" spans="11:20" x14ac:dyDescent="0.25">
      <c r="K7820" s="312"/>
      <c r="N7820" s="514"/>
      <c r="R7820" s="293"/>
      <c r="S7820" s="316"/>
      <c r="T7820" s="355"/>
    </row>
    <row r="7821" spans="11:20" x14ac:dyDescent="0.25">
      <c r="K7821" s="312"/>
      <c r="N7821" s="514"/>
      <c r="R7821" s="293"/>
      <c r="S7821" s="316"/>
      <c r="T7821" s="355"/>
    </row>
    <row r="7822" spans="11:20" x14ac:dyDescent="0.25">
      <c r="K7822" s="312"/>
      <c r="N7822" s="514"/>
      <c r="R7822" s="293"/>
      <c r="S7822" s="316"/>
      <c r="T7822" s="355"/>
    </row>
    <row r="7823" spans="11:20" x14ac:dyDescent="0.25">
      <c r="K7823" s="312"/>
      <c r="N7823" s="514"/>
      <c r="R7823" s="293"/>
      <c r="S7823" s="316"/>
      <c r="T7823" s="355"/>
    </row>
    <row r="7824" spans="11:20" x14ac:dyDescent="0.25">
      <c r="K7824" s="312"/>
      <c r="N7824" s="514"/>
      <c r="R7824" s="293"/>
      <c r="S7824" s="316"/>
      <c r="T7824" s="355"/>
    </row>
    <row r="7825" spans="11:20" x14ac:dyDescent="0.25">
      <c r="K7825" s="312"/>
      <c r="N7825" s="514"/>
      <c r="R7825" s="293"/>
      <c r="S7825" s="316"/>
      <c r="T7825" s="355"/>
    </row>
    <row r="7826" spans="11:20" x14ac:dyDescent="0.25">
      <c r="K7826" s="312"/>
      <c r="N7826" s="514"/>
      <c r="R7826" s="293"/>
      <c r="S7826" s="316"/>
      <c r="T7826" s="355"/>
    </row>
    <row r="7827" spans="11:20" x14ac:dyDescent="0.25">
      <c r="K7827" s="312"/>
      <c r="N7827" s="514"/>
      <c r="R7827" s="293"/>
      <c r="S7827" s="316"/>
      <c r="T7827" s="355"/>
    </row>
    <row r="7828" spans="11:20" x14ac:dyDescent="0.25">
      <c r="K7828" s="312"/>
      <c r="N7828" s="514"/>
      <c r="R7828" s="293"/>
      <c r="S7828" s="316"/>
      <c r="T7828" s="355"/>
    </row>
    <row r="7829" spans="11:20" x14ac:dyDescent="0.25">
      <c r="K7829" s="312"/>
      <c r="N7829" s="514"/>
      <c r="R7829" s="293"/>
      <c r="S7829" s="316"/>
      <c r="T7829" s="355"/>
    </row>
    <row r="7830" spans="11:20" x14ac:dyDescent="0.25">
      <c r="K7830" s="312"/>
      <c r="N7830" s="514"/>
      <c r="R7830" s="293"/>
      <c r="S7830" s="316"/>
      <c r="T7830" s="355"/>
    </row>
    <row r="7831" spans="11:20" x14ac:dyDescent="0.25">
      <c r="K7831" s="312"/>
      <c r="N7831" s="514"/>
      <c r="R7831" s="293"/>
      <c r="S7831" s="316"/>
      <c r="T7831" s="355"/>
    </row>
    <row r="7832" spans="11:20" x14ac:dyDescent="0.25">
      <c r="K7832" s="312"/>
      <c r="N7832" s="514"/>
      <c r="R7832" s="293"/>
      <c r="S7832" s="316"/>
      <c r="T7832" s="355"/>
    </row>
    <row r="7833" spans="11:20" x14ac:dyDescent="0.25">
      <c r="K7833" s="312"/>
      <c r="N7833" s="514"/>
      <c r="R7833" s="293"/>
      <c r="S7833" s="316"/>
      <c r="T7833" s="355"/>
    </row>
    <row r="7834" spans="11:20" x14ac:dyDescent="0.25">
      <c r="K7834" s="312"/>
      <c r="N7834" s="514"/>
      <c r="R7834" s="293"/>
      <c r="S7834" s="316"/>
      <c r="T7834" s="355"/>
    </row>
    <row r="7835" spans="11:20" x14ac:dyDescent="0.25">
      <c r="K7835" s="312"/>
      <c r="N7835" s="514"/>
      <c r="R7835" s="293"/>
      <c r="S7835" s="316"/>
      <c r="T7835" s="355"/>
    </row>
    <row r="7836" spans="11:20" x14ac:dyDescent="0.25">
      <c r="K7836" s="312"/>
      <c r="N7836" s="514"/>
      <c r="R7836" s="293"/>
      <c r="S7836" s="316"/>
      <c r="T7836" s="355"/>
    </row>
    <row r="7837" spans="11:20" x14ac:dyDescent="0.25">
      <c r="K7837" s="312"/>
      <c r="N7837" s="514"/>
      <c r="R7837" s="293"/>
      <c r="S7837" s="316"/>
      <c r="T7837" s="355"/>
    </row>
    <row r="7838" spans="11:20" x14ac:dyDescent="0.25">
      <c r="K7838" s="312"/>
      <c r="N7838" s="514"/>
      <c r="R7838" s="293"/>
      <c r="S7838" s="316"/>
      <c r="T7838" s="355"/>
    </row>
    <row r="7839" spans="11:20" x14ac:dyDescent="0.25">
      <c r="K7839" s="312"/>
      <c r="N7839" s="514"/>
      <c r="R7839" s="293"/>
      <c r="S7839" s="316"/>
      <c r="T7839" s="355"/>
    </row>
    <row r="7840" spans="11:20" x14ac:dyDescent="0.25">
      <c r="K7840" s="312"/>
      <c r="N7840" s="514"/>
      <c r="R7840" s="293"/>
      <c r="S7840" s="316"/>
      <c r="T7840" s="355"/>
    </row>
    <row r="7841" spans="11:20" x14ac:dyDescent="0.25">
      <c r="K7841" s="312"/>
      <c r="N7841" s="514"/>
      <c r="R7841" s="293"/>
      <c r="S7841" s="316"/>
      <c r="T7841" s="355"/>
    </row>
    <row r="7842" spans="11:20" x14ac:dyDescent="0.25">
      <c r="K7842" s="312"/>
      <c r="N7842" s="514"/>
      <c r="R7842" s="293"/>
      <c r="S7842" s="316"/>
      <c r="T7842" s="355"/>
    </row>
    <row r="7843" spans="11:20" x14ac:dyDescent="0.25">
      <c r="K7843" s="312"/>
      <c r="N7843" s="514"/>
      <c r="R7843" s="293"/>
      <c r="S7843" s="316"/>
      <c r="T7843" s="355"/>
    </row>
    <row r="7844" spans="11:20" x14ac:dyDescent="0.25">
      <c r="K7844" s="312"/>
      <c r="N7844" s="514"/>
      <c r="R7844" s="293"/>
      <c r="S7844" s="316"/>
      <c r="T7844" s="355"/>
    </row>
    <row r="7845" spans="11:20" x14ac:dyDescent="0.25">
      <c r="K7845" s="312"/>
      <c r="N7845" s="514"/>
      <c r="R7845" s="293"/>
      <c r="S7845" s="316"/>
      <c r="T7845" s="355"/>
    </row>
    <row r="7846" spans="11:20" x14ac:dyDescent="0.25">
      <c r="K7846" s="312"/>
      <c r="N7846" s="514"/>
      <c r="R7846" s="293"/>
      <c r="S7846" s="316"/>
      <c r="T7846" s="355"/>
    </row>
    <row r="7847" spans="11:20" x14ac:dyDescent="0.25">
      <c r="K7847" s="312"/>
      <c r="N7847" s="514"/>
      <c r="R7847" s="293"/>
      <c r="S7847" s="316"/>
      <c r="T7847" s="355"/>
    </row>
    <row r="7848" spans="11:20" x14ac:dyDescent="0.25">
      <c r="K7848" s="312"/>
      <c r="N7848" s="514"/>
      <c r="R7848" s="293"/>
      <c r="S7848" s="316"/>
      <c r="T7848" s="355"/>
    </row>
    <row r="7849" spans="11:20" x14ac:dyDescent="0.25">
      <c r="K7849" s="312"/>
      <c r="N7849" s="514"/>
      <c r="R7849" s="293"/>
      <c r="S7849" s="316"/>
      <c r="T7849" s="355"/>
    </row>
    <row r="7850" spans="11:20" x14ac:dyDescent="0.25">
      <c r="K7850" s="312"/>
      <c r="N7850" s="514"/>
      <c r="R7850" s="293"/>
      <c r="S7850" s="316"/>
      <c r="T7850" s="355"/>
    </row>
    <row r="7851" spans="11:20" x14ac:dyDescent="0.25">
      <c r="K7851" s="312"/>
      <c r="N7851" s="514"/>
      <c r="R7851" s="293"/>
      <c r="S7851" s="316"/>
      <c r="T7851" s="355"/>
    </row>
    <row r="7852" spans="11:20" x14ac:dyDescent="0.25">
      <c r="K7852" s="312"/>
      <c r="N7852" s="514"/>
      <c r="R7852" s="293"/>
      <c r="S7852" s="316"/>
      <c r="T7852" s="355"/>
    </row>
    <row r="7853" spans="11:20" x14ac:dyDescent="0.25">
      <c r="K7853" s="312"/>
      <c r="N7853" s="514"/>
      <c r="R7853" s="293"/>
      <c r="S7853" s="316"/>
      <c r="T7853" s="355"/>
    </row>
    <row r="7854" spans="11:20" x14ac:dyDescent="0.25">
      <c r="K7854" s="312"/>
      <c r="N7854" s="514"/>
      <c r="R7854" s="293"/>
      <c r="S7854" s="316"/>
      <c r="T7854" s="355"/>
    </row>
    <row r="7855" spans="11:20" x14ac:dyDescent="0.25">
      <c r="K7855" s="312"/>
      <c r="N7855" s="514"/>
      <c r="R7855" s="293"/>
      <c r="S7855" s="316"/>
      <c r="T7855" s="355"/>
    </row>
    <row r="7856" spans="11:20" x14ac:dyDescent="0.25">
      <c r="K7856" s="312"/>
      <c r="N7856" s="514"/>
      <c r="R7856" s="293"/>
      <c r="S7856" s="316"/>
      <c r="T7856" s="355"/>
    </row>
    <row r="7857" spans="11:20" x14ac:dyDescent="0.25">
      <c r="K7857" s="312"/>
      <c r="N7857" s="514"/>
      <c r="R7857" s="293"/>
      <c r="S7857" s="316"/>
      <c r="T7857" s="355"/>
    </row>
    <row r="7858" spans="11:20" x14ac:dyDescent="0.25">
      <c r="K7858" s="312"/>
      <c r="N7858" s="514"/>
      <c r="R7858" s="293"/>
      <c r="S7858" s="316"/>
      <c r="T7858" s="355"/>
    </row>
    <row r="7859" spans="11:20" x14ac:dyDescent="0.25">
      <c r="K7859" s="312"/>
      <c r="N7859" s="514"/>
      <c r="R7859" s="293"/>
      <c r="S7859" s="316"/>
      <c r="T7859" s="355"/>
    </row>
    <row r="7860" spans="11:20" x14ac:dyDescent="0.25">
      <c r="K7860" s="312"/>
      <c r="N7860" s="514"/>
      <c r="R7860" s="293"/>
      <c r="S7860" s="316"/>
      <c r="T7860" s="355"/>
    </row>
    <row r="7861" spans="11:20" x14ac:dyDescent="0.25">
      <c r="K7861" s="312"/>
      <c r="N7861" s="514"/>
      <c r="R7861" s="293"/>
      <c r="S7861" s="316"/>
      <c r="T7861" s="355"/>
    </row>
    <row r="7862" spans="11:20" x14ac:dyDescent="0.25">
      <c r="K7862" s="312"/>
      <c r="N7862" s="514"/>
      <c r="R7862" s="293"/>
      <c r="S7862" s="316"/>
      <c r="T7862" s="355"/>
    </row>
    <row r="7863" spans="11:20" x14ac:dyDescent="0.25">
      <c r="K7863" s="312"/>
      <c r="N7863" s="514"/>
      <c r="R7863" s="293"/>
      <c r="S7863" s="316"/>
      <c r="T7863" s="355"/>
    </row>
    <row r="7864" spans="11:20" x14ac:dyDescent="0.25">
      <c r="K7864" s="312"/>
      <c r="N7864" s="514"/>
      <c r="R7864" s="293"/>
      <c r="S7864" s="316"/>
      <c r="T7864" s="355"/>
    </row>
    <row r="7865" spans="11:20" x14ac:dyDescent="0.25">
      <c r="K7865" s="312"/>
      <c r="N7865" s="514"/>
      <c r="R7865" s="293"/>
      <c r="S7865" s="316"/>
      <c r="T7865" s="355"/>
    </row>
    <row r="7866" spans="11:20" x14ac:dyDescent="0.25">
      <c r="K7866" s="312"/>
      <c r="N7866" s="514"/>
      <c r="R7866" s="293"/>
      <c r="S7866" s="316"/>
      <c r="T7866" s="355"/>
    </row>
    <row r="7867" spans="11:20" x14ac:dyDescent="0.25">
      <c r="K7867" s="312"/>
      <c r="N7867" s="514"/>
      <c r="R7867" s="293"/>
      <c r="S7867" s="316"/>
      <c r="T7867" s="355"/>
    </row>
    <row r="7868" spans="11:20" x14ac:dyDescent="0.25">
      <c r="K7868" s="312"/>
      <c r="N7868" s="514"/>
      <c r="R7868" s="293"/>
      <c r="S7868" s="316"/>
      <c r="T7868" s="355"/>
    </row>
    <row r="7869" spans="11:20" x14ac:dyDescent="0.25">
      <c r="K7869" s="312"/>
      <c r="N7869" s="514"/>
      <c r="R7869" s="293"/>
      <c r="S7869" s="316"/>
      <c r="T7869" s="355"/>
    </row>
    <row r="7870" spans="11:20" x14ac:dyDescent="0.25">
      <c r="K7870" s="312"/>
      <c r="N7870" s="514"/>
      <c r="R7870" s="293"/>
      <c r="S7870" s="316"/>
      <c r="T7870" s="355"/>
    </row>
    <row r="7871" spans="11:20" x14ac:dyDescent="0.25">
      <c r="K7871" s="312"/>
      <c r="N7871" s="514"/>
      <c r="R7871" s="293"/>
      <c r="S7871" s="316"/>
      <c r="T7871" s="355"/>
    </row>
    <row r="7872" spans="11:20" x14ac:dyDescent="0.25">
      <c r="K7872" s="312"/>
      <c r="N7872" s="514"/>
      <c r="R7872" s="293"/>
      <c r="S7872" s="316"/>
      <c r="T7872" s="355"/>
    </row>
    <row r="7873" spans="11:20" x14ac:dyDescent="0.25">
      <c r="K7873" s="312"/>
      <c r="N7873" s="514"/>
      <c r="R7873" s="293"/>
      <c r="S7873" s="316"/>
      <c r="T7873" s="355"/>
    </row>
    <row r="7874" spans="11:20" x14ac:dyDescent="0.25">
      <c r="K7874" s="312"/>
      <c r="N7874" s="514"/>
      <c r="R7874" s="293"/>
      <c r="S7874" s="316"/>
      <c r="T7874" s="355"/>
    </row>
    <row r="7875" spans="11:20" x14ac:dyDescent="0.25">
      <c r="K7875" s="312"/>
      <c r="N7875" s="514"/>
      <c r="R7875" s="293"/>
      <c r="S7875" s="316"/>
      <c r="T7875" s="355"/>
    </row>
    <row r="7876" spans="11:20" x14ac:dyDescent="0.25">
      <c r="K7876" s="312"/>
      <c r="N7876" s="514"/>
      <c r="R7876" s="293"/>
      <c r="S7876" s="316"/>
      <c r="T7876" s="355"/>
    </row>
    <row r="7877" spans="11:20" x14ac:dyDescent="0.25">
      <c r="K7877" s="312"/>
      <c r="N7877" s="514"/>
      <c r="R7877" s="293"/>
      <c r="S7877" s="316"/>
      <c r="T7877" s="355"/>
    </row>
    <row r="7878" spans="11:20" x14ac:dyDescent="0.25">
      <c r="K7878" s="312"/>
      <c r="N7878" s="514"/>
      <c r="R7878" s="293"/>
      <c r="S7878" s="316"/>
      <c r="T7878" s="355"/>
    </row>
    <row r="7879" spans="11:20" x14ac:dyDescent="0.25">
      <c r="K7879" s="312"/>
      <c r="N7879" s="514"/>
      <c r="R7879" s="293"/>
      <c r="S7879" s="316"/>
      <c r="T7879" s="355"/>
    </row>
    <row r="7880" spans="11:20" x14ac:dyDescent="0.25">
      <c r="K7880" s="312"/>
      <c r="N7880" s="514"/>
      <c r="R7880" s="293"/>
      <c r="S7880" s="316"/>
      <c r="T7880" s="355"/>
    </row>
    <row r="7881" spans="11:20" x14ac:dyDescent="0.25">
      <c r="K7881" s="312"/>
      <c r="N7881" s="514"/>
      <c r="R7881" s="293"/>
      <c r="S7881" s="316"/>
      <c r="T7881" s="355"/>
    </row>
    <row r="7882" spans="11:20" x14ac:dyDescent="0.25">
      <c r="K7882" s="312"/>
      <c r="N7882" s="514"/>
      <c r="R7882" s="293"/>
      <c r="S7882" s="316"/>
      <c r="T7882" s="355"/>
    </row>
    <row r="7883" spans="11:20" x14ac:dyDescent="0.25">
      <c r="K7883" s="312"/>
      <c r="N7883" s="514"/>
      <c r="R7883" s="293"/>
      <c r="S7883" s="316"/>
      <c r="T7883" s="355"/>
    </row>
    <row r="7884" spans="11:20" x14ac:dyDescent="0.25">
      <c r="K7884" s="312"/>
      <c r="N7884" s="514"/>
      <c r="R7884" s="293"/>
      <c r="S7884" s="316"/>
      <c r="T7884" s="355"/>
    </row>
    <row r="7885" spans="11:20" x14ac:dyDescent="0.25">
      <c r="K7885" s="312"/>
      <c r="N7885" s="514"/>
      <c r="R7885" s="293"/>
      <c r="S7885" s="316"/>
      <c r="T7885" s="355"/>
    </row>
    <row r="7886" spans="11:20" x14ac:dyDescent="0.25">
      <c r="K7886" s="312"/>
      <c r="N7886" s="514"/>
      <c r="R7886" s="293"/>
      <c r="S7886" s="316"/>
      <c r="T7886" s="355"/>
    </row>
    <row r="7887" spans="11:20" x14ac:dyDescent="0.25">
      <c r="K7887" s="312"/>
      <c r="N7887" s="514"/>
      <c r="R7887" s="293"/>
      <c r="S7887" s="316"/>
      <c r="T7887" s="355"/>
    </row>
    <row r="7888" spans="11:20" x14ac:dyDescent="0.25">
      <c r="K7888" s="312"/>
      <c r="N7888" s="514"/>
      <c r="R7888" s="293"/>
      <c r="S7888" s="316"/>
      <c r="T7888" s="355"/>
    </row>
    <row r="7889" spans="11:20" x14ac:dyDescent="0.25">
      <c r="K7889" s="312"/>
      <c r="N7889" s="514"/>
      <c r="R7889" s="293"/>
      <c r="S7889" s="316"/>
      <c r="T7889" s="355"/>
    </row>
    <row r="7890" spans="11:20" x14ac:dyDescent="0.25">
      <c r="K7890" s="312"/>
      <c r="N7890" s="514"/>
      <c r="R7890" s="293"/>
      <c r="S7890" s="316"/>
      <c r="T7890" s="355"/>
    </row>
    <row r="7891" spans="11:20" x14ac:dyDescent="0.25">
      <c r="K7891" s="312"/>
      <c r="N7891" s="514"/>
      <c r="R7891" s="293"/>
      <c r="S7891" s="316"/>
      <c r="T7891" s="355"/>
    </row>
    <row r="7892" spans="11:20" x14ac:dyDescent="0.25">
      <c r="K7892" s="312"/>
      <c r="N7892" s="514"/>
      <c r="R7892" s="293"/>
      <c r="S7892" s="316"/>
      <c r="T7892" s="355"/>
    </row>
    <row r="7893" spans="11:20" x14ac:dyDescent="0.25">
      <c r="K7893" s="312"/>
      <c r="N7893" s="514"/>
      <c r="R7893" s="293"/>
      <c r="S7893" s="316"/>
      <c r="T7893" s="355"/>
    </row>
    <row r="7894" spans="11:20" x14ac:dyDescent="0.25">
      <c r="K7894" s="312"/>
      <c r="N7894" s="514"/>
      <c r="R7894" s="293"/>
      <c r="S7894" s="316"/>
      <c r="T7894" s="355"/>
    </row>
    <row r="7895" spans="11:20" x14ac:dyDescent="0.25">
      <c r="K7895" s="312"/>
      <c r="N7895" s="514"/>
      <c r="R7895" s="293"/>
      <c r="S7895" s="316"/>
      <c r="T7895" s="355"/>
    </row>
    <row r="7896" spans="11:20" x14ac:dyDescent="0.25">
      <c r="K7896" s="312"/>
      <c r="N7896" s="514"/>
      <c r="R7896" s="293"/>
      <c r="S7896" s="316"/>
      <c r="T7896" s="355"/>
    </row>
    <row r="7897" spans="11:20" x14ac:dyDescent="0.25">
      <c r="K7897" s="312"/>
      <c r="N7897" s="514"/>
      <c r="R7897" s="293"/>
      <c r="S7897" s="316"/>
      <c r="T7897" s="355"/>
    </row>
    <row r="7898" spans="11:20" x14ac:dyDescent="0.25">
      <c r="K7898" s="312"/>
      <c r="N7898" s="514"/>
      <c r="R7898" s="293"/>
      <c r="S7898" s="316"/>
      <c r="T7898" s="355"/>
    </row>
    <row r="7899" spans="11:20" x14ac:dyDescent="0.25">
      <c r="K7899" s="312"/>
      <c r="N7899" s="514"/>
      <c r="R7899" s="293"/>
      <c r="S7899" s="316"/>
      <c r="T7899" s="355"/>
    </row>
    <row r="7900" spans="11:20" x14ac:dyDescent="0.25">
      <c r="K7900" s="312"/>
      <c r="N7900" s="514"/>
      <c r="R7900" s="293"/>
      <c r="S7900" s="316"/>
      <c r="T7900" s="355"/>
    </row>
    <row r="7901" spans="11:20" x14ac:dyDescent="0.25">
      <c r="K7901" s="312"/>
      <c r="N7901" s="514"/>
      <c r="R7901" s="293"/>
      <c r="S7901" s="316"/>
      <c r="T7901" s="355"/>
    </row>
    <row r="7902" spans="11:20" x14ac:dyDescent="0.25">
      <c r="K7902" s="312"/>
      <c r="N7902" s="514"/>
      <c r="R7902" s="293"/>
      <c r="S7902" s="316"/>
      <c r="T7902" s="355"/>
    </row>
    <row r="7903" spans="11:20" x14ac:dyDescent="0.25">
      <c r="K7903" s="312"/>
      <c r="N7903" s="514"/>
      <c r="R7903" s="293"/>
      <c r="S7903" s="316"/>
      <c r="T7903" s="355"/>
    </row>
    <row r="7904" spans="11:20" x14ac:dyDescent="0.25">
      <c r="K7904" s="312"/>
      <c r="N7904" s="514"/>
      <c r="R7904" s="293"/>
      <c r="S7904" s="316"/>
      <c r="T7904" s="355"/>
    </row>
    <row r="7905" spans="11:20" x14ac:dyDescent="0.25">
      <c r="K7905" s="312"/>
      <c r="N7905" s="514"/>
      <c r="R7905" s="293"/>
      <c r="S7905" s="316"/>
      <c r="T7905" s="355"/>
    </row>
    <row r="7906" spans="11:20" x14ac:dyDescent="0.25">
      <c r="K7906" s="312"/>
      <c r="N7906" s="514"/>
      <c r="R7906" s="293"/>
      <c r="S7906" s="316"/>
      <c r="T7906" s="355"/>
    </row>
    <row r="7907" spans="11:20" x14ac:dyDescent="0.25">
      <c r="K7907" s="312"/>
      <c r="N7907" s="514"/>
      <c r="R7907" s="293"/>
      <c r="S7907" s="316"/>
      <c r="T7907" s="355"/>
    </row>
    <row r="7908" spans="11:20" x14ac:dyDescent="0.25">
      <c r="K7908" s="312"/>
      <c r="N7908" s="514"/>
      <c r="R7908" s="293"/>
      <c r="S7908" s="316"/>
      <c r="T7908" s="355"/>
    </row>
    <row r="7909" spans="11:20" x14ac:dyDescent="0.25">
      <c r="K7909" s="312"/>
      <c r="N7909" s="514"/>
      <c r="R7909" s="293"/>
      <c r="S7909" s="316"/>
      <c r="T7909" s="355"/>
    </row>
    <row r="7910" spans="11:20" x14ac:dyDescent="0.25">
      <c r="K7910" s="312"/>
      <c r="N7910" s="514"/>
      <c r="R7910" s="293"/>
      <c r="S7910" s="316"/>
      <c r="T7910" s="355"/>
    </row>
    <row r="7911" spans="11:20" x14ac:dyDescent="0.25">
      <c r="K7911" s="312"/>
      <c r="N7911" s="514"/>
      <c r="R7911" s="293"/>
      <c r="S7911" s="316"/>
      <c r="T7911" s="355"/>
    </row>
    <row r="7912" spans="11:20" x14ac:dyDescent="0.25">
      <c r="K7912" s="312"/>
      <c r="N7912" s="514"/>
      <c r="R7912" s="293"/>
      <c r="S7912" s="316"/>
      <c r="T7912" s="355"/>
    </row>
    <row r="7913" spans="11:20" x14ac:dyDescent="0.25">
      <c r="K7913" s="312"/>
      <c r="N7913" s="514"/>
      <c r="R7913" s="293"/>
      <c r="S7913" s="316"/>
      <c r="T7913" s="355"/>
    </row>
    <row r="7914" spans="11:20" x14ac:dyDescent="0.25">
      <c r="K7914" s="312"/>
      <c r="N7914" s="514"/>
      <c r="R7914" s="293"/>
      <c r="S7914" s="316"/>
      <c r="T7914" s="355"/>
    </row>
    <row r="7915" spans="11:20" x14ac:dyDescent="0.25">
      <c r="K7915" s="312"/>
      <c r="N7915" s="514"/>
      <c r="R7915" s="293"/>
      <c r="S7915" s="316"/>
      <c r="T7915" s="355"/>
    </row>
    <row r="7916" spans="11:20" x14ac:dyDescent="0.25">
      <c r="K7916" s="312"/>
      <c r="N7916" s="514"/>
      <c r="R7916" s="293"/>
      <c r="S7916" s="316"/>
      <c r="T7916" s="355"/>
    </row>
    <row r="7917" spans="11:20" x14ac:dyDescent="0.25">
      <c r="K7917" s="312"/>
      <c r="N7917" s="514"/>
      <c r="R7917" s="293"/>
      <c r="S7917" s="316"/>
      <c r="T7917" s="355"/>
    </row>
    <row r="7918" spans="11:20" x14ac:dyDescent="0.25">
      <c r="K7918" s="312"/>
      <c r="N7918" s="514"/>
      <c r="R7918" s="293"/>
      <c r="S7918" s="316"/>
      <c r="T7918" s="355"/>
    </row>
    <row r="7919" spans="11:20" x14ac:dyDescent="0.25">
      <c r="K7919" s="312"/>
      <c r="N7919" s="514"/>
      <c r="R7919" s="293"/>
      <c r="S7919" s="316"/>
      <c r="T7919" s="355"/>
    </row>
    <row r="7920" spans="11:20" x14ac:dyDescent="0.25">
      <c r="K7920" s="312"/>
      <c r="N7920" s="514"/>
      <c r="R7920" s="293"/>
      <c r="S7920" s="316"/>
      <c r="T7920" s="355"/>
    </row>
    <row r="7921" spans="11:20" x14ac:dyDescent="0.25">
      <c r="K7921" s="312"/>
      <c r="N7921" s="514"/>
      <c r="R7921" s="293"/>
      <c r="S7921" s="316"/>
      <c r="T7921" s="355"/>
    </row>
    <row r="7922" spans="11:20" x14ac:dyDescent="0.25">
      <c r="K7922" s="312"/>
      <c r="N7922" s="514"/>
      <c r="R7922" s="293"/>
      <c r="S7922" s="316"/>
      <c r="T7922" s="355"/>
    </row>
    <row r="7923" spans="11:20" x14ac:dyDescent="0.25">
      <c r="K7923" s="312"/>
      <c r="N7923" s="514"/>
      <c r="R7923" s="293"/>
      <c r="S7923" s="316"/>
      <c r="T7923" s="355"/>
    </row>
    <row r="7924" spans="11:20" x14ac:dyDescent="0.25">
      <c r="K7924" s="312"/>
      <c r="N7924" s="514"/>
      <c r="R7924" s="293"/>
      <c r="S7924" s="316"/>
      <c r="T7924" s="355"/>
    </row>
    <row r="7925" spans="11:20" x14ac:dyDescent="0.25">
      <c r="K7925" s="312"/>
      <c r="N7925" s="514"/>
      <c r="R7925" s="293"/>
      <c r="S7925" s="316"/>
      <c r="T7925" s="355"/>
    </row>
    <row r="7926" spans="11:20" x14ac:dyDescent="0.25">
      <c r="K7926" s="312"/>
      <c r="N7926" s="514"/>
      <c r="R7926" s="293"/>
      <c r="S7926" s="316"/>
      <c r="T7926" s="355"/>
    </row>
    <row r="7927" spans="11:20" x14ac:dyDescent="0.25">
      <c r="K7927" s="312"/>
      <c r="N7927" s="514"/>
      <c r="R7927" s="293"/>
      <c r="S7927" s="316"/>
      <c r="T7927" s="355"/>
    </row>
    <row r="7928" spans="11:20" x14ac:dyDescent="0.25">
      <c r="K7928" s="312"/>
      <c r="N7928" s="514"/>
      <c r="R7928" s="293"/>
      <c r="S7928" s="316"/>
      <c r="T7928" s="355"/>
    </row>
    <row r="7929" spans="11:20" x14ac:dyDescent="0.25">
      <c r="K7929" s="312"/>
      <c r="N7929" s="514"/>
      <c r="R7929" s="293"/>
      <c r="S7929" s="316"/>
      <c r="T7929" s="355"/>
    </row>
    <row r="7930" spans="11:20" x14ac:dyDescent="0.25">
      <c r="K7930" s="312"/>
      <c r="N7930" s="514"/>
      <c r="R7930" s="293"/>
      <c r="S7930" s="316"/>
      <c r="T7930" s="355"/>
    </row>
    <row r="7931" spans="11:20" x14ac:dyDescent="0.25">
      <c r="K7931" s="312"/>
      <c r="N7931" s="514"/>
      <c r="R7931" s="293"/>
      <c r="S7931" s="316"/>
      <c r="T7931" s="355"/>
    </row>
    <row r="7932" spans="11:20" x14ac:dyDescent="0.25">
      <c r="K7932" s="312"/>
      <c r="N7932" s="514"/>
      <c r="R7932" s="293"/>
      <c r="S7932" s="316"/>
      <c r="T7932" s="355"/>
    </row>
    <row r="7933" spans="11:20" x14ac:dyDescent="0.25">
      <c r="K7933" s="312"/>
      <c r="N7933" s="514"/>
      <c r="R7933" s="293"/>
      <c r="S7933" s="316"/>
      <c r="T7933" s="355"/>
    </row>
    <row r="7934" spans="11:20" x14ac:dyDescent="0.25">
      <c r="K7934" s="312"/>
      <c r="N7934" s="514"/>
      <c r="R7934" s="293"/>
      <c r="S7934" s="316"/>
      <c r="T7934" s="355"/>
    </row>
    <row r="7935" spans="11:20" x14ac:dyDescent="0.25">
      <c r="K7935" s="312"/>
      <c r="N7935" s="514"/>
      <c r="R7935" s="293"/>
      <c r="S7935" s="316"/>
      <c r="T7935" s="355"/>
    </row>
    <row r="7936" spans="11:20" x14ac:dyDescent="0.25">
      <c r="K7936" s="312"/>
      <c r="N7936" s="514"/>
      <c r="R7936" s="293"/>
      <c r="S7936" s="316"/>
      <c r="T7936" s="355"/>
    </row>
    <row r="7937" spans="11:20" x14ac:dyDescent="0.25">
      <c r="K7937" s="312"/>
      <c r="N7937" s="514"/>
      <c r="R7937" s="293"/>
      <c r="S7937" s="316"/>
      <c r="T7937" s="355"/>
    </row>
    <row r="7938" spans="11:20" x14ac:dyDescent="0.25">
      <c r="K7938" s="312"/>
      <c r="N7938" s="514"/>
      <c r="R7938" s="293"/>
      <c r="S7938" s="316"/>
      <c r="T7938" s="355"/>
    </row>
    <row r="7939" spans="11:20" x14ac:dyDescent="0.25">
      <c r="K7939" s="312"/>
      <c r="N7939" s="514"/>
      <c r="R7939" s="293"/>
      <c r="S7939" s="316"/>
      <c r="T7939" s="355"/>
    </row>
    <row r="7940" spans="11:20" x14ac:dyDescent="0.25">
      <c r="K7940" s="312"/>
      <c r="N7940" s="514"/>
      <c r="R7940" s="293"/>
      <c r="S7940" s="316"/>
      <c r="T7940" s="355"/>
    </row>
    <row r="7941" spans="11:20" x14ac:dyDescent="0.25">
      <c r="K7941" s="312"/>
      <c r="N7941" s="514"/>
      <c r="R7941" s="293"/>
      <c r="S7941" s="316"/>
      <c r="T7941" s="355"/>
    </row>
    <row r="7942" spans="11:20" x14ac:dyDescent="0.25">
      <c r="K7942" s="312"/>
      <c r="N7942" s="514"/>
      <c r="R7942" s="293"/>
      <c r="S7942" s="316"/>
      <c r="T7942" s="355"/>
    </row>
    <row r="7943" spans="11:20" x14ac:dyDescent="0.25">
      <c r="K7943" s="312"/>
      <c r="N7943" s="514"/>
      <c r="R7943" s="293"/>
      <c r="S7943" s="316"/>
      <c r="T7943" s="355"/>
    </row>
    <row r="7944" spans="11:20" x14ac:dyDescent="0.25">
      <c r="K7944" s="312"/>
      <c r="N7944" s="514"/>
      <c r="R7944" s="293"/>
      <c r="S7944" s="316"/>
      <c r="T7944" s="355"/>
    </row>
    <row r="7945" spans="11:20" x14ac:dyDescent="0.25">
      <c r="K7945" s="312"/>
      <c r="N7945" s="514"/>
      <c r="R7945" s="293"/>
      <c r="S7945" s="316"/>
      <c r="T7945" s="355"/>
    </row>
    <row r="7946" spans="11:20" x14ac:dyDescent="0.25">
      <c r="K7946" s="312"/>
      <c r="N7946" s="514"/>
      <c r="R7946" s="293"/>
      <c r="S7946" s="316"/>
      <c r="T7946" s="355"/>
    </row>
    <row r="7947" spans="11:20" x14ac:dyDescent="0.25">
      <c r="K7947" s="312"/>
      <c r="N7947" s="514"/>
      <c r="R7947" s="293"/>
      <c r="S7947" s="316"/>
      <c r="T7947" s="355"/>
    </row>
    <row r="7948" spans="11:20" x14ac:dyDescent="0.25">
      <c r="K7948" s="312"/>
      <c r="N7948" s="514"/>
      <c r="R7948" s="293"/>
      <c r="S7948" s="316"/>
      <c r="T7948" s="355"/>
    </row>
    <row r="7949" spans="11:20" x14ac:dyDescent="0.25">
      <c r="K7949" s="312"/>
      <c r="N7949" s="514"/>
      <c r="R7949" s="293"/>
      <c r="S7949" s="316"/>
      <c r="T7949" s="355"/>
    </row>
    <row r="7950" spans="11:20" x14ac:dyDescent="0.25">
      <c r="K7950" s="312"/>
      <c r="N7950" s="514"/>
      <c r="R7950" s="293"/>
      <c r="S7950" s="316"/>
      <c r="T7950" s="355"/>
    </row>
    <row r="7951" spans="11:20" x14ac:dyDescent="0.25">
      <c r="K7951" s="312"/>
      <c r="N7951" s="514"/>
      <c r="R7951" s="293"/>
      <c r="S7951" s="316"/>
      <c r="T7951" s="355"/>
    </row>
    <row r="7952" spans="11:20" x14ac:dyDescent="0.25">
      <c r="K7952" s="312"/>
      <c r="N7952" s="514"/>
      <c r="R7952" s="293"/>
      <c r="S7952" s="316"/>
      <c r="T7952" s="355"/>
    </row>
    <row r="7953" spans="11:20" x14ac:dyDescent="0.25">
      <c r="K7953" s="312"/>
      <c r="N7953" s="514"/>
      <c r="R7953" s="293"/>
      <c r="S7953" s="316"/>
      <c r="T7953" s="355"/>
    </row>
    <row r="7954" spans="11:20" x14ac:dyDescent="0.25">
      <c r="K7954" s="312"/>
      <c r="N7954" s="514"/>
      <c r="R7954" s="293"/>
      <c r="S7954" s="316"/>
      <c r="T7954" s="355"/>
    </row>
    <row r="7955" spans="11:20" x14ac:dyDescent="0.25">
      <c r="K7955" s="312"/>
      <c r="N7955" s="514"/>
      <c r="R7955" s="293"/>
      <c r="S7955" s="316"/>
      <c r="T7955" s="355"/>
    </row>
    <row r="7956" spans="11:20" x14ac:dyDescent="0.25">
      <c r="K7956" s="312"/>
      <c r="N7956" s="514"/>
      <c r="R7956" s="293"/>
      <c r="S7956" s="316"/>
      <c r="T7956" s="355"/>
    </row>
    <row r="7957" spans="11:20" x14ac:dyDescent="0.25">
      <c r="K7957" s="312"/>
      <c r="N7957" s="514"/>
      <c r="R7957" s="293"/>
      <c r="S7957" s="316"/>
      <c r="T7957" s="355"/>
    </row>
    <row r="7958" spans="11:20" x14ac:dyDescent="0.25">
      <c r="K7958" s="312"/>
      <c r="N7958" s="514"/>
      <c r="R7958" s="293"/>
      <c r="S7958" s="316"/>
      <c r="T7958" s="355"/>
    </row>
    <row r="7959" spans="11:20" x14ac:dyDescent="0.25">
      <c r="K7959" s="312"/>
      <c r="N7959" s="514"/>
      <c r="R7959" s="293"/>
      <c r="S7959" s="316"/>
      <c r="T7959" s="355"/>
    </row>
    <row r="7960" spans="11:20" x14ac:dyDescent="0.25">
      <c r="K7960" s="312"/>
      <c r="N7960" s="514"/>
      <c r="R7960" s="293"/>
      <c r="S7960" s="316"/>
      <c r="T7960" s="355"/>
    </row>
    <row r="7961" spans="11:20" x14ac:dyDescent="0.25">
      <c r="K7961" s="312"/>
      <c r="N7961" s="514"/>
      <c r="R7961" s="293"/>
      <c r="S7961" s="316"/>
      <c r="T7961" s="355"/>
    </row>
    <row r="7962" spans="11:20" x14ac:dyDescent="0.25">
      <c r="K7962" s="312"/>
      <c r="N7962" s="514"/>
      <c r="R7962" s="293"/>
      <c r="S7962" s="316"/>
      <c r="T7962" s="355"/>
    </row>
    <row r="7963" spans="11:20" x14ac:dyDescent="0.25">
      <c r="K7963" s="312"/>
      <c r="N7963" s="514"/>
      <c r="R7963" s="293"/>
      <c r="S7963" s="316"/>
      <c r="T7963" s="355"/>
    </row>
    <row r="7964" spans="11:20" x14ac:dyDescent="0.25">
      <c r="K7964" s="312"/>
      <c r="N7964" s="514"/>
      <c r="R7964" s="293"/>
      <c r="S7964" s="316"/>
      <c r="T7964" s="355"/>
    </row>
    <row r="7965" spans="11:20" x14ac:dyDescent="0.25">
      <c r="K7965" s="312"/>
      <c r="N7965" s="514"/>
      <c r="R7965" s="293"/>
      <c r="S7965" s="316"/>
      <c r="T7965" s="355"/>
    </row>
    <row r="7966" spans="11:20" x14ac:dyDescent="0.25">
      <c r="K7966" s="312"/>
      <c r="N7966" s="514"/>
      <c r="R7966" s="293"/>
      <c r="S7966" s="316"/>
      <c r="T7966" s="355"/>
    </row>
    <row r="7967" spans="11:20" x14ac:dyDescent="0.25">
      <c r="K7967" s="312"/>
      <c r="N7967" s="514"/>
      <c r="R7967" s="293"/>
      <c r="S7967" s="316"/>
      <c r="T7967" s="355"/>
    </row>
    <row r="7968" spans="11:20" x14ac:dyDescent="0.25">
      <c r="K7968" s="312"/>
      <c r="N7968" s="514"/>
      <c r="R7968" s="293"/>
      <c r="S7968" s="316"/>
      <c r="T7968" s="355"/>
    </row>
    <row r="7969" spans="11:20" x14ac:dyDescent="0.25">
      <c r="K7969" s="312"/>
      <c r="N7969" s="514"/>
      <c r="R7969" s="293"/>
      <c r="S7969" s="316"/>
      <c r="T7969" s="355"/>
    </row>
    <row r="7970" spans="11:20" x14ac:dyDescent="0.25">
      <c r="K7970" s="312"/>
      <c r="N7970" s="514"/>
      <c r="R7970" s="293"/>
      <c r="S7970" s="316"/>
      <c r="T7970" s="355"/>
    </row>
    <row r="7971" spans="11:20" x14ac:dyDescent="0.25">
      <c r="K7971" s="312"/>
      <c r="N7971" s="514"/>
      <c r="R7971" s="293"/>
      <c r="S7971" s="316"/>
      <c r="T7971" s="355"/>
    </row>
    <row r="7972" spans="11:20" x14ac:dyDescent="0.25">
      <c r="K7972" s="312"/>
      <c r="N7972" s="514"/>
      <c r="R7972" s="293"/>
      <c r="S7972" s="316"/>
      <c r="T7972" s="355"/>
    </row>
    <row r="7973" spans="11:20" x14ac:dyDescent="0.25">
      <c r="K7973" s="312"/>
      <c r="N7973" s="514"/>
      <c r="R7973" s="293"/>
      <c r="S7973" s="316"/>
      <c r="T7973" s="355"/>
    </row>
    <row r="7974" spans="11:20" x14ac:dyDescent="0.25">
      <c r="K7974" s="312"/>
      <c r="N7974" s="514"/>
      <c r="R7974" s="293"/>
      <c r="S7974" s="316"/>
      <c r="T7974" s="355"/>
    </row>
    <row r="7975" spans="11:20" x14ac:dyDescent="0.25">
      <c r="K7975" s="312"/>
      <c r="N7975" s="514"/>
      <c r="R7975" s="293"/>
      <c r="S7975" s="316"/>
      <c r="T7975" s="355"/>
    </row>
    <row r="7976" spans="11:20" x14ac:dyDescent="0.25">
      <c r="K7976" s="312"/>
      <c r="N7976" s="514"/>
      <c r="R7976" s="293"/>
      <c r="S7976" s="316"/>
      <c r="T7976" s="355"/>
    </row>
    <row r="7977" spans="11:20" x14ac:dyDescent="0.25">
      <c r="K7977" s="312"/>
      <c r="N7977" s="514"/>
      <c r="R7977" s="293"/>
      <c r="S7977" s="316"/>
      <c r="T7977" s="355"/>
    </row>
    <row r="7978" spans="11:20" x14ac:dyDescent="0.25">
      <c r="K7978" s="312"/>
      <c r="N7978" s="514"/>
      <c r="R7978" s="293"/>
      <c r="S7978" s="316"/>
      <c r="T7978" s="355"/>
    </row>
    <row r="7979" spans="11:20" x14ac:dyDescent="0.25">
      <c r="K7979" s="312"/>
      <c r="N7979" s="514"/>
      <c r="R7979" s="293"/>
      <c r="S7979" s="316"/>
      <c r="T7979" s="355"/>
    </row>
    <row r="7980" spans="11:20" x14ac:dyDescent="0.25">
      <c r="K7980" s="312"/>
      <c r="N7980" s="514"/>
      <c r="R7980" s="293"/>
      <c r="S7980" s="316"/>
      <c r="T7980" s="355"/>
    </row>
    <row r="7981" spans="11:20" x14ac:dyDescent="0.25">
      <c r="K7981" s="312"/>
      <c r="N7981" s="514"/>
      <c r="R7981" s="293"/>
      <c r="S7981" s="316"/>
      <c r="T7981" s="355"/>
    </row>
    <row r="7982" spans="11:20" x14ac:dyDescent="0.25">
      <c r="K7982" s="312"/>
      <c r="N7982" s="514"/>
      <c r="R7982" s="293"/>
      <c r="S7982" s="316"/>
      <c r="T7982" s="355"/>
    </row>
    <row r="7983" spans="11:20" x14ac:dyDescent="0.25">
      <c r="K7983" s="312"/>
      <c r="N7983" s="514"/>
      <c r="R7983" s="293"/>
      <c r="S7983" s="316"/>
      <c r="T7983" s="355"/>
    </row>
    <row r="7984" spans="11:20" x14ac:dyDescent="0.25">
      <c r="K7984" s="312"/>
      <c r="N7984" s="514"/>
      <c r="R7984" s="293"/>
      <c r="S7984" s="316"/>
      <c r="T7984" s="355"/>
    </row>
    <row r="7985" spans="11:20" x14ac:dyDescent="0.25">
      <c r="K7985" s="312"/>
      <c r="N7985" s="514"/>
      <c r="R7985" s="293"/>
      <c r="S7985" s="316"/>
      <c r="T7985" s="355"/>
    </row>
    <row r="7986" spans="11:20" x14ac:dyDescent="0.25">
      <c r="K7986" s="312"/>
      <c r="N7986" s="514"/>
      <c r="R7986" s="293"/>
      <c r="S7986" s="316"/>
      <c r="T7986" s="355"/>
    </row>
    <row r="7987" spans="11:20" x14ac:dyDescent="0.25">
      <c r="K7987" s="312"/>
      <c r="N7987" s="514"/>
      <c r="R7987" s="293"/>
      <c r="S7987" s="316"/>
      <c r="T7987" s="355"/>
    </row>
    <row r="7988" spans="11:20" x14ac:dyDescent="0.25">
      <c r="K7988" s="312"/>
      <c r="N7988" s="514"/>
      <c r="R7988" s="293"/>
      <c r="S7988" s="316"/>
      <c r="T7988" s="355"/>
    </row>
    <row r="7989" spans="11:20" x14ac:dyDescent="0.25">
      <c r="K7989" s="312"/>
      <c r="N7989" s="514"/>
      <c r="R7989" s="293"/>
      <c r="S7989" s="316"/>
      <c r="T7989" s="355"/>
    </row>
    <row r="7990" spans="11:20" x14ac:dyDescent="0.25">
      <c r="K7990" s="312"/>
      <c r="N7990" s="514"/>
      <c r="R7990" s="293"/>
      <c r="S7990" s="316"/>
      <c r="T7990" s="355"/>
    </row>
    <row r="7991" spans="11:20" x14ac:dyDescent="0.25">
      <c r="K7991" s="312"/>
      <c r="N7991" s="514"/>
      <c r="R7991" s="293"/>
      <c r="S7991" s="316"/>
      <c r="T7991" s="355"/>
    </row>
    <row r="7992" spans="11:20" x14ac:dyDescent="0.25">
      <c r="K7992" s="312"/>
      <c r="N7992" s="514"/>
      <c r="R7992" s="293"/>
      <c r="S7992" s="316"/>
      <c r="T7992" s="355"/>
    </row>
    <row r="7993" spans="11:20" x14ac:dyDescent="0.25">
      <c r="K7993" s="312"/>
      <c r="N7993" s="514"/>
      <c r="R7993" s="293"/>
      <c r="S7993" s="316"/>
      <c r="T7993" s="355"/>
    </row>
    <row r="7994" spans="11:20" x14ac:dyDescent="0.25">
      <c r="K7994" s="312"/>
      <c r="N7994" s="514"/>
      <c r="R7994" s="293"/>
      <c r="S7994" s="316"/>
      <c r="T7994" s="355"/>
    </row>
    <row r="7995" spans="11:20" x14ac:dyDescent="0.25">
      <c r="K7995" s="312"/>
      <c r="N7995" s="514"/>
      <c r="R7995" s="293"/>
      <c r="S7995" s="316"/>
      <c r="T7995" s="355"/>
    </row>
    <row r="7996" spans="11:20" x14ac:dyDescent="0.25">
      <c r="K7996" s="312"/>
      <c r="N7996" s="514"/>
      <c r="R7996" s="293"/>
      <c r="S7996" s="316"/>
      <c r="T7996" s="355"/>
    </row>
    <row r="7997" spans="11:20" x14ac:dyDescent="0.25">
      <c r="K7997" s="312"/>
      <c r="N7997" s="514"/>
      <c r="R7997" s="293"/>
      <c r="S7997" s="316"/>
      <c r="T7997" s="355"/>
    </row>
    <row r="7998" spans="11:20" x14ac:dyDescent="0.25">
      <c r="K7998" s="312"/>
      <c r="N7998" s="514"/>
      <c r="R7998" s="293"/>
      <c r="S7998" s="316"/>
      <c r="T7998" s="355"/>
    </row>
    <row r="7999" spans="11:20" x14ac:dyDescent="0.25">
      <c r="K7999" s="312"/>
      <c r="N7999" s="514"/>
      <c r="R7999" s="293"/>
      <c r="S7999" s="316"/>
      <c r="T7999" s="355"/>
    </row>
    <row r="8000" spans="11:20" x14ac:dyDescent="0.25">
      <c r="K8000" s="312"/>
      <c r="N8000" s="514"/>
      <c r="R8000" s="293"/>
      <c r="S8000" s="316"/>
      <c r="T8000" s="355"/>
    </row>
    <row r="8001" spans="11:20" x14ac:dyDescent="0.25">
      <c r="K8001" s="312"/>
      <c r="N8001" s="514"/>
      <c r="R8001" s="293"/>
      <c r="S8001" s="316"/>
      <c r="T8001" s="355"/>
    </row>
    <row r="8002" spans="11:20" x14ac:dyDescent="0.25">
      <c r="K8002" s="312"/>
      <c r="N8002" s="514"/>
      <c r="R8002" s="293"/>
      <c r="S8002" s="316"/>
      <c r="T8002" s="355"/>
    </row>
    <row r="8003" spans="11:20" x14ac:dyDescent="0.25">
      <c r="K8003" s="312"/>
      <c r="N8003" s="514"/>
      <c r="R8003" s="293"/>
      <c r="S8003" s="316"/>
      <c r="T8003" s="355"/>
    </row>
    <row r="8004" spans="11:20" x14ac:dyDescent="0.25">
      <c r="K8004" s="312"/>
      <c r="N8004" s="514"/>
      <c r="R8004" s="293"/>
      <c r="S8004" s="316"/>
      <c r="T8004" s="355"/>
    </row>
    <row r="8005" spans="11:20" x14ac:dyDescent="0.25">
      <c r="K8005" s="312"/>
      <c r="N8005" s="514"/>
      <c r="R8005" s="293"/>
      <c r="S8005" s="316"/>
      <c r="T8005" s="355"/>
    </row>
    <row r="8006" spans="11:20" x14ac:dyDescent="0.25">
      <c r="K8006" s="312"/>
      <c r="N8006" s="514"/>
      <c r="R8006" s="293"/>
      <c r="S8006" s="316"/>
      <c r="T8006" s="355"/>
    </row>
    <row r="8007" spans="11:20" x14ac:dyDescent="0.25">
      <c r="K8007" s="312"/>
      <c r="N8007" s="514"/>
      <c r="R8007" s="293"/>
      <c r="S8007" s="316"/>
      <c r="T8007" s="355"/>
    </row>
    <row r="8008" spans="11:20" x14ac:dyDescent="0.25">
      <c r="K8008" s="312"/>
      <c r="N8008" s="514"/>
      <c r="R8008" s="293"/>
      <c r="S8008" s="316"/>
      <c r="T8008" s="355"/>
    </row>
    <row r="8009" spans="11:20" x14ac:dyDescent="0.25">
      <c r="K8009" s="312"/>
      <c r="N8009" s="514"/>
      <c r="R8009" s="293"/>
      <c r="S8009" s="316"/>
      <c r="T8009" s="355"/>
    </row>
    <row r="8010" spans="11:20" x14ac:dyDescent="0.25">
      <c r="K8010" s="312"/>
      <c r="N8010" s="514"/>
      <c r="R8010" s="293"/>
      <c r="S8010" s="316"/>
      <c r="T8010" s="355"/>
    </row>
    <row r="8011" spans="11:20" x14ac:dyDescent="0.25">
      <c r="K8011" s="312"/>
      <c r="N8011" s="514"/>
      <c r="R8011" s="293"/>
      <c r="S8011" s="316"/>
      <c r="T8011" s="355"/>
    </row>
    <row r="8012" spans="11:20" x14ac:dyDescent="0.25">
      <c r="K8012" s="312"/>
      <c r="N8012" s="514"/>
      <c r="R8012" s="293"/>
      <c r="S8012" s="316"/>
      <c r="T8012" s="355"/>
    </row>
    <row r="8013" spans="11:20" x14ac:dyDescent="0.25">
      <c r="K8013" s="312"/>
      <c r="N8013" s="514"/>
      <c r="R8013" s="293"/>
      <c r="S8013" s="316"/>
      <c r="T8013" s="355"/>
    </row>
    <row r="8014" spans="11:20" x14ac:dyDescent="0.25">
      <c r="K8014" s="312"/>
      <c r="N8014" s="514"/>
      <c r="R8014" s="293"/>
      <c r="S8014" s="316"/>
      <c r="T8014" s="355"/>
    </row>
    <row r="8015" spans="11:20" x14ac:dyDescent="0.25">
      <c r="K8015" s="312"/>
      <c r="N8015" s="514"/>
      <c r="R8015" s="293"/>
      <c r="S8015" s="316"/>
      <c r="T8015" s="355"/>
    </row>
    <row r="8016" spans="11:20" x14ac:dyDescent="0.25">
      <c r="K8016" s="312"/>
      <c r="N8016" s="514"/>
      <c r="R8016" s="293"/>
      <c r="S8016" s="316"/>
      <c r="T8016" s="355"/>
    </row>
    <row r="8017" spans="11:20" x14ac:dyDescent="0.25">
      <c r="K8017" s="312"/>
      <c r="N8017" s="514"/>
      <c r="R8017" s="293"/>
      <c r="S8017" s="316"/>
      <c r="T8017" s="355"/>
    </row>
    <row r="8018" spans="11:20" x14ac:dyDescent="0.25">
      <c r="K8018" s="312"/>
      <c r="N8018" s="514"/>
      <c r="R8018" s="293"/>
      <c r="S8018" s="316"/>
      <c r="T8018" s="355"/>
    </row>
    <row r="8019" spans="11:20" x14ac:dyDescent="0.25">
      <c r="K8019" s="312"/>
      <c r="N8019" s="514"/>
      <c r="R8019" s="293"/>
      <c r="S8019" s="316"/>
      <c r="T8019" s="355"/>
    </row>
    <row r="8020" spans="11:20" x14ac:dyDescent="0.25">
      <c r="K8020" s="312"/>
      <c r="N8020" s="514"/>
      <c r="R8020" s="293"/>
      <c r="S8020" s="316"/>
      <c r="T8020" s="355"/>
    </row>
    <row r="8021" spans="11:20" x14ac:dyDescent="0.25">
      <c r="K8021" s="312"/>
      <c r="N8021" s="514"/>
      <c r="R8021" s="293"/>
      <c r="S8021" s="316"/>
      <c r="T8021" s="355"/>
    </row>
    <row r="8022" spans="11:20" x14ac:dyDescent="0.25">
      <c r="K8022" s="312"/>
      <c r="N8022" s="514"/>
      <c r="R8022" s="293"/>
      <c r="S8022" s="316"/>
      <c r="T8022" s="355"/>
    </row>
    <row r="8023" spans="11:20" x14ac:dyDescent="0.25">
      <c r="K8023" s="312"/>
      <c r="N8023" s="514"/>
      <c r="R8023" s="293"/>
      <c r="S8023" s="316"/>
      <c r="T8023" s="355"/>
    </row>
    <row r="8024" spans="11:20" x14ac:dyDescent="0.25">
      <c r="K8024" s="312"/>
      <c r="N8024" s="514"/>
      <c r="R8024" s="293"/>
      <c r="S8024" s="316"/>
      <c r="T8024" s="355"/>
    </row>
    <row r="8025" spans="11:20" x14ac:dyDescent="0.25">
      <c r="K8025" s="312"/>
      <c r="N8025" s="514"/>
      <c r="R8025" s="293"/>
      <c r="S8025" s="316"/>
      <c r="T8025" s="355"/>
    </row>
    <row r="8026" spans="11:20" x14ac:dyDescent="0.25">
      <c r="K8026" s="312"/>
      <c r="N8026" s="514"/>
      <c r="R8026" s="293"/>
      <c r="S8026" s="316"/>
      <c r="T8026" s="355"/>
    </row>
    <row r="8027" spans="11:20" x14ac:dyDescent="0.25">
      <c r="K8027" s="312"/>
      <c r="N8027" s="514"/>
      <c r="R8027" s="293"/>
      <c r="S8027" s="316"/>
      <c r="T8027" s="355"/>
    </row>
    <row r="8028" spans="11:20" x14ac:dyDescent="0.25">
      <c r="K8028" s="312"/>
      <c r="N8028" s="514"/>
      <c r="R8028" s="293"/>
      <c r="S8028" s="316"/>
      <c r="T8028" s="355"/>
    </row>
    <row r="8029" spans="11:20" x14ac:dyDescent="0.25">
      <c r="K8029" s="312"/>
      <c r="N8029" s="514"/>
      <c r="R8029" s="293"/>
      <c r="S8029" s="316"/>
      <c r="T8029" s="355"/>
    </row>
    <row r="8030" spans="11:20" x14ac:dyDescent="0.25">
      <c r="K8030" s="312"/>
      <c r="N8030" s="514"/>
      <c r="R8030" s="293"/>
      <c r="S8030" s="316"/>
      <c r="T8030" s="355"/>
    </row>
    <row r="8031" spans="11:20" x14ac:dyDescent="0.25">
      <c r="K8031" s="312"/>
      <c r="N8031" s="514"/>
      <c r="R8031" s="293"/>
      <c r="S8031" s="316"/>
      <c r="T8031" s="355"/>
    </row>
    <row r="8032" spans="11:20" x14ac:dyDescent="0.25">
      <c r="K8032" s="312"/>
      <c r="N8032" s="514"/>
      <c r="R8032" s="293"/>
      <c r="S8032" s="316"/>
      <c r="T8032" s="355"/>
    </row>
    <row r="8033" spans="11:20" x14ac:dyDescent="0.25">
      <c r="K8033" s="312"/>
      <c r="N8033" s="514"/>
      <c r="R8033" s="293"/>
      <c r="S8033" s="316"/>
      <c r="T8033" s="355"/>
    </row>
    <row r="8034" spans="11:20" x14ac:dyDescent="0.25">
      <c r="K8034" s="312"/>
      <c r="N8034" s="514"/>
      <c r="R8034" s="293"/>
      <c r="S8034" s="316"/>
      <c r="T8034" s="355"/>
    </row>
    <row r="8035" spans="11:20" x14ac:dyDescent="0.25">
      <c r="K8035" s="312"/>
      <c r="N8035" s="514"/>
      <c r="R8035" s="293"/>
      <c r="S8035" s="316"/>
      <c r="T8035" s="355"/>
    </row>
    <row r="8036" spans="11:20" x14ac:dyDescent="0.25">
      <c r="K8036" s="312"/>
      <c r="N8036" s="514"/>
      <c r="R8036" s="293"/>
      <c r="S8036" s="316"/>
      <c r="T8036" s="355"/>
    </row>
    <row r="8037" spans="11:20" x14ac:dyDescent="0.25">
      <c r="K8037" s="312"/>
      <c r="N8037" s="514"/>
      <c r="R8037" s="293"/>
      <c r="S8037" s="316"/>
      <c r="T8037" s="355"/>
    </row>
    <row r="8038" spans="11:20" x14ac:dyDescent="0.25">
      <c r="K8038" s="312"/>
      <c r="N8038" s="514"/>
      <c r="R8038" s="293"/>
      <c r="S8038" s="316"/>
      <c r="T8038" s="355"/>
    </row>
    <row r="8039" spans="11:20" x14ac:dyDescent="0.25">
      <c r="K8039" s="312"/>
      <c r="N8039" s="514"/>
      <c r="R8039" s="293"/>
      <c r="S8039" s="316"/>
      <c r="T8039" s="355"/>
    </row>
    <row r="8040" spans="11:20" x14ac:dyDescent="0.25">
      <c r="K8040" s="312"/>
      <c r="N8040" s="514"/>
      <c r="R8040" s="293"/>
      <c r="S8040" s="316"/>
      <c r="T8040" s="355"/>
    </row>
    <row r="8041" spans="11:20" x14ac:dyDescent="0.25">
      <c r="K8041" s="312"/>
      <c r="N8041" s="514"/>
      <c r="R8041" s="293"/>
      <c r="S8041" s="316"/>
      <c r="T8041" s="355"/>
    </row>
    <row r="8042" spans="11:20" x14ac:dyDescent="0.25">
      <c r="K8042" s="312"/>
      <c r="N8042" s="514"/>
      <c r="R8042" s="293"/>
      <c r="S8042" s="316"/>
      <c r="T8042" s="355"/>
    </row>
    <row r="8043" spans="11:20" x14ac:dyDescent="0.25">
      <c r="K8043" s="312"/>
      <c r="N8043" s="514"/>
      <c r="R8043" s="293"/>
      <c r="S8043" s="316"/>
      <c r="T8043" s="355"/>
    </row>
    <row r="8044" spans="11:20" x14ac:dyDescent="0.25">
      <c r="K8044" s="312"/>
      <c r="N8044" s="514"/>
      <c r="R8044" s="293"/>
      <c r="S8044" s="316"/>
      <c r="T8044" s="355"/>
    </row>
    <row r="8045" spans="11:20" x14ac:dyDescent="0.25">
      <c r="K8045" s="312"/>
      <c r="N8045" s="514"/>
      <c r="R8045" s="293"/>
      <c r="S8045" s="316"/>
      <c r="T8045" s="355"/>
    </row>
    <row r="8046" spans="11:20" x14ac:dyDescent="0.25">
      <c r="K8046" s="312"/>
      <c r="N8046" s="514"/>
      <c r="R8046" s="293"/>
      <c r="S8046" s="316"/>
      <c r="T8046" s="355"/>
    </row>
    <row r="8047" spans="11:20" x14ac:dyDescent="0.25">
      <c r="K8047" s="312"/>
      <c r="N8047" s="514"/>
      <c r="R8047" s="293"/>
      <c r="S8047" s="316"/>
      <c r="T8047" s="355"/>
    </row>
    <row r="8048" spans="11:20" x14ac:dyDescent="0.25">
      <c r="K8048" s="312"/>
      <c r="N8048" s="514"/>
      <c r="R8048" s="293"/>
      <c r="S8048" s="316"/>
      <c r="T8048" s="355"/>
    </row>
    <row r="8049" spans="11:20" x14ac:dyDescent="0.25">
      <c r="K8049" s="312"/>
      <c r="N8049" s="514"/>
      <c r="R8049" s="293"/>
      <c r="S8049" s="316"/>
      <c r="T8049" s="355"/>
    </row>
    <row r="8050" spans="11:20" x14ac:dyDescent="0.25">
      <c r="K8050" s="312"/>
      <c r="N8050" s="514"/>
      <c r="R8050" s="293"/>
      <c r="S8050" s="316"/>
      <c r="T8050" s="355"/>
    </row>
    <row r="8051" spans="11:20" x14ac:dyDescent="0.25">
      <c r="K8051" s="312"/>
      <c r="N8051" s="514"/>
      <c r="R8051" s="293"/>
      <c r="S8051" s="316"/>
      <c r="T8051" s="355"/>
    </row>
    <row r="8052" spans="11:20" x14ac:dyDescent="0.25">
      <c r="K8052" s="312"/>
      <c r="N8052" s="514"/>
      <c r="R8052" s="293"/>
      <c r="S8052" s="316"/>
      <c r="T8052" s="355"/>
    </row>
    <row r="8053" spans="11:20" x14ac:dyDescent="0.25">
      <c r="K8053" s="312"/>
      <c r="N8053" s="514"/>
      <c r="R8053" s="293"/>
      <c r="S8053" s="316"/>
      <c r="T8053" s="355"/>
    </row>
    <row r="8054" spans="11:20" x14ac:dyDescent="0.25">
      <c r="K8054" s="312"/>
      <c r="N8054" s="514"/>
      <c r="R8054" s="293"/>
      <c r="S8054" s="316"/>
      <c r="T8054" s="355"/>
    </row>
    <row r="8055" spans="11:20" x14ac:dyDescent="0.25">
      <c r="K8055" s="312"/>
      <c r="N8055" s="514"/>
      <c r="R8055" s="293"/>
      <c r="S8055" s="316"/>
      <c r="T8055" s="355"/>
    </row>
    <row r="8056" spans="11:20" x14ac:dyDescent="0.25">
      <c r="K8056" s="312"/>
      <c r="N8056" s="514"/>
      <c r="R8056" s="293"/>
      <c r="S8056" s="316"/>
      <c r="T8056" s="355"/>
    </row>
    <row r="8057" spans="11:20" x14ac:dyDescent="0.25">
      <c r="K8057" s="312"/>
      <c r="N8057" s="514"/>
      <c r="R8057" s="293"/>
      <c r="S8057" s="316"/>
      <c r="T8057" s="355"/>
    </row>
    <row r="8058" spans="11:20" x14ac:dyDescent="0.25">
      <c r="K8058" s="312"/>
      <c r="N8058" s="514"/>
      <c r="R8058" s="293"/>
      <c r="S8058" s="316"/>
      <c r="T8058" s="355"/>
    </row>
    <row r="8059" spans="11:20" x14ac:dyDescent="0.25">
      <c r="K8059" s="312"/>
      <c r="N8059" s="514"/>
      <c r="R8059" s="293"/>
      <c r="S8059" s="316"/>
      <c r="T8059" s="355"/>
    </row>
    <row r="8060" spans="11:20" x14ac:dyDescent="0.25">
      <c r="K8060" s="312"/>
      <c r="N8060" s="514"/>
      <c r="R8060" s="293"/>
      <c r="S8060" s="316"/>
      <c r="T8060" s="355"/>
    </row>
    <row r="8061" spans="11:20" x14ac:dyDescent="0.25">
      <c r="K8061" s="312"/>
      <c r="N8061" s="514"/>
      <c r="R8061" s="293"/>
      <c r="S8061" s="316"/>
      <c r="T8061" s="355"/>
    </row>
    <row r="8062" spans="11:20" x14ac:dyDescent="0.25">
      <c r="K8062" s="312"/>
      <c r="N8062" s="514"/>
      <c r="R8062" s="293"/>
      <c r="S8062" s="316"/>
      <c r="T8062" s="355"/>
    </row>
    <row r="8063" spans="11:20" x14ac:dyDescent="0.25">
      <c r="K8063" s="312"/>
      <c r="N8063" s="514"/>
      <c r="R8063" s="293"/>
      <c r="S8063" s="316"/>
      <c r="T8063" s="355"/>
    </row>
    <row r="8064" spans="11:20" x14ac:dyDescent="0.25">
      <c r="K8064" s="312"/>
      <c r="N8064" s="514"/>
      <c r="R8064" s="293"/>
      <c r="S8064" s="316"/>
      <c r="T8064" s="355"/>
    </row>
    <row r="8065" spans="11:20" x14ac:dyDescent="0.25">
      <c r="K8065" s="312"/>
      <c r="N8065" s="514"/>
      <c r="R8065" s="293"/>
      <c r="S8065" s="316"/>
      <c r="T8065" s="355"/>
    </row>
    <row r="8066" spans="11:20" x14ac:dyDescent="0.25">
      <c r="K8066" s="312"/>
      <c r="N8066" s="514"/>
      <c r="R8066" s="293"/>
      <c r="S8066" s="316"/>
      <c r="T8066" s="355"/>
    </row>
    <row r="8067" spans="11:20" x14ac:dyDescent="0.25">
      <c r="K8067" s="312"/>
      <c r="N8067" s="514"/>
      <c r="R8067" s="293"/>
      <c r="S8067" s="316"/>
      <c r="T8067" s="355"/>
    </row>
    <row r="8068" spans="11:20" x14ac:dyDescent="0.25">
      <c r="K8068" s="312"/>
      <c r="N8068" s="514"/>
      <c r="R8068" s="293"/>
      <c r="S8068" s="316"/>
      <c r="T8068" s="355"/>
    </row>
    <row r="8069" spans="11:20" x14ac:dyDescent="0.25">
      <c r="K8069" s="312"/>
      <c r="N8069" s="514"/>
      <c r="R8069" s="293"/>
      <c r="S8069" s="316"/>
      <c r="T8069" s="355"/>
    </row>
    <row r="8070" spans="11:20" x14ac:dyDescent="0.25">
      <c r="K8070" s="312"/>
      <c r="N8070" s="514"/>
      <c r="R8070" s="293"/>
      <c r="S8070" s="316"/>
      <c r="T8070" s="355"/>
    </row>
    <row r="8071" spans="11:20" x14ac:dyDescent="0.25">
      <c r="K8071" s="312"/>
      <c r="N8071" s="514"/>
      <c r="R8071" s="293"/>
      <c r="S8071" s="316"/>
      <c r="T8071" s="355"/>
    </row>
    <row r="8072" spans="11:20" x14ac:dyDescent="0.25">
      <c r="K8072" s="312"/>
      <c r="N8072" s="514"/>
      <c r="R8072" s="293"/>
      <c r="S8072" s="316"/>
      <c r="T8072" s="355"/>
    </row>
    <row r="8073" spans="11:20" x14ac:dyDescent="0.25">
      <c r="K8073" s="312"/>
      <c r="N8073" s="514"/>
      <c r="R8073" s="293"/>
      <c r="S8073" s="316"/>
      <c r="T8073" s="355"/>
    </row>
    <row r="8074" spans="11:20" x14ac:dyDescent="0.25">
      <c r="K8074" s="312"/>
      <c r="N8074" s="514"/>
      <c r="R8074" s="293"/>
      <c r="S8074" s="316"/>
      <c r="T8074" s="355"/>
    </row>
    <row r="8075" spans="11:20" x14ac:dyDescent="0.25">
      <c r="K8075" s="312"/>
      <c r="N8075" s="514"/>
      <c r="R8075" s="293"/>
      <c r="S8075" s="316"/>
      <c r="T8075" s="355"/>
    </row>
    <row r="8076" spans="11:20" x14ac:dyDescent="0.25">
      <c r="K8076" s="312"/>
      <c r="N8076" s="514"/>
      <c r="R8076" s="293"/>
      <c r="S8076" s="316"/>
      <c r="T8076" s="355"/>
    </row>
    <row r="8077" spans="11:20" x14ac:dyDescent="0.25">
      <c r="K8077" s="312"/>
      <c r="N8077" s="514"/>
      <c r="R8077" s="293"/>
      <c r="S8077" s="316"/>
      <c r="T8077" s="355"/>
    </row>
    <row r="8078" spans="11:20" x14ac:dyDescent="0.25">
      <c r="K8078" s="312"/>
      <c r="N8078" s="514"/>
      <c r="R8078" s="293"/>
      <c r="S8078" s="316"/>
      <c r="T8078" s="355"/>
    </row>
    <row r="8079" spans="11:20" x14ac:dyDescent="0.25">
      <c r="K8079" s="312"/>
      <c r="N8079" s="514"/>
      <c r="R8079" s="293"/>
      <c r="S8079" s="316"/>
      <c r="T8079" s="355"/>
    </row>
    <row r="8080" spans="11:20" x14ac:dyDescent="0.25">
      <c r="K8080" s="312"/>
      <c r="N8080" s="514"/>
      <c r="R8080" s="293"/>
      <c r="S8080" s="316"/>
      <c r="T8080" s="355"/>
    </row>
    <row r="8081" spans="11:20" x14ac:dyDescent="0.25">
      <c r="K8081" s="312"/>
      <c r="N8081" s="514"/>
      <c r="R8081" s="293"/>
      <c r="S8081" s="316"/>
      <c r="T8081" s="355"/>
    </row>
    <row r="8082" spans="11:20" x14ac:dyDescent="0.25">
      <c r="K8082" s="312"/>
      <c r="N8082" s="514"/>
      <c r="R8082" s="293"/>
      <c r="S8082" s="316"/>
      <c r="T8082" s="355"/>
    </row>
    <row r="8083" spans="11:20" x14ac:dyDescent="0.25">
      <c r="K8083" s="312"/>
      <c r="N8083" s="514"/>
      <c r="R8083" s="293"/>
      <c r="S8083" s="316"/>
      <c r="T8083" s="355"/>
    </row>
    <row r="8084" spans="11:20" x14ac:dyDescent="0.25">
      <c r="K8084" s="312"/>
      <c r="N8084" s="514"/>
      <c r="R8084" s="293"/>
      <c r="S8084" s="316"/>
      <c r="T8084" s="355"/>
    </row>
    <row r="8085" spans="11:20" x14ac:dyDescent="0.25">
      <c r="K8085" s="312"/>
      <c r="N8085" s="514"/>
      <c r="R8085" s="293"/>
      <c r="S8085" s="316"/>
      <c r="T8085" s="355"/>
    </row>
    <row r="8086" spans="11:20" x14ac:dyDescent="0.25">
      <c r="K8086" s="312"/>
      <c r="N8086" s="514"/>
      <c r="R8086" s="293"/>
      <c r="S8086" s="316"/>
      <c r="T8086" s="355"/>
    </row>
    <row r="8087" spans="11:20" x14ac:dyDescent="0.25">
      <c r="K8087" s="312"/>
      <c r="N8087" s="514"/>
      <c r="R8087" s="293"/>
      <c r="S8087" s="316"/>
      <c r="T8087" s="355"/>
    </row>
    <row r="8088" spans="11:20" x14ac:dyDescent="0.25">
      <c r="K8088" s="312"/>
      <c r="N8088" s="514"/>
      <c r="R8088" s="293"/>
      <c r="S8088" s="316"/>
      <c r="T8088" s="355"/>
    </row>
    <row r="8089" spans="11:20" x14ac:dyDescent="0.25">
      <c r="K8089" s="312"/>
      <c r="N8089" s="514"/>
      <c r="R8089" s="293"/>
      <c r="S8089" s="316"/>
      <c r="T8089" s="355"/>
    </row>
    <row r="8090" spans="11:20" x14ac:dyDescent="0.25">
      <c r="K8090" s="312"/>
      <c r="N8090" s="514"/>
      <c r="R8090" s="293"/>
      <c r="S8090" s="316"/>
      <c r="T8090" s="355"/>
    </row>
    <row r="8091" spans="11:20" x14ac:dyDescent="0.25">
      <c r="K8091" s="312"/>
      <c r="N8091" s="514"/>
      <c r="R8091" s="293"/>
      <c r="S8091" s="316"/>
      <c r="T8091" s="355"/>
    </row>
    <row r="8092" spans="11:20" x14ac:dyDescent="0.25">
      <c r="K8092" s="312"/>
      <c r="N8092" s="514"/>
      <c r="R8092" s="293"/>
      <c r="S8092" s="316"/>
      <c r="T8092" s="355"/>
    </row>
    <row r="8093" spans="11:20" x14ac:dyDescent="0.25">
      <c r="K8093" s="312"/>
      <c r="N8093" s="514"/>
      <c r="R8093" s="293"/>
      <c r="S8093" s="316"/>
      <c r="T8093" s="355"/>
    </row>
    <row r="8094" spans="11:20" x14ac:dyDescent="0.25">
      <c r="K8094" s="312"/>
      <c r="N8094" s="514"/>
      <c r="R8094" s="293"/>
      <c r="S8094" s="316"/>
      <c r="T8094" s="355"/>
    </row>
    <row r="8095" spans="11:20" x14ac:dyDescent="0.25">
      <c r="K8095" s="312"/>
      <c r="N8095" s="514"/>
      <c r="R8095" s="293"/>
      <c r="S8095" s="316"/>
      <c r="T8095" s="355"/>
    </row>
    <row r="8096" spans="11:20" x14ac:dyDescent="0.25">
      <c r="K8096" s="312"/>
      <c r="N8096" s="514"/>
      <c r="R8096" s="293"/>
      <c r="S8096" s="316"/>
      <c r="T8096" s="355"/>
    </row>
    <row r="8097" spans="11:20" x14ac:dyDescent="0.25">
      <c r="K8097" s="312"/>
      <c r="N8097" s="514"/>
      <c r="R8097" s="293"/>
      <c r="S8097" s="316"/>
      <c r="T8097" s="355"/>
    </row>
    <row r="8098" spans="11:20" x14ac:dyDescent="0.25">
      <c r="K8098" s="312"/>
      <c r="N8098" s="514"/>
      <c r="R8098" s="293"/>
      <c r="S8098" s="316"/>
      <c r="T8098" s="355"/>
    </row>
    <row r="8099" spans="11:20" x14ac:dyDescent="0.25">
      <c r="K8099" s="312"/>
      <c r="N8099" s="514"/>
      <c r="R8099" s="293"/>
      <c r="S8099" s="316"/>
      <c r="T8099" s="355"/>
    </row>
    <row r="8100" spans="11:20" x14ac:dyDescent="0.25">
      <c r="K8100" s="312"/>
      <c r="N8100" s="514"/>
      <c r="R8100" s="293"/>
      <c r="S8100" s="316"/>
      <c r="T8100" s="355"/>
    </row>
    <row r="8101" spans="11:20" x14ac:dyDescent="0.25">
      <c r="K8101" s="312"/>
      <c r="N8101" s="514"/>
      <c r="R8101" s="293"/>
      <c r="S8101" s="316"/>
      <c r="T8101" s="355"/>
    </row>
    <row r="8102" spans="11:20" x14ac:dyDescent="0.25">
      <c r="K8102" s="312"/>
      <c r="N8102" s="514"/>
      <c r="R8102" s="293"/>
      <c r="S8102" s="316"/>
      <c r="T8102" s="355"/>
    </row>
    <row r="8103" spans="11:20" x14ac:dyDescent="0.25">
      <c r="K8103" s="312"/>
      <c r="N8103" s="514"/>
      <c r="R8103" s="293"/>
      <c r="S8103" s="316"/>
      <c r="T8103" s="355"/>
    </row>
    <row r="8104" spans="11:20" x14ac:dyDescent="0.25">
      <c r="K8104" s="312"/>
      <c r="N8104" s="514"/>
      <c r="R8104" s="293"/>
      <c r="S8104" s="316"/>
      <c r="T8104" s="355"/>
    </row>
    <row r="8105" spans="11:20" x14ac:dyDescent="0.25">
      <c r="K8105" s="312"/>
      <c r="N8105" s="514"/>
      <c r="R8105" s="293"/>
      <c r="S8105" s="316"/>
      <c r="T8105" s="355"/>
    </row>
    <row r="8106" spans="11:20" x14ac:dyDescent="0.25">
      <c r="K8106" s="312"/>
      <c r="N8106" s="514"/>
      <c r="R8106" s="293"/>
      <c r="S8106" s="316"/>
      <c r="T8106" s="355"/>
    </row>
    <row r="8107" spans="11:20" x14ac:dyDescent="0.25">
      <c r="K8107" s="312"/>
      <c r="N8107" s="514"/>
      <c r="R8107" s="293"/>
      <c r="S8107" s="316"/>
      <c r="T8107" s="355"/>
    </row>
    <row r="8108" spans="11:20" x14ac:dyDescent="0.25">
      <c r="K8108" s="312"/>
      <c r="N8108" s="514"/>
      <c r="R8108" s="293"/>
      <c r="S8108" s="316"/>
      <c r="T8108" s="355"/>
    </row>
    <row r="8109" spans="11:20" x14ac:dyDescent="0.25">
      <c r="K8109" s="312"/>
      <c r="N8109" s="514"/>
      <c r="R8109" s="293"/>
      <c r="S8109" s="316"/>
      <c r="T8109" s="355"/>
    </row>
    <row r="8110" spans="11:20" x14ac:dyDescent="0.25">
      <c r="K8110" s="312"/>
      <c r="N8110" s="514"/>
      <c r="R8110" s="293"/>
      <c r="S8110" s="316"/>
      <c r="T8110" s="355"/>
    </row>
    <row r="8111" spans="11:20" x14ac:dyDescent="0.25">
      <c r="K8111" s="312"/>
      <c r="N8111" s="514"/>
      <c r="R8111" s="293"/>
      <c r="S8111" s="316"/>
      <c r="T8111" s="355"/>
    </row>
    <row r="8112" spans="11:20" x14ac:dyDescent="0.25">
      <c r="K8112" s="312"/>
      <c r="N8112" s="514"/>
      <c r="R8112" s="293"/>
      <c r="S8112" s="316"/>
      <c r="T8112" s="355"/>
    </row>
    <row r="8113" spans="11:20" x14ac:dyDescent="0.25">
      <c r="K8113" s="312"/>
      <c r="N8113" s="514"/>
      <c r="R8113" s="293"/>
      <c r="S8113" s="316"/>
      <c r="T8113" s="355"/>
    </row>
    <row r="8114" spans="11:20" x14ac:dyDescent="0.25">
      <c r="K8114" s="312"/>
      <c r="N8114" s="514"/>
      <c r="R8114" s="293"/>
      <c r="S8114" s="316"/>
      <c r="T8114" s="355"/>
    </row>
    <row r="8115" spans="11:20" x14ac:dyDescent="0.25">
      <c r="K8115" s="312"/>
      <c r="N8115" s="514"/>
      <c r="R8115" s="293"/>
      <c r="S8115" s="316"/>
      <c r="T8115" s="355"/>
    </row>
    <row r="8116" spans="11:20" x14ac:dyDescent="0.25">
      <c r="K8116" s="312"/>
      <c r="N8116" s="514"/>
      <c r="R8116" s="293"/>
      <c r="S8116" s="316"/>
      <c r="T8116" s="355"/>
    </row>
    <row r="8117" spans="11:20" x14ac:dyDescent="0.25">
      <c r="K8117" s="312"/>
      <c r="N8117" s="514"/>
      <c r="R8117" s="293"/>
      <c r="S8117" s="316"/>
      <c r="T8117" s="355"/>
    </row>
    <row r="8118" spans="11:20" x14ac:dyDescent="0.25">
      <c r="K8118" s="312"/>
      <c r="N8118" s="514"/>
      <c r="R8118" s="293"/>
      <c r="S8118" s="316"/>
      <c r="T8118" s="355"/>
    </row>
    <row r="8119" spans="11:20" x14ac:dyDescent="0.25">
      <c r="K8119" s="312"/>
      <c r="N8119" s="514"/>
      <c r="R8119" s="293"/>
      <c r="S8119" s="316"/>
      <c r="T8119" s="355"/>
    </row>
    <row r="8120" spans="11:20" x14ac:dyDescent="0.25">
      <c r="K8120" s="312"/>
      <c r="N8120" s="514"/>
      <c r="R8120" s="293"/>
      <c r="S8120" s="316"/>
      <c r="T8120" s="355"/>
    </row>
    <row r="8121" spans="11:20" x14ac:dyDescent="0.25">
      <c r="K8121" s="312"/>
      <c r="N8121" s="514"/>
      <c r="R8121" s="293"/>
      <c r="S8121" s="316"/>
      <c r="T8121" s="355"/>
    </row>
    <row r="8122" spans="11:20" x14ac:dyDescent="0.25">
      <c r="K8122" s="312"/>
      <c r="N8122" s="514"/>
      <c r="R8122" s="293"/>
      <c r="S8122" s="316"/>
      <c r="T8122" s="355"/>
    </row>
    <row r="8123" spans="11:20" x14ac:dyDescent="0.25">
      <c r="K8123" s="312"/>
      <c r="N8123" s="514"/>
      <c r="R8123" s="293"/>
      <c r="S8123" s="316"/>
      <c r="T8123" s="355"/>
    </row>
    <row r="8124" spans="11:20" x14ac:dyDescent="0.25">
      <c r="K8124" s="312"/>
      <c r="N8124" s="514"/>
      <c r="R8124" s="293"/>
      <c r="S8124" s="316"/>
      <c r="T8124" s="355"/>
    </row>
    <row r="8125" spans="11:20" x14ac:dyDescent="0.25">
      <c r="K8125" s="312"/>
      <c r="N8125" s="514"/>
      <c r="R8125" s="293"/>
      <c r="S8125" s="316"/>
      <c r="T8125" s="355"/>
    </row>
    <row r="8126" spans="11:20" x14ac:dyDescent="0.25">
      <c r="K8126" s="312"/>
      <c r="N8126" s="514"/>
      <c r="R8126" s="293"/>
      <c r="S8126" s="316"/>
      <c r="T8126" s="355"/>
    </row>
    <row r="8127" spans="11:20" x14ac:dyDescent="0.25">
      <c r="K8127" s="312"/>
      <c r="N8127" s="514"/>
      <c r="R8127" s="293"/>
      <c r="S8127" s="316"/>
      <c r="T8127" s="355"/>
    </row>
    <row r="8128" spans="11:20" x14ac:dyDescent="0.25">
      <c r="K8128" s="312"/>
      <c r="N8128" s="514"/>
      <c r="R8128" s="293"/>
      <c r="S8128" s="316"/>
      <c r="T8128" s="355"/>
    </row>
    <row r="8129" spans="11:20" x14ac:dyDescent="0.25">
      <c r="K8129" s="312"/>
      <c r="N8129" s="514"/>
      <c r="R8129" s="293"/>
      <c r="S8129" s="316"/>
      <c r="T8129" s="355"/>
    </row>
    <row r="8130" spans="11:20" x14ac:dyDescent="0.25">
      <c r="K8130" s="312"/>
      <c r="N8130" s="514"/>
      <c r="R8130" s="293"/>
      <c r="S8130" s="316"/>
      <c r="T8130" s="355"/>
    </row>
    <row r="8131" spans="11:20" x14ac:dyDescent="0.25">
      <c r="K8131" s="312"/>
      <c r="N8131" s="514"/>
      <c r="R8131" s="293"/>
      <c r="S8131" s="316"/>
      <c r="T8131" s="355"/>
    </row>
    <row r="8132" spans="11:20" x14ac:dyDescent="0.25">
      <c r="K8132" s="312"/>
      <c r="N8132" s="514"/>
      <c r="R8132" s="293"/>
      <c r="S8132" s="316"/>
      <c r="T8132" s="355"/>
    </row>
    <row r="8133" spans="11:20" x14ac:dyDescent="0.25">
      <c r="K8133" s="312"/>
      <c r="N8133" s="514"/>
      <c r="R8133" s="293"/>
      <c r="S8133" s="316"/>
      <c r="T8133" s="355"/>
    </row>
    <row r="8134" spans="11:20" x14ac:dyDescent="0.25">
      <c r="K8134" s="312"/>
      <c r="N8134" s="514"/>
      <c r="R8134" s="293"/>
      <c r="S8134" s="316"/>
      <c r="T8134" s="355"/>
    </row>
    <row r="8135" spans="11:20" x14ac:dyDescent="0.25">
      <c r="K8135" s="312"/>
      <c r="N8135" s="514"/>
      <c r="R8135" s="293"/>
      <c r="S8135" s="316"/>
      <c r="T8135" s="355"/>
    </row>
    <row r="8136" spans="11:20" x14ac:dyDescent="0.25">
      <c r="K8136" s="312"/>
      <c r="N8136" s="514"/>
      <c r="R8136" s="293"/>
      <c r="S8136" s="316"/>
      <c r="T8136" s="355"/>
    </row>
    <row r="8137" spans="11:20" x14ac:dyDescent="0.25">
      <c r="K8137" s="312"/>
      <c r="N8137" s="514"/>
      <c r="R8137" s="293"/>
      <c r="S8137" s="316"/>
      <c r="T8137" s="355"/>
    </row>
    <row r="8138" spans="11:20" x14ac:dyDescent="0.25">
      <c r="K8138" s="312"/>
      <c r="N8138" s="514"/>
      <c r="R8138" s="293"/>
      <c r="S8138" s="316"/>
      <c r="T8138" s="355"/>
    </row>
    <row r="8139" spans="11:20" x14ac:dyDescent="0.25">
      <c r="K8139" s="312"/>
      <c r="N8139" s="514"/>
      <c r="R8139" s="293"/>
      <c r="S8139" s="316"/>
      <c r="T8139" s="355"/>
    </row>
    <row r="8140" spans="11:20" x14ac:dyDescent="0.25">
      <c r="K8140" s="312"/>
      <c r="N8140" s="514"/>
      <c r="R8140" s="293"/>
      <c r="S8140" s="316"/>
      <c r="T8140" s="355"/>
    </row>
    <row r="8141" spans="11:20" x14ac:dyDescent="0.25">
      <c r="K8141" s="312"/>
      <c r="N8141" s="514"/>
      <c r="R8141" s="293"/>
      <c r="S8141" s="316"/>
      <c r="T8141" s="355"/>
    </row>
    <row r="8142" spans="11:20" x14ac:dyDescent="0.25">
      <c r="K8142" s="312"/>
      <c r="N8142" s="514"/>
      <c r="R8142" s="293"/>
      <c r="S8142" s="316"/>
      <c r="T8142" s="355"/>
    </row>
    <row r="8143" spans="11:20" x14ac:dyDescent="0.25">
      <c r="K8143" s="312"/>
      <c r="N8143" s="514"/>
      <c r="R8143" s="293"/>
      <c r="S8143" s="316"/>
      <c r="T8143" s="355"/>
    </row>
    <row r="8144" spans="11:20" x14ac:dyDescent="0.25">
      <c r="K8144" s="312"/>
      <c r="N8144" s="514"/>
      <c r="R8144" s="293"/>
      <c r="S8144" s="316"/>
      <c r="T8144" s="355"/>
    </row>
    <row r="8145" spans="11:20" x14ac:dyDescent="0.25">
      <c r="K8145" s="312"/>
      <c r="N8145" s="514"/>
      <c r="R8145" s="293"/>
      <c r="S8145" s="316"/>
      <c r="T8145" s="355"/>
    </row>
    <row r="8146" spans="11:20" x14ac:dyDescent="0.25">
      <c r="K8146" s="312"/>
      <c r="N8146" s="514"/>
      <c r="R8146" s="293"/>
      <c r="S8146" s="316"/>
      <c r="T8146" s="355"/>
    </row>
    <row r="8147" spans="11:20" x14ac:dyDescent="0.25">
      <c r="K8147" s="312"/>
      <c r="N8147" s="514"/>
      <c r="R8147" s="293"/>
      <c r="S8147" s="316"/>
      <c r="T8147" s="355"/>
    </row>
    <row r="8148" spans="11:20" x14ac:dyDescent="0.25">
      <c r="K8148" s="312"/>
      <c r="N8148" s="514"/>
      <c r="R8148" s="293"/>
      <c r="S8148" s="316"/>
      <c r="T8148" s="355"/>
    </row>
    <row r="8149" spans="11:20" x14ac:dyDescent="0.25">
      <c r="K8149" s="312"/>
      <c r="N8149" s="514"/>
      <c r="R8149" s="293"/>
      <c r="S8149" s="316"/>
      <c r="T8149" s="355"/>
    </row>
    <row r="8150" spans="11:20" x14ac:dyDescent="0.25">
      <c r="K8150" s="312"/>
      <c r="N8150" s="514"/>
      <c r="R8150" s="293"/>
      <c r="S8150" s="316"/>
      <c r="T8150" s="355"/>
    </row>
    <row r="8151" spans="11:20" x14ac:dyDescent="0.25">
      <c r="K8151" s="312"/>
      <c r="N8151" s="514"/>
      <c r="R8151" s="293"/>
      <c r="S8151" s="316"/>
      <c r="T8151" s="355"/>
    </row>
    <row r="8152" spans="11:20" x14ac:dyDescent="0.25">
      <c r="K8152" s="312"/>
      <c r="N8152" s="514"/>
      <c r="R8152" s="293"/>
      <c r="S8152" s="316"/>
      <c r="T8152" s="355"/>
    </row>
    <row r="8153" spans="11:20" x14ac:dyDescent="0.25">
      <c r="K8153" s="312"/>
      <c r="N8153" s="514"/>
      <c r="R8153" s="293"/>
      <c r="S8153" s="316"/>
      <c r="T8153" s="355"/>
    </row>
    <row r="8154" spans="11:20" x14ac:dyDescent="0.25">
      <c r="K8154" s="312"/>
      <c r="N8154" s="514"/>
      <c r="R8154" s="293"/>
      <c r="S8154" s="316"/>
      <c r="T8154" s="355"/>
    </row>
    <row r="8155" spans="11:20" x14ac:dyDescent="0.25">
      <c r="K8155" s="312"/>
      <c r="N8155" s="514"/>
      <c r="R8155" s="293"/>
      <c r="S8155" s="316"/>
      <c r="T8155" s="355"/>
    </row>
    <row r="8156" spans="11:20" x14ac:dyDescent="0.25">
      <c r="K8156" s="312"/>
      <c r="N8156" s="514"/>
      <c r="R8156" s="293"/>
      <c r="S8156" s="316"/>
      <c r="T8156" s="355"/>
    </row>
    <row r="8157" spans="11:20" x14ac:dyDescent="0.25">
      <c r="K8157" s="312"/>
      <c r="N8157" s="514"/>
      <c r="R8157" s="293"/>
      <c r="S8157" s="316"/>
      <c r="T8157" s="355"/>
    </row>
    <row r="8158" spans="11:20" x14ac:dyDescent="0.25">
      <c r="K8158" s="312"/>
      <c r="N8158" s="514"/>
      <c r="R8158" s="293"/>
      <c r="S8158" s="316"/>
      <c r="T8158" s="355"/>
    </row>
    <row r="8159" spans="11:20" x14ac:dyDescent="0.25">
      <c r="K8159" s="312"/>
      <c r="N8159" s="514"/>
      <c r="R8159" s="293"/>
      <c r="S8159" s="316"/>
      <c r="T8159" s="355"/>
    </row>
    <row r="8160" spans="11:20" x14ac:dyDescent="0.25">
      <c r="K8160" s="312"/>
      <c r="N8160" s="514"/>
      <c r="R8160" s="293"/>
      <c r="S8160" s="316"/>
      <c r="T8160" s="355"/>
    </row>
    <row r="8161" spans="11:20" x14ac:dyDescent="0.25">
      <c r="K8161" s="312"/>
      <c r="N8161" s="514"/>
      <c r="R8161" s="293"/>
      <c r="S8161" s="316"/>
      <c r="T8161" s="355"/>
    </row>
    <row r="8162" spans="11:20" x14ac:dyDescent="0.25">
      <c r="K8162" s="312"/>
      <c r="N8162" s="514"/>
      <c r="R8162" s="293"/>
      <c r="S8162" s="316"/>
      <c r="T8162" s="355"/>
    </row>
    <row r="8163" spans="11:20" x14ac:dyDescent="0.25">
      <c r="K8163" s="312"/>
      <c r="N8163" s="514"/>
      <c r="R8163" s="293"/>
      <c r="S8163" s="316"/>
      <c r="T8163" s="355"/>
    </row>
    <row r="8164" spans="11:20" x14ac:dyDescent="0.25">
      <c r="K8164" s="312"/>
      <c r="N8164" s="514"/>
      <c r="R8164" s="293"/>
      <c r="S8164" s="316"/>
      <c r="T8164" s="355"/>
    </row>
    <row r="8165" spans="11:20" x14ac:dyDescent="0.25">
      <c r="K8165" s="312"/>
      <c r="N8165" s="514"/>
      <c r="R8165" s="293"/>
      <c r="S8165" s="316"/>
      <c r="T8165" s="355"/>
    </row>
    <row r="8166" spans="11:20" x14ac:dyDescent="0.25">
      <c r="K8166" s="312"/>
      <c r="N8166" s="514"/>
      <c r="R8166" s="293"/>
      <c r="S8166" s="316"/>
      <c r="T8166" s="355"/>
    </row>
    <row r="8167" spans="11:20" x14ac:dyDescent="0.25">
      <c r="K8167" s="312"/>
      <c r="N8167" s="514"/>
      <c r="R8167" s="293"/>
      <c r="S8167" s="316"/>
      <c r="T8167" s="355"/>
    </row>
    <row r="8168" spans="11:20" x14ac:dyDescent="0.25">
      <c r="K8168" s="312"/>
      <c r="N8168" s="514"/>
      <c r="R8168" s="293"/>
      <c r="S8168" s="316"/>
      <c r="T8168" s="355"/>
    </row>
    <row r="8169" spans="11:20" x14ac:dyDescent="0.25">
      <c r="K8169" s="312"/>
      <c r="N8169" s="514"/>
      <c r="R8169" s="293"/>
      <c r="S8169" s="316"/>
      <c r="T8169" s="355"/>
    </row>
    <row r="8170" spans="11:20" x14ac:dyDescent="0.25">
      <c r="K8170" s="312"/>
      <c r="N8170" s="514"/>
      <c r="R8170" s="293"/>
      <c r="S8170" s="316"/>
      <c r="T8170" s="355"/>
    </row>
    <row r="8171" spans="11:20" x14ac:dyDescent="0.25">
      <c r="K8171" s="312"/>
      <c r="N8171" s="514"/>
      <c r="R8171" s="293"/>
      <c r="S8171" s="316"/>
      <c r="T8171" s="355"/>
    </row>
    <row r="8172" spans="11:20" x14ac:dyDescent="0.25">
      <c r="K8172" s="312"/>
      <c r="N8172" s="514"/>
      <c r="R8172" s="293"/>
      <c r="S8172" s="316"/>
      <c r="T8172" s="355"/>
    </row>
    <row r="8173" spans="11:20" x14ac:dyDescent="0.25">
      <c r="K8173" s="312"/>
      <c r="N8173" s="514"/>
      <c r="R8173" s="293"/>
      <c r="S8173" s="316"/>
      <c r="T8173" s="355"/>
    </row>
    <row r="8174" spans="11:20" x14ac:dyDescent="0.25">
      <c r="K8174" s="312"/>
      <c r="N8174" s="514"/>
      <c r="R8174" s="293"/>
      <c r="S8174" s="316"/>
      <c r="T8174" s="355"/>
    </row>
    <row r="8175" spans="11:20" x14ac:dyDescent="0.25">
      <c r="K8175" s="312"/>
      <c r="N8175" s="514"/>
      <c r="R8175" s="293"/>
      <c r="S8175" s="316"/>
      <c r="T8175" s="355"/>
    </row>
    <row r="8176" spans="11:20" x14ac:dyDescent="0.25">
      <c r="K8176" s="312"/>
      <c r="N8176" s="514"/>
      <c r="R8176" s="293"/>
      <c r="S8176" s="316"/>
      <c r="T8176" s="355"/>
    </row>
    <row r="8177" spans="11:20" x14ac:dyDescent="0.25">
      <c r="K8177" s="312"/>
      <c r="N8177" s="514"/>
      <c r="R8177" s="293"/>
      <c r="S8177" s="316"/>
      <c r="T8177" s="355"/>
    </row>
    <row r="8178" spans="11:20" x14ac:dyDescent="0.25">
      <c r="K8178" s="312"/>
      <c r="N8178" s="514"/>
      <c r="R8178" s="293"/>
      <c r="S8178" s="316"/>
      <c r="T8178" s="355"/>
    </row>
    <row r="8179" spans="11:20" x14ac:dyDescent="0.25">
      <c r="K8179" s="312"/>
      <c r="N8179" s="514"/>
      <c r="R8179" s="293"/>
      <c r="S8179" s="316"/>
      <c r="T8179" s="355"/>
    </row>
    <row r="8180" spans="11:20" x14ac:dyDescent="0.25">
      <c r="K8180" s="312"/>
      <c r="N8180" s="514"/>
      <c r="R8180" s="293"/>
      <c r="S8180" s="316"/>
      <c r="T8180" s="355"/>
    </row>
    <row r="8181" spans="11:20" x14ac:dyDescent="0.25">
      <c r="K8181" s="312"/>
      <c r="N8181" s="514"/>
      <c r="R8181" s="293"/>
      <c r="S8181" s="316"/>
      <c r="T8181" s="355"/>
    </row>
    <row r="8182" spans="11:20" x14ac:dyDescent="0.25">
      <c r="K8182" s="312"/>
      <c r="N8182" s="514"/>
      <c r="R8182" s="293"/>
      <c r="S8182" s="316"/>
      <c r="T8182" s="355"/>
    </row>
    <row r="8183" spans="11:20" x14ac:dyDescent="0.25">
      <c r="K8183" s="312"/>
      <c r="N8183" s="514"/>
      <c r="R8183" s="293"/>
      <c r="S8183" s="316"/>
      <c r="T8183" s="355"/>
    </row>
    <row r="8184" spans="11:20" x14ac:dyDescent="0.25">
      <c r="K8184" s="312"/>
      <c r="N8184" s="514"/>
      <c r="R8184" s="293"/>
      <c r="S8184" s="316"/>
      <c r="T8184" s="355"/>
    </row>
    <row r="8185" spans="11:20" x14ac:dyDescent="0.25">
      <c r="K8185" s="312"/>
      <c r="N8185" s="514"/>
      <c r="R8185" s="293"/>
      <c r="S8185" s="316"/>
      <c r="T8185" s="355"/>
    </row>
    <row r="8186" spans="11:20" x14ac:dyDescent="0.25">
      <c r="K8186" s="312"/>
      <c r="N8186" s="514"/>
      <c r="R8186" s="293"/>
      <c r="S8186" s="316"/>
      <c r="T8186" s="355"/>
    </row>
    <row r="8187" spans="11:20" x14ac:dyDescent="0.25">
      <c r="K8187" s="312"/>
      <c r="N8187" s="514"/>
      <c r="R8187" s="293"/>
      <c r="S8187" s="316"/>
      <c r="T8187" s="355"/>
    </row>
    <row r="8188" spans="11:20" x14ac:dyDescent="0.25">
      <c r="K8188" s="312"/>
      <c r="N8188" s="514"/>
      <c r="R8188" s="293"/>
      <c r="S8188" s="316"/>
      <c r="T8188" s="355"/>
    </row>
    <row r="8189" spans="11:20" x14ac:dyDescent="0.25">
      <c r="K8189" s="312"/>
      <c r="N8189" s="514"/>
      <c r="R8189" s="293"/>
      <c r="S8189" s="316"/>
      <c r="T8189" s="355"/>
    </row>
    <row r="8190" spans="11:20" x14ac:dyDescent="0.25">
      <c r="K8190" s="312"/>
      <c r="N8190" s="514"/>
      <c r="R8190" s="293"/>
      <c r="S8190" s="316"/>
      <c r="T8190" s="355"/>
    </row>
    <row r="8191" spans="11:20" x14ac:dyDescent="0.25">
      <c r="K8191" s="312"/>
      <c r="N8191" s="514"/>
      <c r="R8191" s="293"/>
      <c r="S8191" s="316"/>
      <c r="T8191" s="355"/>
    </row>
    <row r="8192" spans="11:20" x14ac:dyDescent="0.25">
      <c r="K8192" s="312"/>
      <c r="N8192" s="514"/>
      <c r="R8192" s="293"/>
      <c r="S8192" s="316"/>
      <c r="T8192" s="355"/>
    </row>
    <row r="8193" spans="11:20" x14ac:dyDescent="0.25">
      <c r="K8193" s="312"/>
      <c r="N8193" s="514"/>
      <c r="R8193" s="293"/>
      <c r="S8193" s="316"/>
      <c r="T8193" s="355"/>
    </row>
    <row r="8194" spans="11:20" x14ac:dyDescent="0.25">
      <c r="K8194" s="312"/>
      <c r="N8194" s="514"/>
      <c r="R8194" s="293"/>
      <c r="S8194" s="316"/>
      <c r="T8194" s="355"/>
    </row>
    <row r="8195" spans="11:20" x14ac:dyDescent="0.25">
      <c r="K8195" s="312"/>
      <c r="N8195" s="514"/>
      <c r="R8195" s="293"/>
      <c r="S8195" s="316"/>
      <c r="T8195" s="355"/>
    </row>
    <row r="8196" spans="11:20" x14ac:dyDescent="0.25">
      <c r="K8196" s="312"/>
      <c r="N8196" s="514"/>
      <c r="R8196" s="293"/>
      <c r="S8196" s="316"/>
      <c r="T8196" s="355"/>
    </row>
    <row r="8197" spans="11:20" x14ac:dyDescent="0.25">
      <c r="K8197" s="312"/>
      <c r="N8197" s="514"/>
      <c r="R8197" s="293"/>
      <c r="S8197" s="316"/>
      <c r="T8197" s="355"/>
    </row>
    <row r="8198" spans="11:20" x14ac:dyDescent="0.25">
      <c r="K8198" s="312"/>
      <c r="N8198" s="514"/>
      <c r="R8198" s="293"/>
      <c r="S8198" s="316"/>
      <c r="T8198" s="355"/>
    </row>
    <row r="8199" spans="11:20" x14ac:dyDescent="0.25">
      <c r="K8199" s="312"/>
      <c r="N8199" s="514"/>
      <c r="R8199" s="293"/>
      <c r="S8199" s="316"/>
      <c r="T8199" s="355"/>
    </row>
    <row r="8200" spans="11:20" x14ac:dyDescent="0.25">
      <c r="K8200" s="312"/>
      <c r="N8200" s="514"/>
      <c r="R8200" s="293"/>
      <c r="S8200" s="316"/>
      <c r="T8200" s="355"/>
    </row>
    <row r="8201" spans="11:20" x14ac:dyDescent="0.25">
      <c r="K8201" s="312"/>
      <c r="N8201" s="514"/>
      <c r="R8201" s="293"/>
      <c r="S8201" s="316"/>
      <c r="T8201" s="355"/>
    </row>
    <row r="8202" spans="11:20" x14ac:dyDescent="0.25">
      <c r="K8202" s="312"/>
      <c r="N8202" s="514"/>
      <c r="R8202" s="293"/>
      <c r="S8202" s="316"/>
      <c r="T8202" s="355"/>
    </row>
    <row r="8203" spans="11:20" x14ac:dyDescent="0.25">
      <c r="K8203" s="312"/>
      <c r="N8203" s="514"/>
      <c r="R8203" s="293"/>
      <c r="S8203" s="316"/>
      <c r="T8203" s="355"/>
    </row>
    <row r="8204" spans="11:20" x14ac:dyDescent="0.25">
      <c r="K8204" s="312"/>
      <c r="N8204" s="514"/>
      <c r="R8204" s="293"/>
      <c r="S8204" s="316"/>
      <c r="T8204" s="355"/>
    </row>
    <row r="8205" spans="11:20" x14ac:dyDescent="0.25">
      <c r="K8205" s="312"/>
      <c r="N8205" s="514"/>
      <c r="R8205" s="293"/>
      <c r="S8205" s="316"/>
      <c r="T8205" s="355"/>
    </row>
    <row r="8206" spans="11:20" x14ac:dyDescent="0.25">
      <c r="K8206" s="312"/>
      <c r="N8206" s="514"/>
      <c r="R8206" s="293"/>
      <c r="S8206" s="316"/>
      <c r="T8206" s="355"/>
    </row>
    <row r="8207" spans="11:20" x14ac:dyDescent="0.25">
      <c r="K8207" s="312"/>
      <c r="N8207" s="514"/>
      <c r="R8207" s="293"/>
      <c r="S8207" s="316"/>
      <c r="T8207" s="355"/>
    </row>
    <row r="8208" spans="11:20" x14ac:dyDescent="0.25">
      <c r="K8208" s="312"/>
      <c r="N8208" s="514"/>
      <c r="R8208" s="293"/>
      <c r="S8208" s="316"/>
      <c r="T8208" s="355"/>
    </row>
    <row r="8209" spans="11:20" x14ac:dyDescent="0.25">
      <c r="K8209" s="312"/>
      <c r="N8209" s="514"/>
      <c r="R8209" s="293"/>
      <c r="S8209" s="316"/>
      <c r="T8209" s="355"/>
    </row>
    <row r="8210" spans="11:20" x14ac:dyDescent="0.25">
      <c r="K8210" s="312"/>
      <c r="N8210" s="514"/>
      <c r="R8210" s="293"/>
      <c r="S8210" s="316"/>
      <c r="T8210" s="355"/>
    </row>
    <row r="8211" spans="11:20" x14ac:dyDescent="0.25">
      <c r="K8211" s="312"/>
      <c r="N8211" s="514"/>
      <c r="R8211" s="293"/>
      <c r="S8211" s="316"/>
      <c r="T8211" s="355"/>
    </row>
    <row r="8212" spans="11:20" x14ac:dyDescent="0.25">
      <c r="K8212" s="312"/>
      <c r="N8212" s="514"/>
      <c r="R8212" s="293"/>
      <c r="S8212" s="316"/>
      <c r="T8212" s="355"/>
    </row>
    <row r="8213" spans="11:20" x14ac:dyDescent="0.25">
      <c r="K8213" s="312"/>
      <c r="N8213" s="514"/>
      <c r="R8213" s="293"/>
      <c r="S8213" s="316"/>
      <c r="T8213" s="355"/>
    </row>
    <row r="8214" spans="11:20" x14ac:dyDescent="0.25">
      <c r="K8214" s="312"/>
      <c r="N8214" s="514"/>
      <c r="R8214" s="293"/>
      <c r="S8214" s="316"/>
      <c r="T8214" s="355"/>
    </row>
    <row r="8215" spans="11:20" x14ac:dyDescent="0.25">
      <c r="K8215" s="312"/>
      <c r="N8215" s="514"/>
      <c r="R8215" s="293"/>
      <c r="S8215" s="316"/>
      <c r="T8215" s="355"/>
    </row>
    <row r="8216" spans="11:20" x14ac:dyDescent="0.25">
      <c r="K8216" s="312"/>
      <c r="N8216" s="514"/>
      <c r="R8216" s="293"/>
      <c r="S8216" s="316"/>
      <c r="T8216" s="355"/>
    </row>
    <row r="8217" spans="11:20" x14ac:dyDescent="0.25">
      <c r="K8217" s="312"/>
      <c r="N8217" s="514"/>
      <c r="R8217" s="293"/>
      <c r="S8217" s="316"/>
      <c r="T8217" s="355"/>
    </row>
    <row r="8218" spans="11:20" x14ac:dyDescent="0.25">
      <c r="K8218" s="312"/>
      <c r="N8218" s="514"/>
      <c r="R8218" s="293"/>
      <c r="S8218" s="316"/>
      <c r="T8218" s="355"/>
    </row>
    <row r="8219" spans="11:20" x14ac:dyDescent="0.25">
      <c r="K8219" s="312"/>
      <c r="N8219" s="514"/>
      <c r="R8219" s="293"/>
      <c r="S8219" s="316"/>
      <c r="T8219" s="355"/>
    </row>
    <row r="8220" spans="11:20" x14ac:dyDescent="0.25">
      <c r="K8220" s="312"/>
      <c r="N8220" s="514"/>
      <c r="R8220" s="293"/>
      <c r="S8220" s="316"/>
      <c r="T8220" s="355"/>
    </row>
    <row r="8221" spans="11:20" x14ac:dyDescent="0.25">
      <c r="K8221" s="312"/>
      <c r="N8221" s="514"/>
      <c r="R8221" s="293"/>
      <c r="S8221" s="316"/>
      <c r="T8221" s="355"/>
    </row>
    <row r="8222" spans="11:20" x14ac:dyDescent="0.25">
      <c r="K8222" s="312"/>
      <c r="N8222" s="514"/>
      <c r="R8222" s="293"/>
      <c r="S8222" s="316"/>
      <c r="T8222" s="355"/>
    </row>
    <row r="8223" spans="11:20" x14ac:dyDescent="0.25">
      <c r="K8223" s="312"/>
      <c r="N8223" s="514"/>
      <c r="R8223" s="293"/>
      <c r="S8223" s="316"/>
      <c r="T8223" s="355"/>
    </row>
    <row r="8224" spans="11:20" x14ac:dyDescent="0.25">
      <c r="K8224" s="312"/>
      <c r="N8224" s="514"/>
      <c r="R8224" s="293"/>
      <c r="S8224" s="316"/>
      <c r="T8224" s="355"/>
    </row>
    <row r="8225" spans="11:20" x14ac:dyDescent="0.25">
      <c r="K8225" s="312"/>
      <c r="N8225" s="514"/>
      <c r="R8225" s="293"/>
      <c r="S8225" s="316"/>
      <c r="T8225" s="355"/>
    </row>
    <row r="8226" spans="11:20" x14ac:dyDescent="0.25">
      <c r="K8226" s="312"/>
      <c r="N8226" s="514"/>
      <c r="R8226" s="293"/>
      <c r="S8226" s="316"/>
      <c r="T8226" s="355"/>
    </row>
    <row r="8227" spans="11:20" x14ac:dyDescent="0.25">
      <c r="K8227" s="312"/>
      <c r="N8227" s="514"/>
      <c r="R8227" s="293"/>
      <c r="S8227" s="316"/>
      <c r="T8227" s="355"/>
    </row>
    <row r="8228" spans="11:20" x14ac:dyDescent="0.25">
      <c r="K8228" s="312"/>
      <c r="N8228" s="514"/>
      <c r="R8228" s="293"/>
      <c r="S8228" s="316"/>
      <c r="T8228" s="355"/>
    </row>
    <row r="8229" spans="11:20" x14ac:dyDescent="0.25">
      <c r="K8229" s="312"/>
      <c r="N8229" s="514"/>
      <c r="R8229" s="293"/>
      <c r="S8229" s="316"/>
      <c r="T8229" s="355"/>
    </row>
    <row r="8230" spans="11:20" x14ac:dyDescent="0.25">
      <c r="K8230" s="312"/>
      <c r="N8230" s="514"/>
      <c r="R8230" s="293"/>
      <c r="S8230" s="316"/>
      <c r="T8230" s="355"/>
    </row>
    <row r="8231" spans="11:20" x14ac:dyDescent="0.25">
      <c r="K8231" s="312"/>
      <c r="N8231" s="514"/>
      <c r="R8231" s="293"/>
      <c r="S8231" s="316"/>
      <c r="T8231" s="355"/>
    </row>
    <row r="8232" spans="11:20" x14ac:dyDescent="0.25">
      <c r="K8232" s="312"/>
      <c r="N8232" s="514"/>
      <c r="R8232" s="293"/>
      <c r="S8232" s="316"/>
      <c r="T8232" s="355"/>
    </row>
    <row r="8233" spans="11:20" x14ac:dyDescent="0.25">
      <c r="K8233" s="312"/>
      <c r="N8233" s="514"/>
      <c r="R8233" s="293"/>
      <c r="S8233" s="316"/>
      <c r="T8233" s="355"/>
    </row>
    <row r="8234" spans="11:20" x14ac:dyDescent="0.25">
      <c r="K8234" s="312"/>
      <c r="N8234" s="514"/>
      <c r="R8234" s="293"/>
      <c r="S8234" s="316"/>
      <c r="T8234" s="355"/>
    </row>
    <row r="8235" spans="11:20" x14ac:dyDescent="0.25">
      <c r="K8235" s="312"/>
      <c r="N8235" s="514"/>
      <c r="R8235" s="293"/>
      <c r="S8235" s="316"/>
      <c r="T8235" s="355"/>
    </row>
    <row r="8236" spans="11:20" x14ac:dyDescent="0.25">
      <c r="K8236" s="312"/>
      <c r="N8236" s="514"/>
      <c r="R8236" s="293"/>
      <c r="S8236" s="316"/>
      <c r="T8236" s="355"/>
    </row>
    <row r="8237" spans="11:20" x14ac:dyDescent="0.25">
      <c r="K8237" s="312"/>
      <c r="N8237" s="514"/>
      <c r="R8237" s="293"/>
      <c r="S8237" s="316"/>
      <c r="T8237" s="355"/>
    </row>
    <row r="8238" spans="11:20" x14ac:dyDescent="0.25">
      <c r="K8238" s="312"/>
      <c r="N8238" s="514"/>
      <c r="R8238" s="293"/>
      <c r="S8238" s="316"/>
      <c r="T8238" s="355"/>
    </row>
    <row r="8239" spans="11:20" x14ac:dyDescent="0.25">
      <c r="K8239" s="312"/>
      <c r="N8239" s="514"/>
      <c r="R8239" s="293"/>
      <c r="S8239" s="316"/>
      <c r="T8239" s="355"/>
    </row>
    <row r="8240" spans="11:20" x14ac:dyDescent="0.25">
      <c r="K8240" s="312"/>
      <c r="N8240" s="514"/>
      <c r="R8240" s="293"/>
      <c r="S8240" s="316"/>
      <c r="T8240" s="355"/>
    </row>
    <row r="8241" spans="11:20" x14ac:dyDescent="0.25">
      <c r="K8241" s="312"/>
      <c r="N8241" s="514"/>
      <c r="R8241" s="293"/>
      <c r="S8241" s="316"/>
      <c r="T8241" s="355"/>
    </row>
    <row r="8242" spans="11:20" x14ac:dyDescent="0.25">
      <c r="K8242" s="312"/>
      <c r="N8242" s="514"/>
      <c r="R8242" s="293"/>
      <c r="S8242" s="316"/>
      <c r="T8242" s="355"/>
    </row>
    <row r="8243" spans="11:20" x14ac:dyDescent="0.25">
      <c r="K8243" s="312"/>
      <c r="N8243" s="514"/>
      <c r="R8243" s="293"/>
      <c r="S8243" s="316"/>
      <c r="T8243" s="355"/>
    </row>
    <row r="8244" spans="11:20" x14ac:dyDescent="0.25">
      <c r="K8244" s="312"/>
      <c r="N8244" s="514"/>
      <c r="R8244" s="293"/>
      <c r="S8244" s="316"/>
      <c r="T8244" s="355"/>
    </row>
    <row r="8245" spans="11:20" x14ac:dyDescent="0.25">
      <c r="K8245" s="312"/>
      <c r="N8245" s="514"/>
      <c r="R8245" s="293"/>
      <c r="S8245" s="316"/>
      <c r="T8245" s="355"/>
    </row>
    <row r="8246" spans="11:20" x14ac:dyDescent="0.25">
      <c r="K8246" s="312"/>
      <c r="N8246" s="514"/>
      <c r="R8246" s="293"/>
      <c r="S8246" s="316"/>
      <c r="T8246" s="355"/>
    </row>
    <row r="8247" spans="11:20" x14ac:dyDescent="0.25">
      <c r="K8247" s="312"/>
      <c r="N8247" s="514"/>
      <c r="R8247" s="293"/>
      <c r="S8247" s="316"/>
      <c r="T8247" s="355"/>
    </row>
    <row r="8248" spans="11:20" x14ac:dyDescent="0.25">
      <c r="K8248" s="312"/>
      <c r="N8248" s="514"/>
      <c r="R8248" s="293"/>
      <c r="S8248" s="316"/>
      <c r="T8248" s="355"/>
    </row>
    <row r="8249" spans="11:20" x14ac:dyDescent="0.25">
      <c r="K8249" s="312"/>
      <c r="N8249" s="514"/>
      <c r="R8249" s="293"/>
      <c r="S8249" s="316"/>
      <c r="T8249" s="355"/>
    </row>
    <row r="8250" spans="11:20" x14ac:dyDescent="0.25">
      <c r="K8250" s="312"/>
      <c r="N8250" s="514"/>
      <c r="R8250" s="293"/>
      <c r="S8250" s="316"/>
      <c r="T8250" s="355"/>
    </row>
    <row r="8251" spans="11:20" x14ac:dyDescent="0.25">
      <c r="K8251" s="312"/>
      <c r="N8251" s="514"/>
      <c r="R8251" s="293"/>
      <c r="S8251" s="316"/>
      <c r="T8251" s="355"/>
    </row>
    <row r="8252" spans="11:20" x14ac:dyDescent="0.25">
      <c r="K8252" s="312"/>
      <c r="N8252" s="514"/>
      <c r="R8252" s="293"/>
      <c r="S8252" s="316"/>
      <c r="T8252" s="355"/>
    </row>
    <row r="8253" spans="11:20" x14ac:dyDescent="0.25">
      <c r="K8253" s="312"/>
      <c r="N8253" s="514"/>
      <c r="R8253" s="293"/>
      <c r="S8253" s="316"/>
      <c r="T8253" s="355"/>
    </row>
    <row r="8254" spans="11:20" x14ac:dyDescent="0.25">
      <c r="K8254" s="312"/>
      <c r="N8254" s="514"/>
      <c r="R8254" s="293"/>
      <c r="S8254" s="316"/>
      <c r="T8254" s="355"/>
    </row>
    <row r="8255" spans="11:20" x14ac:dyDescent="0.25">
      <c r="K8255" s="312"/>
      <c r="N8255" s="514"/>
      <c r="R8255" s="293"/>
      <c r="S8255" s="316"/>
      <c r="T8255" s="355"/>
    </row>
    <row r="8256" spans="11:20" x14ac:dyDescent="0.25">
      <c r="K8256" s="312"/>
      <c r="N8256" s="514"/>
      <c r="R8256" s="293"/>
      <c r="S8256" s="316"/>
      <c r="T8256" s="355"/>
    </row>
    <row r="8257" spans="11:20" x14ac:dyDescent="0.25">
      <c r="K8257" s="312"/>
      <c r="N8257" s="514"/>
      <c r="R8257" s="293"/>
      <c r="S8257" s="316"/>
      <c r="T8257" s="355"/>
    </row>
    <row r="8258" spans="11:20" x14ac:dyDescent="0.25">
      <c r="K8258" s="312"/>
      <c r="N8258" s="514"/>
      <c r="R8258" s="293"/>
      <c r="S8258" s="316"/>
      <c r="T8258" s="355"/>
    </row>
    <row r="8259" spans="11:20" x14ac:dyDescent="0.25">
      <c r="K8259" s="312"/>
      <c r="N8259" s="514"/>
      <c r="R8259" s="293"/>
      <c r="S8259" s="316"/>
      <c r="T8259" s="355"/>
    </row>
    <row r="8260" spans="11:20" x14ac:dyDescent="0.25">
      <c r="K8260" s="312"/>
      <c r="N8260" s="514"/>
      <c r="R8260" s="293"/>
      <c r="S8260" s="316"/>
      <c r="T8260" s="355"/>
    </row>
    <row r="8261" spans="11:20" x14ac:dyDescent="0.25">
      <c r="K8261" s="312"/>
      <c r="N8261" s="514"/>
      <c r="R8261" s="293"/>
      <c r="S8261" s="316"/>
      <c r="T8261" s="355"/>
    </row>
    <row r="8262" spans="11:20" x14ac:dyDescent="0.25">
      <c r="K8262" s="312"/>
      <c r="N8262" s="514"/>
      <c r="R8262" s="293"/>
      <c r="S8262" s="316"/>
      <c r="T8262" s="355"/>
    </row>
    <row r="8263" spans="11:20" x14ac:dyDescent="0.25">
      <c r="K8263" s="312"/>
      <c r="N8263" s="514"/>
      <c r="R8263" s="293"/>
      <c r="S8263" s="316"/>
      <c r="T8263" s="355"/>
    </row>
    <row r="8264" spans="11:20" x14ac:dyDescent="0.25">
      <c r="K8264" s="312"/>
      <c r="N8264" s="514"/>
      <c r="R8264" s="293"/>
      <c r="S8264" s="316"/>
      <c r="T8264" s="355"/>
    </row>
    <row r="8265" spans="11:20" x14ac:dyDescent="0.25">
      <c r="K8265" s="312"/>
      <c r="N8265" s="514"/>
      <c r="R8265" s="293"/>
      <c r="S8265" s="316"/>
      <c r="T8265" s="355"/>
    </row>
    <row r="8266" spans="11:20" x14ac:dyDescent="0.25">
      <c r="K8266" s="312"/>
      <c r="N8266" s="514"/>
      <c r="R8266" s="293"/>
      <c r="S8266" s="316"/>
      <c r="T8266" s="355"/>
    </row>
    <row r="8267" spans="11:20" x14ac:dyDescent="0.25">
      <c r="K8267" s="312"/>
      <c r="N8267" s="514"/>
      <c r="R8267" s="293"/>
      <c r="S8267" s="316"/>
      <c r="T8267" s="355"/>
    </row>
    <row r="8268" spans="11:20" x14ac:dyDescent="0.25">
      <c r="K8268" s="312"/>
      <c r="N8268" s="514"/>
      <c r="R8268" s="293"/>
      <c r="S8268" s="316"/>
      <c r="T8268" s="355"/>
    </row>
    <row r="8269" spans="11:20" x14ac:dyDescent="0.25">
      <c r="K8269" s="312"/>
      <c r="N8269" s="514"/>
      <c r="R8269" s="293"/>
      <c r="S8269" s="316"/>
      <c r="T8269" s="355"/>
    </row>
    <row r="8270" spans="11:20" x14ac:dyDescent="0.25">
      <c r="K8270" s="312"/>
      <c r="N8270" s="514"/>
      <c r="R8270" s="293"/>
      <c r="S8270" s="316"/>
      <c r="T8270" s="355"/>
    </row>
    <row r="8271" spans="11:20" x14ac:dyDescent="0.25">
      <c r="K8271" s="312"/>
      <c r="N8271" s="514"/>
      <c r="R8271" s="293"/>
      <c r="S8271" s="316"/>
      <c r="T8271" s="355"/>
    </row>
    <row r="8272" spans="11:20" x14ac:dyDescent="0.25">
      <c r="K8272" s="312"/>
      <c r="N8272" s="514"/>
      <c r="R8272" s="293"/>
      <c r="S8272" s="316"/>
      <c r="T8272" s="355"/>
    </row>
    <row r="8273" spans="11:20" x14ac:dyDescent="0.25">
      <c r="K8273" s="312"/>
      <c r="N8273" s="514"/>
      <c r="R8273" s="293"/>
      <c r="S8273" s="316"/>
      <c r="T8273" s="355"/>
    </row>
    <row r="8274" spans="11:20" x14ac:dyDescent="0.25">
      <c r="K8274" s="312"/>
      <c r="N8274" s="514"/>
      <c r="R8274" s="293"/>
      <c r="S8274" s="316"/>
      <c r="T8274" s="355"/>
    </row>
    <row r="8275" spans="11:20" x14ac:dyDescent="0.25">
      <c r="K8275" s="312"/>
      <c r="N8275" s="514"/>
      <c r="R8275" s="293"/>
      <c r="S8275" s="316"/>
      <c r="T8275" s="355"/>
    </row>
    <row r="8276" spans="11:20" x14ac:dyDescent="0.25">
      <c r="K8276" s="312"/>
      <c r="N8276" s="514"/>
      <c r="R8276" s="293"/>
      <c r="S8276" s="316"/>
      <c r="T8276" s="355"/>
    </row>
    <row r="8277" spans="11:20" x14ac:dyDescent="0.25">
      <c r="K8277" s="312"/>
      <c r="N8277" s="514"/>
      <c r="R8277" s="293"/>
      <c r="S8277" s="316"/>
      <c r="T8277" s="355"/>
    </row>
    <row r="8278" spans="11:20" x14ac:dyDescent="0.25">
      <c r="K8278" s="312"/>
      <c r="N8278" s="514"/>
      <c r="R8278" s="293"/>
      <c r="S8278" s="316"/>
      <c r="T8278" s="355"/>
    </row>
    <row r="8279" spans="11:20" x14ac:dyDescent="0.25">
      <c r="K8279" s="312"/>
      <c r="N8279" s="514"/>
      <c r="R8279" s="293"/>
      <c r="S8279" s="316"/>
      <c r="T8279" s="355"/>
    </row>
    <row r="8280" spans="11:20" x14ac:dyDescent="0.25">
      <c r="K8280" s="312"/>
      <c r="N8280" s="514"/>
      <c r="R8280" s="293"/>
      <c r="S8280" s="316"/>
      <c r="T8280" s="355"/>
    </row>
    <row r="8281" spans="11:20" x14ac:dyDescent="0.25">
      <c r="K8281" s="312"/>
      <c r="N8281" s="514"/>
      <c r="R8281" s="293"/>
      <c r="S8281" s="316"/>
      <c r="T8281" s="355"/>
    </row>
    <row r="8282" spans="11:20" x14ac:dyDescent="0.25">
      <c r="K8282" s="312"/>
      <c r="N8282" s="514"/>
      <c r="R8282" s="293"/>
      <c r="S8282" s="316"/>
      <c r="T8282" s="355"/>
    </row>
    <row r="8283" spans="11:20" x14ac:dyDescent="0.25">
      <c r="K8283" s="312"/>
      <c r="N8283" s="514"/>
      <c r="R8283" s="293"/>
      <c r="S8283" s="316"/>
      <c r="T8283" s="355"/>
    </row>
    <row r="8284" spans="11:20" x14ac:dyDescent="0.25">
      <c r="K8284" s="312"/>
      <c r="N8284" s="514"/>
      <c r="R8284" s="293"/>
      <c r="S8284" s="316"/>
      <c r="T8284" s="355"/>
    </row>
    <row r="8285" spans="11:20" x14ac:dyDescent="0.25">
      <c r="K8285" s="312"/>
      <c r="N8285" s="514"/>
      <c r="R8285" s="293"/>
      <c r="S8285" s="316"/>
      <c r="T8285" s="355"/>
    </row>
    <row r="8286" spans="11:20" x14ac:dyDescent="0.25">
      <c r="K8286" s="312"/>
      <c r="N8286" s="514"/>
      <c r="R8286" s="293"/>
      <c r="S8286" s="316"/>
      <c r="T8286" s="355"/>
    </row>
    <row r="8287" spans="11:20" x14ac:dyDescent="0.25">
      <c r="K8287" s="312"/>
      <c r="N8287" s="514"/>
      <c r="R8287" s="293"/>
      <c r="S8287" s="316"/>
      <c r="T8287" s="355"/>
    </row>
    <row r="8288" spans="11:20" x14ac:dyDescent="0.25">
      <c r="K8288" s="312"/>
      <c r="N8288" s="514"/>
      <c r="R8288" s="293"/>
      <c r="S8288" s="316"/>
      <c r="T8288" s="355"/>
    </row>
    <row r="8289" spans="11:20" x14ac:dyDescent="0.25">
      <c r="K8289" s="312"/>
      <c r="N8289" s="514"/>
      <c r="R8289" s="293"/>
      <c r="S8289" s="316"/>
      <c r="T8289" s="355"/>
    </row>
    <row r="8290" spans="11:20" x14ac:dyDescent="0.25">
      <c r="K8290" s="312"/>
      <c r="N8290" s="514"/>
      <c r="R8290" s="293"/>
      <c r="S8290" s="316"/>
      <c r="T8290" s="355"/>
    </row>
    <row r="8291" spans="11:20" x14ac:dyDescent="0.25">
      <c r="K8291" s="312"/>
      <c r="N8291" s="514"/>
      <c r="R8291" s="293"/>
      <c r="S8291" s="316"/>
      <c r="T8291" s="355"/>
    </row>
    <row r="8292" spans="11:20" x14ac:dyDescent="0.25">
      <c r="K8292" s="312"/>
      <c r="N8292" s="514"/>
      <c r="R8292" s="293"/>
      <c r="S8292" s="316"/>
      <c r="T8292" s="355"/>
    </row>
    <row r="8293" spans="11:20" x14ac:dyDescent="0.25">
      <c r="K8293" s="312"/>
      <c r="N8293" s="514"/>
      <c r="R8293" s="293"/>
      <c r="S8293" s="316"/>
      <c r="T8293" s="355"/>
    </row>
    <row r="8294" spans="11:20" x14ac:dyDescent="0.25">
      <c r="K8294" s="312"/>
      <c r="N8294" s="514"/>
      <c r="R8294" s="293"/>
      <c r="S8294" s="316"/>
      <c r="T8294" s="355"/>
    </row>
    <row r="8295" spans="11:20" x14ac:dyDescent="0.25">
      <c r="K8295" s="312"/>
      <c r="N8295" s="514"/>
      <c r="R8295" s="293"/>
      <c r="S8295" s="316"/>
      <c r="T8295" s="355"/>
    </row>
    <row r="8296" spans="11:20" x14ac:dyDescent="0.25">
      <c r="K8296" s="312"/>
      <c r="N8296" s="514"/>
      <c r="R8296" s="293"/>
      <c r="S8296" s="316"/>
      <c r="T8296" s="355"/>
    </row>
    <row r="8297" spans="11:20" x14ac:dyDescent="0.25">
      <c r="K8297" s="312"/>
      <c r="N8297" s="514"/>
      <c r="R8297" s="293"/>
      <c r="S8297" s="316"/>
      <c r="T8297" s="355"/>
    </row>
    <row r="8298" spans="11:20" x14ac:dyDescent="0.25">
      <c r="K8298" s="312"/>
      <c r="N8298" s="514"/>
      <c r="R8298" s="293"/>
      <c r="S8298" s="316"/>
      <c r="T8298" s="355"/>
    </row>
    <row r="8299" spans="11:20" x14ac:dyDescent="0.25">
      <c r="K8299" s="312"/>
      <c r="N8299" s="514"/>
      <c r="R8299" s="293"/>
      <c r="S8299" s="316"/>
      <c r="T8299" s="355"/>
    </row>
    <row r="8300" spans="11:20" x14ac:dyDescent="0.25">
      <c r="K8300" s="312"/>
      <c r="N8300" s="514"/>
      <c r="R8300" s="293"/>
      <c r="S8300" s="316"/>
      <c r="T8300" s="355"/>
    </row>
    <row r="8301" spans="11:20" x14ac:dyDescent="0.25">
      <c r="K8301" s="312"/>
      <c r="N8301" s="514"/>
      <c r="R8301" s="293"/>
      <c r="S8301" s="316"/>
      <c r="T8301" s="355"/>
    </row>
    <row r="8302" spans="11:20" x14ac:dyDescent="0.25">
      <c r="K8302" s="312"/>
      <c r="N8302" s="514"/>
      <c r="R8302" s="293"/>
      <c r="S8302" s="316"/>
      <c r="T8302" s="355"/>
    </row>
    <row r="8303" spans="11:20" x14ac:dyDescent="0.25">
      <c r="K8303" s="312"/>
      <c r="N8303" s="514"/>
      <c r="R8303" s="293"/>
      <c r="S8303" s="316"/>
      <c r="T8303" s="355"/>
    </row>
    <row r="8304" spans="11:20" x14ac:dyDescent="0.25">
      <c r="K8304" s="312"/>
      <c r="N8304" s="514"/>
      <c r="R8304" s="293"/>
      <c r="S8304" s="316"/>
      <c r="T8304" s="355"/>
    </row>
    <row r="8305" spans="11:20" x14ac:dyDescent="0.25">
      <c r="K8305" s="312"/>
      <c r="N8305" s="514"/>
      <c r="R8305" s="293"/>
      <c r="S8305" s="316"/>
      <c r="T8305" s="355"/>
    </row>
    <row r="8306" spans="11:20" x14ac:dyDescent="0.25">
      <c r="K8306" s="312"/>
      <c r="N8306" s="514"/>
      <c r="R8306" s="293"/>
      <c r="S8306" s="316"/>
      <c r="T8306" s="355"/>
    </row>
    <row r="8307" spans="11:20" x14ac:dyDescent="0.25">
      <c r="K8307" s="312"/>
      <c r="N8307" s="514"/>
      <c r="R8307" s="293"/>
      <c r="S8307" s="316"/>
      <c r="T8307" s="355"/>
    </row>
    <row r="8308" spans="11:20" x14ac:dyDescent="0.25">
      <c r="K8308" s="312"/>
      <c r="N8308" s="514"/>
      <c r="R8308" s="293"/>
      <c r="S8308" s="316"/>
      <c r="T8308" s="355"/>
    </row>
    <row r="8309" spans="11:20" x14ac:dyDescent="0.25">
      <c r="K8309" s="312"/>
      <c r="N8309" s="514"/>
      <c r="R8309" s="293"/>
      <c r="S8309" s="316"/>
      <c r="T8309" s="355"/>
    </row>
    <row r="8310" spans="11:20" x14ac:dyDescent="0.25">
      <c r="K8310" s="312"/>
      <c r="N8310" s="514"/>
      <c r="R8310" s="293"/>
      <c r="S8310" s="316"/>
      <c r="T8310" s="355"/>
    </row>
    <row r="8311" spans="11:20" x14ac:dyDescent="0.25">
      <c r="K8311" s="312"/>
      <c r="N8311" s="514"/>
      <c r="R8311" s="293"/>
      <c r="S8311" s="316"/>
      <c r="T8311" s="355"/>
    </row>
    <row r="8312" spans="11:20" x14ac:dyDescent="0.25">
      <c r="K8312" s="312"/>
      <c r="N8312" s="514"/>
      <c r="R8312" s="293"/>
      <c r="S8312" s="316"/>
      <c r="T8312" s="355"/>
    </row>
    <row r="8313" spans="11:20" x14ac:dyDescent="0.25">
      <c r="K8313" s="312"/>
      <c r="N8313" s="514"/>
      <c r="R8313" s="293"/>
      <c r="S8313" s="316"/>
      <c r="T8313" s="355"/>
    </row>
    <row r="8314" spans="11:20" x14ac:dyDescent="0.25">
      <c r="K8314" s="312"/>
      <c r="N8314" s="514"/>
      <c r="R8314" s="293"/>
      <c r="S8314" s="316"/>
      <c r="T8314" s="355"/>
    </row>
    <row r="8315" spans="11:20" x14ac:dyDescent="0.25">
      <c r="K8315" s="312"/>
      <c r="N8315" s="514"/>
      <c r="R8315" s="293"/>
      <c r="S8315" s="316"/>
      <c r="T8315" s="355"/>
    </row>
    <row r="8316" spans="11:20" x14ac:dyDescent="0.25">
      <c r="K8316" s="312"/>
      <c r="N8316" s="514"/>
      <c r="R8316" s="293"/>
      <c r="S8316" s="316"/>
      <c r="T8316" s="355"/>
    </row>
    <row r="8317" spans="11:20" x14ac:dyDescent="0.25">
      <c r="K8317" s="312"/>
      <c r="N8317" s="514"/>
      <c r="R8317" s="293"/>
      <c r="S8317" s="316"/>
      <c r="T8317" s="355"/>
    </row>
    <row r="8318" spans="11:20" x14ac:dyDescent="0.25">
      <c r="K8318" s="312"/>
      <c r="N8318" s="514"/>
      <c r="R8318" s="293"/>
      <c r="S8318" s="316"/>
      <c r="T8318" s="355"/>
    </row>
    <row r="8319" spans="11:20" x14ac:dyDescent="0.25">
      <c r="K8319" s="312"/>
      <c r="N8319" s="514"/>
      <c r="R8319" s="293"/>
      <c r="S8319" s="316"/>
      <c r="T8319" s="355"/>
    </row>
    <row r="8320" spans="11:20" x14ac:dyDescent="0.25">
      <c r="K8320" s="312"/>
      <c r="N8320" s="514"/>
      <c r="R8320" s="293"/>
      <c r="S8320" s="316"/>
      <c r="T8320" s="355"/>
    </row>
    <row r="8321" spans="11:20" x14ac:dyDescent="0.25">
      <c r="K8321" s="312"/>
      <c r="N8321" s="514"/>
      <c r="R8321" s="293"/>
      <c r="S8321" s="316"/>
      <c r="T8321" s="355"/>
    </row>
    <row r="8322" spans="11:20" x14ac:dyDescent="0.25">
      <c r="K8322" s="312"/>
      <c r="N8322" s="514"/>
      <c r="R8322" s="293"/>
      <c r="S8322" s="316"/>
      <c r="T8322" s="355"/>
    </row>
    <row r="8323" spans="11:20" x14ac:dyDescent="0.25">
      <c r="K8323" s="312"/>
      <c r="N8323" s="514"/>
      <c r="R8323" s="293"/>
      <c r="S8323" s="316"/>
      <c r="T8323" s="355"/>
    </row>
    <row r="8324" spans="11:20" x14ac:dyDescent="0.25">
      <c r="K8324" s="312"/>
      <c r="N8324" s="514"/>
      <c r="R8324" s="293"/>
      <c r="S8324" s="316"/>
      <c r="T8324" s="355"/>
    </row>
    <row r="8325" spans="11:20" x14ac:dyDescent="0.25">
      <c r="K8325" s="312"/>
      <c r="N8325" s="514"/>
      <c r="R8325" s="293"/>
      <c r="S8325" s="316"/>
      <c r="T8325" s="355"/>
    </row>
    <row r="8326" spans="11:20" x14ac:dyDescent="0.25">
      <c r="K8326" s="312"/>
      <c r="N8326" s="514"/>
      <c r="R8326" s="293"/>
      <c r="S8326" s="316"/>
      <c r="T8326" s="355"/>
    </row>
    <row r="8327" spans="11:20" x14ac:dyDescent="0.25">
      <c r="K8327" s="312"/>
      <c r="N8327" s="514"/>
      <c r="R8327" s="293"/>
      <c r="S8327" s="316"/>
      <c r="T8327" s="355"/>
    </row>
    <row r="8328" spans="11:20" x14ac:dyDescent="0.25">
      <c r="K8328" s="312"/>
      <c r="N8328" s="514"/>
      <c r="R8328" s="293"/>
      <c r="S8328" s="316"/>
      <c r="T8328" s="355"/>
    </row>
    <row r="8329" spans="11:20" x14ac:dyDescent="0.25">
      <c r="K8329" s="312"/>
      <c r="N8329" s="514"/>
      <c r="R8329" s="293"/>
      <c r="S8329" s="316"/>
      <c r="T8329" s="355"/>
    </row>
    <row r="8330" spans="11:20" x14ac:dyDescent="0.25">
      <c r="K8330" s="312"/>
      <c r="N8330" s="514"/>
      <c r="R8330" s="293"/>
      <c r="S8330" s="316"/>
      <c r="T8330" s="355"/>
    </row>
    <row r="8331" spans="11:20" x14ac:dyDescent="0.25">
      <c r="K8331" s="312"/>
      <c r="N8331" s="514"/>
      <c r="R8331" s="293"/>
      <c r="S8331" s="316"/>
      <c r="T8331" s="355"/>
    </row>
    <row r="8332" spans="11:20" x14ac:dyDescent="0.25">
      <c r="K8332" s="312"/>
      <c r="N8332" s="514"/>
      <c r="R8332" s="293"/>
      <c r="S8332" s="316"/>
      <c r="T8332" s="355"/>
    </row>
    <row r="8333" spans="11:20" x14ac:dyDescent="0.25">
      <c r="K8333" s="312"/>
      <c r="N8333" s="514"/>
      <c r="R8333" s="293"/>
      <c r="S8333" s="316"/>
      <c r="T8333" s="355"/>
    </row>
    <row r="8334" spans="11:20" x14ac:dyDescent="0.25">
      <c r="K8334" s="312"/>
      <c r="N8334" s="514"/>
      <c r="R8334" s="293"/>
      <c r="S8334" s="316"/>
      <c r="T8334" s="355"/>
    </row>
    <row r="8335" spans="11:20" x14ac:dyDescent="0.25">
      <c r="K8335" s="312"/>
      <c r="N8335" s="514"/>
      <c r="R8335" s="293"/>
      <c r="S8335" s="316"/>
      <c r="T8335" s="355"/>
    </row>
    <row r="8336" spans="11:20" x14ac:dyDescent="0.25">
      <c r="K8336" s="312"/>
      <c r="N8336" s="514"/>
      <c r="R8336" s="293"/>
      <c r="S8336" s="316"/>
      <c r="T8336" s="355"/>
    </row>
    <row r="8337" spans="11:20" x14ac:dyDescent="0.25">
      <c r="K8337" s="312"/>
      <c r="N8337" s="514"/>
      <c r="R8337" s="293"/>
      <c r="S8337" s="316"/>
      <c r="T8337" s="355"/>
    </row>
    <row r="8338" spans="11:20" x14ac:dyDescent="0.25">
      <c r="K8338" s="312"/>
      <c r="N8338" s="514"/>
      <c r="R8338" s="293"/>
      <c r="S8338" s="316"/>
      <c r="T8338" s="355"/>
    </row>
    <row r="8339" spans="11:20" x14ac:dyDescent="0.25">
      <c r="K8339" s="312"/>
      <c r="N8339" s="514"/>
      <c r="R8339" s="293"/>
      <c r="S8339" s="316"/>
      <c r="T8339" s="355"/>
    </row>
    <row r="8340" spans="11:20" x14ac:dyDescent="0.25">
      <c r="K8340" s="312"/>
      <c r="N8340" s="514"/>
      <c r="R8340" s="293"/>
      <c r="S8340" s="316"/>
      <c r="T8340" s="355"/>
    </row>
    <row r="8341" spans="11:20" x14ac:dyDescent="0.25">
      <c r="K8341" s="312"/>
      <c r="N8341" s="514"/>
      <c r="R8341" s="293"/>
      <c r="S8341" s="316"/>
      <c r="T8341" s="355"/>
    </row>
    <row r="8342" spans="11:20" x14ac:dyDescent="0.25">
      <c r="K8342" s="312"/>
      <c r="N8342" s="514"/>
      <c r="R8342" s="293"/>
      <c r="S8342" s="316"/>
      <c r="T8342" s="355"/>
    </row>
    <row r="8343" spans="11:20" x14ac:dyDescent="0.25">
      <c r="K8343" s="312"/>
      <c r="N8343" s="514"/>
      <c r="R8343" s="293"/>
      <c r="S8343" s="316"/>
      <c r="T8343" s="355"/>
    </row>
    <row r="8344" spans="11:20" x14ac:dyDescent="0.25">
      <c r="K8344" s="312"/>
      <c r="N8344" s="514"/>
      <c r="R8344" s="293"/>
      <c r="S8344" s="316"/>
      <c r="T8344" s="355"/>
    </row>
    <row r="8345" spans="11:20" x14ac:dyDescent="0.25">
      <c r="K8345" s="312"/>
      <c r="N8345" s="514"/>
      <c r="R8345" s="293"/>
      <c r="S8345" s="316"/>
      <c r="T8345" s="355"/>
    </row>
    <row r="8346" spans="11:20" x14ac:dyDescent="0.25">
      <c r="K8346" s="312"/>
      <c r="N8346" s="514"/>
      <c r="R8346" s="293"/>
      <c r="S8346" s="316"/>
      <c r="T8346" s="355"/>
    </row>
    <row r="8347" spans="11:20" x14ac:dyDescent="0.25">
      <c r="K8347" s="312"/>
      <c r="N8347" s="514"/>
      <c r="R8347" s="293"/>
      <c r="S8347" s="316"/>
      <c r="T8347" s="355"/>
    </row>
    <row r="8348" spans="11:20" x14ac:dyDescent="0.25">
      <c r="K8348" s="312"/>
      <c r="N8348" s="514"/>
      <c r="R8348" s="293"/>
      <c r="S8348" s="316"/>
      <c r="T8348" s="355"/>
    </row>
    <row r="8349" spans="11:20" x14ac:dyDescent="0.25">
      <c r="K8349" s="312"/>
      <c r="N8349" s="514"/>
      <c r="R8349" s="293"/>
      <c r="S8349" s="316"/>
      <c r="T8349" s="355"/>
    </row>
    <row r="8350" spans="11:20" x14ac:dyDescent="0.25">
      <c r="K8350" s="312"/>
      <c r="N8350" s="514"/>
      <c r="R8350" s="293"/>
      <c r="S8350" s="316"/>
      <c r="T8350" s="355"/>
    </row>
    <row r="8351" spans="11:20" x14ac:dyDescent="0.25">
      <c r="K8351" s="312"/>
      <c r="N8351" s="514"/>
      <c r="R8351" s="293"/>
      <c r="S8351" s="316"/>
      <c r="T8351" s="355"/>
    </row>
    <row r="8352" spans="11:20" x14ac:dyDescent="0.25">
      <c r="K8352" s="312"/>
      <c r="N8352" s="514"/>
      <c r="R8352" s="293"/>
      <c r="S8352" s="316"/>
      <c r="T8352" s="355"/>
    </row>
    <row r="8353" spans="11:20" x14ac:dyDescent="0.25">
      <c r="K8353" s="312"/>
      <c r="N8353" s="514"/>
      <c r="R8353" s="293"/>
      <c r="S8353" s="316"/>
      <c r="T8353" s="355"/>
    </row>
    <row r="8354" spans="11:20" x14ac:dyDescent="0.25">
      <c r="K8354" s="312"/>
      <c r="N8354" s="514"/>
      <c r="R8354" s="293"/>
      <c r="S8354" s="316"/>
      <c r="T8354" s="355"/>
    </row>
    <row r="8355" spans="11:20" x14ac:dyDescent="0.25">
      <c r="K8355" s="312"/>
      <c r="N8355" s="514"/>
      <c r="R8355" s="293"/>
      <c r="S8355" s="316"/>
      <c r="T8355" s="355"/>
    </row>
    <row r="8356" spans="11:20" x14ac:dyDescent="0.25">
      <c r="K8356" s="312"/>
      <c r="N8356" s="514"/>
      <c r="R8356" s="293"/>
      <c r="S8356" s="316"/>
      <c r="T8356" s="355"/>
    </row>
    <row r="8357" spans="11:20" x14ac:dyDescent="0.25">
      <c r="K8357" s="312"/>
      <c r="N8357" s="514"/>
      <c r="R8357" s="293"/>
      <c r="S8357" s="316"/>
      <c r="T8357" s="355"/>
    </row>
    <row r="8358" spans="11:20" x14ac:dyDescent="0.25">
      <c r="K8358" s="312"/>
      <c r="N8358" s="514"/>
      <c r="R8358" s="293"/>
      <c r="S8358" s="316"/>
      <c r="T8358" s="355"/>
    </row>
    <row r="8359" spans="11:20" x14ac:dyDescent="0.25">
      <c r="K8359" s="312"/>
      <c r="N8359" s="514"/>
      <c r="R8359" s="293"/>
      <c r="S8359" s="316"/>
      <c r="T8359" s="355"/>
    </row>
    <row r="8360" spans="11:20" x14ac:dyDescent="0.25">
      <c r="K8360" s="312"/>
      <c r="N8360" s="514"/>
      <c r="R8360" s="293"/>
      <c r="S8360" s="316"/>
      <c r="T8360" s="355"/>
    </row>
    <row r="8361" spans="11:20" x14ac:dyDescent="0.25">
      <c r="K8361" s="312"/>
      <c r="N8361" s="514"/>
      <c r="R8361" s="293"/>
      <c r="S8361" s="316"/>
      <c r="T8361" s="355"/>
    </row>
    <row r="8362" spans="11:20" x14ac:dyDescent="0.25">
      <c r="K8362" s="312"/>
      <c r="N8362" s="514"/>
      <c r="R8362" s="293"/>
      <c r="S8362" s="316"/>
      <c r="T8362" s="355"/>
    </row>
    <row r="8363" spans="11:20" x14ac:dyDescent="0.25">
      <c r="K8363" s="312"/>
      <c r="N8363" s="514"/>
      <c r="R8363" s="293"/>
      <c r="S8363" s="316"/>
      <c r="T8363" s="355"/>
    </row>
    <row r="8364" spans="11:20" x14ac:dyDescent="0.25">
      <c r="K8364" s="312"/>
      <c r="N8364" s="514"/>
      <c r="R8364" s="293"/>
      <c r="S8364" s="316"/>
      <c r="T8364" s="355"/>
    </row>
    <row r="8365" spans="11:20" x14ac:dyDescent="0.25">
      <c r="K8365" s="312"/>
      <c r="N8365" s="514"/>
      <c r="R8365" s="293"/>
      <c r="S8365" s="316"/>
      <c r="T8365" s="355"/>
    </row>
    <row r="8366" spans="11:20" x14ac:dyDescent="0.25">
      <c r="K8366" s="312"/>
      <c r="N8366" s="514"/>
      <c r="R8366" s="293"/>
      <c r="S8366" s="316"/>
      <c r="T8366" s="355"/>
    </row>
    <row r="8367" spans="11:20" x14ac:dyDescent="0.25">
      <c r="K8367" s="312"/>
      <c r="N8367" s="514"/>
      <c r="R8367" s="293"/>
      <c r="S8367" s="316"/>
      <c r="T8367" s="355"/>
    </row>
    <row r="8368" spans="11:20" x14ac:dyDescent="0.25">
      <c r="K8368" s="312"/>
      <c r="N8368" s="514"/>
      <c r="R8368" s="293"/>
      <c r="S8368" s="316"/>
      <c r="T8368" s="355"/>
    </row>
    <row r="8369" spans="11:20" x14ac:dyDescent="0.25">
      <c r="K8369" s="312"/>
      <c r="N8369" s="514"/>
      <c r="R8369" s="293"/>
      <c r="S8369" s="316"/>
      <c r="T8369" s="355"/>
    </row>
    <row r="8370" spans="11:20" x14ac:dyDescent="0.25">
      <c r="K8370" s="312"/>
      <c r="N8370" s="514"/>
      <c r="R8370" s="293"/>
      <c r="S8370" s="316"/>
      <c r="T8370" s="355"/>
    </row>
    <row r="8371" spans="11:20" x14ac:dyDescent="0.25">
      <c r="K8371" s="312"/>
      <c r="N8371" s="514"/>
      <c r="R8371" s="293"/>
      <c r="S8371" s="316"/>
      <c r="T8371" s="355"/>
    </row>
    <row r="8372" spans="11:20" x14ac:dyDescent="0.25">
      <c r="K8372" s="312"/>
      <c r="N8372" s="514"/>
      <c r="R8372" s="293"/>
      <c r="S8372" s="316"/>
      <c r="T8372" s="355"/>
    </row>
    <row r="8373" spans="11:20" x14ac:dyDescent="0.25">
      <c r="K8373" s="312"/>
      <c r="N8373" s="514"/>
      <c r="R8373" s="293"/>
      <c r="S8373" s="316"/>
      <c r="T8373" s="355"/>
    </row>
    <row r="8374" spans="11:20" x14ac:dyDescent="0.25">
      <c r="K8374" s="312"/>
      <c r="N8374" s="514"/>
      <c r="R8374" s="293"/>
      <c r="S8374" s="316"/>
      <c r="T8374" s="355"/>
    </row>
    <row r="8375" spans="11:20" x14ac:dyDescent="0.25">
      <c r="K8375" s="312"/>
      <c r="N8375" s="514"/>
      <c r="R8375" s="293"/>
      <c r="S8375" s="316"/>
      <c r="T8375" s="355"/>
    </row>
    <row r="8376" spans="11:20" x14ac:dyDescent="0.25">
      <c r="K8376" s="312"/>
      <c r="N8376" s="514"/>
      <c r="R8376" s="293"/>
      <c r="S8376" s="316"/>
      <c r="T8376" s="355"/>
    </row>
    <row r="8377" spans="11:20" x14ac:dyDescent="0.25">
      <c r="K8377" s="312"/>
      <c r="N8377" s="514"/>
      <c r="R8377" s="293"/>
      <c r="S8377" s="316"/>
      <c r="T8377" s="355"/>
    </row>
    <row r="8378" spans="11:20" x14ac:dyDescent="0.25">
      <c r="K8378" s="312"/>
      <c r="N8378" s="514"/>
      <c r="R8378" s="293"/>
      <c r="S8378" s="316"/>
      <c r="T8378" s="355"/>
    </row>
    <row r="8379" spans="11:20" x14ac:dyDescent="0.25">
      <c r="K8379" s="312"/>
      <c r="N8379" s="514"/>
      <c r="R8379" s="293"/>
      <c r="S8379" s="316"/>
      <c r="T8379" s="355"/>
    </row>
    <row r="8380" spans="11:20" x14ac:dyDescent="0.25">
      <c r="K8380" s="312"/>
      <c r="N8380" s="514"/>
      <c r="R8380" s="293"/>
      <c r="S8380" s="316"/>
      <c r="T8380" s="355"/>
    </row>
    <row r="8381" spans="11:20" x14ac:dyDescent="0.25">
      <c r="K8381" s="312"/>
      <c r="N8381" s="514"/>
      <c r="R8381" s="293"/>
      <c r="S8381" s="316"/>
      <c r="T8381" s="355"/>
    </row>
    <row r="8382" spans="11:20" x14ac:dyDescent="0.25">
      <c r="K8382" s="312"/>
      <c r="N8382" s="514"/>
      <c r="R8382" s="293"/>
      <c r="S8382" s="316"/>
      <c r="T8382" s="355"/>
    </row>
    <row r="8383" spans="11:20" x14ac:dyDescent="0.25">
      <c r="K8383" s="312"/>
      <c r="N8383" s="514"/>
      <c r="R8383" s="293"/>
      <c r="S8383" s="316"/>
      <c r="T8383" s="355"/>
    </row>
    <row r="8384" spans="11:20" x14ac:dyDescent="0.25">
      <c r="K8384" s="312"/>
      <c r="N8384" s="514"/>
      <c r="R8384" s="293"/>
      <c r="S8384" s="316"/>
      <c r="T8384" s="355"/>
    </row>
    <row r="8385" spans="11:20" x14ac:dyDescent="0.25">
      <c r="K8385" s="312"/>
      <c r="N8385" s="514"/>
      <c r="R8385" s="293"/>
      <c r="S8385" s="316"/>
      <c r="T8385" s="355"/>
    </row>
    <row r="8386" spans="11:20" x14ac:dyDescent="0.25">
      <c r="K8386" s="312"/>
      <c r="N8386" s="514"/>
      <c r="R8386" s="293"/>
      <c r="S8386" s="316"/>
      <c r="T8386" s="355"/>
    </row>
    <row r="8387" spans="11:20" x14ac:dyDescent="0.25">
      <c r="K8387" s="312"/>
      <c r="N8387" s="514"/>
      <c r="R8387" s="293"/>
      <c r="S8387" s="316"/>
      <c r="T8387" s="355"/>
    </row>
    <row r="8388" spans="11:20" x14ac:dyDescent="0.25">
      <c r="K8388" s="312"/>
      <c r="N8388" s="514"/>
      <c r="R8388" s="293"/>
      <c r="S8388" s="316"/>
      <c r="T8388" s="355"/>
    </row>
    <row r="8389" spans="11:20" x14ac:dyDescent="0.25">
      <c r="K8389" s="312"/>
      <c r="N8389" s="514"/>
      <c r="R8389" s="293"/>
      <c r="S8389" s="316"/>
      <c r="T8389" s="355"/>
    </row>
    <row r="8390" spans="11:20" x14ac:dyDescent="0.25">
      <c r="K8390" s="312"/>
      <c r="N8390" s="514"/>
      <c r="R8390" s="293"/>
      <c r="S8390" s="316"/>
      <c r="T8390" s="355"/>
    </row>
    <row r="8391" spans="11:20" x14ac:dyDescent="0.25">
      <c r="K8391" s="312"/>
      <c r="N8391" s="514"/>
      <c r="R8391" s="293"/>
      <c r="S8391" s="316"/>
      <c r="T8391" s="355"/>
    </row>
    <row r="8392" spans="11:20" x14ac:dyDescent="0.25">
      <c r="K8392" s="312"/>
      <c r="N8392" s="514"/>
      <c r="R8392" s="293"/>
      <c r="S8392" s="316"/>
      <c r="T8392" s="355"/>
    </row>
    <row r="8393" spans="11:20" x14ac:dyDescent="0.25">
      <c r="K8393" s="312"/>
      <c r="N8393" s="514"/>
      <c r="R8393" s="293"/>
      <c r="S8393" s="316"/>
      <c r="T8393" s="355"/>
    </row>
    <row r="8394" spans="11:20" x14ac:dyDescent="0.25">
      <c r="K8394" s="312"/>
      <c r="N8394" s="514"/>
      <c r="R8394" s="293"/>
      <c r="S8394" s="316"/>
      <c r="T8394" s="355"/>
    </row>
    <row r="8395" spans="11:20" x14ac:dyDescent="0.25">
      <c r="K8395" s="312"/>
      <c r="N8395" s="514"/>
      <c r="R8395" s="293"/>
      <c r="S8395" s="316"/>
      <c r="T8395" s="355"/>
    </row>
    <row r="8396" spans="11:20" x14ac:dyDescent="0.25">
      <c r="K8396" s="312"/>
      <c r="N8396" s="514"/>
      <c r="R8396" s="293"/>
      <c r="S8396" s="316"/>
      <c r="T8396" s="355"/>
    </row>
    <row r="8397" spans="11:20" x14ac:dyDescent="0.25">
      <c r="K8397" s="312"/>
      <c r="N8397" s="514"/>
      <c r="R8397" s="293"/>
      <c r="S8397" s="316"/>
      <c r="T8397" s="355"/>
    </row>
    <row r="8398" spans="11:20" x14ac:dyDescent="0.25">
      <c r="K8398" s="312"/>
      <c r="N8398" s="514"/>
      <c r="R8398" s="293"/>
      <c r="S8398" s="316"/>
      <c r="T8398" s="355"/>
    </row>
    <row r="8399" spans="11:20" x14ac:dyDescent="0.25">
      <c r="K8399" s="312"/>
      <c r="N8399" s="514"/>
      <c r="R8399" s="293"/>
      <c r="S8399" s="316"/>
      <c r="T8399" s="355"/>
    </row>
    <row r="8400" spans="11:20" x14ac:dyDescent="0.25">
      <c r="K8400" s="312"/>
      <c r="N8400" s="514"/>
      <c r="R8400" s="293"/>
      <c r="S8400" s="316"/>
      <c r="T8400" s="355"/>
    </row>
    <row r="8401" spans="11:20" x14ac:dyDescent="0.25">
      <c r="K8401" s="312"/>
      <c r="N8401" s="514"/>
      <c r="R8401" s="293"/>
      <c r="S8401" s="316"/>
      <c r="T8401" s="355"/>
    </row>
    <row r="8402" spans="11:20" x14ac:dyDescent="0.25">
      <c r="K8402" s="312"/>
      <c r="N8402" s="514"/>
      <c r="R8402" s="293"/>
      <c r="S8402" s="316"/>
      <c r="T8402" s="355"/>
    </row>
    <row r="8403" spans="11:20" x14ac:dyDescent="0.25">
      <c r="K8403" s="312"/>
      <c r="N8403" s="514"/>
      <c r="R8403" s="293"/>
      <c r="S8403" s="316"/>
      <c r="T8403" s="355"/>
    </row>
    <row r="8404" spans="11:20" x14ac:dyDescent="0.25">
      <c r="K8404" s="312"/>
      <c r="N8404" s="514"/>
      <c r="R8404" s="293"/>
      <c r="S8404" s="316"/>
      <c r="T8404" s="355"/>
    </row>
    <row r="8405" spans="11:20" x14ac:dyDescent="0.25">
      <c r="K8405" s="312"/>
      <c r="N8405" s="514"/>
      <c r="R8405" s="293"/>
      <c r="S8405" s="316"/>
      <c r="T8405" s="355"/>
    </row>
    <row r="8406" spans="11:20" x14ac:dyDescent="0.25">
      <c r="K8406" s="312"/>
      <c r="N8406" s="514"/>
      <c r="R8406" s="293"/>
      <c r="S8406" s="316"/>
      <c r="T8406" s="355"/>
    </row>
    <row r="8407" spans="11:20" x14ac:dyDescent="0.25">
      <c r="K8407" s="312"/>
      <c r="N8407" s="514"/>
      <c r="R8407" s="293"/>
      <c r="S8407" s="316"/>
      <c r="T8407" s="355"/>
    </row>
    <row r="8408" spans="11:20" x14ac:dyDescent="0.25">
      <c r="K8408" s="312"/>
      <c r="N8408" s="514"/>
      <c r="R8408" s="293"/>
      <c r="S8408" s="316"/>
      <c r="T8408" s="355"/>
    </row>
    <row r="8409" spans="11:20" x14ac:dyDescent="0.25">
      <c r="K8409" s="312"/>
      <c r="N8409" s="514"/>
      <c r="R8409" s="293"/>
      <c r="S8409" s="316"/>
      <c r="T8409" s="355"/>
    </row>
    <row r="8410" spans="11:20" x14ac:dyDescent="0.25">
      <c r="K8410" s="312"/>
      <c r="N8410" s="514"/>
      <c r="R8410" s="293"/>
      <c r="S8410" s="316"/>
      <c r="T8410" s="355"/>
    </row>
    <row r="8411" spans="11:20" x14ac:dyDescent="0.25">
      <c r="K8411" s="312"/>
      <c r="N8411" s="514"/>
      <c r="R8411" s="293"/>
      <c r="S8411" s="316"/>
      <c r="T8411" s="355"/>
    </row>
    <row r="8412" spans="11:20" x14ac:dyDescent="0.25">
      <c r="K8412" s="312"/>
      <c r="N8412" s="514"/>
      <c r="R8412" s="293"/>
      <c r="S8412" s="316"/>
      <c r="T8412" s="355"/>
    </row>
    <row r="8413" spans="11:20" x14ac:dyDescent="0.25">
      <c r="K8413" s="312"/>
      <c r="N8413" s="514"/>
      <c r="R8413" s="293"/>
      <c r="S8413" s="316"/>
      <c r="T8413" s="355"/>
    </row>
    <row r="8414" spans="11:20" x14ac:dyDescent="0.25">
      <c r="K8414" s="312"/>
      <c r="N8414" s="514"/>
      <c r="R8414" s="293"/>
      <c r="S8414" s="316"/>
      <c r="T8414" s="355"/>
    </row>
    <row r="8415" spans="11:20" x14ac:dyDescent="0.25">
      <c r="K8415" s="312"/>
      <c r="N8415" s="514"/>
      <c r="R8415" s="293"/>
      <c r="S8415" s="316"/>
      <c r="T8415" s="355"/>
    </row>
    <row r="8416" spans="11:20" x14ac:dyDescent="0.25">
      <c r="K8416" s="312"/>
      <c r="N8416" s="514"/>
      <c r="R8416" s="293"/>
      <c r="S8416" s="316"/>
      <c r="T8416" s="355"/>
    </row>
    <row r="8417" spans="11:20" x14ac:dyDescent="0.25">
      <c r="K8417" s="312"/>
      <c r="N8417" s="514"/>
      <c r="R8417" s="293"/>
      <c r="S8417" s="316"/>
      <c r="T8417" s="355"/>
    </row>
    <row r="8418" spans="11:20" x14ac:dyDescent="0.25">
      <c r="K8418" s="312"/>
      <c r="N8418" s="514"/>
      <c r="R8418" s="293"/>
      <c r="S8418" s="316"/>
      <c r="T8418" s="355"/>
    </row>
    <row r="8419" spans="11:20" x14ac:dyDescent="0.25">
      <c r="K8419" s="312"/>
      <c r="N8419" s="514"/>
      <c r="R8419" s="293"/>
      <c r="S8419" s="316"/>
      <c r="T8419" s="355"/>
    </row>
    <row r="8420" spans="11:20" x14ac:dyDescent="0.25">
      <c r="K8420" s="312"/>
      <c r="N8420" s="514"/>
      <c r="R8420" s="293"/>
      <c r="S8420" s="316"/>
      <c r="T8420" s="355"/>
    </row>
    <row r="8421" spans="11:20" x14ac:dyDescent="0.25">
      <c r="K8421" s="312"/>
      <c r="N8421" s="514"/>
      <c r="R8421" s="293"/>
      <c r="S8421" s="316"/>
      <c r="T8421" s="355"/>
    </row>
    <row r="8422" spans="11:20" x14ac:dyDescent="0.25">
      <c r="K8422" s="312"/>
      <c r="N8422" s="514"/>
      <c r="R8422" s="293"/>
      <c r="S8422" s="316"/>
      <c r="T8422" s="355"/>
    </row>
    <row r="8423" spans="11:20" x14ac:dyDescent="0.25">
      <c r="K8423" s="312"/>
      <c r="N8423" s="514"/>
      <c r="R8423" s="293"/>
      <c r="S8423" s="316"/>
      <c r="T8423" s="355"/>
    </row>
    <row r="8424" spans="11:20" x14ac:dyDescent="0.25">
      <c r="K8424" s="312"/>
      <c r="N8424" s="514"/>
      <c r="R8424" s="293"/>
      <c r="S8424" s="316"/>
      <c r="T8424" s="355"/>
    </row>
    <row r="8425" spans="11:20" x14ac:dyDescent="0.25">
      <c r="K8425" s="312"/>
      <c r="N8425" s="514"/>
      <c r="R8425" s="293"/>
      <c r="S8425" s="316"/>
      <c r="T8425" s="355"/>
    </row>
    <row r="8426" spans="11:20" x14ac:dyDescent="0.25">
      <c r="K8426" s="312"/>
      <c r="N8426" s="514"/>
      <c r="R8426" s="293"/>
      <c r="S8426" s="316"/>
      <c r="T8426" s="355"/>
    </row>
    <row r="8427" spans="11:20" x14ac:dyDescent="0.25">
      <c r="K8427" s="312"/>
      <c r="N8427" s="514"/>
      <c r="R8427" s="293"/>
      <c r="S8427" s="316"/>
      <c r="T8427" s="355"/>
    </row>
    <row r="8428" spans="11:20" x14ac:dyDescent="0.25">
      <c r="K8428" s="312"/>
      <c r="N8428" s="514"/>
      <c r="R8428" s="293"/>
      <c r="S8428" s="316"/>
      <c r="T8428" s="355"/>
    </row>
    <row r="8429" spans="11:20" x14ac:dyDescent="0.25">
      <c r="K8429" s="312"/>
      <c r="N8429" s="514"/>
      <c r="R8429" s="293"/>
      <c r="S8429" s="316"/>
      <c r="T8429" s="355"/>
    </row>
    <row r="8430" spans="11:20" x14ac:dyDescent="0.25">
      <c r="K8430" s="312"/>
      <c r="N8430" s="514"/>
      <c r="R8430" s="293"/>
      <c r="S8430" s="316"/>
      <c r="T8430" s="355"/>
    </row>
    <row r="8431" spans="11:20" x14ac:dyDescent="0.25">
      <c r="K8431" s="312"/>
      <c r="N8431" s="514"/>
      <c r="R8431" s="293"/>
      <c r="S8431" s="316"/>
      <c r="T8431" s="355"/>
    </row>
    <row r="8432" spans="11:20" x14ac:dyDescent="0.25">
      <c r="K8432" s="312"/>
      <c r="N8432" s="514"/>
      <c r="R8432" s="293"/>
      <c r="S8432" s="316"/>
      <c r="T8432" s="355"/>
    </row>
    <row r="8433" spans="11:20" x14ac:dyDescent="0.25">
      <c r="K8433" s="312"/>
      <c r="N8433" s="514"/>
      <c r="R8433" s="293"/>
      <c r="S8433" s="316"/>
      <c r="T8433" s="355"/>
    </row>
    <row r="8434" spans="11:20" x14ac:dyDescent="0.25">
      <c r="K8434" s="312"/>
      <c r="N8434" s="514"/>
      <c r="R8434" s="293"/>
      <c r="S8434" s="316"/>
      <c r="T8434" s="355"/>
    </row>
    <row r="8435" spans="11:20" x14ac:dyDescent="0.25">
      <c r="K8435" s="312"/>
      <c r="N8435" s="514"/>
      <c r="R8435" s="293"/>
      <c r="S8435" s="316"/>
      <c r="T8435" s="355"/>
    </row>
    <row r="8436" spans="11:20" x14ac:dyDescent="0.25">
      <c r="K8436" s="312"/>
      <c r="N8436" s="514"/>
      <c r="R8436" s="293"/>
      <c r="S8436" s="316"/>
      <c r="T8436" s="355"/>
    </row>
    <row r="8437" spans="11:20" x14ac:dyDescent="0.25">
      <c r="K8437" s="312"/>
      <c r="N8437" s="514"/>
      <c r="R8437" s="293"/>
      <c r="S8437" s="316"/>
      <c r="T8437" s="355"/>
    </row>
    <row r="8438" spans="11:20" x14ac:dyDescent="0.25">
      <c r="K8438" s="312"/>
      <c r="N8438" s="514"/>
      <c r="R8438" s="293"/>
      <c r="S8438" s="316"/>
      <c r="T8438" s="355"/>
    </row>
    <row r="8439" spans="11:20" x14ac:dyDescent="0.25">
      <c r="K8439" s="312"/>
      <c r="N8439" s="514"/>
      <c r="R8439" s="293"/>
      <c r="S8439" s="316"/>
      <c r="T8439" s="355"/>
    </row>
    <row r="8440" spans="11:20" x14ac:dyDescent="0.25">
      <c r="K8440" s="312"/>
      <c r="N8440" s="514"/>
      <c r="R8440" s="293"/>
      <c r="S8440" s="316"/>
      <c r="T8440" s="355"/>
    </row>
    <row r="8441" spans="11:20" x14ac:dyDescent="0.25">
      <c r="K8441" s="312"/>
      <c r="N8441" s="514"/>
      <c r="R8441" s="293"/>
      <c r="S8441" s="316"/>
      <c r="T8441" s="355"/>
    </row>
    <row r="8442" spans="11:20" x14ac:dyDescent="0.25">
      <c r="K8442" s="312"/>
      <c r="N8442" s="514"/>
      <c r="R8442" s="293"/>
      <c r="S8442" s="316"/>
      <c r="T8442" s="355"/>
    </row>
    <row r="8443" spans="11:20" x14ac:dyDescent="0.25">
      <c r="K8443" s="312"/>
      <c r="N8443" s="514"/>
      <c r="R8443" s="293"/>
      <c r="S8443" s="316"/>
      <c r="T8443" s="355"/>
    </row>
    <row r="8444" spans="11:20" x14ac:dyDescent="0.25">
      <c r="K8444" s="312"/>
      <c r="N8444" s="514"/>
      <c r="R8444" s="293"/>
      <c r="S8444" s="316"/>
      <c r="T8444" s="355"/>
    </row>
    <row r="8445" spans="11:20" x14ac:dyDescent="0.25">
      <c r="K8445" s="312"/>
      <c r="N8445" s="514"/>
      <c r="R8445" s="293"/>
      <c r="S8445" s="316"/>
      <c r="T8445" s="355"/>
    </row>
    <row r="8446" spans="11:20" x14ac:dyDescent="0.25">
      <c r="K8446" s="312"/>
      <c r="N8446" s="514"/>
      <c r="R8446" s="293"/>
      <c r="S8446" s="316"/>
      <c r="T8446" s="355"/>
    </row>
    <row r="8447" spans="11:20" x14ac:dyDescent="0.25">
      <c r="K8447" s="312"/>
      <c r="N8447" s="514"/>
      <c r="R8447" s="293"/>
      <c r="S8447" s="316"/>
      <c r="T8447" s="355"/>
    </row>
    <row r="8448" spans="11:20" x14ac:dyDescent="0.25">
      <c r="K8448" s="312"/>
      <c r="N8448" s="514"/>
      <c r="R8448" s="293"/>
      <c r="S8448" s="316"/>
      <c r="T8448" s="355"/>
    </row>
    <row r="8449" spans="11:20" x14ac:dyDescent="0.25">
      <c r="K8449" s="312"/>
      <c r="N8449" s="514"/>
      <c r="R8449" s="293"/>
      <c r="S8449" s="316"/>
      <c r="T8449" s="355"/>
    </row>
    <row r="8450" spans="11:20" x14ac:dyDescent="0.25">
      <c r="K8450" s="312"/>
      <c r="N8450" s="514"/>
      <c r="R8450" s="293"/>
      <c r="S8450" s="316"/>
      <c r="T8450" s="355"/>
    </row>
    <row r="8451" spans="11:20" x14ac:dyDescent="0.25">
      <c r="K8451" s="312"/>
      <c r="N8451" s="514"/>
      <c r="R8451" s="293"/>
      <c r="S8451" s="316"/>
      <c r="T8451" s="355"/>
    </row>
    <row r="8452" spans="11:20" x14ac:dyDescent="0.25">
      <c r="K8452" s="312"/>
      <c r="N8452" s="514"/>
      <c r="R8452" s="293"/>
      <c r="S8452" s="316"/>
      <c r="T8452" s="355"/>
    </row>
    <row r="8453" spans="11:20" x14ac:dyDescent="0.25">
      <c r="K8453" s="312"/>
      <c r="N8453" s="514"/>
      <c r="R8453" s="293"/>
      <c r="S8453" s="316"/>
      <c r="T8453" s="355"/>
    </row>
    <row r="8454" spans="11:20" x14ac:dyDescent="0.25">
      <c r="K8454" s="312"/>
      <c r="N8454" s="514"/>
      <c r="R8454" s="293"/>
      <c r="S8454" s="316"/>
      <c r="T8454" s="355"/>
    </row>
    <row r="8455" spans="11:20" x14ac:dyDescent="0.25">
      <c r="K8455" s="312"/>
      <c r="N8455" s="514"/>
      <c r="R8455" s="293"/>
      <c r="S8455" s="316"/>
      <c r="T8455" s="355"/>
    </row>
    <row r="8456" spans="11:20" x14ac:dyDescent="0.25">
      <c r="K8456" s="312"/>
      <c r="N8456" s="514"/>
      <c r="R8456" s="293"/>
      <c r="S8456" s="316"/>
      <c r="T8456" s="355"/>
    </row>
    <row r="8457" spans="11:20" x14ac:dyDescent="0.25">
      <c r="K8457" s="312"/>
      <c r="N8457" s="514"/>
      <c r="R8457" s="293"/>
      <c r="S8457" s="316"/>
      <c r="T8457" s="355"/>
    </row>
    <row r="8458" spans="11:20" x14ac:dyDescent="0.25">
      <c r="K8458" s="312"/>
      <c r="N8458" s="514"/>
      <c r="R8458" s="293"/>
      <c r="S8458" s="316"/>
      <c r="T8458" s="355"/>
    </row>
    <row r="8459" spans="11:20" x14ac:dyDescent="0.25">
      <c r="K8459" s="312"/>
      <c r="N8459" s="514"/>
      <c r="R8459" s="293"/>
      <c r="S8459" s="316"/>
      <c r="T8459" s="355"/>
    </row>
    <row r="8460" spans="11:20" x14ac:dyDescent="0.25">
      <c r="K8460" s="312"/>
      <c r="N8460" s="514"/>
      <c r="R8460" s="293"/>
      <c r="S8460" s="316"/>
      <c r="T8460" s="355"/>
    </row>
    <row r="8461" spans="11:20" x14ac:dyDescent="0.25">
      <c r="K8461" s="312"/>
      <c r="N8461" s="514"/>
      <c r="R8461" s="293"/>
      <c r="S8461" s="316"/>
      <c r="T8461" s="355"/>
    </row>
    <row r="8462" spans="11:20" x14ac:dyDescent="0.25">
      <c r="K8462" s="312"/>
      <c r="N8462" s="514"/>
      <c r="R8462" s="293"/>
      <c r="S8462" s="316"/>
      <c r="T8462" s="355"/>
    </row>
    <row r="8463" spans="11:20" x14ac:dyDescent="0.25">
      <c r="K8463" s="312"/>
      <c r="N8463" s="514"/>
      <c r="R8463" s="293"/>
      <c r="S8463" s="316"/>
      <c r="T8463" s="355"/>
    </row>
    <row r="8464" spans="11:20" x14ac:dyDescent="0.25">
      <c r="K8464" s="312"/>
      <c r="N8464" s="514"/>
      <c r="R8464" s="293"/>
      <c r="S8464" s="316"/>
      <c r="T8464" s="355"/>
    </row>
    <row r="8465" spans="11:20" x14ac:dyDescent="0.25">
      <c r="K8465" s="312"/>
      <c r="N8465" s="514"/>
      <c r="R8465" s="293"/>
      <c r="S8465" s="316"/>
      <c r="T8465" s="355"/>
    </row>
    <row r="8466" spans="11:20" x14ac:dyDescent="0.25">
      <c r="K8466" s="312"/>
      <c r="N8466" s="514"/>
      <c r="R8466" s="293"/>
      <c r="S8466" s="316"/>
      <c r="T8466" s="355"/>
    </row>
    <row r="8467" spans="11:20" x14ac:dyDescent="0.25">
      <c r="K8467" s="312"/>
      <c r="N8467" s="514"/>
      <c r="R8467" s="293"/>
      <c r="S8467" s="316"/>
      <c r="T8467" s="355"/>
    </row>
    <row r="8468" spans="11:20" x14ac:dyDescent="0.25">
      <c r="K8468" s="312"/>
      <c r="N8468" s="514"/>
      <c r="R8468" s="293"/>
      <c r="S8468" s="316"/>
      <c r="T8468" s="355"/>
    </row>
    <row r="8469" spans="11:20" x14ac:dyDescent="0.25">
      <c r="K8469" s="312"/>
      <c r="N8469" s="514"/>
      <c r="R8469" s="293"/>
      <c r="S8469" s="316"/>
      <c r="T8469" s="355"/>
    </row>
    <row r="8470" spans="11:20" x14ac:dyDescent="0.25">
      <c r="K8470" s="312"/>
      <c r="N8470" s="514"/>
      <c r="R8470" s="293"/>
      <c r="S8470" s="316"/>
      <c r="T8470" s="355"/>
    </row>
    <row r="8471" spans="11:20" x14ac:dyDescent="0.25">
      <c r="K8471" s="312"/>
      <c r="N8471" s="514"/>
      <c r="R8471" s="293"/>
      <c r="S8471" s="316"/>
      <c r="T8471" s="355"/>
    </row>
    <row r="8472" spans="11:20" x14ac:dyDescent="0.25">
      <c r="K8472" s="312"/>
      <c r="N8472" s="514"/>
      <c r="R8472" s="293"/>
      <c r="S8472" s="316"/>
      <c r="T8472" s="355"/>
    </row>
    <row r="8473" spans="11:20" x14ac:dyDescent="0.25">
      <c r="K8473" s="312"/>
      <c r="N8473" s="514"/>
      <c r="R8473" s="293"/>
      <c r="S8473" s="316"/>
      <c r="T8473" s="355"/>
    </row>
    <row r="8474" spans="11:20" x14ac:dyDescent="0.25">
      <c r="K8474" s="312"/>
      <c r="N8474" s="514"/>
      <c r="R8474" s="293"/>
      <c r="S8474" s="316"/>
      <c r="T8474" s="355"/>
    </row>
    <row r="8475" spans="11:20" x14ac:dyDescent="0.25">
      <c r="K8475" s="312"/>
      <c r="N8475" s="514"/>
      <c r="R8475" s="293"/>
      <c r="S8475" s="316"/>
      <c r="T8475" s="355"/>
    </row>
    <row r="8476" spans="11:20" x14ac:dyDescent="0.25">
      <c r="K8476" s="312"/>
      <c r="N8476" s="514"/>
      <c r="R8476" s="293"/>
      <c r="S8476" s="316"/>
      <c r="T8476" s="355"/>
    </row>
    <row r="8477" spans="11:20" x14ac:dyDescent="0.25">
      <c r="K8477" s="312"/>
      <c r="N8477" s="514"/>
      <c r="R8477" s="293"/>
      <c r="S8477" s="316"/>
      <c r="T8477" s="355"/>
    </row>
    <row r="8478" spans="11:20" x14ac:dyDescent="0.25">
      <c r="K8478" s="312"/>
      <c r="N8478" s="514"/>
      <c r="R8478" s="293"/>
      <c r="S8478" s="316"/>
      <c r="T8478" s="355"/>
    </row>
    <row r="8479" spans="11:20" x14ac:dyDescent="0.25">
      <c r="K8479" s="312"/>
      <c r="N8479" s="514"/>
      <c r="R8479" s="293"/>
      <c r="S8479" s="316"/>
      <c r="T8479" s="355"/>
    </row>
    <row r="8480" spans="11:20" x14ac:dyDescent="0.25">
      <c r="K8480" s="312"/>
      <c r="N8480" s="514"/>
      <c r="R8480" s="293"/>
      <c r="S8480" s="316"/>
      <c r="T8480" s="355"/>
    </row>
    <row r="8481" spans="11:20" x14ac:dyDescent="0.25">
      <c r="K8481" s="312"/>
      <c r="N8481" s="514"/>
      <c r="R8481" s="293"/>
      <c r="S8481" s="316"/>
      <c r="T8481" s="355"/>
    </row>
    <row r="8482" spans="11:20" x14ac:dyDescent="0.25">
      <c r="K8482" s="312"/>
      <c r="N8482" s="514"/>
      <c r="R8482" s="293"/>
      <c r="S8482" s="316"/>
      <c r="T8482" s="355"/>
    </row>
    <row r="8483" spans="11:20" x14ac:dyDescent="0.25">
      <c r="K8483" s="312"/>
      <c r="N8483" s="514"/>
      <c r="R8483" s="293"/>
      <c r="S8483" s="316"/>
      <c r="T8483" s="355"/>
    </row>
    <row r="8484" spans="11:20" x14ac:dyDescent="0.25">
      <c r="K8484" s="312"/>
      <c r="N8484" s="514"/>
      <c r="R8484" s="293"/>
      <c r="S8484" s="316"/>
      <c r="T8484" s="355"/>
    </row>
    <row r="8485" spans="11:20" x14ac:dyDescent="0.25">
      <c r="K8485" s="312"/>
      <c r="N8485" s="514"/>
      <c r="R8485" s="293"/>
      <c r="S8485" s="316"/>
      <c r="T8485" s="355"/>
    </row>
    <row r="8486" spans="11:20" x14ac:dyDescent="0.25">
      <c r="K8486" s="312"/>
      <c r="N8486" s="514"/>
      <c r="R8486" s="293"/>
      <c r="S8486" s="316"/>
      <c r="T8486" s="355"/>
    </row>
    <row r="8487" spans="11:20" x14ac:dyDescent="0.25">
      <c r="K8487" s="312"/>
      <c r="N8487" s="514"/>
      <c r="R8487" s="293"/>
      <c r="S8487" s="316"/>
      <c r="T8487" s="355"/>
    </row>
    <row r="8488" spans="11:20" x14ac:dyDescent="0.25">
      <c r="K8488" s="312"/>
      <c r="N8488" s="514"/>
      <c r="R8488" s="293"/>
      <c r="S8488" s="316"/>
      <c r="T8488" s="355"/>
    </row>
    <row r="8489" spans="11:20" x14ac:dyDescent="0.25">
      <c r="K8489" s="312"/>
      <c r="N8489" s="514"/>
      <c r="R8489" s="293"/>
      <c r="S8489" s="316"/>
      <c r="T8489" s="355"/>
    </row>
    <row r="8490" spans="11:20" x14ac:dyDescent="0.25">
      <c r="K8490" s="312"/>
      <c r="N8490" s="514"/>
      <c r="R8490" s="293"/>
      <c r="S8490" s="316"/>
      <c r="T8490" s="355"/>
    </row>
    <row r="8491" spans="11:20" x14ac:dyDescent="0.25">
      <c r="K8491" s="312"/>
      <c r="N8491" s="514"/>
      <c r="R8491" s="293"/>
      <c r="S8491" s="316"/>
      <c r="T8491" s="355"/>
    </row>
    <row r="8492" spans="11:20" x14ac:dyDescent="0.25">
      <c r="K8492" s="312"/>
      <c r="N8492" s="514"/>
      <c r="R8492" s="293"/>
      <c r="S8492" s="316"/>
      <c r="T8492" s="355"/>
    </row>
    <row r="8493" spans="11:20" x14ac:dyDescent="0.25">
      <c r="K8493" s="312"/>
      <c r="N8493" s="514"/>
      <c r="R8493" s="293"/>
      <c r="S8493" s="316"/>
      <c r="T8493" s="355"/>
    </row>
    <row r="8494" spans="11:20" x14ac:dyDescent="0.25">
      <c r="K8494" s="312"/>
      <c r="N8494" s="514"/>
      <c r="R8494" s="293"/>
      <c r="S8494" s="316"/>
      <c r="T8494" s="355"/>
    </row>
    <row r="8495" spans="11:20" x14ac:dyDescent="0.25">
      <c r="K8495" s="312"/>
      <c r="N8495" s="514"/>
      <c r="R8495" s="293"/>
      <c r="S8495" s="316"/>
      <c r="T8495" s="355"/>
    </row>
    <row r="8496" spans="11:20" x14ac:dyDescent="0.25">
      <c r="K8496" s="312"/>
      <c r="N8496" s="514"/>
      <c r="R8496" s="293"/>
      <c r="S8496" s="316"/>
      <c r="T8496" s="355"/>
    </row>
    <row r="8497" spans="11:20" x14ac:dyDescent="0.25">
      <c r="K8497" s="312"/>
      <c r="N8497" s="514"/>
      <c r="R8497" s="293"/>
      <c r="S8497" s="316"/>
      <c r="T8497" s="355"/>
    </row>
    <row r="8498" spans="11:20" x14ac:dyDescent="0.25">
      <c r="K8498" s="312"/>
      <c r="N8498" s="514"/>
      <c r="R8498" s="293"/>
      <c r="S8498" s="316"/>
      <c r="T8498" s="355"/>
    </row>
    <row r="8499" spans="11:20" x14ac:dyDescent="0.25">
      <c r="K8499" s="312"/>
      <c r="N8499" s="514"/>
      <c r="R8499" s="293"/>
      <c r="S8499" s="316"/>
      <c r="T8499" s="355"/>
    </row>
    <row r="8500" spans="11:20" x14ac:dyDescent="0.25">
      <c r="K8500" s="312"/>
      <c r="N8500" s="514"/>
      <c r="R8500" s="293"/>
      <c r="S8500" s="316"/>
      <c r="T8500" s="355"/>
    </row>
    <row r="8501" spans="11:20" x14ac:dyDescent="0.25">
      <c r="K8501" s="312"/>
      <c r="N8501" s="514"/>
      <c r="R8501" s="293"/>
      <c r="S8501" s="316"/>
      <c r="T8501" s="355"/>
    </row>
    <row r="8502" spans="11:20" x14ac:dyDescent="0.25">
      <c r="K8502" s="312"/>
      <c r="N8502" s="514"/>
      <c r="R8502" s="293"/>
      <c r="S8502" s="316"/>
      <c r="T8502" s="355"/>
    </row>
    <row r="8503" spans="11:20" x14ac:dyDescent="0.25">
      <c r="K8503" s="312"/>
      <c r="N8503" s="514"/>
      <c r="R8503" s="293"/>
      <c r="S8503" s="316"/>
      <c r="T8503" s="355"/>
    </row>
    <row r="8504" spans="11:20" x14ac:dyDescent="0.25">
      <c r="K8504" s="312"/>
      <c r="N8504" s="514"/>
      <c r="R8504" s="293"/>
      <c r="S8504" s="316"/>
      <c r="T8504" s="355"/>
    </row>
    <row r="8505" spans="11:20" x14ac:dyDescent="0.25">
      <c r="K8505" s="312"/>
      <c r="N8505" s="514"/>
      <c r="R8505" s="293"/>
      <c r="S8505" s="316"/>
      <c r="T8505" s="355"/>
    </row>
    <row r="8506" spans="11:20" x14ac:dyDescent="0.25">
      <c r="K8506" s="312"/>
      <c r="N8506" s="514"/>
      <c r="R8506" s="293"/>
      <c r="S8506" s="316"/>
      <c r="T8506" s="355"/>
    </row>
    <row r="8507" spans="11:20" x14ac:dyDescent="0.25">
      <c r="K8507" s="312"/>
      <c r="N8507" s="514"/>
      <c r="R8507" s="293"/>
      <c r="S8507" s="316"/>
      <c r="T8507" s="355"/>
    </row>
    <row r="8508" spans="11:20" x14ac:dyDescent="0.25">
      <c r="K8508" s="312"/>
      <c r="N8508" s="514"/>
      <c r="R8508" s="293"/>
      <c r="S8508" s="316"/>
      <c r="T8508" s="355"/>
    </row>
    <row r="8509" spans="11:20" x14ac:dyDescent="0.25">
      <c r="K8509" s="312"/>
      <c r="N8509" s="514"/>
      <c r="R8509" s="293"/>
      <c r="S8509" s="316"/>
      <c r="T8509" s="355"/>
    </row>
    <row r="8510" spans="11:20" x14ac:dyDescent="0.25">
      <c r="K8510" s="312"/>
      <c r="N8510" s="514"/>
      <c r="R8510" s="293"/>
      <c r="S8510" s="316"/>
      <c r="T8510" s="355"/>
    </row>
    <row r="8511" spans="11:20" x14ac:dyDescent="0.25">
      <c r="K8511" s="312"/>
      <c r="N8511" s="514"/>
      <c r="R8511" s="293"/>
      <c r="S8511" s="316"/>
      <c r="T8511" s="355"/>
    </row>
    <row r="8512" spans="11:20" x14ac:dyDescent="0.25">
      <c r="K8512" s="312"/>
      <c r="N8512" s="514"/>
      <c r="R8512" s="293"/>
      <c r="S8512" s="316"/>
      <c r="T8512" s="355"/>
    </row>
    <row r="8513" spans="11:20" x14ac:dyDescent="0.25">
      <c r="K8513" s="312"/>
      <c r="N8513" s="514"/>
      <c r="R8513" s="293"/>
      <c r="S8513" s="316"/>
      <c r="T8513" s="355"/>
    </row>
    <row r="8514" spans="11:20" x14ac:dyDescent="0.25">
      <c r="K8514" s="312"/>
      <c r="N8514" s="514"/>
      <c r="R8514" s="293"/>
      <c r="S8514" s="316"/>
      <c r="T8514" s="355"/>
    </row>
    <row r="8515" spans="11:20" x14ac:dyDescent="0.25">
      <c r="K8515" s="312"/>
      <c r="N8515" s="514"/>
      <c r="R8515" s="293"/>
      <c r="S8515" s="316"/>
      <c r="T8515" s="355"/>
    </row>
    <row r="8516" spans="11:20" x14ac:dyDescent="0.25">
      <c r="K8516" s="312"/>
      <c r="N8516" s="514"/>
      <c r="R8516" s="293"/>
      <c r="S8516" s="316"/>
      <c r="T8516" s="355"/>
    </row>
    <row r="8517" spans="11:20" x14ac:dyDescent="0.25">
      <c r="K8517" s="312"/>
      <c r="N8517" s="514"/>
      <c r="R8517" s="293"/>
      <c r="S8517" s="316"/>
      <c r="T8517" s="355"/>
    </row>
    <row r="8518" spans="11:20" x14ac:dyDescent="0.25">
      <c r="K8518" s="312"/>
      <c r="N8518" s="514"/>
      <c r="R8518" s="293"/>
      <c r="S8518" s="316"/>
      <c r="T8518" s="355"/>
    </row>
    <row r="8519" spans="11:20" x14ac:dyDescent="0.25">
      <c r="K8519" s="312"/>
      <c r="N8519" s="514"/>
      <c r="R8519" s="293"/>
      <c r="S8519" s="316"/>
      <c r="T8519" s="355"/>
    </row>
    <row r="8520" spans="11:20" x14ac:dyDescent="0.25">
      <c r="K8520" s="312"/>
      <c r="N8520" s="514"/>
      <c r="R8520" s="293"/>
      <c r="S8520" s="316"/>
      <c r="T8520" s="355"/>
    </row>
    <row r="8521" spans="11:20" x14ac:dyDescent="0.25">
      <c r="K8521" s="312"/>
      <c r="N8521" s="514"/>
      <c r="R8521" s="293"/>
      <c r="S8521" s="316"/>
      <c r="T8521" s="355"/>
    </row>
    <row r="8522" spans="11:20" x14ac:dyDescent="0.25">
      <c r="K8522" s="312"/>
      <c r="N8522" s="514"/>
      <c r="R8522" s="293"/>
      <c r="S8522" s="316"/>
      <c r="T8522" s="355"/>
    </row>
    <row r="8523" spans="11:20" x14ac:dyDescent="0.25">
      <c r="K8523" s="312"/>
      <c r="N8523" s="514"/>
      <c r="R8523" s="293"/>
      <c r="S8523" s="316"/>
      <c r="T8523" s="355"/>
    </row>
    <row r="8524" spans="11:20" x14ac:dyDescent="0.25">
      <c r="K8524" s="312"/>
      <c r="N8524" s="514"/>
      <c r="R8524" s="293"/>
      <c r="S8524" s="316"/>
      <c r="T8524" s="355"/>
    </row>
    <row r="8525" spans="11:20" x14ac:dyDescent="0.25">
      <c r="K8525" s="312"/>
      <c r="N8525" s="514"/>
      <c r="R8525" s="293"/>
      <c r="S8525" s="316"/>
      <c r="T8525" s="355"/>
    </row>
    <row r="8526" spans="11:20" x14ac:dyDescent="0.25">
      <c r="K8526" s="312"/>
      <c r="N8526" s="514"/>
      <c r="R8526" s="293"/>
      <c r="S8526" s="316"/>
      <c r="T8526" s="355"/>
    </row>
    <row r="8527" spans="11:20" x14ac:dyDescent="0.25">
      <c r="K8527" s="312"/>
      <c r="N8527" s="514"/>
      <c r="R8527" s="293"/>
      <c r="S8527" s="316"/>
      <c r="T8527" s="355"/>
    </row>
    <row r="8528" spans="11:20" x14ac:dyDescent="0.25">
      <c r="K8528" s="312"/>
      <c r="N8528" s="514"/>
      <c r="R8528" s="293"/>
      <c r="S8528" s="316"/>
      <c r="T8528" s="355"/>
    </row>
    <row r="8529" spans="11:20" x14ac:dyDescent="0.25">
      <c r="K8529" s="312"/>
      <c r="N8529" s="514"/>
      <c r="R8529" s="293"/>
      <c r="S8529" s="316"/>
      <c r="T8529" s="355"/>
    </row>
    <row r="8530" spans="11:20" x14ac:dyDescent="0.25">
      <c r="K8530" s="312"/>
      <c r="N8530" s="514"/>
      <c r="R8530" s="293"/>
      <c r="S8530" s="316"/>
      <c r="T8530" s="355"/>
    </row>
    <row r="8531" spans="11:20" x14ac:dyDescent="0.25">
      <c r="K8531" s="312"/>
      <c r="N8531" s="514"/>
      <c r="R8531" s="293"/>
      <c r="S8531" s="316"/>
      <c r="T8531" s="355"/>
    </row>
    <row r="8532" spans="11:20" x14ac:dyDescent="0.25">
      <c r="K8532" s="312"/>
      <c r="N8532" s="514"/>
      <c r="R8532" s="293"/>
      <c r="S8532" s="316"/>
      <c r="T8532" s="355"/>
    </row>
    <row r="8533" spans="11:20" x14ac:dyDescent="0.25">
      <c r="K8533" s="312"/>
      <c r="N8533" s="514"/>
      <c r="R8533" s="293"/>
      <c r="S8533" s="316"/>
      <c r="T8533" s="355"/>
    </row>
    <row r="8534" spans="11:20" x14ac:dyDescent="0.25">
      <c r="K8534" s="312"/>
      <c r="N8534" s="514"/>
      <c r="R8534" s="293"/>
      <c r="S8534" s="316"/>
      <c r="T8534" s="355"/>
    </row>
    <row r="8535" spans="11:20" x14ac:dyDescent="0.25">
      <c r="K8535" s="312"/>
      <c r="N8535" s="514"/>
      <c r="R8535" s="293"/>
      <c r="S8535" s="316"/>
      <c r="T8535" s="355"/>
    </row>
    <row r="8536" spans="11:20" x14ac:dyDescent="0.25">
      <c r="K8536" s="312"/>
      <c r="N8536" s="514"/>
      <c r="R8536" s="293"/>
      <c r="S8536" s="316"/>
      <c r="T8536" s="355"/>
    </row>
    <row r="8537" spans="11:20" x14ac:dyDescent="0.25">
      <c r="K8537" s="312"/>
      <c r="N8537" s="514"/>
      <c r="R8537" s="293"/>
      <c r="S8537" s="316"/>
      <c r="T8537" s="355"/>
    </row>
    <row r="8538" spans="11:20" x14ac:dyDescent="0.25">
      <c r="K8538" s="312"/>
      <c r="N8538" s="514"/>
      <c r="R8538" s="293"/>
      <c r="S8538" s="316"/>
      <c r="T8538" s="355"/>
    </row>
    <row r="8539" spans="11:20" x14ac:dyDescent="0.25">
      <c r="K8539" s="312"/>
      <c r="N8539" s="514"/>
      <c r="R8539" s="293"/>
      <c r="S8539" s="316"/>
      <c r="T8539" s="355"/>
    </row>
    <row r="8540" spans="11:20" x14ac:dyDescent="0.25">
      <c r="K8540" s="312"/>
      <c r="N8540" s="514"/>
      <c r="R8540" s="293"/>
      <c r="S8540" s="316"/>
      <c r="T8540" s="355"/>
    </row>
    <row r="8541" spans="11:20" x14ac:dyDescent="0.25">
      <c r="K8541" s="312"/>
      <c r="N8541" s="514"/>
      <c r="R8541" s="293"/>
      <c r="S8541" s="316"/>
      <c r="T8541" s="355"/>
    </row>
    <row r="8542" spans="11:20" x14ac:dyDescent="0.25">
      <c r="K8542" s="312"/>
      <c r="N8542" s="514"/>
      <c r="R8542" s="293"/>
      <c r="S8542" s="316"/>
      <c r="T8542" s="355"/>
    </row>
    <row r="8543" spans="11:20" x14ac:dyDescent="0.25">
      <c r="K8543" s="312"/>
      <c r="N8543" s="514"/>
      <c r="R8543" s="293"/>
      <c r="S8543" s="316"/>
      <c r="T8543" s="355"/>
    </row>
    <row r="8544" spans="11:20" x14ac:dyDescent="0.25">
      <c r="K8544" s="312"/>
      <c r="N8544" s="514"/>
      <c r="R8544" s="293"/>
      <c r="S8544" s="316"/>
      <c r="T8544" s="355"/>
    </row>
    <row r="8545" spans="11:20" x14ac:dyDescent="0.25">
      <c r="K8545" s="312"/>
      <c r="N8545" s="514"/>
      <c r="R8545" s="293"/>
      <c r="S8545" s="316"/>
      <c r="T8545" s="355"/>
    </row>
    <row r="8546" spans="11:20" x14ac:dyDescent="0.25">
      <c r="K8546" s="312"/>
      <c r="N8546" s="514"/>
      <c r="R8546" s="293"/>
      <c r="S8546" s="316"/>
      <c r="T8546" s="355"/>
    </row>
    <row r="8547" spans="11:20" x14ac:dyDescent="0.25">
      <c r="K8547" s="312"/>
      <c r="N8547" s="514"/>
      <c r="R8547" s="293"/>
      <c r="S8547" s="316"/>
      <c r="T8547" s="355"/>
    </row>
    <row r="8548" spans="11:20" x14ac:dyDescent="0.25">
      <c r="K8548" s="312"/>
      <c r="N8548" s="514"/>
      <c r="R8548" s="293"/>
      <c r="S8548" s="316"/>
      <c r="T8548" s="355"/>
    </row>
    <row r="8549" spans="11:20" x14ac:dyDescent="0.25">
      <c r="K8549" s="312"/>
      <c r="N8549" s="514"/>
      <c r="R8549" s="293"/>
      <c r="S8549" s="316"/>
      <c r="T8549" s="355"/>
    </row>
    <row r="8550" spans="11:20" x14ac:dyDescent="0.25">
      <c r="K8550" s="312"/>
      <c r="N8550" s="514"/>
      <c r="R8550" s="293"/>
      <c r="S8550" s="316"/>
      <c r="T8550" s="355"/>
    </row>
    <row r="8551" spans="11:20" x14ac:dyDescent="0.25">
      <c r="K8551" s="312"/>
      <c r="N8551" s="514"/>
      <c r="R8551" s="293"/>
      <c r="S8551" s="316"/>
      <c r="T8551" s="355"/>
    </row>
    <row r="8552" spans="11:20" x14ac:dyDescent="0.25">
      <c r="K8552" s="312"/>
      <c r="N8552" s="514"/>
      <c r="R8552" s="293"/>
      <c r="S8552" s="316"/>
      <c r="T8552" s="355"/>
    </row>
    <row r="8553" spans="11:20" x14ac:dyDescent="0.25">
      <c r="K8553" s="312"/>
      <c r="N8553" s="514"/>
      <c r="R8553" s="293"/>
      <c r="S8553" s="316"/>
      <c r="T8553" s="355"/>
    </row>
    <row r="8554" spans="11:20" x14ac:dyDescent="0.25">
      <c r="K8554" s="312"/>
      <c r="N8554" s="514"/>
      <c r="R8554" s="293"/>
      <c r="S8554" s="316"/>
      <c r="T8554" s="355"/>
    </row>
    <row r="8555" spans="11:20" x14ac:dyDescent="0.25">
      <c r="K8555" s="312"/>
      <c r="N8555" s="514"/>
      <c r="R8555" s="293"/>
      <c r="S8555" s="316"/>
      <c r="T8555" s="355"/>
    </row>
    <row r="8556" spans="11:20" x14ac:dyDescent="0.25">
      <c r="K8556" s="312"/>
      <c r="N8556" s="514"/>
      <c r="R8556" s="293"/>
      <c r="S8556" s="316"/>
      <c r="T8556" s="355"/>
    </row>
    <row r="8557" spans="11:20" x14ac:dyDescent="0.25">
      <c r="K8557" s="312"/>
      <c r="N8557" s="514"/>
      <c r="R8557" s="293"/>
      <c r="S8557" s="316"/>
      <c r="T8557" s="355"/>
    </row>
    <row r="8558" spans="11:20" x14ac:dyDescent="0.25">
      <c r="K8558" s="312"/>
      <c r="N8558" s="514"/>
      <c r="R8558" s="293"/>
      <c r="S8558" s="316"/>
      <c r="T8558" s="355"/>
    </row>
    <row r="8559" spans="11:20" x14ac:dyDescent="0.25">
      <c r="K8559" s="312"/>
      <c r="N8559" s="514"/>
      <c r="R8559" s="293"/>
      <c r="S8559" s="316"/>
      <c r="T8559" s="355"/>
    </row>
    <row r="8560" spans="11:20" x14ac:dyDescent="0.25">
      <c r="K8560" s="312"/>
      <c r="N8560" s="514"/>
      <c r="R8560" s="293"/>
      <c r="S8560" s="316"/>
      <c r="T8560" s="355"/>
    </row>
    <row r="8561" spans="11:20" x14ac:dyDescent="0.25">
      <c r="K8561" s="312"/>
      <c r="N8561" s="514"/>
      <c r="R8561" s="293"/>
      <c r="S8561" s="316"/>
      <c r="T8561" s="355"/>
    </row>
    <row r="8562" spans="11:20" x14ac:dyDescent="0.25">
      <c r="K8562" s="312"/>
      <c r="N8562" s="514"/>
      <c r="R8562" s="293"/>
      <c r="S8562" s="316"/>
      <c r="T8562" s="355"/>
    </row>
    <row r="8563" spans="11:20" x14ac:dyDescent="0.25">
      <c r="K8563" s="312"/>
      <c r="N8563" s="514"/>
      <c r="R8563" s="293"/>
      <c r="S8563" s="316"/>
      <c r="T8563" s="355"/>
    </row>
    <row r="8564" spans="11:20" x14ac:dyDescent="0.25">
      <c r="K8564" s="312"/>
      <c r="N8564" s="514"/>
      <c r="R8564" s="293"/>
      <c r="S8564" s="316"/>
      <c r="T8564" s="355"/>
    </row>
    <row r="8565" spans="11:20" x14ac:dyDescent="0.25">
      <c r="K8565" s="312"/>
      <c r="N8565" s="514"/>
      <c r="R8565" s="293"/>
      <c r="S8565" s="316"/>
      <c r="T8565" s="355"/>
    </row>
    <row r="8566" spans="11:20" x14ac:dyDescent="0.25">
      <c r="K8566" s="312"/>
      <c r="N8566" s="514"/>
      <c r="R8566" s="293"/>
      <c r="S8566" s="316"/>
      <c r="T8566" s="355"/>
    </row>
    <row r="8567" spans="11:20" x14ac:dyDescent="0.25">
      <c r="K8567" s="312"/>
      <c r="N8567" s="514"/>
      <c r="R8567" s="293"/>
      <c r="S8567" s="316"/>
      <c r="T8567" s="355"/>
    </row>
    <row r="8568" spans="11:20" x14ac:dyDescent="0.25">
      <c r="K8568" s="312"/>
      <c r="N8568" s="514"/>
      <c r="R8568" s="293"/>
      <c r="S8568" s="316"/>
      <c r="T8568" s="355"/>
    </row>
    <row r="8569" spans="11:20" x14ac:dyDescent="0.25">
      <c r="K8569" s="312"/>
      <c r="N8569" s="514"/>
      <c r="R8569" s="293"/>
      <c r="S8569" s="316"/>
      <c r="T8569" s="355"/>
    </row>
    <row r="8570" spans="11:20" x14ac:dyDescent="0.25">
      <c r="K8570" s="312"/>
      <c r="N8570" s="514"/>
      <c r="R8570" s="293"/>
      <c r="S8570" s="316"/>
      <c r="T8570" s="355"/>
    </row>
    <row r="8571" spans="11:20" x14ac:dyDescent="0.25">
      <c r="K8571" s="312"/>
      <c r="N8571" s="514"/>
      <c r="R8571" s="293"/>
      <c r="S8571" s="316"/>
      <c r="T8571" s="355"/>
    </row>
    <row r="8572" spans="11:20" x14ac:dyDescent="0.25">
      <c r="K8572" s="312"/>
      <c r="N8572" s="514"/>
      <c r="R8572" s="293"/>
      <c r="S8572" s="316"/>
      <c r="T8572" s="355"/>
    </row>
    <row r="8573" spans="11:20" x14ac:dyDescent="0.25">
      <c r="K8573" s="312"/>
      <c r="N8573" s="514"/>
      <c r="R8573" s="293"/>
      <c r="S8573" s="316"/>
      <c r="T8573" s="355"/>
    </row>
    <row r="8574" spans="11:20" x14ac:dyDescent="0.25">
      <c r="K8574" s="312"/>
      <c r="N8574" s="514"/>
      <c r="R8574" s="293"/>
      <c r="S8574" s="316"/>
      <c r="T8574" s="355"/>
    </row>
    <row r="8575" spans="11:20" x14ac:dyDescent="0.25">
      <c r="K8575" s="312"/>
      <c r="N8575" s="514"/>
      <c r="R8575" s="293"/>
      <c r="S8575" s="316"/>
      <c r="T8575" s="355"/>
    </row>
    <row r="8576" spans="11:20" x14ac:dyDescent="0.25">
      <c r="K8576" s="312"/>
      <c r="N8576" s="514"/>
      <c r="R8576" s="293"/>
      <c r="S8576" s="316"/>
      <c r="T8576" s="355"/>
    </row>
    <row r="8577" spans="11:20" x14ac:dyDescent="0.25">
      <c r="K8577" s="312"/>
      <c r="N8577" s="514"/>
      <c r="R8577" s="293"/>
      <c r="S8577" s="316"/>
      <c r="T8577" s="355"/>
    </row>
    <row r="8578" spans="11:20" x14ac:dyDescent="0.25">
      <c r="K8578" s="312"/>
      <c r="N8578" s="514"/>
      <c r="R8578" s="293"/>
      <c r="S8578" s="316"/>
      <c r="T8578" s="355"/>
    </row>
    <row r="8579" spans="11:20" x14ac:dyDescent="0.25">
      <c r="K8579" s="312"/>
      <c r="N8579" s="514"/>
      <c r="R8579" s="293"/>
      <c r="S8579" s="316"/>
      <c r="T8579" s="355"/>
    </row>
    <row r="8580" spans="11:20" x14ac:dyDescent="0.25">
      <c r="K8580" s="312"/>
      <c r="N8580" s="514"/>
      <c r="R8580" s="293"/>
      <c r="S8580" s="316"/>
      <c r="T8580" s="355"/>
    </row>
    <row r="8581" spans="11:20" x14ac:dyDescent="0.25">
      <c r="K8581" s="312"/>
      <c r="N8581" s="514"/>
      <c r="R8581" s="293"/>
      <c r="S8581" s="316"/>
      <c r="T8581" s="355"/>
    </row>
    <row r="8582" spans="11:20" x14ac:dyDescent="0.25">
      <c r="K8582" s="312"/>
      <c r="N8582" s="514"/>
      <c r="R8582" s="293"/>
      <c r="S8582" s="316"/>
      <c r="T8582" s="355"/>
    </row>
    <row r="8583" spans="11:20" x14ac:dyDescent="0.25">
      <c r="K8583" s="312"/>
      <c r="N8583" s="514"/>
      <c r="R8583" s="293"/>
      <c r="S8583" s="316"/>
      <c r="T8583" s="355"/>
    </row>
    <row r="8584" spans="11:20" x14ac:dyDescent="0.25">
      <c r="K8584" s="312"/>
      <c r="N8584" s="514"/>
      <c r="R8584" s="293"/>
      <c r="S8584" s="316"/>
      <c r="T8584" s="355"/>
    </row>
    <row r="8585" spans="11:20" x14ac:dyDescent="0.25">
      <c r="K8585" s="312"/>
      <c r="N8585" s="514"/>
      <c r="R8585" s="293"/>
      <c r="S8585" s="316"/>
      <c r="T8585" s="355"/>
    </row>
    <row r="8586" spans="11:20" x14ac:dyDescent="0.25">
      <c r="K8586" s="312"/>
      <c r="N8586" s="514"/>
      <c r="R8586" s="293"/>
      <c r="S8586" s="316"/>
      <c r="T8586" s="355"/>
    </row>
    <row r="8587" spans="11:20" x14ac:dyDescent="0.25">
      <c r="K8587" s="312"/>
      <c r="N8587" s="514"/>
      <c r="R8587" s="293"/>
      <c r="S8587" s="316"/>
      <c r="T8587" s="355"/>
    </row>
    <row r="8588" spans="11:20" x14ac:dyDescent="0.25">
      <c r="K8588" s="312"/>
      <c r="N8588" s="514"/>
      <c r="R8588" s="293"/>
      <c r="S8588" s="316"/>
      <c r="T8588" s="355"/>
    </row>
    <row r="8589" spans="11:20" x14ac:dyDescent="0.25">
      <c r="K8589" s="312"/>
      <c r="N8589" s="514"/>
      <c r="R8589" s="293"/>
      <c r="S8589" s="316"/>
      <c r="T8589" s="355"/>
    </row>
    <row r="8590" spans="11:20" x14ac:dyDescent="0.25">
      <c r="K8590" s="312"/>
      <c r="N8590" s="514"/>
      <c r="R8590" s="293"/>
      <c r="S8590" s="316"/>
      <c r="T8590" s="355"/>
    </row>
    <row r="8591" spans="11:20" x14ac:dyDescent="0.25">
      <c r="K8591" s="312"/>
      <c r="N8591" s="514"/>
      <c r="R8591" s="293"/>
      <c r="S8591" s="316"/>
      <c r="T8591" s="355"/>
    </row>
    <row r="8592" spans="11:20" x14ac:dyDescent="0.25">
      <c r="K8592" s="312"/>
      <c r="N8592" s="514"/>
      <c r="R8592" s="293"/>
      <c r="S8592" s="316"/>
      <c r="T8592" s="355"/>
    </row>
    <row r="8593" spans="11:20" x14ac:dyDescent="0.25">
      <c r="K8593" s="312"/>
      <c r="N8593" s="514"/>
      <c r="R8593" s="293"/>
      <c r="S8593" s="316"/>
      <c r="T8593" s="355"/>
    </row>
    <row r="8594" spans="11:20" x14ac:dyDescent="0.25">
      <c r="K8594" s="312"/>
      <c r="N8594" s="514"/>
      <c r="R8594" s="293"/>
      <c r="S8594" s="316"/>
      <c r="T8594" s="355"/>
    </row>
    <row r="8595" spans="11:20" x14ac:dyDescent="0.25">
      <c r="K8595" s="312"/>
      <c r="N8595" s="514"/>
      <c r="R8595" s="293"/>
      <c r="S8595" s="316"/>
      <c r="T8595" s="355"/>
    </row>
    <row r="8596" spans="11:20" x14ac:dyDescent="0.25">
      <c r="K8596" s="312"/>
      <c r="N8596" s="514"/>
      <c r="R8596" s="293"/>
      <c r="S8596" s="316"/>
      <c r="T8596" s="355"/>
    </row>
    <row r="8597" spans="11:20" x14ac:dyDescent="0.25">
      <c r="K8597" s="312"/>
      <c r="N8597" s="514"/>
      <c r="R8597" s="293"/>
      <c r="S8597" s="316"/>
      <c r="T8597" s="355"/>
    </row>
    <row r="8598" spans="11:20" x14ac:dyDescent="0.25">
      <c r="K8598" s="312"/>
      <c r="N8598" s="514"/>
      <c r="R8598" s="293"/>
      <c r="S8598" s="316"/>
      <c r="T8598" s="355"/>
    </row>
    <row r="8599" spans="11:20" x14ac:dyDescent="0.25">
      <c r="K8599" s="312"/>
      <c r="N8599" s="514"/>
      <c r="R8599" s="293"/>
      <c r="S8599" s="316"/>
      <c r="T8599" s="355"/>
    </row>
    <row r="8600" spans="11:20" x14ac:dyDescent="0.25">
      <c r="K8600" s="312"/>
      <c r="N8600" s="514"/>
      <c r="R8600" s="293"/>
      <c r="S8600" s="316"/>
      <c r="T8600" s="355"/>
    </row>
    <row r="8601" spans="11:20" x14ac:dyDescent="0.25">
      <c r="K8601" s="312"/>
      <c r="N8601" s="514"/>
      <c r="R8601" s="293"/>
      <c r="S8601" s="316"/>
      <c r="T8601" s="355"/>
    </row>
    <row r="8602" spans="11:20" x14ac:dyDescent="0.25">
      <c r="K8602" s="312"/>
      <c r="N8602" s="514"/>
      <c r="R8602" s="293"/>
      <c r="S8602" s="316"/>
      <c r="T8602" s="355"/>
    </row>
    <row r="8603" spans="11:20" x14ac:dyDescent="0.25">
      <c r="K8603" s="312"/>
      <c r="N8603" s="514"/>
      <c r="R8603" s="293"/>
      <c r="S8603" s="316"/>
      <c r="T8603" s="355"/>
    </row>
    <row r="8604" spans="11:20" x14ac:dyDescent="0.25">
      <c r="K8604" s="312"/>
      <c r="N8604" s="514"/>
      <c r="R8604" s="293"/>
      <c r="S8604" s="316"/>
      <c r="T8604" s="355"/>
    </row>
    <row r="8605" spans="11:20" x14ac:dyDescent="0.25">
      <c r="K8605" s="312"/>
      <c r="N8605" s="514"/>
      <c r="R8605" s="293"/>
      <c r="S8605" s="316"/>
      <c r="T8605" s="355"/>
    </row>
    <row r="8606" spans="11:20" x14ac:dyDescent="0.25">
      <c r="K8606" s="312"/>
      <c r="N8606" s="514"/>
      <c r="R8606" s="293"/>
      <c r="S8606" s="316"/>
      <c r="T8606" s="355"/>
    </row>
    <row r="8607" spans="11:20" x14ac:dyDescent="0.25">
      <c r="K8607" s="312"/>
      <c r="N8607" s="514"/>
      <c r="R8607" s="293"/>
      <c r="S8607" s="316"/>
      <c r="T8607" s="355"/>
    </row>
    <row r="8608" spans="11:20" x14ac:dyDescent="0.25">
      <c r="K8608" s="312"/>
      <c r="N8608" s="514"/>
      <c r="R8608" s="293"/>
      <c r="S8608" s="316"/>
      <c r="T8608" s="355"/>
    </row>
    <row r="8609" spans="11:20" x14ac:dyDescent="0.25">
      <c r="K8609" s="312"/>
      <c r="N8609" s="514"/>
      <c r="R8609" s="293"/>
      <c r="S8609" s="316"/>
      <c r="T8609" s="355"/>
    </row>
    <row r="8610" spans="11:20" x14ac:dyDescent="0.25">
      <c r="K8610" s="312"/>
      <c r="N8610" s="514"/>
      <c r="R8610" s="293"/>
      <c r="S8610" s="316"/>
      <c r="T8610" s="355"/>
    </row>
    <row r="8611" spans="11:20" x14ac:dyDescent="0.25">
      <c r="K8611" s="312"/>
      <c r="N8611" s="514"/>
      <c r="R8611" s="293"/>
      <c r="S8611" s="316"/>
      <c r="T8611" s="355"/>
    </row>
    <row r="8612" spans="11:20" x14ac:dyDescent="0.25">
      <c r="K8612" s="312"/>
      <c r="N8612" s="514"/>
      <c r="R8612" s="293"/>
      <c r="S8612" s="316"/>
      <c r="T8612" s="355"/>
    </row>
    <row r="8613" spans="11:20" x14ac:dyDescent="0.25">
      <c r="K8613" s="312"/>
      <c r="N8613" s="514"/>
      <c r="R8613" s="293"/>
      <c r="S8613" s="316"/>
      <c r="T8613" s="355"/>
    </row>
    <row r="8614" spans="11:20" x14ac:dyDescent="0.25">
      <c r="K8614" s="312"/>
      <c r="N8614" s="514"/>
      <c r="R8614" s="293"/>
      <c r="S8614" s="316"/>
      <c r="T8614" s="355"/>
    </row>
    <row r="8615" spans="11:20" x14ac:dyDescent="0.25">
      <c r="K8615" s="312"/>
      <c r="N8615" s="514"/>
      <c r="R8615" s="293"/>
      <c r="S8615" s="316"/>
      <c r="T8615" s="355"/>
    </row>
    <row r="8616" spans="11:20" x14ac:dyDescent="0.25">
      <c r="K8616" s="312"/>
      <c r="N8616" s="514"/>
      <c r="R8616" s="293"/>
      <c r="S8616" s="316"/>
      <c r="T8616" s="355"/>
    </row>
    <row r="8617" spans="11:20" x14ac:dyDescent="0.25">
      <c r="K8617" s="312"/>
      <c r="N8617" s="514"/>
      <c r="R8617" s="293"/>
      <c r="S8617" s="316"/>
      <c r="T8617" s="355"/>
    </row>
    <row r="8618" spans="11:20" x14ac:dyDescent="0.25">
      <c r="K8618" s="312"/>
      <c r="N8618" s="514"/>
      <c r="R8618" s="293"/>
      <c r="S8618" s="316"/>
      <c r="T8618" s="355"/>
    </row>
    <row r="8619" spans="11:20" x14ac:dyDescent="0.25">
      <c r="K8619" s="312"/>
      <c r="N8619" s="514"/>
      <c r="R8619" s="293"/>
      <c r="S8619" s="316"/>
      <c r="T8619" s="355"/>
    </row>
    <row r="8620" spans="11:20" x14ac:dyDescent="0.25">
      <c r="K8620" s="312"/>
      <c r="N8620" s="514"/>
      <c r="R8620" s="293"/>
      <c r="S8620" s="316"/>
      <c r="T8620" s="355"/>
    </row>
    <row r="8621" spans="11:20" x14ac:dyDescent="0.25">
      <c r="K8621" s="312"/>
      <c r="N8621" s="514"/>
      <c r="R8621" s="293"/>
      <c r="S8621" s="316"/>
      <c r="T8621" s="355"/>
    </row>
    <row r="8622" spans="11:20" x14ac:dyDescent="0.25">
      <c r="K8622" s="312"/>
      <c r="N8622" s="514"/>
      <c r="R8622" s="293"/>
      <c r="S8622" s="316"/>
      <c r="T8622" s="355"/>
    </row>
    <row r="8623" spans="11:20" x14ac:dyDescent="0.25">
      <c r="K8623" s="312"/>
      <c r="N8623" s="514"/>
      <c r="R8623" s="293"/>
      <c r="S8623" s="316"/>
      <c r="T8623" s="355"/>
    </row>
    <row r="8624" spans="11:20" x14ac:dyDescent="0.25">
      <c r="K8624" s="312"/>
      <c r="N8624" s="514"/>
      <c r="R8624" s="293"/>
      <c r="S8624" s="316"/>
      <c r="T8624" s="355"/>
    </row>
    <row r="8625" spans="11:20" x14ac:dyDescent="0.25">
      <c r="K8625" s="312"/>
      <c r="N8625" s="514"/>
      <c r="R8625" s="293"/>
      <c r="S8625" s="316"/>
      <c r="T8625" s="355"/>
    </row>
    <row r="8626" spans="11:20" x14ac:dyDescent="0.25">
      <c r="K8626" s="312"/>
      <c r="N8626" s="514"/>
      <c r="R8626" s="293"/>
      <c r="S8626" s="316"/>
      <c r="T8626" s="355"/>
    </row>
    <row r="8627" spans="11:20" x14ac:dyDescent="0.25">
      <c r="K8627" s="312"/>
      <c r="N8627" s="514"/>
      <c r="R8627" s="293"/>
      <c r="S8627" s="316"/>
      <c r="T8627" s="355"/>
    </row>
    <row r="8628" spans="11:20" x14ac:dyDescent="0.25">
      <c r="K8628" s="312"/>
      <c r="N8628" s="514"/>
      <c r="R8628" s="293"/>
      <c r="S8628" s="316"/>
      <c r="T8628" s="355"/>
    </row>
    <row r="8629" spans="11:20" x14ac:dyDescent="0.25">
      <c r="K8629" s="312"/>
      <c r="N8629" s="514"/>
      <c r="R8629" s="293"/>
      <c r="S8629" s="316"/>
      <c r="T8629" s="355"/>
    </row>
    <row r="8630" spans="11:20" x14ac:dyDescent="0.25">
      <c r="K8630" s="312"/>
      <c r="N8630" s="514"/>
      <c r="R8630" s="293"/>
      <c r="S8630" s="316"/>
      <c r="T8630" s="355"/>
    </row>
    <row r="8631" spans="11:20" x14ac:dyDescent="0.25">
      <c r="K8631" s="312"/>
      <c r="N8631" s="514"/>
      <c r="R8631" s="293"/>
      <c r="S8631" s="316"/>
      <c r="T8631" s="355"/>
    </row>
    <row r="8632" spans="11:20" x14ac:dyDescent="0.25">
      <c r="K8632" s="312"/>
      <c r="N8632" s="514"/>
      <c r="R8632" s="293"/>
      <c r="S8632" s="316"/>
      <c r="T8632" s="355"/>
    </row>
    <row r="8633" spans="11:20" x14ac:dyDescent="0.25">
      <c r="K8633" s="312"/>
      <c r="N8633" s="514"/>
      <c r="R8633" s="293"/>
      <c r="S8633" s="316"/>
      <c r="T8633" s="355"/>
    </row>
    <row r="8634" spans="11:20" x14ac:dyDescent="0.25">
      <c r="K8634" s="312"/>
      <c r="N8634" s="514"/>
      <c r="R8634" s="293"/>
      <c r="S8634" s="316"/>
      <c r="T8634" s="355"/>
    </row>
    <row r="8635" spans="11:20" x14ac:dyDescent="0.25">
      <c r="K8635" s="312"/>
      <c r="N8635" s="514"/>
      <c r="R8635" s="293"/>
      <c r="S8635" s="316"/>
      <c r="T8635" s="355"/>
    </row>
    <row r="8636" spans="11:20" x14ac:dyDescent="0.25">
      <c r="K8636" s="312"/>
      <c r="N8636" s="514"/>
      <c r="R8636" s="293"/>
      <c r="S8636" s="316"/>
      <c r="T8636" s="355"/>
    </row>
    <row r="8637" spans="11:20" x14ac:dyDescent="0.25">
      <c r="K8637" s="312"/>
      <c r="N8637" s="514"/>
      <c r="R8637" s="293"/>
      <c r="S8637" s="316"/>
      <c r="T8637" s="355"/>
    </row>
    <row r="8638" spans="11:20" x14ac:dyDescent="0.25">
      <c r="K8638" s="312"/>
      <c r="N8638" s="514"/>
      <c r="R8638" s="293"/>
      <c r="S8638" s="316"/>
      <c r="T8638" s="355"/>
    </row>
    <row r="8639" spans="11:20" x14ac:dyDescent="0.25">
      <c r="K8639" s="312"/>
      <c r="N8639" s="514"/>
      <c r="R8639" s="293"/>
      <c r="S8639" s="316"/>
      <c r="T8639" s="355"/>
    </row>
    <row r="8640" spans="11:20" x14ac:dyDescent="0.25">
      <c r="K8640" s="312"/>
      <c r="N8640" s="514"/>
      <c r="R8640" s="293"/>
      <c r="S8640" s="316"/>
      <c r="T8640" s="355"/>
    </row>
    <row r="8641" spans="11:20" x14ac:dyDescent="0.25">
      <c r="K8641" s="312"/>
      <c r="N8641" s="514"/>
      <c r="R8641" s="293"/>
      <c r="S8641" s="316"/>
      <c r="T8641" s="355"/>
    </row>
    <row r="8642" spans="11:20" x14ac:dyDescent="0.25">
      <c r="K8642" s="312"/>
      <c r="N8642" s="514"/>
      <c r="R8642" s="293"/>
      <c r="S8642" s="316"/>
      <c r="T8642" s="355"/>
    </row>
    <row r="8643" spans="11:20" x14ac:dyDescent="0.25">
      <c r="K8643" s="312"/>
      <c r="N8643" s="514"/>
      <c r="R8643" s="293"/>
      <c r="S8643" s="316"/>
      <c r="T8643" s="355"/>
    </row>
    <row r="8644" spans="11:20" x14ac:dyDescent="0.25">
      <c r="K8644" s="312"/>
      <c r="N8644" s="514"/>
      <c r="R8644" s="293"/>
      <c r="S8644" s="316"/>
      <c r="T8644" s="355"/>
    </row>
    <row r="8645" spans="11:20" x14ac:dyDescent="0.25">
      <c r="K8645" s="312"/>
      <c r="N8645" s="514"/>
      <c r="R8645" s="293"/>
      <c r="S8645" s="316"/>
      <c r="T8645" s="355"/>
    </row>
    <row r="8646" spans="11:20" x14ac:dyDescent="0.25">
      <c r="K8646" s="312"/>
      <c r="N8646" s="514"/>
      <c r="R8646" s="293"/>
      <c r="S8646" s="316"/>
      <c r="T8646" s="355"/>
    </row>
    <row r="8647" spans="11:20" x14ac:dyDescent="0.25">
      <c r="K8647" s="312"/>
      <c r="N8647" s="514"/>
      <c r="R8647" s="293"/>
      <c r="S8647" s="316"/>
      <c r="T8647" s="355"/>
    </row>
    <row r="8648" spans="11:20" x14ac:dyDescent="0.25">
      <c r="K8648" s="312"/>
      <c r="N8648" s="514"/>
      <c r="R8648" s="293"/>
      <c r="S8648" s="316"/>
      <c r="T8648" s="355"/>
    </row>
    <row r="8649" spans="11:20" x14ac:dyDescent="0.25">
      <c r="K8649" s="312"/>
      <c r="N8649" s="514"/>
      <c r="R8649" s="293"/>
      <c r="S8649" s="316"/>
      <c r="T8649" s="355"/>
    </row>
    <row r="8650" spans="11:20" x14ac:dyDescent="0.25">
      <c r="K8650" s="312"/>
      <c r="N8650" s="514"/>
      <c r="R8650" s="293"/>
      <c r="S8650" s="316"/>
      <c r="T8650" s="355"/>
    </row>
    <row r="8651" spans="11:20" x14ac:dyDescent="0.25">
      <c r="K8651" s="312"/>
      <c r="N8651" s="514"/>
      <c r="R8651" s="293"/>
      <c r="S8651" s="316"/>
      <c r="T8651" s="355"/>
    </row>
    <row r="8652" spans="11:20" x14ac:dyDescent="0.25">
      <c r="K8652" s="312"/>
      <c r="N8652" s="514"/>
      <c r="R8652" s="293"/>
      <c r="S8652" s="316"/>
      <c r="T8652" s="355"/>
    </row>
    <row r="8653" spans="11:20" x14ac:dyDescent="0.25">
      <c r="K8653" s="312"/>
      <c r="N8653" s="514"/>
      <c r="R8653" s="293"/>
      <c r="S8653" s="316"/>
      <c r="T8653" s="355"/>
    </row>
    <row r="8654" spans="11:20" x14ac:dyDescent="0.25">
      <c r="K8654" s="312"/>
      <c r="N8654" s="514"/>
      <c r="R8654" s="293"/>
      <c r="S8654" s="316"/>
      <c r="T8654" s="355"/>
    </row>
    <row r="8655" spans="11:20" x14ac:dyDescent="0.25">
      <c r="K8655" s="312"/>
      <c r="N8655" s="514"/>
      <c r="R8655" s="293"/>
      <c r="S8655" s="316"/>
      <c r="T8655" s="355"/>
    </row>
    <row r="8656" spans="11:20" x14ac:dyDescent="0.25">
      <c r="K8656" s="312"/>
      <c r="N8656" s="514"/>
      <c r="R8656" s="293"/>
      <c r="S8656" s="316"/>
      <c r="T8656" s="355"/>
    </row>
    <row r="8657" spans="11:20" x14ac:dyDescent="0.25">
      <c r="K8657" s="312"/>
      <c r="N8657" s="514"/>
      <c r="R8657" s="293"/>
      <c r="S8657" s="316"/>
      <c r="T8657" s="355"/>
    </row>
    <row r="8658" spans="11:20" x14ac:dyDescent="0.25">
      <c r="K8658" s="312"/>
      <c r="N8658" s="514"/>
      <c r="R8658" s="293"/>
      <c r="S8658" s="316"/>
      <c r="T8658" s="355"/>
    </row>
    <row r="8659" spans="11:20" x14ac:dyDescent="0.25">
      <c r="K8659" s="312"/>
      <c r="N8659" s="514"/>
      <c r="R8659" s="293"/>
      <c r="S8659" s="316"/>
      <c r="T8659" s="355"/>
    </row>
    <row r="8660" spans="11:20" x14ac:dyDescent="0.25">
      <c r="K8660" s="312"/>
      <c r="N8660" s="514"/>
      <c r="R8660" s="293"/>
      <c r="S8660" s="316"/>
      <c r="T8660" s="355"/>
    </row>
    <row r="8661" spans="11:20" x14ac:dyDescent="0.25">
      <c r="K8661" s="312"/>
      <c r="N8661" s="514"/>
      <c r="R8661" s="293"/>
      <c r="S8661" s="316"/>
      <c r="T8661" s="355"/>
    </row>
    <row r="8662" spans="11:20" x14ac:dyDescent="0.25">
      <c r="K8662" s="312"/>
      <c r="N8662" s="514"/>
      <c r="R8662" s="293"/>
      <c r="S8662" s="316"/>
      <c r="T8662" s="355"/>
    </row>
    <row r="8663" spans="11:20" x14ac:dyDescent="0.25">
      <c r="K8663" s="312"/>
      <c r="N8663" s="514"/>
      <c r="R8663" s="293"/>
      <c r="S8663" s="316"/>
      <c r="T8663" s="355"/>
    </row>
    <row r="8664" spans="11:20" x14ac:dyDescent="0.25">
      <c r="K8664" s="312"/>
      <c r="N8664" s="514"/>
      <c r="R8664" s="293"/>
      <c r="S8664" s="316"/>
      <c r="T8664" s="355"/>
    </row>
    <row r="8665" spans="11:20" x14ac:dyDescent="0.25">
      <c r="K8665" s="312"/>
      <c r="N8665" s="514"/>
      <c r="R8665" s="293"/>
      <c r="S8665" s="316"/>
      <c r="T8665" s="355"/>
    </row>
    <row r="8666" spans="11:20" x14ac:dyDescent="0.25">
      <c r="K8666" s="312"/>
      <c r="N8666" s="514"/>
      <c r="R8666" s="293"/>
      <c r="S8666" s="316"/>
      <c r="T8666" s="355"/>
    </row>
    <row r="8667" spans="11:20" x14ac:dyDescent="0.25">
      <c r="K8667" s="312"/>
      <c r="N8667" s="514"/>
      <c r="R8667" s="293"/>
      <c r="S8667" s="316"/>
      <c r="T8667" s="355"/>
    </row>
    <row r="8668" spans="11:20" x14ac:dyDescent="0.25">
      <c r="K8668" s="312"/>
      <c r="N8668" s="514"/>
      <c r="R8668" s="293"/>
      <c r="S8668" s="316"/>
      <c r="T8668" s="355"/>
    </row>
    <row r="8669" spans="11:20" x14ac:dyDescent="0.25">
      <c r="K8669" s="312"/>
      <c r="N8669" s="514"/>
      <c r="R8669" s="293"/>
      <c r="S8669" s="316"/>
      <c r="T8669" s="355"/>
    </row>
    <row r="8670" spans="11:20" x14ac:dyDescent="0.25">
      <c r="K8670" s="312"/>
      <c r="N8670" s="514"/>
      <c r="R8670" s="293"/>
      <c r="S8670" s="316"/>
      <c r="T8670" s="355"/>
    </row>
    <row r="8671" spans="11:20" x14ac:dyDescent="0.25">
      <c r="K8671" s="312"/>
      <c r="N8671" s="514"/>
      <c r="R8671" s="293"/>
      <c r="S8671" s="316"/>
      <c r="T8671" s="355"/>
    </row>
    <row r="8672" spans="11:20" x14ac:dyDescent="0.25">
      <c r="K8672" s="312"/>
      <c r="N8672" s="514"/>
      <c r="R8672" s="293"/>
      <c r="S8672" s="316"/>
      <c r="T8672" s="355"/>
    </row>
    <row r="8673" spans="11:20" x14ac:dyDescent="0.25">
      <c r="K8673" s="312"/>
      <c r="N8673" s="514"/>
      <c r="R8673" s="293"/>
      <c r="S8673" s="316"/>
      <c r="T8673" s="355"/>
    </row>
    <row r="8674" spans="11:20" x14ac:dyDescent="0.25">
      <c r="K8674" s="312"/>
      <c r="N8674" s="514"/>
      <c r="R8674" s="293"/>
      <c r="S8674" s="316"/>
      <c r="T8674" s="355"/>
    </row>
    <row r="8675" spans="11:20" x14ac:dyDescent="0.25">
      <c r="K8675" s="312"/>
      <c r="N8675" s="514"/>
      <c r="R8675" s="293"/>
      <c r="S8675" s="316"/>
      <c r="T8675" s="355"/>
    </row>
    <row r="8676" spans="11:20" x14ac:dyDescent="0.25">
      <c r="K8676" s="312"/>
      <c r="N8676" s="514"/>
      <c r="R8676" s="293"/>
      <c r="S8676" s="316"/>
      <c r="T8676" s="355"/>
    </row>
    <row r="8677" spans="11:20" x14ac:dyDescent="0.25">
      <c r="K8677" s="312"/>
      <c r="N8677" s="514"/>
      <c r="R8677" s="293"/>
      <c r="S8677" s="316"/>
      <c r="T8677" s="355"/>
    </row>
    <row r="8678" spans="11:20" x14ac:dyDescent="0.25">
      <c r="K8678" s="312"/>
      <c r="N8678" s="514"/>
      <c r="R8678" s="293"/>
      <c r="S8678" s="316"/>
      <c r="T8678" s="355"/>
    </row>
    <row r="8679" spans="11:20" x14ac:dyDescent="0.25">
      <c r="K8679" s="312"/>
      <c r="N8679" s="514"/>
      <c r="R8679" s="293"/>
      <c r="S8679" s="316"/>
      <c r="T8679" s="355"/>
    </row>
    <row r="8680" spans="11:20" x14ac:dyDescent="0.25">
      <c r="K8680" s="312"/>
      <c r="N8680" s="514"/>
      <c r="R8680" s="293"/>
      <c r="S8680" s="316"/>
      <c r="T8680" s="355"/>
    </row>
    <row r="8681" spans="11:20" x14ac:dyDescent="0.25">
      <c r="K8681" s="312"/>
      <c r="N8681" s="514"/>
      <c r="R8681" s="293"/>
      <c r="S8681" s="316"/>
      <c r="T8681" s="355"/>
    </row>
    <row r="8682" spans="11:20" x14ac:dyDescent="0.25">
      <c r="K8682" s="312"/>
      <c r="N8682" s="514"/>
      <c r="R8682" s="293"/>
      <c r="S8682" s="316"/>
      <c r="T8682" s="355"/>
    </row>
    <row r="8683" spans="11:20" x14ac:dyDescent="0.25">
      <c r="K8683" s="312"/>
      <c r="N8683" s="514"/>
      <c r="R8683" s="293"/>
      <c r="S8683" s="316"/>
      <c r="T8683" s="355"/>
    </row>
    <row r="8684" spans="11:20" x14ac:dyDescent="0.25">
      <c r="K8684" s="312"/>
      <c r="N8684" s="514"/>
      <c r="R8684" s="293"/>
      <c r="S8684" s="316"/>
      <c r="T8684" s="355"/>
    </row>
    <row r="8685" spans="11:20" x14ac:dyDescent="0.25">
      <c r="K8685" s="312"/>
      <c r="N8685" s="514"/>
      <c r="R8685" s="293"/>
      <c r="S8685" s="316"/>
      <c r="T8685" s="355"/>
    </row>
    <row r="8686" spans="11:20" x14ac:dyDescent="0.25">
      <c r="K8686" s="312"/>
      <c r="N8686" s="514"/>
      <c r="R8686" s="293"/>
      <c r="S8686" s="316"/>
      <c r="T8686" s="355"/>
    </row>
    <row r="8687" spans="11:20" x14ac:dyDescent="0.25">
      <c r="K8687" s="312"/>
      <c r="N8687" s="514"/>
      <c r="R8687" s="293"/>
      <c r="S8687" s="316"/>
      <c r="T8687" s="355"/>
    </row>
    <row r="8688" spans="11:20" x14ac:dyDescent="0.25">
      <c r="K8688" s="312"/>
      <c r="N8688" s="514"/>
      <c r="R8688" s="293"/>
      <c r="S8688" s="316"/>
      <c r="T8688" s="355"/>
    </row>
    <row r="8689" spans="11:20" x14ac:dyDescent="0.25">
      <c r="K8689" s="312"/>
      <c r="N8689" s="514"/>
      <c r="R8689" s="293"/>
      <c r="S8689" s="316"/>
      <c r="T8689" s="355"/>
    </row>
    <row r="8690" spans="11:20" x14ac:dyDescent="0.25">
      <c r="K8690" s="312"/>
      <c r="N8690" s="514"/>
      <c r="R8690" s="293"/>
      <c r="S8690" s="316"/>
      <c r="T8690" s="355"/>
    </row>
    <row r="8691" spans="11:20" x14ac:dyDescent="0.25">
      <c r="K8691" s="312"/>
      <c r="N8691" s="514"/>
      <c r="R8691" s="293"/>
      <c r="S8691" s="316"/>
      <c r="T8691" s="355"/>
    </row>
    <row r="8692" spans="11:20" x14ac:dyDescent="0.25">
      <c r="K8692" s="312"/>
      <c r="N8692" s="514"/>
      <c r="R8692" s="293"/>
      <c r="S8692" s="316"/>
      <c r="T8692" s="355"/>
    </row>
    <row r="8693" spans="11:20" x14ac:dyDescent="0.25">
      <c r="K8693" s="312"/>
      <c r="N8693" s="514"/>
      <c r="R8693" s="293"/>
      <c r="S8693" s="316"/>
      <c r="T8693" s="355"/>
    </row>
    <row r="8694" spans="11:20" x14ac:dyDescent="0.25">
      <c r="K8694" s="312"/>
      <c r="N8694" s="514"/>
      <c r="R8694" s="293"/>
      <c r="S8694" s="316"/>
      <c r="T8694" s="355"/>
    </row>
    <row r="8695" spans="11:20" x14ac:dyDescent="0.25">
      <c r="K8695" s="312"/>
      <c r="N8695" s="514"/>
      <c r="R8695" s="293"/>
      <c r="S8695" s="316"/>
      <c r="T8695" s="355"/>
    </row>
    <row r="8696" spans="11:20" x14ac:dyDescent="0.25">
      <c r="K8696" s="312"/>
      <c r="N8696" s="514"/>
      <c r="R8696" s="293"/>
      <c r="S8696" s="316"/>
      <c r="T8696" s="355"/>
    </row>
    <row r="8697" spans="11:20" x14ac:dyDescent="0.25">
      <c r="K8697" s="312"/>
      <c r="N8697" s="514"/>
      <c r="R8697" s="293"/>
      <c r="S8697" s="316"/>
      <c r="T8697" s="355"/>
    </row>
    <row r="8698" spans="11:20" x14ac:dyDescent="0.25">
      <c r="K8698" s="312"/>
      <c r="N8698" s="514"/>
      <c r="R8698" s="293"/>
      <c r="S8698" s="316"/>
      <c r="T8698" s="355"/>
    </row>
    <row r="8699" spans="11:20" x14ac:dyDescent="0.25">
      <c r="K8699" s="312"/>
      <c r="N8699" s="514"/>
      <c r="R8699" s="293"/>
      <c r="S8699" s="316"/>
      <c r="T8699" s="355"/>
    </row>
    <row r="8700" spans="11:20" x14ac:dyDescent="0.25">
      <c r="K8700" s="312"/>
      <c r="N8700" s="514"/>
      <c r="R8700" s="293"/>
      <c r="S8700" s="316"/>
      <c r="T8700" s="355"/>
    </row>
    <row r="8701" spans="11:20" x14ac:dyDescent="0.25">
      <c r="K8701" s="312"/>
      <c r="N8701" s="514"/>
      <c r="R8701" s="293"/>
      <c r="S8701" s="316"/>
      <c r="T8701" s="355"/>
    </row>
    <row r="8702" spans="11:20" x14ac:dyDescent="0.25">
      <c r="K8702" s="312"/>
      <c r="N8702" s="514"/>
      <c r="R8702" s="293"/>
      <c r="S8702" s="316"/>
      <c r="T8702" s="355"/>
    </row>
    <row r="8703" spans="11:20" x14ac:dyDescent="0.25">
      <c r="K8703" s="312"/>
      <c r="N8703" s="514"/>
      <c r="R8703" s="293"/>
      <c r="S8703" s="316"/>
      <c r="T8703" s="355"/>
    </row>
    <row r="8704" spans="11:20" x14ac:dyDescent="0.25">
      <c r="K8704" s="312"/>
      <c r="N8704" s="514"/>
      <c r="R8704" s="293"/>
      <c r="S8704" s="316"/>
      <c r="T8704" s="355"/>
    </row>
    <row r="8705" spans="11:20" x14ac:dyDescent="0.25">
      <c r="K8705" s="312"/>
      <c r="N8705" s="514"/>
      <c r="R8705" s="293"/>
      <c r="S8705" s="316"/>
      <c r="T8705" s="355"/>
    </row>
    <row r="8706" spans="11:20" x14ac:dyDescent="0.25">
      <c r="K8706" s="312"/>
      <c r="N8706" s="514"/>
      <c r="R8706" s="293"/>
      <c r="S8706" s="316"/>
      <c r="T8706" s="355"/>
    </row>
    <row r="8707" spans="11:20" x14ac:dyDescent="0.25">
      <c r="K8707" s="312"/>
      <c r="N8707" s="514"/>
      <c r="R8707" s="293"/>
      <c r="S8707" s="316"/>
      <c r="T8707" s="355"/>
    </row>
    <row r="8708" spans="11:20" x14ac:dyDescent="0.25">
      <c r="K8708" s="312"/>
      <c r="N8708" s="514"/>
      <c r="R8708" s="293"/>
      <c r="S8708" s="316"/>
      <c r="T8708" s="355"/>
    </row>
    <row r="8709" spans="11:20" x14ac:dyDescent="0.25">
      <c r="K8709" s="312"/>
      <c r="N8709" s="514"/>
      <c r="R8709" s="293"/>
      <c r="S8709" s="316"/>
      <c r="T8709" s="355"/>
    </row>
    <row r="8710" spans="11:20" x14ac:dyDescent="0.25">
      <c r="K8710" s="312"/>
      <c r="N8710" s="514"/>
      <c r="R8710" s="293"/>
      <c r="S8710" s="316"/>
      <c r="T8710" s="355"/>
    </row>
    <row r="8711" spans="11:20" x14ac:dyDescent="0.25">
      <c r="K8711" s="312"/>
      <c r="N8711" s="514"/>
      <c r="R8711" s="293"/>
      <c r="S8711" s="316"/>
      <c r="T8711" s="355"/>
    </row>
    <row r="8712" spans="11:20" x14ac:dyDescent="0.25">
      <c r="K8712" s="312"/>
      <c r="N8712" s="514"/>
      <c r="R8712" s="293"/>
      <c r="S8712" s="316"/>
      <c r="T8712" s="355"/>
    </row>
    <row r="8713" spans="11:20" x14ac:dyDescent="0.25">
      <c r="K8713" s="312"/>
      <c r="N8713" s="514"/>
      <c r="R8713" s="293"/>
      <c r="S8713" s="316"/>
      <c r="T8713" s="355"/>
    </row>
    <row r="8714" spans="11:20" x14ac:dyDescent="0.25">
      <c r="K8714" s="312"/>
      <c r="N8714" s="514"/>
      <c r="R8714" s="293"/>
      <c r="S8714" s="316"/>
      <c r="T8714" s="355"/>
    </row>
    <row r="8715" spans="11:20" x14ac:dyDescent="0.25">
      <c r="K8715" s="312"/>
      <c r="N8715" s="514"/>
      <c r="R8715" s="293"/>
      <c r="S8715" s="316"/>
      <c r="T8715" s="355"/>
    </row>
    <row r="8716" spans="11:20" x14ac:dyDescent="0.25">
      <c r="K8716" s="312"/>
      <c r="N8716" s="514"/>
      <c r="R8716" s="293"/>
      <c r="S8716" s="316"/>
      <c r="T8716" s="355"/>
    </row>
    <row r="8717" spans="11:20" x14ac:dyDescent="0.25">
      <c r="K8717" s="312"/>
      <c r="N8717" s="514"/>
      <c r="R8717" s="293"/>
      <c r="S8717" s="316"/>
      <c r="T8717" s="355"/>
    </row>
    <row r="8718" spans="11:20" x14ac:dyDescent="0.25">
      <c r="K8718" s="312"/>
      <c r="N8718" s="514"/>
      <c r="R8718" s="293"/>
      <c r="S8718" s="316"/>
      <c r="T8718" s="355"/>
    </row>
    <row r="8719" spans="11:20" x14ac:dyDescent="0.25">
      <c r="K8719" s="312"/>
      <c r="N8719" s="514"/>
      <c r="R8719" s="293"/>
      <c r="S8719" s="316"/>
      <c r="T8719" s="355"/>
    </row>
    <row r="8720" spans="11:20" x14ac:dyDescent="0.25">
      <c r="K8720" s="312"/>
      <c r="N8720" s="514"/>
      <c r="R8720" s="293"/>
      <c r="S8720" s="316"/>
      <c r="T8720" s="355"/>
    </row>
    <row r="8721" spans="11:20" x14ac:dyDescent="0.25">
      <c r="K8721" s="312"/>
      <c r="N8721" s="514"/>
      <c r="R8721" s="293"/>
      <c r="S8721" s="316"/>
      <c r="T8721" s="355"/>
    </row>
    <row r="8722" spans="11:20" x14ac:dyDescent="0.25">
      <c r="K8722" s="312"/>
      <c r="N8722" s="514"/>
      <c r="R8722" s="293"/>
      <c r="S8722" s="316"/>
      <c r="T8722" s="355"/>
    </row>
    <row r="8723" spans="11:20" x14ac:dyDescent="0.25">
      <c r="K8723" s="312"/>
      <c r="N8723" s="514"/>
      <c r="R8723" s="293"/>
      <c r="S8723" s="316"/>
      <c r="T8723" s="355"/>
    </row>
    <row r="8724" spans="11:20" x14ac:dyDescent="0.25">
      <c r="K8724" s="312"/>
      <c r="N8724" s="514"/>
      <c r="R8724" s="293"/>
      <c r="S8724" s="316"/>
      <c r="T8724" s="355"/>
    </row>
    <row r="8725" spans="11:20" x14ac:dyDescent="0.25">
      <c r="K8725" s="312"/>
      <c r="N8725" s="514"/>
      <c r="R8725" s="293"/>
      <c r="S8725" s="316"/>
      <c r="T8725" s="355"/>
    </row>
    <row r="8726" spans="11:20" x14ac:dyDescent="0.25">
      <c r="K8726" s="312"/>
      <c r="N8726" s="514"/>
      <c r="R8726" s="293"/>
      <c r="S8726" s="316"/>
      <c r="T8726" s="355"/>
    </row>
    <row r="8727" spans="11:20" x14ac:dyDescent="0.25">
      <c r="K8727" s="312"/>
      <c r="N8727" s="514"/>
      <c r="R8727" s="293"/>
      <c r="S8727" s="316"/>
      <c r="T8727" s="355"/>
    </row>
    <row r="8728" spans="11:20" x14ac:dyDescent="0.25">
      <c r="K8728" s="312"/>
      <c r="N8728" s="514"/>
      <c r="R8728" s="293"/>
      <c r="S8728" s="316"/>
      <c r="T8728" s="355"/>
    </row>
    <row r="8729" spans="11:20" x14ac:dyDescent="0.25">
      <c r="K8729" s="312"/>
      <c r="N8729" s="514"/>
      <c r="R8729" s="293"/>
      <c r="S8729" s="316"/>
      <c r="T8729" s="355"/>
    </row>
    <row r="8730" spans="11:20" x14ac:dyDescent="0.25">
      <c r="K8730" s="312"/>
      <c r="N8730" s="514"/>
      <c r="R8730" s="293"/>
      <c r="S8730" s="316"/>
      <c r="T8730" s="355"/>
    </row>
    <row r="8731" spans="11:20" x14ac:dyDescent="0.25">
      <c r="K8731" s="312"/>
      <c r="N8731" s="514"/>
      <c r="R8731" s="293"/>
      <c r="S8731" s="316"/>
      <c r="T8731" s="355"/>
    </row>
    <row r="8732" spans="11:20" x14ac:dyDescent="0.25">
      <c r="K8732" s="312"/>
      <c r="N8732" s="514"/>
      <c r="R8732" s="293"/>
      <c r="S8732" s="316"/>
      <c r="T8732" s="355"/>
    </row>
    <row r="8733" spans="11:20" x14ac:dyDescent="0.25">
      <c r="K8733" s="312"/>
      <c r="N8733" s="514"/>
      <c r="R8733" s="293"/>
      <c r="S8733" s="316"/>
      <c r="T8733" s="355"/>
    </row>
    <row r="8734" spans="11:20" x14ac:dyDescent="0.25">
      <c r="K8734" s="312"/>
      <c r="N8734" s="514"/>
      <c r="R8734" s="293"/>
      <c r="S8734" s="316"/>
      <c r="T8734" s="355"/>
    </row>
    <row r="8735" spans="11:20" x14ac:dyDescent="0.25">
      <c r="K8735" s="312"/>
      <c r="N8735" s="514"/>
      <c r="R8735" s="293"/>
      <c r="S8735" s="316"/>
      <c r="T8735" s="355"/>
    </row>
    <row r="8736" spans="11:20" x14ac:dyDescent="0.25">
      <c r="K8736" s="312"/>
      <c r="N8736" s="514"/>
      <c r="R8736" s="293"/>
      <c r="S8736" s="316"/>
      <c r="T8736" s="355"/>
    </row>
    <row r="8737" spans="11:20" x14ac:dyDescent="0.25">
      <c r="K8737" s="312"/>
      <c r="N8737" s="514"/>
      <c r="R8737" s="293"/>
      <c r="S8737" s="316"/>
      <c r="T8737" s="355"/>
    </row>
    <row r="8738" spans="11:20" x14ac:dyDescent="0.25">
      <c r="K8738" s="312"/>
      <c r="N8738" s="514"/>
      <c r="R8738" s="293"/>
      <c r="S8738" s="316"/>
      <c r="T8738" s="355"/>
    </row>
    <row r="8739" spans="11:20" x14ac:dyDescent="0.25">
      <c r="K8739" s="312"/>
      <c r="N8739" s="514"/>
      <c r="R8739" s="293"/>
      <c r="S8739" s="316"/>
      <c r="T8739" s="355"/>
    </row>
    <row r="8740" spans="11:20" x14ac:dyDescent="0.25">
      <c r="K8740" s="312"/>
      <c r="N8740" s="514"/>
      <c r="R8740" s="293"/>
      <c r="S8740" s="316"/>
      <c r="T8740" s="355"/>
    </row>
    <row r="8741" spans="11:20" x14ac:dyDescent="0.25">
      <c r="K8741" s="312"/>
      <c r="N8741" s="514"/>
      <c r="R8741" s="293"/>
      <c r="S8741" s="316"/>
      <c r="T8741" s="355"/>
    </row>
    <row r="8742" spans="11:20" x14ac:dyDescent="0.25">
      <c r="K8742" s="312"/>
      <c r="N8742" s="514"/>
      <c r="R8742" s="293"/>
      <c r="S8742" s="316"/>
      <c r="T8742" s="355"/>
    </row>
    <row r="8743" spans="11:20" x14ac:dyDescent="0.25">
      <c r="K8743" s="312"/>
      <c r="N8743" s="514"/>
      <c r="R8743" s="293"/>
      <c r="S8743" s="316"/>
      <c r="T8743" s="355"/>
    </row>
    <row r="8744" spans="11:20" x14ac:dyDescent="0.25">
      <c r="K8744" s="312"/>
      <c r="N8744" s="514"/>
      <c r="R8744" s="293"/>
      <c r="S8744" s="316"/>
      <c r="T8744" s="355"/>
    </row>
    <row r="8745" spans="11:20" x14ac:dyDescent="0.25">
      <c r="K8745" s="312"/>
      <c r="N8745" s="514"/>
      <c r="R8745" s="293"/>
      <c r="S8745" s="316"/>
      <c r="T8745" s="355"/>
    </row>
    <row r="8746" spans="11:20" x14ac:dyDescent="0.25">
      <c r="K8746" s="312"/>
      <c r="N8746" s="514"/>
      <c r="R8746" s="293"/>
      <c r="S8746" s="316"/>
      <c r="T8746" s="355"/>
    </row>
    <row r="8747" spans="11:20" x14ac:dyDescent="0.25">
      <c r="K8747" s="312"/>
      <c r="N8747" s="514"/>
      <c r="R8747" s="293"/>
      <c r="S8747" s="316"/>
      <c r="T8747" s="355"/>
    </row>
    <row r="8748" spans="11:20" x14ac:dyDescent="0.25">
      <c r="K8748" s="312"/>
      <c r="N8748" s="514"/>
      <c r="R8748" s="293"/>
      <c r="S8748" s="316"/>
      <c r="T8748" s="355"/>
    </row>
    <row r="8749" spans="11:20" x14ac:dyDescent="0.25">
      <c r="K8749" s="312"/>
      <c r="N8749" s="514"/>
      <c r="R8749" s="293"/>
      <c r="S8749" s="316"/>
      <c r="T8749" s="355"/>
    </row>
    <row r="8750" spans="11:20" x14ac:dyDescent="0.25">
      <c r="K8750" s="312"/>
      <c r="N8750" s="514"/>
      <c r="R8750" s="293"/>
      <c r="S8750" s="316"/>
      <c r="T8750" s="355"/>
    </row>
    <row r="8751" spans="11:20" x14ac:dyDescent="0.25">
      <c r="K8751" s="312"/>
      <c r="N8751" s="514"/>
      <c r="R8751" s="293"/>
      <c r="S8751" s="316"/>
      <c r="T8751" s="355"/>
    </row>
    <row r="8752" spans="11:20" x14ac:dyDescent="0.25">
      <c r="K8752" s="312"/>
      <c r="N8752" s="514"/>
      <c r="R8752" s="293"/>
      <c r="S8752" s="316"/>
      <c r="T8752" s="355"/>
    </row>
    <row r="8753" spans="11:20" x14ac:dyDescent="0.25">
      <c r="K8753" s="312"/>
      <c r="N8753" s="514"/>
      <c r="R8753" s="293"/>
      <c r="S8753" s="316"/>
      <c r="T8753" s="355"/>
    </row>
    <row r="8754" spans="11:20" x14ac:dyDescent="0.25">
      <c r="K8754" s="312"/>
      <c r="N8754" s="514"/>
      <c r="R8754" s="293"/>
      <c r="S8754" s="316"/>
      <c r="T8754" s="355"/>
    </row>
    <row r="8755" spans="11:20" x14ac:dyDescent="0.25">
      <c r="K8755" s="312"/>
      <c r="N8755" s="514"/>
      <c r="R8755" s="293"/>
      <c r="S8755" s="316"/>
      <c r="T8755" s="355"/>
    </row>
    <row r="8756" spans="11:20" x14ac:dyDescent="0.25">
      <c r="K8756" s="312"/>
      <c r="N8756" s="514"/>
      <c r="R8756" s="293"/>
      <c r="S8756" s="316"/>
      <c r="T8756" s="355"/>
    </row>
    <row r="8757" spans="11:20" x14ac:dyDescent="0.25">
      <c r="K8757" s="312"/>
      <c r="N8757" s="514"/>
      <c r="R8757" s="293"/>
      <c r="S8757" s="316"/>
      <c r="T8757" s="355"/>
    </row>
    <row r="8758" spans="11:20" x14ac:dyDescent="0.25">
      <c r="K8758" s="312"/>
      <c r="N8758" s="514"/>
      <c r="R8758" s="293"/>
      <c r="S8758" s="316"/>
      <c r="T8758" s="355"/>
    </row>
    <row r="8759" spans="11:20" x14ac:dyDescent="0.25">
      <c r="K8759" s="312"/>
      <c r="N8759" s="514"/>
      <c r="R8759" s="293"/>
      <c r="S8759" s="316"/>
      <c r="T8759" s="355"/>
    </row>
    <row r="8760" spans="11:20" x14ac:dyDescent="0.25">
      <c r="K8760" s="312"/>
      <c r="N8760" s="514"/>
      <c r="R8760" s="293"/>
      <c r="S8760" s="316"/>
      <c r="T8760" s="355"/>
    </row>
    <row r="8761" spans="11:20" x14ac:dyDescent="0.25">
      <c r="K8761" s="312"/>
      <c r="N8761" s="514"/>
      <c r="R8761" s="293"/>
      <c r="S8761" s="316"/>
      <c r="T8761" s="355"/>
    </row>
    <row r="8762" spans="11:20" x14ac:dyDescent="0.25">
      <c r="K8762" s="312"/>
      <c r="N8762" s="514"/>
      <c r="R8762" s="293"/>
      <c r="S8762" s="316"/>
      <c r="T8762" s="355"/>
    </row>
    <row r="8763" spans="11:20" x14ac:dyDescent="0.25">
      <c r="K8763" s="312"/>
      <c r="N8763" s="514"/>
      <c r="R8763" s="293"/>
      <c r="S8763" s="316"/>
      <c r="T8763" s="355"/>
    </row>
    <row r="8764" spans="11:20" x14ac:dyDescent="0.25">
      <c r="K8764" s="312"/>
      <c r="N8764" s="514"/>
      <c r="R8764" s="293"/>
      <c r="S8764" s="316"/>
      <c r="T8764" s="355"/>
    </row>
    <row r="8765" spans="11:20" x14ac:dyDescent="0.25">
      <c r="K8765" s="312"/>
      <c r="N8765" s="514"/>
      <c r="R8765" s="293"/>
      <c r="S8765" s="316"/>
      <c r="T8765" s="355"/>
    </row>
    <row r="8766" spans="11:20" x14ac:dyDescent="0.25">
      <c r="K8766" s="312"/>
      <c r="N8766" s="514"/>
      <c r="R8766" s="293"/>
      <c r="S8766" s="316"/>
      <c r="T8766" s="355"/>
    </row>
    <row r="8767" spans="11:20" x14ac:dyDescent="0.25">
      <c r="K8767" s="312"/>
      <c r="N8767" s="514"/>
      <c r="R8767" s="293"/>
      <c r="S8767" s="316"/>
      <c r="T8767" s="355"/>
    </row>
    <row r="8768" spans="11:20" x14ac:dyDescent="0.25">
      <c r="K8768" s="312"/>
      <c r="N8768" s="514"/>
      <c r="R8768" s="293"/>
      <c r="S8768" s="316"/>
      <c r="T8768" s="355"/>
    </row>
    <row r="8769" spans="11:20" x14ac:dyDescent="0.25">
      <c r="K8769" s="312"/>
      <c r="N8769" s="514"/>
      <c r="R8769" s="293"/>
      <c r="S8769" s="316"/>
      <c r="T8769" s="355"/>
    </row>
    <row r="8770" spans="11:20" x14ac:dyDescent="0.25">
      <c r="K8770" s="312"/>
      <c r="N8770" s="514"/>
      <c r="R8770" s="293"/>
      <c r="S8770" s="316"/>
      <c r="T8770" s="355"/>
    </row>
    <row r="8771" spans="11:20" x14ac:dyDescent="0.25">
      <c r="K8771" s="312"/>
      <c r="N8771" s="514"/>
      <c r="R8771" s="293"/>
      <c r="S8771" s="316"/>
      <c r="T8771" s="355"/>
    </row>
    <row r="8772" spans="11:20" x14ac:dyDescent="0.25">
      <c r="K8772" s="312"/>
      <c r="N8772" s="514"/>
      <c r="R8772" s="293"/>
      <c r="S8772" s="316"/>
      <c r="T8772" s="355"/>
    </row>
    <row r="8773" spans="11:20" x14ac:dyDescent="0.25">
      <c r="K8773" s="312"/>
      <c r="N8773" s="514"/>
      <c r="R8773" s="293"/>
      <c r="S8773" s="316"/>
      <c r="T8773" s="355"/>
    </row>
    <row r="8774" spans="11:20" x14ac:dyDescent="0.25">
      <c r="K8774" s="312"/>
      <c r="N8774" s="514"/>
      <c r="R8774" s="293"/>
      <c r="S8774" s="316"/>
      <c r="T8774" s="355"/>
    </row>
    <row r="8775" spans="11:20" x14ac:dyDescent="0.25">
      <c r="K8775" s="312"/>
      <c r="N8775" s="514"/>
      <c r="R8775" s="293"/>
      <c r="S8775" s="316"/>
      <c r="T8775" s="355"/>
    </row>
    <row r="8776" spans="11:20" x14ac:dyDescent="0.25">
      <c r="K8776" s="312"/>
      <c r="N8776" s="514"/>
      <c r="R8776" s="293"/>
      <c r="S8776" s="316"/>
      <c r="T8776" s="355"/>
    </row>
    <row r="8777" spans="11:20" x14ac:dyDescent="0.25">
      <c r="K8777" s="312"/>
      <c r="N8777" s="514"/>
      <c r="R8777" s="293"/>
      <c r="S8777" s="316"/>
      <c r="T8777" s="355"/>
    </row>
    <row r="8778" spans="11:20" x14ac:dyDescent="0.25">
      <c r="K8778" s="312"/>
      <c r="N8778" s="514"/>
      <c r="R8778" s="293"/>
      <c r="S8778" s="316"/>
      <c r="T8778" s="355"/>
    </row>
    <row r="8779" spans="11:20" x14ac:dyDescent="0.25">
      <c r="K8779" s="312"/>
      <c r="N8779" s="514"/>
      <c r="R8779" s="293"/>
      <c r="S8779" s="316"/>
      <c r="T8779" s="355"/>
    </row>
    <row r="8780" spans="11:20" x14ac:dyDescent="0.25">
      <c r="K8780" s="312"/>
      <c r="N8780" s="514"/>
      <c r="R8780" s="293"/>
      <c r="S8780" s="316"/>
      <c r="T8780" s="355"/>
    </row>
    <row r="8781" spans="11:20" x14ac:dyDescent="0.25">
      <c r="K8781" s="312"/>
      <c r="N8781" s="514"/>
      <c r="R8781" s="293"/>
      <c r="S8781" s="316"/>
      <c r="T8781" s="355"/>
    </row>
    <row r="8782" spans="11:20" x14ac:dyDescent="0.25">
      <c r="K8782" s="312"/>
      <c r="N8782" s="514"/>
      <c r="R8782" s="293"/>
      <c r="S8782" s="316"/>
      <c r="T8782" s="355"/>
    </row>
    <row r="8783" spans="11:20" x14ac:dyDescent="0.25">
      <c r="K8783" s="312"/>
      <c r="N8783" s="514"/>
      <c r="R8783" s="293"/>
      <c r="S8783" s="316"/>
      <c r="T8783" s="355"/>
    </row>
    <row r="8784" spans="11:20" x14ac:dyDescent="0.25">
      <c r="K8784" s="312"/>
      <c r="N8784" s="514"/>
      <c r="R8784" s="293"/>
      <c r="S8784" s="316"/>
      <c r="T8784" s="355"/>
    </row>
    <row r="8785" spans="11:20" x14ac:dyDescent="0.25">
      <c r="K8785" s="312"/>
      <c r="N8785" s="514"/>
      <c r="R8785" s="293"/>
      <c r="S8785" s="316"/>
      <c r="T8785" s="355"/>
    </row>
    <row r="8786" spans="11:20" x14ac:dyDescent="0.25">
      <c r="K8786" s="312"/>
      <c r="N8786" s="514"/>
      <c r="R8786" s="293"/>
      <c r="S8786" s="316"/>
      <c r="T8786" s="355"/>
    </row>
    <row r="8787" spans="11:20" x14ac:dyDescent="0.25">
      <c r="K8787" s="312"/>
      <c r="N8787" s="514"/>
      <c r="R8787" s="293"/>
      <c r="S8787" s="316"/>
      <c r="T8787" s="355"/>
    </row>
    <row r="8788" spans="11:20" x14ac:dyDescent="0.25">
      <c r="K8788" s="312"/>
      <c r="N8788" s="514"/>
      <c r="R8788" s="293"/>
      <c r="S8788" s="316"/>
      <c r="T8788" s="355"/>
    </row>
    <row r="8789" spans="11:20" x14ac:dyDescent="0.25">
      <c r="K8789" s="312"/>
      <c r="N8789" s="514"/>
      <c r="R8789" s="293"/>
      <c r="S8789" s="316"/>
      <c r="T8789" s="355"/>
    </row>
    <row r="8790" spans="11:20" x14ac:dyDescent="0.25">
      <c r="K8790" s="312"/>
      <c r="N8790" s="514"/>
      <c r="R8790" s="293"/>
      <c r="S8790" s="316"/>
      <c r="T8790" s="355"/>
    </row>
    <row r="8791" spans="11:20" x14ac:dyDescent="0.25">
      <c r="K8791" s="312"/>
      <c r="N8791" s="514"/>
      <c r="R8791" s="293"/>
      <c r="S8791" s="316"/>
      <c r="T8791" s="355"/>
    </row>
    <row r="8792" spans="11:20" x14ac:dyDescent="0.25">
      <c r="K8792" s="312"/>
      <c r="N8792" s="514"/>
      <c r="R8792" s="293"/>
      <c r="S8792" s="316"/>
      <c r="T8792" s="355"/>
    </row>
    <row r="8793" spans="11:20" x14ac:dyDescent="0.25">
      <c r="K8793" s="312"/>
      <c r="N8793" s="514"/>
      <c r="R8793" s="293"/>
      <c r="S8793" s="316"/>
      <c r="T8793" s="355"/>
    </row>
    <row r="8794" spans="11:20" x14ac:dyDescent="0.25">
      <c r="K8794" s="312"/>
      <c r="N8794" s="514"/>
      <c r="R8794" s="293"/>
      <c r="S8794" s="316"/>
      <c r="T8794" s="355"/>
    </row>
    <row r="8795" spans="11:20" x14ac:dyDescent="0.25">
      <c r="K8795" s="312"/>
      <c r="N8795" s="514"/>
      <c r="R8795" s="293"/>
      <c r="S8795" s="316"/>
      <c r="T8795" s="355"/>
    </row>
    <row r="8796" spans="11:20" x14ac:dyDescent="0.25">
      <c r="K8796" s="312"/>
      <c r="N8796" s="514"/>
      <c r="R8796" s="293"/>
      <c r="S8796" s="316"/>
      <c r="T8796" s="355"/>
    </row>
    <row r="8797" spans="11:20" x14ac:dyDescent="0.25">
      <c r="K8797" s="312"/>
      <c r="N8797" s="514"/>
      <c r="R8797" s="293"/>
      <c r="S8797" s="316"/>
      <c r="T8797" s="355"/>
    </row>
    <row r="8798" spans="11:20" x14ac:dyDescent="0.25">
      <c r="K8798" s="312"/>
      <c r="N8798" s="514"/>
      <c r="R8798" s="293"/>
      <c r="S8798" s="316"/>
      <c r="T8798" s="355"/>
    </row>
    <row r="8799" spans="11:20" x14ac:dyDescent="0.25">
      <c r="K8799" s="312"/>
      <c r="N8799" s="514"/>
      <c r="R8799" s="293"/>
      <c r="S8799" s="316"/>
      <c r="T8799" s="355"/>
    </row>
    <row r="8800" spans="11:20" x14ac:dyDescent="0.25">
      <c r="K8800" s="312"/>
      <c r="N8800" s="514"/>
      <c r="R8800" s="293"/>
      <c r="S8800" s="316"/>
      <c r="T8800" s="355"/>
    </row>
    <row r="8801" spans="11:20" x14ac:dyDescent="0.25">
      <c r="K8801" s="312"/>
      <c r="N8801" s="514"/>
      <c r="R8801" s="293"/>
      <c r="S8801" s="316"/>
      <c r="T8801" s="355"/>
    </row>
    <row r="8802" spans="11:20" x14ac:dyDescent="0.25">
      <c r="K8802" s="312"/>
      <c r="N8802" s="514"/>
      <c r="R8802" s="293"/>
      <c r="S8802" s="316"/>
      <c r="T8802" s="355"/>
    </row>
    <row r="8803" spans="11:20" x14ac:dyDescent="0.25">
      <c r="K8803" s="312"/>
      <c r="N8803" s="514"/>
      <c r="R8803" s="293"/>
      <c r="S8803" s="316"/>
      <c r="T8803" s="355"/>
    </row>
    <row r="8804" spans="11:20" x14ac:dyDescent="0.25">
      <c r="K8804" s="312"/>
      <c r="N8804" s="514"/>
      <c r="R8804" s="293"/>
      <c r="S8804" s="316"/>
      <c r="T8804" s="355"/>
    </row>
    <row r="8805" spans="11:20" x14ac:dyDescent="0.25">
      <c r="K8805" s="312"/>
      <c r="N8805" s="514"/>
      <c r="R8805" s="293"/>
      <c r="S8805" s="316"/>
      <c r="T8805" s="355"/>
    </row>
    <row r="8806" spans="11:20" x14ac:dyDescent="0.25">
      <c r="K8806" s="312"/>
      <c r="N8806" s="514"/>
      <c r="R8806" s="293"/>
      <c r="S8806" s="316"/>
      <c r="T8806" s="355"/>
    </row>
    <row r="8807" spans="11:20" x14ac:dyDescent="0.25">
      <c r="K8807" s="312"/>
      <c r="N8807" s="514"/>
      <c r="R8807" s="293"/>
      <c r="S8807" s="316"/>
      <c r="T8807" s="355"/>
    </row>
    <row r="8808" spans="11:20" x14ac:dyDescent="0.25">
      <c r="K8808" s="312"/>
      <c r="N8808" s="514"/>
      <c r="R8808" s="293"/>
      <c r="S8808" s="316"/>
      <c r="T8808" s="355"/>
    </row>
    <row r="8809" spans="11:20" x14ac:dyDescent="0.25">
      <c r="K8809" s="312"/>
      <c r="N8809" s="514"/>
      <c r="R8809" s="293"/>
      <c r="S8809" s="316"/>
      <c r="T8809" s="355"/>
    </row>
    <row r="8810" spans="11:20" x14ac:dyDescent="0.25">
      <c r="K8810" s="312"/>
      <c r="N8810" s="514"/>
      <c r="R8810" s="293"/>
      <c r="S8810" s="316"/>
      <c r="T8810" s="355"/>
    </row>
    <row r="8811" spans="11:20" x14ac:dyDescent="0.25">
      <c r="K8811" s="312"/>
      <c r="N8811" s="514"/>
      <c r="R8811" s="293"/>
      <c r="S8811" s="316"/>
      <c r="T8811" s="355"/>
    </row>
    <row r="8812" spans="11:20" x14ac:dyDescent="0.25">
      <c r="K8812" s="312"/>
      <c r="N8812" s="514"/>
      <c r="R8812" s="293"/>
      <c r="S8812" s="316"/>
      <c r="T8812" s="355"/>
    </row>
    <row r="8813" spans="11:20" x14ac:dyDescent="0.25">
      <c r="K8813" s="312"/>
      <c r="N8813" s="514"/>
      <c r="R8813" s="293"/>
      <c r="S8813" s="316"/>
      <c r="T8813" s="355"/>
    </row>
    <row r="8814" spans="11:20" x14ac:dyDescent="0.25">
      <c r="K8814" s="312"/>
      <c r="N8814" s="514"/>
      <c r="R8814" s="293"/>
      <c r="S8814" s="316"/>
      <c r="T8814" s="355"/>
    </row>
    <row r="8815" spans="11:20" x14ac:dyDescent="0.25">
      <c r="K8815" s="312"/>
      <c r="N8815" s="514"/>
      <c r="R8815" s="293"/>
      <c r="S8815" s="316"/>
      <c r="T8815" s="355"/>
    </row>
    <row r="8816" spans="11:20" x14ac:dyDescent="0.25">
      <c r="K8816" s="312"/>
      <c r="N8816" s="514"/>
      <c r="R8816" s="293"/>
      <c r="S8816" s="316"/>
      <c r="T8816" s="355"/>
    </row>
    <row r="8817" spans="11:20" x14ac:dyDescent="0.25">
      <c r="K8817" s="312"/>
      <c r="N8817" s="514"/>
      <c r="R8817" s="293"/>
      <c r="S8817" s="316"/>
      <c r="T8817" s="355"/>
    </row>
    <row r="8818" spans="11:20" x14ac:dyDescent="0.25">
      <c r="K8818" s="312"/>
      <c r="N8818" s="514"/>
      <c r="R8818" s="293"/>
      <c r="S8818" s="316"/>
      <c r="T8818" s="355"/>
    </row>
    <row r="8819" spans="11:20" x14ac:dyDescent="0.25">
      <c r="K8819" s="312"/>
      <c r="N8819" s="514"/>
      <c r="R8819" s="293"/>
      <c r="S8819" s="316"/>
      <c r="T8819" s="355"/>
    </row>
    <row r="8820" spans="11:20" x14ac:dyDescent="0.25">
      <c r="K8820" s="312"/>
      <c r="N8820" s="514"/>
      <c r="R8820" s="293"/>
      <c r="S8820" s="316"/>
      <c r="T8820" s="355"/>
    </row>
    <row r="8821" spans="11:20" x14ac:dyDescent="0.25">
      <c r="K8821" s="312"/>
      <c r="N8821" s="514"/>
      <c r="R8821" s="293"/>
      <c r="S8821" s="316"/>
      <c r="T8821" s="355"/>
    </row>
    <row r="8822" spans="11:20" x14ac:dyDescent="0.25">
      <c r="K8822" s="312"/>
      <c r="N8822" s="514"/>
      <c r="R8822" s="293"/>
      <c r="S8822" s="316"/>
      <c r="T8822" s="355"/>
    </row>
    <row r="8823" spans="11:20" x14ac:dyDescent="0.25">
      <c r="K8823" s="312"/>
      <c r="N8823" s="514"/>
      <c r="R8823" s="293"/>
      <c r="S8823" s="316"/>
      <c r="T8823" s="355"/>
    </row>
    <row r="8824" spans="11:20" x14ac:dyDescent="0.25">
      <c r="K8824" s="312"/>
      <c r="N8824" s="514"/>
      <c r="R8824" s="293"/>
      <c r="S8824" s="316"/>
      <c r="T8824" s="355"/>
    </row>
    <row r="8825" spans="11:20" x14ac:dyDescent="0.25">
      <c r="K8825" s="312"/>
      <c r="N8825" s="514"/>
      <c r="R8825" s="293"/>
      <c r="S8825" s="316"/>
      <c r="T8825" s="355"/>
    </row>
    <row r="8826" spans="11:20" x14ac:dyDescent="0.25">
      <c r="K8826" s="312"/>
      <c r="N8826" s="514"/>
      <c r="R8826" s="293"/>
      <c r="S8826" s="316"/>
      <c r="T8826" s="355"/>
    </row>
    <row r="8827" spans="11:20" x14ac:dyDescent="0.25">
      <c r="K8827" s="312"/>
      <c r="N8827" s="514"/>
      <c r="R8827" s="293"/>
      <c r="S8827" s="316"/>
      <c r="T8827" s="355"/>
    </row>
    <row r="8828" spans="11:20" x14ac:dyDescent="0.25">
      <c r="K8828" s="312"/>
      <c r="N8828" s="514"/>
      <c r="R8828" s="293"/>
      <c r="S8828" s="316"/>
      <c r="T8828" s="355"/>
    </row>
    <row r="8829" spans="11:20" x14ac:dyDescent="0.25">
      <c r="K8829" s="312"/>
      <c r="N8829" s="514"/>
      <c r="R8829" s="293"/>
      <c r="S8829" s="316"/>
      <c r="T8829" s="355"/>
    </row>
    <row r="8830" spans="11:20" x14ac:dyDescent="0.25">
      <c r="K8830" s="312"/>
      <c r="N8830" s="514"/>
      <c r="R8830" s="293"/>
      <c r="S8830" s="316"/>
      <c r="T8830" s="355"/>
    </row>
    <row r="8831" spans="11:20" x14ac:dyDescent="0.25">
      <c r="K8831" s="312"/>
      <c r="N8831" s="514"/>
      <c r="R8831" s="293"/>
      <c r="S8831" s="316"/>
      <c r="T8831" s="355"/>
    </row>
    <row r="8832" spans="11:20" x14ac:dyDescent="0.25">
      <c r="K8832" s="312"/>
      <c r="N8832" s="514"/>
      <c r="R8832" s="293"/>
      <c r="S8832" s="316"/>
      <c r="T8832" s="355"/>
    </row>
    <row r="8833" spans="11:20" x14ac:dyDescent="0.25">
      <c r="K8833" s="312"/>
      <c r="N8833" s="514"/>
      <c r="R8833" s="293"/>
      <c r="S8833" s="316"/>
      <c r="T8833" s="355"/>
    </row>
    <row r="8834" spans="11:20" x14ac:dyDescent="0.25">
      <c r="K8834" s="312"/>
      <c r="N8834" s="514"/>
      <c r="R8834" s="293"/>
      <c r="S8834" s="316"/>
      <c r="T8834" s="355"/>
    </row>
    <row r="8835" spans="11:20" x14ac:dyDescent="0.25">
      <c r="K8835" s="312"/>
      <c r="N8835" s="514"/>
      <c r="R8835" s="293"/>
      <c r="S8835" s="316"/>
      <c r="T8835" s="355"/>
    </row>
    <row r="8836" spans="11:20" x14ac:dyDescent="0.25">
      <c r="K8836" s="312"/>
      <c r="N8836" s="514"/>
      <c r="R8836" s="293"/>
      <c r="S8836" s="316"/>
      <c r="T8836" s="355"/>
    </row>
    <row r="8837" spans="11:20" x14ac:dyDescent="0.25">
      <c r="K8837" s="312"/>
      <c r="N8837" s="514"/>
      <c r="R8837" s="293"/>
      <c r="S8837" s="316"/>
      <c r="T8837" s="355"/>
    </row>
    <row r="8838" spans="11:20" x14ac:dyDescent="0.25">
      <c r="K8838" s="312"/>
      <c r="N8838" s="514"/>
      <c r="R8838" s="293"/>
      <c r="S8838" s="316"/>
      <c r="T8838" s="355"/>
    </row>
    <row r="8839" spans="11:20" x14ac:dyDescent="0.25">
      <c r="K8839" s="312"/>
      <c r="N8839" s="514"/>
      <c r="R8839" s="293"/>
      <c r="S8839" s="316"/>
      <c r="T8839" s="355"/>
    </row>
    <row r="8840" spans="11:20" x14ac:dyDescent="0.25">
      <c r="K8840" s="312"/>
      <c r="N8840" s="514"/>
      <c r="R8840" s="293"/>
      <c r="S8840" s="316"/>
      <c r="T8840" s="355"/>
    </row>
    <row r="8841" spans="11:20" x14ac:dyDescent="0.25">
      <c r="K8841" s="312"/>
      <c r="N8841" s="514"/>
      <c r="R8841" s="293"/>
      <c r="S8841" s="316"/>
      <c r="T8841" s="355"/>
    </row>
    <row r="8842" spans="11:20" x14ac:dyDescent="0.25">
      <c r="K8842" s="312"/>
      <c r="N8842" s="514"/>
      <c r="R8842" s="293"/>
      <c r="S8842" s="316"/>
      <c r="T8842" s="355"/>
    </row>
    <row r="8843" spans="11:20" x14ac:dyDescent="0.25">
      <c r="K8843" s="312"/>
      <c r="N8843" s="514"/>
      <c r="R8843" s="293"/>
      <c r="S8843" s="316"/>
      <c r="T8843" s="355"/>
    </row>
    <row r="8844" spans="11:20" x14ac:dyDescent="0.25">
      <c r="K8844" s="312"/>
      <c r="N8844" s="514"/>
      <c r="R8844" s="293"/>
      <c r="S8844" s="316"/>
      <c r="T8844" s="355"/>
    </row>
    <row r="8845" spans="11:20" x14ac:dyDescent="0.25">
      <c r="K8845" s="312"/>
      <c r="N8845" s="514"/>
      <c r="R8845" s="293"/>
      <c r="S8845" s="316"/>
      <c r="T8845" s="355"/>
    </row>
    <row r="8846" spans="11:20" x14ac:dyDescent="0.25">
      <c r="K8846" s="312"/>
      <c r="N8846" s="514"/>
      <c r="R8846" s="293"/>
      <c r="S8846" s="316"/>
      <c r="T8846" s="355"/>
    </row>
    <row r="8847" spans="11:20" x14ac:dyDescent="0.25">
      <c r="K8847" s="312"/>
      <c r="N8847" s="514"/>
      <c r="R8847" s="293"/>
      <c r="S8847" s="316"/>
      <c r="T8847" s="355"/>
    </row>
    <row r="8848" spans="11:20" x14ac:dyDescent="0.25">
      <c r="K8848" s="312"/>
      <c r="N8848" s="514"/>
      <c r="R8848" s="293"/>
      <c r="S8848" s="316"/>
      <c r="T8848" s="355"/>
    </row>
    <row r="8849" spans="11:20" x14ac:dyDescent="0.25">
      <c r="K8849" s="312"/>
      <c r="N8849" s="514"/>
      <c r="R8849" s="293"/>
      <c r="S8849" s="316"/>
      <c r="T8849" s="355"/>
    </row>
    <row r="8850" spans="11:20" x14ac:dyDescent="0.25">
      <c r="K8850" s="312"/>
      <c r="N8850" s="514"/>
      <c r="R8850" s="293"/>
      <c r="S8850" s="316"/>
      <c r="T8850" s="355"/>
    </row>
    <row r="8851" spans="11:20" x14ac:dyDescent="0.25">
      <c r="K8851" s="312"/>
      <c r="N8851" s="514"/>
      <c r="R8851" s="293"/>
      <c r="S8851" s="316"/>
      <c r="T8851" s="355"/>
    </row>
    <row r="8852" spans="11:20" x14ac:dyDescent="0.25">
      <c r="K8852" s="312"/>
      <c r="N8852" s="514"/>
      <c r="R8852" s="293"/>
      <c r="S8852" s="316"/>
      <c r="T8852" s="355"/>
    </row>
    <row r="8853" spans="11:20" x14ac:dyDescent="0.25">
      <c r="K8853" s="312"/>
      <c r="N8853" s="514"/>
      <c r="R8853" s="293"/>
      <c r="S8853" s="316"/>
      <c r="T8853" s="355"/>
    </row>
    <row r="8854" spans="11:20" x14ac:dyDescent="0.25">
      <c r="K8854" s="312"/>
      <c r="N8854" s="514"/>
      <c r="R8854" s="293"/>
      <c r="S8854" s="316"/>
      <c r="T8854" s="355"/>
    </row>
    <row r="8855" spans="11:20" x14ac:dyDescent="0.25">
      <c r="K8855" s="312"/>
      <c r="N8855" s="514"/>
      <c r="R8855" s="293"/>
      <c r="S8855" s="316"/>
      <c r="T8855" s="355"/>
    </row>
    <row r="8856" spans="11:20" x14ac:dyDescent="0.25">
      <c r="K8856" s="312"/>
      <c r="N8856" s="514"/>
      <c r="R8856" s="293"/>
      <c r="S8856" s="316"/>
      <c r="T8856" s="355"/>
    </row>
    <row r="8857" spans="11:20" x14ac:dyDescent="0.25">
      <c r="K8857" s="312"/>
      <c r="N8857" s="514"/>
      <c r="R8857" s="293"/>
      <c r="S8857" s="316"/>
      <c r="T8857" s="355"/>
    </row>
    <row r="8858" spans="11:20" x14ac:dyDescent="0.25">
      <c r="K8858" s="312"/>
      <c r="N8858" s="514"/>
      <c r="R8858" s="293"/>
      <c r="S8858" s="316"/>
      <c r="T8858" s="355"/>
    </row>
    <row r="8859" spans="11:20" x14ac:dyDescent="0.25">
      <c r="K8859" s="312"/>
      <c r="N8859" s="514"/>
      <c r="R8859" s="293"/>
      <c r="S8859" s="316"/>
      <c r="T8859" s="355"/>
    </row>
    <row r="8860" spans="11:20" x14ac:dyDescent="0.25">
      <c r="K8860" s="312"/>
      <c r="N8860" s="514"/>
      <c r="R8860" s="293"/>
      <c r="S8860" s="316"/>
      <c r="T8860" s="355"/>
    </row>
    <row r="8861" spans="11:20" x14ac:dyDescent="0.25">
      <c r="K8861" s="312"/>
      <c r="N8861" s="514"/>
      <c r="R8861" s="293"/>
      <c r="S8861" s="316"/>
      <c r="T8861" s="355"/>
    </row>
    <row r="8862" spans="11:20" x14ac:dyDescent="0.25">
      <c r="K8862" s="312"/>
      <c r="N8862" s="514"/>
      <c r="R8862" s="293"/>
      <c r="S8862" s="316"/>
      <c r="T8862" s="355"/>
    </row>
    <row r="8863" spans="11:20" x14ac:dyDescent="0.25">
      <c r="K8863" s="312"/>
      <c r="N8863" s="514"/>
      <c r="R8863" s="293"/>
      <c r="S8863" s="316"/>
      <c r="T8863" s="355"/>
    </row>
    <row r="8864" spans="11:20" x14ac:dyDescent="0.25">
      <c r="K8864" s="312"/>
      <c r="N8864" s="514"/>
      <c r="R8864" s="293"/>
      <c r="S8864" s="316"/>
      <c r="T8864" s="355"/>
    </row>
    <row r="8865" spans="11:20" x14ac:dyDescent="0.25">
      <c r="K8865" s="312"/>
      <c r="N8865" s="514"/>
      <c r="R8865" s="293"/>
      <c r="S8865" s="316"/>
      <c r="T8865" s="355"/>
    </row>
    <row r="8866" spans="11:20" x14ac:dyDescent="0.25">
      <c r="K8866" s="312"/>
      <c r="N8866" s="514"/>
      <c r="R8866" s="293"/>
      <c r="S8866" s="316"/>
      <c r="T8866" s="355"/>
    </row>
    <row r="8867" spans="11:20" x14ac:dyDescent="0.25">
      <c r="K8867" s="312"/>
      <c r="N8867" s="514"/>
      <c r="R8867" s="293"/>
      <c r="S8867" s="316"/>
      <c r="T8867" s="355"/>
    </row>
    <row r="8868" spans="11:20" x14ac:dyDescent="0.25">
      <c r="K8868" s="312"/>
      <c r="N8868" s="514"/>
      <c r="R8868" s="293"/>
      <c r="S8868" s="316"/>
      <c r="T8868" s="355"/>
    </row>
    <row r="8869" spans="11:20" x14ac:dyDescent="0.25">
      <c r="K8869" s="312"/>
      <c r="N8869" s="514"/>
      <c r="R8869" s="293"/>
      <c r="S8869" s="316"/>
      <c r="T8869" s="355"/>
    </row>
    <row r="8870" spans="11:20" x14ac:dyDescent="0.25">
      <c r="K8870" s="312"/>
      <c r="N8870" s="514"/>
      <c r="R8870" s="293"/>
      <c r="S8870" s="316"/>
      <c r="T8870" s="355"/>
    </row>
    <row r="8871" spans="11:20" x14ac:dyDescent="0.25">
      <c r="K8871" s="312"/>
      <c r="N8871" s="514"/>
      <c r="R8871" s="293"/>
      <c r="S8871" s="316"/>
      <c r="T8871" s="355"/>
    </row>
    <row r="8872" spans="11:20" x14ac:dyDescent="0.25">
      <c r="K8872" s="312"/>
      <c r="N8872" s="514"/>
      <c r="R8872" s="293"/>
      <c r="S8872" s="316"/>
      <c r="T8872" s="355"/>
    </row>
    <row r="8873" spans="11:20" x14ac:dyDescent="0.25">
      <c r="K8873" s="312"/>
      <c r="N8873" s="514"/>
      <c r="R8873" s="293"/>
      <c r="S8873" s="316"/>
      <c r="T8873" s="355"/>
    </row>
    <row r="8874" spans="11:20" x14ac:dyDescent="0.25">
      <c r="K8874" s="312"/>
      <c r="N8874" s="514"/>
      <c r="R8874" s="293"/>
      <c r="S8874" s="316"/>
      <c r="T8874" s="355"/>
    </row>
    <row r="8875" spans="11:20" x14ac:dyDescent="0.25">
      <c r="K8875" s="312"/>
      <c r="N8875" s="514"/>
      <c r="R8875" s="293"/>
      <c r="S8875" s="316"/>
      <c r="T8875" s="355"/>
    </row>
    <row r="8876" spans="11:20" x14ac:dyDescent="0.25">
      <c r="K8876" s="312"/>
      <c r="N8876" s="514"/>
      <c r="R8876" s="293"/>
      <c r="S8876" s="316"/>
      <c r="T8876" s="355"/>
    </row>
    <row r="8877" spans="11:20" x14ac:dyDescent="0.25">
      <c r="K8877" s="312"/>
      <c r="N8877" s="514"/>
      <c r="R8877" s="293"/>
      <c r="S8877" s="316"/>
      <c r="T8877" s="355"/>
    </row>
    <row r="8878" spans="11:20" x14ac:dyDescent="0.25">
      <c r="K8878" s="312"/>
      <c r="N8878" s="514"/>
      <c r="R8878" s="293"/>
      <c r="S8878" s="316"/>
      <c r="T8878" s="355"/>
    </row>
    <row r="8879" spans="11:20" x14ac:dyDescent="0.25">
      <c r="K8879" s="312"/>
      <c r="N8879" s="514"/>
      <c r="R8879" s="293"/>
      <c r="S8879" s="316"/>
      <c r="T8879" s="355"/>
    </row>
    <row r="8880" spans="11:20" x14ac:dyDescent="0.25">
      <c r="K8880" s="312"/>
      <c r="N8880" s="514"/>
      <c r="R8880" s="293"/>
      <c r="S8880" s="316"/>
      <c r="T8880" s="355"/>
    </row>
    <row r="8881" spans="11:20" x14ac:dyDescent="0.25">
      <c r="K8881" s="312"/>
      <c r="N8881" s="514"/>
      <c r="R8881" s="293"/>
      <c r="S8881" s="316"/>
      <c r="T8881" s="355"/>
    </row>
    <row r="8882" spans="11:20" x14ac:dyDescent="0.25">
      <c r="K8882" s="312"/>
      <c r="N8882" s="514"/>
      <c r="R8882" s="293"/>
      <c r="S8882" s="316"/>
      <c r="T8882" s="355"/>
    </row>
    <row r="8883" spans="11:20" x14ac:dyDescent="0.25">
      <c r="K8883" s="312"/>
      <c r="N8883" s="514"/>
      <c r="R8883" s="293"/>
      <c r="S8883" s="316"/>
      <c r="T8883" s="355"/>
    </row>
    <row r="8884" spans="11:20" x14ac:dyDescent="0.25">
      <c r="K8884" s="312"/>
      <c r="N8884" s="514"/>
      <c r="R8884" s="293"/>
      <c r="S8884" s="316"/>
      <c r="T8884" s="355"/>
    </row>
    <row r="8885" spans="11:20" x14ac:dyDescent="0.25">
      <c r="K8885" s="312"/>
      <c r="N8885" s="514"/>
      <c r="R8885" s="293"/>
      <c r="S8885" s="316"/>
      <c r="T8885" s="355"/>
    </row>
    <row r="8886" spans="11:20" x14ac:dyDescent="0.25">
      <c r="K8886" s="312"/>
      <c r="N8886" s="514"/>
      <c r="R8886" s="293"/>
      <c r="S8886" s="316"/>
      <c r="T8886" s="355"/>
    </row>
    <row r="8887" spans="11:20" x14ac:dyDescent="0.25">
      <c r="K8887" s="312"/>
      <c r="N8887" s="514"/>
      <c r="R8887" s="293"/>
      <c r="S8887" s="316"/>
      <c r="T8887" s="355"/>
    </row>
    <row r="8888" spans="11:20" x14ac:dyDescent="0.25">
      <c r="K8888" s="312"/>
      <c r="N8888" s="514"/>
      <c r="R8888" s="293"/>
      <c r="S8888" s="316"/>
      <c r="T8888" s="355"/>
    </row>
    <row r="8889" spans="11:20" x14ac:dyDescent="0.25">
      <c r="K8889" s="312"/>
      <c r="N8889" s="514"/>
      <c r="R8889" s="293"/>
      <c r="S8889" s="316"/>
      <c r="T8889" s="355"/>
    </row>
    <row r="8890" spans="11:20" x14ac:dyDescent="0.25">
      <c r="K8890" s="312"/>
      <c r="N8890" s="514"/>
      <c r="R8890" s="293"/>
      <c r="S8890" s="316"/>
      <c r="T8890" s="355"/>
    </row>
    <row r="8891" spans="11:20" x14ac:dyDescent="0.25">
      <c r="K8891" s="312"/>
      <c r="N8891" s="514"/>
      <c r="R8891" s="293"/>
      <c r="S8891" s="316"/>
      <c r="T8891" s="355"/>
    </row>
    <row r="8892" spans="11:20" x14ac:dyDescent="0.25">
      <c r="K8892" s="312"/>
      <c r="N8892" s="514"/>
      <c r="R8892" s="293"/>
      <c r="S8892" s="316"/>
      <c r="T8892" s="355"/>
    </row>
    <row r="8893" spans="11:20" x14ac:dyDescent="0.25">
      <c r="K8893" s="312"/>
      <c r="N8893" s="514"/>
      <c r="R8893" s="293"/>
      <c r="S8893" s="316"/>
      <c r="T8893" s="355"/>
    </row>
    <row r="8894" spans="11:20" x14ac:dyDescent="0.25">
      <c r="K8894" s="312"/>
      <c r="N8894" s="514"/>
      <c r="R8894" s="293"/>
      <c r="S8894" s="316"/>
      <c r="T8894" s="355"/>
    </row>
    <row r="8895" spans="11:20" x14ac:dyDescent="0.25">
      <c r="K8895" s="312"/>
      <c r="N8895" s="514"/>
      <c r="R8895" s="293"/>
      <c r="S8895" s="316"/>
      <c r="T8895" s="355"/>
    </row>
    <row r="8896" spans="11:20" x14ac:dyDescent="0.25">
      <c r="K8896" s="312"/>
      <c r="N8896" s="514"/>
      <c r="R8896" s="293"/>
      <c r="S8896" s="316"/>
      <c r="T8896" s="355"/>
    </row>
    <row r="8897" spans="11:20" x14ac:dyDescent="0.25">
      <c r="K8897" s="312"/>
      <c r="N8897" s="514"/>
      <c r="R8897" s="293"/>
      <c r="S8897" s="316"/>
      <c r="T8897" s="355"/>
    </row>
    <row r="8898" spans="11:20" x14ac:dyDescent="0.25">
      <c r="K8898" s="312"/>
      <c r="N8898" s="514"/>
      <c r="R8898" s="293"/>
      <c r="S8898" s="316"/>
      <c r="T8898" s="355"/>
    </row>
    <row r="8899" spans="11:20" x14ac:dyDescent="0.25">
      <c r="K8899" s="312"/>
      <c r="N8899" s="514"/>
      <c r="R8899" s="293"/>
      <c r="S8899" s="316"/>
      <c r="T8899" s="355"/>
    </row>
    <row r="8900" spans="11:20" x14ac:dyDescent="0.25">
      <c r="K8900" s="312"/>
      <c r="N8900" s="514"/>
      <c r="R8900" s="293"/>
      <c r="S8900" s="316"/>
      <c r="T8900" s="355"/>
    </row>
    <row r="8901" spans="11:20" x14ac:dyDescent="0.25">
      <c r="K8901" s="312"/>
      <c r="N8901" s="514"/>
      <c r="R8901" s="293"/>
      <c r="S8901" s="316"/>
      <c r="T8901" s="355"/>
    </row>
    <row r="8902" spans="11:20" x14ac:dyDescent="0.25">
      <c r="K8902" s="312"/>
      <c r="N8902" s="514"/>
      <c r="R8902" s="293"/>
      <c r="S8902" s="316"/>
      <c r="T8902" s="355"/>
    </row>
    <row r="8903" spans="11:20" x14ac:dyDescent="0.25">
      <c r="K8903" s="312"/>
      <c r="N8903" s="514"/>
      <c r="R8903" s="293"/>
      <c r="S8903" s="316"/>
      <c r="T8903" s="355"/>
    </row>
    <row r="8904" spans="11:20" x14ac:dyDescent="0.25">
      <c r="K8904" s="312"/>
      <c r="N8904" s="514"/>
      <c r="R8904" s="293"/>
      <c r="S8904" s="316"/>
      <c r="T8904" s="355"/>
    </row>
    <row r="8905" spans="11:20" x14ac:dyDescent="0.25">
      <c r="K8905" s="312"/>
      <c r="N8905" s="514"/>
      <c r="R8905" s="293"/>
      <c r="S8905" s="316"/>
      <c r="T8905" s="355"/>
    </row>
    <row r="8906" spans="11:20" x14ac:dyDescent="0.25">
      <c r="K8906" s="312"/>
      <c r="N8906" s="514"/>
      <c r="R8906" s="293"/>
      <c r="S8906" s="316"/>
      <c r="T8906" s="355"/>
    </row>
    <row r="8907" spans="11:20" x14ac:dyDescent="0.25">
      <c r="K8907" s="312"/>
      <c r="N8907" s="514"/>
      <c r="R8907" s="293"/>
      <c r="S8907" s="316"/>
      <c r="T8907" s="355"/>
    </row>
    <row r="8908" spans="11:20" x14ac:dyDescent="0.25">
      <c r="K8908" s="312"/>
      <c r="N8908" s="514"/>
      <c r="R8908" s="293"/>
      <c r="S8908" s="316"/>
      <c r="T8908" s="355"/>
    </row>
    <row r="8909" spans="11:20" x14ac:dyDescent="0.25">
      <c r="K8909" s="312"/>
      <c r="N8909" s="514"/>
      <c r="R8909" s="293"/>
      <c r="S8909" s="316"/>
      <c r="T8909" s="355"/>
    </row>
    <row r="8910" spans="11:20" x14ac:dyDescent="0.25">
      <c r="K8910" s="312"/>
      <c r="N8910" s="514"/>
      <c r="R8910" s="293"/>
      <c r="S8910" s="316"/>
      <c r="T8910" s="355"/>
    </row>
    <row r="8911" spans="11:20" x14ac:dyDescent="0.25">
      <c r="K8911" s="312"/>
      <c r="N8911" s="514"/>
      <c r="R8911" s="293"/>
      <c r="S8911" s="316"/>
      <c r="T8911" s="355"/>
    </row>
    <row r="8912" spans="11:20" x14ac:dyDescent="0.25">
      <c r="K8912" s="312"/>
      <c r="N8912" s="514"/>
      <c r="R8912" s="293"/>
      <c r="S8912" s="316"/>
      <c r="T8912" s="355"/>
    </row>
    <row r="8913" spans="11:20" x14ac:dyDescent="0.25">
      <c r="K8913" s="312"/>
      <c r="N8913" s="514"/>
      <c r="R8913" s="293"/>
      <c r="S8913" s="316"/>
      <c r="T8913" s="355"/>
    </row>
    <row r="8914" spans="11:20" x14ac:dyDescent="0.25">
      <c r="K8914" s="312"/>
      <c r="N8914" s="514"/>
      <c r="R8914" s="293"/>
      <c r="S8914" s="316"/>
      <c r="T8914" s="355"/>
    </row>
    <row r="8915" spans="11:20" x14ac:dyDescent="0.25">
      <c r="K8915" s="312"/>
      <c r="N8915" s="514"/>
      <c r="R8915" s="293"/>
      <c r="S8915" s="316"/>
      <c r="T8915" s="355"/>
    </row>
    <row r="8916" spans="11:20" x14ac:dyDescent="0.25">
      <c r="K8916" s="312"/>
      <c r="N8916" s="514"/>
      <c r="R8916" s="293"/>
      <c r="S8916" s="316"/>
      <c r="T8916" s="355"/>
    </row>
    <row r="8917" spans="11:20" x14ac:dyDescent="0.25">
      <c r="K8917" s="312"/>
      <c r="N8917" s="514"/>
      <c r="R8917" s="293"/>
      <c r="S8917" s="316"/>
      <c r="T8917" s="355"/>
    </row>
    <row r="8918" spans="11:20" x14ac:dyDescent="0.25">
      <c r="K8918" s="312"/>
      <c r="N8918" s="514"/>
      <c r="R8918" s="293"/>
      <c r="S8918" s="316"/>
      <c r="T8918" s="355"/>
    </row>
    <row r="8919" spans="11:20" x14ac:dyDescent="0.25">
      <c r="K8919" s="312"/>
      <c r="N8919" s="514"/>
      <c r="R8919" s="293"/>
      <c r="S8919" s="316"/>
      <c r="T8919" s="355"/>
    </row>
    <row r="8920" spans="11:20" x14ac:dyDescent="0.25">
      <c r="K8920" s="312"/>
      <c r="N8920" s="514"/>
      <c r="R8920" s="293"/>
      <c r="S8920" s="316"/>
      <c r="T8920" s="355"/>
    </row>
    <row r="8921" spans="11:20" x14ac:dyDescent="0.25">
      <c r="K8921" s="312"/>
      <c r="N8921" s="514"/>
      <c r="R8921" s="293"/>
      <c r="S8921" s="316"/>
      <c r="T8921" s="355"/>
    </row>
    <row r="8922" spans="11:20" x14ac:dyDescent="0.25">
      <c r="K8922" s="312"/>
      <c r="N8922" s="514"/>
      <c r="R8922" s="293"/>
      <c r="S8922" s="316"/>
      <c r="T8922" s="355"/>
    </row>
    <row r="8923" spans="11:20" x14ac:dyDescent="0.25">
      <c r="K8923" s="312"/>
      <c r="N8923" s="514"/>
      <c r="R8923" s="293"/>
      <c r="S8923" s="316"/>
      <c r="T8923" s="355"/>
    </row>
    <row r="8924" spans="11:20" x14ac:dyDescent="0.25">
      <c r="K8924" s="312"/>
      <c r="N8924" s="514"/>
      <c r="R8924" s="293"/>
      <c r="S8924" s="316"/>
      <c r="T8924" s="355"/>
    </row>
    <row r="8925" spans="11:20" x14ac:dyDescent="0.25">
      <c r="K8925" s="312"/>
      <c r="N8925" s="514"/>
      <c r="R8925" s="293"/>
      <c r="S8925" s="316"/>
      <c r="T8925" s="355"/>
    </row>
    <row r="8926" spans="11:20" x14ac:dyDescent="0.25">
      <c r="K8926" s="312"/>
      <c r="N8926" s="514"/>
      <c r="R8926" s="293"/>
      <c r="S8926" s="316"/>
      <c r="T8926" s="355"/>
    </row>
    <row r="8927" spans="11:20" x14ac:dyDescent="0.25">
      <c r="K8927" s="312"/>
      <c r="N8927" s="514"/>
      <c r="R8927" s="293"/>
      <c r="S8927" s="316"/>
      <c r="T8927" s="355"/>
    </row>
    <row r="8928" spans="11:20" x14ac:dyDescent="0.25">
      <c r="K8928" s="312"/>
      <c r="N8928" s="514"/>
      <c r="R8928" s="293"/>
      <c r="S8928" s="316"/>
      <c r="T8928" s="355"/>
    </row>
    <row r="8929" spans="11:20" x14ac:dyDescent="0.25">
      <c r="K8929" s="312"/>
      <c r="N8929" s="514"/>
      <c r="R8929" s="293"/>
      <c r="S8929" s="316"/>
      <c r="T8929" s="355"/>
    </row>
    <row r="8930" spans="11:20" x14ac:dyDescent="0.25">
      <c r="K8930" s="312"/>
      <c r="N8930" s="514"/>
      <c r="R8930" s="293"/>
      <c r="S8930" s="316"/>
      <c r="T8930" s="355"/>
    </row>
    <row r="8931" spans="11:20" x14ac:dyDescent="0.25">
      <c r="K8931" s="312"/>
      <c r="N8931" s="514"/>
      <c r="R8931" s="293"/>
      <c r="S8931" s="316"/>
      <c r="T8931" s="355"/>
    </row>
    <row r="8932" spans="11:20" x14ac:dyDescent="0.25">
      <c r="K8932" s="312"/>
      <c r="N8932" s="514"/>
      <c r="R8932" s="293"/>
      <c r="S8932" s="316"/>
      <c r="T8932" s="355"/>
    </row>
    <row r="8933" spans="11:20" x14ac:dyDescent="0.25">
      <c r="K8933" s="312"/>
      <c r="N8933" s="514"/>
      <c r="R8933" s="293"/>
      <c r="S8933" s="316"/>
      <c r="T8933" s="355"/>
    </row>
    <row r="8934" spans="11:20" x14ac:dyDescent="0.25">
      <c r="K8934" s="312"/>
      <c r="N8934" s="514"/>
      <c r="R8934" s="293"/>
      <c r="S8934" s="316"/>
      <c r="T8934" s="355"/>
    </row>
    <row r="8935" spans="11:20" x14ac:dyDescent="0.25">
      <c r="K8935" s="312"/>
      <c r="N8935" s="514"/>
      <c r="R8935" s="293"/>
      <c r="S8935" s="316"/>
      <c r="T8935" s="355"/>
    </row>
    <row r="8936" spans="11:20" x14ac:dyDescent="0.25">
      <c r="K8936" s="312"/>
      <c r="N8936" s="514"/>
      <c r="R8936" s="293"/>
      <c r="S8936" s="316"/>
      <c r="T8936" s="355"/>
    </row>
    <row r="8937" spans="11:20" x14ac:dyDescent="0.25">
      <c r="K8937" s="312"/>
      <c r="N8937" s="514"/>
      <c r="R8937" s="293"/>
      <c r="S8937" s="316"/>
      <c r="T8937" s="355"/>
    </row>
    <row r="8938" spans="11:20" x14ac:dyDescent="0.25">
      <c r="K8938" s="312"/>
      <c r="N8938" s="514"/>
      <c r="R8938" s="293"/>
      <c r="S8938" s="316"/>
      <c r="T8938" s="355"/>
    </row>
    <row r="8939" spans="11:20" x14ac:dyDescent="0.25">
      <c r="K8939" s="312"/>
      <c r="N8939" s="514"/>
      <c r="R8939" s="293"/>
      <c r="S8939" s="316"/>
      <c r="T8939" s="355"/>
    </row>
    <row r="8940" spans="11:20" x14ac:dyDescent="0.25">
      <c r="K8940" s="312"/>
      <c r="N8940" s="514"/>
      <c r="R8940" s="293"/>
      <c r="S8940" s="316"/>
      <c r="T8940" s="355"/>
    </row>
    <row r="8941" spans="11:20" x14ac:dyDescent="0.25">
      <c r="K8941" s="312"/>
      <c r="N8941" s="514"/>
      <c r="R8941" s="293"/>
      <c r="S8941" s="316"/>
      <c r="T8941" s="355"/>
    </row>
    <row r="8942" spans="11:20" x14ac:dyDescent="0.25">
      <c r="K8942" s="312"/>
      <c r="N8942" s="514"/>
      <c r="R8942" s="293"/>
      <c r="S8942" s="316"/>
      <c r="T8942" s="355"/>
    </row>
    <row r="8943" spans="11:20" x14ac:dyDescent="0.25">
      <c r="K8943" s="312"/>
      <c r="N8943" s="514"/>
      <c r="R8943" s="293"/>
      <c r="S8943" s="316"/>
      <c r="T8943" s="355"/>
    </row>
    <row r="8944" spans="11:20" x14ac:dyDescent="0.25">
      <c r="K8944" s="312"/>
      <c r="N8944" s="514"/>
      <c r="R8944" s="293"/>
      <c r="S8944" s="316"/>
      <c r="T8944" s="355"/>
    </row>
    <row r="8945" spans="11:20" x14ac:dyDescent="0.25">
      <c r="K8945" s="312"/>
      <c r="N8945" s="514"/>
      <c r="R8945" s="293"/>
      <c r="S8945" s="316"/>
      <c r="T8945" s="355"/>
    </row>
    <row r="8946" spans="11:20" x14ac:dyDescent="0.25">
      <c r="K8946" s="312"/>
      <c r="N8946" s="514"/>
      <c r="R8946" s="293"/>
      <c r="S8946" s="316"/>
      <c r="T8946" s="355"/>
    </row>
    <row r="8947" spans="11:20" x14ac:dyDescent="0.25">
      <c r="K8947" s="312"/>
      <c r="N8947" s="514"/>
      <c r="R8947" s="293"/>
      <c r="S8947" s="316"/>
      <c r="T8947" s="355"/>
    </row>
    <row r="8948" spans="11:20" x14ac:dyDescent="0.25">
      <c r="K8948" s="312"/>
      <c r="N8948" s="514"/>
      <c r="R8948" s="293"/>
      <c r="S8948" s="316"/>
      <c r="T8948" s="355"/>
    </row>
    <row r="8949" spans="11:20" x14ac:dyDescent="0.25">
      <c r="K8949" s="312"/>
      <c r="N8949" s="514"/>
      <c r="R8949" s="293"/>
      <c r="S8949" s="316"/>
      <c r="T8949" s="355"/>
    </row>
    <row r="8950" spans="11:20" x14ac:dyDescent="0.25">
      <c r="K8950" s="312"/>
      <c r="N8950" s="514"/>
      <c r="R8950" s="293"/>
      <c r="S8950" s="316"/>
      <c r="T8950" s="355"/>
    </row>
    <row r="8951" spans="11:20" x14ac:dyDescent="0.25">
      <c r="K8951" s="312"/>
      <c r="N8951" s="514"/>
      <c r="R8951" s="293"/>
      <c r="S8951" s="316"/>
      <c r="T8951" s="355"/>
    </row>
    <row r="8952" spans="11:20" x14ac:dyDescent="0.25">
      <c r="K8952" s="312"/>
      <c r="N8952" s="514"/>
      <c r="R8952" s="293"/>
      <c r="S8952" s="316"/>
      <c r="T8952" s="355"/>
    </row>
    <row r="8953" spans="11:20" x14ac:dyDescent="0.25">
      <c r="K8953" s="312"/>
      <c r="N8953" s="514"/>
      <c r="R8953" s="293"/>
      <c r="S8953" s="316"/>
      <c r="T8953" s="355"/>
    </row>
    <row r="8954" spans="11:20" x14ac:dyDescent="0.25">
      <c r="K8954" s="312"/>
      <c r="N8954" s="514"/>
      <c r="R8954" s="293"/>
      <c r="S8954" s="316"/>
      <c r="T8954" s="355"/>
    </row>
    <row r="8955" spans="11:20" x14ac:dyDescent="0.25">
      <c r="K8955" s="312"/>
      <c r="N8955" s="514"/>
      <c r="R8955" s="293"/>
      <c r="S8955" s="316"/>
      <c r="T8955" s="355"/>
    </row>
    <row r="8956" spans="11:20" x14ac:dyDescent="0.25">
      <c r="K8956" s="312"/>
      <c r="N8956" s="514"/>
      <c r="R8956" s="293"/>
      <c r="S8956" s="316"/>
      <c r="T8956" s="355"/>
    </row>
    <row r="8957" spans="11:20" x14ac:dyDescent="0.25">
      <c r="K8957" s="312"/>
      <c r="N8957" s="514"/>
      <c r="R8957" s="293"/>
      <c r="S8957" s="316"/>
      <c r="T8957" s="355"/>
    </row>
    <row r="8958" spans="11:20" x14ac:dyDescent="0.25">
      <c r="K8958" s="312"/>
      <c r="N8958" s="514"/>
      <c r="R8958" s="293"/>
      <c r="S8958" s="316"/>
      <c r="T8958" s="355"/>
    </row>
    <row r="8959" spans="11:20" x14ac:dyDescent="0.25">
      <c r="K8959" s="312"/>
      <c r="N8959" s="514"/>
      <c r="R8959" s="293"/>
      <c r="S8959" s="316"/>
      <c r="T8959" s="355"/>
    </row>
    <row r="8960" spans="11:20" x14ac:dyDescent="0.25">
      <c r="K8960" s="312"/>
      <c r="N8960" s="514"/>
      <c r="R8960" s="293"/>
      <c r="S8960" s="316"/>
      <c r="T8960" s="355"/>
    </row>
    <row r="8961" spans="11:20" x14ac:dyDescent="0.25">
      <c r="K8961" s="312"/>
      <c r="N8961" s="514"/>
      <c r="R8961" s="293"/>
      <c r="S8961" s="316"/>
      <c r="T8961" s="355"/>
    </row>
    <row r="8962" spans="11:20" x14ac:dyDescent="0.25">
      <c r="K8962" s="312"/>
      <c r="N8962" s="514"/>
      <c r="R8962" s="293"/>
      <c r="S8962" s="316"/>
      <c r="T8962" s="355"/>
    </row>
    <row r="8963" spans="11:20" x14ac:dyDescent="0.25">
      <c r="K8963" s="312"/>
      <c r="N8963" s="514"/>
      <c r="R8963" s="293"/>
      <c r="S8963" s="316"/>
      <c r="T8963" s="355"/>
    </row>
    <row r="8964" spans="11:20" x14ac:dyDescent="0.25">
      <c r="K8964" s="312"/>
      <c r="N8964" s="514"/>
      <c r="R8964" s="293"/>
      <c r="S8964" s="316"/>
      <c r="T8964" s="355"/>
    </row>
    <row r="8965" spans="11:20" x14ac:dyDescent="0.25">
      <c r="K8965" s="312"/>
      <c r="N8965" s="514"/>
      <c r="R8965" s="293"/>
      <c r="S8965" s="316"/>
      <c r="T8965" s="355"/>
    </row>
    <row r="8966" spans="11:20" x14ac:dyDescent="0.25">
      <c r="K8966" s="312"/>
      <c r="N8966" s="514"/>
      <c r="R8966" s="293"/>
      <c r="S8966" s="316"/>
      <c r="T8966" s="355"/>
    </row>
    <row r="8967" spans="11:20" x14ac:dyDescent="0.25">
      <c r="K8967" s="312"/>
      <c r="N8967" s="514"/>
      <c r="R8967" s="293"/>
      <c r="S8967" s="316"/>
      <c r="T8967" s="355"/>
    </row>
    <row r="8968" spans="11:20" x14ac:dyDescent="0.25">
      <c r="K8968" s="312"/>
      <c r="N8968" s="514"/>
      <c r="R8968" s="293"/>
      <c r="S8968" s="316"/>
      <c r="T8968" s="355"/>
    </row>
    <row r="8969" spans="11:20" x14ac:dyDescent="0.25">
      <c r="K8969" s="312"/>
      <c r="N8969" s="514"/>
      <c r="R8969" s="293"/>
      <c r="S8969" s="316"/>
      <c r="T8969" s="355"/>
    </row>
    <row r="8970" spans="11:20" x14ac:dyDescent="0.25">
      <c r="K8970" s="312"/>
      <c r="N8970" s="514"/>
      <c r="R8970" s="293"/>
      <c r="S8970" s="316"/>
      <c r="T8970" s="355"/>
    </row>
    <row r="8971" spans="11:20" x14ac:dyDescent="0.25">
      <c r="K8971" s="312"/>
      <c r="N8971" s="514"/>
      <c r="R8971" s="293"/>
      <c r="S8971" s="316"/>
      <c r="T8971" s="355"/>
    </row>
    <row r="8972" spans="11:20" x14ac:dyDescent="0.25">
      <c r="K8972" s="312"/>
      <c r="N8972" s="514"/>
      <c r="R8972" s="293"/>
      <c r="S8972" s="316"/>
      <c r="T8972" s="355"/>
    </row>
    <row r="8973" spans="11:20" x14ac:dyDescent="0.25">
      <c r="K8973" s="312"/>
      <c r="N8973" s="514"/>
      <c r="R8973" s="293"/>
      <c r="S8973" s="316"/>
      <c r="T8973" s="355"/>
    </row>
    <row r="8974" spans="11:20" x14ac:dyDescent="0.25">
      <c r="K8974" s="312"/>
      <c r="N8974" s="514"/>
      <c r="R8974" s="293"/>
      <c r="S8974" s="316"/>
      <c r="T8974" s="355"/>
    </row>
    <row r="8975" spans="11:20" x14ac:dyDescent="0.25">
      <c r="K8975" s="312"/>
      <c r="N8975" s="514"/>
      <c r="R8975" s="293"/>
      <c r="S8975" s="316"/>
      <c r="T8975" s="355"/>
    </row>
    <row r="8976" spans="11:20" x14ac:dyDescent="0.25">
      <c r="K8976" s="312"/>
      <c r="N8976" s="514"/>
      <c r="R8976" s="293"/>
      <c r="S8976" s="316"/>
      <c r="T8976" s="355"/>
    </row>
    <row r="8977" spans="11:20" x14ac:dyDescent="0.25">
      <c r="K8977" s="312"/>
      <c r="N8977" s="514"/>
      <c r="R8977" s="293"/>
      <c r="S8977" s="316"/>
      <c r="T8977" s="355"/>
    </row>
    <row r="8978" spans="11:20" x14ac:dyDescent="0.25">
      <c r="K8978" s="312"/>
      <c r="N8978" s="514"/>
      <c r="R8978" s="293"/>
      <c r="S8978" s="316"/>
      <c r="T8978" s="355"/>
    </row>
    <row r="8979" spans="11:20" x14ac:dyDescent="0.25">
      <c r="K8979" s="312"/>
      <c r="N8979" s="514"/>
      <c r="R8979" s="293"/>
      <c r="S8979" s="316"/>
      <c r="T8979" s="355"/>
    </row>
    <row r="8980" spans="11:20" x14ac:dyDescent="0.25">
      <c r="K8980" s="312"/>
      <c r="N8980" s="514"/>
      <c r="R8980" s="293"/>
      <c r="S8980" s="316"/>
      <c r="T8980" s="355"/>
    </row>
    <row r="8981" spans="11:20" x14ac:dyDescent="0.25">
      <c r="K8981" s="312"/>
      <c r="N8981" s="514"/>
      <c r="R8981" s="293"/>
      <c r="S8981" s="316"/>
      <c r="T8981" s="355"/>
    </row>
    <row r="8982" spans="11:20" x14ac:dyDescent="0.25">
      <c r="K8982" s="312"/>
      <c r="N8982" s="514"/>
      <c r="R8982" s="293"/>
      <c r="S8982" s="316"/>
      <c r="T8982" s="355"/>
    </row>
    <row r="8983" spans="11:20" x14ac:dyDescent="0.25">
      <c r="K8983" s="312"/>
      <c r="N8983" s="514"/>
      <c r="R8983" s="293"/>
      <c r="S8983" s="316"/>
      <c r="T8983" s="355"/>
    </row>
    <row r="8984" spans="11:20" x14ac:dyDescent="0.25">
      <c r="K8984" s="312"/>
      <c r="N8984" s="514"/>
      <c r="R8984" s="293"/>
      <c r="S8984" s="316"/>
      <c r="T8984" s="355"/>
    </row>
    <row r="8985" spans="11:20" x14ac:dyDescent="0.25">
      <c r="K8985" s="312"/>
      <c r="N8985" s="514"/>
      <c r="R8985" s="293"/>
      <c r="S8985" s="316"/>
      <c r="T8985" s="355"/>
    </row>
    <row r="8986" spans="11:20" x14ac:dyDescent="0.25">
      <c r="K8986" s="312"/>
      <c r="N8986" s="514"/>
      <c r="R8986" s="293"/>
      <c r="S8986" s="316"/>
      <c r="T8986" s="355"/>
    </row>
    <row r="8987" spans="11:20" x14ac:dyDescent="0.25">
      <c r="K8987" s="312"/>
      <c r="N8987" s="514"/>
      <c r="R8987" s="293"/>
      <c r="S8987" s="316"/>
      <c r="T8987" s="355"/>
    </row>
    <row r="8988" spans="11:20" x14ac:dyDescent="0.25">
      <c r="K8988" s="312"/>
      <c r="N8988" s="514"/>
      <c r="R8988" s="293"/>
      <c r="S8988" s="316"/>
      <c r="T8988" s="355"/>
    </row>
    <row r="8989" spans="11:20" x14ac:dyDescent="0.25">
      <c r="K8989" s="312"/>
      <c r="N8989" s="514"/>
      <c r="R8989" s="293"/>
      <c r="S8989" s="316"/>
      <c r="T8989" s="355"/>
    </row>
    <row r="8990" spans="11:20" x14ac:dyDescent="0.25">
      <c r="K8990" s="312"/>
      <c r="N8990" s="514"/>
      <c r="R8990" s="293"/>
      <c r="S8990" s="316"/>
      <c r="T8990" s="355"/>
    </row>
    <row r="8991" spans="11:20" x14ac:dyDescent="0.25">
      <c r="K8991" s="312"/>
      <c r="N8991" s="514"/>
      <c r="R8991" s="293"/>
      <c r="S8991" s="316"/>
      <c r="T8991" s="355"/>
    </row>
    <row r="8992" spans="11:20" x14ac:dyDescent="0.25">
      <c r="K8992" s="312"/>
      <c r="N8992" s="514"/>
      <c r="R8992" s="293"/>
      <c r="S8992" s="316"/>
      <c r="T8992" s="355"/>
    </row>
    <row r="8993" spans="11:20" x14ac:dyDescent="0.25">
      <c r="K8993" s="312"/>
      <c r="N8993" s="514"/>
      <c r="R8993" s="293"/>
      <c r="S8993" s="316"/>
      <c r="T8993" s="355"/>
    </row>
    <row r="8994" spans="11:20" x14ac:dyDescent="0.25">
      <c r="K8994" s="312"/>
      <c r="N8994" s="514"/>
      <c r="R8994" s="293"/>
      <c r="S8994" s="316"/>
      <c r="T8994" s="355"/>
    </row>
    <row r="8995" spans="11:20" x14ac:dyDescent="0.25">
      <c r="K8995" s="312"/>
      <c r="N8995" s="514"/>
      <c r="R8995" s="293"/>
      <c r="S8995" s="316"/>
      <c r="T8995" s="355"/>
    </row>
    <row r="8996" spans="11:20" x14ac:dyDescent="0.25">
      <c r="K8996" s="312"/>
      <c r="N8996" s="514"/>
      <c r="R8996" s="293"/>
      <c r="S8996" s="316"/>
      <c r="T8996" s="355"/>
    </row>
    <row r="8997" spans="11:20" x14ac:dyDescent="0.25">
      <c r="K8997" s="312"/>
      <c r="N8997" s="514"/>
      <c r="R8997" s="293"/>
      <c r="S8997" s="316"/>
      <c r="T8997" s="355"/>
    </row>
    <row r="8998" spans="11:20" x14ac:dyDescent="0.25">
      <c r="K8998" s="312"/>
      <c r="N8998" s="514"/>
      <c r="R8998" s="293"/>
      <c r="S8998" s="316"/>
      <c r="T8998" s="355"/>
    </row>
    <row r="8999" spans="11:20" x14ac:dyDescent="0.25">
      <c r="K8999" s="312"/>
      <c r="N8999" s="514"/>
      <c r="R8999" s="293"/>
      <c r="S8999" s="316"/>
      <c r="T8999" s="355"/>
    </row>
    <row r="9000" spans="11:20" x14ac:dyDescent="0.25">
      <c r="K9000" s="312"/>
      <c r="N9000" s="514"/>
      <c r="R9000" s="293"/>
      <c r="S9000" s="316"/>
      <c r="T9000" s="355"/>
    </row>
    <row r="9001" spans="11:20" x14ac:dyDescent="0.25">
      <c r="K9001" s="312"/>
      <c r="N9001" s="514"/>
      <c r="R9001" s="293"/>
      <c r="S9001" s="316"/>
      <c r="T9001" s="355"/>
    </row>
    <row r="9002" spans="11:20" x14ac:dyDescent="0.25">
      <c r="K9002" s="312"/>
      <c r="N9002" s="514"/>
      <c r="R9002" s="293"/>
      <c r="S9002" s="316"/>
      <c r="T9002" s="355"/>
    </row>
    <row r="9003" spans="11:20" x14ac:dyDescent="0.25">
      <c r="K9003" s="312"/>
      <c r="N9003" s="514"/>
      <c r="R9003" s="293"/>
      <c r="S9003" s="316"/>
      <c r="T9003" s="355"/>
    </row>
    <row r="9004" spans="11:20" x14ac:dyDescent="0.25">
      <c r="K9004" s="312"/>
      <c r="N9004" s="514"/>
      <c r="R9004" s="293"/>
      <c r="S9004" s="316"/>
      <c r="T9004" s="355"/>
    </row>
    <row r="9005" spans="11:20" x14ac:dyDescent="0.25">
      <c r="K9005" s="312"/>
      <c r="N9005" s="514"/>
      <c r="R9005" s="293"/>
      <c r="S9005" s="316"/>
      <c r="T9005" s="355"/>
    </row>
    <row r="9006" spans="11:20" x14ac:dyDescent="0.25">
      <c r="K9006" s="312"/>
      <c r="N9006" s="514"/>
      <c r="R9006" s="293"/>
      <c r="S9006" s="316"/>
      <c r="T9006" s="355"/>
    </row>
    <row r="9007" spans="11:20" x14ac:dyDescent="0.25">
      <c r="K9007" s="312"/>
      <c r="N9007" s="514"/>
      <c r="R9007" s="293"/>
      <c r="S9007" s="316"/>
      <c r="T9007" s="355"/>
    </row>
    <row r="9008" spans="11:20" x14ac:dyDescent="0.25">
      <c r="K9008" s="312"/>
      <c r="N9008" s="514"/>
      <c r="R9008" s="293"/>
      <c r="S9008" s="316"/>
      <c r="T9008" s="355"/>
    </row>
    <row r="9009" spans="11:20" x14ac:dyDescent="0.25">
      <c r="K9009" s="312"/>
      <c r="N9009" s="514"/>
      <c r="R9009" s="293"/>
      <c r="S9009" s="316"/>
      <c r="T9009" s="355"/>
    </row>
    <row r="9010" spans="11:20" x14ac:dyDescent="0.25">
      <c r="K9010" s="312"/>
      <c r="N9010" s="514"/>
      <c r="R9010" s="293"/>
      <c r="S9010" s="316"/>
      <c r="T9010" s="355"/>
    </row>
    <row r="9011" spans="11:20" x14ac:dyDescent="0.25">
      <c r="K9011" s="312"/>
      <c r="N9011" s="514"/>
      <c r="R9011" s="293"/>
      <c r="S9011" s="316"/>
      <c r="T9011" s="355"/>
    </row>
    <row r="9012" spans="11:20" x14ac:dyDescent="0.25">
      <c r="K9012" s="312"/>
      <c r="N9012" s="514"/>
      <c r="R9012" s="293"/>
      <c r="S9012" s="316"/>
      <c r="T9012" s="355"/>
    </row>
    <row r="9013" spans="11:20" x14ac:dyDescent="0.25">
      <c r="K9013" s="312"/>
      <c r="N9013" s="514"/>
      <c r="R9013" s="293"/>
      <c r="S9013" s="316"/>
      <c r="T9013" s="355"/>
    </row>
    <row r="9014" spans="11:20" x14ac:dyDescent="0.25">
      <c r="K9014" s="312"/>
      <c r="N9014" s="514"/>
      <c r="R9014" s="293"/>
      <c r="S9014" s="316"/>
      <c r="T9014" s="355"/>
    </row>
    <row r="9015" spans="11:20" x14ac:dyDescent="0.25">
      <c r="K9015" s="312"/>
      <c r="N9015" s="514"/>
      <c r="R9015" s="293"/>
      <c r="S9015" s="316"/>
      <c r="T9015" s="355"/>
    </row>
    <row r="9016" spans="11:20" x14ac:dyDescent="0.25">
      <c r="K9016" s="312"/>
      <c r="N9016" s="514"/>
      <c r="R9016" s="293"/>
      <c r="S9016" s="316"/>
      <c r="T9016" s="355"/>
    </row>
    <row r="9017" spans="11:20" x14ac:dyDescent="0.25">
      <c r="K9017" s="312"/>
      <c r="N9017" s="514"/>
      <c r="R9017" s="293"/>
      <c r="S9017" s="316"/>
      <c r="T9017" s="355"/>
    </row>
    <row r="9018" spans="11:20" x14ac:dyDescent="0.25">
      <c r="K9018" s="312"/>
      <c r="N9018" s="514"/>
      <c r="R9018" s="293"/>
      <c r="S9018" s="316"/>
      <c r="T9018" s="355"/>
    </row>
    <row r="9019" spans="11:20" x14ac:dyDescent="0.25">
      <c r="K9019" s="312"/>
      <c r="N9019" s="514"/>
      <c r="R9019" s="293"/>
      <c r="S9019" s="316"/>
      <c r="T9019" s="355"/>
    </row>
    <row r="9020" spans="11:20" x14ac:dyDescent="0.25">
      <c r="K9020" s="312"/>
      <c r="N9020" s="514"/>
      <c r="R9020" s="293"/>
      <c r="S9020" s="316"/>
      <c r="T9020" s="355"/>
    </row>
    <row r="9021" spans="11:20" x14ac:dyDescent="0.25">
      <c r="K9021" s="312"/>
      <c r="N9021" s="514"/>
      <c r="R9021" s="293"/>
      <c r="S9021" s="316"/>
      <c r="T9021" s="355"/>
    </row>
    <row r="9022" spans="11:20" x14ac:dyDescent="0.25">
      <c r="K9022" s="312"/>
      <c r="N9022" s="514"/>
      <c r="R9022" s="293"/>
      <c r="S9022" s="316"/>
      <c r="T9022" s="355"/>
    </row>
    <row r="9023" spans="11:20" x14ac:dyDescent="0.25">
      <c r="K9023" s="312"/>
      <c r="N9023" s="514"/>
      <c r="R9023" s="293"/>
      <c r="S9023" s="316"/>
      <c r="T9023" s="355"/>
    </row>
    <row r="9024" spans="11:20" x14ac:dyDescent="0.25">
      <c r="K9024" s="312"/>
      <c r="N9024" s="514"/>
      <c r="R9024" s="293"/>
      <c r="S9024" s="316"/>
      <c r="T9024" s="355"/>
    </row>
    <row r="9025" spans="11:20" x14ac:dyDescent="0.25">
      <c r="K9025" s="312"/>
      <c r="N9025" s="514"/>
      <c r="R9025" s="293"/>
      <c r="S9025" s="316"/>
      <c r="T9025" s="355"/>
    </row>
    <row r="9026" spans="11:20" x14ac:dyDescent="0.25">
      <c r="K9026" s="312"/>
      <c r="N9026" s="514"/>
      <c r="R9026" s="293"/>
      <c r="S9026" s="316"/>
      <c r="T9026" s="355"/>
    </row>
    <row r="9027" spans="11:20" x14ac:dyDescent="0.25">
      <c r="K9027" s="312"/>
      <c r="N9027" s="514"/>
      <c r="R9027" s="293"/>
      <c r="S9027" s="316"/>
      <c r="T9027" s="355"/>
    </row>
    <row r="9028" spans="11:20" x14ac:dyDescent="0.25">
      <c r="K9028" s="312"/>
      <c r="N9028" s="514"/>
      <c r="R9028" s="293"/>
      <c r="S9028" s="316"/>
      <c r="T9028" s="355"/>
    </row>
    <row r="9029" spans="11:20" x14ac:dyDescent="0.25">
      <c r="K9029" s="312"/>
      <c r="N9029" s="514"/>
      <c r="R9029" s="293"/>
      <c r="S9029" s="316"/>
      <c r="T9029" s="355"/>
    </row>
    <row r="9030" spans="11:20" x14ac:dyDescent="0.25">
      <c r="K9030" s="312"/>
      <c r="N9030" s="514"/>
      <c r="R9030" s="293"/>
      <c r="S9030" s="316"/>
      <c r="T9030" s="355"/>
    </row>
    <row r="9031" spans="11:20" x14ac:dyDescent="0.25">
      <c r="K9031" s="312"/>
      <c r="N9031" s="514"/>
      <c r="R9031" s="293"/>
      <c r="S9031" s="316"/>
      <c r="T9031" s="355"/>
    </row>
    <row r="9032" spans="11:20" x14ac:dyDescent="0.25">
      <c r="K9032" s="312"/>
      <c r="N9032" s="514"/>
      <c r="R9032" s="293"/>
      <c r="S9032" s="316"/>
      <c r="T9032" s="355"/>
    </row>
    <row r="9033" spans="11:20" x14ac:dyDescent="0.25">
      <c r="K9033" s="312"/>
      <c r="N9033" s="514"/>
      <c r="R9033" s="293"/>
      <c r="S9033" s="316"/>
      <c r="T9033" s="355"/>
    </row>
    <row r="9034" spans="11:20" x14ac:dyDescent="0.25">
      <c r="K9034" s="312"/>
      <c r="N9034" s="514"/>
      <c r="R9034" s="293"/>
      <c r="S9034" s="316"/>
      <c r="T9034" s="355"/>
    </row>
    <row r="9035" spans="11:20" x14ac:dyDescent="0.25">
      <c r="K9035" s="312"/>
      <c r="N9035" s="514"/>
      <c r="R9035" s="293"/>
      <c r="S9035" s="316"/>
      <c r="T9035" s="355"/>
    </row>
    <row r="9036" spans="11:20" x14ac:dyDescent="0.25">
      <c r="K9036" s="312"/>
      <c r="N9036" s="514"/>
      <c r="R9036" s="293"/>
      <c r="S9036" s="316"/>
      <c r="T9036" s="355"/>
    </row>
    <row r="9037" spans="11:20" x14ac:dyDescent="0.25">
      <c r="K9037" s="312"/>
      <c r="N9037" s="514"/>
      <c r="R9037" s="293"/>
      <c r="S9037" s="316"/>
      <c r="T9037" s="355"/>
    </row>
    <row r="9038" spans="11:20" x14ac:dyDescent="0.25">
      <c r="K9038" s="312"/>
      <c r="N9038" s="514"/>
      <c r="R9038" s="293"/>
      <c r="S9038" s="316"/>
      <c r="T9038" s="355"/>
    </row>
    <row r="9039" spans="11:20" x14ac:dyDescent="0.25">
      <c r="K9039" s="312"/>
      <c r="N9039" s="514"/>
      <c r="R9039" s="293"/>
      <c r="S9039" s="316"/>
      <c r="T9039" s="355"/>
    </row>
    <row r="9040" spans="11:20" x14ac:dyDescent="0.25">
      <c r="K9040" s="312"/>
      <c r="N9040" s="514"/>
      <c r="R9040" s="293"/>
      <c r="S9040" s="316"/>
      <c r="T9040" s="355"/>
    </row>
    <row r="9041" spans="11:20" x14ac:dyDescent="0.25">
      <c r="K9041" s="312"/>
      <c r="N9041" s="514"/>
      <c r="R9041" s="293"/>
      <c r="S9041" s="316"/>
      <c r="T9041" s="355"/>
    </row>
    <row r="9042" spans="11:20" x14ac:dyDescent="0.25">
      <c r="K9042" s="312"/>
      <c r="N9042" s="514"/>
      <c r="R9042" s="293"/>
      <c r="S9042" s="316"/>
      <c r="T9042" s="355"/>
    </row>
    <row r="9043" spans="11:20" x14ac:dyDescent="0.25">
      <c r="K9043" s="312"/>
      <c r="N9043" s="514"/>
      <c r="R9043" s="293"/>
      <c r="S9043" s="316"/>
      <c r="T9043" s="355"/>
    </row>
    <row r="9044" spans="11:20" x14ac:dyDescent="0.25">
      <c r="K9044" s="312"/>
      <c r="N9044" s="514"/>
      <c r="R9044" s="293"/>
      <c r="S9044" s="316"/>
      <c r="T9044" s="355"/>
    </row>
    <row r="9045" spans="11:20" x14ac:dyDescent="0.25">
      <c r="K9045" s="312"/>
      <c r="N9045" s="514"/>
      <c r="R9045" s="293"/>
      <c r="S9045" s="316"/>
      <c r="T9045" s="355"/>
    </row>
    <row r="9046" spans="11:20" x14ac:dyDescent="0.25">
      <c r="K9046" s="312"/>
      <c r="N9046" s="514"/>
      <c r="R9046" s="293"/>
      <c r="S9046" s="316"/>
      <c r="T9046" s="355"/>
    </row>
    <row r="9047" spans="11:20" x14ac:dyDescent="0.25">
      <c r="K9047" s="312"/>
      <c r="N9047" s="514"/>
      <c r="R9047" s="293"/>
      <c r="S9047" s="316"/>
      <c r="T9047" s="355"/>
    </row>
    <row r="9048" spans="11:20" x14ac:dyDescent="0.25">
      <c r="K9048" s="312"/>
      <c r="N9048" s="514"/>
      <c r="R9048" s="293"/>
      <c r="S9048" s="316"/>
      <c r="T9048" s="355"/>
    </row>
    <row r="9049" spans="11:20" x14ac:dyDescent="0.25">
      <c r="K9049" s="312"/>
      <c r="N9049" s="514"/>
      <c r="R9049" s="293"/>
      <c r="S9049" s="316"/>
      <c r="T9049" s="355"/>
    </row>
    <row r="9050" spans="11:20" x14ac:dyDescent="0.25">
      <c r="K9050" s="312"/>
      <c r="N9050" s="514"/>
      <c r="R9050" s="293"/>
      <c r="S9050" s="316"/>
      <c r="T9050" s="355"/>
    </row>
    <row r="9051" spans="11:20" x14ac:dyDescent="0.25">
      <c r="K9051" s="312"/>
      <c r="N9051" s="514"/>
      <c r="R9051" s="293"/>
      <c r="S9051" s="316"/>
      <c r="T9051" s="355"/>
    </row>
    <row r="9052" spans="11:20" x14ac:dyDescent="0.25">
      <c r="K9052" s="312"/>
      <c r="N9052" s="514"/>
      <c r="R9052" s="293"/>
      <c r="S9052" s="316"/>
      <c r="T9052" s="355"/>
    </row>
    <row r="9053" spans="11:20" x14ac:dyDescent="0.25">
      <c r="K9053" s="312"/>
      <c r="N9053" s="514"/>
      <c r="R9053" s="293"/>
      <c r="S9053" s="316"/>
      <c r="T9053" s="355"/>
    </row>
    <row r="9054" spans="11:20" x14ac:dyDescent="0.25">
      <c r="K9054" s="312"/>
      <c r="N9054" s="514"/>
      <c r="R9054" s="293"/>
      <c r="S9054" s="316"/>
      <c r="T9054" s="355"/>
    </row>
    <row r="9055" spans="11:20" x14ac:dyDescent="0.25">
      <c r="K9055" s="312"/>
      <c r="N9055" s="514"/>
      <c r="R9055" s="293"/>
      <c r="S9055" s="316"/>
      <c r="T9055" s="355"/>
    </row>
    <row r="9056" spans="11:20" x14ac:dyDescent="0.25">
      <c r="K9056" s="312"/>
      <c r="N9056" s="514"/>
      <c r="R9056" s="293"/>
      <c r="S9056" s="316"/>
      <c r="T9056" s="355"/>
    </row>
    <row r="9057" spans="11:20" x14ac:dyDescent="0.25">
      <c r="K9057" s="312"/>
      <c r="N9057" s="514"/>
      <c r="R9057" s="293"/>
      <c r="S9057" s="316"/>
      <c r="T9057" s="355"/>
    </row>
    <row r="9058" spans="11:20" x14ac:dyDescent="0.25">
      <c r="K9058" s="312"/>
      <c r="N9058" s="514"/>
      <c r="R9058" s="293"/>
      <c r="S9058" s="316"/>
      <c r="T9058" s="355"/>
    </row>
    <row r="9059" spans="11:20" x14ac:dyDescent="0.25">
      <c r="K9059" s="312"/>
      <c r="N9059" s="514"/>
      <c r="R9059" s="293"/>
      <c r="S9059" s="316"/>
      <c r="T9059" s="355"/>
    </row>
    <row r="9060" spans="11:20" x14ac:dyDescent="0.25">
      <c r="K9060" s="312"/>
      <c r="N9060" s="514"/>
      <c r="R9060" s="293"/>
      <c r="S9060" s="316"/>
      <c r="T9060" s="355"/>
    </row>
    <row r="9061" spans="11:20" x14ac:dyDescent="0.25">
      <c r="K9061" s="312"/>
      <c r="N9061" s="514"/>
      <c r="R9061" s="293"/>
      <c r="S9061" s="316"/>
      <c r="T9061" s="355"/>
    </row>
    <row r="9062" spans="11:20" x14ac:dyDescent="0.25">
      <c r="K9062" s="312"/>
      <c r="N9062" s="514"/>
      <c r="R9062" s="293"/>
      <c r="S9062" s="316"/>
      <c r="T9062" s="355"/>
    </row>
    <row r="9063" spans="11:20" x14ac:dyDescent="0.25">
      <c r="K9063" s="312"/>
      <c r="N9063" s="514"/>
      <c r="R9063" s="293"/>
      <c r="S9063" s="316"/>
      <c r="T9063" s="355"/>
    </row>
    <row r="9064" spans="11:20" x14ac:dyDescent="0.25">
      <c r="K9064" s="312"/>
      <c r="N9064" s="514"/>
      <c r="R9064" s="293"/>
      <c r="S9064" s="316"/>
      <c r="T9064" s="355"/>
    </row>
    <row r="9065" spans="11:20" x14ac:dyDescent="0.25">
      <c r="K9065" s="312"/>
      <c r="N9065" s="514"/>
      <c r="R9065" s="293"/>
      <c r="S9065" s="316"/>
      <c r="T9065" s="355"/>
    </row>
    <row r="9066" spans="11:20" x14ac:dyDescent="0.25">
      <c r="K9066" s="312"/>
      <c r="N9066" s="514"/>
      <c r="R9066" s="293"/>
      <c r="S9066" s="316"/>
      <c r="T9066" s="355"/>
    </row>
    <row r="9067" spans="11:20" x14ac:dyDescent="0.25">
      <c r="K9067" s="312"/>
      <c r="N9067" s="514"/>
      <c r="R9067" s="293"/>
      <c r="S9067" s="316"/>
      <c r="T9067" s="355"/>
    </row>
    <row r="9068" spans="11:20" x14ac:dyDescent="0.25">
      <c r="K9068" s="312"/>
      <c r="N9068" s="514"/>
      <c r="R9068" s="293"/>
      <c r="S9068" s="316"/>
      <c r="T9068" s="355"/>
    </row>
    <row r="9069" spans="11:20" x14ac:dyDescent="0.25">
      <c r="K9069" s="312"/>
      <c r="N9069" s="514"/>
      <c r="R9069" s="293"/>
      <c r="S9069" s="316"/>
      <c r="T9069" s="355"/>
    </row>
    <row r="9070" spans="11:20" x14ac:dyDescent="0.25">
      <c r="K9070" s="312"/>
      <c r="N9070" s="514"/>
      <c r="R9070" s="293"/>
      <c r="S9070" s="316"/>
      <c r="T9070" s="355"/>
    </row>
    <row r="9071" spans="11:20" x14ac:dyDescent="0.25">
      <c r="K9071" s="312"/>
      <c r="N9071" s="514"/>
      <c r="R9071" s="293"/>
      <c r="S9071" s="316"/>
      <c r="T9071" s="355"/>
    </row>
    <row r="9072" spans="11:20" x14ac:dyDescent="0.25">
      <c r="K9072" s="312"/>
      <c r="N9072" s="514"/>
      <c r="R9072" s="293"/>
      <c r="S9072" s="316"/>
      <c r="T9072" s="355"/>
    </row>
    <row r="9073" spans="11:20" x14ac:dyDescent="0.25">
      <c r="K9073" s="312"/>
      <c r="N9073" s="514"/>
      <c r="R9073" s="293"/>
      <c r="S9073" s="316"/>
      <c r="T9073" s="355"/>
    </row>
    <row r="9074" spans="11:20" x14ac:dyDescent="0.25">
      <c r="K9074" s="312"/>
      <c r="N9074" s="514"/>
      <c r="R9074" s="293"/>
      <c r="S9074" s="316"/>
      <c r="T9074" s="355"/>
    </row>
    <row r="9075" spans="11:20" x14ac:dyDescent="0.25">
      <c r="K9075" s="312"/>
      <c r="N9075" s="514"/>
      <c r="R9075" s="293"/>
      <c r="S9075" s="316"/>
      <c r="T9075" s="355"/>
    </row>
    <row r="9076" spans="11:20" x14ac:dyDescent="0.25">
      <c r="K9076" s="312"/>
      <c r="N9076" s="514"/>
      <c r="R9076" s="293"/>
      <c r="S9076" s="316"/>
      <c r="T9076" s="355"/>
    </row>
    <row r="9077" spans="11:20" x14ac:dyDescent="0.25">
      <c r="K9077" s="312"/>
      <c r="N9077" s="514"/>
      <c r="R9077" s="293"/>
      <c r="S9077" s="316"/>
      <c r="T9077" s="355"/>
    </row>
    <row r="9078" spans="11:20" x14ac:dyDescent="0.25">
      <c r="K9078" s="312"/>
      <c r="N9078" s="514"/>
      <c r="R9078" s="293"/>
      <c r="S9078" s="316"/>
      <c r="T9078" s="355"/>
    </row>
    <row r="9079" spans="11:20" x14ac:dyDescent="0.25">
      <c r="K9079" s="312"/>
      <c r="N9079" s="514"/>
      <c r="R9079" s="293"/>
      <c r="S9079" s="316"/>
      <c r="T9079" s="355"/>
    </row>
    <row r="9080" spans="11:20" x14ac:dyDescent="0.25">
      <c r="K9080" s="312"/>
      <c r="N9080" s="514"/>
      <c r="R9080" s="293"/>
      <c r="S9080" s="316"/>
      <c r="T9080" s="355"/>
    </row>
    <row r="9081" spans="11:20" x14ac:dyDescent="0.25">
      <c r="K9081" s="312"/>
      <c r="N9081" s="514"/>
      <c r="R9081" s="293"/>
      <c r="S9081" s="316"/>
      <c r="T9081" s="355"/>
    </row>
    <row r="9082" spans="11:20" x14ac:dyDescent="0.25">
      <c r="K9082" s="312"/>
      <c r="N9082" s="514"/>
      <c r="R9082" s="293"/>
      <c r="S9082" s="316"/>
      <c r="T9082" s="355"/>
    </row>
    <row r="9083" spans="11:20" x14ac:dyDescent="0.25">
      <c r="K9083" s="312"/>
      <c r="N9083" s="514"/>
      <c r="R9083" s="293"/>
      <c r="S9083" s="316"/>
      <c r="T9083" s="355"/>
    </row>
    <row r="9084" spans="11:20" x14ac:dyDescent="0.25">
      <c r="K9084" s="312"/>
      <c r="N9084" s="514"/>
      <c r="R9084" s="293"/>
      <c r="S9084" s="316"/>
      <c r="T9084" s="355"/>
    </row>
    <row r="9085" spans="11:20" x14ac:dyDescent="0.25">
      <c r="K9085" s="312"/>
      <c r="N9085" s="514"/>
      <c r="R9085" s="293"/>
      <c r="S9085" s="316"/>
      <c r="T9085" s="355"/>
    </row>
    <row r="9086" spans="11:20" x14ac:dyDescent="0.25">
      <c r="K9086" s="312"/>
      <c r="N9086" s="514"/>
      <c r="R9086" s="293"/>
      <c r="S9086" s="316"/>
      <c r="T9086" s="355"/>
    </row>
    <row r="9087" spans="11:20" x14ac:dyDescent="0.25">
      <c r="K9087" s="312"/>
      <c r="N9087" s="514"/>
      <c r="R9087" s="293"/>
      <c r="S9087" s="316"/>
      <c r="T9087" s="355"/>
    </row>
    <row r="9088" spans="11:20" x14ac:dyDescent="0.25">
      <c r="K9088" s="312"/>
      <c r="N9088" s="514"/>
      <c r="R9088" s="293"/>
      <c r="S9088" s="316"/>
      <c r="T9088" s="355"/>
    </row>
    <row r="9089" spans="11:20" x14ac:dyDescent="0.25">
      <c r="K9089" s="312"/>
      <c r="N9089" s="514"/>
      <c r="R9089" s="293"/>
      <c r="S9089" s="316"/>
      <c r="T9089" s="355"/>
    </row>
    <row r="9090" spans="11:20" x14ac:dyDescent="0.25">
      <c r="K9090" s="312"/>
      <c r="N9090" s="514"/>
      <c r="R9090" s="293"/>
      <c r="S9090" s="316"/>
      <c r="T9090" s="355"/>
    </row>
    <row r="9091" spans="11:20" x14ac:dyDescent="0.25">
      <c r="K9091" s="312"/>
      <c r="N9091" s="514"/>
      <c r="R9091" s="293"/>
      <c r="S9091" s="316"/>
      <c r="T9091" s="355"/>
    </row>
    <row r="9092" spans="11:20" x14ac:dyDescent="0.25">
      <c r="K9092" s="312"/>
      <c r="N9092" s="514"/>
      <c r="R9092" s="293"/>
      <c r="S9092" s="316"/>
      <c r="T9092" s="355"/>
    </row>
    <row r="9093" spans="11:20" x14ac:dyDescent="0.25">
      <c r="K9093" s="312"/>
      <c r="N9093" s="514"/>
      <c r="R9093" s="293"/>
      <c r="S9093" s="316"/>
      <c r="T9093" s="355"/>
    </row>
    <row r="9094" spans="11:20" x14ac:dyDescent="0.25">
      <c r="K9094" s="312"/>
      <c r="N9094" s="514"/>
      <c r="R9094" s="293"/>
      <c r="S9094" s="316"/>
      <c r="T9094" s="355"/>
    </row>
    <row r="9095" spans="11:20" x14ac:dyDescent="0.25">
      <c r="K9095" s="312"/>
      <c r="N9095" s="514"/>
      <c r="R9095" s="293"/>
      <c r="S9095" s="316"/>
      <c r="T9095" s="355"/>
    </row>
    <row r="9096" spans="11:20" x14ac:dyDescent="0.25">
      <c r="K9096" s="312"/>
      <c r="N9096" s="514"/>
      <c r="R9096" s="293"/>
      <c r="S9096" s="316"/>
      <c r="T9096" s="355"/>
    </row>
    <row r="9097" spans="11:20" x14ac:dyDescent="0.25">
      <c r="K9097" s="312"/>
      <c r="N9097" s="514"/>
      <c r="R9097" s="293"/>
      <c r="S9097" s="316"/>
      <c r="T9097" s="355"/>
    </row>
    <row r="9098" spans="11:20" x14ac:dyDescent="0.25">
      <c r="K9098" s="312"/>
      <c r="N9098" s="514"/>
      <c r="R9098" s="293"/>
      <c r="S9098" s="316"/>
      <c r="T9098" s="355"/>
    </row>
    <row r="9099" spans="11:20" x14ac:dyDescent="0.25">
      <c r="K9099" s="312"/>
      <c r="N9099" s="514"/>
      <c r="R9099" s="293"/>
      <c r="S9099" s="316"/>
      <c r="T9099" s="355"/>
    </row>
    <row r="9100" spans="11:20" x14ac:dyDescent="0.25">
      <c r="K9100" s="312"/>
      <c r="N9100" s="514"/>
      <c r="R9100" s="293"/>
      <c r="S9100" s="316"/>
      <c r="T9100" s="355"/>
    </row>
    <row r="9101" spans="11:20" x14ac:dyDescent="0.25">
      <c r="K9101" s="312"/>
      <c r="N9101" s="514"/>
      <c r="R9101" s="293"/>
      <c r="S9101" s="316"/>
      <c r="T9101" s="355"/>
    </row>
    <row r="9102" spans="11:20" x14ac:dyDescent="0.25">
      <c r="K9102" s="312"/>
      <c r="N9102" s="514"/>
      <c r="R9102" s="293"/>
      <c r="S9102" s="316"/>
      <c r="T9102" s="355"/>
    </row>
    <row r="9103" spans="11:20" x14ac:dyDescent="0.25">
      <c r="K9103" s="312"/>
      <c r="N9103" s="514"/>
      <c r="R9103" s="293"/>
      <c r="S9103" s="316"/>
      <c r="T9103" s="355"/>
    </row>
    <row r="9104" spans="11:20" x14ac:dyDescent="0.25">
      <c r="K9104" s="312"/>
      <c r="N9104" s="514"/>
      <c r="R9104" s="293"/>
      <c r="S9104" s="316"/>
      <c r="T9104" s="355"/>
    </row>
    <row r="9105" spans="11:20" x14ac:dyDescent="0.25">
      <c r="K9105" s="312"/>
      <c r="N9105" s="514"/>
      <c r="R9105" s="293"/>
      <c r="S9105" s="316"/>
      <c r="T9105" s="355"/>
    </row>
    <row r="9106" spans="11:20" x14ac:dyDescent="0.25">
      <c r="K9106" s="312"/>
      <c r="N9106" s="514"/>
      <c r="R9106" s="293"/>
      <c r="S9106" s="316"/>
      <c r="T9106" s="355"/>
    </row>
    <row r="9107" spans="11:20" x14ac:dyDescent="0.25">
      <c r="K9107" s="312"/>
      <c r="N9107" s="514"/>
      <c r="R9107" s="293"/>
      <c r="S9107" s="316"/>
      <c r="T9107" s="355"/>
    </row>
    <row r="9108" spans="11:20" x14ac:dyDescent="0.25">
      <c r="K9108" s="312"/>
      <c r="N9108" s="514"/>
      <c r="R9108" s="293"/>
      <c r="S9108" s="316"/>
      <c r="T9108" s="355"/>
    </row>
    <row r="9109" spans="11:20" x14ac:dyDescent="0.25">
      <c r="K9109" s="312"/>
      <c r="N9109" s="514"/>
      <c r="R9109" s="293"/>
      <c r="S9109" s="316"/>
      <c r="T9109" s="355"/>
    </row>
    <row r="9110" spans="11:20" x14ac:dyDescent="0.25">
      <c r="K9110" s="312"/>
      <c r="N9110" s="514"/>
      <c r="R9110" s="293"/>
      <c r="S9110" s="316"/>
      <c r="T9110" s="355"/>
    </row>
    <row r="9111" spans="11:20" x14ac:dyDescent="0.25">
      <c r="K9111" s="312"/>
      <c r="N9111" s="514"/>
      <c r="R9111" s="293"/>
      <c r="S9111" s="316"/>
      <c r="T9111" s="355"/>
    </row>
    <row r="9112" spans="11:20" x14ac:dyDescent="0.25">
      <c r="K9112" s="312"/>
      <c r="N9112" s="514"/>
      <c r="R9112" s="293"/>
      <c r="S9112" s="316"/>
      <c r="T9112" s="355"/>
    </row>
    <row r="9113" spans="11:20" x14ac:dyDescent="0.25">
      <c r="K9113" s="312"/>
      <c r="N9113" s="514"/>
      <c r="R9113" s="293"/>
      <c r="S9113" s="316"/>
      <c r="T9113" s="355"/>
    </row>
    <row r="9114" spans="11:20" x14ac:dyDescent="0.25">
      <c r="K9114" s="312"/>
      <c r="N9114" s="514"/>
      <c r="R9114" s="293"/>
      <c r="S9114" s="316"/>
      <c r="T9114" s="355"/>
    </row>
    <row r="9115" spans="11:20" x14ac:dyDescent="0.25">
      <c r="K9115" s="312"/>
      <c r="N9115" s="514"/>
      <c r="R9115" s="293"/>
      <c r="S9115" s="316"/>
      <c r="T9115" s="355"/>
    </row>
    <row r="9116" spans="11:20" x14ac:dyDescent="0.25">
      <c r="K9116" s="312"/>
      <c r="N9116" s="514"/>
      <c r="R9116" s="293"/>
      <c r="S9116" s="316"/>
      <c r="T9116" s="355"/>
    </row>
    <row r="9117" spans="11:20" x14ac:dyDescent="0.25">
      <c r="K9117" s="312"/>
      <c r="N9117" s="514"/>
      <c r="R9117" s="293"/>
      <c r="S9117" s="316"/>
      <c r="T9117" s="355"/>
    </row>
    <row r="9118" spans="11:20" x14ac:dyDescent="0.25">
      <c r="K9118" s="312"/>
      <c r="N9118" s="514"/>
      <c r="R9118" s="293"/>
      <c r="S9118" s="316"/>
      <c r="T9118" s="355"/>
    </row>
    <row r="9119" spans="11:20" x14ac:dyDescent="0.25">
      <c r="K9119" s="312"/>
      <c r="N9119" s="514"/>
      <c r="R9119" s="293"/>
      <c r="S9119" s="316"/>
      <c r="T9119" s="355"/>
    </row>
    <row r="9120" spans="11:20" x14ac:dyDescent="0.25">
      <c r="K9120" s="312"/>
      <c r="N9120" s="514"/>
      <c r="R9120" s="293"/>
      <c r="S9120" s="316"/>
      <c r="T9120" s="355"/>
    </row>
    <row r="9121" spans="11:20" x14ac:dyDescent="0.25">
      <c r="K9121" s="312"/>
      <c r="N9121" s="514"/>
      <c r="R9121" s="293"/>
      <c r="S9121" s="316"/>
      <c r="T9121" s="355"/>
    </row>
    <row r="9122" spans="11:20" x14ac:dyDescent="0.25">
      <c r="K9122" s="312"/>
      <c r="N9122" s="514"/>
      <c r="R9122" s="293"/>
      <c r="S9122" s="316"/>
      <c r="T9122" s="355"/>
    </row>
    <row r="9123" spans="11:20" x14ac:dyDescent="0.25">
      <c r="K9123" s="312"/>
      <c r="N9123" s="514"/>
      <c r="R9123" s="293"/>
      <c r="S9123" s="316"/>
      <c r="T9123" s="355"/>
    </row>
    <row r="9124" spans="11:20" x14ac:dyDescent="0.25">
      <c r="K9124" s="312"/>
      <c r="N9124" s="514"/>
      <c r="R9124" s="293"/>
      <c r="S9124" s="316"/>
      <c r="T9124" s="355"/>
    </row>
    <row r="9125" spans="11:20" x14ac:dyDescent="0.25">
      <c r="K9125" s="312"/>
      <c r="N9125" s="514"/>
      <c r="R9125" s="293"/>
      <c r="S9125" s="316"/>
      <c r="T9125" s="355"/>
    </row>
    <row r="9126" spans="11:20" x14ac:dyDescent="0.25">
      <c r="K9126" s="312"/>
      <c r="N9126" s="514"/>
      <c r="R9126" s="293"/>
      <c r="S9126" s="316"/>
      <c r="T9126" s="355"/>
    </row>
    <row r="9127" spans="11:20" x14ac:dyDescent="0.25">
      <c r="K9127" s="312"/>
      <c r="N9127" s="514"/>
      <c r="R9127" s="293"/>
      <c r="S9127" s="316"/>
      <c r="T9127" s="355"/>
    </row>
    <row r="9128" spans="11:20" x14ac:dyDescent="0.25">
      <c r="K9128" s="312"/>
      <c r="N9128" s="514"/>
      <c r="R9128" s="293"/>
      <c r="S9128" s="316"/>
      <c r="T9128" s="355"/>
    </row>
    <row r="9129" spans="11:20" x14ac:dyDescent="0.25">
      <c r="K9129" s="312"/>
      <c r="N9129" s="514"/>
      <c r="R9129" s="293"/>
      <c r="S9129" s="316"/>
      <c r="T9129" s="355"/>
    </row>
    <row r="9130" spans="11:20" x14ac:dyDescent="0.25">
      <c r="K9130" s="312"/>
      <c r="N9130" s="514"/>
      <c r="R9130" s="293"/>
      <c r="S9130" s="316"/>
      <c r="T9130" s="355"/>
    </row>
    <row r="9131" spans="11:20" x14ac:dyDescent="0.25">
      <c r="K9131" s="312"/>
      <c r="N9131" s="514"/>
      <c r="R9131" s="293"/>
      <c r="S9131" s="316"/>
      <c r="T9131" s="355"/>
    </row>
    <row r="9132" spans="11:20" x14ac:dyDescent="0.25">
      <c r="K9132" s="312"/>
      <c r="N9132" s="514"/>
      <c r="R9132" s="293"/>
      <c r="S9132" s="316"/>
      <c r="T9132" s="355"/>
    </row>
    <row r="9133" spans="11:20" x14ac:dyDescent="0.25">
      <c r="K9133" s="312"/>
      <c r="N9133" s="514"/>
      <c r="R9133" s="293"/>
      <c r="S9133" s="316"/>
      <c r="T9133" s="355"/>
    </row>
    <row r="9134" spans="11:20" x14ac:dyDescent="0.25">
      <c r="K9134" s="312"/>
      <c r="N9134" s="514"/>
      <c r="R9134" s="293"/>
      <c r="S9134" s="316"/>
      <c r="T9134" s="355"/>
    </row>
    <row r="9135" spans="11:20" x14ac:dyDescent="0.25">
      <c r="K9135" s="312"/>
      <c r="N9135" s="514"/>
      <c r="R9135" s="293"/>
      <c r="S9135" s="316"/>
      <c r="T9135" s="355"/>
    </row>
    <row r="9136" spans="11:20" x14ac:dyDescent="0.25">
      <c r="K9136" s="312"/>
      <c r="N9136" s="514"/>
      <c r="R9136" s="293"/>
      <c r="S9136" s="316"/>
      <c r="T9136" s="355"/>
    </row>
    <row r="9137" spans="11:20" x14ac:dyDescent="0.25">
      <c r="K9137" s="312"/>
      <c r="N9137" s="514"/>
      <c r="R9137" s="293"/>
      <c r="S9137" s="316"/>
      <c r="T9137" s="355"/>
    </row>
    <row r="9138" spans="11:20" x14ac:dyDescent="0.25">
      <c r="K9138" s="312"/>
      <c r="N9138" s="514"/>
      <c r="R9138" s="293"/>
      <c r="S9138" s="316"/>
      <c r="T9138" s="355"/>
    </row>
    <row r="9139" spans="11:20" x14ac:dyDescent="0.25">
      <c r="K9139" s="312"/>
      <c r="N9139" s="514"/>
      <c r="R9139" s="293"/>
      <c r="S9139" s="316"/>
      <c r="T9139" s="355"/>
    </row>
    <row r="9140" spans="11:20" x14ac:dyDescent="0.25">
      <c r="K9140" s="312"/>
      <c r="N9140" s="514"/>
      <c r="R9140" s="293"/>
      <c r="S9140" s="316"/>
      <c r="T9140" s="355"/>
    </row>
    <row r="9141" spans="11:20" x14ac:dyDescent="0.25">
      <c r="K9141" s="312"/>
      <c r="N9141" s="514"/>
      <c r="R9141" s="293"/>
      <c r="S9141" s="316"/>
      <c r="T9141" s="355"/>
    </row>
    <row r="9142" spans="11:20" x14ac:dyDescent="0.25">
      <c r="K9142" s="312"/>
      <c r="N9142" s="514"/>
      <c r="R9142" s="293"/>
      <c r="S9142" s="316"/>
      <c r="T9142" s="355"/>
    </row>
    <row r="9143" spans="11:20" x14ac:dyDescent="0.25">
      <c r="K9143" s="312"/>
      <c r="N9143" s="514"/>
      <c r="R9143" s="293"/>
      <c r="S9143" s="316"/>
      <c r="T9143" s="355"/>
    </row>
    <row r="9144" spans="11:20" x14ac:dyDescent="0.25">
      <c r="K9144" s="312"/>
      <c r="N9144" s="514"/>
      <c r="R9144" s="293"/>
      <c r="S9144" s="316"/>
      <c r="T9144" s="355"/>
    </row>
    <row r="9145" spans="11:20" x14ac:dyDescent="0.25">
      <c r="K9145" s="312"/>
      <c r="N9145" s="514"/>
      <c r="R9145" s="293"/>
      <c r="S9145" s="316"/>
      <c r="T9145" s="355"/>
    </row>
    <row r="9146" spans="11:20" x14ac:dyDescent="0.25">
      <c r="K9146" s="312"/>
      <c r="N9146" s="514"/>
      <c r="R9146" s="293"/>
      <c r="S9146" s="316"/>
      <c r="T9146" s="355"/>
    </row>
    <row r="9147" spans="11:20" x14ac:dyDescent="0.25">
      <c r="K9147" s="312"/>
      <c r="N9147" s="514"/>
      <c r="R9147" s="293"/>
      <c r="S9147" s="316"/>
      <c r="T9147" s="355"/>
    </row>
    <row r="9148" spans="11:20" x14ac:dyDescent="0.25">
      <c r="K9148" s="312"/>
      <c r="N9148" s="514"/>
      <c r="R9148" s="293"/>
      <c r="S9148" s="316"/>
      <c r="T9148" s="355"/>
    </row>
    <row r="9149" spans="11:20" x14ac:dyDescent="0.25">
      <c r="K9149" s="312"/>
      <c r="N9149" s="514"/>
      <c r="R9149" s="293"/>
      <c r="S9149" s="316"/>
      <c r="T9149" s="355"/>
    </row>
    <row r="9150" spans="11:20" x14ac:dyDescent="0.25">
      <c r="K9150" s="312"/>
      <c r="N9150" s="514"/>
      <c r="R9150" s="293"/>
      <c r="S9150" s="316"/>
      <c r="T9150" s="355"/>
    </row>
    <row r="9151" spans="11:20" x14ac:dyDescent="0.25">
      <c r="K9151" s="312"/>
      <c r="N9151" s="514"/>
      <c r="R9151" s="293"/>
      <c r="S9151" s="316"/>
      <c r="T9151" s="355"/>
    </row>
    <row r="9152" spans="11:20" x14ac:dyDescent="0.25">
      <c r="K9152" s="312"/>
      <c r="N9152" s="514"/>
      <c r="R9152" s="293"/>
      <c r="S9152" s="316"/>
      <c r="T9152" s="355"/>
    </row>
    <row r="9153" spans="11:20" x14ac:dyDescent="0.25">
      <c r="K9153" s="312"/>
      <c r="N9153" s="514"/>
      <c r="R9153" s="293"/>
      <c r="S9153" s="316"/>
      <c r="T9153" s="355"/>
    </row>
    <row r="9154" spans="11:20" x14ac:dyDescent="0.25">
      <c r="K9154" s="312"/>
      <c r="N9154" s="514"/>
      <c r="R9154" s="293"/>
      <c r="S9154" s="316"/>
      <c r="T9154" s="355"/>
    </row>
    <row r="9155" spans="11:20" x14ac:dyDescent="0.25">
      <c r="K9155" s="312"/>
      <c r="N9155" s="514"/>
      <c r="R9155" s="293"/>
      <c r="S9155" s="316"/>
      <c r="T9155" s="355"/>
    </row>
    <row r="9156" spans="11:20" x14ac:dyDescent="0.25">
      <c r="K9156" s="312"/>
      <c r="N9156" s="514"/>
      <c r="R9156" s="293"/>
      <c r="S9156" s="316"/>
      <c r="T9156" s="355"/>
    </row>
    <row r="9157" spans="11:20" x14ac:dyDescent="0.25">
      <c r="K9157" s="312"/>
      <c r="N9157" s="514"/>
      <c r="R9157" s="293"/>
      <c r="S9157" s="316"/>
      <c r="T9157" s="355"/>
    </row>
    <row r="9158" spans="11:20" x14ac:dyDescent="0.25">
      <c r="K9158" s="312"/>
      <c r="N9158" s="514"/>
      <c r="R9158" s="293"/>
      <c r="S9158" s="316"/>
      <c r="T9158" s="355"/>
    </row>
    <row r="9159" spans="11:20" x14ac:dyDescent="0.25">
      <c r="K9159" s="312"/>
      <c r="N9159" s="514"/>
      <c r="R9159" s="293"/>
      <c r="S9159" s="316"/>
      <c r="T9159" s="355"/>
    </row>
    <row r="9160" spans="11:20" x14ac:dyDescent="0.25">
      <c r="K9160" s="312"/>
      <c r="N9160" s="514"/>
      <c r="R9160" s="293"/>
      <c r="S9160" s="316"/>
      <c r="T9160" s="355"/>
    </row>
    <row r="9161" spans="11:20" x14ac:dyDescent="0.25">
      <c r="K9161" s="312"/>
      <c r="N9161" s="514"/>
      <c r="R9161" s="293"/>
      <c r="S9161" s="316"/>
      <c r="T9161" s="355"/>
    </row>
    <row r="9162" spans="11:20" x14ac:dyDescent="0.25">
      <c r="K9162" s="312"/>
      <c r="N9162" s="514"/>
      <c r="R9162" s="293"/>
      <c r="S9162" s="316"/>
      <c r="T9162" s="355"/>
    </row>
    <row r="9163" spans="11:20" x14ac:dyDescent="0.25">
      <c r="K9163" s="312"/>
      <c r="N9163" s="514"/>
      <c r="R9163" s="293"/>
      <c r="S9163" s="316"/>
      <c r="T9163" s="355"/>
    </row>
    <row r="9164" spans="11:20" x14ac:dyDescent="0.25">
      <c r="K9164" s="312"/>
      <c r="N9164" s="514"/>
      <c r="R9164" s="293"/>
      <c r="S9164" s="316"/>
      <c r="T9164" s="355"/>
    </row>
    <row r="9165" spans="11:20" x14ac:dyDescent="0.25">
      <c r="K9165" s="312"/>
      <c r="N9165" s="514"/>
      <c r="R9165" s="293"/>
      <c r="S9165" s="316"/>
      <c r="T9165" s="355"/>
    </row>
    <row r="9166" spans="11:20" x14ac:dyDescent="0.25">
      <c r="K9166" s="312"/>
      <c r="N9166" s="514"/>
      <c r="R9166" s="293"/>
      <c r="S9166" s="316"/>
      <c r="T9166" s="355"/>
    </row>
    <row r="9167" spans="11:20" x14ac:dyDescent="0.25">
      <c r="K9167" s="312"/>
      <c r="N9167" s="514"/>
      <c r="R9167" s="293"/>
      <c r="S9167" s="316"/>
      <c r="T9167" s="355"/>
    </row>
    <row r="9168" spans="11:20" x14ac:dyDescent="0.25">
      <c r="K9168" s="312"/>
      <c r="N9168" s="514"/>
      <c r="R9168" s="293"/>
      <c r="S9168" s="316"/>
      <c r="T9168" s="355"/>
    </row>
    <row r="9169" spans="11:20" x14ac:dyDescent="0.25">
      <c r="K9169" s="312"/>
      <c r="N9169" s="514"/>
      <c r="R9169" s="293"/>
      <c r="S9169" s="316"/>
      <c r="T9169" s="355"/>
    </row>
    <row r="9170" spans="11:20" x14ac:dyDescent="0.25">
      <c r="K9170" s="312"/>
      <c r="N9170" s="514"/>
      <c r="R9170" s="293"/>
      <c r="S9170" s="316"/>
      <c r="T9170" s="355"/>
    </row>
    <row r="9171" spans="11:20" x14ac:dyDescent="0.25">
      <c r="K9171" s="312"/>
      <c r="N9171" s="514"/>
      <c r="R9171" s="293"/>
      <c r="S9171" s="316"/>
      <c r="T9171" s="355"/>
    </row>
    <row r="9172" spans="11:20" x14ac:dyDescent="0.25">
      <c r="K9172" s="312"/>
      <c r="N9172" s="514"/>
      <c r="R9172" s="293"/>
      <c r="S9172" s="316"/>
      <c r="T9172" s="355"/>
    </row>
    <row r="9173" spans="11:20" x14ac:dyDescent="0.25">
      <c r="K9173" s="312"/>
      <c r="N9173" s="514"/>
      <c r="R9173" s="293"/>
      <c r="S9173" s="316"/>
      <c r="T9173" s="355"/>
    </row>
    <row r="9174" spans="11:20" x14ac:dyDescent="0.25">
      <c r="K9174" s="312"/>
      <c r="N9174" s="514"/>
      <c r="R9174" s="293"/>
      <c r="S9174" s="316"/>
      <c r="T9174" s="355"/>
    </row>
    <row r="9175" spans="11:20" x14ac:dyDescent="0.25">
      <c r="K9175" s="312"/>
      <c r="N9175" s="514"/>
      <c r="R9175" s="293"/>
      <c r="S9175" s="316"/>
      <c r="T9175" s="355"/>
    </row>
    <row r="9176" spans="11:20" x14ac:dyDescent="0.25">
      <c r="K9176" s="312"/>
      <c r="N9176" s="514"/>
      <c r="R9176" s="293"/>
      <c r="S9176" s="316"/>
      <c r="T9176" s="355"/>
    </row>
    <row r="9177" spans="11:20" x14ac:dyDescent="0.25">
      <c r="K9177" s="312"/>
      <c r="N9177" s="514"/>
      <c r="R9177" s="293"/>
      <c r="S9177" s="316"/>
      <c r="T9177" s="355"/>
    </row>
    <row r="9178" spans="11:20" x14ac:dyDescent="0.25">
      <c r="K9178" s="312"/>
      <c r="N9178" s="514"/>
      <c r="R9178" s="293"/>
      <c r="S9178" s="316"/>
      <c r="T9178" s="355"/>
    </row>
    <row r="9179" spans="11:20" x14ac:dyDescent="0.25">
      <c r="K9179" s="312"/>
      <c r="N9179" s="514"/>
      <c r="R9179" s="293"/>
      <c r="S9179" s="316"/>
      <c r="T9179" s="355"/>
    </row>
    <row r="9180" spans="11:20" x14ac:dyDescent="0.25">
      <c r="K9180" s="312"/>
      <c r="N9180" s="514"/>
      <c r="R9180" s="293"/>
      <c r="S9180" s="316"/>
      <c r="T9180" s="355"/>
    </row>
    <row r="9181" spans="11:20" x14ac:dyDescent="0.25">
      <c r="K9181" s="312"/>
      <c r="N9181" s="514"/>
      <c r="R9181" s="293"/>
      <c r="S9181" s="316"/>
      <c r="T9181" s="355"/>
    </row>
    <row r="9182" spans="11:20" x14ac:dyDescent="0.25">
      <c r="K9182" s="312"/>
      <c r="N9182" s="514"/>
      <c r="R9182" s="293"/>
      <c r="S9182" s="316"/>
      <c r="T9182" s="355"/>
    </row>
    <row r="9183" spans="11:20" x14ac:dyDescent="0.25">
      <c r="K9183" s="312"/>
      <c r="N9183" s="514"/>
      <c r="R9183" s="293"/>
      <c r="S9183" s="316"/>
      <c r="T9183" s="355"/>
    </row>
    <row r="9184" spans="11:20" x14ac:dyDescent="0.25">
      <c r="K9184" s="312"/>
      <c r="N9184" s="514"/>
      <c r="R9184" s="293"/>
      <c r="S9184" s="316"/>
      <c r="T9184" s="355"/>
    </row>
    <row r="9185" spans="11:20" x14ac:dyDescent="0.25">
      <c r="K9185" s="312"/>
      <c r="N9185" s="514"/>
      <c r="R9185" s="293"/>
      <c r="S9185" s="316"/>
      <c r="T9185" s="355"/>
    </row>
    <row r="9186" spans="11:20" x14ac:dyDescent="0.25">
      <c r="K9186" s="312"/>
      <c r="N9186" s="514"/>
      <c r="R9186" s="293"/>
      <c r="S9186" s="316"/>
      <c r="T9186" s="355"/>
    </row>
    <row r="9187" spans="11:20" x14ac:dyDescent="0.25">
      <c r="K9187" s="312"/>
      <c r="N9187" s="514"/>
      <c r="R9187" s="293"/>
      <c r="S9187" s="316"/>
      <c r="T9187" s="355"/>
    </row>
    <row r="9188" spans="11:20" x14ac:dyDescent="0.25">
      <c r="K9188" s="312"/>
      <c r="N9188" s="514"/>
      <c r="R9188" s="293"/>
      <c r="S9188" s="316"/>
      <c r="T9188" s="355"/>
    </row>
    <row r="9189" spans="11:20" x14ac:dyDescent="0.25">
      <c r="K9189" s="312"/>
      <c r="N9189" s="514"/>
      <c r="R9189" s="293"/>
      <c r="S9189" s="316"/>
      <c r="T9189" s="355"/>
    </row>
    <row r="9190" spans="11:20" x14ac:dyDescent="0.25">
      <c r="K9190" s="312"/>
      <c r="N9190" s="514"/>
      <c r="R9190" s="293"/>
      <c r="S9190" s="316"/>
      <c r="T9190" s="355"/>
    </row>
    <row r="9191" spans="11:20" x14ac:dyDescent="0.25">
      <c r="K9191" s="312"/>
      <c r="N9191" s="514"/>
      <c r="R9191" s="293"/>
      <c r="S9191" s="316"/>
      <c r="T9191" s="355"/>
    </row>
    <row r="9192" spans="11:20" x14ac:dyDescent="0.25">
      <c r="K9192" s="312"/>
      <c r="N9192" s="514"/>
      <c r="R9192" s="293"/>
      <c r="S9192" s="316"/>
      <c r="T9192" s="355"/>
    </row>
    <row r="9193" spans="11:20" x14ac:dyDescent="0.25">
      <c r="K9193" s="312"/>
      <c r="N9193" s="514"/>
      <c r="R9193" s="293"/>
      <c r="S9193" s="316"/>
      <c r="T9193" s="355"/>
    </row>
    <row r="9194" spans="11:20" x14ac:dyDescent="0.25">
      <c r="K9194" s="312"/>
      <c r="N9194" s="514"/>
      <c r="R9194" s="293"/>
      <c r="S9194" s="316"/>
      <c r="T9194" s="355"/>
    </row>
    <row r="9195" spans="11:20" x14ac:dyDescent="0.25">
      <c r="K9195" s="312"/>
      <c r="N9195" s="514"/>
      <c r="R9195" s="293"/>
      <c r="S9195" s="316"/>
      <c r="T9195" s="355"/>
    </row>
    <row r="9196" spans="11:20" x14ac:dyDescent="0.25">
      <c r="K9196" s="312"/>
      <c r="N9196" s="514"/>
      <c r="R9196" s="293"/>
      <c r="S9196" s="316"/>
      <c r="T9196" s="355"/>
    </row>
    <row r="9197" spans="11:20" x14ac:dyDescent="0.25">
      <c r="K9197" s="312"/>
      <c r="N9197" s="514"/>
      <c r="R9197" s="293"/>
      <c r="S9197" s="316"/>
      <c r="T9197" s="355"/>
    </row>
    <row r="9198" spans="11:20" x14ac:dyDescent="0.25">
      <c r="K9198" s="312"/>
      <c r="N9198" s="514"/>
      <c r="R9198" s="293"/>
      <c r="S9198" s="316"/>
      <c r="T9198" s="355"/>
    </row>
    <row r="9199" spans="11:20" x14ac:dyDescent="0.25">
      <c r="K9199" s="312"/>
      <c r="N9199" s="514"/>
      <c r="R9199" s="293"/>
      <c r="S9199" s="316"/>
      <c r="T9199" s="355"/>
    </row>
    <row r="9200" spans="11:20" x14ac:dyDescent="0.25">
      <c r="K9200" s="312"/>
      <c r="N9200" s="514"/>
      <c r="R9200" s="293"/>
      <c r="S9200" s="316"/>
      <c r="T9200" s="355"/>
    </row>
    <row r="9201" spans="11:20" x14ac:dyDescent="0.25">
      <c r="K9201" s="312"/>
      <c r="N9201" s="514"/>
      <c r="R9201" s="293"/>
      <c r="S9201" s="316"/>
      <c r="T9201" s="355"/>
    </row>
    <row r="9202" spans="11:20" x14ac:dyDescent="0.25">
      <c r="K9202" s="312"/>
      <c r="N9202" s="514"/>
      <c r="R9202" s="293"/>
      <c r="S9202" s="316"/>
      <c r="T9202" s="355"/>
    </row>
    <row r="9203" spans="11:20" x14ac:dyDescent="0.25">
      <c r="K9203" s="312"/>
      <c r="N9203" s="514"/>
      <c r="R9203" s="293"/>
      <c r="S9203" s="316"/>
      <c r="T9203" s="355"/>
    </row>
    <row r="9204" spans="11:20" x14ac:dyDescent="0.25">
      <c r="K9204" s="312"/>
      <c r="N9204" s="514"/>
      <c r="R9204" s="293"/>
      <c r="S9204" s="316"/>
      <c r="T9204" s="355"/>
    </row>
    <row r="9205" spans="11:20" x14ac:dyDescent="0.25">
      <c r="K9205" s="312"/>
      <c r="N9205" s="514"/>
      <c r="R9205" s="293"/>
      <c r="S9205" s="316"/>
      <c r="T9205" s="355"/>
    </row>
    <row r="9206" spans="11:20" x14ac:dyDescent="0.25">
      <c r="K9206" s="312"/>
      <c r="N9206" s="514"/>
      <c r="R9206" s="293"/>
      <c r="S9206" s="316"/>
      <c r="T9206" s="355"/>
    </row>
    <row r="9207" spans="11:20" x14ac:dyDescent="0.25">
      <c r="K9207" s="312"/>
      <c r="N9207" s="514"/>
      <c r="R9207" s="293"/>
      <c r="S9207" s="316"/>
      <c r="T9207" s="355"/>
    </row>
    <row r="9208" spans="11:20" x14ac:dyDescent="0.25">
      <c r="K9208" s="312"/>
      <c r="N9208" s="514"/>
      <c r="R9208" s="293"/>
      <c r="S9208" s="316"/>
      <c r="T9208" s="355"/>
    </row>
    <row r="9209" spans="11:20" x14ac:dyDescent="0.25">
      <c r="K9209" s="312"/>
      <c r="N9209" s="514"/>
      <c r="R9209" s="293"/>
      <c r="S9209" s="316"/>
      <c r="T9209" s="355"/>
    </row>
    <row r="9210" spans="11:20" x14ac:dyDescent="0.25">
      <c r="K9210" s="312"/>
      <c r="N9210" s="514"/>
      <c r="R9210" s="293"/>
      <c r="S9210" s="316"/>
      <c r="T9210" s="355"/>
    </row>
    <row r="9211" spans="11:20" x14ac:dyDescent="0.25">
      <c r="K9211" s="312"/>
      <c r="N9211" s="514"/>
      <c r="R9211" s="293"/>
      <c r="S9211" s="316"/>
      <c r="T9211" s="355"/>
    </row>
    <row r="9212" spans="11:20" x14ac:dyDescent="0.25">
      <c r="K9212" s="312"/>
      <c r="N9212" s="514"/>
      <c r="R9212" s="293"/>
      <c r="S9212" s="316"/>
      <c r="T9212" s="355"/>
    </row>
    <row r="9213" spans="11:20" x14ac:dyDescent="0.25">
      <c r="K9213" s="312"/>
      <c r="N9213" s="514"/>
      <c r="R9213" s="293"/>
      <c r="S9213" s="316"/>
      <c r="T9213" s="355"/>
    </row>
    <row r="9214" spans="11:20" x14ac:dyDescent="0.25">
      <c r="K9214" s="312"/>
      <c r="N9214" s="514"/>
      <c r="R9214" s="293"/>
      <c r="S9214" s="316"/>
      <c r="T9214" s="355"/>
    </row>
    <row r="9215" spans="11:20" x14ac:dyDescent="0.25">
      <c r="K9215" s="312"/>
      <c r="N9215" s="514"/>
      <c r="R9215" s="293"/>
      <c r="S9215" s="316"/>
      <c r="T9215" s="355"/>
    </row>
    <row r="9216" spans="11:20" x14ac:dyDescent="0.25">
      <c r="K9216" s="312"/>
      <c r="N9216" s="514"/>
      <c r="R9216" s="293"/>
      <c r="S9216" s="316"/>
      <c r="T9216" s="355"/>
    </row>
    <row r="9217" spans="11:20" x14ac:dyDescent="0.25">
      <c r="K9217" s="312"/>
      <c r="N9217" s="514"/>
      <c r="R9217" s="293"/>
      <c r="S9217" s="316"/>
      <c r="T9217" s="355"/>
    </row>
    <row r="9218" spans="11:20" x14ac:dyDescent="0.25">
      <c r="K9218" s="312"/>
      <c r="N9218" s="514"/>
      <c r="R9218" s="293"/>
      <c r="S9218" s="316"/>
      <c r="T9218" s="355"/>
    </row>
    <row r="9219" spans="11:20" x14ac:dyDescent="0.25">
      <c r="K9219" s="312"/>
      <c r="N9219" s="514"/>
      <c r="R9219" s="293"/>
      <c r="S9219" s="316"/>
      <c r="T9219" s="355"/>
    </row>
    <row r="9220" spans="11:20" x14ac:dyDescent="0.25">
      <c r="K9220" s="312"/>
      <c r="N9220" s="514"/>
      <c r="R9220" s="293"/>
      <c r="S9220" s="316"/>
      <c r="T9220" s="355"/>
    </row>
    <row r="9221" spans="11:20" x14ac:dyDescent="0.25">
      <c r="K9221" s="312"/>
      <c r="N9221" s="514"/>
      <c r="R9221" s="293"/>
      <c r="S9221" s="316"/>
      <c r="T9221" s="355"/>
    </row>
    <row r="9222" spans="11:20" x14ac:dyDescent="0.25">
      <c r="K9222" s="312"/>
      <c r="N9222" s="514"/>
      <c r="R9222" s="293"/>
      <c r="S9222" s="316"/>
      <c r="T9222" s="355"/>
    </row>
    <row r="9223" spans="11:20" x14ac:dyDescent="0.25">
      <c r="K9223" s="312"/>
      <c r="N9223" s="514"/>
      <c r="R9223" s="293"/>
      <c r="S9223" s="316"/>
      <c r="T9223" s="355"/>
    </row>
    <row r="9224" spans="11:20" x14ac:dyDescent="0.25">
      <c r="K9224" s="312"/>
      <c r="N9224" s="514"/>
      <c r="R9224" s="293"/>
      <c r="S9224" s="316"/>
      <c r="T9224" s="355"/>
    </row>
    <row r="9225" spans="11:20" x14ac:dyDescent="0.25">
      <c r="K9225" s="312"/>
      <c r="N9225" s="514"/>
      <c r="R9225" s="293"/>
      <c r="S9225" s="316"/>
      <c r="T9225" s="355"/>
    </row>
    <row r="9226" spans="11:20" x14ac:dyDescent="0.25">
      <c r="K9226" s="312"/>
      <c r="N9226" s="514"/>
      <c r="R9226" s="293"/>
      <c r="S9226" s="316"/>
      <c r="T9226" s="355"/>
    </row>
    <row r="9227" spans="11:20" x14ac:dyDescent="0.25">
      <c r="K9227" s="312"/>
      <c r="N9227" s="514"/>
      <c r="R9227" s="293"/>
      <c r="S9227" s="316"/>
      <c r="T9227" s="355"/>
    </row>
    <row r="9228" spans="11:20" x14ac:dyDescent="0.25">
      <c r="K9228" s="312"/>
      <c r="N9228" s="514"/>
      <c r="R9228" s="293"/>
      <c r="S9228" s="316"/>
      <c r="T9228" s="355"/>
    </row>
    <row r="9229" spans="11:20" x14ac:dyDescent="0.25">
      <c r="K9229" s="312"/>
      <c r="N9229" s="514"/>
      <c r="R9229" s="293"/>
      <c r="S9229" s="316"/>
      <c r="T9229" s="355"/>
    </row>
    <row r="9230" spans="11:20" x14ac:dyDescent="0.25">
      <c r="K9230" s="312"/>
      <c r="N9230" s="514"/>
      <c r="R9230" s="293"/>
      <c r="S9230" s="316"/>
      <c r="T9230" s="355"/>
    </row>
    <row r="9231" spans="11:20" x14ac:dyDescent="0.25">
      <c r="K9231" s="312"/>
      <c r="N9231" s="514"/>
      <c r="R9231" s="293"/>
      <c r="S9231" s="316"/>
      <c r="T9231" s="355"/>
    </row>
    <row r="9232" spans="11:20" x14ac:dyDescent="0.25">
      <c r="K9232" s="312"/>
      <c r="N9232" s="514"/>
      <c r="R9232" s="293"/>
      <c r="S9232" s="316"/>
      <c r="T9232" s="355"/>
    </row>
    <row r="9233" spans="11:20" x14ac:dyDescent="0.25">
      <c r="K9233" s="312"/>
      <c r="N9233" s="514"/>
      <c r="R9233" s="293"/>
      <c r="S9233" s="316"/>
      <c r="T9233" s="355"/>
    </row>
    <row r="9234" spans="11:20" x14ac:dyDescent="0.25">
      <c r="K9234" s="312"/>
      <c r="N9234" s="514"/>
      <c r="R9234" s="293"/>
      <c r="S9234" s="316"/>
      <c r="T9234" s="355"/>
    </row>
    <row r="9235" spans="11:20" x14ac:dyDescent="0.25">
      <c r="K9235" s="312"/>
      <c r="N9235" s="514"/>
      <c r="R9235" s="293"/>
      <c r="S9235" s="316"/>
      <c r="T9235" s="355"/>
    </row>
    <row r="9236" spans="11:20" x14ac:dyDescent="0.25">
      <c r="K9236" s="312"/>
      <c r="N9236" s="514"/>
      <c r="R9236" s="293"/>
      <c r="S9236" s="316"/>
      <c r="T9236" s="355"/>
    </row>
    <row r="9237" spans="11:20" x14ac:dyDescent="0.25">
      <c r="K9237" s="312"/>
      <c r="N9237" s="514"/>
      <c r="R9237" s="293"/>
      <c r="S9237" s="316"/>
      <c r="T9237" s="355"/>
    </row>
    <row r="9238" spans="11:20" x14ac:dyDescent="0.25">
      <c r="K9238" s="312"/>
      <c r="N9238" s="514"/>
      <c r="R9238" s="293"/>
      <c r="S9238" s="316"/>
      <c r="T9238" s="355"/>
    </row>
    <row r="9239" spans="11:20" x14ac:dyDescent="0.25">
      <c r="K9239" s="312"/>
      <c r="N9239" s="514"/>
      <c r="R9239" s="293"/>
      <c r="S9239" s="316"/>
      <c r="T9239" s="355"/>
    </row>
    <row r="9240" spans="11:20" x14ac:dyDescent="0.25">
      <c r="K9240" s="312"/>
      <c r="N9240" s="514"/>
      <c r="R9240" s="293"/>
      <c r="S9240" s="316"/>
      <c r="T9240" s="355"/>
    </row>
    <row r="9241" spans="11:20" x14ac:dyDescent="0.25">
      <c r="K9241" s="312"/>
      <c r="N9241" s="514"/>
      <c r="R9241" s="293"/>
      <c r="S9241" s="316"/>
      <c r="T9241" s="355"/>
    </row>
    <row r="9242" spans="11:20" x14ac:dyDescent="0.25">
      <c r="K9242" s="312"/>
      <c r="N9242" s="514"/>
      <c r="R9242" s="293"/>
      <c r="S9242" s="316"/>
      <c r="T9242" s="355"/>
    </row>
    <row r="9243" spans="11:20" x14ac:dyDescent="0.25">
      <c r="K9243" s="312"/>
      <c r="N9243" s="514"/>
      <c r="R9243" s="293"/>
      <c r="S9243" s="316"/>
      <c r="T9243" s="355"/>
    </row>
    <row r="9244" spans="11:20" x14ac:dyDescent="0.25">
      <c r="K9244" s="312"/>
      <c r="N9244" s="514"/>
      <c r="R9244" s="293"/>
      <c r="S9244" s="316"/>
      <c r="T9244" s="355"/>
    </row>
    <row r="9245" spans="11:20" x14ac:dyDescent="0.25">
      <c r="K9245" s="312"/>
      <c r="N9245" s="514"/>
      <c r="R9245" s="293"/>
      <c r="S9245" s="316"/>
      <c r="T9245" s="355"/>
    </row>
    <row r="9246" spans="11:20" x14ac:dyDescent="0.25">
      <c r="K9246" s="312"/>
      <c r="N9246" s="514"/>
      <c r="R9246" s="293"/>
      <c r="S9246" s="316"/>
      <c r="T9246" s="355"/>
    </row>
    <row r="9247" spans="11:20" x14ac:dyDescent="0.25">
      <c r="K9247" s="312"/>
      <c r="N9247" s="514"/>
      <c r="R9247" s="293"/>
      <c r="S9247" s="316"/>
      <c r="T9247" s="355"/>
    </row>
    <row r="9248" spans="11:20" x14ac:dyDescent="0.25">
      <c r="K9248" s="312"/>
      <c r="N9248" s="514"/>
      <c r="R9248" s="293"/>
      <c r="S9248" s="316"/>
      <c r="T9248" s="355"/>
    </row>
    <row r="9249" spans="11:20" x14ac:dyDescent="0.25">
      <c r="K9249" s="312"/>
      <c r="N9249" s="514"/>
      <c r="R9249" s="293"/>
      <c r="S9249" s="316"/>
      <c r="T9249" s="355"/>
    </row>
    <row r="9250" spans="11:20" x14ac:dyDescent="0.25">
      <c r="K9250" s="312"/>
      <c r="N9250" s="514"/>
      <c r="R9250" s="293"/>
      <c r="S9250" s="316"/>
      <c r="T9250" s="355"/>
    </row>
    <row r="9251" spans="11:20" x14ac:dyDescent="0.25">
      <c r="K9251" s="312"/>
      <c r="N9251" s="514"/>
      <c r="R9251" s="293"/>
      <c r="S9251" s="316"/>
      <c r="T9251" s="355"/>
    </row>
    <row r="9252" spans="11:20" x14ac:dyDescent="0.25">
      <c r="K9252" s="312"/>
      <c r="N9252" s="514"/>
      <c r="R9252" s="293"/>
      <c r="S9252" s="316"/>
      <c r="T9252" s="355"/>
    </row>
    <row r="9253" spans="11:20" x14ac:dyDescent="0.25">
      <c r="K9253" s="312"/>
      <c r="N9253" s="514"/>
      <c r="R9253" s="293"/>
      <c r="S9253" s="316"/>
      <c r="T9253" s="355"/>
    </row>
    <row r="9254" spans="11:20" x14ac:dyDescent="0.25">
      <c r="K9254" s="312"/>
      <c r="N9254" s="514"/>
      <c r="R9254" s="293"/>
      <c r="S9254" s="316"/>
      <c r="T9254" s="355"/>
    </row>
    <row r="9255" spans="11:20" x14ac:dyDescent="0.25">
      <c r="K9255" s="312"/>
      <c r="N9255" s="514"/>
      <c r="R9255" s="293"/>
      <c r="S9255" s="316"/>
      <c r="T9255" s="355"/>
    </row>
    <row r="9256" spans="11:20" x14ac:dyDescent="0.25">
      <c r="K9256" s="312"/>
      <c r="N9256" s="514"/>
      <c r="R9256" s="293"/>
      <c r="S9256" s="316"/>
      <c r="T9256" s="355"/>
    </row>
    <row r="9257" spans="11:20" x14ac:dyDescent="0.25">
      <c r="K9257" s="312"/>
      <c r="N9257" s="514"/>
      <c r="R9257" s="293"/>
      <c r="S9257" s="316"/>
      <c r="T9257" s="355"/>
    </row>
    <row r="9258" spans="11:20" x14ac:dyDescent="0.25">
      <c r="K9258" s="312"/>
      <c r="N9258" s="514"/>
      <c r="R9258" s="293"/>
      <c r="S9258" s="316"/>
      <c r="T9258" s="355"/>
    </row>
    <row r="9259" spans="11:20" x14ac:dyDescent="0.25">
      <c r="K9259" s="312"/>
      <c r="N9259" s="514"/>
      <c r="R9259" s="293"/>
      <c r="S9259" s="316"/>
      <c r="T9259" s="355"/>
    </row>
    <row r="9260" spans="11:20" x14ac:dyDescent="0.25">
      <c r="K9260" s="312"/>
      <c r="N9260" s="514"/>
      <c r="R9260" s="293"/>
      <c r="S9260" s="316"/>
      <c r="T9260" s="355"/>
    </row>
    <row r="9261" spans="11:20" x14ac:dyDescent="0.25">
      <c r="K9261" s="312"/>
      <c r="N9261" s="514"/>
      <c r="R9261" s="293"/>
      <c r="S9261" s="316"/>
      <c r="T9261" s="355"/>
    </row>
    <row r="9262" spans="11:20" x14ac:dyDescent="0.25">
      <c r="K9262" s="312"/>
      <c r="N9262" s="514"/>
      <c r="R9262" s="293"/>
      <c r="S9262" s="316"/>
      <c r="T9262" s="355"/>
    </row>
    <row r="9263" spans="11:20" x14ac:dyDescent="0.25">
      <c r="K9263" s="312"/>
      <c r="N9263" s="514"/>
      <c r="R9263" s="293"/>
      <c r="S9263" s="316"/>
      <c r="T9263" s="355"/>
    </row>
    <row r="9264" spans="11:20" x14ac:dyDescent="0.25">
      <c r="K9264" s="312"/>
      <c r="N9264" s="514"/>
      <c r="R9264" s="293"/>
      <c r="S9264" s="316"/>
      <c r="T9264" s="355"/>
    </row>
    <row r="9265" spans="11:20" x14ac:dyDescent="0.25">
      <c r="K9265" s="312"/>
      <c r="N9265" s="514"/>
      <c r="R9265" s="293"/>
      <c r="S9265" s="316"/>
      <c r="T9265" s="355"/>
    </row>
    <row r="9266" spans="11:20" x14ac:dyDescent="0.25">
      <c r="K9266" s="312"/>
      <c r="N9266" s="514"/>
      <c r="R9266" s="293"/>
      <c r="S9266" s="316"/>
      <c r="T9266" s="355"/>
    </row>
    <row r="9267" spans="11:20" x14ac:dyDescent="0.25">
      <c r="K9267" s="312"/>
      <c r="N9267" s="514"/>
      <c r="R9267" s="293"/>
      <c r="S9267" s="316"/>
      <c r="T9267" s="355"/>
    </row>
    <row r="9268" spans="11:20" x14ac:dyDescent="0.25">
      <c r="K9268" s="312"/>
      <c r="N9268" s="514"/>
      <c r="R9268" s="293"/>
      <c r="S9268" s="316"/>
      <c r="T9268" s="355"/>
    </row>
    <row r="9269" spans="11:20" x14ac:dyDescent="0.25">
      <c r="K9269" s="312"/>
      <c r="N9269" s="514"/>
      <c r="R9269" s="293"/>
      <c r="S9269" s="316"/>
      <c r="T9269" s="355"/>
    </row>
    <row r="9270" spans="11:20" x14ac:dyDescent="0.25">
      <c r="K9270" s="312"/>
      <c r="N9270" s="514"/>
      <c r="R9270" s="293"/>
      <c r="S9270" s="316"/>
      <c r="T9270" s="355"/>
    </row>
    <row r="9271" spans="11:20" x14ac:dyDescent="0.25">
      <c r="K9271" s="312"/>
      <c r="N9271" s="514"/>
      <c r="R9271" s="293"/>
      <c r="S9271" s="316"/>
      <c r="T9271" s="355"/>
    </row>
    <row r="9272" spans="11:20" x14ac:dyDescent="0.25">
      <c r="K9272" s="312"/>
      <c r="N9272" s="514"/>
      <c r="R9272" s="293"/>
      <c r="S9272" s="316"/>
      <c r="T9272" s="355"/>
    </row>
    <row r="9273" spans="11:20" x14ac:dyDescent="0.25">
      <c r="K9273" s="312"/>
      <c r="N9273" s="514"/>
      <c r="R9273" s="293"/>
      <c r="S9273" s="316"/>
      <c r="T9273" s="355"/>
    </row>
    <row r="9274" spans="11:20" x14ac:dyDescent="0.25">
      <c r="K9274" s="312"/>
      <c r="N9274" s="514"/>
      <c r="R9274" s="293"/>
      <c r="S9274" s="316"/>
      <c r="T9274" s="355"/>
    </row>
    <row r="9275" spans="11:20" x14ac:dyDescent="0.25">
      <c r="K9275" s="312"/>
      <c r="N9275" s="514"/>
      <c r="R9275" s="293"/>
      <c r="S9275" s="316"/>
      <c r="T9275" s="355"/>
    </row>
    <row r="9276" spans="11:20" x14ac:dyDescent="0.25">
      <c r="K9276" s="312"/>
      <c r="N9276" s="514"/>
      <c r="R9276" s="293"/>
      <c r="S9276" s="316"/>
      <c r="T9276" s="355"/>
    </row>
    <row r="9277" spans="11:20" x14ac:dyDescent="0.25">
      <c r="K9277" s="312"/>
      <c r="N9277" s="514"/>
      <c r="R9277" s="293"/>
      <c r="S9277" s="316"/>
      <c r="T9277" s="355"/>
    </row>
    <row r="9278" spans="11:20" x14ac:dyDescent="0.25">
      <c r="K9278" s="312"/>
      <c r="N9278" s="514"/>
      <c r="R9278" s="293"/>
      <c r="S9278" s="316"/>
      <c r="T9278" s="355"/>
    </row>
    <row r="9279" spans="11:20" x14ac:dyDescent="0.25">
      <c r="K9279" s="312"/>
      <c r="N9279" s="514"/>
      <c r="R9279" s="293"/>
      <c r="S9279" s="316"/>
      <c r="T9279" s="355"/>
    </row>
    <row r="9280" spans="11:20" x14ac:dyDescent="0.25">
      <c r="K9280" s="312"/>
      <c r="N9280" s="514"/>
      <c r="R9280" s="293"/>
      <c r="S9280" s="316"/>
      <c r="T9280" s="355"/>
    </row>
    <row r="9281" spans="11:20" x14ac:dyDescent="0.25">
      <c r="K9281" s="312"/>
      <c r="N9281" s="514"/>
      <c r="R9281" s="293"/>
      <c r="S9281" s="316"/>
      <c r="T9281" s="355"/>
    </row>
    <row r="9282" spans="11:20" x14ac:dyDescent="0.25">
      <c r="K9282" s="312"/>
      <c r="N9282" s="514"/>
      <c r="R9282" s="293"/>
      <c r="S9282" s="316"/>
      <c r="T9282" s="355"/>
    </row>
    <row r="9283" spans="11:20" x14ac:dyDescent="0.25">
      <c r="K9283" s="312"/>
      <c r="N9283" s="514"/>
      <c r="R9283" s="293"/>
      <c r="S9283" s="316"/>
      <c r="T9283" s="355"/>
    </row>
    <row r="9284" spans="11:20" x14ac:dyDescent="0.25">
      <c r="K9284" s="312"/>
      <c r="N9284" s="514"/>
      <c r="R9284" s="293"/>
      <c r="S9284" s="316"/>
      <c r="T9284" s="355"/>
    </row>
    <row r="9285" spans="11:20" x14ac:dyDescent="0.25">
      <c r="K9285" s="312"/>
      <c r="N9285" s="514"/>
      <c r="R9285" s="293"/>
      <c r="S9285" s="316"/>
      <c r="T9285" s="355"/>
    </row>
    <row r="9286" spans="11:20" x14ac:dyDescent="0.25">
      <c r="K9286" s="312"/>
      <c r="N9286" s="514"/>
      <c r="R9286" s="293"/>
      <c r="S9286" s="316"/>
      <c r="T9286" s="355"/>
    </row>
    <row r="9287" spans="11:20" x14ac:dyDescent="0.25">
      <c r="K9287" s="312"/>
      <c r="N9287" s="514"/>
      <c r="R9287" s="293"/>
      <c r="S9287" s="316"/>
      <c r="T9287" s="355"/>
    </row>
    <row r="9288" spans="11:20" x14ac:dyDescent="0.25">
      <c r="K9288" s="312"/>
      <c r="N9288" s="514"/>
      <c r="R9288" s="293"/>
      <c r="S9288" s="316"/>
      <c r="T9288" s="355"/>
    </row>
    <row r="9289" spans="11:20" x14ac:dyDescent="0.25">
      <c r="K9289" s="312"/>
      <c r="N9289" s="514"/>
      <c r="R9289" s="293"/>
      <c r="S9289" s="316"/>
      <c r="T9289" s="355"/>
    </row>
    <row r="9290" spans="11:20" x14ac:dyDescent="0.25">
      <c r="K9290" s="312"/>
      <c r="N9290" s="514"/>
      <c r="R9290" s="293"/>
      <c r="S9290" s="316"/>
      <c r="T9290" s="355"/>
    </row>
    <row r="9291" spans="11:20" x14ac:dyDescent="0.25">
      <c r="K9291" s="312"/>
      <c r="N9291" s="514"/>
      <c r="R9291" s="293"/>
      <c r="S9291" s="316"/>
      <c r="T9291" s="355"/>
    </row>
    <row r="9292" spans="11:20" x14ac:dyDescent="0.25">
      <c r="K9292" s="312"/>
      <c r="N9292" s="514"/>
      <c r="R9292" s="293"/>
      <c r="S9292" s="316"/>
      <c r="T9292" s="355"/>
    </row>
    <row r="9293" spans="11:20" x14ac:dyDescent="0.25">
      <c r="K9293" s="312"/>
      <c r="N9293" s="514"/>
      <c r="R9293" s="293"/>
      <c r="S9293" s="316"/>
      <c r="T9293" s="355"/>
    </row>
    <row r="9294" spans="11:20" x14ac:dyDescent="0.25">
      <c r="K9294" s="312"/>
      <c r="N9294" s="514"/>
      <c r="R9294" s="293"/>
      <c r="S9294" s="316"/>
      <c r="T9294" s="355"/>
    </row>
    <row r="9295" spans="11:20" x14ac:dyDescent="0.25">
      <c r="K9295" s="312"/>
      <c r="N9295" s="514"/>
      <c r="R9295" s="293"/>
      <c r="S9295" s="316"/>
      <c r="T9295" s="355"/>
    </row>
    <row r="9296" spans="11:20" x14ac:dyDescent="0.25">
      <c r="K9296" s="312"/>
      <c r="N9296" s="514"/>
      <c r="R9296" s="293"/>
      <c r="S9296" s="316"/>
      <c r="T9296" s="355"/>
    </row>
    <row r="9297" spans="11:20" x14ac:dyDescent="0.25">
      <c r="K9297" s="312"/>
      <c r="N9297" s="514"/>
      <c r="R9297" s="293"/>
      <c r="S9297" s="316"/>
      <c r="T9297" s="355"/>
    </row>
    <row r="9298" spans="11:20" x14ac:dyDescent="0.25">
      <c r="K9298" s="312"/>
      <c r="N9298" s="514"/>
      <c r="R9298" s="293"/>
      <c r="S9298" s="316"/>
      <c r="T9298" s="355"/>
    </row>
    <row r="9299" spans="11:20" x14ac:dyDescent="0.25">
      <c r="K9299" s="312"/>
      <c r="N9299" s="514"/>
      <c r="R9299" s="293"/>
      <c r="S9299" s="316"/>
      <c r="T9299" s="355"/>
    </row>
    <row r="9300" spans="11:20" x14ac:dyDescent="0.25">
      <c r="K9300" s="312"/>
      <c r="N9300" s="514"/>
      <c r="R9300" s="293"/>
      <c r="S9300" s="316"/>
      <c r="T9300" s="355"/>
    </row>
    <row r="9301" spans="11:20" x14ac:dyDescent="0.25">
      <c r="K9301" s="312"/>
      <c r="N9301" s="514"/>
      <c r="R9301" s="293"/>
      <c r="S9301" s="316"/>
      <c r="T9301" s="355"/>
    </row>
    <row r="9302" spans="11:20" x14ac:dyDescent="0.25">
      <c r="K9302" s="312"/>
      <c r="N9302" s="514"/>
      <c r="R9302" s="293"/>
      <c r="S9302" s="316"/>
      <c r="T9302" s="355"/>
    </row>
    <row r="9303" spans="11:20" x14ac:dyDescent="0.25">
      <c r="K9303" s="312"/>
      <c r="N9303" s="514"/>
      <c r="R9303" s="293"/>
      <c r="S9303" s="316"/>
      <c r="T9303" s="355"/>
    </row>
    <row r="9304" spans="11:20" x14ac:dyDescent="0.25">
      <c r="K9304" s="312"/>
      <c r="N9304" s="514"/>
      <c r="R9304" s="293"/>
      <c r="S9304" s="316"/>
      <c r="T9304" s="355"/>
    </row>
    <row r="9305" spans="11:20" x14ac:dyDescent="0.25">
      <c r="K9305" s="312"/>
      <c r="N9305" s="514"/>
      <c r="R9305" s="293"/>
      <c r="S9305" s="316"/>
      <c r="T9305" s="355"/>
    </row>
    <row r="9306" spans="11:20" x14ac:dyDescent="0.25">
      <c r="K9306" s="312"/>
      <c r="N9306" s="514"/>
      <c r="R9306" s="293"/>
      <c r="S9306" s="316"/>
      <c r="T9306" s="355"/>
    </row>
    <row r="9307" spans="11:20" x14ac:dyDescent="0.25">
      <c r="K9307" s="312"/>
      <c r="N9307" s="514"/>
      <c r="R9307" s="293"/>
      <c r="S9307" s="316"/>
      <c r="T9307" s="355"/>
    </row>
    <row r="9308" spans="11:20" x14ac:dyDescent="0.25">
      <c r="K9308" s="312"/>
      <c r="N9308" s="514"/>
      <c r="R9308" s="293"/>
      <c r="S9308" s="316"/>
      <c r="T9308" s="355"/>
    </row>
    <row r="9309" spans="11:20" x14ac:dyDescent="0.25">
      <c r="K9309" s="312"/>
      <c r="N9309" s="514"/>
      <c r="R9309" s="293"/>
      <c r="S9309" s="316"/>
      <c r="T9309" s="355"/>
    </row>
    <row r="9310" spans="11:20" x14ac:dyDescent="0.25">
      <c r="K9310" s="312"/>
      <c r="N9310" s="514"/>
      <c r="R9310" s="293"/>
      <c r="S9310" s="316"/>
      <c r="T9310" s="355"/>
    </row>
    <row r="9311" spans="11:20" x14ac:dyDescent="0.25">
      <c r="K9311" s="312"/>
      <c r="N9311" s="514"/>
      <c r="R9311" s="293"/>
      <c r="S9311" s="316"/>
      <c r="T9311" s="355"/>
    </row>
    <row r="9312" spans="11:20" x14ac:dyDescent="0.25">
      <c r="K9312" s="312"/>
      <c r="N9312" s="514"/>
      <c r="R9312" s="293"/>
      <c r="S9312" s="316"/>
      <c r="T9312" s="355"/>
    </row>
    <row r="9313" spans="11:20" x14ac:dyDescent="0.25">
      <c r="K9313" s="312"/>
      <c r="N9313" s="514"/>
      <c r="R9313" s="293"/>
      <c r="S9313" s="316"/>
      <c r="T9313" s="355"/>
    </row>
    <row r="9314" spans="11:20" x14ac:dyDescent="0.25">
      <c r="K9314" s="312"/>
      <c r="N9314" s="514"/>
      <c r="R9314" s="293"/>
      <c r="S9314" s="316"/>
      <c r="T9314" s="355"/>
    </row>
    <row r="9315" spans="11:20" x14ac:dyDescent="0.25">
      <c r="K9315" s="312"/>
      <c r="N9315" s="514"/>
      <c r="R9315" s="293"/>
      <c r="S9315" s="316"/>
      <c r="T9315" s="355"/>
    </row>
    <row r="9316" spans="11:20" x14ac:dyDescent="0.25">
      <c r="K9316" s="312"/>
      <c r="N9316" s="514"/>
      <c r="R9316" s="293"/>
      <c r="S9316" s="316"/>
      <c r="T9316" s="355"/>
    </row>
    <row r="9317" spans="11:20" x14ac:dyDescent="0.25">
      <c r="K9317" s="312"/>
      <c r="N9317" s="514"/>
      <c r="R9317" s="293"/>
      <c r="S9317" s="316"/>
      <c r="T9317" s="355"/>
    </row>
    <row r="9318" spans="11:20" x14ac:dyDescent="0.25">
      <c r="K9318" s="312"/>
      <c r="N9318" s="514"/>
      <c r="R9318" s="293"/>
      <c r="S9318" s="316"/>
      <c r="T9318" s="355"/>
    </row>
    <row r="9319" spans="11:20" x14ac:dyDescent="0.25">
      <c r="K9319" s="312"/>
      <c r="N9319" s="514"/>
      <c r="R9319" s="293"/>
      <c r="S9319" s="316"/>
      <c r="T9319" s="355"/>
    </row>
    <row r="9320" spans="11:20" x14ac:dyDescent="0.25">
      <c r="K9320" s="312"/>
      <c r="N9320" s="514"/>
      <c r="R9320" s="293"/>
      <c r="S9320" s="316"/>
      <c r="T9320" s="355"/>
    </row>
    <row r="9321" spans="11:20" x14ac:dyDescent="0.25">
      <c r="K9321" s="312"/>
      <c r="N9321" s="514"/>
      <c r="R9321" s="293"/>
      <c r="S9321" s="316"/>
      <c r="T9321" s="355"/>
    </row>
    <row r="9322" spans="11:20" x14ac:dyDescent="0.25">
      <c r="K9322" s="312"/>
      <c r="N9322" s="514"/>
      <c r="T9322" s="355"/>
    </row>
    <row r="9323" spans="11:20" x14ac:dyDescent="0.25">
      <c r="K9323" s="312"/>
      <c r="N9323" s="514"/>
      <c r="T9323" s="355"/>
    </row>
    <row r="9324" spans="11:20" x14ac:dyDescent="0.25">
      <c r="K9324" s="312"/>
      <c r="N9324" s="514"/>
      <c r="T9324" s="355"/>
    </row>
    <row r="9325" spans="11:20" x14ac:dyDescent="0.25">
      <c r="K9325" s="312"/>
      <c r="N9325" s="514"/>
      <c r="T9325" s="355"/>
    </row>
    <row r="9326" spans="11:20" x14ac:dyDescent="0.25">
      <c r="K9326" s="312"/>
      <c r="N9326" s="514"/>
      <c r="T9326" s="355"/>
    </row>
    <row r="9327" spans="11:20" x14ac:dyDescent="0.25">
      <c r="K9327" s="312"/>
      <c r="N9327" s="514"/>
      <c r="T9327" s="355"/>
    </row>
    <row r="9328" spans="11:20" x14ac:dyDescent="0.25">
      <c r="K9328" s="312"/>
      <c r="N9328" s="514"/>
      <c r="T9328" s="355"/>
    </row>
    <row r="9329" spans="11:20" x14ac:dyDescent="0.25">
      <c r="K9329" s="312"/>
      <c r="N9329" s="514"/>
      <c r="T9329" s="355"/>
    </row>
    <row r="9330" spans="11:20" x14ac:dyDescent="0.25">
      <c r="K9330" s="312"/>
      <c r="N9330" s="514"/>
      <c r="T9330" s="355"/>
    </row>
    <row r="9331" spans="11:20" x14ac:dyDescent="0.25">
      <c r="K9331" s="312"/>
      <c r="N9331" s="514"/>
      <c r="T9331" s="355"/>
    </row>
    <row r="9332" spans="11:20" x14ac:dyDescent="0.25">
      <c r="K9332" s="312"/>
      <c r="N9332" s="514"/>
      <c r="T9332" s="355"/>
    </row>
    <row r="9333" spans="11:20" x14ac:dyDescent="0.25">
      <c r="K9333" s="312"/>
      <c r="N9333" s="514"/>
      <c r="T9333" s="355"/>
    </row>
    <row r="9334" spans="11:20" x14ac:dyDescent="0.25">
      <c r="K9334" s="312"/>
      <c r="N9334" s="514"/>
      <c r="T9334" s="355"/>
    </row>
    <row r="9335" spans="11:20" x14ac:dyDescent="0.25">
      <c r="K9335" s="312"/>
      <c r="N9335" s="514"/>
      <c r="T9335" s="355"/>
    </row>
    <row r="9336" spans="11:20" x14ac:dyDescent="0.25">
      <c r="K9336" s="312"/>
      <c r="N9336" s="514"/>
    </row>
    <row r="9337" spans="11:20" x14ac:dyDescent="0.25">
      <c r="K9337" s="312"/>
      <c r="N9337" s="514"/>
    </row>
    <row r="9338" spans="11:20" x14ac:dyDescent="0.25">
      <c r="K9338" s="312"/>
      <c r="N9338" s="514"/>
    </row>
    <row r="9339" spans="11:20" x14ac:dyDescent="0.25">
      <c r="K9339" s="312"/>
      <c r="N9339" s="514"/>
    </row>
    <row r="9340" spans="11:20" x14ac:dyDescent="0.25">
      <c r="K9340" s="312"/>
      <c r="N9340" s="514"/>
    </row>
    <row r="9341" spans="11:20" x14ac:dyDescent="0.25">
      <c r="K9341" s="312"/>
      <c r="N9341" s="514"/>
    </row>
    <row r="9342" spans="11:20" x14ac:dyDescent="0.25">
      <c r="K9342" s="312"/>
      <c r="N9342" s="514"/>
    </row>
    <row r="9343" spans="11:20" x14ac:dyDescent="0.25">
      <c r="K9343" s="312"/>
      <c r="N9343" s="514"/>
    </row>
    <row r="9344" spans="11:20" x14ac:dyDescent="0.25">
      <c r="K9344" s="312"/>
      <c r="N9344" s="514"/>
    </row>
    <row r="9345" spans="11:14" x14ac:dyDescent="0.25">
      <c r="K9345" s="312"/>
      <c r="N9345" s="514"/>
    </row>
    <row r="9346" spans="11:14" x14ac:dyDescent="0.25">
      <c r="K9346" s="312"/>
      <c r="N9346" s="514"/>
    </row>
    <row r="9347" spans="11:14" x14ac:dyDescent="0.25">
      <c r="K9347" s="312"/>
      <c r="N9347" s="514"/>
    </row>
    <row r="9348" spans="11:14" x14ac:dyDescent="0.25">
      <c r="K9348" s="312"/>
      <c r="N9348" s="514"/>
    </row>
    <row r="9349" spans="11:14" x14ac:dyDescent="0.25">
      <c r="K9349" s="312"/>
      <c r="N9349" s="514"/>
    </row>
    <row r="9350" spans="11:14" x14ac:dyDescent="0.25">
      <c r="K9350" s="312"/>
      <c r="N9350" s="514"/>
    </row>
    <row r="9351" spans="11:14" x14ac:dyDescent="0.25">
      <c r="K9351" s="312"/>
      <c r="N9351" s="514"/>
    </row>
    <row r="9352" spans="11:14" x14ac:dyDescent="0.25">
      <c r="K9352" s="312"/>
      <c r="N9352" s="514"/>
    </row>
    <row r="9353" spans="11:14" x14ac:dyDescent="0.25">
      <c r="K9353" s="312"/>
      <c r="N9353" s="514"/>
    </row>
    <row r="9354" spans="11:14" x14ac:dyDescent="0.25">
      <c r="K9354" s="312"/>
      <c r="N9354" s="514"/>
    </row>
    <row r="9355" spans="11:14" x14ac:dyDescent="0.25">
      <c r="K9355" s="312"/>
      <c r="N9355" s="514"/>
    </row>
    <row r="9356" spans="11:14" x14ac:dyDescent="0.25">
      <c r="K9356" s="312"/>
      <c r="N9356" s="514"/>
    </row>
    <row r="9357" spans="11:14" x14ac:dyDescent="0.25">
      <c r="K9357" s="312"/>
      <c r="N9357" s="514"/>
    </row>
    <row r="9358" spans="11:14" x14ac:dyDescent="0.25">
      <c r="K9358" s="312"/>
      <c r="N9358" s="514"/>
    </row>
    <row r="9359" spans="11:14" x14ac:dyDescent="0.25">
      <c r="K9359" s="312"/>
      <c r="N9359" s="514"/>
    </row>
    <row r="9360" spans="11:14" x14ac:dyDescent="0.25">
      <c r="K9360" s="312"/>
      <c r="N9360" s="514"/>
    </row>
    <row r="9361" spans="11:14" x14ac:dyDescent="0.25">
      <c r="K9361" s="312"/>
      <c r="N9361" s="514"/>
    </row>
    <row r="9362" spans="11:14" x14ac:dyDescent="0.25">
      <c r="K9362" s="312"/>
      <c r="N9362" s="514"/>
    </row>
    <row r="9363" spans="11:14" x14ac:dyDescent="0.25">
      <c r="K9363" s="312"/>
      <c r="N9363" s="514"/>
    </row>
    <row r="9364" spans="11:14" x14ac:dyDescent="0.25">
      <c r="K9364" s="312"/>
      <c r="N9364" s="514"/>
    </row>
    <row r="9365" spans="11:14" x14ac:dyDescent="0.25">
      <c r="K9365" s="312"/>
      <c r="N9365" s="514"/>
    </row>
    <row r="9366" spans="11:14" x14ac:dyDescent="0.25">
      <c r="K9366" s="312"/>
      <c r="N9366" s="514"/>
    </row>
    <row r="9367" spans="11:14" x14ac:dyDescent="0.25">
      <c r="K9367" s="312"/>
      <c r="N9367" s="514"/>
    </row>
    <row r="9368" spans="11:14" x14ac:dyDescent="0.25">
      <c r="K9368" s="312"/>
      <c r="N9368" s="514"/>
    </row>
    <row r="9369" spans="11:14" x14ac:dyDescent="0.25">
      <c r="K9369" s="312"/>
      <c r="N9369" s="514"/>
    </row>
    <row r="9370" spans="11:14" x14ac:dyDescent="0.25">
      <c r="K9370" s="312"/>
      <c r="N9370" s="514"/>
    </row>
    <row r="9371" spans="11:14" x14ac:dyDescent="0.25">
      <c r="K9371" s="312"/>
      <c r="N9371" s="514"/>
    </row>
    <row r="9372" spans="11:14" x14ac:dyDescent="0.25">
      <c r="K9372" s="312"/>
      <c r="N9372" s="514"/>
    </row>
    <row r="9373" spans="11:14" x14ac:dyDescent="0.25">
      <c r="K9373" s="312"/>
      <c r="N9373" s="514"/>
    </row>
    <row r="9374" spans="11:14" x14ac:dyDescent="0.25">
      <c r="K9374" s="312"/>
      <c r="N9374" s="514"/>
    </row>
    <row r="9375" spans="11:14" x14ac:dyDescent="0.25">
      <c r="K9375" s="312"/>
      <c r="N9375" s="514"/>
    </row>
    <row r="9376" spans="11:14" x14ac:dyDescent="0.25">
      <c r="K9376" s="312"/>
      <c r="N9376" s="514"/>
    </row>
    <row r="9377" spans="11:14" x14ac:dyDescent="0.25">
      <c r="K9377" s="312"/>
      <c r="N9377" s="514"/>
    </row>
    <row r="9378" spans="11:14" x14ac:dyDescent="0.25">
      <c r="K9378" s="312"/>
      <c r="N9378" s="514"/>
    </row>
    <row r="9379" spans="11:14" x14ac:dyDescent="0.25">
      <c r="K9379" s="312"/>
      <c r="N9379" s="514"/>
    </row>
    <row r="9380" spans="11:14" x14ac:dyDescent="0.25">
      <c r="K9380" s="312"/>
      <c r="N9380" s="514"/>
    </row>
    <row r="9381" spans="11:14" x14ac:dyDescent="0.25">
      <c r="K9381" s="312"/>
      <c r="N9381" s="514"/>
    </row>
    <row r="9382" spans="11:14" x14ac:dyDescent="0.25">
      <c r="K9382" s="312"/>
      <c r="N9382" s="514"/>
    </row>
    <row r="9383" spans="11:14" x14ac:dyDescent="0.25">
      <c r="K9383" s="312"/>
      <c r="N9383" s="514"/>
    </row>
    <row r="9384" spans="11:14" x14ac:dyDescent="0.25">
      <c r="K9384" s="312"/>
      <c r="N9384" s="514"/>
    </row>
    <row r="9385" spans="11:14" x14ac:dyDescent="0.25">
      <c r="K9385" s="312"/>
      <c r="N9385" s="514"/>
    </row>
    <row r="9386" spans="11:14" x14ac:dyDescent="0.25">
      <c r="K9386" s="312"/>
      <c r="N9386" s="514"/>
    </row>
    <row r="9387" spans="11:14" x14ac:dyDescent="0.25">
      <c r="K9387" s="312"/>
      <c r="N9387" s="514"/>
    </row>
    <row r="9388" spans="11:14" x14ac:dyDescent="0.25">
      <c r="K9388" s="312"/>
      <c r="N9388" s="514"/>
    </row>
    <row r="9389" spans="11:14" x14ac:dyDescent="0.25">
      <c r="K9389" s="312"/>
      <c r="N9389" s="514"/>
    </row>
    <row r="9390" spans="11:14" x14ac:dyDescent="0.25">
      <c r="K9390" s="312"/>
      <c r="N9390" s="514"/>
    </row>
    <row r="9391" spans="11:14" x14ac:dyDescent="0.25">
      <c r="K9391" s="312"/>
      <c r="N9391" s="514"/>
    </row>
    <row r="9392" spans="11:14" x14ac:dyDescent="0.25">
      <c r="K9392" s="312"/>
      <c r="N9392" s="514"/>
    </row>
    <row r="9393" spans="11:14" x14ac:dyDescent="0.25">
      <c r="K9393" s="312"/>
      <c r="N9393" s="514"/>
    </row>
    <row r="9394" spans="11:14" x14ac:dyDescent="0.25">
      <c r="K9394" s="312"/>
      <c r="N9394" s="514"/>
    </row>
    <row r="9395" spans="11:14" x14ac:dyDescent="0.25">
      <c r="K9395" s="312"/>
      <c r="N9395" s="514"/>
    </row>
    <row r="9396" spans="11:14" x14ac:dyDescent="0.25">
      <c r="K9396" s="312"/>
      <c r="N9396" s="514"/>
    </row>
    <row r="9397" spans="11:14" x14ac:dyDescent="0.25">
      <c r="K9397" s="312"/>
      <c r="N9397" s="514"/>
    </row>
    <row r="9398" spans="11:14" x14ac:dyDescent="0.25">
      <c r="K9398" s="312"/>
      <c r="N9398" s="514"/>
    </row>
    <row r="9399" spans="11:14" x14ac:dyDescent="0.25">
      <c r="K9399" s="312"/>
      <c r="N9399" s="514"/>
    </row>
    <row r="9400" spans="11:14" x14ac:dyDescent="0.25">
      <c r="K9400" s="312"/>
      <c r="N9400" s="514"/>
    </row>
    <row r="9401" spans="11:14" x14ac:dyDescent="0.25">
      <c r="K9401" s="312"/>
      <c r="N9401" s="514"/>
    </row>
    <row r="9402" spans="11:14" x14ac:dyDescent="0.25">
      <c r="K9402" s="312"/>
      <c r="N9402" s="514"/>
    </row>
    <row r="9403" spans="11:14" x14ac:dyDescent="0.25">
      <c r="K9403" s="312"/>
      <c r="N9403" s="514"/>
    </row>
    <row r="9404" spans="11:14" x14ac:dyDescent="0.25">
      <c r="K9404" s="312"/>
      <c r="N9404" s="514"/>
    </row>
    <row r="9405" spans="11:14" x14ac:dyDescent="0.25">
      <c r="K9405" s="312"/>
      <c r="N9405" s="514"/>
    </row>
    <row r="9406" spans="11:14" x14ac:dyDescent="0.25">
      <c r="K9406" s="312"/>
      <c r="N9406" s="514"/>
    </row>
    <row r="9407" spans="11:14" x14ac:dyDescent="0.25">
      <c r="K9407" s="312"/>
      <c r="N9407" s="514"/>
    </row>
    <row r="9408" spans="11:14" x14ac:dyDescent="0.25">
      <c r="K9408" s="312"/>
      <c r="N9408" s="514"/>
    </row>
    <row r="9409" spans="11:14" x14ac:dyDescent="0.25">
      <c r="K9409" s="312"/>
      <c r="N9409" s="514"/>
    </row>
    <row r="9410" spans="11:14" x14ac:dyDescent="0.25">
      <c r="K9410" s="312"/>
      <c r="N9410" s="514"/>
    </row>
    <row r="9411" spans="11:14" x14ac:dyDescent="0.25">
      <c r="K9411" s="312"/>
      <c r="N9411" s="514"/>
    </row>
    <row r="9412" spans="11:14" x14ac:dyDescent="0.25">
      <c r="K9412" s="312"/>
      <c r="N9412" s="514"/>
    </row>
    <row r="9413" spans="11:14" x14ac:dyDescent="0.25">
      <c r="K9413" s="312"/>
      <c r="N9413" s="514"/>
    </row>
    <row r="9414" spans="11:14" x14ac:dyDescent="0.25">
      <c r="K9414" s="312"/>
      <c r="N9414" s="514"/>
    </row>
    <row r="9415" spans="11:14" x14ac:dyDescent="0.25">
      <c r="K9415" s="312"/>
      <c r="N9415" s="514"/>
    </row>
    <row r="9416" spans="11:14" x14ac:dyDescent="0.25">
      <c r="K9416" s="312"/>
      <c r="N9416" s="514"/>
    </row>
    <row r="9417" spans="11:14" x14ac:dyDescent="0.25">
      <c r="K9417" s="312"/>
      <c r="N9417" s="514"/>
    </row>
    <row r="9418" spans="11:14" x14ac:dyDescent="0.25">
      <c r="K9418" s="312"/>
      <c r="N9418" s="514"/>
    </row>
    <row r="9419" spans="11:14" x14ac:dyDescent="0.25">
      <c r="K9419" s="312"/>
      <c r="N9419" s="514"/>
    </row>
    <row r="9420" spans="11:14" x14ac:dyDescent="0.25">
      <c r="K9420" s="312"/>
      <c r="N9420" s="514"/>
    </row>
    <row r="9421" spans="11:14" x14ac:dyDescent="0.25">
      <c r="K9421" s="312"/>
      <c r="N9421" s="514"/>
    </row>
    <row r="9422" spans="11:14" x14ac:dyDescent="0.25">
      <c r="K9422" s="312"/>
      <c r="N9422" s="514"/>
    </row>
    <row r="9423" spans="11:14" x14ac:dyDescent="0.25">
      <c r="K9423" s="312"/>
      <c r="N9423" s="514"/>
    </row>
    <row r="9424" spans="11:14" x14ac:dyDescent="0.25">
      <c r="K9424" s="312"/>
      <c r="N9424" s="514"/>
    </row>
    <row r="9425" spans="11:14" x14ac:dyDescent="0.25">
      <c r="K9425" s="312"/>
      <c r="N9425" s="514"/>
    </row>
    <row r="9426" spans="11:14" x14ac:dyDescent="0.25">
      <c r="K9426" s="312"/>
      <c r="N9426" s="514"/>
    </row>
    <row r="9427" spans="11:14" x14ac:dyDescent="0.25">
      <c r="K9427" s="312"/>
      <c r="N9427" s="514"/>
    </row>
    <row r="9428" spans="11:14" x14ac:dyDescent="0.25">
      <c r="K9428" s="312"/>
      <c r="N9428" s="514"/>
    </row>
    <row r="9429" spans="11:14" x14ac:dyDescent="0.25">
      <c r="K9429" s="312"/>
      <c r="N9429" s="514"/>
    </row>
    <row r="9430" spans="11:14" x14ac:dyDescent="0.25">
      <c r="K9430" s="312"/>
      <c r="N9430" s="514"/>
    </row>
    <row r="9431" spans="11:14" x14ac:dyDescent="0.25">
      <c r="K9431" s="312"/>
      <c r="N9431" s="514"/>
    </row>
    <row r="9432" spans="11:14" x14ac:dyDescent="0.25">
      <c r="K9432" s="312"/>
      <c r="N9432" s="514"/>
    </row>
    <row r="9433" spans="11:14" x14ac:dyDescent="0.25">
      <c r="K9433" s="312"/>
      <c r="N9433" s="514"/>
    </row>
    <row r="9434" spans="11:14" x14ac:dyDescent="0.25">
      <c r="K9434" s="312"/>
      <c r="N9434" s="514"/>
    </row>
    <row r="9435" spans="11:14" x14ac:dyDescent="0.25">
      <c r="K9435" s="312"/>
      <c r="N9435" s="514"/>
    </row>
    <row r="9436" spans="11:14" x14ac:dyDescent="0.25">
      <c r="K9436" s="312"/>
      <c r="N9436" s="514"/>
    </row>
    <row r="9437" spans="11:14" x14ac:dyDescent="0.25">
      <c r="K9437" s="312"/>
      <c r="N9437" s="514"/>
    </row>
    <row r="9438" spans="11:14" x14ac:dyDescent="0.25">
      <c r="K9438" s="312"/>
      <c r="N9438" s="514"/>
    </row>
    <row r="9439" spans="11:14" x14ac:dyDescent="0.25">
      <c r="K9439" s="312"/>
      <c r="N9439" s="514"/>
    </row>
    <row r="9440" spans="11:14" x14ac:dyDescent="0.25">
      <c r="K9440" s="312"/>
      <c r="N9440" s="514"/>
    </row>
    <row r="9441" spans="11:14" x14ac:dyDescent="0.25">
      <c r="K9441" s="312"/>
      <c r="N9441" s="514"/>
    </row>
    <row r="9442" spans="11:14" x14ac:dyDescent="0.25">
      <c r="K9442" s="312"/>
      <c r="N9442" s="514"/>
    </row>
    <row r="9443" spans="11:14" x14ac:dyDescent="0.25">
      <c r="K9443" s="312"/>
      <c r="N9443" s="514"/>
    </row>
    <row r="9444" spans="11:14" x14ac:dyDescent="0.25">
      <c r="K9444" s="312"/>
      <c r="N9444" s="514"/>
    </row>
    <row r="9445" spans="11:14" x14ac:dyDescent="0.25">
      <c r="K9445" s="312"/>
      <c r="N9445" s="514"/>
    </row>
    <row r="9446" spans="11:14" x14ac:dyDescent="0.25">
      <c r="K9446" s="312"/>
      <c r="N9446" s="514"/>
    </row>
    <row r="9447" spans="11:14" x14ac:dyDescent="0.25">
      <c r="K9447" s="312"/>
      <c r="N9447" s="514"/>
    </row>
    <row r="9448" spans="11:14" x14ac:dyDescent="0.25">
      <c r="K9448" s="312"/>
      <c r="N9448" s="514"/>
    </row>
    <row r="9449" spans="11:14" x14ac:dyDescent="0.25">
      <c r="K9449" s="312"/>
      <c r="N9449" s="514"/>
    </row>
    <row r="9450" spans="11:14" x14ac:dyDescent="0.25">
      <c r="K9450" s="312"/>
      <c r="N9450" s="514"/>
    </row>
    <row r="9451" spans="11:14" x14ac:dyDescent="0.25">
      <c r="K9451" s="312"/>
      <c r="N9451" s="514"/>
    </row>
    <row r="9452" spans="11:14" x14ac:dyDescent="0.25">
      <c r="K9452" s="312"/>
      <c r="N9452" s="514"/>
    </row>
    <row r="9453" spans="11:14" x14ac:dyDescent="0.25">
      <c r="K9453" s="312"/>
      <c r="N9453" s="514"/>
    </row>
    <row r="9454" spans="11:14" x14ac:dyDescent="0.25">
      <c r="K9454" s="312"/>
      <c r="N9454" s="514"/>
    </row>
    <row r="9455" spans="11:14" x14ac:dyDescent="0.25">
      <c r="K9455" s="312"/>
      <c r="N9455" s="514"/>
    </row>
    <row r="9456" spans="11:14" x14ac:dyDescent="0.25">
      <c r="K9456" s="312"/>
      <c r="N9456" s="514"/>
    </row>
    <row r="9457" spans="11:14" x14ac:dyDescent="0.25">
      <c r="K9457" s="312"/>
      <c r="N9457" s="514"/>
    </row>
    <row r="9458" spans="11:14" x14ac:dyDescent="0.25">
      <c r="K9458" s="312"/>
      <c r="N9458" s="514"/>
    </row>
    <row r="9459" spans="11:14" x14ac:dyDescent="0.25">
      <c r="K9459" s="312"/>
      <c r="N9459" s="514"/>
    </row>
    <row r="9460" spans="11:14" x14ac:dyDescent="0.25">
      <c r="K9460" s="312"/>
      <c r="N9460" s="514"/>
    </row>
    <row r="9461" spans="11:14" x14ac:dyDescent="0.25">
      <c r="K9461" s="312"/>
      <c r="N9461" s="514"/>
    </row>
    <row r="9462" spans="11:14" x14ac:dyDescent="0.25">
      <c r="K9462" s="312"/>
      <c r="N9462" s="514"/>
    </row>
    <row r="9463" spans="11:14" x14ac:dyDescent="0.25">
      <c r="K9463" s="312"/>
      <c r="N9463" s="514"/>
    </row>
    <row r="9464" spans="11:14" x14ac:dyDescent="0.25">
      <c r="K9464" s="312"/>
      <c r="N9464" s="514"/>
    </row>
    <row r="9465" spans="11:14" x14ac:dyDescent="0.25">
      <c r="K9465" s="312"/>
      <c r="N9465" s="514"/>
    </row>
    <row r="9466" spans="11:14" x14ac:dyDescent="0.25">
      <c r="K9466" s="312"/>
      <c r="N9466" s="514"/>
    </row>
    <row r="9467" spans="11:14" x14ac:dyDescent="0.25">
      <c r="K9467" s="312"/>
      <c r="N9467" s="514"/>
    </row>
    <row r="9468" spans="11:14" x14ac:dyDescent="0.25">
      <c r="K9468" s="312"/>
      <c r="N9468" s="514"/>
    </row>
    <row r="9469" spans="11:14" x14ac:dyDescent="0.25">
      <c r="K9469" s="312"/>
      <c r="N9469" s="514"/>
    </row>
    <row r="9470" spans="11:14" x14ac:dyDescent="0.25">
      <c r="K9470" s="312"/>
      <c r="N9470" s="514"/>
    </row>
    <row r="9471" spans="11:14" x14ac:dyDescent="0.25">
      <c r="K9471" s="312"/>
      <c r="N9471" s="514"/>
    </row>
    <row r="9472" spans="11:14" x14ac:dyDescent="0.25">
      <c r="K9472" s="312"/>
      <c r="N9472" s="514"/>
    </row>
    <row r="9473" spans="11:14" x14ac:dyDescent="0.25">
      <c r="K9473" s="312"/>
      <c r="N9473" s="514"/>
    </row>
    <row r="9474" spans="11:14" x14ac:dyDescent="0.25">
      <c r="K9474" s="312"/>
      <c r="N9474" s="514"/>
    </row>
    <row r="9475" spans="11:14" x14ac:dyDescent="0.25">
      <c r="K9475" s="312"/>
      <c r="N9475" s="514"/>
    </row>
    <row r="9476" spans="11:14" x14ac:dyDescent="0.25">
      <c r="K9476" s="312"/>
      <c r="N9476" s="514"/>
    </row>
    <row r="9477" spans="11:14" x14ac:dyDescent="0.25">
      <c r="K9477" s="312"/>
      <c r="N9477" s="514"/>
    </row>
    <row r="9478" spans="11:14" x14ac:dyDescent="0.25">
      <c r="K9478" s="312"/>
      <c r="N9478" s="514"/>
    </row>
    <row r="9479" spans="11:14" x14ac:dyDescent="0.25">
      <c r="K9479" s="312"/>
      <c r="N9479" s="514"/>
    </row>
    <row r="9480" spans="11:14" x14ac:dyDescent="0.25">
      <c r="K9480" s="312"/>
      <c r="N9480" s="514"/>
    </row>
    <row r="9481" spans="11:14" x14ac:dyDescent="0.25">
      <c r="K9481" s="312"/>
      <c r="N9481" s="514"/>
    </row>
    <row r="9482" spans="11:14" x14ac:dyDescent="0.25">
      <c r="K9482" s="312"/>
      <c r="N9482" s="514"/>
    </row>
    <row r="9483" spans="11:14" x14ac:dyDescent="0.25">
      <c r="K9483" s="312"/>
      <c r="N9483" s="514"/>
    </row>
    <row r="9484" spans="11:14" x14ac:dyDescent="0.25">
      <c r="K9484" s="312"/>
      <c r="N9484" s="514"/>
    </row>
    <row r="9485" spans="11:14" x14ac:dyDescent="0.25">
      <c r="K9485" s="312"/>
      <c r="N9485" s="514"/>
    </row>
    <row r="9486" spans="11:14" x14ac:dyDescent="0.25">
      <c r="K9486" s="312"/>
      <c r="N9486" s="514"/>
    </row>
    <row r="9487" spans="11:14" x14ac:dyDescent="0.25">
      <c r="K9487" s="312"/>
      <c r="N9487" s="514"/>
    </row>
    <row r="9488" spans="11:14" x14ac:dyDescent="0.25">
      <c r="K9488" s="312"/>
      <c r="N9488" s="514"/>
    </row>
    <row r="9489" spans="11:14" x14ac:dyDescent="0.25">
      <c r="K9489" s="312"/>
      <c r="N9489" s="514"/>
    </row>
    <row r="9490" spans="11:14" x14ac:dyDescent="0.25">
      <c r="K9490" s="312"/>
      <c r="N9490" s="514"/>
    </row>
    <row r="9491" spans="11:14" x14ac:dyDescent="0.25">
      <c r="K9491" s="312"/>
      <c r="N9491" s="514"/>
    </row>
    <row r="9492" spans="11:14" x14ac:dyDescent="0.25">
      <c r="K9492" s="312"/>
      <c r="N9492" s="514"/>
    </row>
    <row r="9493" spans="11:14" x14ac:dyDescent="0.25">
      <c r="K9493" s="312"/>
      <c r="N9493" s="514"/>
    </row>
    <row r="9494" spans="11:14" x14ac:dyDescent="0.25">
      <c r="K9494" s="312"/>
      <c r="N9494" s="514"/>
    </row>
    <row r="9495" spans="11:14" x14ac:dyDescent="0.25">
      <c r="K9495" s="312"/>
      <c r="N9495" s="514"/>
    </row>
    <row r="9496" spans="11:14" x14ac:dyDescent="0.25">
      <c r="K9496" s="312"/>
      <c r="N9496" s="514"/>
    </row>
    <row r="9497" spans="11:14" x14ac:dyDescent="0.25">
      <c r="K9497" s="312"/>
      <c r="N9497" s="514"/>
    </row>
    <row r="9498" spans="11:14" x14ac:dyDescent="0.25">
      <c r="K9498" s="312"/>
      <c r="N9498" s="514"/>
    </row>
    <row r="9499" spans="11:14" x14ac:dyDescent="0.25">
      <c r="K9499" s="312"/>
      <c r="N9499" s="514"/>
    </row>
    <row r="9500" spans="11:14" x14ac:dyDescent="0.25">
      <c r="K9500" s="312"/>
      <c r="N9500" s="514"/>
    </row>
    <row r="9501" spans="11:14" x14ac:dyDescent="0.25">
      <c r="K9501" s="312"/>
      <c r="N9501" s="514"/>
    </row>
    <row r="9502" spans="11:14" x14ac:dyDescent="0.25">
      <c r="K9502" s="312"/>
      <c r="N9502" s="514"/>
    </row>
    <row r="9503" spans="11:14" x14ac:dyDescent="0.25">
      <c r="K9503" s="312"/>
      <c r="N9503" s="514"/>
    </row>
    <row r="9504" spans="11:14" x14ac:dyDescent="0.25">
      <c r="K9504" s="312"/>
      <c r="N9504" s="514"/>
    </row>
    <row r="9505" spans="11:14" x14ac:dyDescent="0.25">
      <c r="K9505" s="312"/>
      <c r="N9505" s="514"/>
    </row>
    <row r="9506" spans="11:14" x14ac:dyDescent="0.25">
      <c r="K9506" s="312"/>
      <c r="N9506" s="514"/>
    </row>
    <row r="9507" spans="11:14" x14ac:dyDescent="0.25">
      <c r="K9507" s="312"/>
      <c r="N9507" s="514"/>
    </row>
    <row r="9508" spans="11:14" x14ac:dyDescent="0.25">
      <c r="K9508" s="312"/>
      <c r="N9508" s="514"/>
    </row>
    <row r="9509" spans="11:14" x14ac:dyDescent="0.25">
      <c r="K9509" s="312"/>
      <c r="N9509" s="514"/>
    </row>
    <row r="9510" spans="11:14" x14ac:dyDescent="0.25">
      <c r="K9510" s="312"/>
      <c r="N9510" s="514"/>
    </row>
    <row r="9511" spans="11:14" x14ac:dyDescent="0.25">
      <c r="K9511" s="312"/>
      <c r="N9511" s="514"/>
    </row>
    <row r="9512" spans="11:14" x14ac:dyDescent="0.25">
      <c r="K9512" s="312"/>
      <c r="N9512" s="514"/>
    </row>
    <row r="9513" spans="11:14" x14ac:dyDescent="0.25">
      <c r="K9513" s="312"/>
      <c r="N9513" s="514"/>
    </row>
    <row r="9514" spans="11:14" x14ac:dyDescent="0.25">
      <c r="K9514" s="312"/>
      <c r="N9514" s="514"/>
    </row>
    <row r="9515" spans="11:14" x14ac:dyDescent="0.25">
      <c r="K9515" s="312"/>
      <c r="N9515" s="514"/>
    </row>
    <row r="9516" spans="11:14" x14ac:dyDescent="0.25">
      <c r="K9516" s="312"/>
      <c r="N9516" s="514"/>
    </row>
    <row r="9517" spans="11:14" x14ac:dyDescent="0.25">
      <c r="K9517" s="312"/>
      <c r="N9517" s="514"/>
    </row>
    <row r="9518" spans="11:14" x14ac:dyDescent="0.25">
      <c r="K9518" s="312"/>
      <c r="N9518" s="514"/>
    </row>
    <row r="9519" spans="11:14" x14ac:dyDescent="0.25">
      <c r="K9519" s="312"/>
      <c r="N9519" s="514"/>
    </row>
    <row r="9520" spans="11:14" x14ac:dyDescent="0.25">
      <c r="K9520" s="312"/>
      <c r="N9520" s="514"/>
    </row>
    <row r="9521" spans="11:14" x14ac:dyDescent="0.25">
      <c r="K9521" s="312"/>
      <c r="N9521" s="514"/>
    </row>
    <row r="9522" spans="11:14" x14ac:dyDescent="0.25">
      <c r="K9522" s="312"/>
      <c r="N9522" s="514"/>
    </row>
    <row r="9523" spans="11:14" x14ac:dyDescent="0.25">
      <c r="K9523" s="312"/>
      <c r="N9523" s="514"/>
    </row>
    <row r="9524" spans="11:14" x14ac:dyDescent="0.25">
      <c r="K9524" s="312"/>
      <c r="N9524" s="514"/>
    </row>
    <row r="9525" spans="11:14" x14ac:dyDescent="0.25">
      <c r="K9525" s="312"/>
      <c r="N9525" s="514"/>
    </row>
    <row r="9526" spans="11:14" x14ac:dyDescent="0.25">
      <c r="K9526" s="312"/>
      <c r="N9526" s="514"/>
    </row>
    <row r="9527" spans="11:14" x14ac:dyDescent="0.25">
      <c r="K9527" s="312"/>
      <c r="N9527" s="514"/>
    </row>
    <row r="9528" spans="11:14" x14ac:dyDescent="0.25">
      <c r="K9528" s="312"/>
      <c r="N9528" s="514"/>
    </row>
    <row r="9529" spans="11:14" x14ac:dyDescent="0.25">
      <c r="K9529" s="312"/>
      <c r="N9529" s="514"/>
    </row>
    <row r="9530" spans="11:14" x14ac:dyDescent="0.25">
      <c r="K9530" s="312"/>
      <c r="N9530" s="514"/>
    </row>
    <row r="9531" spans="11:14" x14ac:dyDescent="0.25">
      <c r="K9531" s="312"/>
      <c r="N9531" s="514"/>
    </row>
    <row r="9532" spans="11:14" x14ac:dyDescent="0.25">
      <c r="K9532" s="312"/>
      <c r="N9532" s="514"/>
    </row>
    <row r="9533" spans="11:14" x14ac:dyDescent="0.25">
      <c r="K9533" s="312"/>
      <c r="N9533" s="514"/>
    </row>
    <row r="9534" spans="11:14" x14ac:dyDescent="0.25">
      <c r="K9534" s="312"/>
      <c r="N9534" s="514"/>
    </row>
    <row r="9535" spans="11:14" x14ac:dyDescent="0.25">
      <c r="K9535" s="312"/>
      <c r="N9535" s="514"/>
    </row>
    <row r="9536" spans="11:14" x14ac:dyDescent="0.25">
      <c r="K9536" s="312"/>
      <c r="N9536" s="514"/>
    </row>
    <row r="9537" spans="11:14" x14ac:dyDescent="0.25">
      <c r="K9537" s="312"/>
      <c r="N9537" s="514"/>
    </row>
    <row r="9538" spans="11:14" x14ac:dyDescent="0.25">
      <c r="K9538" s="312"/>
      <c r="N9538" s="514"/>
    </row>
    <row r="9539" spans="11:14" x14ac:dyDescent="0.25">
      <c r="K9539" s="312"/>
      <c r="N9539" s="514"/>
    </row>
    <row r="9540" spans="11:14" x14ac:dyDescent="0.25">
      <c r="K9540" s="312"/>
      <c r="N9540" s="514"/>
    </row>
    <row r="9541" spans="11:14" x14ac:dyDescent="0.25">
      <c r="K9541" s="312"/>
      <c r="N9541" s="514"/>
    </row>
    <row r="9542" spans="11:14" x14ac:dyDescent="0.25">
      <c r="K9542" s="312"/>
      <c r="N9542" s="514"/>
    </row>
    <row r="9543" spans="11:14" x14ac:dyDescent="0.25">
      <c r="K9543" s="312"/>
      <c r="N9543" s="514"/>
    </row>
    <row r="9544" spans="11:14" x14ac:dyDescent="0.25">
      <c r="K9544" s="312"/>
      <c r="N9544" s="514"/>
    </row>
    <row r="9545" spans="11:14" x14ac:dyDescent="0.25">
      <c r="K9545" s="312"/>
      <c r="N9545" s="514"/>
    </row>
    <row r="9546" spans="11:14" x14ac:dyDescent="0.25">
      <c r="K9546" s="312"/>
      <c r="N9546" s="514"/>
    </row>
    <row r="9547" spans="11:14" x14ac:dyDescent="0.25">
      <c r="K9547" s="312"/>
      <c r="N9547" s="514"/>
    </row>
    <row r="9548" spans="11:14" x14ac:dyDescent="0.25">
      <c r="K9548" s="312"/>
      <c r="N9548" s="514"/>
    </row>
    <row r="9549" spans="11:14" x14ac:dyDescent="0.25">
      <c r="K9549" s="312"/>
      <c r="N9549" s="514"/>
    </row>
    <row r="9550" spans="11:14" x14ac:dyDescent="0.25">
      <c r="K9550" s="312"/>
      <c r="N9550" s="514"/>
    </row>
    <row r="9551" spans="11:14" x14ac:dyDescent="0.25">
      <c r="K9551" s="312"/>
      <c r="N9551" s="514"/>
    </row>
    <row r="9552" spans="11:14" x14ac:dyDescent="0.25">
      <c r="K9552" s="312"/>
      <c r="N9552" s="514"/>
    </row>
    <row r="9553" spans="11:14" x14ac:dyDescent="0.25">
      <c r="K9553" s="312"/>
      <c r="N9553" s="514"/>
    </row>
    <row r="9554" spans="11:14" x14ac:dyDescent="0.25">
      <c r="K9554" s="312"/>
      <c r="N9554" s="514"/>
    </row>
    <row r="9555" spans="11:14" x14ac:dyDescent="0.25">
      <c r="K9555" s="312"/>
      <c r="N9555" s="514"/>
    </row>
    <row r="9556" spans="11:14" x14ac:dyDescent="0.25">
      <c r="K9556" s="312"/>
      <c r="N9556" s="514"/>
    </row>
    <row r="9557" spans="11:14" x14ac:dyDescent="0.25">
      <c r="K9557" s="312"/>
      <c r="N9557" s="514"/>
    </row>
    <row r="9558" spans="11:14" x14ac:dyDescent="0.25">
      <c r="K9558" s="312"/>
      <c r="N9558" s="514"/>
    </row>
    <row r="9559" spans="11:14" x14ac:dyDescent="0.25">
      <c r="K9559" s="312"/>
      <c r="N9559" s="514"/>
    </row>
    <row r="9560" spans="11:14" x14ac:dyDescent="0.25">
      <c r="K9560" s="312"/>
      <c r="N9560" s="514"/>
    </row>
    <row r="9561" spans="11:14" x14ac:dyDescent="0.25">
      <c r="K9561" s="312"/>
      <c r="N9561" s="514"/>
    </row>
    <row r="9562" spans="11:14" x14ac:dyDescent="0.25">
      <c r="K9562" s="312"/>
      <c r="N9562" s="514"/>
    </row>
    <row r="9563" spans="11:14" x14ac:dyDescent="0.25">
      <c r="K9563" s="312"/>
      <c r="N9563" s="514"/>
    </row>
    <row r="9564" spans="11:14" x14ac:dyDescent="0.25">
      <c r="K9564" s="312"/>
      <c r="N9564" s="514"/>
    </row>
    <row r="9565" spans="11:14" x14ac:dyDescent="0.25">
      <c r="K9565" s="312"/>
      <c r="N9565" s="514"/>
    </row>
    <row r="9566" spans="11:14" x14ac:dyDescent="0.25">
      <c r="K9566" s="312"/>
      <c r="N9566" s="514"/>
    </row>
    <row r="9567" spans="11:14" x14ac:dyDescent="0.25">
      <c r="K9567" s="312"/>
      <c r="N9567" s="514"/>
    </row>
    <row r="9568" spans="11:14" x14ac:dyDescent="0.25">
      <c r="K9568" s="312"/>
      <c r="N9568" s="514"/>
    </row>
    <row r="9569" spans="11:14" x14ac:dyDescent="0.25">
      <c r="K9569" s="312"/>
      <c r="N9569" s="514"/>
    </row>
    <row r="9570" spans="11:14" x14ac:dyDescent="0.25">
      <c r="K9570" s="312"/>
      <c r="N9570" s="514"/>
    </row>
    <row r="9571" spans="11:14" x14ac:dyDescent="0.25">
      <c r="K9571" s="312"/>
      <c r="N9571" s="514"/>
    </row>
    <row r="9572" spans="11:14" x14ac:dyDescent="0.25">
      <c r="K9572" s="312"/>
      <c r="N9572" s="514"/>
    </row>
    <row r="9573" spans="11:14" x14ac:dyDescent="0.25">
      <c r="K9573" s="312"/>
      <c r="N9573" s="514"/>
    </row>
    <row r="9574" spans="11:14" x14ac:dyDescent="0.25">
      <c r="K9574" s="312"/>
      <c r="N9574" s="514"/>
    </row>
    <row r="9575" spans="11:14" x14ac:dyDescent="0.25">
      <c r="K9575" s="312"/>
      <c r="N9575" s="514"/>
    </row>
    <row r="9576" spans="11:14" x14ac:dyDescent="0.25">
      <c r="K9576" s="312"/>
      <c r="N9576" s="514"/>
    </row>
    <row r="9577" spans="11:14" x14ac:dyDescent="0.25">
      <c r="K9577" s="312"/>
      <c r="N9577" s="514"/>
    </row>
    <row r="9578" spans="11:14" x14ac:dyDescent="0.25">
      <c r="K9578" s="312"/>
      <c r="N9578" s="514"/>
    </row>
    <row r="9579" spans="11:14" x14ac:dyDescent="0.25">
      <c r="K9579" s="312"/>
      <c r="N9579" s="514"/>
    </row>
    <row r="9580" spans="11:14" x14ac:dyDescent="0.25">
      <c r="K9580" s="312"/>
      <c r="N9580" s="514"/>
    </row>
    <row r="9581" spans="11:14" x14ac:dyDescent="0.25">
      <c r="K9581" s="312"/>
      <c r="N9581" s="514"/>
    </row>
    <row r="9582" spans="11:14" x14ac:dyDescent="0.25">
      <c r="K9582" s="312"/>
      <c r="N9582" s="514"/>
    </row>
    <row r="9583" spans="11:14" x14ac:dyDescent="0.25">
      <c r="K9583" s="312"/>
      <c r="N9583" s="514"/>
    </row>
    <row r="9584" spans="11:14" x14ac:dyDescent="0.25">
      <c r="K9584" s="312"/>
      <c r="N9584" s="514"/>
    </row>
    <row r="9585" spans="11:14" x14ac:dyDescent="0.25">
      <c r="K9585" s="312"/>
      <c r="N9585" s="514"/>
    </row>
    <row r="9586" spans="11:14" x14ac:dyDescent="0.25">
      <c r="K9586" s="312"/>
      <c r="N9586" s="514"/>
    </row>
    <row r="9587" spans="11:14" x14ac:dyDescent="0.25">
      <c r="K9587" s="312"/>
      <c r="N9587" s="514"/>
    </row>
    <row r="9588" spans="11:14" x14ac:dyDescent="0.25">
      <c r="K9588" s="312"/>
      <c r="N9588" s="514"/>
    </row>
    <row r="9589" spans="11:14" x14ac:dyDescent="0.25">
      <c r="K9589" s="312"/>
      <c r="N9589" s="514"/>
    </row>
    <row r="9590" spans="11:14" x14ac:dyDescent="0.25">
      <c r="K9590" s="312"/>
      <c r="N9590" s="514"/>
    </row>
    <row r="9591" spans="11:14" x14ac:dyDescent="0.25">
      <c r="K9591" s="312"/>
      <c r="N9591" s="514"/>
    </row>
    <row r="9592" spans="11:14" x14ac:dyDescent="0.25">
      <c r="K9592" s="312"/>
      <c r="N9592" s="514"/>
    </row>
    <row r="9593" spans="11:14" x14ac:dyDescent="0.25">
      <c r="K9593" s="312"/>
      <c r="N9593" s="514"/>
    </row>
    <row r="9594" spans="11:14" x14ac:dyDescent="0.25">
      <c r="K9594" s="312"/>
      <c r="N9594" s="514"/>
    </row>
    <row r="9595" spans="11:14" x14ac:dyDescent="0.25">
      <c r="K9595" s="312"/>
      <c r="N9595" s="514"/>
    </row>
    <row r="9596" spans="11:14" x14ac:dyDescent="0.25">
      <c r="K9596" s="312"/>
      <c r="N9596" s="514"/>
    </row>
    <row r="9597" spans="11:14" x14ac:dyDescent="0.25">
      <c r="K9597" s="312"/>
      <c r="N9597" s="514"/>
    </row>
    <row r="9598" spans="11:14" x14ac:dyDescent="0.25">
      <c r="K9598" s="312"/>
      <c r="N9598" s="514"/>
    </row>
    <row r="9599" spans="11:14" x14ac:dyDescent="0.25">
      <c r="K9599" s="312"/>
      <c r="N9599" s="514"/>
    </row>
    <row r="9600" spans="11:14" x14ac:dyDescent="0.25">
      <c r="K9600" s="312"/>
      <c r="N9600" s="514"/>
    </row>
    <row r="9601" spans="11:14" x14ac:dyDescent="0.25">
      <c r="K9601" s="312"/>
      <c r="N9601" s="514"/>
    </row>
    <row r="9602" spans="11:14" x14ac:dyDescent="0.25">
      <c r="K9602" s="312"/>
      <c r="N9602" s="514"/>
    </row>
    <row r="9603" spans="11:14" x14ac:dyDescent="0.25">
      <c r="K9603" s="312"/>
      <c r="N9603" s="514"/>
    </row>
    <row r="9604" spans="11:14" x14ac:dyDescent="0.25">
      <c r="K9604" s="312"/>
      <c r="N9604" s="514"/>
    </row>
    <row r="9605" spans="11:14" x14ac:dyDescent="0.25">
      <c r="K9605" s="312"/>
      <c r="N9605" s="514"/>
    </row>
    <row r="9606" spans="11:14" x14ac:dyDescent="0.25">
      <c r="K9606" s="312"/>
      <c r="N9606" s="514"/>
    </row>
    <row r="9607" spans="11:14" x14ac:dyDescent="0.25">
      <c r="K9607" s="312"/>
      <c r="N9607" s="514"/>
    </row>
    <row r="9608" spans="11:14" x14ac:dyDescent="0.25">
      <c r="K9608" s="312"/>
      <c r="N9608" s="514"/>
    </row>
    <row r="9609" spans="11:14" x14ac:dyDescent="0.25">
      <c r="K9609" s="312"/>
      <c r="N9609" s="514"/>
    </row>
    <row r="9610" spans="11:14" x14ac:dyDescent="0.25">
      <c r="K9610" s="312"/>
      <c r="N9610" s="514"/>
    </row>
    <row r="9611" spans="11:14" x14ac:dyDescent="0.25">
      <c r="K9611" s="312"/>
      <c r="N9611" s="514"/>
    </row>
    <row r="9612" spans="11:14" x14ac:dyDescent="0.25">
      <c r="K9612" s="312"/>
      <c r="N9612" s="514"/>
    </row>
    <row r="9613" spans="11:14" x14ac:dyDescent="0.25">
      <c r="K9613" s="312"/>
      <c r="N9613" s="514"/>
    </row>
    <row r="9614" spans="11:14" x14ac:dyDescent="0.25">
      <c r="K9614" s="312"/>
      <c r="N9614" s="514"/>
    </row>
    <row r="9615" spans="11:14" x14ac:dyDescent="0.25">
      <c r="K9615" s="312"/>
      <c r="N9615" s="514"/>
    </row>
    <row r="9616" spans="11:14" x14ac:dyDescent="0.25">
      <c r="K9616" s="312"/>
      <c r="N9616" s="514"/>
    </row>
    <row r="9617" spans="11:14" x14ac:dyDescent="0.25">
      <c r="K9617" s="312"/>
      <c r="N9617" s="514"/>
    </row>
    <row r="9618" spans="11:14" x14ac:dyDescent="0.25">
      <c r="K9618" s="312"/>
      <c r="N9618" s="514"/>
    </row>
    <row r="9619" spans="11:14" x14ac:dyDescent="0.25">
      <c r="K9619" s="312"/>
      <c r="N9619" s="514"/>
    </row>
    <row r="9620" spans="11:14" x14ac:dyDescent="0.25">
      <c r="K9620" s="312"/>
      <c r="N9620" s="514"/>
    </row>
    <row r="9621" spans="11:14" x14ac:dyDescent="0.25">
      <c r="K9621" s="312"/>
      <c r="N9621" s="514"/>
    </row>
    <row r="9622" spans="11:14" x14ac:dyDescent="0.25">
      <c r="K9622" s="312"/>
      <c r="N9622" s="514"/>
    </row>
    <row r="9623" spans="11:14" x14ac:dyDescent="0.25">
      <c r="K9623" s="312"/>
      <c r="N9623" s="514"/>
    </row>
    <row r="9624" spans="11:14" x14ac:dyDescent="0.25">
      <c r="K9624" s="312"/>
      <c r="N9624" s="514"/>
    </row>
    <row r="9625" spans="11:14" x14ac:dyDescent="0.25">
      <c r="K9625" s="312"/>
      <c r="N9625" s="514"/>
    </row>
    <row r="9626" spans="11:14" x14ac:dyDescent="0.25">
      <c r="K9626" s="312"/>
      <c r="N9626" s="514"/>
    </row>
    <row r="9627" spans="11:14" x14ac:dyDescent="0.25">
      <c r="K9627" s="312"/>
      <c r="N9627" s="514"/>
    </row>
    <row r="9628" spans="11:14" x14ac:dyDescent="0.25">
      <c r="K9628" s="312"/>
      <c r="N9628" s="514"/>
    </row>
    <row r="9629" spans="11:14" x14ac:dyDescent="0.25">
      <c r="K9629" s="312"/>
      <c r="N9629" s="514"/>
    </row>
    <row r="9630" spans="11:14" x14ac:dyDescent="0.25">
      <c r="K9630" s="312"/>
      <c r="N9630" s="514"/>
    </row>
    <row r="9631" spans="11:14" x14ac:dyDescent="0.25">
      <c r="K9631" s="312"/>
      <c r="N9631" s="514"/>
    </row>
    <row r="9632" spans="11:14" x14ac:dyDescent="0.25">
      <c r="K9632" s="312"/>
      <c r="N9632" s="514"/>
    </row>
    <row r="9633" spans="11:14" x14ac:dyDescent="0.25">
      <c r="K9633" s="312"/>
      <c r="N9633" s="514"/>
    </row>
    <row r="9634" spans="11:14" x14ac:dyDescent="0.25">
      <c r="K9634" s="312"/>
      <c r="N9634" s="514"/>
    </row>
    <row r="9635" spans="11:14" x14ac:dyDescent="0.25">
      <c r="K9635" s="312"/>
      <c r="N9635" s="514"/>
    </row>
    <row r="9636" spans="11:14" x14ac:dyDescent="0.25">
      <c r="K9636" s="312"/>
      <c r="N9636" s="514"/>
    </row>
    <row r="9637" spans="11:14" x14ac:dyDescent="0.25">
      <c r="K9637" s="312"/>
      <c r="N9637" s="514"/>
    </row>
    <row r="9638" spans="11:14" x14ac:dyDescent="0.25">
      <c r="K9638" s="312"/>
      <c r="N9638" s="514"/>
    </row>
    <row r="9639" spans="11:14" x14ac:dyDescent="0.25">
      <c r="K9639" s="312"/>
      <c r="N9639" s="514"/>
    </row>
    <row r="9640" spans="11:14" x14ac:dyDescent="0.25">
      <c r="K9640" s="312"/>
      <c r="N9640" s="514"/>
    </row>
    <row r="9641" spans="11:14" x14ac:dyDescent="0.25">
      <c r="K9641" s="312"/>
      <c r="N9641" s="514"/>
    </row>
    <row r="9642" spans="11:14" x14ac:dyDescent="0.25">
      <c r="K9642" s="312"/>
      <c r="N9642" s="514"/>
    </row>
    <row r="9643" spans="11:14" x14ac:dyDescent="0.25">
      <c r="K9643" s="312"/>
      <c r="N9643" s="514"/>
    </row>
    <row r="9644" spans="11:14" x14ac:dyDescent="0.25">
      <c r="K9644" s="312"/>
      <c r="N9644" s="514"/>
    </row>
    <row r="9645" spans="11:14" x14ac:dyDescent="0.25">
      <c r="K9645" s="312"/>
      <c r="N9645" s="514"/>
    </row>
    <row r="9646" spans="11:14" x14ac:dyDescent="0.25">
      <c r="K9646" s="312"/>
      <c r="N9646" s="514"/>
    </row>
    <row r="9647" spans="11:14" x14ac:dyDescent="0.25">
      <c r="K9647" s="312"/>
      <c r="N9647" s="514"/>
    </row>
    <row r="9648" spans="11:14" x14ac:dyDescent="0.25">
      <c r="K9648" s="312"/>
      <c r="N9648" s="514"/>
    </row>
    <row r="9649" spans="11:14" x14ac:dyDescent="0.25">
      <c r="K9649" s="312"/>
      <c r="N9649" s="514"/>
    </row>
    <row r="9650" spans="11:14" x14ac:dyDescent="0.25">
      <c r="K9650" s="312"/>
      <c r="N9650" s="514"/>
    </row>
    <row r="9651" spans="11:14" x14ac:dyDescent="0.25">
      <c r="K9651" s="312"/>
      <c r="N9651" s="514"/>
    </row>
    <row r="9652" spans="11:14" x14ac:dyDescent="0.25">
      <c r="K9652" s="312"/>
      <c r="N9652" s="514"/>
    </row>
    <row r="9653" spans="11:14" x14ac:dyDescent="0.25">
      <c r="K9653" s="312"/>
      <c r="N9653" s="514"/>
    </row>
    <row r="9654" spans="11:14" x14ac:dyDescent="0.25">
      <c r="K9654" s="312"/>
      <c r="N9654" s="514"/>
    </row>
    <row r="9655" spans="11:14" x14ac:dyDescent="0.25">
      <c r="K9655" s="312"/>
      <c r="N9655" s="514"/>
    </row>
    <row r="9656" spans="11:14" x14ac:dyDescent="0.25">
      <c r="K9656" s="312"/>
      <c r="N9656" s="514"/>
    </row>
    <row r="9657" spans="11:14" x14ac:dyDescent="0.25">
      <c r="K9657" s="312"/>
      <c r="N9657" s="514"/>
    </row>
    <row r="9658" spans="11:14" x14ac:dyDescent="0.25">
      <c r="K9658" s="312"/>
      <c r="N9658" s="514"/>
    </row>
    <row r="9659" spans="11:14" x14ac:dyDescent="0.25">
      <c r="K9659" s="312"/>
      <c r="N9659" s="514"/>
    </row>
    <row r="9660" spans="11:14" x14ac:dyDescent="0.25">
      <c r="K9660" s="312"/>
      <c r="N9660" s="514"/>
    </row>
    <row r="9661" spans="11:14" x14ac:dyDescent="0.25">
      <c r="K9661" s="312"/>
      <c r="N9661" s="514"/>
    </row>
    <row r="9662" spans="11:14" x14ac:dyDescent="0.25">
      <c r="K9662" s="312"/>
      <c r="N9662" s="514"/>
    </row>
    <row r="9663" spans="11:14" x14ac:dyDescent="0.25">
      <c r="K9663" s="312"/>
      <c r="N9663" s="514"/>
    </row>
    <row r="9664" spans="11:14" x14ac:dyDescent="0.25">
      <c r="K9664" s="312"/>
      <c r="N9664" s="514"/>
    </row>
    <row r="9665" spans="11:14" x14ac:dyDescent="0.25">
      <c r="K9665" s="312"/>
      <c r="N9665" s="514"/>
    </row>
    <row r="9666" spans="11:14" x14ac:dyDescent="0.25">
      <c r="K9666" s="312"/>
      <c r="N9666" s="514"/>
    </row>
    <row r="9667" spans="11:14" x14ac:dyDescent="0.25">
      <c r="K9667" s="312"/>
      <c r="N9667" s="514"/>
    </row>
    <row r="9668" spans="11:14" x14ac:dyDescent="0.25">
      <c r="K9668" s="312"/>
      <c r="N9668" s="514"/>
    </row>
    <row r="9669" spans="11:14" x14ac:dyDescent="0.25">
      <c r="K9669" s="312"/>
      <c r="N9669" s="514"/>
    </row>
    <row r="9670" spans="11:14" x14ac:dyDescent="0.25">
      <c r="K9670" s="312"/>
      <c r="N9670" s="514"/>
    </row>
    <row r="9671" spans="11:14" x14ac:dyDescent="0.25">
      <c r="K9671" s="312"/>
      <c r="N9671" s="514"/>
    </row>
    <row r="9672" spans="11:14" x14ac:dyDescent="0.25">
      <c r="K9672" s="312"/>
      <c r="N9672" s="514"/>
    </row>
    <row r="9673" spans="11:14" x14ac:dyDescent="0.25">
      <c r="K9673" s="312"/>
      <c r="N9673" s="514"/>
    </row>
    <row r="9674" spans="11:14" x14ac:dyDescent="0.25">
      <c r="K9674" s="312"/>
      <c r="N9674" s="514"/>
    </row>
    <row r="9675" spans="11:14" x14ac:dyDescent="0.25">
      <c r="K9675" s="312"/>
      <c r="N9675" s="514"/>
    </row>
    <row r="9676" spans="11:14" x14ac:dyDescent="0.25">
      <c r="K9676" s="312"/>
      <c r="N9676" s="514"/>
    </row>
    <row r="9677" spans="11:14" x14ac:dyDescent="0.25">
      <c r="K9677" s="312"/>
      <c r="N9677" s="514"/>
    </row>
    <row r="9678" spans="11:14" x14ac:dyDescent="0.25">
      <c r="K9678" s="312"/>
      <c r="N9678" s="514"/>
    </row>
    <row r="9679" spans="11:14" x14ac:dyDescent="0.25">
      <c r="K9679" s="312"/>
      <c r="N9679" s="514"/>
    </row>
    <row r="9680" spans="11:14" x14ac:dyDescent="0.25">
      <c r="K9680" s="312"/>
      <c r="N9680" s="514"/>
    </row>
    <row r="9681" spans="11:14" x14ac:dyDescent="0.25">
      <c r="K9681" s="312"/>
      <c r="N9681" s="514"/>
    </row>
    <row r="9682" spans="11:14" x14ac:dyDescent="0.25">
      <c r="K9682" s="312"/>
      <c r="N9682" s="514"/>
    </row>
    <row r="9683" spans="11:14" x14ac:dyDescent="0.25">
      <c r="K9683" s="312"/>
      <c r="N9683" s="514"/>
    </row>
    <row r="9684" spans="11:14" x14ac:dyDescent="0.25">
      <c r="K9684" s="312"/>
      <c r="N9684" s="514"/>
    </row>
    <row r="9685" spans="11:14" x14ac:dyDescent="0.25">
      <c r="K9685" s="312"/>
      <c r="N9685" s="514"/>
    </row>
    <row r="9686" spans="11:14" x14ac:dyDescent="0.25">
      <c r="K9686" s="312"/>
      <c r="N9686" s="514"/>
    </row>
    <row r="9687" spans="11:14" x14ac:dyDescent="0.25">
      <c r="K9687" s="312"/>
      <c r="N9687" s="514"/>
    </row>
    <row r="9688" spans="11:14" x14ac:dyDescent="0.25">
      <c r="K9688" s="312"/>
      <c r="N9688" s="514"/>
    </row>
    <row r="9689" spans="11:14" x14ac:dyDescent="0.25">
      <c r="K9689" s="312"/>
      <c r="N9689" s="514"/>
    </row>
    <row r="9690" spans="11:14" x14ac:dyDescent="0.25">
      <c r="K9690" s="312"/>
      <c r="N9690" s="514"/>
    </row>
    <row r="9691" spans="11:14" x14ac:dyDescent="0.25">
      <c r="K9691" s="312"/>
      <c r="N9691" s="514"/>
    </row>
    <row r="9692" spans="11:14" x14ac:dyDescent="0.25">
      <c r="K9692" s="312"/>
      <c r="N9692" s="514"/>
    </row>
    <row r="9693" spans="11:14" x14ac:dyDescent="0.25">
      <c r="K9693" s="312"/>
      <c r="N9693" s="514"/>
    </row>
    <row r="9694" spans="11:14" x14ac:dyDescent="0.25">
      <c r="K9694" s="312"/>
      <c r="N9694" s="514"/>
    </row>
    <row r="9695" spans="11:14" x14ac:dyDescent="0.25">
      <c r="K9695" s="312"/>
      <c r="N9695" s="514"/>
    </row>
    <row r="9696" spans="11:14" x14ac:dyDescent="0.25">
      <c r="K9696" s="312"/>
      <c r="N9696" s="514"/>
    </row>
    <row r="9697" spans="11:14" x14ac:dyDescent="0.25">
      <c r="K9697" s="312"/>
      <c r="N9697" s="514"/>
    </row>
    <row r="9698" spans="11:14" x14ac:dyDescent="0.25">
      <c r="K9698" s="312"/>
      <c r="N9698" s="514"/>
    </row>
    <row r="9699" spans="11:14" x14ac:dyDescent="0.25">
      <c r="K9699" s="312"/>
      <c r="N9699" s="514"/>
    </row>
    <row r="9700" spans="11:14" x14ac:dyDescent="0.25">
      <c r="K9700" s="312"/>
      <c r="N9700" s="514"/>
    </row>
    <row r="9701" spans="11:14" x14ac:dyDescent="0.25">
      <c r="K9701" s="312"/>
      <c r="N9701" s="514"/>
    </row>
    <row r="9702" spans="11:14" x14ac:dyDescent="0.25">
      <c r="K9702" s="312"/>
      <c r="N9702" s="514"/>
    </row>
    <row r="9703" spans="11:14" x14ac:dyDescent="0.25">
      <c r="K9703" s="312"/>
      <c r="N9703" s="514"/>
    </row>
    <row r="9704" spans="11:14" x14ac:dyDescent="0.25">
      <c r="K9704" s="312"/>
      <c r="N9704" s="514"/>
    </row>
    <row r="9705" spans="11:14" x14ac:dyDescent="0.25">
      <c r="K9705" s="312"/>
      <c r="N9705" s="514"/>
    </row>
    <row r="9706" spans="11:14" x14ac:dyDescent="0.25">
      <c r="K9706" s="312"/>
      <c r="N9706" s="514"/>
    </row>
    <row r="9707" spans="11:14" x14ac:dyDescent="0.25">
      <c r="K9707" s="312"/>
      <c r="N9707" s="514"/>
    </row>
    <row r="9708" spans="11:14" x14ac:dyDescent="0.25">
      <c r="K9708" s="312"/>
      <c r="N9708" s="514"/>
    </row>
    <row r="9709" spans="11:14" x14ac:dyDescent="0.25">
      <c r="K9709" s="312"/>
      <c r="N9709" s="514"/>
    </row>
    <row r="9710" spans="11:14" x14ac:dyDescent="0.25">
      <c r="K9710" s="312"/>
      <c r="N9710" s="514"/>
    </row>
    <row r="9711" spans="11:14" x14ac:dyDescent="0.25">
      <c r="K9711" s="312"/>
      <c r="N9711" s="514"/>
    </row>
    <row r="9712" spans="11:14" x14ac:dyDescent="0.25">
      <c r="K9712" s="312"/>
      <c r="N9712" s="514"/>
    </row>
    <row r="9713" spans="11:14" x14ac:dyDescent="0.25">
      <c r="K9713" s="312"/>
      <c r="N9713" s="514"/>
    </row>
    <row r="9714" spans="11:14" x14ac:dyDescent="0.25">
      <c r="K9714" s="312"/>
      <c r="N9714" s="514"/>
    </row>
    <row r="9715" spans="11:14" x14ac:dyDescent="0.25">
      <c r="K9715" s="312"/>
      <c r="N9715" s="514"/>
    </row>
    <row r="9716" spans="11:14" x14ac:dyDescent="0.25">
      <c r="K9716" s="312"/>
      <c r="N9716" s="514"/>
    </row>
    <row r="9717" spans="11:14" x14ac:dyDescent="0.25">
      <c r="K9717" s="312"/>
      <c r="N9717" s="514"/>
    </row>
    <row r="9718" spans="11:14" x14ac:dyDescent="0.25">
      <c r="K9718" s="312"/>
      <c r="N9718" s="514"/>
    </row>
    <row r="9719" spans="11:14" x14ac:dyDescent="0.25">
      <c r="K9719" s="312"/>
      <c r="N9719" s="514"/>
    </row>
    <row r="9720" spans="11:14" x14ac:dyDescent="0.25">
      <c r="K9720" s="312"/>
      <c r="N9720" s="514"/>
    </row>
    <row r="9721" spans="11:14" x14ac:dyDescent="0.25">
      <c r="K9721" s="312"/>
      <c r="N9721" s="514"/>
    </row>
    <row r="9722" spans="11:14" x14ac:dyDescent="0.25">
      <c r="K9722" s="312"/>
      <c r="N9722" s="514"/>
    </row>
    <row r="9723" spans="11:14" x14ac:dyDescent="0.25">
      <c r="K9723" s="312"/>
      <c r="N9723" s="514"/>
    </row>
    <row r="9724" spans="11:14" x14ac:dyDescent="0.25">
      <c r="K9724" s="312"/>
      <c r="N9724" s="514"/>
    </row>
    <row r="9725" spans="11:14" x14ac:dyDescent="0.25">
      <c r="K9725" s="312"/>
      <c r="N9725" s="514"/>
    </row>
    <row r="9726" spans="11:14" x14ac:dyDescent="0.25">
      <c r="K9726" s="312"/>
      <c r="N9726" s="514"/>
    </row>
    <row r="9727" spans="11:14" x14ac:dyDescent="0.25">
      <c r="K9727" s="312"/>
      <c r="N9727" s="514"/>
    </row>
    <row r="9728" spans="11:14" x14ac:dyDescent="0.25">
      <c r="K9728" s="312"/>
      <c r="N9728" s="514"/>
    </row>
    <row r="9729" spans="11:14" x14ac:dyDescent="0.25">
      <c r="K9729" s="312"/>
      <c r="N9729" s="514"/>
    </row>
    <row r="9730" spans="11:14" x14ac:dyDescent="0.25">
      <c r="K9730" s="312"/>
      <c r="N9730" s="514"/>
    </row>
    <row r="9731" spans="11:14" x14ac:dyDescent="0.25">
      <c r="K9731" s="312"/>
      <c r="N9731" s="514"/>
    </row>
    <row r="9732" spans="11:14" x14ac:dyDescent="0.25">
      <c r="K9732" s="312"/>
      <c r="N9732" s="514"/>
    </row>
    <row r="9733" spans="11:14" x14ac:dyDescent="0.25">
      <c r="K9733" s="312"/>
      <c r="N9733" s="514"/>
    </row>
    <row r="9734" spans="11:14" x14ac:dyDescent="0.25">
      <c r="K9734" s="312"/>
      <c r="N9734" s="514"/>
    </row>
    <row r="9735" spans="11:14" x14ac:dyDescent="0.25">
      <c r="K9735" s="312"/>
      <c r="N9735" s="514"/>
    </row>
    <row r="9736" spans="11:14" x14ac:dyDescent="0.25">
      <c r="K9736" s="312"/>
      <c r="N9736" s="514"/>
    </row>
    <row r="9737" spans="11:14" x14ac:dyDescent="0.25">
      <c r="K9737" s="312"/>
      <c r="N9737" s="514"/>
    </row>
    <row r="9738" spans="11:14" x14ac:dyDescent="0.25">
      <c r="K9738" s="312"/>
      <c r="N9738" s="514"/>
    </row>
    <row r="9739" spans="11:14" x14ac:dyDescent="0.25">
      <c r="K9739" s="312"/>
      <c r="N9739" s="514"/>
    </row>
    <row r="9740" spans="11:14" x14ac:dyDescent="0.25">
      <c r="K9740" s="312"/>
      <c r="N9740" s="514"/>
    </row>
    <row r="9741" spans="11:14" x14ac:dyDescent="0.25">
      <c r="K9741" s="312"/>
      <c r="N9741" s="514"/>
    </row>
    <row r="9742" spans="11:14" x14ac:dyDescent="0.25">
      <c r="K9742" s="312"/>
      <c r="N9742" s="514"/>
    </row>
    <row r="9743" spans="11:14" x14ac:dyDescent="0.25">
      <c r="K9743" s="312"/>
      <c r="N9743" s="514"/>
    </row>
    <row r="9744" spans="11:14" x14ac:dyDescent="0.25">
      <c r="K9744" s="312"/>
      <c r="N9744" s="514"/>
    </row>
    <row r="9745" spans="11:14" x14ac:dyDescent="0.25">
      <c r="K9745" s="312"/>
      <c r="N9745" s="514"/>
    </row>
    <row r="9746" spans="11:14" x14ac:dyDescent="0.25">
      <c r="K9746" s="312"/>
      <c r="N9746" s="514"/>
    </row>
    <row r="9747" spans="11:14" x14ac:dyDescent="0.25">
      <c r="K9747" s="312"/>
      <c r="N9747" s="514"/>
    </row>
    <row r="9748" spans="11:14" x14ac:dyDescent="0.25">
      <c r="K9748" s="312"/>
      <c r="N9748" s="514"/>
    </row>
    <row r="9749" spans="11:14" x14ac:dyDescent="0.25">
      <c r="K9749" s="312"/>
      <c r="N9749" s="514"/>
    </row>
    <row r="9750" spans="11:14" x14ac:dyDescent="0.25">
      <c r="K9750" s="312"/>
      <c r="N9750" s="514"/>
    </row>
    <row r="9751" spans="11:14" x14ac:dyDescent="0.25">
      <c r="K9751" s="312"/>
      <c r="N9751" s="514"/>
    </row>
    <row r="9752" spans="11:14" x14ac:dyDescent="0.25">
      <c r="K9752" s="312"/>
      <c r="N9752" s="514"/>
    </row>
    <row r="9753" spans="11:14" x14ac:dyDescent="0.25">
      <c r="K9753" s="312"/>
      <c r="N9753" s="514"/>
    </row>
    <row r="9754" spans="11:14" x14ac:dyDescent="0.25">
      <c r="K9754" s="312"/>
      <c r="N9754" s="514"/>
    </row>
    <row r="9755" spans="11:14" x14ac:dyDescent="0.25">
      <c r="K9755" s="312"/>
      <c r="N9755" s="514"/>
    </row>
    <row r="9756" spans="11:14" x14ac:dyDescent="0.25">
      <c r="K9756" s="312"/>
      <c r="N9756" s="514"/>
    </row>
    <row r="9757" spans="11:14" x14ac:dyDescent="0.25">
      <c r="K9757" s="312"/>
      <c r="N9757" s="514"/>
    </row>
    <row r="9758" spans="11:14" x14ac:dyDescent="0.25">
      <c r="K9758" s="312"/>
      <c r="N9758" s="514"/>
    </row>
    <row r="9759" spans="11:14" x14ac:dyDescent="0.25">
      <c r="K9759" s="312"/>
      <c r="N9759" s="514"/>
    </row>
    <row r="9760" spans="11:14" x14ac:dyDescent="0.25">
      <c r="K9760" s="312"/>
      <c r="N9760" s="514"/>
    </row>
    <row r="9761" spans="11:14" x14ac:dyDescent="0.25">
      <c r="K9761" s="312"/>
      <c r="N9761" s="514"/>
    </row>
    <row r="9762" spans="11:14" x14ac:dyDescent="0.25">
      <c r="K9762" s="312"/>
      <c r="N9762" s="514"/>
    </row>
    <row r="9763" spans="11:14" x14ac:dyDescent="0.25">
      <c r="K9763" s="312"/>
      <c r="N9763" s="514"/>
    </row>
    <row r="9764" spans="11:14" x14ac:dyDescent="0.25">
      <c r="K9764" s="312"/>
      <c r="N9764" s="514"/>
    </row>
    <row r="9765" spans="11:14" x14ac:dyDescent="0.25">
      <c r="K9765" s="312"/>
      <c r="N9765" s="514"/>
    </row>
    <row r="9766" spans="11:14" x14ac:dyDescent="0.25">
      <c r="K9766" s="312"/>
      <c r="N9766" s="514"/>
    </row>
    <row r="9767" spans="11:14" x14ac:dyDescent="0.25">
      <c r="K9767" s="312"/>
      <c r="N9767" s="514"/>
    </row>
    <row r="9768" spans="11:14" x14ac:dyDescent="0.25">
      <c r="K9768" s="312"/>
      <c r="N9768" s="514"/>
    </row>
    <row r="9769" spans="11:14" x14ac:dyDescent="0.25">
      <c r="K9769" s="312"/>
      <c r="N9769" s="514"/>
    </row>
    <row r="9770" spans="11:14" x14ac:dyDescent="0.25">
      <c r="K9770" s="312"/>
      <c r="N9770" s="514"/>
    </row>
    <row r="9771" spans="11:14" x14ac:dyDescent="0.25">
      <c r="K9771" s="312"/>
      <c r="N9771" s="514"/>
    </row>
    <row r="9772" spans="11:14" x14ac:dyDescent="0.25">
      <c r="K9772" s="312"/>
      <c r="N9772" s="514"/>
    </row>
    <row r="9773" spans="11:14" x14ac:dyDescent="0.25">
      <c r="K9773" s="312"/>
      <c r="N9773" s="514"/>
    </row>
    <row r="9774" spans="11:14" x14ac:dyDescent="0.25">
      <c r="K9774" s="312"/>
      <c r="N9774" s="514"/>
    </row>
    <row r="9775" spans="11:14" x14ac:dyDescent="0.25">
      <c r="K9775" s="312"/>
      <c r="N9775" s="514"/>
    </row>
    <row r="9776" spans="11:14" x14ac:dyDescent="0.25">
      <c r="K9776" s="312"/>
      <c r="N9776" s="514"/>
    </row>
    <row r="9777" spans="11:14" x14ac:dyDescent="0.25">
      <c r="K9777" s="312"/>
      <c r="N9777" s="514"/>
    </row>
    <row r="9778" spans="11:14" x14ac:dyDescent="0.25">
      <c r="K9778" s="312"/>
      <c r="N9778" s="514"/>
    </row>
    <row r="9779" spans="11:14" x14ac:dyDescent="0.25">
      <c r="K9779" s="312"/>
      <c r="N9779" s="514"/>
    </row>
    <row r="9780" spans="11:14" x14ac:dyDescent="0.25">
      <c r="K9780" s="312"/>
      <c r="N9780" s="514"/>
    </row>
    <row r="9781" spans="11:14" x14ac:dyDescent="0.25">
      <c r="K9781" s="312"/>
      <c r="N9781" s="514"/>
    </row>
    <row r="9782" spans="11:14" x14ac:dyDescent="0.25">
      <c r="K9782" s="312"/>
      <c r="N9782" s="514"/>
    </row>
    <row r="9783" spans="11:14" x14ac:dyDescent="0.25">
      <c r="K9783" s="312"/>
      <c r="N9783" s="514"/>
    </row>
    <row r="9784" spans="11:14" x14ac:dyDescent="0.25">
      <c r="K9784" s="312"/>
      <c r="N9784" s="514"/>
    </row>
    <row r="9785" spans="11:14" x14ac:dyDescent="0.25">
      <c r="K9785" s="312"/>
      <c r="N9785" s="514"/>
    </row>
    <row r="9786" spans="11:14" x14ac:dyDescent="0.25">
      <c r="K9786" s="312"/>
      <c r="N9786" s="514"/>
    </row>
    <row r="9787" spans="11:14" x14ac:dyDescent="0.25">
      <c r="K9787" s="312"/>
      <c r="N9787" s="514"/>
    </row>
    <row r="9788" spans="11:14" x14ac:dyDescent="0.25">
      <c r="K9788" s="312"/>
      <c r="N9788" s="514"/>
    </row>
    <row r="9789" spans="11:14" x14ac:dyDescent="0.25">
      <c r="K9789" s="312"/>
      <c r="N9789" s="514"/>
    </row>
    <row r="9790" spans="11:14" x14ac:dyDescent="0.25">
      <c r="K9790" s="312"/>
      <c r="N9790" s="514"/>
    </row>
    <row r="9791" spans="11:14" x14ac:dyDescent="0.25">
      <c r="K9791" s="312"/>
      <c r="N9791" s="514"/>
    </row>
    <row r="9792" spans="11:14" x14ac:dyDescent="0.25">
      <c r="K9792" s="312"/>
      <c r="N9792" s="514"/>
    </row>
    <row r="9793" spans="11:14" x14ac:dyDescent="0.25">
      <c r="K9793" s="312"/>
      <c r="N9793" s="514"/>
    </row>
    <row r="9794" spans="11:14" x14ac:dyDescent="0.25">
      <c r="K9794" s="312"/>
      <c r="N9794" s="514"/>
    </row>
    <row r="9795" spans="11:14" x14ac:dyDescent="0.25">
      <c r="K9795" s="312"/>
      <c r="N9795" s="514"/>
    </row>
    <row r="9796" spans="11:14" x14ac:dyDescent="0.25">
      <c r="K9796" s="312"/>
      <c r="N9796" s="514"/>
    </row>
    <row r="9797" spans="11:14" x14ac:dyDescent="0.25">
      <c r="K9797" s="312"/>
      <c r="N9797" s="514"/>
    </row>
    <row r="9798" spans="11:14" x14ac:dyDescent="0.25">
      <c r="K9798" s="312"/>
      <c r="N9798" s="514"/>
    </row>
    <row r="9799" spans="11:14" x14ac:dyDescent="0.25">
      <c r="K9799" s="312"/>
      <c r="N9799" s="514"/>
    </row>
    <row r="9800" spans="11:14" x14ac:dyDescent="0.25">
      <c r="K9800" s="312"/>
      <c r="N9800" s="514"/>
    </row>
    <row r="9801" spans="11:14" x14ac:dyDescent="0.25">
      <c r="K9801" s="312"/>
      <c r="N9801" s="514"/>
    </row>
    <row r="9802" spans="11:14" x14ac:dyDescent="0.25">
      <c r="K9802" s="312"/>
      <c r="N9802" s="514"/>
    </row>
    <row r="9803" spans="11:14" x14ac:dyDescent="0.25">
      <c r="K9803" s="312"/>
      <c r="N9803" s="514"/>
    </row>
    <row r="9804" spans="11:14" x14ac:dyDescent="0.25">
      <c r="K9804" s="312"/>
      <c r="N9804" s="514"/>
    </row>
    <row r="9805" spans="11:14" x14ac:dyDescent="0.25">
      <c r="K9805" s="312"/>
      <c r="N9805" s="514"/>
    </row>
    <row r="9806" spans="11:14" x14ac:dyDescent="0.25">
      <c r="K9806" s="312"/>
      <c r="N9806" s="514"/>
    </row>
    <row r="9807" spans="11:14" x14ac:dyDescent="0.25">
      <c r="K9807" s="312"/>
      <c r="N9807" s="514"/>
    </row>
    <row r="9808" spans="11:14" x14ac:dyDescent="0.25">
      <c r="K9808" s="312"/>
      <c r="N9808" s="514"/>
    </row>
    <row r="9809" spans="11:14" x14ac:dyDescent="0.25">
      <c r="K9809" s="312"/>
      <c r="N9809" s="514"/>
    </row>
    <row r="9810" spans="11:14" x14ac:dyDescent="0.25">
      <c r="K9810" s="312"/>
      <c r="N9810" s="514"/>
    </row>
    <row r="9811" spans="11:14" x14ac:dyDescent="0.25">
      <c r="K9811" s="312"/>
      <c r="N9811" s="514"/>
    </row>
    <row r="9812" spans="11:14" x14ac:dyDescent="0.25">
      <c r="K9812" s="312"/>
      <c r="N9812" s="514"/>
    </row>
    <row r="9813" spans="11:14" x14ac:dyDescent="0.25">
      <c r="K9813" s="312"/>
      <c r="N9813" s="514"/>
    </row>
    <row r="9814" spans="11:14" x14ac:dyDescent="0.25">
      <c r="K9814" s="312"/>
      <c r="N9814" s="514"/>
    </row>
    <row r="9815" spans="11:14" x14ac:dyDescent="0.25">
      <c r="K9815" s="312"/>
      <c r="N9815" s="514"/>
    </row>
    <row r="9816" spans="11:14" x14ac:dyDescent="0.25">
      <c r="K9816" s="312"/>
      <c r="N9816" s="514"/>
    </row>
    <row r="9817" spans="11:14" x14ac:dyDescent="0.25">
      <c r="K9817" s="312"/>
      <c r="N9817" s="514"/>
    </row>
    <row r="9818" spans="11:14" x14ac:dyDescent="0.25">
      <c r="K9818" s="312"/>
      <c r="N9818" s="514"/>
    </row>
    <row r="9819" spans="11:14" x14ac:dyDescent="0.25">
      <c r="K9819" s="312"/>
      <c r="N9819" s="514"/>
    </row>
    <row r="9820" spans="11:14" x14ac:dyDescent="0.25">
      <c r="K9820" s="312"/>
      <c r="N9820" s="514"/>
    </row>
    <row r="9821" spans="11:14" x14ac:dyDescent="0.25">
      <c r="K9821" s="312"/>
      <c r="N9821" s="514"/>
    </row>
    <row r="9822" spans="11:14" x14ac:dyDescent="0.25">
      <c r="K9822" s="312"/>
      <c r="N9822" s="514"/>
    </row>
    <row r="9823" spans="11:14" x14ac:dyDescent="0.25">
      <c r="K9823" s="312"/>
      <c r="N9823" s="514"/>
    </row>
    <row r="9824" spans="11:14" x14ac:dyDescent="0.25">
      <c r="K9824" s="312"/>
      <c r="N9824" s="514"/>
    </row>
    <row r="9825" spans="11:14" x14ac:dyDescent="0.25">
      <c r="K9825" s="312"/>
      <c r="N9825" s="514"/>
    </row>
    <row r="9826" spans="11:14" x14ac:dyDescent="0.25">
      <c r="K9826" s="312"/>
      <c r="N9826" s="514"/>
    </row>
    <row r="9827" spans="11:14" x14ac:dyDescent="0.25">
      <c r="K9827" s="312"/>
      <c r="N9827" s="514"/>
    </row>
    <row r="9828" spans="11:14" x14ac:dyDescent="0.25">
      <c r="K9828" s="312"/>
      <c r="N9828" s="514"/>
    </row>
    <row r="9829" spans="11:14" x14ac:dyDescent="0.25">
      <c r="K9829" s="312"/>
      <c r="N9829" s="514"/>
    </row>
    <row r="9830" spans="11:14" x14ac:dyDescent="0.25">
      <c r="K9830" s="312"/>
      <c r="N9830" s="514"/>
    </row>
    <row r="9831" spans="11:14" x14ac:dyDescent="0.25">
      <c r="K9831" s="312"/>
      <c r="N9831" s="514"/>
    </row>
    <row r="9832" spans="11:14" x14ac:dyDescent="0.25">
      <c r="K9832" s="312"/>
      <c r="N9832" s="514"/>
    </row>
    <row r="9833" spans="11:14" x14ac:dyDescent="0.25">
      <c r="K9833" s="312"/>
      <c r="N9833" s="514"/>
    </row>
    <row r="9834" spans="11:14" x14ac:dyDescent="0.25">
      <c r="K9834" s="312"/>
      <c r="N9834" s="514"/>
    </row>
    <row r="9835" spans="11:14" x14ac:dyDescent="0.25">
      <c r="K9835" s="312"/>
      <c r="N9835" s="514"/>
    </row>
    <row r="9836" spans="11:14" x14ac:dyDescent="0.25">
      <c r="K9836" s="312"/>
      <c r="N9836" s="514"/>
    </row>
    <row r="9837" spans="11:14" x14ac:dyDescent="0.25">
      <c r="K9837" s="312"/>
      <c r="N9837" s="514"/>
    </row>
    <row r="9838" spans="11:14" x14ac:dyDescent="0.25">
      <c r="K9838" s="312"/>
      <c r="N9838" s="514"/>
    </row>
    <row r="9839" spans="11:14" x14ac:dyDescent="0.25">
      <c r="K9839" s="312"/>
      <c r="N9839" s="514"/>
    </row>
    <row r="9840" spans="11:14" x14ac:dyDescent="0.25">
      <c r="K9840" s="312"/>
      <c r="N9840" s="514"/>
    </row>
    <row r="9841" spans="11:14" x14ac:dyDescent="0.25">
      <c r="K9841" s="312"/>
      <c r="N9841" s="514"/>
    </row>
    <row r="9842" spans="11:14" x14ac:dyDescent="0.25">
      <c r="K9842" s="312"/>
      <c r="N9842" s="514"/>
    </row>
    <row r="9843" spans="11:14" x14ac:dyDescent="0.25">
      <c r="K9843" s="312"/>
      <c r="N9843" s="514"/>
    </row>
    <row r="9844" spans="11:14" x14ac:dyDescent="0.25">
      <c r="K9844" s="312"/>
      <c r="N9844" s="514"/>
    </row>
    <row r="9845" spans="11:14" x14ac:dyDescent="0.25">
      <c r="K9845" s="312"/>
      <c r="N9845" s="514"/>
    </row>
    <row r="9846" spans="11:14" x14ac:dyDescent="0.25">
      <c r="K9846" s="312"/>
      <c r="N9846" s="514"/>
    </row>
    <row r="9847" spans="11:14" x14ac:dyDescent="0.25">
      <c r="K9847" s="312"/>
      <c r="N9847" s="514"/>
    </row>
    <row r="9848" spans="11:14" x14ac:dyDescent="0.25">
      <c r="K9848" s="312"/>
      <c r="N9848" s="514"/>
    </row>
    <row r="9849" spans="11:14" x14ac:dyDescent="0.25">
      <c r="K9849" s="312"/>
      <c r="N9849" s="514"/>
    </row>
    <row r="9850" spans="11:14" x14ac:dyDescent="0.25">
      <c r="K9850" s="312"/>
      <c r="N9850" s="514"/>
    </row>
    <row r="9851" spans="11:14" x14ac:dyDescent="0.25">
      <c r="K9851" s="312"/>
      <c r="N9851" s="514"/>
    </row>
    <row r="9852" spans="11:14" x14ac:dyDescent="0.25">
      <c r="K9852" s="312"/>
      <c r="N9852" s="514"/>
    </row>
    <row r="9853" spans="11:14" x14ac:dyDescent="0.25">
      <c r="K9853" s="312"/>
      <c r="N9853" s="514"/>
    </row>
    <row r="9854" spans="11:14" x14ac:dyDescent="0.25">
      <c r="K9854" s="312"/>
      <c r="N9854" s="514"/>
    </row>
    <row r="9855" spans="11:14" x14ac:dyDescent="0.25">
      <c r="K9855" s="312"/>
      <c r="N9855" s="514"/>
    </row>
    <row r="9856" spans="11:14" x14ac:dyDescent="0.25">
      <c r="K9856" s="312"/>
      <c r="N9856" s="514"/>
    </row>
    <row r="9857" spans="11:14" x14ac:dyDescent="0.25">
      <c r="K9857" s="312"/>
      <c r="N9857" s="514"/>
    </row>
    <row r="9858" spans="11:14" x14ac:dyDescent="0.25">
      <c r="K9858" s="312"/>
      <c r="N9858" s="514"/>
    </row>
    <row r="9859" spans="11:14" x14ac:dyDescent="0.25">
      <c r="K9859" s="312"/>
      <c r="N9859" s="514"/>
    </row>
    <row r="9860" spans="11:14" x14ac:dyDescent="0.25">
      <c r="K9860" s="312"/>
      <c r="N9860" s="514"/>
    </row>
    <row r="9861" spans="11:14" x14ac:dyDescent="0.25">
      <c r="K9861" s="312"/>
      <c r="N9861" s="514"/>
    </row>
    <row r="9862" spans="11:14" x14ac:dyDescent="0.25">
      <c r="K9862" s="312"/>
      <c r="N9862" s="514"/>
    </row>
    <row r="9863" spans="11:14" x14ac:dyDescent="0.25">
      <c r="K9863" s="312"/>
      <c r="N9863" s="514"/>
    </row>
    <row r="9864" spans="11:14" x14ac:dyDescent="0.25">
      <c r="K9864" s="312"/>
      <c r="N9864" s="514"/>
    </row>
    <row r="9865" spans="11:14" x14ac:dyDescent="0.25">
      <c r="K9865" s="312"/>
      <c r="N9865" s="514"/>
    </row>
    <row r="9866" spans="11:14" x14ac:dyDescent="0.25">
      <c r="K9866" s="312"/>
      <c r="N9866" s="514"/>
    </row>
    <row r="9867" spans="11:14" x14ac:dyDescent="0.25">
      <c r="K9867" s="312"/>
      <c r="N9867" s="514"/>
    </row>
    <row r="9868" spans="11:14" x14ac:dyDescent="0.25">
      <c r="K9868" s="312"/>
      <c r="N9868" s="514"/>
    </row>
    <row r="9869" spans="11:14" x14ac:dyDescent="0.25">
      <c r="K9869" s="312"/>
      <c r="N9869" s="514"/>
    </row>
    <row r="9870" spans="11:14" x14ac:dyDescent="0.25">
      <c r="K9870" s="312"/>
      <c r="N9870" s="514"/>
    </row>
    <row r="9871" spans="11:14" x14ac:dyDescent="0.25">
      <c r="K9871" s="312"/>
      <c r="N9871" s="514"/>
    </row>
    <row r="9872" spans="11:14" x14ac:dyDescent="0.25">
      <c r="K9872" s="312"/>
      <c r="N9872" s="514"/>
    </row>
    <row r="9873" spans="11:14" x14ac:dyDescent="0.25">
      <c r="K9873" s="312"/>
      <c r="N9873" s="514"/>
    </row>
    <row r="9874" spans="11:14" x14ac:dyDescent="0.25">
      <c r="K9874" s="312"/>
      <c r="N9874" s="514"/>
    </row>
    <row r="9875" spans="11:14" x14ac:dyDescent="0.25">
      <c r="K9875" s="312"/>
      <c r="N9875" s="514"/>
    </row>
    <row r="9876" spans="11:14" x14ac:dyDescent="0.25">
      <c r="K9876" s="312"/>
      <c r="N9876" s="514"/>
    </row>
    <row r="9877" spans="11:14" x14ac:dyDescent="0.25">
      <c r="K9877" s="312"/>
      <c r="N9877" s="514"/>
    </row>
    <row r="9878" spans="11:14" x14ac:dyDescent="0.25">
      <c r="K9878" s="312"/>
      <c r="N9878" s="514"/>
    </row>
    <row r="9879" spans="11:14" x14ac:dyDescent="0.25">
      <c r="K9879" s="312"/>
      <c r="N9879" s="514"/>
    </row>
    <row r="9880" spans="11:14" x14ac:dyDescent="0.25">
      <c r="K9880" s="312"/>
      <c r="N9880" s="514"/>
    </row>
    <row r="9881" spans="11:14" x14ac:dyDescent="0.25">
      <c r="K9881" s="312"/>
      <c r="N9881" s="514"/>
    </row>
    <row r="9882" spans="11:14" x14ac:dyDescent="0.25">
      <c r="K9882" s="312"/>
      <c r="N9882" s="514"/>
    </row>
    <row r="9883" spans="11:14" x14ac:dyDescent="0.25">
      <c r="K9883" s="312"/>
      <c r="N9883" s="514"/>
    </row>
    <row r="9884" spans="11:14" x14ac:dyDescent="0.25">
      <c r="K9884" s="312"/>
      <c r="N9884" s="514"/>
    </row>
    <row r="9885" spans="11:14" x14ac:dyDescent="0.25">
      <c r="K9885" s="312"/>
      <c r="N9885" s="514"/>
    </row>
    <row r="9886" spans="11:14" x14ac:dyDescent="0.25">
      <c r="K9886" s="312"/>
      <c r="N9886" s="514"/>
    </row>
    <row r="9887" spans="11:14" x14ac:dyDescent="0.25">
      <c r="K9887" s="312"/>
      <c r="N9887" s="514"/>
    </row>
    <row r="9888" spans="11:14" x14ac:dyDescent="0.25">
      <c r="K9888" s="312"/>
      <c r="N9888" s="514"/>
    </row>
    <row r="9889" spans="11:14" x14ac:dyDescent="0.25">
      <c r="K9889" s="312"/>
      <c r="N9889" s="514"/>
    </row>
    <row r="9890" spans="11:14" x14ac:dyDescent="0.25">
      <c r="K9890" s="312"/>
      <c r="N9890" s="514"/>
    </row>
    <row r="9891" spans="11:14" x14ac:dyDescent="0.25">
      <c r="K9891" s="312"/>
      <c r="N9891" s="514"/>
    </row>
    <row r="9892" spans="11:14" x14ac:dyDescent="0.25">
      <c r="K9892" s="312"/>
      <c r="N9892" s="514"/>
    </row>
    <row r="9893" spans="11:14" x14ac:dyDescent="0.25">
      <c r="K9893" s="312"/>
      <c r="N9893" s="514"/>
    </row>
    <row r="9894" spans="11:14" x14ac:dyDescent="0.25">
      <c r="K9894" s="312"/>
      <c r="N9894" s="514"/>
    </row>
    <row r="9895" spans="11:14" x14ac:dyDescent="0.25">
      <c r="K9895" s="312"/>
      <c r="N9895" s="514"/>
    </row>
    <row r="9896" spans="11:14" x14ac:dyDescent="0.25">
      <c r="K9896" s="312"/>
      <c r="N9896" s="514"/>
    </row>
    <row r="9897" spans="11:14" x14ac:dyDescent="0.25">
      <c r="K9897" s="312"/>
      <c r="N9897" s="514"/>
    </row>
    <row r="9898" spans="11:14" x14ac:dyDescent="0.25">
      <c r="K9898" s="312"/>
      <c r="N9898" s="514"/>
    </row>
    <row r="9899" spans="11:14" x14ac:dyDescent="0.25">
      <c r="K9899" s="312"/>
      <c r="N9899" s="514"/>
    </row>
    <row r="9900" spans="11:14" x14ac:dyDescent="0.25">
      <c r="K9900" s="312"/>
      <c r="N9900" s="514"/>
    </row>
    <row r="9901" spans="11:14" x14ac:dyDescent="0.25">
      <c r="K9901" s="312"/>
      <c r="N9901" s="514"/>
    </row>
    <row r="9902" spans="11:14" x14ac:dyDescent="0.25">
      <c r="K9902" s="312"/>
      <c r="N9902" s="514"/>
    </row>
    <row r="9903" spans="11:14" x14ac:dyDescent="0.25">
      <c r="K9903" s="312"/>
      <c r="N9903" s="514"/>
    </row>
    <row r="9904" spans="11:14" x14ac:dyDescent="0.25">
      <c r="K9904" s="312"/>
      <c r="N9904" s="514"/>
    </row>
    <row r="9905" spans="11:14" x14ac:dyDescent="0.25">
      <c r="K9905" s="312"/>
      <c r="N9905" s="514"/>
    </row>
    <row r="9906" spans="11:14" x14ac:dyDescent="0.25">
      <c r="K9906" s="312"/>
      <c r="N9906" s="514"/>
    </row>
    <row r="9907" spans="11:14" x14ac:dyDescent="0.25">
      <c r="K9907" s="312"/>
      <c r="N9907" s="514"/>
    </row>
    <row r="9908" spans="11:14" x14ac:dyDescent="0.25">
      <c r="K9908" s="312"/>
      <c r="N9908" s="514"/>
    </row>
    <row r="9909" spans="11:14" x14ac:dyDescent="0.25">
      <c r="K9909" s="312"/>
      <c r="N9909" s="514"/>
    </row>
    <row r="9910" spans="11:14" x14ac:dyDescent="0.25">
      <c r="K9910" s="312"/>
      <c r="N9910" s="514"/>
    </row>
    <row r="9911" spans="11:14" x14ac:dyDescent="0.25">
      <c r="K9911" s="312"/>
      <c r="N9911" s="514"/>
    </row>
    <row r="9912" spans="11:14" x14ac:dyDescent="0.25">
      <c r="K9912" s="312"/>
      <c r="N9912" s="514"/>
    </row>
    <row r="9913" spans="11:14" x14ac:dyDescent="0.25">
      <c r="K9913" s="312"/>
      <c r="N9913" s="514"/>
    </row>
    <row r="9914" spans="11:14" x14ac:dyDescent="0.25">
      <c r="K9914" s="312"/>
      <c r="N9914" s="514"/>
    </row>
    <row r="9915" spans="11:14" x14ac:dyDescent="0.25">
      <c r="K9915" s="312"/>
      <c r="N9915" s="514"/>
    </row>
    <row r="9916" spans="11:14" x14ac:dyDescent="0.25">
      <c r="K9916" s="312"/>
      <c r="N9916" s="514"/>
    </row>
    <row r="9917" spans="11:14" x14ac:dyDescent="0.25">
      <c r="K9917" s="312"/>
      <c r="N9917" s="514"/>
    </row>
    <row r="9918" spans="11:14" x14ac:dyDescent="0.25">
      <c r="K9918" s="312"/>
      <c r="N9918" s="514"/>
    </row>
    <row r="9919" spans="11:14" x14ac:dyDescent="0.25">
      <c r="K9919" s="312"/>
      <c r="N9919" s="514"/>
    </row>
    <row r="9920" spans="11:14" x14ac:dyDescent="0.25">
      <c r="K9920" s="312"/>
      <c r="N9920" s="514"/>
    </row>
    <row r="9921" spans="11:14" x14ac:dyDescent="0.25">
      <c r="K9921" s="312"/>
      <c r="N9921" s="514"/>
    </row>
    <row r="9922" spans="11:14" x14ac:dyDescent="0.25">
      <c r="K9922" s="312"/>
      <c r="N9922" s="514"/>
    </row>
    <row r="9923" spans="11:14" x14ac:dyDescent="0.25">
      <c r="K9923" s="312"/>
      <c r="N9923" s="514"/>
    </row>
    <row r="9924" spans="11:14" x14ac:dyDescent="0.25">
      <c r="K9924" s="312"/>
      <c r="N9924" s="514"/>
    </row>
    <row r="9925" spans="11:14" x14ac:dyDescent="0.25">
      <c r="K9925" s="312"/>
      <c r="N9925" s="514"/>
    </row>
    <row r="9926" spans="11:14" x14ac:dyDescent="0.25">
      <c r="K9926" s="312"/>
      <c r="N9926" s="514"/>
    </row>
    <row r="9927" spans="11:14" x14ac:dyDescent="0.25">
      <c r="K9927" s="312"/>
      <c r="N9927" s="514"/>
    </row>
    <row r="9928" spans="11:14" x14ac:dyDescent="0.25">
      <c r="K9928" s="312"/>
      <c r="N9928" s="514"/>
    </row>
    <row r="9929" spans="11:14" x14ac:dyDescent="0.25">
      <c r="K9929" s="312"/>
      <c r="N9929" s="514"/>
    </row>
    <row r="9930" spans="11:14" x14ac:dyDescent="0.25">
      <c r="K9930" s="312"/>
      <c r="N9930" s="514"/>
    </row>
    <row r="9931" spans="11:14" x14ac:dyDescent="0.25">
      <c r="K9931" s="312"/>
      <c r="N9931" s="514"/>
    </row>
    <row r="9932" spans="11:14" x14ac:dyDescent="0.25">
      <c r="K9932" s="312"/>
      <c r="N9932" s="514"/>
    </row>
    <row r="9933" spans="11:14" x14ac:dyDescent="0.25">
      <c r="K9933" s="312"/>
      <c r="N9933" s="514"/>
    </row>
    <row r="9934" spans="11:14" x14ac:dyDescent="0.25">
      <c r="K9934" s="312"/>
      <c r="N9934" s="514"/>
    </row>
    <row r="9935" spans="11:14" x14ac:dyDescent="0.25">
      <c r="K9935" s="312"/>
      <c r="N9935" s="514"/>
    </row>
    <row r="9936" spans="11:14" x14ac:dyDescent="0.25">
      <c r="K9936" s="312"/>
      <c r="N9936" s="514"/>
    </row>
    <row r="9937" spans="11:14" x14ac:dyDescent="0.25">
      <c r="K9937" s="312"/>
      <c r="N9937" s="514"/>
    </row>
    <row r="9938" spans="11:14" x14ac:dyDescent="0.25">
      <c r="K9938" s="312"/>
      <c r="N9938" s="514"/>
    </row>
    <row r="9939" spans="11:14" x14ac:dyDescent="0.25">
      <c r="K9939" s="312"/>
      <c r="N9939" s="514"/>
    </row>
    <row r="9940" spans="11:14" x14ac:dyDescent="0.25">
      <c r="K9940" s="312"/>
      <c r="N9940" s="514"/>
    </row>
    <row r="9941" spans="11:14" x14ac:dyDescent="0.25">
      <c r="K9941" s="312"/>
      <c r="N9941" s="514"/>
    </row>
    <row r="9942" spans="11:14" x14ac:dyDescent="0.25">
      <c r="K9942" s="312"/>
      <c r="N9942" s="514"/>
    </row>
    <row r="9943" spans="11:14" x14ac:dyDescent="0.25">
      <c r="K9943" s="312"/>
      <c r="N9943" s="514"/>
    </row>
    <row r="9944" spans="11:14" x14ac:dyDescent="0.25">
      <c r="K9944" s="312"/>
      <c r="N9944" s="514"/>
    </row>
    <row r="9945" spans="11:14" x14ac:dyDescent="0.25">
      <c r="K9945" s="312"/>
      <c r="N9945" s="514"/>
    </row>
    <row r="9946" spans="11:14" x14ac:dyDescent="0.25">
      <c r="K9946" s="312"/>
      <c r="N9946" s="514"/>
    </row>
    <row r="9947" spans="11:14" x14ac:dyDescent="0.25">
      <c r="K9947" s="312"/>
      <c r="N9947" s="514"/>
    </row>
    <row r="9948" spans="11:14" x14ac:dyDescent="0.25">
      <c r="K9948" s="312"/>
      <c r="N9948" s="514"/>
    </row>
    <row r="9949" spans="11:14" x14ac:dyDescent="0.25">
      <c r="K9949" s="312"/>
      <c r="N9949" s="514"/>
    </row>
    <row r="9950" spans="11:14" x14ac:dyDescent="0.25">
      <c r="K9950" s="312"/>
      <c r="N9950" s="514"/>
    </row>
    <row r="9951" spans="11:14" x14ac:dyDescent="0.25">
      <c r="K9951" s="312"/>
      <c r="N9951" s="514"/>
    </row>
    <row r="9952" spans="11:14" x14ac:dyDescent="0.25">
      <c r="K9952" s="312"/>
      <c r="N9952" s="514"/>
    </row>
    <row r="9953" spans="11:14" x14ac:dyDescent="0.25">
      <c r="K9953" s="312"/>
      <c r="N9953" s="514"/>
    </row>
    <row r="9954" spans="11:14" x14ac:dyDescent="0.25">
      <c r="K9954" s="312"/>
      <c r="N9954" s="514"/>
    </row>
    <row r="9955" spans="11:14" x14ac:dyDescent="0.25">
      <c r="K9955" s="312"/>
      <c r="N9955" s="514"/>
    </row>
    <row r="9956" spans="11:14" x14ac:dyDescent="0.25">
      <c r="K9956" s="312"/>
      <c r="N9956" s="514"/>
    </row>
    <row r="9957" spans="11:14" x14ac:dyDescent="0.25">
      <c r="K9957" s="312"/>
      <c r="N9957" s="514"/>
    </row>
    <row r="9958" spans="11:14" x14ac:dyDescent="0.25">
      <c r="K9958" s="312"/>
      <c r="N9958" s="514"/>
    </row>
    <row r="9959" spans="11:14" x14ac:dyDescent="0.25">
      <c r="K9959" s="312"/>
      <c r="N9959" s="514"/>
    </row>
    <row r="9960" spans="11:14" x14ac:dyDescent="0.25">
      <c r="K9960" s="312"/>
      <c r="N9960" s="514"/>
    </row>
    <row r="9961" spans="11:14" x14ac:dyDescent="0.25">
      <c r="K9961" s="312"/>
      <c r="N9961" s="514"/>
    </row>
    <row r="9962" spans="11:14" x14ac:dyDescent="0.25">
      <c r="K9962" s="312"/>
      <c r="N9962" s="514"/>
    </row>
    <row r="9963" spans="11:14" x14ac:dyDescent="0.25">
      <c r="K9963" s="312"/>
      <c r="N9963" s="514"/>
    </row>
    <row r="9964" spans="11:14" x14ac:dyDescent="0.25">
      <c r="K9964" s="312"/>
      <c r="N9964" s="514"/>
    </row>
    <row r="9965" spans="11:14" x14ac:dyDescent="0.25">
      <c r="K9965" s="312"/>
      <c r="N9965" s="514"/>
    </row>
    <row r="9966" spans="11:14" x14ac:dyDescent="0.25">
      <c r="K9966" s="312"/>
      <c r="N9966" s="514"/>
    </row>
    <row r="9967" spans="11:14" x14ac:dyDescent="0.25">
      <c r="K9967" s="312"/>
      <c r="N9967" s="514"/>
    </row>
    <row r="9968" spans="11:14" x14ac:dyDescent="0.25">
      <c r="K9968" s="312"/>
      <c r="N9968" s="514"/>
    </row>
    <row r="9969" spans="11:14" x14ac:dyDescent="0.25">
      <c r="K9969" s="312"/>
      <c r="N9969" s="514"/>
    </row>
    <row r="9970" spans="11:14" x14ac:dyDescent="0.25">
      <c r="K9970" s="312"/>
      <c r="N9970" s="514"/>
    </row>
    <row r="9971" spans="11:14" x14ac:dyDescent="0.25">
      <c r="K9971" s="312"/>
      <c r="N9971" s="514"/>
    </row>
    <row r="9972" spans="11:14" x14ac:dyDescent="0.25">
      <c r="K9972" s="312"/>
      <c r="N9972" s="514"/>
    </row>
    <row r="9973" spans="11:14" x14ac:dyDescent="0.25">
      <c r="K9973" s="312"/>
      <c r="N9973" s="514"/>
    </row>
    <row r="9974" spans="11:14" x14ac:dyDescent="0.25">
      <c r="K9974" s="312"/>
      <c r="N9974" s="514"/>
    </row>
    <row r="9975" spans="11:14" x14ac:dyDescent="0.25">
      <c r="K9975" s="312"/>
      <c r="N9975" s="514"/>
    </row>
    <row r="9976" spans="11:14" x14ac:dyDescent="0.25">
      <c r="K9976" s="312"/>
      <c r="N9976" s="514"/>
    </row>
    <row r="9977" spans="11:14" x14ac:dyDescent="0.25">
      <c r="K9977" s="312"/>
      <c r="N9977" s="514"/>
    </row>
    <row r="9978" spans="11:14" x14ac:dyDescent="0.25">
      <c r="K9978" s="312"/>
      <c r="N9978" s="514"/>
    </row>
    <row r="9979" spans="11:14" x14ac:dyDescent="0.25">
      <c r="K9979" s="312"/>
      <c r="N9979" s="514"/>
    </row>
    <row r="9980" spans="11:14" x14ac:dyDescent="0.25">
      <c r="K9980" s="312"/>
      <c r="N9980" s="514"/>
    </row>
    <row r="9981" spans="11:14" x14ac:dyDescent="0.25">
      <c r="K9981" s="312"/>
      <c r="N9981" s="514"/>
    </row>
    <row r="9982" spans="11:14" x14ac:dyDescent="0.25">
      <c r="K9982" s="312"/>
      <c r="N9982" s="514"/>
    </row>
    <row r="9983" spans="11:14" x14ac:dyDescent="0.25">
      <c r="K9983" s="312"/>
      <c r="N9983" s="514"/>
    </row>
    <row r="9984" spans="11:14" x14ac:dyDescent="0.25">
      <c r="K9984" s="312"/>
      <c r="N9984" s="514"/>
    </row>
    <row r="9985" spans="11:14" x14ac:dyDescent="0.25">
      <c r="K9985" s="312"/>
      <c r="N9985" s="514"/>
    </row>
    <row r="9986" spans="11:14" x14ac:dyDescent="0.25">
      <c r="K9986" s="312"/>
      <c r="N9986" s="514"/>
    </row>
    <row r="9987" spans="11:14" x14ac:dyDescent="0.25">
      <c r="K9987" s="312"/>
      <c r="N9987" s="514"/>
    </row>
    <row r="9988" spans="11:14" x14ac:dyDescent="0.25">
      <c r="K9988" s="312"/>
      <c r="N9988" s="514"/>
    </row>
    <row r="9989" spans="11:14" x14ac:dyDescent="0.25">
      <c r="K9989" s="312"/>
      <c r="N9989" s="514"/>
    </row>
    <row r="9990" spans="11:14" x14ac:dyDescent="0.25">
      <c r="K9990" s="312"/>
      <c r="N9990" s="514"/>
    </row>
    <row r="9991" spans="11:14" x14ac:dyDescent="0.25">
      <c r="K9991" s="312"/>
      <c r="N9991" s="514"/>
    </row>
    <row r="9992" spans="11:14" x14ac:dyDescent="0.25">
      <c r="K9992" s="312"/>
      <c r="N9992" s="514"/>
    </row>
    <row r="9993" spans="11:14" x14ac:dyDescent="0.25">
      <c r="K9993" s="312"/>
      <c r="N9993" s="514"/>
    </row>
    <row r="9994" spans="11:14" x14ac:dyDescent="0.25">
      <c r="K9994" s="312"/>
      <c r="N9994" s="514"/>
    </row>
    <row r="9995" spans="11:14" x14ac:dyDescent="0.25">
      <c r="K9995" s="312"/>
      <c r="N9995" s="514"/>
    </row>
    <row r="9996" spans="11:14" x14ac:dyDescent="0.25">
      <c r="K9996" s="312"/>
      <c r="N9996" s="514"/>
    </row>
    <row r="9997" spans="11:14" x14ac:dyDescent="0.25">
      <c r="K9997" s="312"/>
      <c r="N9997" s="514"/>
    </row>
    <row r="9998" spans="11:14" x14ac:dyDescent="0.25">
      <c r="K9998" s="312"/>
      <c r="N9998" s="514"/>
    </row>
    <row r="9999" spans="11:14" x14ac:dyDescent="0.25">
      <c r="K9999" s="312"/>
      <c r="N9999" s="514"/>
    </row>
    <row r="10000" spans="11:14" x14ac:dyDescent="0.25">
      <c r="K10000" s="312"/>
      <c r="N10000" s="514"/>
    </row>
    <row r="10001" spans="11:14" x14ac:dyDescent="0.25">
      <c r="K10001" s="312"/>
      <c r="N10001" s="514"/>
    </row>
    <row r="10002" spans="11:14" x14ac:dyDescent="0.25">
      <c r="K10002" s="312"/>
      <c r="N10002" s="514"/>
    </row>
    <row r="10003" spans="11:14" x14ac:dyDescent="0.25">
      <c r="K10003" s="312"/>
      <c r="N10003" s="514"/>
    </row>
    <row r="10004" spans="11:14" x14ac:dyDescent="0.25">
      <c r="K10004" s="312"/>
      <c r="N10004" s="514"/>
    </row>
    <row r="10005" spans="11:14" x14ac:dyDescent="0.25">
      <c r="K10005" s="312"/>
      <c r="N10005" s="514"/>
    </row>
    <row r="10006" spans="11:14" x14ac:dyDescent="0.25">
      <c r="K10006" s="312"/>
      <c r="N10006" s="514"/>
    </row>
    <row r="10007" spans="11:14" x14ac:dyDescent="0.25">
      <c r="K10007" s="312"/>
      <c r="N10007" s="514"/>
    </row>
    <row r="10008" spans="11:14" x14ac:dyDescent="0.25">
      <c r="K10008" s="312"/>
      <c r="N10008" s="514"/>
    </row>
    <row r="10009" spans="11:14" x14ac:dyDescent="0.25">
      <c r="K10009" s="312"/>
      <c r="N10009" s="514"/>
    </row>
    <row r="10010" spans="11:14" x14ac:dyDescent="0.25">
      <c r="K10010" s="312"/>
      <c r="N10010" s="514"/>
    </row>
    <row r="10011" spans="11:14" x14ac:dyDescent="0.25">
      <c r="K10011" s="312"/>
      <c r="N10011" s="514"/>
    </row>
    <row r="10012" spans="11:14" x14ac:dyDescent="0.25">
      <c r="K10012" s="312"/>
      <c r="N10012" s="514"/>
    </row>
    <row r="10013" spans="11:14" x14ac:dyDescent="0.25">
      <c r="K10013" s="312"/>
      <c r="N10013" s="514"/>
    </row>
    <row r="10014" spans="11:14" x14ac:dyDescent="0.25">
      <c r="K10014" s="312"/>
      <c r="N10014" s="514"/>
    </row>
    <row r="10015" spans="11:14" x14ac:dyDescent="0.25">
      <c r="K10015" s="312"/>
      <c r="N10015" s="514"/>
    </row>
    <row r="10016" spans="11:14" x14ac:dyDescent="0.25">
      <c r="K10016" s="312"/>
      <c r="N10016" s="514"/>
    </row>
    <row r="10017" spans="11:14" x14ac:dyDescent="0.25">
      <c r="K10017" s="312"/>
      <c r="N10017" s="514"/>
    </row>
    <row r="10018" spans="11:14" x14ac:dyDescent="0.25">
      <c r="K10018" s="312"/>
      <c r="N10018" s="514"/>
    </row>
    <row r="10019" spans="11:14" x14ac:dyDescent="0.25">
      <c r="K10019" s="312"/>
      <c r="N10019" s="514"/>
    </row>
    <row r="10020" spans="11:14" x14ac:dyDescent="0.25">
      <c r="K10020" s="312"/>
      <c r="N10020" s="514"/>
    </row>
    <row r="10021" spans="11:14" x14ac:dyDescent="0.25">
      <c r="K10021" s="312"/>
      <c r="N10021" s="514"/>
    </row>
    <row r="10022" spans="11:14" x14ac:dyDescent="0.25">
      <c r="K10022" s="312"/>
      <c r="N10022" s="514"/>
    </row>
    <row r="10023" spans="11:14" x14ac:dyDescent="0.25">
      <c r="K10023" s="312"/>
      <c r="N10023" s="514"/>
    </row>
    <row r="10024" spans="11:14" x14ac:dyDescent="0.25">
      <c r="K10024" s="312"/>
      <c r="N10024" s="514"/>
    </row>
    <row r="10025" spans="11:14" x14ac:dyDescent="0.25">
      <c r="K10025" s="312"/>
      <c r="N10025" s="514"/>
    </row>
    <row r="10026" spans="11:14" x14ac:dyDescent="0.25">
      <c r="K10026" s="312"/>
      <c r="N10026" s="514"/>
    </row>
    <row r="10027" spans="11:14" x14ac:dyDescent="0.25">
      <c r="K10027" s="312"/>
      <c r="N10027" s="514"/>
    </row>
    <row r="10028" spans="11:14" x14ac:dyDescent="0.25">
      <c r="K10028" s="312"/>
      <c r="N10028" s="514"/>
    </row>
    <row r="10029" spans="11:14" x14ac:dyDescent="0.25">
      <c r="K10029" s="312"/>
      <c r="N10029" s="514"/>
    </row>
    <row r="10030" spans="11:14" x14ac:dyDescent="0.25">
      <c r="K10030" s="312"/>
      <c r="N10030" s="514"/>
    </row>
    <row r="10031" spans="11:14" x14ac:dyDescent="0.25">
      <c r="K10031" s="312"/>
      <c r="N10031" s="514"/>
    </row>
    <row r="10032" spans="11:14" x14ac:dyDescent="0.25">
      <c r="K10032" s="312"/>
      <c r="N10032" s="514"/>
    </row>
    <row r="10033" spans="11:14" x14ac:dyDescent="0.25">
      <c r="K10033" s="312"/>
      <c r="N10033" s="514"/>
    </row>
    <row r="10034" spans="11:14" x14ac:dyDescent="0.25">
      <c r="K10034" s="312"/>
      <c r="N10034" s="514"/>
    </row>
    <row r="10035" spans="11:14" x14ac:dyDescent="0.25">
      <c r="K10035" s="312"/>
      <c r="N10035" s="514"/>
    </row>
    <row r="10036" spans="11:14" x14ac:dyDescent="0.25">
      <c r="K10036" s="312"/>
      <c r="N10036" s="514"/>
    </row>
    <row r="10037" spans="11:14" x14ac:dyDescent="0.25">
      <c r="K10037" s="312"/>
      <c r="N10037" s="514"/>
    </row>
    <row r="10038" spans="11:14" x14ac:dyDescent="0.25">
      <c r="K10038" s="312"/>
      <c r="N10038" s="514"/>
    </row>
    <row r="10039" spans="11:14" x14ac:dyDescent="0.25">
      <c r="K10039" s="312"/>
      <c r="N10039" s="514"/>
    </row>
    <row r="10040" spans="11:14" x14ac:dyDescent="0.25">
      <c r="K10040" s="312"/>
      <c r="N10040" s="514"/>
    </row>
    <row r="10041" spans="11:14" x14ac:dyDescent="0.25">
      <c r="K10041" s="312"/>
      <c r="N10041" s="514"/>
    </row>
    <row r="10042" spans="11:14" x14ac:dyDescent="0.25">
      <c r="K10042" s="312"/>
      <c r="N10042" s="514"/>
    </row>
    <row r="10043" spans="11:14" x14ac:dyDescent="0.25">
      <c r="K10043" s="312"/>
      <c r="N10043" s="514"/>
    </row>
    <row r="10044" spans="11:14" x14ac:dyDescent="0.25">
      <c r="K10044" s="312"/>
      <c r="N10044" s="514"/>
    </row>
    <row r="10045" spans="11:14" x14ac:dyDescent="0.25">
      <c r="K10045" s="312"/>
      <c r="N10045" s="514"/>
    </row>
    <row r="10046" spans="11:14" x14ac:dyDescent="0.25">
      <c r="K10046" s="312"/>
      <c r="N10046" s="514"/>
    </row>
    <row r="10047" spans="11:14" x14ac:dyDescent="0.25">
      <c r="K10047" s="312"/>
      <c r="N10047" s="514"/>
    </row>
    <row r="10048" spans="11:14" x14ac:dyDescent="0.25">
      <c r="K10048" s="312"/>
      <c r="N10048" s="514"/>
    </row>
    <row r="10049" spans="11:14" x14ac:dyDescent="0.25">
      <c r="K10049" s="312"/>
      <c r="N10049" s="514"/>
    </row>
    <row r="10050" spans="11:14" x14ac:dyDescent="0.25">
      <c r="K10050" s="312"/>
      <c r="N10050" s="514"/>
    </row>
    <row r="10051" spans="11:14" x14ac:dyDescent="0.25">
      <c r="K10051" s="312"/>
      <c r="N10051" s="514"/>
    </row>
    <row r="10052" spans="11:14" x14ac:dyDescent="0.25">
      <c r="K10052" s="312"/>
      <c r="N10052" s="514"/>
    </row>
    <row r="10053" spans="11:14" x14ac:dyDescent="0.25">
      <c r="K10053" s="312"/>
      <c r="N10053" s="514"/>
    </row>
    <row r="10054" spans="11:14" x14ac:dyDescent="0.25">
      <c r="K10054" s="312"/>
      <c r="N10054" s="514"/>
    </row>
    <row r="10055" spans="11:14" x14ac:dyDescent="0.25">
      <c r="K10055" s="312"/>
      <c r="N10055" s="514"/>
    </row>
    <row r="10056" spans="11:14" x14ac:dyDescent="0.25">
      <c r="K10056" s="312"/>
      <c r="N10056" s="514"/>
    </row>
    <row r="10057" spans="11:14" x14ac:dyDescent="0.25">
      <c r="K10057" s="312"/>
      <c r="N10057" s="514"/>
    </row>
    <row r="10058" spans="11:14" x14ac:dyDescent="0.25">
      <c r="K10058" s="312"/>
      <c r="N10058" s="514"/>
    </row>
    <row r="10059" spans="11:14" x14ac:dyDescent="0.25">
      <c r="K10059" s="312"/>
      <c r="N10059" s="514"/>
    </row>
    <row r="10060" spans="11:14" x14ac:dyDescent="0.25">
      <c r="K10060" s="312"/>
      <c r="N10060" s="514"/>
    </row>
    <row r="10061" spans="11:14" x14ac:dyDescent="0.25">
      <c r="K10061" s="312"/>
      <c r="N10061" s="514"/>
    </row>
    <row r="10062" spans="11:14" x14ac:dyDescent="0.25">
      <c r="K10062" s="312"/>
      <c r="N10062" s="514"/>
    </row>
    <row r="10063" spans="11:14" x14ac:dyDescent="0.25">
      <c r="K10063" s="312"/>
      <c r="N10063" s="514"/>
    </row>
    <row r="10064" spans="11:14" x14ac:dyDescent="0.25">
      <c r="K10064" s="312"/>
      <c r="N10064" s="514"/>
    </row>
    <row r="10065" spans="11:14" x14ac:dyDescent="0.25">
      <c r="K10065" s="312"/>
      <c r="N10065" s="514"/>
    </row>
    <row r="10066" spans="11:14" x14ac:dyDescent="0.25">
      <c r="K10066" s="312"/>
      <c r="N10066" s="514"/>
    </row>
    <row r="10067" spans="11:14" x14ac:dyDescent="0.25">
      <c r="K10067" s="312"/>
      <c r="N10067" s="514"/>
    </row>
    <row r="10068" spans="11:14" x14ac:dyDescent="0.25">
      <c r="K10068" s="312"/>
      <c r="N10068" s="514"/>
    </row>
    <row r="10069" spans="11:14" x14ac:dyDescent="0.25">
      <c r="K10069" s="312"/>
      <c r="N10069" s="514"/>
    </row>
    <row r="10070" spans="11:14" x14ac:dyDescent="0.25">
      <c r="K10070" s="312"/>
      <c r="N10070" s="514"/>
    </row>
    <row r="10071" spans="11:14" x14ac:dyDescent="0.25">
      <c r="K10071" s="312"/>
      <c r="N10071" s="514"/>
    </row>
    <row r="10072" spans="11:14" x14ac:dyDescent="0.25">
      <c r="K10072" s="312"/>
      <c r="N10072" s="514"/>
    </row>
    <row r="10073" spans="11:14" x14ac:dyDescent="0.25">
      <c r="K10073" s="312"/>
      <c r="N10073" s="514"/>
    </row>
    <row r="10074" spans="11:14" x14ac:dyDescent="0.25">
      <c r="K10074" s="312"/>
      <c r="N10074" s="514"/>
    </row>
    <row r="10075" spans="11:14" x14ac:dyDescent="0.25">
      <c r="K10075" s="312"/>
      <c r="N10075" s="514"/>
    </row>
    <row r="10076" spans="11:14" x14ac:dyDescent="0.25">
      <c r="K10076" s="312"/>
      <c r="N10076" s="514"/>
    </row>
    <row r="10077" spans="11:14" x14ac:dyDescent="0.25">
      <c r="K10077" s="312"/>
      <c r="N10077" s="514"/>
    </row>
    <row r="10078" spans="11:14" x14ac:dyDescent="0.25">
      <c r="K10078" s="312"/>
      <c r="N10078" s="514"/>
    </row>
    <row r="10079" spans="11:14" x14ac:dyDescent="0.25">
      <c r="K10079" s="312"/>
      <c r="N10079" s="514"/>
    </row>
    <row r="10080" spans="11:14" x14ac:dyDescent="0.25">
      <c r="K10080" s="312"/>
      <c r="N10080" s="514"/>
    </row>
    <row r="10081" spans="11:14" x14ac:dyDescent="0.25">
      <c r="K10081" s="312"/>
      <c r="N10081" s="514"/>
    </row>
    <row r="10082" spans="11:14" x14ac:dyDescent="0.25">
      <c r="K10082" s="312"/>
      <c r="N10082" s="514"/>
    </row>
    <row r="10083" spans="11:14" x14ac:dyDescent="0.25">
      <c r="K10083" s="312"/>
      <c r="N10083" s="514"/>
    </row>
    <row r="10084" spans="11:14" x14ac:dyDescent="0.25">
      <c r="K10084" s="312"/>
      <c r="N10084" s="514"/>
    </row>
    <row r="10085" spans="11:14" x14ac:dyDescent="0.25">
      <c r="K10085" s="312"/>
      <c r="N10085" s="514"/>
    </row>
    <row r="10086" spans="11:14" x14ac:dyDescent="0.25">
      <c r="K10086" s="312"/>
      <c r="N10086" s="514"/>
    </row>
    <row r="10087" spans="11:14" x14ac:dyDescent="0.25">
      <c r="K10087" s="312"/>
      <c r="N10087" s="514"/>
    </row>
    <row r="10088" spans="11:14" x14ac:dyDescent="0.25">
      <c r="K10088" s="312"/>
      <c r="N10088" s="514"/>
    </row>
    <row r="10089" spans="11:14" x14ac:dyDescent="0.25">
      <c r="K10089" s="312"/>
      <c r="N10089" s="514"/>
    </row>
    <row r="10090" spans="11:14" x14ac:dyDescent="0.25">
      <c r="K10090" s="312"/>
      <c r="N10090" s="514"/>
    </row>
    <row r="10091" spans="11:14" x14ac:dyDescent="0.25">
      <c r="K10091" s="312"/>
      <c r="N10091" s="514"/>
    </row>
    <row r="10092" spans="11:14" x14ac:dyDescent="0.25">
      <c r="K10092" s="312"/>
      <c r="N10092" s="514"/>
    </row>
    <row r="10093" spans="11:14" x14ac:dyDescent="0.25">
      <c r="K10093" s="312"/>
      <c r="N10093" s="514"/>
    </row>
    <row r="10094" spans="11:14" x14ac:dyDescent="0.25">
      <c r="K10094" s="312"/>
      <c r="N10094" s="514"/>
    </row>
    <row r="10095" spans="11:14" x14ac:dyDescent="0.25">
      <c r="K10095" s="312"/>
      <c r="N10095" s="514"/>
    </row>
    <row r="10096" spans="11:14" x14ac:dyDescent="0.25">
      <c r="K10096" s="312"/>
      <c r="N10096" s="514"/>
    </row>
    <row r="10097" spans="11:14" x14ac:dyDescent="0.25">
      <c r="K10097" s="312"/>
      <c r="N10097" s="514"/>
    </row>
    <row r="10098" spans="11:14" x14ac:dyDescent="0.25">
      <c r="K10098" s="312"/>
      <c r="N10098" s="514"/>
    </row>
    <row r="10099" spans="11:14" x14ac:dyDescent="0.25">
      <c r="K10099" s="312"/>
      <c r="N10099" s="514"/>
    </row>
    <row r="10100" spans="11:14" x14ac:dyDescent="0.25">
      <c r="K10100" s="312"/>
      <c r="N10100" s="514"/>
    </row>
    <row r="10101" spans="11:14" x14ac:dyDescent="0.25">
      <c r="K10101" s="312"/>
      <c r="N10101" s="514"/>
    </row>
    <row r="10102" spans="11:14" x14ac:dyDescent="0.25">
      <c r="K10102" s="312"/>
      <c r="N10102" s="514"/>
    </row>
    <row r="10103" spans="11:14" x14ac:dyDescent="0.25">
      <c r="K10103" s="312"/>
      <c r="N10103" s="514"/>
    </row>
    <row r="10104" spans="11:14" x14ac:dyDescent="0.25">
      <c r="K10104" s="312"/>
      <c r="N10104" s="514"/>
    </row>
    <row r="10105" spans="11:14" x14ac:dyDescent="0.25">
      <c r="K10105" s="312"/>
      <c r="N10105" s="514"/>
    </row>
    <row r="10106" spans="11:14" x14ac:dyDescent="0.25">
      <c r="K10106" s="312"/>
      <c r="N10106" s="514"/>
    </row>
    <row r="10107" spans="11:14" x14ac:dyDescent="0.25">
      <c r="K10107" s="312"/>
      <c r="N10107" s="514"/>
    </row>
    <row r="10108" spans="11:14" x14ac:dyDescent="0.25">
      <c r="K10108" s="312"/>
      <c r="N10108" s="514"/>
    </row>
    <row r="10109" spans="11:14" x14ac:dyDescent="0.25">
      <c r="K10109" s="312"/>
      <c r="N10109" s="514"/>
    </row>
    <row r="10110" spans="11:14" x14ac:dyDescent="0.25">
      <c r="K10110" s="312"/>
      <c r="N10110" s="514"/>
    </row>
    <row r="10111" spans="11:14" x14ac:dyDescent="0.25">
      <c r="K10111" s="312"/>
      <c r="N10111" s="514"/>
    </row>
    <row r="10112" spans="11:14" x14ac:dyDescent="0.25">
      <c r="K10112" s="312"/>
      <c r="N10112" s="514"/>
    </row>
    <row r="10113" spans="11:14" x14ac:dyDescent="0.25">
      <c r="K10113" s="312"/>
      <c r="N10113" s="514"/>
    </row>
    <row r="10114" spans="11:14" x14ac:dyDescent="0.25">
      <c r="K10114" s="312"/>
      <c r="N10114" s="514"/>
    </row>
    <row r="10115" spans="11:14" x14ac:dyDescent="0.25">
      <c r="K10115" s="312"/>
      <c r="N10115" s="514"/>
    </row>
    <row r="10116" spans="11:14" x14ac:dyDescent="0.25">
      <c r="K10116" s="312"/>
      <c r="N10116" s="514"/>
    </row>
    <row r="10117" spans="11:14" x14ac:dyDescent="0.25">
      <c r="K10117" s="312"/>
      <c r="N10117" s="514"/>
    </row>
    <row r="10118" spans="11:14" x14ac:dyDescent="0.25">
      <c r="K10118" s="312"/>
      <c r="N10118" s="514"/>
    </row>
    <row r="10119" spans="11:14" x14ac:dyDescent="0.25">
      <c r="K10119" s="312"/>
      <c r="N10119" s="514"/>
    </row>
    <row r="10120" spans="11:14" x14ac:dyDescent="0.25">
      <c r="K10120" s="312"/>
      <c r="N10120" s="514"/>
    </row>
    <row r="10121" spans="11:14" x14ac:dyDescent="0.25">
      <c r="K10121" s="312"/>
      <c r="N10121" s="514"/>
    </row>
    <row r="10122" spans="11:14" x14ac:dyDescent="0.25">
      <c r="K10122" s="312"/>
      <c r="N10122" s="514"/>
    </row>
    <row r="10123" spans="11:14" x14ac:dyDescent="0.25">
      <c r="K10123" s="312"/>
      <c r="N10123" s="514"/>
    </row>
    <row r="10124" spans="11:14" x14ac:dyDescent="0.25">
      <c r="K10124" s="312"/>
      <c r="N10124" s="514"/>
    </row>
    <row r="10125" spans="11:14" x14ac:dyDescent="0.25">
      <c r="K10125" s="312"/>
      <c r="N10125" s="514"/>
    </row>
    <row r="10126" spans="11:14" x14ac:dyDescent="0.25">
      <c r="K10126" s="312"/>
      <c r="N10126" s="514"/>
    </row>
    <row r="10127" spans="11:14" x14ac:dyDescent="0.25">
      <c r="K10127" s="312"/>
      <c r="N10127" s="514"/>
    </row>
    <row r="10128" spans="11:14" x14ac:dyDescent="0.25">
      <c r="K10128" s="312"/>
      <c r="N10128" s="514"/>
    </row>
    <row r="10129" spans="11:14" x14ac:dyDescent="0.25">
      <c r="K10129" s="312"/>
      <c r="N10129" s="514"/>
    </row>
    <row r="10130" spans="11:14" x14ac:dyDescent="0.25">
      <c r="K10130" s="312"/>
      <c r="N10130" s="514"/>
    </row>
    <row r="10131" spans="11:14" x14ac:dyDescent="0.25">
      <c r="K10131" s="312"/>
      <c r="N10131" s="514"/>
    </row>
    <row r="10132" spans="11:14" x14ac:dyDescent="0.25">
      <c r="K10132" s="312"/>
      <c r="N10132" s="514"/>
    </row>
    <row r="10133" spans="11:14" x14ac:dyDescent="0.25">
      <c r="K10133" s="312"/>
      <c r="N10133" s="514"/>
    </row>
    <row r="10134" spans="11:14" x14ac:dyDescent="0.25">
      <c r="K10134" s="312"/>
      <c r="N10134" s="514"/>
    </row>
    <row r="10135" spans="11:14" x14ac:dyDescent="0.25">
      <c r="K10135" s="312"/>
      <c r="N10135" s="514"/>
    </row>
    <row r="10136" spans="11:14" x14ac:dyDescent="0.25">
      <c r="K10136" s="312"/>
      <c r="N10136" s="514"/>
    </row>
    <row r="10137" spans="11:14" x14ac:dyDescent="0.25">
      <c r="K10137" s="312"/>
      <c r="N10137" s="514"/>
    </row>
    <row r="10138" spans="11:14" x14ac:dyDescent="0.25">
      <c r="K10138" s="312"/>
      <c r="N10138" s="514"/>
    </row>
    <row r="10139" spans="11:14" x14ac:dyDescent="0.25">
      <c r="K10139" s="312"/>
      <c r="N10139" s="514"/>
    </row>
    <row r="10140" spans="11:14" x14ac:dyDescent="0.25">
      <c r="K10140" s="312"/>
      <c r="N10140" s="514"/>
    </row>
    <row r="10141" spans="11:14" x14ac:dyDescent="0.25">
      <c r="K10141" s="312"/>
      <c r="N10141" s="514"/>
    </row>
    <row r="10142" spans="11:14" x14ac:dyDescent="0.25">
      <c r="K10142" s="312"/>
      <c r="N10142" s="514"/>
    </row>
    <row r="10143" spans="11:14" x14ac:dyDescent="0.25">
      <c r="K10143" s="312"/>
      <c r="N10143" s="514"/>
    </row>
    <row r="10144" spans="11:14" x14ac:dyDescent="0.25">
      <c r="K10144" s="312"/>
      <c r="N10144" s="514"/>
    </row>
    <row r="10145" spans="11:14" x14ac:dyDescent="0.25">
      <c r="K10145" s="312"/>
      <c r="N10145" s="514"/>
    </row>
    <row r="10146" spans="11:14" x14ac:dyDescent="0.25">
      <c r="K10146" s="312"/>
      <c r="N10146" s="514"/>
    </row>
    <row r="10147" spans="11:14" x14ac:dyDescent="0.25">
      <c r="K10147" s="312"/>
      <c r="N10147" s="514"/>
    </row>
    <row r="10148" spans="11:14" x14ac:dyDescent="0.25">
      <c r="K10148" s="312"/>
      <c r="N10148" s="514"/>
    </row>
    <row r="10149" spans="11:14" x14ac:dyDescent="0.25">
      <c r="K10149" s="312"/>
      <c r="N10149" s="514"/>
    </row>
    <row r="10150" spans="11:14" x14ac:dyDescent="0.25">
      <c r="K10150" s="312"/>
      <c r="N10150" s="514"/>
    </row>
    <row r="10151" spans="11:14" x14ac:dyDescent="0.25">
      <c r="K10151" s="312"/>
      <c r="N10151" s="514"/>
    </row>
    <row r="10152" spans="11:14" x14ac:dyDescent="0.25">
      <c r="K10152" s="312"/>
      <c r="N10152" s="514"/>
    </row>
    <row r="10153" spans="11:14" x14ac:dyDescent="0.25">
      <c r="K10153" s="312"/>
      <c r="N10153" s="514"/>
    </row>
    <row r="10154" spans="11:14" x14ac:dyDescent="0.25">
      <c r="K10154" s="312"/>
      <c r="N10154" s="514"/>
    </row>
    <row r="10155" spans="11:14" x14ac:dyDescent="0.25">
      <c r="K10155" s="312"/>
      <c r="N10155" s="514"/>
    </row>
    <row r="10156" spans="11:14" x14ac:dyDescent="0.25">
      <c r="K10156" s="312"/>
      <c r="N10156" s="514"/>
    </row>
    <row r="10157" spans="11:14" x14ac:dyDescent="0.25">
      <c r="K10157" s="312"/>
      <c r="N10157" s="514"/>
    </row>
    <row r="10158" spans="11:14" x14ac:dyDescent="0.25">
      <c r="K10158" s="312"/>
      <c r="N10158" s="514"/>
    </row>
    <row r="10159" spans="11:14" x14ac:dyDescent="0.25">
      <c r="K10159" s="312"/>
      <c r="N10159" s="514"/>
    </row>
    <row r="10160" spans="11:14" x14ac:dyDescent="0.25">
      <c r="K10160" s="312"/>
      <c r="N10160" s="514"/>
    </row>
    <row r="10161" spans="11:14" x14ac:dyDescent="0.25">
      <c r="K10161" s="312"/>
      <c r="N10161" s="514"/>
    </row>
    <row r="10162" spans="11:14" x14ac:dyDescent="0.25">
      <c r="K10162" s="312"/>
      <c r="N10162" s="514"/>
    </row>
    <row r="10163" spans="11:14" x14ac:dyDescent="0.25">
      <c r="K10163" s="312"/>
      <c r="N10163" s="514"/>
    </row>
    <row r="10164" spans="11:14" x14ac:dyDescent="0.25">
      <c r="K10164" s="312"/>
      <c r="N10164" s="514"/>
    </row>
    <row r="10165" spans="11:14" x14ac:dyDescent="0.25">
      <c r="K10165" s="312"/>
      <c r="N10165" s="514"/>
    </row>
    <row r="10166" spans="11:14" x14ac:dyDescent="0.25">
      <c r="K10166" s="312"/>
      <c r="N10166" s="514"/>
    </row>
    <row r="10167" spans="11:14" x14ac:dyDescent="0.25">
      <c r="K10167" s="312"/>
      <c r="N10167" s="514"/>
    </row>
    <row r="10168" spans="11:14" x14ac:dyDescent="0.25">
      <c r="K10168" s="312"/>
      <c r="N10168" s="514"/>
    </row>
    <row r="10169" spans="11:14" x14ac:dyDescent="0.25">
      <c r="K10169" s="312"/>
      <c r="N10169" s="514"/>
    </row>
    <row r="10170" spans="11:14" x14ac:dyDescent="0.25">
      <c r="K10170" s="312"/>
      <c r="N10170" s="514"/>
    </row>
    <row r="10171" spans="11:14" x14ac:dyDescent="0.25">
      <c r="K10171" s="312"/>
      <c r="N10171" s="514"/>
    </row>
    <row r="10172" spans="11:14" x14ac:dyDescent="0.25">
      <c r="K10172" s="312"/>
      <c r="N10172" s="514"/>
    </row>
    <row r="10173" spans="11:14" x14ac:dyDescent="0.25">
      <c r="K10173" s="312"/>
      <c r="N10173" s="514"/>
    </row>
    <row r="10174" spans="11:14" x14ac:dyDescent="0.25">
      <c r="K10174" s="312"/>
      <c r="N10174" s="514"/>
    </row>
    <row r="10175" spans="11:14" x14ac:dyDescent="0.25">
      <c r="K10175" s="312"/>
      <c r="N10175" s="514"/>
    </row>
    <row r="10176" spans="11:14" x14ac:dyDescent="0.25">
      <c r="K10176" s="312"/>
      <c r="N10176" s="514"/>
    </row>
    <row r="10177" spans="11:14" x14ac:dyDescent="0.25">
      <c r="K10177" s="312"/>
      <c r="N10177" s="514"/>
    </row>
    <row r="10178" spans="11:14" x14ac:dyDescent="0.25">
      <c r="K10178" s="312"/>
      <c r="N10178" s="514"/>
    </row>
    <row r="10179" spans="11:14" x14ac:dyDescent="0.25">
      <c r="K10179" s="312"/>
      <c r="N10179" s="514"/>
    </row>
    <row r="10180" spans="11:14" x14ac:dyDescent="0.25">
      <c r="K10180" s="312"/>
      <c r="N10180" s="514"/>
    </row>
    <row r="10181" spans="11:14" x14ac:dyDescent="0.25">
      <c r="K10181" s="312"/>
      <c r="N10181" s="514"/>
    </row>
    <row r="10182" spans="11:14" x14ac:dyDescent="0.25">
      <c r="K10182" s="312"/>
      <c r="N10182" s="514"/>
    </row>
    <row r="10183" spans="11:14" x14ac:dyDescent="0.25">
      <c r="K10183" s="312"/>
      <c r="N10183" s="514"/>
    </row>
    <row r="10184" spans="11:14" x14ac:dyDescent="0.25">
      <c r="K10184" s="312"/>
      <c r="N10184" s="514"/>
    </row>
    <row r="10185" spans="11:14" x14ac:dyDescent="0.25">
      <c r="K10185" s="312"/>
      <c r="N10185" s="514"/>
    </row>
    <row r="10186" spans="11:14" x14ac:dyDescent="0.25">
      <c r="K10186" s="312"/>
      <c r="N10186" s="514"/>
    </row>
    <row r="10187" spans="11:14" x14ac:dyDescent="0.25">
      <c r="K10187" s="312"/>
      <c r="N10187" s="514"/>
    </row>
    <row r="10188" spans="11:14" x14ac:dyDescent="0.25">
      <c r="K10188" s="312"/>
      <c r="N10188" s="514"/>
    </row>
    <row r="10189" spans="11:14" x14ac:dyDescent="0.25">
      <c r="K10189" s="312"/>
      <c r="N10189" s="514"/>
    </row>
    <row r="10190" spans="11:14" x14ac:dyDescent="0.25">
      <c r="K10190" s="312"/>
      <c r="N10190" s="514"/>
    </row>
    <row r="10191" spans="11:14" x14ac:dyDescent="0.25">
      <c r="K10191" s="312"/>
      <c r="N10191" s="514"/>
    </row>
    <row r="10192" spans="11:14" x14ac:dyDescent="0.25">
      <c r="K10192" s="312"/>
      <c r="N10192" s="514"/>
    </row>
    <row r="10193" spans="11:14" x14ac:dyDescent="0.25">
      <c r="K10193" s="312"/>
      <c r="N10193" s="514"/>
    </row>
    <row r="10194" spans="11:14" x14ac:dyDescent="0.25">
      <c r="K10194" s="312"/>
      <c r="N10194" s="514"/>
    </row>
    <row r="10195" spans="11:14" x14ac:dyDescent="0.25">
      <c r="K10195" s="312"/>
      <c r="N10195" s="514"/>
    </row>
    <row r="10196" spans="11:14" x14ac:dyDescent="0.25">
      <c r="K10196" s="312"/>
      <c r="N10196" s="514"/>
    </row>
    <row r="10197" spans="11:14" x14ac:dyDescent="0.25">
      <c r="K10197" s="312"/>
      <c r="N10197" s="514"/>
    </row>
    <row r="10198" spans="11:14" x14ac:dyDescent="0.25">
      <c r="K10198" s="312"/>
      <c r="N10198" s="514"/>
    </row>
    <row r="10199" spans="11:14" x14ac:dyDescent="0.25">
      <c r="K10199" s="312"/>
      <c r="N10199" s="514"/>
    </row>
    <row r="10200" spans="11:14" x14ac:dyDescent="0.25">
      <c r="K10200" s="312"/>
      <c r="N10200" s="514"/>
    </row>
    <row r="10201" spans="11:14" x14ac:dyDescent="0.25">
      <c r="K10201" s="312"/>
      <c r="N10201" s="514"/>
    </row>
    <row r="10202" spans="11:14" x14ac:dyDescent="0.25">
      <c r="K10202" s="312"/>
      <c r="N10202" s="514"/>
    </row>
    <row r="10203" spans="11:14" x14ac:dyDescent="0.25">
      <c r="K10203" s="312"/>
      <c r="N10203" s="514"/>
    </row>
    <row r="10204" spans="11:14" x14ac:dyDescent="0.25">
      <c r="K10204" s="312"/>
      <c r="N10204" s="514"/>
    </row>
    <row r="10205" spans="11:14" x14ac:dyDescent="0.25">
      <c r="K10205" s="312"/>
      <c r="N10205" s="514"/>
    </row>
    <row r="10206" spans="11:14" x14ac:dyDescent="0.25">
      <c r="K10206" s="312"/>
      <c r="N10206" s="514"/>
    </row>
    <row r="10207" spans="11:14" x14ac:dyDescent="0.25">
      <c r="K10207" s="312"/>
      <c r="N10207" s="514"/>
    </row>
    <row r="10208" spans="11:14" x14ac:dyDescent="0.25">
      <c r="K10208" s="312"/>
      <c r="N10208" s="514"/>
    </row>
    <row r="10209" spans="11:14" x14ac:dyDescent="0.25">
      <c r="K10209" s="312"/>
      <c r="N10209" s="514"/>
    </row>
    <row r="10210" spans="11:14" x14ac:dyDescent="0.25">
      <c r="K10210" s="312"/>
      <c r="N10210" s="514"/>
    </row>
    <row r="10211" spans="11:14" x14ac:dyDescent="0.25">
      <c r="K10211" s="312"/>
      <c r="N10211" s="514"/>
    </row>
    <row r="10212" spans="11:14" x14ac:dyDescent="0.25">
      <c r="K10212" s="312"/>
      <c r="N10212" s="514"/>
    </row>
    <row r="10213" spans="11:14" x14ac:dyDescent="0.25">
      <c r="K10213" s="312"/>
      <c r="N10213" s="514"/>
    </row>
    <row r="10214" spans="11:14" x14ac:dyDescent="0.25">
      <c r="K10214" s="312"/>
      <c r="N10214" s="514"/>
    </row>
    <row r="10215" spans="11:14" x14ac:dyDescent="0.25">
      <c r="K10215" s="312"/>
      <c r="N10215" s="514"/>
    </row>
    <row r="10216" spans="11:14" x14ac:dyDescent="0.25">
      <c r="K10216" s="312"/>
      <c r="N10216" s="514"/>
    </row>
    <row r="10217" spans="11:14" x14ac:dyDescent="0.25">
      <c r="K10217" s="312"/>
      <c r="N10217" s="514"/>
    </row>
    <row r="10218" spans="11:14" x14ac:dyDescent="0.25">
      <c r="K10218" s="312"/>
      <c r="N10218" s="514"/>
    </row>
    <row r="10219" spans="11:14" x14ac:dyDescent="0.25">
      <c r="K10219" s="312"/>
      <c r="N10219" s="514"/>
    </row>
    <row r="10220" spans="11:14" x14ac:dyDescent="0.25">
      <c r="K10220" s="312"/>
      <c r="N10220" s="514"/>
    </row>
    <row r="10221" spans="11:14" x14ac:dyDescent="0.25">
      <c r="K10221" s="312"/>
      <c r="N10221" s="514"/>
    </row>
    <row r="10222" spans="11:14" x14ac:dyDescent="0.25">
      <c r="K10222" s="312"/>
      <c r="N10222" s="514"/>
    </row>
    <row r="10223" spans="11:14" x14ac:dyDescent="0.25">
      <c r="K10223" s="312"/>
      <c r="N10223" s="514"/>
    </row>
    <row r="10224" spans="11:14" x14ac:dyDescent="0.25">
      <c r="K10224" s="312"/>
      <c r="N10224" s="514"/>
    </row>
    <row r="10225" spans="11:14" x14ac:dyDescent="0.25">
      <c r="K10225" s="312"/>
      <c r="N10225" s="514"/>
    </row>
    <row r="10226" spans="11:14" x14ac:dyDescent="0.25">
      <c r="K10226" s="312"/>
      <c r="N10226" s="514"/>
    </row>
    <row r="10227" spans="11:14" x14ac:dyDescent="0.25">
      <c r="K10227" s="312"/>
      <c r="N10227" s="514"/>
    </row>
    <row r="10228" spans="11:14" x14ac:dyDescent="0.25">
      <c r="K10228" s="312"/>
      <c r="N10228" s="514"/>
    </row>
    <row r="10229" spans="11:14" x14ac:dyDescent="0.25">
      <c r="K10229" s="312"/>
      <c r="N10229" s="514"/>
    </row>
    <row r="10230" spans="11:14" x14ac:dyDescent="0.25">
      <c r="K10230" s="312"/>
      <c r="N10230" s="514"/>
    </row>
    <row r="10231" spans="11:14" x14ac:dyDescent="0.25">
      <c r="K10231" s="312"/>
      <c r="N10231" s="514"/>
    </row>
    <row r="10232" spans="11:14" x14ac:dyDescent="0.25">
      <c r="K10232" s="312"/>
      <c r="N10232" s="514"/>
    </row>
    <row r="10233" spans="11:14" x14ac:dyDescent="0.25">
      <c r="K10233" s="312"/>
      <c r="N10233" s="514"/>
    </row>
    <row r="10234" spans="11:14" x14ac:dyDescent="0.25">
      <c r="K10234" s="312"/>
      <c r="N10234" s="514"/>
    </row>
    <row r="10235" spans="11:14" x14ac:dyDescent="0.25">
      <c r="K10235" s="312"/>
      <c r="N10235" s="514"/>
    </row>
    <row r="10236" spans="11:14" x14ac:dyDescent="0.25">
      <c r="K10236" s="312"/>
      <c r="N10236" s="514"/>
    </row>
    <row r="10237" spans="11:14" x14ac:dyDescent="0.25">
      <c r="K10237" s="312"/>
      <c r="N10237" s="514"/>
    </row>
    <row r="10238" spans="11:14" x14ac:dyDescent="0.25">
      <c r="K10238" s="312"/>
      <c r="N10238" s="514"/>
    </row>
    <row r="10239" spans="11:14" x14ac:dyDescent="0.25">
      <c r="K10239" s="312"/>
      <c r="N10239" s="514"/>
    </row>
    <row r="10240" spans="11:14" x14ac:dyDescent="0.25">
      <c r="K10240" s="312"/>
      <c r="N10240" s="514"/>
    </row>
    <row r="10241" spans="11:14" x14ac:dyDescent="0.25">
      <c r="K10241" s="312"/>
      <c r="N10241" s="514"/>
    </row>
    <row r="10242" spans="11:14" x14ac:dyDescent="0.25">
      <c r="K10242" s="312"/>
      <c r="N10242" s="514"/>
    </row>
    <row r="10243" spans="11:14" x14ac:dyDescent="0.25">
      <c r="K10243" s="312"/>
      <c r="N10243" s="514"/>
    </row>
    <row r="10244" spans="11:14" x14ac:dyDescent="0.25">
      <c r="K10244" s="312"/>
      <c r="N10244" s="514"/>
    </row>
    <row r="10245" spans="11:14" x14ac:dyDescent="0.25">
      <c r="K10245" s="312"/>
      <c r="N10245" s="514"/>
    </row>
    <row r="10246" spans="11:14" x14ac:dyDescent="0.25">
      <c r="K10246" s="312"/>
      <c r="N10246" s="514"/>
    </row>
    <row r="10247" spans="11:14" x14ac:dyDescent="0.25">
      <c r="K10247" s="312"/>
      <c r="N10247" s="514"/>
    </row>
    <row r="10248" spans="11:14" x14ac:dyDescent="0.25">
      <c r="K10248" s="312"/>
      <c r="N10248" s="514"/>
    </row>
    <row r="10249" spans="11:14" x14ac:dyDescent="0.25">
      <c r="K10249" s="312"/>
      <c r="N10249" s="514"/>
    </row>
    <row r="10250" spans="11:14" x14ac:dyDescent="0.25">
      <c r="K10250" s="312"/>
      <c r="N10250" s="514"/>
    </row>
    <row r="10251" spans="11:14" x14ac:dyDescent="0.25">
      <c r="K10251" s="312"/>
      <c r="N10251" s="514"/>
    </row>
    <row r="10252" spans="11:14" x14ac:dyDescent="0.25">
      <c r="K10252" s="312"/>
      <c r="N10252" s="514"/>
    </row>
    <row r="10253" spans="11:14" x14ac:dyDescent="0.25">
      <c r="K10253" s="312"/>
      <c r="N10253" s="514"/>
    </row>
    <row r="10254" spans="11:14" x14ac:dyDescent="0.25">
      <c r="K10254" s="312"/>
      <c r="N10254" s="514"/>
    </row>
    <row r="10255" spans="11:14" x14ac:dyDescent="0.25">
      <c r="K10255" s="312"/>
      <c r="N10255" s="514"/>
    </row>
    <row r="10256" spans="11:14" x14ac:dyDescent="0.25">
      <c r="K10256" s="312"/>
      <c r="N10256" s="514"/>
    </row>
    <row r="10257" spans="11:14" x14ac:dyDescent="0.25">
      <c r="K10257" s="312"/>
      <c r="N10257" s="514"/>
    </row>
    <row r="10258" spans="11:14" x14ac:dyDescent="0.25">
      <c r="K10258" s="312"/>
      <c r="N10258" s="514"/>
    </row>
    <row r="10259" spans="11:14" x14ac:dyDescent="0.25">
      <c r="K10259" s="312"/>
      <c r="N10259" s="514"/>
    </row>
    <row r="10260" spans="11:14" x14ac:dyDescent="0.25">
      <c r="K10260" s="312"/>
      <c r="N10260" s="514"/>
    </row>
    <row r="10261" spans="11:14" x14ac:dyDescent="0.25">
      <c r="K10261" s="312"/>
      <c r="N10261" s="514"/>
    </row>
    <row r="10262" spans="11:14" x14ac:dyDescent="0.25">
      <c r="K10262" s="312"/>
      <c r="N10262" s="514"/>
    </row>
    <row r="10263" spans="11:14" x14ac:dyDescent="0.25">
      <c r="K10263" s="312"/>
      <c r="N10263" s="514"/>
    </row>
    <row r="10264" spans="11:14" x14ac:dyDescent="0.25">
      <c r="K10264" s="312"/>
      <c r="N10264" s="514"/>
    </row>
    <row r="10265" spans="11:14" x14ac:dyDescent="0.25">
      <c r="K10265" s="312"/>
      <c r="N10265" s="514"/>
    </row>
    <row r="10266" spans="11:14" x14ac:dyDescent="0.25">
      <c r="K10266" s="312"/>
      <c r="N10266" s="514"/>
    </row>
    <row r="10267" spans="11:14" x14ac:dyDescent="0.25">
      <c r="K10267" s="312"/>
      <c r="N10267" s="514"/>
    </row>
    <row r="10268" spans="11:14" x14ac:dyDescent="0.25">
      <c r="K10268" s="312"/>
      <c r="N10268" s="514"/>
    </row>
    <row r="10269" spans="11:14" x14ac:dyDescent="0.25">
      <c r="K10269" s="312"/>
      <c r="N10269" s="514"/>
    </row>
    <row r="10270" spans="11:14" x14ac:dyDescent="0.25">
      <c r="K10270" s="312"/>
      <c r="N10270" s="514"/>
    </row>
    <row r="10271" spans="11:14" x14ac:dyDescent="0.25">
      <c r="K10271" s="312"/>
      <c r="N10271" s="514"/>
    </row>
    <row r="10272" spans="11:14" x14ac:dyDescent="0.25">
      <c r="K10272" s="312"/>
      <c r="N10272" s="514"/>
    </row>
    <row r="10273" spans="11:14" x14ac:dyDescent="0.25">
      <c r="K10273" s="312"/>
      <c r="N10273" s="514"/>
    </row>
    <row r="10274" spans="11:14" x14ac:dyDescent="0.25">
      <c r="K10274" s="312"/>
      <c r="N10274" s="514"/>
    </row>
    <row r="10275" spans="11:14" x14ac:dyDescent="0.25">
      <c r="K10275" s="312"/>
      <c r="N10275" s="514"/>
    </row>
    <row r="10276" spans="11:14" x14ac:dyDescent="0.25">
      <c r="K10276" s="312"/>
      <c r="N10276" s="514"/>
    </row>
    <row r="10277" spans="11:14" x14ac:dyDescent="0.25">
      <c r="K10277" s="312"/>
      <c r="N10277" s="514"/>
    </row>
    <row r="10278" spans="11:14" x14ac:dyDescent="0.25">
      <c r="K10278" s="312"/>
      <c r="N10278" s="514"/>
    </row>
    <row r="10279" spans="11:14" x14ac:dyDescent="0.25">
      <c r="K10279" s="312"/>
      <c r="N10279" s="514"/>
    </row>
    <row r="10280" spans="11:14" x14ac:dyDescent="0.25">
      <c r="K10280" s="312"/>
      <c r="N10280" s="514"/>
    </row>
    <row r="10281" spans="11:14" x14ac:dyDescent="0.25">
      <c r="K10281" s="312"/>
      <c r="N10281" s="514"/>
    </row>
    <row r="10282" spans="11:14" x14ac:dyDescent="0.25">
      <c r="K10282" s="312"/>
      <c r="N10282" s="514"/>
    </row>
    <row r="10283" spans="11:14" x14ac:dyDescent="0.25">
      <c r="K10283" s="312"/>
      <c r="N10283" s="514"/>
    </row>
    <row r="10284" spans="11:14" x14ac:dyDescent="0.25">
      <c r="K10284" s="312"/>
      <c r="N10284" s="514"/>
    </row>
    <row r="10285" spans="11:14" x14ac:dyDescent="0.25">
      <c r="K10285" s="312"/>
      <c r="N10285" s="514"/>
    </row>
    <row r="10286" spans="11:14" x14ac:dyDescent="0.25">
      <c r="K10286" s="312"/>
      <c r="N10286" s="514"/>
    </row>
    <row r="10287" spans="11:14" x14ac:dyDescent="0.25">
      <c r="K10287" s="312"/>
      <c r="N10287" s="514"/>
    </row>
    <row r="10288" spans="11:14" x14ac:dyDescent="0.25">
      <c r="K10288" s="312"/>
      <c r="N10288" s="514"/>
    </row>
    <row r="10289" spans="11:14" x14ac:dyDescent="0.25">
      <c r="K10289" s="312"/>
      <c r="N10289" s="514"/>
    </row>
    <row r="10290" spans="11:14" x14ac:dyDescent="0.25">
      <c r="K10290" s="312"/>
      <c r="N10290" s="514"/>
    </row>
    <row r="10291" spans="11:14" x14ac:dyDescent="0.25">
      <c r="K10291" s="312"/>
      <c r="N10291" s="514"/>
    </row>
    <row r="10292" spans="11:14" x14ac:dyDescent="0.25">
      <c r="K10292" s="312"/>
      <c r="N10292" s="514"/>
    </row>
    <row r="10293" spans="11:14" x14ac:dyDescent="0.25">
      <c r="K10293" s="312"/>
      <c r="N10293" s="514"/>
    </row>
    <row r="10294" spans="11:14" x14ac:dyDescent="0.25">
      <c r="K10294" s="312"/>
      <c r="N10294" s="514"/>
    </row>
    <row r="10295" spans="11:14" x14ac:dyDescent="0.25">
      <c r="K10295" s="312"/>
      <c r="N10295" s="514"/>
    </row>
    <row r="10296" spans="11:14" x14ac:dyDescent="0.25">
      <c r="K10296" s="312"/>
      <c r="N10296" s="514"/>
    </row>
    <row r="10297" spans="11:14" x14ac:dyDescent="0.25">
      <c r="K10297" s="312"/>
      <c r="N10297" s="514"/>
    </row>
    <row r="10298" spans="11:14" x14ac:dyDescent="0.25">
      <c r="K10298" s="312"/>
      <c r="N10298" s="514"/>
    </row>
    <row r="10299" spans="11:14" x14ac:dyDescent="0.25">
      <c r="K10299" s="312"/>
      <c r="N10299" s="514"/>
    </row>
    <row r="10300" spans="11:14" x14ac:dyDescent="0.25">
      <c r="K10300" s="312"/>
      <c r="N10300" s="514"/>
    </row>
    <row r="10301" spans="11:14" x14ac:dyDescent="0.25">
      <c r="K10301" s="312"/>
      <c r="N10301" s="514"/>
    </row>
    <row r="10302" spans="11:14" x14ac:dyDescent="0.25">
      <c r="K10302" s="312"/>
      <c r="N10302" s="514"/>
    </row>
    <row r="10303" spans="11:14" x14ac:dyDescent="0.25">
      <c r="K10303" s="312"/>
      <c r="N10303" s="514"/>
    </row>
    <row r="10304" spans="11:14" x14ac:dyDescent="0.25">
      <c r="K10304" s="312"/>
      <c r="N10304" s="514"/>
    </row>
    <row r="10305" spans="11:14" x14ac:dyDescent="0.25">
      <c r="K10305" s="312"/>
      <c r="N10305" s="514"/>
    </row>
    <row r="10306" spans="11:14" x14ac:dyDescent="0.25">
      <c r="K10306" s="312"/>
      <c r="N10306" s="514"/>
    </row>
    <row r="10307" spans="11:14" x14ac:dyDescent="0.25">
      <c r="K10307" s="312"/>
      <c r="N10307" s="514"/>
    </row>
    <row r="10308" spans="11:14" x14ac:dyDescent="0.25">
      <c r="K10308" s="312"/>
      <c r="N10308" s="514"/>
    </row>
    <row r="10309" spans="11:14" x14ac:dyDescent="0.25">
      <c r="K10309" s="312"/>
      <c r="N10309" s="514"/>
    </row>
    <row r="10310" spans="11:14" x14ac:dyDescent="0.25">
      <c r="K10310" s="312"/>
      <c r="N10310" s="514"/>
    </row>
    <row r="10311" spans="11:14" x14ac:dyDescent="0.25">
      <c r="K10311" s="312"/>
      <c r="N10311" s="514"/>
    </row>
    <row r="10312" spans="11:14" x14ac:dyDescent="0.25">
      <c r="K10312" s="312"/>
      <c r="N10312" s="514"/>
    </row>
    <row r="10313" spans="11:14" x14ac:dyDescent="0.25">
      <c r="K10313" s="312"/>
      <c r="N10313" s="514"/>
    </row>
    <row r="10314" spans="11:14" x14ac:dyDescent="0.25">
      <c r="K10314" s="312"/>
      <c r="N10314" s="514"/>
    </row>
    <row r="10315" spans="11:14" x14ac:dyDescent="0.25">
      <c r="K10315" s="312"/>
      <c r="N10315" s="514"/>
    </row>
    <row r="10316" spans="11:14" x14ac:dyDescent="0.25">
      <c r="K10316" s="312"/>
      <c r="N10316" s="514"/>
    </row>
    <row r="10317" spans="11:14" x14ac:dyDescent="0.25">
      <c r="K10317" s="312"/>
      <c r="N10317" s="514"/>
    </row>
    <row r="10318" spans="11:14" x14ac:dyDescent="0.25">
      <c r="K10318" s="312"/>
      <c r="N10318" s="514"/>
    </row>
    <row r="10319" spans="11:14" x14ac:dyDescent="0.25">
      <c r="K10319" s="312"/>
      <c r="N10319" s="514"/>
    </row>
    <row r="10320" spans="11:14" x14ac:dyDescent="0.25">
      <c r="K10320" s="312"/>
      <c r="N10320" s="514"/>
    </row>
    <row r="10321" spans="11:14" x14ac:dyDescent="0.25">
      <c r="K10321" s="312"/>
      <c r="N10321" s="514"/>
    </row>
    <row r="10322" spans="11:14" x14ac:dyDescent="0.25">
      <c r="K10322" s="312"/>
      <c r="N10322" s="514"/>
    </row>
    <row r="10323" spans="11:14" x14ac:dyDescent="0.25">
      <c r="K10323" s="312"/>
      <c r="N10323" s="514"/>
    </row>
    <row r="10324" spans="11:14" x14ac:dyDescent="0.25">
      <c r="K10324" s="312"/>
      <c r="N10324" s="514"/>
    </row>
    <row r="10325" spans="11:14" x14ac:dyDescent="0.25">
      <c r="K10325" s="312"/>
      <c r="N10325" s="514"/>
    </row>
    <row r="10326" spans="11:14" x14ac:dyDescent="0.25">
      <c r="K10326" s="312"/>
      <c r="N10326" s="514"/>
    </row>
    <row r="10327" spans="11:14" x14ac:dyDescent="0.25">
      <c r="K10327" s="312"/>
      <c r="N10327" s="514"/>
    </row>
    <row r="10328" spans="11:14" x14ac:dyDescent="0.25">
      <c r="K10328" s="312"/>
      <c r="N10328" s="514"/>
    </row>
    <row r="10329" spans="11:14" x14ac:dyDescent="0.25">
      <c r="K10329" s="312"/>
      <c r="N10329" s="514"/>
    </row>
    <row r="10330" spans="11:14" x14ac:dyDescent="0.25">
      <c r="K10330" s="312"/>
      <c r="N10330" s="514"/>
    </row>
    <row r="10331" spans="11:14" x14ac:dyDescent="0.25">
      <c r="K10331" s="312"/>
      <c r="N10331" s="514"/>
    </row>
    <row r="10332" spans="11:14" x14ac:dyDescent="0.25">
      <c r="K10332" s="312"/>
      <c r="N10332" s="514"/>
    </row>
    <row r="10333" spans="11:14" x14ac:dyDescent="0.25">
      <c r="K10333" s="312"/>
      <c r="N10333" s="514"/>
    </row>
    <row r="10334" spans="11:14" x14ac:dyDescent="0.25">
      <c r="K10334" s="312"/>
      <c r="N10334" s="514"/>
    </row>
    <row r="10335" spans="11:14" x14ac:dyDescent="0.25">
      <c r="K10335" s="312"/>
      <c r="N10335" s="514"/>
    </row>
    <row r="10336" spans="11:14" x14ac:dyDescent="0.25">
      <c r="K10336" s="312"/>
      <c r="N10336" s="514"/>
    </row>
    <row r="10337" spans="11:14" x14ac:dyDescent="0.25">
      <c r="K10337" s="312"/>
      <c r="N10337" s="514"/>
    </row>
    <row r="10338" spans="11:14" x14ac:dyDescent="0.25">
      <c r="K10338" s="312"/>
      <c r="N10338" s="514"/>
    </row>
    <row r="10339" spans="11:14" x14ac:dyDescent="0.25">
      <c r="K10339" s="312"/>
      <c r="N10339" s="514"/>
    </row>
    <row r="10340" spans="11:14" x14ac:dyDescent="0.25">
      <c r="K10340" s="312"/>
      <c r="N10340" s="514"/>
    </row>
    <row r="10341" spans="11:14" x14ac:dyDescent="0.25">
      <c r="K10341" s="312"/>
      <c r="N10341" s="514"/>
    </row>
    <row r="10342" spans="11:14" x14ac:dyDescent="0.25">
      <c r="K10342" s="312"/>
      <c r="N10342" s="514"/>
    </row>
    <row r="10343" spans="11:14" x14ac:dyDescent="0.25">
      <c r="K10343" s="312"/>
      <c r="N10343" s="514"/>
    </row>
    <row r="10344" spans="11:14" x14ac:dyDescent="0.25">
      <c r="K10344" s="312"/>
      <c r="N10344" s="514"/>
    </row>
    <row r="10345" spans="11:14" x14ac:dyDescent="0.25">
      <c r="K10345" s="312"/>
      <c r="N10345" s="514"/>
    </row>
    <row r="10346" spans="11:14" x14ac:dyDescent="0.25">
      <c r="K10346" s="312"/>
      <c r="N10346" s="514"/>
    </row>
    <row r="10347" spans="11:14" x14ac:dyDescent="0.25">
      <c r="K10347" s="312"/>
      <c r="N10347" s="514"/>
    </row>
    <row r="10348" spans="11:14" x14ac:dyDescent="0.25">
      <c r="K10348" s="312"/>
      <c r="N10348" s="514"/>
    </row>
    <row r="10349" spans="11:14" x14ac:dyDescent="0.25">
      <c r="K10349" s="312"/>
      <c r="N10349" s="514"/>
    </row>
    <row r="10350" spans="11:14" x14ac:dyDescent="0.25">
      <c r="K10350" s="312"/>
      <c r="N10350" s="514"/>
    </row>
    <row r="10351" spans="11:14" x14ac:dyDescent="0.25">
      <c r="K10351" s="312"/>
      <c r="N10351" s="514"/>
    </row>
    <row r="10352" spans="11:14" x14ac:dyDescent="0.25">
      <c r="K10352" s="312"/>
      <c r="N10352" s="514"/>
    </row>
    <row r="10353" spans="11:14" x14ac:dyDescent="0.25">
      <c r="K10353" s="312"/>
      <c r="N10353" s="514"/>
    </row>
    <row r="10354" spans="11:14" x14ac:dyDescent="0.25">
      <c r="K10354" s="312"/>
      <c r="N10354" s="514"/>
    </row>
    <row r="10355" spans="11:14" x14ac:dyDescent="0.25">
      <c r="K10355" s="312"/>
      <c r="N10355" s="514"/>
    </row>
    <row r="10356" spans="11:14" x14ac:dyDescent="0.25">
      <c r="K10356" s="312"/>
      <c r="N10356" s="514"/>
    </row>
    <row r="10357" spans="11:14" x14ac:dyDescent="0.25">
      <c r="K10357" s="312"/>
      <c r="N10357" s="514"/>
    </row>
    <row r="10358" spans="11:14" x14ac:dyDescent="0.25">
      <c r="K10358" s="312"/>
      <c r="N10358" s="514"/>
    </row>
    <row r="10359" spans="11:14" x14ac:dyDescent="0.25">
      <c r="K10359" s="312"/>
      <c r="N10359" s="514"/>
    </row>
    <row r="10360" spans="11:14" x14ac:dyDescent="0.25">
      <c r="K10360" s="312"/>
      <c r="N10360" s="514"/>
    </row>
    <row r="10361" spans="11:14" x14ac:dyDescent="0.25">
      <c r="K10361" s="312"/>
      <c r="N10361" s="514"/>
    </row>
    <row r="10362" spans="11:14" x14ac:dyDescent="0.25">
      <c r="K10362" s="312"/>
      <c r="N10362" s="514"/>
    </row>
    <row r="10363" spans="11:14" x14ac:dyDescent="0.25">
      <c r="K10363" s="312"/>
      <c r="N10363" s="514"/>
    </row>
    <row r="10364" spans="11:14" x14ac:dyDescent="0.25">
      <c r="K10364" s="312"/>
      <c r="N10364" s="514"/>
    </row>
    <row r="10365" spans="11:14" x14ac:dyDescent="0.25">
      <c r="K10365" s="312"/>
      <c r="N10365" s="514"/>
    </row>
    <row r="10366" spans="11:14" x14ac:dyDescent="0.25">
      <c r="K10366" s="312"/>
      <c r="N10366" s="514"/>
    </row>
    <row r="10367" spans="11:14" x14ac:dyDescent="0.25">
      <c r="K10367" s="312"/>
      <c r="N10367" s="514"/>
    </row>
    <row r="10368" spans="11:14" x14ac:dyDescent="0.25">
      <c r="K10368" s="312"/>
      <c r="N10368" s="514"/>
    </row>
    <row r="10369" spans="11:14" x14ac:dyDescent="0.25">
      <c r="K10369" s="312"/>
      <c r="N10369" s="514"/>
    </row>
    <row r="10370" spans="11:14" x14ac:dyDescent="0.25">
      <c r="K10370" s="312"/>
      <c r="N10370" s="514"/>
    </row>
    <row r="10371" spans="11:14" x14ac:dyDescent="0.25">
      <c r="K10371" s="312"/>
      <c r="N10371" s="514"/>
    </row>
    <row r="10372" spans="11:14" x14ac:dyDescent="0.25">
      <c r="K10372" s="312"/>
      <c r="N10372" s="514"/>
    </row>
    <row r="10373" spans="11:14" x14ac:dyDescent="0.25">
      <c r="K10373" s="312"/>
      <c r="N10373" s="514"/>
    </row>
    <row r="10374" spans="11:14" x14ac:dyDescent="0.25">
      <c r="K10374" s="312"/>
      <c r="N10374" s="514"/>
    </row>
    <row r="10375" spans="11:14" x14ac:dyDescent="0.25">
      <c r="K10375" s="312"/>
      <c r="N10375" s="514"/>
    </row>
    <row r="10376" spans="11:14" x14ac:dyDescent="0.25">
      <c r="K10376" s="312"/>
      <c r="N10376" s="514"/>
    </row>
    <row r="10377" spans="11:14" x14ac:dyDescent="0.25">
      <c r="K10377" s="312"/>
      <c r="N10377" s="514"/>
    </row>
    <row r="10378" spans="11:14" x14ac:dyDescent="0.25">
      <c r="K10378" s="312"/>
      <c r="N10378" s="514"/>
    </row>
    <row r="10379" spans="11:14" x14ac:dyDescent="0.25">
      <c r="K10379" s="312"/>
      <c r="N10379" s="514"/>
    </row>
    <row r="10380" spans="11:14" x14ac:dyDescent="0.25">
      <c r="K10380" s="312"/>
      <c r="N10380" s="514"/>
    </row>
    <row r="10381" spans="11:14" x14ac:dyDescent="0.25">
      <c r="K10381" s="312"/>
      <c r="N10381" s="514"/>
    </row>
    <row r="10382" spans="11:14" x14ac:dyDescent="0.25">
      <c r="K10382" s="312"/>
      <c r="N10382" s="514"/>
    </row>
    <row r="10383" spans="11:14" x14ac:dyDescent="0.25">
      <c r="K10383" s="312"/>
      <c r="N10383" s="514"/>
    </row>
    <row r="10384" spans="11:14" x14ac:dyDescent="0.25">
      <c r="K10384" s="312"/>
      <c r="N10384" s="514"/>
    </row>
    <row r="10385" spans="11:14" x14ac:dyDescent="0.25">
      <c r="K10385" s="312"/>
      <c r="N10385" s="514"/>
    </row>
    <row r="10386" spans="11:14" x14ac:dyDescent="0.25">
      <c r="K10386" s="312"/>
      <c r="N10386" s="514"/>
    </row>
    <row r="10387" spans="11:14" x14ac:dyDescent="0.25">
      <c r="K10387" s="312"/>
      <c r="N10387" s="514"/>
    </row>
    <row r="10388" spans="11:14" x14ac:dyDescent="0.25">
      <c r="K10388" s="312"/>
      <c r="N10388" s="514"/>
    </row>
    <row r="10389" spans="11:14" x14ac:dyDescent="0.25">
      <c r="K10389" s="312"/>
      <c r="N10389" s="514"/>
    </row>
    <row r="10390" spans="11:14" x14ac:dyDescent="0.25">
      <c r="K10390" s="312"/>
      <c r="N10390" s="514"/>
    </row>
    <row r="10391" spans="11:14" x14ac:dyDescent="0.25">
      <c r="K10391" s="312"/>
      <c r="N10391" s="514"/>
    </row>
    <row r="10392" spans="11:14" x14ac:dyDescent="0.25">
      <c r="K10392" s="312"/>
      <c r="N10392" s="514"/>
    </row>
    <row r="10393" spans="11:14" x14ac:dyDescent="0.25">
      <c r="K10393" s="312"/>
      <c r="N10393" s="514"/>
    </row>
    <row r="10394" spans="11:14" x14ac:dyDescent="0.25">
      <c r="K10394" s="312"/>
      <c r="N10394" s="514"/>
    </row>
    <row r="10395" spans="11:14" x14ac:dyDescent="0.25">
      <c r="K10395" s="312"/>
      <c r="N10395" s="514"/>
    </row>
    <row r="10396" spans="11:14" x14ac:dyDescent="0.25">
      <c r="K10396" s="312"/>
      <c r="N10396" s="514"/>
    </row>
    <row r="10397" spans="11:14" x14ac:dyDescent="0.25">
      <c r="K10397" s="312"/>
      <c r="N10397" s="514"/>
    </row>
    <row r="10398" spans="11:14" x14ac:dyDescent="0.25">
      <c r="K10398" s="312"/>
      <c r="N10398" s="514"/>
    </row>
    <row r="10399" spans="11:14" x14ac:dyDescent="0.25">
      <c r="K10399" s="312"/>
      <c r="N10399" s="514"/>
    </row>
    <row r="10400" spans="11:14" x14ac:dyDescent="0.25">
      <c r="K10400" s="312"/>
      <c r="N10400" s="514"/>
    </row>
    <row r="10401" spans="11:14" x14ac:dyDescent="0.25">
      <c r="K10401" s="312"/>
      <c r="N10401" s="514"/>
    </row>
    <row r="10402" spans="11:14" x14ac:dyDescent="0.25">
      <c r="K10402" s="312"/>
      <c r="N10402" s="514"/>
    </row>
    <row r="10403" spans="11:14" x14ac:dyDescent="0.25">
      <c r="K10403" s="312"/>
      <c r="N10403" s="514"/>
    </row>
    <row r="10404" spans="11:14" x14ac:dyDescent="0.25">
      <c r="K10404" s="312"/>
      <c r="N10404" s="514"/>
    </row>
    <row r="10405" spans="11:14" x14ac:dyDescent="0.25">
      <c r="K10405" s="312"/>
      <c r="N10405" s="514"/>
    </row>
    <row r="10406" spans="11:14" x14ac:dyDescent="0.25">
      <c r="K10406" s="312"/>
      <c r="N10406" s="514"/>
    </row>
    <row r="10407" spans="11:14" x14ac:dyDescent="0.25">
      <c r="K10407" s="312"/>
      <c r="N10407" s="514"/>
    </row>
    <row r="10408" spans="11:14" x14ac:dyDescent="0.25">
      <c r="K10408" s="312"/>
      <c r="N10408" s="514"/>
    </row>
    <row r="10409" spans="11:14" x14ac:dyDescent="0.25">
      <c r="K10409" s="312"/>
      <c r="N10409" s="514"/>
    </row>
    <row r="10410" spans="11:14" x14ac:dyDescent="0.25">
      <c r="K10410" s="312"/>
      <c r="N10410" s="514"/>
    </row>
    <row r="10411" spans="11:14" x14ac:dyDescent="0.25">
      <c r="K10411" s="312"/>
      <c r="N10411" s="514"/>
    </row>
    <row r="10412" spans="11:14" x14ac:dyDescent="0.25">
      <c r="K10412" s="312"/>
      <c r="N10412" s="514"/>
    </row>
    <row r="10413" spans="11:14" x14ac:dyDescent="0.25">
      <c r="K10413" s="312"/>
      <c r="N10413" s="514"/>
    </row>
    <row r="10414" spans="11:14" x14ac:dyDescent="0.25">
      <c r="K10414" s="312"/>
      <c r="N10414" s="514"/>
    </row>
    <row r="10415" spans="11:14" x14ac:dyDescent="0.25">
      <c r="K10415" s="312"/>
      <c r="N10415" s="514"/>
    </row>
    <row r="10416" spans="11:14" x14ac:dyDescent="0.25">
      <c r="K10416" s="312"/>
      <c r="N10416" s="514"/>
    </row>
    <row r="10417" spans="11:14" x14ac:dyDescent="0.25">
      <c r="K10417" s="312"/>
      <c r="N10417" s="514"/>
    </row>
    <row r="10418" spans="11:14" x14ac:dyDescent="0.25">
      <c r="K10418" s="312"/>
      <c r="N10418" s="514"/>
    </row>
    <row r="10419" spans="11:14" x14ac:dyDescent="0.25">
      <c r="K10419" s="312"/>
      <c r="N10419" s="514"/>
    </row>
    <row r="10420" spans="11:14" x14ac:dyDescent="0.25">
      <c r="K10420" s="312"/>
      <c r="N10420" s="514"/>
    </row>
    <row r="10421" spans="11:14" x14ac:dyDescent="0.25">
      <c r="K10421" s="312"/>
      <c r="N10421" s="514"/>
    </row>
    <row r="10422" spans="11:14" x14ac:dyDescent="0.25">
      <c r="K10422" s="312"/>
      <c r="N10422" s="514"/>
    </row>
    <row r="10423" spans="11:14" x14ac:dyDescent="0.25">
      <c r="K10423" s="312"/>
      <c r="N10423" s="514"/>
    </row>
    <row r="10424" spans="11:14" x14ac:dyDescent="0.25">
      <c r="K10424" s="312"/>
      <c r="N10424" s="514"/>
    </row>
    <row r="10425" spans="11:14" x14ac:dyDescent="0.25">
      <c r="K10425" s="312"/>
      <c r="N10425" s="514"/>
    </row>
    <row r="10426" spans="11:14" x14ac:dyDescent="0.25">
      <c r="K10426" s="312"/>
      <c r="N10426" s="514"/>
    </row>
    <row r="10427" spans="11:14" x14ac:dyDescent="0.25">
      <c r="K10427" s="312"/>
      <c r="N10427" s="514"/>
    </row>
    <row r="10428" spans="11:14" x14ac:dyDescent="0.25">
      <c r="K10428" s="312"/>
      <c r="N10428" s="514"/>
    </row>
    <row r="10429" spans="11:14" x14ac:dyDescent="0.25">
      <c r="K10429" s="312"/>
      <c r="N10429" s="514"/>
    </row>
    <row r="10430" spans="11:14" x14ac:dyDescent="0.25">
      <c r="K10430" s="312"/>
      <c r="N10430" s="514"/>
    </row>
    <row r="10431" spans="11:14" x14ac:dyDescent="0.25">
      <c r="K10431" s="312"/>
      <c r="N10431" s="514"/>
    </row>
    <row r="10432" spans="11:14" x14ac:dyDescent="0.25">
      <c r="K10432" s="312"/>
      <c r="N10432" s="514"/>
    </row>
    <row r="10433" spans="11:14" x14ac:dyDescent="0.25">
      <c r="K10433" s="312"/>
      <c r="N10433" s="514"/>
    </row>
    <row r="10434" spans="11:14" x14ac:dyDescent="0.25">
      <c r="K10434" s="312"/>
      <c r="N10434" s="514"/>
    </row>
    <row r="10435" spans="11:14" x14ac:dyDescent="0.25">
      <c r="K10435" s="312"/>
      <c r="N10435" s="514"/>
    </row>
    <row r="10436" spans="11:14" x14ac:dyDescent="0.25">
      <c r="K10436" s="312"/>
      <c r="N10436" s="514"/>
    </row>
    <row r="10437" spans="11:14" x14ac:dyDescent="0.25">
      <c r="K10437" s="312"/>
      <c r="N10437" s="514"/>
    </row>
    <row r="10438" spans="11:14" x14ac:dyDescent="0.25">
      <c r="K10438" s="312"/>
      <c r="N10438" s="514"/>
    </row>
    <row r="10439" spans="11:14" x14ac:dyDescent="0.25">
      <c r="K10439" s="312"/>
      <c r="N10439" s="514"/>
    </row>
    <row r="10440" spans="11:14" x14ac:dyDescent="0.25">
      <c r="K10440" s="312"/>
      <c r="N10440" s="514"/>
    </row>
    <row r="10441" spans="11:14" x14ac:dyDescent="0.25">
      <c r="K10441" s="312"/>
      <c r="N10441" s="514"/>
    </row>
    <row r="10442" spans="11:14" x14ac:dyDescent="0.25">
      <c r="K10442" s="312"/>
      <c r="N10442" s="514"/>
    </row>
    <row r="10443" spans="11:14" x14ac:dyDescent="0.25">
      <c r="K10443" s="312"/>
      <c r="N10443" s="514"/>
    </row>
    <row r="10444" spans="11:14" x14ac:dyDescent="0.25">
      <c r="K10444" s="312"/>
      <c r="N10444" s="514"/>
    </row>
    <row r="10445" spans="11:14" x14ac:dyDescent="0.25">
      <c r="K10445" s="312"/>
      <c r="N10445" s="514"/>
    </row>
    <row r="10446" spans="11:14" x14ac:dyDescent="0.25">
      <c r="K10446" s="312"/>
      <c r="N10446" s="514"/>
    </row>
    <row r="10447" spans="11:14" x14ac:dyDescent="0.25">
      <c r="K10447" s="312"/>
      <c r="N10447" s="514"/>
    </row>
    <row r="10448" spans="11:14" x14ac:dyDescent="0.25">
      <c r="K10448" s="312"/>
      <c r="N10448" s="514"/>
    </row>
    <row r="10449" spans="11:14" x14ac:dyDescent="0.25">
      <c r="K10449" s="312"/>
      <c r="N10449" s="514"/>
    </row>
    <row r="10450" spans="11:14" x14ac:dyDescent="0.25">
      <c r="K10450" s="312"/>
      <c r="N10450" s="514"/>
    </row>
    <row r="10451" spans="11:14" x14ac:dyDescent="0.25">
      <c r="K10451" s="312"/>
      <c r="N10451" s="514"/>
    </row>
    <row r="10452" spans="11:14" x14ac:dyDescent="0.25">
      <c r="K10452" s="312"/>
      <c r="N10452" s="514"/>
    </row>
    <row r="10453" spans="11:14" x14ac:dyDescent="0.25">
      <c r="K10453" s="312"/>
      <c r="N10453" s="514"/>
    </row>
    <row r="10454" spans="11:14" x14ac:dyDescent="0.25">
      <c r="K10454" s="312"/>
      <c r="N10454" s="514"/>
    </row>
    <row r="10455" spans="11:14" x14ac:dyDescent="0.25">
      <c r="K10455" s="312"/>
      <c r="N10455" s="514"/>
    </row>
    <row r="10456" spans="11:14" x14ac:dyDescent="0.25">
      <c r="K10456" s="312"/>
      <c r="N10456" s="514"/>
    </row>
    <row r="10457" spans="11:14" x14ac:dyDescent="0.25">
      <c r="K10457" s="312"/>
      <c r="N10457" s="514"/>
    </row>
    <row r="10458" spans="11:14" x14ac:dyDescent="0.25">
      <c r="K10458" s="312"/>
      <c r="N10458" s="514"/>
    </row>
    <row r="10459" spans="11:14" x14ac:dyDescent="0.25">
      <c r="K10459" s="312"/>
      <c r="N10459" s="514"/>
    </row>
    <row r="10460" spans="11:14" x14ac:dyDescent="0.25">
      <c r="K10460" s="312"/>
      <c r="N10460" s="514"/>
    </row>
    <row r="10461" spans="11:14" x14ac:dyDescent="0.25">
      <c r="K10461" s="312"/>
      <c r="N10461" s="514"/>
    </row>
    <row r="10462" spans="11:14" x14ac:dyDescent="0.25">
      <c r="K10462" s="312"/>
      <c r="N10462" s="514"/>
    </row>
    <row r="10463" spans="11:14" x14ac:dyDescent="0.25">
      <c r="K10463" s="312"/>
      <c r="N10463" s="514"/>
    </row>
    <row r="10464" spans="11:14" x14ac:dyDescent="0.25">
      <c r="K10464" s="312"/>
      <c r="N10464" s="514"/>
    </row>
    <row r="10465" spans="11:14" x14ac:dyDescent="0.25">
      <c r="K10465" s="312"/>
      <c r="N10465" s="514"/>
    </row>
    <row r="10466" spans="11:14" x14ac:dyDescent="0.25">
      <c r="K10466" s="312"/>
      <c r="N10466" s="514"/>
    </row>
    <row r="10467" spans="11:14" x14ac:dyDescent="0.25">
      <c r="K10467" s="312"/>
      <c r="N10467" s="514"/>
    </row>
    <row r="10468" spans="11:14" x14ac:dyDescent="0.25">
      <c r="K10468" s="312"/>
      <c r="N10468" s="514"/>
    </row>
    <row r="10469" spans="11:14" x14ac:dyDescent="0.25">
      <c r="K10469" s="312"/>
      <c r="N10469" s="514"/>
    </row>
    <row r="10470" spans="11:14" x14ac:dyDescent="0.25">
      <c r="K10470" s="312"/>
      <c r="N10470" s="514"/>
    </row>
    <row r="10471" spans="11:14" x14ac:dyDescent="0.25">
      <c r="K10471" s="312"/>
      <c r="N10471" s="514"/>
    </row>
    <row r="10472" spans="11:14" x14ac:dyDescent="0.25">
      <c r="K10472" s="312"/>
      <c r="N10472" s="514"/>
    </row>
    <row r="10473" spans="11:14" x14ac:dyDescent="0.25">
      <c r="K10473" s="312"/>
      <c r="N10473" s="514"/>
    </row>
    <row r="10474" spans="11:14" x14ac:dyDescent="0.25">
      <c r="K10474" s="312"/>
      <c r="N10474" s="514"/>
    </row>
    <row r="10475" spans="11:14" x14ac:dyDescent="0.25">
      <c r="K10475" s="312"/>
      <c r="N10475" s="514"/>
    </row>
    <row r="10476" spans="11:14" x14ac:dyDescent="0.25">
      <c r="K10476" s="312"/>
      <c r="N10476" s="514"/>
    </row>
    <row r="10477" spans="11:14" x14ac:dyDescent="0.25">
      <c r="K10477" s="312"/>
      <c r="N10477" s="514"/>
    </row>
    <row r="10478" spans="11:14" x14ac:dyDescent="0.25">
      <c r="K10478" s="312"/>
      <c r="N10478" s="514"/>
    </row>
    <row r="10479" spans="11:14" x14ac:dyDescent="0.25">
      <c r="K10479" s="312"/>
      <c r="N10479" s="514"/>
    </row>
    <row r="10480" spans="11:14" x14ac:dyDescent="0.25">
      <c r="K10480" s="312"/>
      <c r="N10480" s="514"/>
    </row>
    <row r="10481" spans="11:14" x14ac:dyDescent="0.25">
      <c r="K10481" s="312"/>
      <c r="N10481" s="514"/>
    </row>
    <row r="10482" spans="11:14" x14ac:dyDescent="0.25">
      <c r="K10482" s="312"/>
      <c r="N10482" s="514"/>
    </row>
    <row r="10483" spans="11:14" x14ac:dyDescent="0.25">
      <c r="K10483" s="312"/>
      <c r="N10483" s="514"/>
    </row>
    <row r="10484" spans="11:14" x14ac:dyDescent="0.25">
      <c r="K10484" s="312"/>
      <c r="N10484" s="514"/>
    </row>
    <row r="10485" spans="11:14" x14ac:dyDescent="0.25">
      <c r="K10485" s="312"/>
      <c r="N10485" s="514"/>
    </row>
    <row r="10486" spans="11:14" x14ac:dyDescent="0.25">
      <c r="K10486" s="312"/>
      <c r="N10486" s="514"/>
    </row>
    <row r="10487" spans="11:14" x14ac:dyDescent="0.25">
      <c r="K10487" s="312"/>
      <c r="N10487" s="514"/>
    </row>
    <row r="10488" spans="11:14" x14ac:dyDescent="0.25">
      <c r="K10488" s="312"/>
      <c r="N10488" s="514"/>
    </row>
    <row r="10489" spans="11:14" x14ac:dyDescent="0.25">
      <c r="K10489" s="312"/>
      <c r="N10489" s="514"/>
    </row>
    <row r="10490" spans="11:14" x14ac:dyDescent="0.25">
      <c r="K10490" s="312"/>
      <c r="N10490" s="514"/>
    </row>
    <row r="10491" spans="11:14" x14ac:dyDescent="0.25">
      <c r="K10491" s="312"/>
      <c r="N10491" s="514"/>
    </row>
    <row r="10492" spans="11:14" x14ac:dyDescent="0.25">
      <c r="K10492" s="312"/>
      <c r="N10492" s="514"/>
    </row>
    <row r="10493" spans="11:14" x14ac:dyDescent="0.25">
      <c r="K10493" s="312"/>
      <c r="N10493" s="514"/>
    </row>
    <row r="10494" spans="11:14" x14ac:dyDescent="0.25">
      <c r="K10494" s="312"/>
      <c r="N10494" s="514"/>
    </row>
    <row r="10495" spans="11:14" x14ac:dyDescent="0.25">
      <c r="K10495" s="312"/>
      <c r="N10495" s="514"/>
    </row>
    <row r="10496" spans="11:14" x14ac:dyDescent="0.25">
      <c r="K10496" s="312"/>
      <c r="N10496" s="514"/>
    </row>
    <row r="10497" spans="11:14" x14ac:dyDescent="0.25">
      <c r="K10497" s="312"/>
      <c r="N10497" s="514"/>
    </row>
    <row r="10498" spans="11:14" x14ac:dyDescent="0.25">
      <c r="K10498" s="312"/>
      <c r="N10498" s="514"/>
    </row>
    <row r="10499" spans="11:14" x14ac:dyDescent="0.25">
      <c r="K10499" s="312"/>
      <c r="N10499" s="514"/>
    </row>
    <row r="10500" spans="11:14" x14ac:dyDescent="0.25">
      <c r="K10500" s="312"/>
      <c r="N10500" s="514"/>
    </row>
    <row r="10501" spans="11:14" x14ac:dyDescent="0.25">
      <c r="K10501" s="312"/>
      <c r="N10501" s="514"/>
    </row>
    <row r="10502" spans="11:14" x14ac:dyDescent="0.25">
      <c r="K10502" s="312"/>
      <c r="N10502" s="514"/>
    </row>
    <row r="10503" spans="11:14" x14ac:dyDescent="0.25">
      <c r="K10503" s="312"/>
      <c r="N10503" s="514"/>
    </row>
    <row r="10504" spans="11:14" x14ac:dyDescent="0.25">
      <c r="K10504" s="312"/>
      <c r="N10504" s="514"/>
    </row>
    <row r="10505" spans="11:14" x14ac:dyDescent="0.25">
      <c r="K10505" s="312"/>
      <c r="N10505" s="514"/>
    </row>
    <row r="10506" spans="11:14" x14ac:dyDescent="0.25">
      <c r="K10506" s="312"/>
      <c r="N10506" s="514"/>
    </row>
    <row r="10507" spans="11:14" x14ac:dyDescent="0.25">
      <c r="K10507" s="312"/>
      <c r="N10507" s="514"/>
    </row>
    <row r="10508" spans="11:14" x14ac:dyDescent="0.25">
      <c r="K10508" s="312"/>
      <c r="N10508" s="514"/>
    </row>
    <row r="10509" spans="11:14" x14ac:dyDescent="0.25">
      <c r="K10509" s="312"/>
      <c r="N10509" s="514"/>
    </row>
    <row r="10510" spans="11:14" x14ac:dyDescent="0.25">
      <c r="K10510" s="312"/>
      <c r="N10510" s="514"/>
    </row>
    <row r="10511" spans="11:14" x14ac:dyDescent="0.25">
      <c r="K10511" s="312"/>
      <c r="N10511" s="514"/>
    </row>
    <row r="10512" spans="11:14" x14ac:dyDescent="0.25">
      <c r="K10512" s="312"/>
      <c r="N10512" s="514"/>
    </row>
    <row r="10513" spans="11:14" x14ac:dyDescent="0.25">
      <c r="K10513" s="312"/>
      <c r="N10513" s="514"/>
    </row>
    <row r="10514" spans="11:14" x14ac:dyDescent="0.25">
      <c r="K10514" s="312"/>
      <c r="N10514" s="514"/>
    </row>
    <row r="10515" spans="11:14" x14ac:dyDescent="0.25">
      <c r="K10515" s="312"/>
      <c r="N10515" s="514"/>
    </row>
    <row r="10516" spans="11:14" x14ac:dyDescent="0.25">
      <c r="K10516" s="312"/>
      <c r="N10516" s="514"/>
    </row>
    <row r="10517" spans="11:14" x14ac:dyDescent="0.25">
      <c r="K10517" s="312"/>
      <c r="N10517" s="514"/>
    </row>
    <row r="10518" spans="11:14" x14ac:dyDescent="0.25">
      <c r="K10518" s="312"/>
      <c r="N10518" s="514"/>
    </row>
    <row r="10519" spans="11:14" x14ac:dyDescent="0.25">
      <c r="K10519" s="312"/>
      <c r="N10519" s="514"/>
    </row>
    <row r="10520" spans="11:14" x14ac:dyDescent="0.25">
      <c r="K10520" s="312"/>
      <c r="N10520" s="514"/>
    </row>
    <row r="10521" spans="11:14" x14ac:dyDescent="0.25">
      <c r="K10521" s="312"/>
      <c r="N10521" s="514"/>
    </row>
    <row r="10522" spans="11:14" x14ac:dyDescent="0.25">
      <c r="K10522" s="312"/>
      <c r="N10522" s="514"/>
    </row>
    <row r="10523" spans="11:14" x14ac:dyDescent="0.25">
      <c r="K10523" s="312"/>
      <c r="N10523" s="514"/>
    </row>
    <row r="10524" spans="11:14" x14ac:dyDescent="0.25">
      <c r="K10524" s="312"/>
      <c r="N10524" s="514"/>
    </row>
    <row r="10525" spans="11:14" x14ac:dyDescent="0.25">
      <c r="K10525" s="312"/>
      <c r="N10525" s="514"/>
    </row>
    <row r="10526" spans="11:14" x14ac:dyDescent="0.25">
      <c r="K10526" s="312"/>
      <c r="N10526" s="514"/>
    </row>
    <row r="10527" spans="11:14" x14ac:dyDescent="0.25">
      <c r="K10527" s="312"/>
      <c r="N10527" s="514"/>
    </row>
    <row r="10528" spans="11:14" x14ac:dyDescent="0.25">
      <c r="K10528" s="312"/>
      <c r="N10528" s="514"/>
    </row>
    <row r="10529" spans="11:14" x14ac:dyDescent="0.25">
      <c r="K10529" s="312"/>
      <c r="N10529" s="514"/>
    </row>
    <row r="10530" spans="11:14" x14ac:dyDescent="0.25">
      <c r="K10530" s="312"/>
      <c r="N10530" s="514"/>
    </row>
    <row r="10531" spans="11:14" x14ac:dyDescent="0.25">
      <c r="K10531" s="312"/>
      <c r="N10531" s="514"/>
    </row>
    <row r="10532" spans="11:14" x14ac:dyDescent="0.25">
      <c r="K10532" s="312"/>
      <c r="N10532" s="514"/>
    </row>
    <row r="10533" spans="11:14" x14ac:dyDescent="0.25">
      <c r="K10533" s="312"/>
      <c r="N10533" s="514"/>
    </row>
    <row r="10534" spans="11:14" x14ac:dyDescent="0.25">
      <c r="K10534" s="312"/>
      <c r="N10534" s="514"/>
    </row>
    <row r="10535" spans="11:14" x14ac:dyDescent="0.25">
      <c r="K10535" s="312"/>
      <c r="N10535" s="514"/>
    </row>
    <row r="10536" spans="11:14" x14ac:dyDescent="0.25">
      <c r="K10536" s="312"/>
      <c r="N10536" s="514"/>
    </row>
    <row r="10537" spans="11:14" x14ac:dyDescent="0.25">
      <c r="K10537" s="312"/>
      <c r="N10537" s="514"/>
    </row>
    <row r="10538" spans="11:14" x14ac:dyDescent="0.25">
      <c r="K10538" s="312"/>
      <c r="N10538" s="514"/>
    </row>
    <row r="10539" spans="11:14" x14ac:dyDescent="0.25">
      <c r="K10539" s="312"/>
      <c r="N10539" s="514"/>
    </row>
    <row r="10540" spans="11:14" x14ac:dyDescent="0.25">
      <c r="K10540" s="312"/>
      <c r="N10540" s="514"/>
    </row>
    <row r="10541" spans="11:14" x14ac:dyDescent="0.25">
      <c r="K10541" s="312"/>
      <c r="N10541" s="514"/>
    </row>
    <row r="10542" spans="11:14" x14ac:dyDescent="0.25">
      <c r="K10542" s="312"/>
      <c r="N10542" s="514"/>
    </row>
    <row r="10543" spans="11:14" x14ac:dyDescent="0.25">
      <c r="K10543" s="312"/>
      <c r="N10543" s="514"/>
    </row>
    <row r="10544" spans="11:14" x14ac:dyDescent="0.25">
      <c r="K10544" s="312"/>
      <c r="N10544" s="514"/>
    </row>
    <row r="10545" spans="11:14" x14ac:dyDescent="0.25">
      <c r="K10545" s="312"/>
      <c r="N10545" s="514"/>
    </row>
    <row r="10546" spans="11:14" x14ac:dyDescent="0.25">
      <c r="K10546" s="312"/>
      <c r="N10546" s="514"/>
    </row>
    <row r="10547" spans="11:14" x14ac:dyDescent="0.25">
      <c r="K10547" s="312"/>
      <c r="N10547" s="514"/>
    </row>
    <row r="10548" spans="11:14" x14ac:dyDescent="0.25">
      <c r="K10548" s="312"/>
      <c r="N10548" s="514"/>
    </row>
    <row r="10549" spans="11:14" x14ac:dyDescent="0.25">
      <c r="K10549" s="312"/>
      <c r="N10549" s="514"/>
    </row>
  </sheetData>
  <autoFilter ref="A4:IG436">
    <filterColumn colId="1">
      <customFilters and="1">
        <customFilter operator="notEqual" val=" "/>
      </customFilters>
    </filterColumn>
  </autoFilter>
  <mergeCells count="3">
    <mergeCell ref="B2:E2"/>
    <mergeCell ref="Q2:S2"/>
    <mergeCell ref="B1:E1"/>
  </mergeCells>
  <phoneticPr fontId="19" type="noConversion"/>
  <pageMargins left="0.78740157480314965" right="0" top="0" bottom="0" header="0" footer="0"/>
  <pageSetup paperSize="9" scale="50" orientation="portrait" r:id="rId1"/>
  <headerFooter alignWithMargins="0"/>
  <rowBreaks count="5" manualBreakCount="5">
    <brk id="105" max="16383" man="1"/>
    <brk id="217" max="16383" man="1"/>
    <brk id="434" max="16383" man="1"/>
    <brk id="441" max="16383" man="1"/>
    <brk id="502" max="16383" man="1"/>
  </rowBreaks>
  <colBreaks count="2" manualBreakCount="2">
    <brk id="24" max="1048575" man="1"/>
    <brk id="25" max="10485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125133313244522236" filterMode="1"/>
  <dimension ref="A1:IG10549"/>
  <sheetViews>
    <sheetView showZeros="0" view="pageBreakPreview" topLeftCell="A118" zoomScale="75" zoomScaleNormal="75" zoomScaleSheetLayoutView="75" workbookViewId="0">
      <selection activeCell="B114" sqref="B114:M114"/>
    </sheetView>
  </sheetViews>
  <sheetFormatPr defaultColWidth="16.7109375" defaultRowHeight="18" x14ac:dyDescent="0.25"/>
  <cols>
    <col min="1" max="1" width="0.140625" style="10" customWidth="1"/>
    <col min="2" max="2" width="7.42578125" style="25" customWidth="1"/>
    <col min="3" max="3" width="8.28515625" style="10" customWidth="1"/>
    <col min="4" max="4" width="6.85546875" style="76" customWidth="1"/>
    <col min="5" max="5" width="28" style="46" customWidth="1"/>
    <col min="6" max="6" width="8.7109375" style="523" customWidth="1"/>
    <col min="7" max="7" width="5.85546875" style="50" customWidth="1"/>
    <col min="8" max="8" width="14.5703125" style="46" customWidth="1"/>
    <col min="9" max="9" width="15.28515625" style="315" customWidth="1"/>
    <col min="10" max="10" width="11.140625" style="46" customWidth="1"/>
    <col min="11" max="11" width="13.140625" style="312" customWidth="1"/>
    <col min="12" max="12" width="14.5703125" style="226" hidden="1" customWidth="1"/>
    <col min="13" max="13" width="33" style="221" customWidth="1"/>
    <col min="14" max="14" width="13" style="278" customWidth="1"/>
    <col min="15" max="15" width="12" style="46" customWidth="1"/>
    <col min="16" max="16" width="18.85546875" style="312" customWidth="1"/>
    <col min="17" max="17" width="24.7109375" style="37" customWidth="1"/>
    <col min="18" max="18" width="8.28515625" style="301" customWidth="1"/>
    <col min="19" max="19" width="11.140625" style="319" customWidth="1"/>
    <col min="20" max="20" width="19" style="349" customWidth="1"/>
    <col min="21" max="21" width="16.28515625" style="10" customWidth="1"/>
    <col min="22" max="22" width="16.7109375" style="10" customWidth="1"/>
    <col min="23" max="23" width="16.85546875" style="10" customWidth="1"/>
    <col min="24" max="24" width="16.28515625" style="10" customWidth="1"/>
    <col min="25" max="25" width="29.7109375" style="537" customWidth="1"/>
    <col min="26" max="27" width="14.85546875" style="10" customWidth="1"/>
    <col min="28" max="28" width="14.85546875" style="21" customWidth="1"/>
    <col min="29" max="29" width="11.85546875" style="445" customWidth="1"/>
    <col min="30" max="30" width="16.140625" style="446" customWidth="1"/>
    <col min="31" max="31" width="16.5703125" style="161" customWidth="1"/>
    <col min="32" max="32" width="12.5703125" style="170" customWidth="1"/>
    <col min="33" max="33" width="8.140625" style="172" customWidth="1"/>
    <col min="34" max="34" width="10.42578125" style="118" customWidth="1"/>
    <col min="35" max="35" width="15.5703125" style="121" customWidth="1"/>
    <col min="36" max="36" width="16.7109375" style="182" customWidth="1"/>
    <col min="37" max="37" width="16.7109375" style="121" customWidth="1"/>
    <col min="38" max="38" width="16.7109375" style="829" customWidth="1"/>
    <col min="39" max="39" width="20.5703125" style="829" customWidth="1"/>
    <col min="40" max="40" width="16.7109375" style="10" customWidth="1"/>
    <col min="41" max="41" width="19.7109375" style="10" customWidth="1"/>
    <col min="42" max="16384" width="16.7109375" style="10"/>
  </cols>
  <sheetData>
    <row r="1" spans="2:39" ht="0.75" customHeight="1" x14ac:dyDescent="0.25">
      <c r="B1" s="894"/>
      <c r="C1" s="894"/>
      <c r="D1" s="894"/>
      <c r="E1" s="895"/>
      <c r="H1" s="83"/>
      <c r="I1" s="294"/>
      <c r="J1" s="83"/>
      <c r="K1" s="294"/>
      <c r="S1" s="316"/>
      <c r="V1" s="20">
        <f>N1</f>
        <v>0</v>
      </c>
    </row>
    <row r="2" spans="2:39" s="2" customFormat="1" ht="42.75" customHeight="1" thickBot="1" x14ac:dyDescent="0.45">
      <c r="B2" s="891" t="s">
        <v>37</v>
      </c>
      <c r="C2" s="892"/>
      <c r="D2" s="892"/>
      <c r="E2" s="893"/>
      <c r="F2" s="524"/>
      <c r="G2" s="50"/>
      <c r="H2" s="38"/>
      <c r="I2" s="38" t="s">
        <v>191</v>
      </c>
      <c r="J2" s="38" t="s">
        <v>602</v>
      </c>
      <c r="K2" s="38" t="s">
        <v>264</v>
      </c>
      <c r="L2" s="246"/>
      <c r="M2" s="222"/>
      <c r="N2" s="376"/>
      <c r="O2" s="38"/>
      <c r="P2" s="308" t="s">
        <v>191</v>
      </c>
      <c r="Q2" s="898" t="s">
        <v>27</v>
      </c>
      <c r="R2" s="899"/>
      <c r="S2" s="900"/>
      <c r="T2" s="350"/>
      <c r="U2" s="207" t="s">
        <v>406</v>
      </c>
      <c r="V2" s="36"/>
      <c r="W2" s="36"/>
      <c r="X2" s="207" t="s">
        <v>406</v>
      </c>
      <c r="Y2" s="538"/>
      <c r="Z2" s="429" t="s">
        <v>800</v>
      </c>
      <c r="AA2" s="207"/>
      <c r="AB2" s="415"/>
      <c r="AC2" s="500" t="s">
        <v>647</v>
      </c>
      <c r="AD2" s="448"/>
      <c r="AE2" s="162"/>
      <c r="AF2" s="171"/>
      <c r="AG2" s="173"/>
      <c r="AH2" s="17"/>
      <c r="AI2" s="122"/>
      <c r="AJ2" s="179"/>
      <c r="AK2" s="248"/>
      <c r="AL2" s="830"/>
      <c r="AM2" s="831"/>
    </row>
    <row r="3" spans="2:39" s="2" customFormat="1" ht="54.75" customHeight="1" thickBot="1" x14ac:dyDescent="0.45">
      <c r="B3" s="242"/>
      <c r="C3" s="243"/>
      <c r="D3" s="243"/>
      <c r="E3" s="245"/>
      <c r="F3" s="524"/>
      <c r="G3" s="50"/>
      <c r="H3" s="38"/>
      <c r="I3" s="308"/>
      <c r="J3" s="508" t="s">
        <v>4</v>
      </c>
      <c r="K3" s="308"/>
      <c r="L3" s="246"/>
      <c r="M3" s="222"/>
      <c r="N3" s="376"/>
      <c r="O3" s="38"/>
      <c r="P3" s="308"/>
      <c r="Q3" s="244"/>
      <c r="R3" s="302"/>
      <c r="S3" s="317"/>
      <c r="T3" s="350"/>
      <c r="U3" s="207"/>
      <c r="V3" s="247"/>
      <c r="W3" s="36"/>
      <c r="X3" s="207"/>
      <c r="Y3" s="538"/>
      <c r="Z3" s="207"/>
      <c r="AA3" s="207"/>
      <c r="AB3" s="415"/>
      <c r="AC3" s="447"/>
      <c r="AD3" s="448"/>
      <c r="AE3" s="162"/>
      <c r="AF3" s="171"/>
      <c r="AG3" s="173"/>
      <c r="AH3" s="17"/>
      <c r="AI3" s="122"/>
      <c r="AJ3" s="179"/>
      <c r="AK3" s="122"/>
      <c r="AL3" s="834"/>
      <c r="AM3" s="831"/>
    </row>
    <row r="4" spans="2:39" s="53" customFormat="1" ht="59.25" customHeight="1" thickBot="1" x14ac:dyDescent="0.5">
      <c r="B4" s="65" t="s">
        <v>6</v>
      </c>
      <c r="C4" s="57" t="s">
        <v>17</v>
      </c>
      <c r="D4" s="77" t="s">
        <v>223</v>
      </c>
      <c r="E4" s="236" t="s">
        <v>16</v>
      </c>
      <c r="F4" s="525" t="s">
        <v>41</v>
      </c>
      <c r="G4" s="58" t="s">
        <v>7</v>
      </c>
      <c r="H4" s="66" t="s">
        <v>8</v>
      </c>
      <c r="I4" s="313" t="s">
        <v>103</v>
      </c>
      <c r="J4" s="498"/>
      <c r="K4" s="356" t="s">
        <v>12</v>
      </c>
      <c r="L4" s="818" t="s">
        <v>69</v>
      </c>
      <c r="M4" s="223" t="s">
        <v>14</v>
      </c>
      <c r="N4" s="138" t="s">
        <v>11</v>
      </c>
      <c r="O4" s="67" t="s">
        <v>8</v>
      </c>
      <c r="P4" s="496" t="s">
        <v>103</v>
      </c>
      <c r="Q4" s="361" t="s">
        <v>16</v>
      </c>
      <c r="R4" s="303" t="s">
        <v>10</v>
      </c>
      <c r="S4" s="318" t="s">
        <v>84</v>
      </c>
      <c r="T4" s="351" t="s">
        <v>85</v>
      </c>
      <c r="U4" s="7" t="s">
        <v>809</v>
      </c>
      <c r="V4" s="20" t="str">
        <f>N4</f>
        <v>Реализовано товара       К-во</v>
      </c>
      <c r="W4" s="7" t="s">
        <v>159</v>
      </c>
      <c r="X4" s="7" t="s">
        <v>809</v>
      </c>
      <c r="Y4" s="539"/>
      <c r="Z4" s="7" t="s">
        <v>597</v>
      </c>
      <c r="AA4" s="7" t="s">
        <v>594</v>
      </c>
      <c r="AB4" s="416"/>
      <c r="AC4" s="167" t="s">
        <v>430</v>
      </c>
      <c r="AD4" s="449" t="s">
        <v>336</v>
      </c>
      <c r="AE4" s="167" t="s">
        <v>394</v>
      </c>
      <c r="AF4" s="159" t="s">
        <v>425</v>
      </c>
      <c r="AG4" s="174" t="s">
        <v>325</v>
      </c>
      <c r="AH4" s="119" t="s">
        <v>326</v>
      </c>
      <c r="AI4" s="123" t="s">
        <v>327</v>
      </c>
      <c r="AJ4" s="183" t="s">
        <v>407</v>
      </c>
      <c r="AK4" s="432" t="s">
        <v>340</v>
      </c>
      <c r="AL4" s="844" t="s">
        <v>880</v>
      </c>
      <c r="AM4" s="844" t="s">
        <v>879</v>
      </c>
    </row>
    <row r="5" spans="2:39" s="3" customFormat="1" ht="27.75" customHeight="1" x14ac:dyDescent="0.3">
      <c r="B5" s="412">
        <v>1</v>
      </c>
      <c r="C5" s="54"/>
      <c r="D5" s="78"/>
      <c r="E5" s="56"/>
      <c r="F5" s="524"/>
      <c r="G5" s="55"/>
      <c r="H5" s="56" t="s">
        <v>850</v>
      </c>
      <c r="I5" s="56" t="s">
        <v>850</v>
      </c>
      <c r="K5" s="357"/>
      <c r="L5" s="817"/>
      <c r="M5" s="224"/>
      <c r="N5" s="885"/>
      <c r="O5" s="502" t="s">
        <v>870</v>
      </c>
      <c r="P5" s="502" t="s">
        <v>870</v>
      </c>
      <c r="Q5" s="362"/>
      <c r="R5" s="304"/>
      <c r="S5" s="319"/>
      <c r="T5" s="352"/>
      <c r="U5" s="35" t="s">
        <v>862</v>
      </c>
      <c r="V5" s="20" t="str">
        <f>K2</f>
        <v>ДЕКАБРЬ</v>
      </c>
      <c r="W5" s="75" t="str">
        <f>V5</f>
        <v>ДЕКАБРЬ</v>
      </c>
      <c r="X5" s="35" t="s">
        <v>882</v>
      </c>
      <c r="Y5" s="35"/>
      <c r="Z5" s="35"/>
      <c r="AA5" s="35" t="s">
        <v>595</v>
      </c>
      <c r="AB5" s="75"/>
      <c r="AC5" s="168"/>
      <c r="AD5" s="450"/>
      <c r="AE5" s="162"/>
      <c r="AF5" s="171"/>
      <c r="AG5" s="173" t="s">
        <v>328</v>
      </c>
      <c r="AH5" s="17"/>
      <c r="AI5" s="124"/>
      <c r="AJ5" s="184"/>
      <c r="AK5" s="433"/>
      <c r="AL5" s="838"/>
    </row>
    <row r="6" spans="2:39" s="5" customFormat="1" ht="26.25" hidden="1" customHeight="1" x14ac:dyDescent="0.25">
      <c r="B6" s="11"/>
      <c r="C6" s="6" t="s">
        <v>18</v>
      </c>
      <c r="D6" s="23" t="s">
        <v>9</v>
      </c>
      <c r="E6" s="822" t="s">
        <v>752</v>
      </c>
      <c r="F6" s="208">
        <v>1475</v>
      </c>
      <c r="G6" s="48" t="s">
        <v>0</v>
      </c>
      <c r="H6" s="39">
        <v>0</v>
      </c>
      <c r="I6" s="309">
        <v>0</v>
      </c>
      <c r="J6" s="39">
        <f t="shared" ref="J6:J69" si="0">N6+O6-H6</f>
        <v>0</v>
      </c>
      <c r="K6" s="309">
        <f>R6</f>
        <v>0.06</v>
      </c>
      <c r="L6" s="230">
        <f>K6*J6</f>
        <v>0</v>
      </c>
      <c r="M6" s="60"/>
      <c r="N6" s="279"/>
      <c r="O6" s="39">
        <v>0</v>
      </c>
      <c r="P6" s="490">
        <f>K6*O6</f>
        <v>0</v>
      </c>
      <c r="Q6" s="258" t="str">
        <f t="shared" ref="Q6:Q52" si="1">E6</f>
        <v>СД523007</v>
      </c>
      <c r="R6" s="305">
        <f>647*0.0001</f>
        <v>0.06</v>
      </c>
      <c r="S6" s="320">
        <f>16.25*0.033</f>
        <v>0.54</v>
      </c>
      <c r="T6" s="353">
        <f t="shared" ref="T6:T37" si="2">S6*J6</f>
        <v>0</v>
      </c>
      <c r="U6" s="70"/>
      <c r="V6" s="20">
        <f t="shared" ref="V6:V37" si="3">N6</f>
        <v>0</v>
      </c>
      <c r="W6" s="52">
        <f t="shared" ref="W6:W45" si="4">X6-U6+V6</f>
        <v>0</v>
      </c>
      <c r="X6" s="148"/>
      <c r="Y6" s="20"/>
      <c r="Z6" s="20"/>
      <c r="AA6" s="20"/>
      <c r="AB6" s="417"/>
      <c r="AC6" s="200"/>
      <c r="AD6" s="160"/>
      <c r="AE6" s="163"/>
      <c r="AF6" s="171"/>
      <c r="AG6" s="173">
        <v>0.42</v>
      </c>
      <c r="AH6" s="14">
        <f>0.001*AG6*N6</f>
        <v>0</v>
      </c>
      <c r="AI6" s="14"/>
      <c r="AJ6" s="178"/>
      <c r="AK6" s="434"/>
      <c r="AL6" s="835"/>
    </row>
    <row r="7" spans="2:39" s="5" customFormat="1" ht="26.25" customHeight="1" x14ac:dyDescent="0.25">
      <c r="B7" s="11">
        <v>1</v>
      </c>
      <c r="C7" s="6" t="s">
        <v>18</v>
      </c>
      <c r="D7" s="23" t="s">
        <v>9</v>
      </c>
      <c r="E7" s="269" t="s">
        <v>268</v>
      </c>
      <c r="F7" s="208">
        <v>411</v>
      </c>
      <c r="G7" s="12" t="s">
        <v>0</v>
      </c>
      <c r="H7" s="39">
        <v>228</v>
      </c>
      <c r="I7" s="360">
        <v>184.68</v>
      </c>
      <c r="J7" s="39">
        <f t="shared" si="0"/>
        <v>906</v>
      </c>
      <c r="K7" s="309">
        <f>R7*0.8</f>
        <v>0.81</v>
      </c>
      <c r="L7" s="230">
        <f>K7*J7</f>
        <v>734</v>
      </c>
      <c r="M7" s="194"/>
      <c r="N7" s="553">
        <v>486</v>
      </c>
      <c r="O7" s="503">
        <f>4*162</f>
        <v>648</v>
      </c>
      <c r="P7" s="309">
        <f>K7*O7</f>
        <v>524.88</v>
      </c>
      <c r="Q7" s="235" t="str">
        <f t="shared" si="1"/>
        <v>ЭПГ110.151-01</v>
      </c>
      <c r="R7" s="377">
        <f t="shared" ref="R7:R38" si="5">S7*1.2</f>
        <v>1.01</v>
      </c>
      <c r="S7" s="321">
        <v>0.84</v>
      </c>
      <c r="T7" s="353">
        <f t="shared" si="2"/>
        <v>761.04</v>
      </c>
      <c r="U7" s="18">
        <v>228</v>
      </c>
      <c r="V7" s="20">
        <f t="shared" si="3"/>
        <v>486</v>
      </c>
      <c r="W7" s="52">
        <f t="shared" si="4"/>
        <v>1878</v>
      </c>
      <c r="X7" s="18">
        <f>162*10</f>
        <v>1620</v>
      </c>
      <c r="Y7" s="18"/>
      <c r="Z7" s="18">
        <v>600</v>
      </c>
      <c r="AA7" s="18">
        <v>4590</v>
      </c>
      <c r="AB7" s="418"/>
      <c r="AC7" s="18"/>
      <c r="AD7" s="160"/>
      <c r="AE7" s="164"/>
      <c r="AF7" s="160"/>
      <c r="AG7" s="173"/>
      <c r="AH7" s="14"/>
      <c r="AI7" s="14"/>
      <c r="AJ7" s="178"/>
      <c r="AK7" s="434"/>
      <c r="AL7" s="830"/>
      <c r="AM7" s="830"/>
    </row>
    <row r="8" spans="2:39" s="5" customFormat="1" ht="26.25" customHeight="1" x14ac:dyDescent="0.25">
      <c r="B8" s="11">
        <v>2</v>
      </c>
      <c r="C8" s="6" t="s">
        <v>18</v>
      </c>
      <c r="D8" s="23" t="s">
        <v>9</v>
      </c>
      <c r="E8" s="269" t="s">
        <v>705</v>
      </c>
      <c r="F8" s="208">
        <v>1451</v>
      </c>
      <c r="G8" s="12" t="s">
        <v>0</v>
      </c>
      <c r="H8" s="39">
        <v>1026</v>
      </c>
      <c r="I8" s="360">
        <v>800.28</v>
      </c>
      <c r="J8" s="39">
        <f t="shared" si="0"/>
        <v>0</v>
      </c>
      <c r="K8" s="309">
        <f>R8*0.8</f>
        <v>0.78</v>
      </c>
      <c r="L8" s="230"/>
      <c r="M8" s="194"/>
      <c r="N8" s="553"/>
      <c r="O8" s="503">
        <v>1026</v>
      </c>
      <c r="P8" s="309">
        <f>K8*O8</f>
        <v>800.28</v>
      </c>
      <c r="Q8" s="235" t="str">
        <f t="shared" si="1"/>
        <v>МЭ250-3730-102</v>
      </c>
      <c r="R8" s="377">
        <f t="shared" si="5"/>
        <v>0.98</v>
      </c>
      <c r="S8" s="321">
        <f>0.82</f>
        <v>0.82</v>
      </c>
      <c r="T8" s="353">
        <f t="shared" si="2"/>
        <v>0</v>
      </c>
      <c r="U8" s="20">
        <v>1026</v>
      </c>
      <c r="V8" s="20">
        <f t="shared" si="3"/>
        <v>0</v>
      </c>
      <c r="W8" s="52">
        <f t="shared" si="4"/>
        <v>342</v>
      </c>
      <c r="X8" s="20">
        <f>12*114</f>
        <v>1368</v>
      </c>
      <c r="Y8" s="20"/>
      <c r="Z8" s="20"/>
      <c r="AA8" s="20"/>
      <c r="AB8" s="417"/>
      <c r="AC8" s="18"/>
      <c r="AD8" s="160"/>
      <c r="AE8" s="164"/>
      <c r="AF8" s="160"/>
      <c r="AG8" s="173"/>
      <c r="AH8" s="14"/>
      <c r="AI8" s="14"/>
      <c r="AJ8" s="178"/>
      <c r="AK8" s="434"/>
    </row>
    <row r="9" spans="2:39" ht="26.25" customHeight="1" x14ac:dyDescent="0.25">
      <c r="B9" s="15">
        <v>3</v>
      </c>
      <c r="C9" s="6" t="s">
        <v>18</v>
      </c>
      <c r="D9" s="23" t="s">
        <v>9</v>
      </c>
      <c r="E9" s="237" t="s">
        <v>91</v>
      </c>
      <c r="F9" s="383">
        <v>555</v>
      </c>
      <c r="G9" s="12" t="s">
        <v>0</v>
      </c>
      <c r="H9" s="39">
        <v>2240</v>
      </c>
      <c r="I9" s="360">
        <v>2284.8000000000002</v>
      </c>
      <c r="J9" s="39">
        <f t="shared" si="0"/>
        <v>0</v>
      </c>
      <c r="K9" s="309">
        <f>R9*0.8</f>
        <v>1.02</v>
      </c>
      <c r="L9" s="230">
        <f t="shared" ref="L9:L16" si="6">K9*J9</f>
        <v>0</v>
      </c>
      <c r="M9" s="154"/>
      <c r="N9" s="553"/>
      <c r="O9" s="503">
        <v>2240</v>
      </c>
      <c r="P9" s="309">
        <f>K9*O9</f>
        <v>2284.8000000000002</v>
      </c>
      <c r="Q9" s="404" t="str">
        <f t="shared" si="1"/>
        <v>ЭПГ 110.157 П19х15х14,5</v>
      </c>
      <c r="R9" s="377">
        <f t="shared" si="5"/>
        <v>1.28</v>
      </c>
      <c r="S9" s="320">
        <v>1.07</v>
      </c>
      <c r="T9" s="353">
        <f t="shared" si="2"/>
        <v>0</v>
      </c>
      <c r="U9" s="20">
        <v>2240</v>
      </c>
      <c r="V9" s="20">
        <f t="shared" si="3"/>
        <v>0</v>
      </c>
      <c r="W9" s="52">
        <f t="shared" si="4"/>
        <v>0</v>
      </c>
      <c r="X9" s="20">
        <f>4*560</f>
        <v>2240</v>
      </c>
      <c r="Y9" s="20"/>
      <c r="Z9" s="20"/>
      <c r="AA9" s="20">
        <v>3400</v>
      </c>
      <c r="AB9" s="417"/>
      <c r="AC9" s="200"/>
      <c r="AD9" s="160"/>
      <c r="AE9" s="163"/>
      <c r="AF9" s="171"/>
      <c r="AG9" s="192"/>
      <c r="AH9" s="16"/>
      <c r="AI9" s="16"/>
      <c r="AJ9" s="185"/>
      <c r="AK9" s="435"/>
      <c r="AL9" s="836"/>
      <c r="AM9" s="10"/>
    </row>
    <row r="10" spans="2:39" ht="26.25" customHeight="1" thickBot="1" x14ac:dyDescent="0.3">
      <c r="B10" s="15">
        <v>4</v>
      </c>
      <c r="C10" s="6" t="s">
        <v>18</v>
      </c>
      <c r="D10" s="23" t="s">
        <v>9</v>
      </c>
      <c r="E10" s="237" t="s">
        <v>31</v>
      </c>
      <c r="F10" s="208" t="s">
        <v>45</v>
      </c>
      <c r="G10" s="12" t="s">
        <v>0</v>
      </c>
      <c r="H10" s="39"/>
      <c r="I10" s="360"/>
      <c r="J10" s="39">
        <f t="shared" si="0"/>
        <v>4320</v>
      </c>
      <c r="K10" s="309">
        <f>R10*0.8</f>
        <v>0.34</v>
      </c>
      <c r="L10" s="230">
        <f t="shared" si="6"/>
        <v>1469</v>
      </c>
      <c r="M10" s="85"/>
      <c r="N10" s="553">
        <v>2880</v>
      </c>
      <c r="O10" s="503">
        <v>1440</v>
      </c>
      <c r="P10" s="309">
        <f>K10*O10</f>
        <v>489.6</v>
      </c>
      <c r="Q10" s="260" t="str">
        <f t="shared" si="1"/>
        <v xml:space="preserve">АУИБ 757.159.001 </v>
      </c>
      <c r="R10" s="377">
        <f t="shared" si="5"/>
        <v>0.42</v>
      </c>
      <c r="S10" s="322">
        <v>0.35</v>
      </c>
      <c r="T10" s="353">
        <f t="shared" si="2"/>
        <v>1512</v>
      </c>
      <c r="U10" s="20"/>
      <c r="V10" s="20">
        <f t="shared" si="3"/>
        <v>2880</v>
      </c>
      <c r="W10" s="52">
        <f t="shared" si="4"/>
        <v>4320</v>
      </c>
      <c r="X10" s="20">
        <v>1440</v>
      </c>
      <c r="Y10" s="20"/>
      <c r="Z10" s="20"/>
      <c r="AA10" s="20">
        <f>2880+10572</f>
        <v>13452</v>
      </c>
      <c r="AB10" s="417"/>
      <c r="AC10" s="200"/>
      <c r="AD10" s="160"/>
      <c r="AE10" s="164"/>
      <c r="AF10" s="160"/>
      <c r="AG10" s="192"/>
      <c r="AH10" s="128"/>
      <c r="AI10" s="129"/>
      <c r="AK10" s="10"/>
      <c r="AL10" s="832">
        <v>360</v>
      </c>
      <c r="AM10" s="832">
        <f>P10-AL10</f>
        <v>129.6</v>
      </c>
    </row>
    <row r="11" spans="2:39" ht="26.25" hidden="1" customHeight="1" thickBot="1" x14ac:dyDescent="0.3">
      <c r="B11" s="15"/>
      <c r="C11" s="6" t="s">
        <v>18</v>
      </c>
      <c r="D11" s="23" t="s">
        <v>9</v>
      </c>
      <c r="E11" s="237" t="s">
        <v>500</v>
      </c>
      <c r="F11" s="208">
        <v>137</v>
      </c>
      <c r="G11" s="48" t="s">
        <v>0</v>
      </c>
      <c r="H11" s="39"/>
      <c r="I11" s="360">
        <v>0</v>
      </c>
      <c r="J11" s="39">
        <f t="shared" si="0"/>
        <v>0</v>
      </c>
      <c r="K11" s="309">
        <v>1.1499999999999999</v>
      </c>
      <c r="L11" s="230">
        <f t="shared" si="6"/>
        <v>0</v>
      </c>
      <c r="M11" s="89"/>
      <c r="N11" s="279"/>
      <c r="O11" s="39"/>
      <c r="P11" s="467">
        <f t="shared" ref="P11:P16" si="7">K11*O11</f>
        <v>0</v>
      </c>
      <c r="Q11" s="261" t="str">
        <f t="shared" si="1"/>
        <v>АУИБ 757.159.004</v>
      </c>
      <c r="R11" s="377">
        <f t="shared" si="5"/>
        <v>1.44</v>
      </c>
      <c r="S11" s="319">
        <f>12000*0.0001</f>
        <v>1.2</v>
      </c>
      <c r="T11" s="353">
        <f t="shared" si="2"/>
        <v>0</v>
      </c>
      <c r="U11" s="70">
        <v>1020</v>
      </c>
      <c r="V11" s="20">
        <f t="shared" si="3"/>
        <v>0</v>
      </c>
      <c r="W11" s="52">
        <f t="shared" si="4"/>
        <v>0</v>
      </c>
      <c r="X11" s="70">
        <f>10*102</f>
        <v>1020</v>
      </c>
      <c r="Y11" s="20"/>
      <c r="Z11" s="20"/>
      <c r="AA11" s="20">
        <v>12816</v>
      </c>
      <c r="AB11" s="417"/>
      <c r="AC11" s="200"/>
      <c r="AD11" s="160"/>
      <c r="AE11" s="165"/>
      <c r="AF11" s="160"/>
      <c r="AG11" s="192"/>
      <c r="AH11" s="59">
        <f>0.001*AG11*N11</f>
        <v>0</v>
      </c>
      <c r="AI11" s="129"/>
      <c r="AK11" s="10"/>
      <c r="AL11" s="10"/>
      <c r="AM11" s="10"/>
    </row>
    <row r="12" spans="2:39" ht="26.25" hidden="1" customHeight="1" x14ac:dyDescent="0.25">
      <c r="B12" s="11"/>
      <c r="C12" s="6" t="s">
        <v>18</v>
      </c>
      <c r="D12" s="23" t="s">
        <v>9</v>
      </c>
      <c r="E12" s="237" t="s">
        <v>13</v>
      </c>
      <c r="F12" s="208" t="s">
        <v>46</v>
      </c>
      <c r="G12" s="48" t="s">
        <v>0</v>
      </c>
      <c r="H12" s="39"/>
      <c r="I12" s="309">
        <v>0</v>
      </c>
      <c r="J12" s="39">
        <f t="shared" si="0"/>
        <v>0</v>
      </c>
      <c r="K12" s="309">
        <f>R12*0.8</f>
        <v>0.49</v>
      </c>
      <c r="L12" s="230">
        <f t="shared" si="6"/>
        <v>0</v>
      </c>
      <c r="M12" s="42"/>
      <c r="N12" s="279"/>
      <c r="O12" s="39"/>
      <c r="P12" s="309">
        <f t="shared" si="7"/>
        <v>0</v>
      </c>
      <c r="Q12" s="262" t="str">
        <f t="shared" si="1"/>
        <v>АУИБ 757.159.003</v>
      </c>
      <c r="R12" s="377">
        <f t="shared" si="5"/>
        <v>0.61</v>
      </c>
      <c r="S12" s="322">
        <f>5095*0.0001</f>
        <v>0.51</v>
      </c>
      <c r="T12" s="353">
        <f t="shared" si="2"/>
        <v>0</v>
      </c>
      <c r="U12" s="70">
        <v>1440</v>
      </c>
      <c r="V12" s="20">
        <f t="shared" si="3"/>
        <v>0</v>
      </c>
      <c r="W12" s="52">
        <f t="shared" si="4"/>
        <v>0</v>
      </c>
      <c r="X12" s="70">
        <f>12*120</f>
        <v>1440</v>
      </c>
      <c r="Y12" s="20"/>
      <c r="Z12" s="20"/>
      <c r="AA12" s="20"/>
      <c r="AB12" s="417"/>
      <c r="AC12" s="200"/>
      <c r="AD12" s="160"/>
      <c r="AE12" s="163"/>
      <c r="AF12" s="171"/>
      <c r="AG12" s="175">
        <v>0.13</v>
      </c>
      <c r="AH12" s="14">
        <f>0.001*AG12*N12</f>
        <v>0</v>
      </c>
      <c r="AI12" s="16"/>
      <c r="AJ12" s="185"/>
      <c r="AK12" s="435"/>
      <c r="AL12" s="476"/>
      <c r="AM12" s="10"/>
    </row>
    <row r="13" spans="2:39" ht="26.25" hidden="1" customHeight="1" x14ac:dyDescent="0.25">
      <c r="B13" s="14"/>
      <c r="C13" s="6" t="s">
        <v>18</v>
      </c>
      <c r="D13" s="23" t="s">
        <v>9</v>
      </c>
      <c r="E13" s="237" t="s">
        <v>753</v>
      </c>
      <c r="F13" s="208">
        <v>1466</v>
      </c>
      <c r="G13" s="48" t="s">
        <v>0</v>
      </c>
      <c r="H13" s="39"/>
      <c r="I13" s="309">
        <v>0</v>
      </c>
      <c r="J13" s="39">
        <f t="shared" si="0"/>
        <v>0</v>
      </c>
      <c r="K13" s="309">
        <f>R13*0.8</f>
        <v>19.2</v>
      </c>
      <c r="L13" s="230">
        <f t="shared" si="6"/>
        <v>0</v>
      </c>
      <c r="M13" s="63"/>
      <c r="N13" s="279"/>
      <c r="O13" s="39"/>
      <c r="P13" s="309">
        <f t="shared" si="7"/>
        <v>0</v>
      </c>
      <c r="Q13" s="235" t="str">
        <f t="shared" si="1"/>
        <v>АУИБ 757.159.008</v>
      </c>
      <c r="R13" s="377">
        <f t="shared" si="5"/>
        <v>24</v>
      </c>
      <c r="S13" s="320">
        <v>20</v>
      </c>
      <c r="T13" s="353">
        <f t="shared" si="2"/>
        <v>0</v>
      </c>
      <c r="U13" s="20"/>
      <c r="V13" s="20">
        <f t="shared" si="3"/>
        <v>0</v>
      </c>
      <c r="W13" s="52">
        <f t="shared" si="4"/>
        <v>0</v>
      </c>
      <c r="X13" s="20"/>
      <c r="Y13" s="20"/>
      <c r="Z13" s="20"/>
      <c r="AA13" s="20"/>
      <c r="AB13" s="417"/>
      <c r="AC13" s="200"/>
      <c r="AD13" s="160"/>
      <c r="AE13" s="164"/>
      <c r="AF13" s="160"/>
      <c r="AG13" s="192"/>
      <c r="AH13" s="16"/>
      <c r="AI13" s="16"/>
      <c r="AJ13" s="185"/>
      <c r="AK13" s="125"/>
      <c r="AL13" s="10"/>
      <c r="AM13" s="10"/>
    </row>
    <row r="14" spans="2:39" ht="26.25" hidden="1" customHeight="1" x14ac:dyDescent="0.25">
      <c r="B14" s="11"/>
      <c r="C14" s="6" t="s">
        <v>18</v>
      </c>
      <c r="D14" s="23" t="s">
        <v>9</v>
      </c>
      <c r="E14" s="238" t="s">
        <v>105</v>
      </c>
      <c r="F14" s="208">
        <v>592</v>
      </c>
      <c r="G14" s="48" t="s">
        <v>0</v>
      </c>
      <c r="H14" s="39"/>
      <c r="I14" s="309">
        <v>0</v>
      </c>
      <c r="J14" s="39">
        <f t="shared" si="0"/>
        <v>0</v>
      </c>
      <c r="K14" s="309">
        <f>R14*0.8</f>
        <v>0.27</v>
      </c>
      <c r="L14" s="230">
        <f t="shared" si="6"/>
        <v>0</v>
      </c>
      <c r="M14" s="89"/>
      <c r="N14" s="279"/>
      <c r="O14" s="39"/>
      <c r="P14" s="309">
        <f t="shared" si="7"/>
        <v>0</v>
      </c>
      <c r="Q14" s="235" t="str">
        <f t="shared" si="1"/>
        <v>43.3701-200211 (S)</v>
      </c>
      <c r="R14" s="377">
        <f t="shared" si="5"/>
        <v>0.34</v>
      </c>
      <c r="S14" s="319">
        <f>2800*0.0001</f>
        <v>0.28000000000000003</v>
      </c>
      <c r="T14" s="353">
        <f t="shared" si="2"/>
        <v>0</v>
      </c>
      <c r="U14" s="70">
        <v>3200</v>
      </c>
      <c r="V14" s="20">
        <f t="shared" si="3"/>
        <v>0</v>
      </c>
      <c r="W14" s="52">
        <f t="shared" si="4"/>
        <v>0</v>
      </c>
      <c r="X14" s="70">
        <f>8*400</f>
        <v>3200</v>
      </c>
      <c r="Y14" s="20"/>
      <c r="Z14" s="20"/>
      <c r="AA14" s="20"/>
      <c r="AB14" s="417"/>
      <c r="AC14" s="200"/>
      <c r="AD14" s="160"/>
      <c r="AE14" s="164"/>
      <c r="AF14" s="160"/>
      <c r="AG14" s="192"/>
      <c r="AH14" s="16"/>
      <c r="AI14" s="16"/>
      <c r="AJ14" s="185"/>
      <c r="AK14" s="435"/>
      <c r="AL14" s="476"/>
      <c r="AM14" s="10"/>
    </row>
    <row r="15" spans="2:39" ht="26.25" hidden="1" customHeight="1" x14ac:dyDescent="0.25">
      <c r="B15" s="11"/>
      <c r="C15" s="6" t="s">
        <v>18</v>
      </c>
      <c r="D15" s="23" t="s">
        <v>9</v>
      </c>
      <c r="E15" s="238" t="s">
        <v>106</v>
      </c>
      <c r="F15" s="208" t="s">
        <v>107</v>
      </c>
      <c r="G15" s="48" t="s">
        <v>0</v>
      </c>
      <c r="H15" s="39"/>
      <c r="I15" s="309">
        <v>0</v>
      </c>
      <c r="J15" s="39">
        <f t="shared" si="0"/>
        <v>0</v>
      </c>
      <c r="K15" s="309">
        <f>R15*0.8</f>
        <v>0.27</v>
      </c>
      <c r="L15" s="230">
        <f t="shared" si="6"/>
        <v>0</v>
      </c>
      <c r="M15" s="89"/>
      <c r="N15" s="279"/>
      <c r="O15" s="39"/>
      <c r="P15" s="309">
        <f t="shared" si="7"/>
        <v>0</v>
      </c>
      <c r="Q15" s="235" t="str">
        <f t="shared" si="1"/>
        <v>43.3701-200211 (N)</v>
      </c>
      <c r="R15" s="377">
        <f t="shared" si="5"/>
        <v>0.34</v>
      </c>
      <c r="S15" s="319">
        <f>2800*0.0001</f>
        <v>0.28000000000000003</v>
      </c>
      <c r="T15" s="353">
        <f t="shared" si="2"/>
        <v>0</v>
      </c>
      <c r="U15" s="70">
        <v>3200</v>
      </c>
      <c r="V15" s="20">
        <f t="shared" si="3"/>
        <v>0</v>
      </c>
      <c r="W15" s="52">
        <f t="shared" si="4"/>
        <v>0</v>
      </c>
      <c r="X15" s="70">
        <f>8*400</f>
        <v>3200</v>
      </c>
      <c r="Y15" s="20"/>
      <c r="Z15" s="20"/>
      <c r="AA15" s="20"/>
      <c r="AB15" s="417"/>
      <c r="AC15" s="200"/>
      <c r="AD15" s="160"/>
      <c r="AE15" s="164"/>
      <c r="AF15" s="160"/>
      <c r="AG15" s="192"/>
      <c r="AH15" s="16"/>
      <c r="AI15" s="16"/>
      <c r="AJ15" s="185"/>
      <c r="AK15" s="435"/>
      <c r="AL15" s="476"/>
      <c r="AM15" s="10"/>
    </row>
    <row r="16" spans="2:39" ht="26.25" hidden="1" customHeight="1" thickBot="1" x14ac:dyDescent="0.3">
      <c r="B16" s="15"/>
      <c r="C16" s="6" t="s">
        <v>18</v>
      </c>
      <c r="D16" s="23" t="s">
        <v>9</v>
      </c>
      <c r="E16" s="238" t="s">
        <v>135</v>
      </c>
      <c r="F16" s="208" t="s">
        <v>104</v>
      </c>
      <c r="G16" s="48" t="s">
        <v>0</v>
      </c>
      <c r="H16" s="39"/>
      <c r="I16" s="309">
        <v>0</v>
      </c>
      <c r="J16" s="39">
        <f t="shared" si="0"/>
        <v>0</v>
      </c>
      <c r="K16" s="309">
        <f>R16*0.8</f>
        <v>0.13</v>
      </c>
      <c r="L16" s="230">
        <f t="shared" si="6"/>
        <v>0</v>
      </c>
      <c r="M16" s="89"/>
      <c r="N16" s="279"/>
      <c r="O16" s="39"/>
      <c r="P16" s="309">
        <f t="shared" si="7"/>
        <v>0</v>
      </c>
      <c r="Q16" s="263" t="str">
        <f t="shared" si="1"/>
        <v>43.3701-200212(К36х18х6)</v>
      </c>
      <c r="R16" s="377">
        <f t="shared" si="5"/>
        <v>0.16</v>
      </c>
      <c r="S16" s="319">
        <f>1250*0.0001</f>
        <v>0.13</v>
      </c>
      <c r="T16" s="353">
        <f t="shared" si="2"/>
        <v>0</v>
      </c>
      <c r="U16" s="70">
        <v>3200</v>
      </c>
      <c r="V16" s="20">
        <f t="shared" si="3"/>
        <v>0</v>
      </c>
      <c r="W16" s="52">
        <f t="shared" si="4"/>
        <v>0</v>
      </c>
      <c r="X16" s="70">
        <f>8*400</f>
        <v>3200</v>
      </c>
      <c r="Y16" s="20"/>
      <c r="Z16" s="20"/>
      <c r="AA16" s="20"/>
      <c r="AB16" s="417"/>
      <c r="AC16" s="200"/>
      <c r="AD16" s="160"/>
      <c r="AE16" s="163"/>
      <c r="AF16" s="171"/>
      <c r="AG16" s="192"/>
      <c r="AH16" s="16"/>
      <c r="AI16" s="16"/>
      <c r="AJ16" s="185"/>
      <c r="AK16" s="435"/>
      <c r="AL16" s="836"/>
      <c r="AM16" s="10"/>
    </row>
    <row r="17" spans="1:74" s="5" customFormat="1" ht="26.25" customHeight="1" thickBot="1" x14ac:dyDescent="0.3">
      <c r="B17" s="11">
        <v>5</v>
      </c>
      <c r="C17" s="6" t="s">
        <v>18</v>
      </c>
      <c r="D17" s="23" t="s">
        <v>9</v>
      </c>
      <c r="E17" s="239" t="s">
        <v>433</v>
      </c>
      <c r="F17" s="387" t="s">
        <v>821</v>
      </c>
      <c r="G17" s="12" t="s">
        <v>0</v>
      </c>
      <c r="H17" s="39"/>
      <c r="I17" s="360"/>
      <c r="J17" s="39">
        <f t="shared" si="0"/>
        <v>1000</v>
      </c>
      <c r="K17" s="309">
        <v>0.62</v>
      </c>
      <c r="L17" s="230"/>
      <c r="M17" s="220"/>
      <c r="N17" s="553">
        <v>1000</v>
      </c>
      <c r="O17" s="39"/>
      <c r="P17" s="360"/>
      <c r="Q17" s="259" t="str">
        <f t="shared" si="1"/>
        <v>К36х5х10</v>
      </c>
      <c r="R17" s="377">
        <f t="shared" si="5"/>
        <v>0.92</v>
      </c>
      <c r="S17" s="323">
        <f>0.0001*22.7*340</f>
        <v>0.77</v>
      </c>
      <c r="T17" s="353">
        <f t="shared" si="2"/>
        <v>770</v>
      </c>
      <c r="U17" s="20"/>
      <c r="V17" s="20">
        <f t="shared" si="3"/>
        <v>1000</v>
      </c>
      <c r="W17" s="52">
        <f t="shared" si="4"/>
        <v>1000</v>
      </c>
      <c r="X17" s="20"/>
      <c r="Y17" s="20"/>
      <c r="Z17" s="20">
        <v>2000</v>
      </c>
      <c r="AA17" s="20">
        <v>8000</v>
      </c>
      <c r="AB17" s="417"/>
      <c r="AC17" s="18"/>
      <c r="AD17" s="160"/>
      <c r="AE17" s="164"/>
      <c r="AF17" s="160"/>
      <c r="AG17" s="173"/>
      <c r="AH17" s="14"/>
      <c r="AI17" s="14"/>
      <c r="AJ17" s="178"/>
      <c r="AK17" s="434"/>
      <c r="AL17" s="830"/>
      <c r="AM17" s="830"/>
    </row>
    <row r="18" spans="1:74" s="5" customFormat="1" ht="26.25" hidden="1" customHeight="1" thickBot="1" x14ac:dyDescent="0.4">
      <c r="B18" s="11"/>
      <c r="C18" s="6" t="s">
        <v>18</v>
      </c>
      <c r="D18" s="23" t="s">
        <v>9</v>
      </c>
      <c r="E18" s="239" t="s">
        <v>109</v>
      </c>
      <c r="F18" s="387" t="s">
        <v>674</v>
      </c>
      <c r="G18" s="12" t="s">
        <v>0</v>
      </c>
      <c r="H18" s="39"/>
      <c r="I18" s="309">
        <v>0</v>
      </c>
      <c r="J18" s="39">
        <f t="shared" si="0"/>
        <v>0</v>
      </c>
      <c r="K18" s="309">
        <f>R18*0.8</f>
        <v>0.46</v>
      </c>
      <c r="L18" s="230">
        <f>K18*J310</f>
        <v>0</v>
      </c>
      <c r="M18" s="233" t="s">
        <v>675</v>
      </c>
      <c r="N18" s="279"/>
      <c r="O18" s="503"/>
      <c r="P18" s="309">
        <f t="shared" ref="P18:P49" si="8">K18*O18</f>
        <v>0</v>
      </c>
      <c r="Q18" s="261" t="str">
        <f t="shared" si="1"/>
        <v>К36х18х6</v>
      </c>
      <c r="R18" s="377">
        <f t="shared" si="5"/>
        <v>0.57999999999999996</v>
      </c>
      <c r="S18" s="324">
        <v>0.48</v>
      </c>
      <c r="T18" s="353">
        <f t="shared" si="2"/>
        <v>0</v>
      </c>
      <c r="U18" s="20">
        <v>14850</v>
      </c>
      <c r="V18" s="20">
        <f t="shared" si="3"/>
        <v>0</v>
      </c>
      <c r="W18" s="52">
        <f t="shared" si="4"/>
        <v>0</v>
      </c>
      <c r="X18" s="20">
        <f>15050-200</f>
        <v>14850</v>
      </c>
      <c r="Y18" s="20"/>
      <c r="Z18" s="20"/>
      <c r="AA18" s="20"/>
      <c r="AB18" s="417"/>
      <c r="AC18" s="200"/>
      <c r="AD18" s="160"/>
      <c r="AE18" s="164"/>
      <c r="AF18" s="160"/>
      <c r="AG18" s="173"/>
      <c r="AH18" s="114"/>
      <c r="AI18" s="109"/>
      <c r="AJ18" s="178"/>
      <c r="AK18" s="434"/>
      <c r="AL18" s="839"/>
    </row>
    <row r="19" spans="1:74" s="5" customFormat="1" ht="26.25" hidden="1" customHeight="1" thickBot="1" x14ac:dyDescent="0.3">
      <c r="B19" s="11"/>
      <c r="C19" s="6" t="s">
        <v>18</v>
      </c>
      <c r="D19" s="23" t="s">
        <v>9</v>
      </c>
      <c r="E19" s="239" t="s">
        <v>237</v>
      </c>
      <c r="F19" s="387"/>
      <c r="G19" s="12" t="s">
        <v>0</v>
      </c>
      <c r="H19" s="39"/>
      <c r="I19" s="309">
        <v>0</v>
      </c>
      <c r="J19" s="39">
        <f t="shared" si="0"/>
        <v>0</v>
      </c>
      <c r="K19" s="309">
        <f>R19*0.8</f>
        <v>0.13</v>
      </c>
      <c r="L19" s="230"/>
      <c r="M19" s="62" t="s">
        <v>239</v>
      </c>
      <c r="N19" s="279"/>
      <c r="O19" s="39"/>
      <c r="P19" s="490">
        <f t="shared" si="8"/>
        <v>0</v>
      </c>
      <c r="Q19" s="264" t="str">
        <f t="shared" si="1"/>
        <v>К36х18х6 намагн.с заниж.Д</v>
      </c>
      <c r="R19" s="377">
        <f t="shared" si="5"/>
        <v>0.16</v>
      </c>
      <c r="S19" s="325">
        <f>0.0001*1300</f>
        <v>0.13</v>
      </c>
      <c r="T19" s="353">
        <f t="shared" si="2"/>
        <v>0</v>
      </c>
      <c r="U19" s="20">
        <v>2400</v>
      </c>
      <c r="V19" s="20">
        <f t="shared" si="3"/>
        <v>0</v>
      </c>
      <c r="W19" s="52">
        <f t="shared" si="4"/>
        <v>0</v>
      </c>
      <c r="X19" s="20">
        <v>2400</v>
      </c>
      <c r="Y19" s="20"/>
      <c r="Z19" s="20"/>
      <c r="AA19" s="20"/>
      <c r="AB19" s="417"/>
      <c r="AC19" s="18"/>
      <c r="AD19" s="160"/>
      <c r="AE19" s="164"/>
      <c r="AF19" s="160"/>
      <c r="AG19" s="173"/>
      <c r="AH19" s="14"/>
      <c r="AI19" s="14"/>
      <c r="AJ19" s="178"/>
      <c r="AK19" s="434"/>
      <c r="AL19" s="475"/>
    </row>
    <row r="20" spans="1:74" ht="26.25" customHeight="1" x14ac:dyDescent="0.25">
      <c r="B20" s="14">
        <v>6</v>
      </c>
      <c r="C20" s="6" t="s">
        <v>18</v>
      </c>
      <c r="D20" s="23" t="s">
        <v>9</v>
      </c>
      <c r="E20" s="237" t="s">
        <v>38</v>
      </c>
      <c r="F20" s="208">
        <v>170</v>
      </c>
      <c r="G20" s="12" t="s">
        <v>0</v>
      </c>
      <c r="H20" s="39">
        <v>137</v>
      </c>
      <c r="I20" s="360">
        <v>78.09</v>
      </c>
      <c r="J20" s="39">
        <f t="shared" si="0"/>
        <v>0</v>
      </c>
      <c r="K20" s="309">
        <v>0.56999999999999995</v>
      </c>
      <c r="L20" s="230">
        <f>K20*J312</f>
        <v>0</v>
      </c>
      <c r="M20" s="533"/>
      <c r="N20" s="553"/>
      <c r="O20" s="503">
        <f>145-8</f>
        <v>137</v>
      </c>
      <c r="P20" s="490">
        <f t="shared" si="8"/>
        <v>78.09</v>
      </c>
      <c r="Q20" s="259" t="str">
        <f t="shared" si="1"/>
        <v>СИДТ  7.770.002 Д36х24х6</v>
      </c>
      <c r="R20" s="377">
        <f t="shared" si="5"/>
        <v>6.6</v>
      </c>
      <c r="S20" s="320">
        <v>5.5</v>
      </c>
      <c r="T20" s="353">
        <f t="shared" si="2"/>
        <v>0</v>
      </c>
      <c r="U20" s="20">
        <v>45</v>
      </c>
      <c r="V20" s="20">
        <f t="shared" si="3"/>
        <v>0</v>
      </c>
      <c r="W20" s="52">
        <f t="shared" si="4"/>
        <v>-8</v>
      </c>
      <c r="X20" s="20">
        <v>37</v>
      </c>
      <c r="Y20" s="20"/>
      <c r="Z20" s="20"/>
      <c r="AA20" s="20"/>
      <c r="AB20" s="417"/>
      <c r="AC20" s="200"/>
      <c r="AD20" s="160"/>
      <c r="AE20" s="163"/>
      <c r="AF20" s="171"/>
      <c r="AG20" s="192"/>
      <c r="AH20" s="16"/>
      <c r="AI20" s="16"/>
      <c r="AJ20" s="185"/>
      <c r="AK20" s="435"/>
      <c r="AL20" s="836"/>
      <c r="AM20" s="10"/>
    </row>
    <row r="21" spans="1:74" ht="26.25" customHeight="1" thickBot="1" x14ac:dyDescent="0.3">
      <c r="B21" s="11">
        <v>7</v>
      </c>
      <c r="C21" s="6" t="s">
        <v>18</v>
      </c>
      <c r="D21" s="23" t="s">
        <v>9</v>
      </c>
      <c r="E21" s="237" t="s">
        <v>292</v>
      </c>
      <c r="F21" s="208" t="s">
        <v>48</v>
      </c>
      <c r="G21" s="12" t="s">
        <v>0</v>
      </c>
      <c r="H21" s="39"/>
      <c r="I21" s="360">
        <v>0</v>
      </c>
      <c r="J21" s="39">
        <f t="shared" si="0"/>
        <v>2250</v>
      </c>
      <c r="K21" s="309">
        <f>R21*0.8</f>
        <v>0.66</v>
      </c>
      <c r="L21" s="230">
        <f>K21*J313</f>
        <v>0</v>
      </c>
      <c r="M21" s="220"/>
      <c r="N21" s="553"/>
      <c r="O21" s="503">
        <v>2250</v>
      </c>
      <c r="P21" s="309">
        <f t="shared" si="8"/>
        <v>1485</v>
      </c>
      <c r="Q21" s="51" t="str">
        <f t="shared" si="1"/>
        <v>ЭПГ110.135(Д32х8х8)</v>
      </c>
      <c r="R21" s="377">
        <f t="shared" si="5"/>
        <v>0.83</v>
      </c>
      <c r="S21" s="319">
        <v>0.69</v>
      </c>
      <c r="T21" s="353">
        <f t="shared" si="2"/>
        <v>1552.5</v>
      </c>
      <c r="U21" s="20">
        <v>2250</v>
      </c>
      <c r="V21" s="20">
        <f t="shared" si="3"/>
        <v>0</v>
      </c>
      <c r="W21" s="52">
        <f t="shared" si="4"/>
        <v>250</v>
      </c>
      <c r="X21" s="20">
        <f>10*250</f>
        <v>2500</v>
      </c>
      <c r="Y21" s="20"/>
      <c r="Z21" s="20">
        <v>2500</v>
      </c>
      <c r="AA21" s="20">
        <f>2450+30+8350</f>
        <v>10830</v>
      </c>
      <c r="AB21" s="417"/>
      <c r="AC21" s="200"/>
      <c r="AD21" s="160"/>
      <c r="AE21" s="163"/>
      <c r="AF21" s="171"/>
      <c r="AG21" s="192"/>
      <c r="AH21" s="16"/>
      <c r="AI21" s="16"/>
      <c r="AJ21" s="185"/>
      <c r="AK21" s="435"/>
      <c r="AL21" s="832">
        <v>765</v>
      </c>
      <c r="AM21" s="832">
        <f>P21-AL21</f>
        <v>720</v>
      </c>
    </row>
    <row r="22" spans="1:74" ht="26.25" hidden="1" customHeight="1" x14ac:dyDescent="0.25">
      <c r="B22" s="11"/>
      <c r="C22" s="6" t="s">
        <v>18</v>
      </c>
      <c r="D22" s="23" t="s">
        <v>9</v>
      </c>
      <c r="E22" s="237" t="s">
        <v>461</v>
      </c>
      <c r="F22" s="208">
        <v>1189</v>
      </c>
      <c r="G22" s="12" t="s">
        <v>0</v>
      </c>
      <c r="H22" s="39"/>
      <c r="I22" s="309">
        <v>0</v>
      </c>
      <c r="J22" s="39">
        <f t="shared" si="0"/>
        <v>0</v>
      </c>
      <c r="K22" s="309">
        <f>R22*0.8</f>
        <v>0.74</v>
      </c>
      <c r="L22" s="230">
        <f>K22*J314</f>
        <v>0</v>
      </c>
      <c r="M22" s="234" t="s">
        <v>734</v>
      </c>
      <c r="N22" s="279"/>
      <c r="O22" s="503"/>
      <c r="P22" s="490">
        <f t="shared" si="8"/>
        <v>0</v>
      </c>
      <c r="Q22" s="262" t="str">
        <f t="shared" si="1"/>
        <v>К32х8,2х8</v>
      </c>
      <c r="R22" s="377">
        <f t="shared" si="5"/>
        <v>0.92</v>
      </c>
      <c r="S22" s="326">
        <v>0.77</v>
      </c>
      <c r="T22" s="353">
        <f t="shared" si="2"/>
        <v>0</v>
      </c>
      <c r="U22" s="20"/>
      <c r="V22" s="20">
        <f t="shared" si="3"/>
        <v>0</v>
      </c>
      <c r="W22" s="52">
        <f t="shared" si="4"/>
        <v>0</v>
      </c>
      <c r="X22" s="20"/>
      <c r="Y22" s="20"/>
      <c r="Z22" s="20"/>
      <c r="AA22" s="20"/>
      <c r="AB22" s="417"/>
      <c r="AC22" s="200"/>
      <c r="AD22" s="160"/>
      <c r="AE22" s="163"/>
      <c r="AF22" s="171"/>
      <c r="AG22" s="192"/>
      <c r="AH22" s="128"/>
      <c r="AI22" s="129"/>
      <c r="AK22" s="10"/>
      <c r="AL22" s="10"/>
      <c r="AM22" s="10"/>
    </row>
    <row r="23" spans="1:74" ht="26.25" hidden="1" customHeight="1" x14ac:dyDescent="0.25">
      <c r="B23" s="15"/>
      <c r="C23" s="6" t="s">
        <v>18</v>
      </c>
      <c r="D23" s="23" t="s">
        <v>9</v>
      </c>
      <c r="E23" s="212" t="s">
        <v>265</v>
      </c>
      <c r="F23" s="208"/>
      <c r="G23" s="48" t="s">
        <v>0</v>
      </c>
      <c r="H23" s="39"/>
      <c r="I23" s="309">
        <v>0</v>
      </c>
      <c r="J23" s="39">
        <f t="shared" si="0"/>
        <v>0</v>
      </c>
      <c r="K23" s="309">
        <v>1440</v>
      </c>
      <c r="L23" s="230">
        <f>K23*J315</f>
        <v>0</v>
      </c>
      <c r="M23" s="42"/>
      <c r="N23" s="279"/>
      <c r="O23" s="39"/>
      <c r="P23" s="490">
        <f t="shared" si="8"/>
        <v>0</v>
      </c>
      <c r="Q23" s="235" t="str">
        <f t="shared" si="1"/>
        <v>К36х13х8</v>
      </c>
      <c r="R23" s="377">
        <f t="shared" si="5"/>
        <v>0.78</v>
      </c>
      <c r="S23" s="319">
        <f>6500*0.0001</f>
        <v>0.65</v>
      </c>
      <c r="T23" s="353">
        <f t="shared" si="2"/>
        <v>0</v>
      </c>
      <c r="U23" s="20"/>
      <c r="V23" s="20">
        <f t="shared" si="3"/>
        <v>0</v>
      </c>
      <c r="W23" s="52">
        <f t="shared" si="4"/>
        <v>0</v>
      </c>
      <c r="X23" s="20"/>
      <c r="Y23" s="20"/>
      <c r="Z23" s="20"/>
      <c r="AA23" s="20"/>
      <c r="AB23" s="417"/>
      <c r="AC23" s="200"/>
      <c r="AD23" s="160"/>
      <c r="AE23" s="163"/>
      <c r="AF23" s="171"/>
      <c r="AG23" s="192">
        <v>0.04</v>
      </c>
      <c r="AH23" s="59">
        <f>0.001*AG23*N23</f>
        <v>0</v>
      </c>
      <c r="AI23" s="129"/>
      <c r="AK23" s="10"/>
      <c r="AL23" s="10"/>
      <c r="AM23" s="10"/>
    </row>
    <row r="24" spans="1:74" s="4" customFormat="1" ht="26.25" hidden="1" customHeight="1" thickBot="1" x14ac:dyDescent="0.3">
      <c r="A24" s="10"/>
      <c r="B24" s="11"/>
      <c r="C24" s="6" t="s">
        <v>18</v>
      </c>
      <c r="D24" s="23" t="s">
        <v>9</v>
      </c>
      <c r="E24" s="212"/>
      <c r="F24" s="397"/>
      <c r="G24" s="48" t="s">
        <v>0</v>
      </c>
      <c r="H24" s="39"/>
      <c r="I24" s="360">
        <v>0</v>
      </c>
      <c r="J24" s="39">
        <f t="shared" si="0"/>
        <v>0</v>
      </c>
      <c r="K24" s="309">
        <f t="shared" ref="K24:K30" si="9">R24*0.8</f>
        <v>0.62</v>
      </c>
      <c r="L24" s="230">
        <f>K24*J316</f>
        <v>0</v>
      </c>
      <c r="M24" s="155"/>
      <c r="N24" s="279"/>
      <c r="O24" s="39"/>
      <c r="P24" s="360">
        <f t="shared" si="8"/>
        <v>0</v>
      </c>
      <c r="Q24" s="263">
        <f t="shared" si="1"/>
        <v>0</v>
      </c>
      <c r="R24" s="306">
        <f t="shared" si="5"/>
        <v>0.77</v>
      </c>
      <c r="S24" s="327">
        <f>21.4*0.03</f>
        <v>0.64</v>
      </c>
      <c r="T24" s="353">
        <f t="shared" si="2"/>
        <v>0</v>
      </c>
      <c r="U24" s="20"/>
      <c r="V24" s="20">
        <f t="shared" si="3"/>
        <v>0</v>
      </c>
      <c r="W24" s="52">
        <f t="shared" si="4"/>
        <v>0</v>
      </c>
      <c r="X24" s="20"/>
      <c r="Y24" s="20"/>
      <c r="Z24" s="20"/>
      <c r="AA24" s="20"/>
      <c r="AB24" s="417"/>
      <c r="AC24" s="200"/>
      <c r="AD24" s="160"/>
      <c r="AE24" s="163"/>
      <c r="AF24" s="171"/>
      <c r="AG24" s="192"/>
      <c r="AH24" s="128"/>
      <c r="AI24" s="129"/>
      <c r="AJ24" s="182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</row>
    <row r="25" spans="1:74" s="4" customFormat="1" ht="26.25" hidden="1" customHeight="1" thickBot="1" x14ac:dyDescent="0.3">
      <c r="A25" s="10"/>
      <c r="B25" s="11"/>
      <c r="C25" s="6" t="s">
        <v>18</v>
      </c>
      <c r="D25" s="23" t="s">
        <v>9</v>
      </c>
      <c r="E25" s="1" t="s">
        <v>466</v>
      </c>
      <c r="F25" s="211" t="s">
        <v>300</v>
      </c>
      <c r="G25" s="19"/>
      <c r="H25" s="39"/>
      <c r="I25" s="309">
        <v>0</v>
      </c>
      <c r="J25" s="39">
        <f t="shared" si="0"/>
        <v>0</v>
      </c>
      <c r="K25" s="309">
        <f t="shared" si="9"/>
        <v>6.72</v>
      </c>
      <c r="L25" s="230"/>
      <c r="M25" s="64"/>
      <c r="N25" s="279"/>
      <c r="O25" s="39"/>
      <c r="P25" s="360">
        <f t="shared" si="8"/>
        <v>0</v>
      </c>
      <c r="Q25" s="265" t="str">
        <f t="shared" si="1"/>
        <v>ЭПГ 110.107(К30х5(10)х8)</v>
      </c>
      <c r="R25" s="377">
        <f t="shared" si="5"/>
        <v>8.4</v>
      </c>
      <c r="S25" s="320">
        <v>7</v>
      </c>
      <c r="T25" s="353">
        <f t="shared" si="2"/>
        <v>0</v>
      </c>
      <c r="U25" s="20"/>
      <c r="V25" s="20">
        <f t="shared" si="3"/>
        <v>0</v>
      </c>
      <c r="W25" s="52">
        <f t="shared" si="4"/>
        <v>0</v>
      </c>
      <c r="X25" s="20"/>
      <c r="Y25" s="20"/>
      <c r="Z25" s="20"/>
      <c r="AA25" s="20"/>
      <c r="AB25" s="417"/>
      <c r="AC25" s="200"/>
      <c r="AD25" s="160"/>
      <c r="AE25" s="163"/>
      <c r="AF25" s="171"/>
      <c r="AG25" s="192"/>
      <c r="AH25" s="128"/>
      <c r="AI25" s="129"/>
      <c r="AJ25" s="182"/>
    </row>
    <row r="26" spans="1:74" ht="26.25" hidden="1" customHeight="1" x14ac:dyDescent="0.25">
      <c r="B26" s="11"/>
      <c r="C26" s="6" t="s">
        <v>18</v>
      </c>
      <c r="D26" s="23" t="s">
        <v>9</v>
      </c>
      <c r="E26" s="212" t="s">
        <v>265</v>
      </c>
      <c r="F26" s="398">
        <v>852</v>
      </c>
      <c r="G26" s="48" t="s">
        <v>0</v>
      </c>
      <c r="H26" s="39"/>
      <c r="I26" s="360">
        <v>0</v>
      </c>
      <c r="J26" s="39">
        <f t="shared" si="0"/>
        <v>0</v>
      </c>
      <c r="K26" s="309">
        <f t="shared" si="9"/>
        <v>0.86</v>
      </c>
      <c r="L26" s="230">
        <f>K26*J318</f>
        <v>0</v>
      </c>
      <c r="M26" s="155" t="s">
        <v>535</v>
      </c>
      <c r="N26" s="279"/>
      <c r="O26" s="39"/>
      <c r="P26" s="360">
        <f t="shared" si="8"/>
        <v>0</v>
      </c>
      <c r="Q26" s="262" t="str">
        <f t="shared" si="1"/>
        <v>К36х13х8</v>
      </c>
      <c r="R26" s="306">
        <f t="shared" si="5"/>
        <v>1.08</v>
      </c>
      <c r="S26" s="319">
        <v>0.9</v>
      </c>
      <c r="T26" s="353">
        <f t="shared" si="2"/>
        <v>0</v>
      </c>
      <c r="U26" s="18"/>
      <c r="V26" s="20">
        <f t="shared" si="3"/>
        <v>0</v>
      </c>
      <c r="W26" s="52">
        <f t="shared" si="4"/>
        <v>0</v>
      </c>
      <c r="X26" s="18"/>
      <c r="Y26" s="18"/>
      <c r="Z26" s="18"/>
      <c r="AA26" s="18"/>
      <c r="AB26" s="418"/>
      <c r="AC26" s="200"/>
      <c r="AD26" s="160"/>
      <c r="AE26" s="165"/>
      <c r="AF26" s="160"/>
      <c r="AG26" s="192"/>
      <c r="AH26" s="128"/>
      <c r="AI26" s="129"/>
      <c r="AK26" s="10"/>
      <c r="AL26" s="10"/>
      <c r="AM26" s="10"/>
    </row>
    <row r="27" spans="1:74" ht="26.25" hidden="1" customHeight="1" x14ac:dyDescent="0.35">
      <c r="B27" s="11"/>
      <c r="C27" s="6" t="s">
        <v>18</v>
      </c>
      <c r="D27" s="23" t="s">
        <v>9</v>
      </c>
      <c r="E27" s="239" t="s">
        <v>455</v>
      </c>
      <c r="F27" s="384">
        <v>1231</v>
      </c>
      <c r="G27" s="48" t="s">
        <v>0</v>
      </c>
      <c r="H27" s="39">
        <v>0</v>
      </c>
      <c r="I27" s="360">
        <v>0</v>
      </c>
      <c r="J27" s="39">
        <f t="shared" si="0"/>
        <v>0</v>
      </c>
      <c r="K27" s="309">
        <f t="shared" si="9"/>
        <v>2.21</v>
      </c>
      <c r="L27" s="230">
        <f>K27*J319</f>
        <v>0</v>
      </c>
      <c r="M27" s="155"/>
      <c r="N27" s="279"/>
      <c r="O27" s="39">
        <v>0</v>
      </c>
      <c r="P27" s="309">
        <f t="shared" si="8"/>
        <v>0</v>
      </c>
      <c r="Q27" s="235" t="str">
        <f t="shared" si="1"/>
        <v>Д30х10</v>
      </c>
      <c r="R27" s="377">
        <f t="shared" si="5"/>
        <v>2.76</v>
      </c>
      <c r="S27" s="328">
        <v>2.2999999999999998</v>
      </c>
      <c r="T27" s="353">
        <f t="shared" si="2"/>
        <v>0</v>
      </c>
      <c r="U27" s="20"/>
      <c r="V27" s="20">
        <f t="shared" si="3"/>
        <v>0</v>
      </c>
      <c r="W27" s="52">
        <f t="shared" si="4"/>
        <v>0</v>
      </c>
      <c r="X27" s="20"/>
      <c r="Y27" s="20"/>
      <c r="Z27" s="199"/>
      <c r="AA27" s="20"/>
      <c r="AB27" s="419"/>
      <c r="AC27" s="200"/>
      <c r="AD27" s="160"/>
      <c r="AE27" s="164"/>
      <c r="AF27" s="160"/>
      <c r="AG27" s="176"/>
      <c r="AH27" s="115"/>
      <c r="AI27" s="113"/>
      <c r="AJ27" s="185"/>
      <c r="AK27" s="125"/>
      <c r="AL27" s="10"/>
      <c r="AM27" s="10"/>
    </row>
    <row r="28" spans="1:74" s="4" customFormat="1" ht="26.25" hidden="1" customHeight="1" x14ac:dyDescent="0.25">
      <c r="A28" s="10"/>
      <c r="B28" s="11"/>
      <c r="C28" s="6" t="s">
        <v>18</v>
      </c>
      <c r="D28" s="23" t="s">
        <v>9</v>
      </c>
      <c r="E28" s="1"/>
      <c r="F28" s="211"/>
      <c r="G28" s="48" t="s">
        <v>0</v>
      </c>
      <c r="H28" s="39"/>
      <c r="I28" s="360">
        <v>0</v>
      </c>
      <c r="J28" s="39">
        <f t="shared" si="0"/>
        <v>0</v>
      </c>
      <c r="K28" s="309">
        <f t="shared" si="9"/>
        <v>0.74</v>
      </c>
      <c r="L28" s="230"/>
      <c r="M28" s="64"/>
      <c r="N28" s="279"/>
      <c r="O28" s="39"/>
      <c r="P28" s="360">
        <f t="shared" si="8"/>
        <v>0</v>
      </c>
      <c r="Q28" s="235">
        <f t="shared" si="1"/>
        <v>0</v>
      </c>
      <c r="R28" s="377">
        <f t="shared" si="5"/>
        <v>0.92</v>
      </c>
      <c r="S28" s="320">
        <v>0.77</v>
      </c>
      <c r="T28" s="353">
        <f t="shared" si="2"/>
        <v>0</v>
      </c>
      <c r="U28" s="20"/>
      <c r="V28" s="20">
        <f t="shared" si="3"/>
        <v>0</v>
      </c>
      <c r="W28" s="52">
        <f t="shared" si="4"/>
        <v>0</v>
      </c>
      <c r="X28" s="20"/>
      <c r="Y28" s="20"/>
      <c r="Z28" s="20"/>
      <c r="AA28" s="20"/>
      <c r="AB28" s="417"/>
      <c r="AC28" s="200"/>
      <c r="AD28" s="160"/>
      <c r="AE28" s="163"/>
      <c r="AF28" s="171"/>
      <c r="AG28" s="192"/>
      <c r="AH28" s="128"/>
      <c r="AI28" s="129"/>
      <c r="AJ28" s="182"/>
    </row>
    <row r="29" spans="1:74" s="4" customFormat="1" ht="26.25" hidden="1" customHeight="1" x14ac:dyDescent="0.25">
      <c r="A29" s="10"/>
      <c r="B29" s="11"/>
      <c r="C29" s="6" t="s">
        <v>18</v>
      </c>
      <c r="D29" s="23" t="s">
        <v>9</v>
      </c>
      <c r="E29" s="212" t="s">
        <v>282</v>
      </c>
      <c r="F29" s="211" t="s">
        <v>301</v>
      </c>
      <c r="G29" s="19"/>
      <c r="H29" s="39"/>
      <c r="I29" s="309">
        <v>0</v>
      </c>
      <c r="J29" s="39">
        <f t="shared" si="0"/>
        <v>0</v>
      </c>
      <c r="K29" s="309">
        <f t="shared" si="9"/>
        <v>1.92</v>
      </c>
      <c r="L29" s="230"/>
      <c r="M29" s="64"/>
      <c r="N29" s="279"/>
      <c r="O29" s="39"/>
      <c r="P29" s="309">
        <f t="shared" si="8"/>
        <v>0</v>
      </c>
      <c r="Q29" s="235" t="str">
        <f t="shared" si="1"/>
        <v>К24,3х16,2х4</v>
      </c>
      <c r="R29" s="377">
        <f t="shared" si="5"/>
        <v>2.4</v>
      </c>
      <c r="S29" s="329">
        <f>20000*0.0001</f>
        <v>2</v>
      </c>
      <c r="T29" s="353">
        <f t="shared" si="2"/>
        <v>0</v>
      </c>
      <c r="U29" s="20"/>
      <c r="V29" s="20">
        <f t="shared" si="3"/>
        <v>0</v>
      </c>
      <c r="W29" s="52">
        <f t="shared" si="4"/>
        <v>0</v>
      </c>
      <c r="X29" s="20"/>
      <c r="Y29" s="20"/>
      <c r="Z29" s="20"/>
      <c r="AA29" s="20"/>
      <c r="AB29" s="417"/>
      <c r="AC29" s="200"/>
      <c r="AD29" s="160"/>
      <c r="AE29" s="163"/>
      <c r="AF29" s="171"/>
      <c r="AG29" s="192"/>
      <c r="AH29" s="128"/>
      <c r="AI29" s="129"/>
      <c r="AJ29" s="182"/>
    </row>
    <row r="30" spans="1:74" ht="26.25" hidden="1" customHeight="1" x14ac:dyDescent="0.25">
      <c r="B30" s="11"/>
      <c r="C30" s="6" t="s">
        <v>18</v>
      </c>
      <c r="D30" s="23" t="s">
        <v>9</v>
      </c>
      <c r="E30" s="212" t="s">
        <v>493</v>
      </c>
      <c r="F30" s="211"/>
      <c r="G30" s="19"/>
      <c r="H30" s="39"/>
      <c r="I30" s="309">
        <v>0</v>
      </c>
      <c r="J30" s="39">
        <f t="shared" si="0"/>
        <v>0</v>
      </c>
      <c r="K30" s="309">
        <f t="shared" si="9"/>
        <v>6.24</v>
      </c>
      <c r="L30" s="230"/>
      <c r="M30" s="64"/>
      <c r="N30" s="279"/>
      <c r="O30" s="39"/>
      <c r="P30" s="309">
        <f t="shared" si="8"/>
        <v>0</v>
      </c>
      <c r="Q30" s="235" t="str">
        <f t="shared" si="1"/>
        <v>К35х5(10)х6</v>
      </c>
      <c r="R30" s="377">
        <f t="shared" si="5"/>
        <v>7.8</v>
      </c>
      <c r="S30" s="329">
        <f>65000*0.0001</f>
        <v>6.5</v>
      </c>
      <c r="T30" s="353">
        <f t="shared" si="2"/>
        <v>0</v>
      </c>
      <c r="U30" s="20">
        <v>288</v>
      </c>
      <c r="V30" s="20">
        <f t="shared" si="3"/>
        <v>0</v>
      </c>
      <c r="W30" s="52">
        <f t="shared" si="4"/>
        <v>0</v>
      </c>
      <c r="X30" s="20">
        <v>288</v>
      </c>
      <c r="Y30" s="20"/>
      <c r="Z30" s="20"/>
      <c r="AA30" s="20"/>
      <c r="AB30" s="417"/>
      <c r="AC30" s="200"/>
      <c r="AD30" s="160"/>
      <c r="AE30" s="163"/>
      <c r="AF30" s="171"/>
      <c r="AG30" s="192"/>
      <c r="AH30" s="128"/>
      <c r="AI30" s="129"/>
      <c r="AK30" s="4"/>
      <c r="AL30" s="477"/>
      <c r="AM30" s="10"/>
    </row>
    <row r="31" spans="1:74" ht="26.25" hidden="1" customHeight="1" x14ac:dyDescent="0.25">
      <c r="B31" s="11"/>
      <c r="C31" s="6" t="s">
        <v>18</v>
      </c>
      <c r="D31" s="23" t="s">
        <v>9</v>
      </c>
      <c r="E31" s="212" t="s">
        <v>452</v>
      </c>
      <c r="F31" s="211"/>
      <c r="G31" s="19"/>
      <c r="H31" s="39"/>
      <c r="I31" s="309">
        <v>0</v>
      </c>
      <c r="J31" s="39">
        <f t="shared" si="0"/>
        <v>0</v>
      </c>
      <c r="K31" s="309"/>
      <c r="L31" s="230"/>
      <c r="M31" s="64"/>
      <c r="N31" s="279"/>
      <c r="O31" s="39"/>
      <c r="P31" s="309">
        <f t="shared" si="8"/>
        <v>0</v>
      </c>
      <c r="Q31" s="235" t="str">
        <f t="shared" si="1"/>
        <v>К36х8х8</v>
      </c>
      <c r="R31" s="377">
        <f t="shared" si="5"/>
        <v>0</v>
      </c>
      <c r="S31" s="329"/>
      <c r="T31" s="353">
        <f t="shared" si="2"/>
        <v>0</v>
      </c>
      <c r="U31" s="70">
        <v>400</v>
      </c>
      <c r="V31" s="20">
        <f t="shared" si="3"/>
        <v>0</v>
      </c>
      <c r="W31" s="52">
        <f t="shared" si="4"/>
        <v>0</v>
      </c>
      <c r="X31" s="148">
        <v>400</v>
      </c>
      <c r="Y31" s="20"/>
      <c r="Z31" s="20"/>
      <c r="AA31" s="20"/>
      <c r="AB31" s="417"/>
      <c r="AC31" s="200"/>
      <c r="AD31" s="160"/>
      <c r="AE31" s="163"/>
      <c r="AF31" s="171"/>
      <c r="AG31" s="192"/>
      <c r="AH31" s="128"/>
      <c r="AI31" s="129"/>
      <c r="AK31" s="4"/>
      <c r="AL31" s="477"/>
      <c r="AM31" s="10"/>
    </row>
    <row r="32" spans="1:74" s="4" customFormat="1" ht="26.25" hidden="1" customHeight="1" x14ac:dyDescent="0.25">
      <c r="A32" s="10"/>
      <c r="B32" s="11"/>
      <c r="C32" s="6" t="s">
        <v>18</v>
      </c>
      <c r="D32" s="23" t="s">
        <v>9</v>
      </c>
      <c r="E32" s="212" t="s">
        <v>281</v>
      </c>
      <c r="F32" s="211" t="s">
        <v>302</v>
      </c>
      <c r="G32" s="19"/>
      <c r="H32" s="39"/>
      <c r="I32" s="309">
        <v>0</v>
      </c>
      <c r="J32" s="39">
        <f t="shared" si="0"/>
        <v>0</v>
      </c>
      <c r="K32" s="309">
        <f>R32*0.8</f>
        <v>4.8</v>
      </c>
      <c r="L32" s="230"/>
      <c r="M32" s="64"/>
      <c r="N32" s="279"/>
      <c r="O32" s="39"/>
      <c r="P32" s="309">
        <f t="shared" si="8"/>
        <v>0</v>
      </c>
      <c r="Q32" s="235" t="str">
        <f t="shared" si="1"/>
        <v>К40х24х3,5</v>
      </c>
      <c r="R32" s="377">
        <f t="shared" si="5"/>
        <v>6</v>
      </c>
      <c r="S32" s="329">
        <f>50000*0.0001</f>
        <v>5</v>
      </c>
      <c r="T32" s="353">
        <f t="shared" si="2"/>
        <v>0</v>
      </c>
      <c r="U32" s="20"/>
      <c r="V32" s="20">
        <f t="shared" si="3"/>
        <v>0</v>
      </c>
      <c r="W32" s="52">
        <f t="shared" si="4"/>
        <v>0</v>
      </c>
      <c r="X32" s="20"/>
      <c r="Y32" s="20"/>
      <c r="Z32" s="20"/>
      <c r="AA32" s="20"/>
      <c r="AB32" s="417"/>
      <c r="AC32" s="200"/>
      <c r="AD32" s="160"/>
      <c r="AE32" s="163"/>
      <c r="AF32" s="171"/>
      <c r="AG32" s="192"/>
      <c r="AH32" s="128"/>
      <c r="AI32" s="129"/>
      <c r="AJ32" s="182"/>
    </row>
    <row r="33" spans="1:241" s="4" customFormat="1" ht="26.25" hidden="1" customHeight="1" thickBot="1" x14ac:dyDescent="0.3">
      <c r="A33" s="10"/>
      <c r="B33" s="11"/>
      <c r="C33" s="6" t="s">
        <v>18</v>
      </c>
      <c r="D33" s="23" t="s">
        <v>9</v>
      </c>
      <c r="E33" s="237" t="s">
        <v>726</v>
      </c>
      <c r="F33" s="211" t="s">
        <v>732</v>
      </c>
      <c r="G33" s="19"/>
      <c r="H33" s="39"/>
      <c r="I33" s="309">
        <v>0</v>
      </c>
      <c r="J33" s="39">
        <f t="shared" si="0"/>
        <v>0</v>
      </c>
      <c r="K33" s="309">
        <f>R33*0.8</f>
        <v>6.72</v>
      </c>
      <c r="L33" s="230"/>
      <c r="M33" s="233" t="s">
        <v>735</v>
      </c>
      <c r="N33" s="279"/>
      <c r="O33" s="39"/>
      <c r="P33" s="497">
        <f t="shared" si="8"/>
        <v>0</v>
      </c>
      <c r="Q33" s="263" t="str">
        <f t="shared" si="1"/>
        <v>К45х22х5</v>
      </c>
      <c r="R33" s="377">
        <f t="shared" si="5"/>
        <v>8.4</v>
      </c>
      <c r="S33" s="321">
        <f>70000*0.0001</f>
        <v>7</v>
      </c>
      <c r="T33" s="353">
        <f t="shared" si="2"/>
        <v>0</v>
      </c>
      <c r="U33" s="20"/>
      <c r="V33" s="20">
        <f t="shared" si="3"/>
        <v>0</v>
      </c>
      <c r="W33" s="52">
        <f t="shared" si="4"/>
        <v>0</v>
      </c>
      <c r="X33" s="20"/>
      <c r="Y33" s="20"/>
      <c r="Z33" s="20"/>
      <c r="AA33" s="20"/>
      <c r="AB33" s="417"/>
      <c r="AC33" s="200"/>
      <c r="AD33" s="160"/>
      <c r="AE33" s="163"/>
      <c r="AF33" s="171"/>
      <c r="AG33" s="192"/>
      <c r="AH33" s="128"/>
      <c r="AI33" s="129"/>
      <c r="AJ33" s="182"/>
    </row>
    <row r="34" spans="1:241" ht="26.25" customHeight="1" thickBot="1" x14ac:dyDescent="0.3">
      <c r="B34" s="11">
        <v>8</v>
      </c>
      <c r="C34" s="6" t="s">
        <v>18</v>
      </c>
      <c r="D34" s="23" t="s">
        <v>9</v>
      </c>
      <c r="E34" s="237" t="s">
        <v>95</v>
      </c>
      <c r="F34" s="208" t="s">
        <v>99</v>
      </c>
      <c r="G34" s="48" t="s">
        <v>0</v>
      </c>
      <c r="H34" s="39"/>
      <c r="I34" s="360">
        <v>0</v>
      </c>
      <c r="J34" s="39">
        <f t="shared" si="0"/>
        <v>40</v>
      </c>
      <c r="K34" s="309">
        <f>R34*0.8</f>
        <v>1.06</v>
      </c>
      <c r="L34" s="230">
        <f>K34*J326</f>
        <v>0</v>
      </c>
      <c r="M34" s="220" t="s">
        <v>883</v>
      </c>
      <c r="N34" s="553">
        <v>40</v>
      </c>
      <c r="O34" s="503"/>
      <c r="P34" s="309">
        <f t="shared" si="8"/>
        <v>0</v>
      </c>
      <c r="Q34" s="265" t="str">
        <f t="shared" si="1"/>
        <v>К45х22х7</v>
      </c>
      <c r="R34" s="377">
        <f t="shared" si="5"/>
        <v>1.32</v>
      </c>
      <c r="S34" s="319">
        <v>1.1000000000000001</v>
      </c>
      <c r="T34" s="353">
        <f t="shared" si="2"/>
        <v>44</v>
      </c>
      <c r="U34" s="20">
        <v>11407</v>
      </c>
      <c r="V34" s="20">
        <f t="shared" si="3"/>
        <v>40</v>
      </c>
      <c r="W34" s="52">
        <f t="shared" si="4"/>
        <v>40</v>
      </c>
      <c r="X34" s="20">
        <v>11407</v>
      </c>
      <c r="Y34" s="20"/>
      <c r="Z34" s="20"/>
      <c r="AA34" s="20">
        <v>3800</v>
      </c>
      <c r="AB34" s="417"/>
      <c r="AC34" s="18"/>
      <c r="AD34" s="160">
        <v>9.1999999999999998E-2</v>
      </c>
      <c r="AE34" s="163"/>
      <c r="AF34" s="171"/>
      <c r="AG34" s="192"/>
      <c r="AH34" s="16"/>
      <c r="AI34" s="16"/>
      <c r="AJ34" s="185"/>
      <c r="AK34" s="435"/>
      <c r="AL34" s="832"/>
      <c r="AM34" s="832"/>
    </row>
    <row r="35" spans="1:241" ht="26.25" hidden="1" customHeight="1" x14ac:dyDescent="0.25">
      <c r="B35" s="15"/>
      <c r="C35" s="6" t="s">
        <v>18</v>
      </c>
      <c r="D35" s="23" t="s">
        <v>177</v>
      </c>
      <c r="E35" s="104" t="s">
        <v>215</v>
      </c>
      <c r="F35" s="208" t="s">
        <v>178</v>
      </c>
      <c r="G35" s="48" t="s">
        <v>0</v>
      </c>
      <c r="H35" s="39"/>
      <c r="I35" s="309">
        <v>0</v>
      </c>
      <c r="J35" s="39">
        <f t="shared" si="0"/>
        <v>0</v>
      </c>
      <c r="K35" s="309">
        <f t="shared" ref="K35:K40" si="10">R35*0.8</f>
        <v>0.14000000000000001</v>
      </c>
      <c r="L35" s="230">
        <f>K35*J327</f>
        <v>0</v>
      </c>
      <c r="M35" s="62" t="s">
        <v>275</v>
      </c>
      <c r="N35" s="140"/>
      <c r="O35" s="39"/>
      <c r="P35" s="490">
        <f t="shared" si="8"/>
        <v>0</v>
      </c>
      <c r="Q35" s="262" t="str">
        <f t="shared" si="1"/>
        <v>ЭПГ110.165(К45*22*6)</v>
      </c>
      <c r="R35" s="377">
        <f t="shared" si="5"/>
        <v>0.18</v>
      </c>
      <c r="S35" s="322">
        <f>1513*0.0001</f>
        <v>0.15</v>
      </c>
      <c r="T35" s="353">
        <f t="shared" si="2"/>
        <v>0</v>
      </c>
      <c r="U35" s="199"/>
      <c r="V35" s="20">
        <f t="shared" si="3"/>
        <v>0</v>
      </c>
      <c r="W35" s="52">
        <f t="shared" si="4"/>
        <v>0</v>
      </c>
      <c r="X35" s="199"/>
      <c r="Y35" s="199"/>
      <c r="Z35" s="20"/>
      <c r="AA35" s="20">
        <v>20800</v>
      </c>
      <c r="AB35" s="417"/>
      <c r="AC35" s="200"/>
      <c r="AD35" s="190">
        <v>8.1000000000000003E-2</v>
      </c>
      <c r="AE35" s="163"/>
      <c r="AF35" s="171"/>
      <c r="AG35" s="192"/>
      <c r="AH35" s="16"/>
      <c r="AI35" s="16"/>
      <c r="AJ35" s="185"/>
      <c r="AK35" s="125"/>
      <c r="AL35" s="10"/>
      <c r="AM35" s="10"/>
    </row>
    <row r="36" spans="1:241" ht="26.25" hidden="1" customHeight="1" x14ac:dyDescent="0.25">
      <c r="B36" s="15"/>
      <c r="C36" s="6" t="s">
        <v>18</v>
      </c>
      <c r="D36" s="23" t="s">
        <v>9</v>
      </c>
      <c r="E36" s="238" t="s">
        <v>505</v>
      </c>
      <c r="F36" s="208"/>
      <c r="G36" s="48"/>
      <c r="H36" s="39"/>
      <c r="I36" s="309">
        <v>0</v>
      </c>
      <c r="J36" s="39">
        <f t="shared" si="0"/>
        <v>0</v>
      </c>
      <c r="K36" s="309">
        <f t="shared" si="10"/>
        <v>0</v>
      </c>
      <c r="L36" s="230"/>
      <c r="M36" s="146" t="s">
        <v>331</v>
      </c>
      <c r="N36" s="279"/>
      <c r="O36" s="39"/>
      <c r="P36" s="497">
        <f t="shared" si="8"/>
        <v>0</v>
      </c>
      <c r="Q36" s="235" t="str">
        <f t="shared" si="1"/>
        <v>К60х25х9</v>
      </c>
      <c r="R36" s="377">
        <f t="shared" si="5"/>
        <v>0</v>
      </c>
      <c r="S36" s="330"/>
      <c r="T36" s="353">
        <f t="shared" si="2"/>
        <v>0</v>
      </c>
      <c r="U36" s="70">
        <v>350</v>
      </c>
      <c r="V36" s="20">
        <f t="shared" si="3"/>
        <v>0</v>
      </c>
      <c r="W36" s="52">
        <f t="shared" si="4"/>
        <v>0</v>
      </c>
      <c r="X36" s="148">
        <f>70*5</f>
        <v>350</v>
      </c>
      <c r="Y36" s="20"/>
      <c r="Z36" s="20"/>
      <c r="AA36" s="20"/>
      <c r="AB36" s="417"/>
      <c r="AC36" s="200"/>
      <c r="AD36" s="160"/>
      <c r="AE36" s="163"/>
      <c r="AF36" s="171"/>
      <c r="AG36" s="192"/>
      <c r="AH36" s="128"/>
      <c r="AI36" s="129"/>
      <c r="AK36" s="10"/>
      <c r="AL36" s="476"/>
      <c r="AM36" s="10"/>
    </row>
    <row r="37" spans="1:241" ht="26.25" customHeight="1" x14ac:dyDescent="0.25">
      <c r="B37" s="15">
        <v>9</v>
      </c>
      <c r="C37" s="6" t="s">
        <v>18</v>
      </c>
      <c r="D37" s="23" t="s">
        <v>9</v>
      </c>
      <c r="E37" s="238" t="s">
        <v>283</v>
      </c>
      <c r="F37" s="208">
        <v>1383</v>
      </c>
      <c r="G37" s="12" t="s">
        <v>0</v>
      </c>
      <c r="H37" s="39">
        <v>220</v>
      </c>
      <c r="I37" s="309">
        <v>338.8</v>
      </c>
      <c r="J37" s="39">
        <f t="shared" si="0"/>
        <v>0</v>
      </c>
      <c r="K37" s="309">
        <f t="shared" si="10"/>
        <v>1.54</v>
      </c>
      <c r="L37" s="230"/>
      <c r="M37" s="233"/>
      <c r="N37" s="553"/>
      <c r="O37" s="503">
        <v>220</v>
      </c>
      <c r="P37" s="309">
        <f t="shared" si="8"/>
        <v>338.8</v>
      </c>
      <c r="Q37" s="51" t="str">
        <f t="shared" si="1"/>
        <v>К61х24х8</v>
      </c>
      <c r="R37" s="377">
        <f t="shared" si="5"/>
        <v>1.92</v>
      </c>
      <c r="S37" s="330">
        <v>1.6</v>
      </c>
      <c r="T37" s="353">
        <f t="shared" si="2"/>
        <v>0</v>
      </c>
      <c r="U37" s="20">
        <v>870</v>
      </c>
      <c r="V37" s="20">
        <f t="shared" si="3"/>
        <v>0</v>
      </c>
      <c r="W37" s="52">
        <f t="shared" si="4"/>
        <v>0</v>
      </c>
      <c r="X37" s="20">
        <f>10*125-190-190</f>
        <v>870</v>
      </c>
      <c r="Y37" s="20"/>
      <c r="Z37" s="20"/>
      <c r="AA37" s="20"/>
      <c r="AB37" s="417"/>
      <c r="AC37" s="200"/>
      <c r="AD37" s="160"/>
      <c r="AE37" s="163"/>
      <c r="AF37" s="171"/>
      <c r="AG37" s="192"/>
      <c r="AH37" s="128"/>
      <c r="AI37" s="129"/>
      <c r="AK37" s="10"/>
      <c r="AL37" s="476"/>
      <c r="AM37" s="10"/>
    </row>
    <row r="38" spans="1:241" ht="26.25" hidden="1" customHeight="1" x14ac:dyDescent="0.25">
      <c r="B38" s="11"/>
      <c r="C38" s="6" t="s">
        <v>18</v>
      </c>
      <c r="D38" s="23" t="s">
        <v>9</v>
      </c>
      <c r="E38" s="87" t="s">
        <v>725</v>
      </c>
      <c r="F38" s="208">
        <v>1452</v>
      </c>
      <c r="G38" s="48" t="s">
        <v>0</v>
      </c>
      <c r="H38" s="39"/>
      <c r="I38" s="309">
        <v>0</v>
      </c>
      <c r="J38" s="39">
        <f t="shared" si="0"/>
        <v>0</v>
      </c>
      <c r="K38" s="309">
        <f t="shared" si="10"/>
        <v>23.04</v>
      </c>
      <c r="L38" s="230">
        <f t="shared" ref="L38:L44" si="11">K38*J330</f>
        <v>0</v>
      </c>
      <c r="M38" s="233" t="s">
        <v>737</v>
      </c>
      <c r="N38" s="279"/>
      <c r="O38" s="39"/>
      <c r="P38" s="490">
        <f t="shared" si="8"/>
        <v>0</v>
      </c>
      <c r="Q38" s="441" t="str">
        <f t="shared" si="1"/>
        <v>К59х44х4</v>
      </c>
      <c r="R38" s="377">
        <f t="shared" si="5"/>
        <v>28.8</v>
      </c>
      <c r="S38" s="319">
        <v>24</v>
      </c>
      <c r="T38" s="353">
        <f t="shared" ref="T38:T69" si="12">S38*J38</f>
        <v>0</v>
      </c>
      <c r="U38" s="20"/>
      <c r="V38" s="20">
        <f t="shared" ref="V38:V69" si="13">N38</f>
        <v>0</v>
      </c>
      <c r="W38" s="52">
        <f t="shared" si="4"/>
        <v>0</v>
      </c>
      <c r="X38" s="20"/>
      <c r="Y38" s="20"/>
      <c r="Z38" s="20"/>
      <c r="AA38" s="20"/>
      <c r="AB38" s="417"/>
      <c r="AC38" s="200"/>
      <c r="AD38" s="190">
        <v>0.33</v>
      </c>
      <c r="AE38" s="163"/>
      <c r="AF38" s="171"/>
      <c r="AG38" s="192"/>
      <c r="AH38" s="128"/>
      <c r="AI38" s="129"/>
      <c r="AK38" s="10"/>
      <c r="AL38" s="476"/>
      <c r="AM38" s="10"/>
    </row>
    <row r="39" spans="1:241" ht="26.25" customHeight="1" thickBot="1" x14ac:dyDescent="0.4">
      <c r="B39" s="11">
        <v>10</v>
      </c>
      <c r="C39" s="6" t="s">
        <v>18</v>
      </c>
      <c r="D39" s="23" t="s">
        <v>9</v>
      </c>
      <c r="E39" s="43" t="s">
        <v>115</v>
      </c>
      <c r="F39" s="208" t="s">
        <v>116</v>
      </c>
      <c r="G39" s="12" t="s">
        <v>0</v>
      </c>
      <c r="H39" s="39">
        <v>150</v>
      </c>
      <c r="I39" s="360">
        <v>412.5</v>
      </c>
      <c r="J39" s="39">
        <f t="shared" si="0"/>
        <v>0</v>
      </c>
      <c r="K39" s="309">
        <f t="shared" si="10"/>
        <v>2.75</v>
      </c>
      <c r="L39" s="230">
        <f t="shared" si="11"/>
        <v>0</v>
      </c>
      <c r="M39" s="233" t="s">
        <v>652</v>
      </c>
      <c r="N39" s="553"/>
      <c r="O39" s="503">
        <v>150</v>
      </c>
      <c r="P39" s="490">
        <f t="shared" si="8"/>
        <v>412.5</v>
      </c>
      <c r="Q39" s="256" t="str">
        <f t="shared" si="1"/>
        <v>К72*32*10</v>
      </c>
      <c r="R39" s="377">
        <f t="shared" ref="R39:R70" si="14">S39*1.2</f>
        <v>3.44</v>
      </c>
      <c r="S39" s="320">
        <v>2.87</v>
      </c>
      <c r="T39" s="353">
        <f t="shared" si="12"/>
        <v>0</v>
      </c>
      <c r="U39" s="20">
        <v>6500</v>
      </c>
      <c r="V39" s="20">
        <f t="shared" si="13"/>
        <v>0</v>
      </c>
      <c r="W39" s="52">
        <f t="shared" si="4"/>
        <v>0</v>
      </c>
      <c r="X39" s="20">
        <v>6500</v>
      </c>
      <c r="Y39" s="20"/>
      <c r="Z39" s="20"/>
      <c r="AA39" s="20">
        <v>600</v>
      </c>
      <c r="AB39" s="417"/>
      <c r="AC39" s="200"/>
      <c r="AD39" s="160"/>
      <c r="AE39" s="162"/>
      <c r="AF39" s="171"/>
      <c r="AG39" s="176"/>
      <c r="AH39" s="115"/>
      <c r="AI39" s="113"/>
      <c r="AJ39" s="185"/>
      <c r="AK39" s="435"/>
      <c r="AL39" s="476"/>
      <c r="AM39" s="10"/>
    </row>
    <row r="40" spans="1:241" s="4" customFormat="1" ht="26.25" hidden="1" customHeight="1" thickBot="1" x14ac:dyDescent="0.3">
      <c r="A40" s="10"/>
      <c r="B40" s="11"/>
      <c r="C40" s="6" t="s">
        <v>18</v>
      </c>
      <c r="D40" s="23" t="s">
        <v>9</v>
      </c>
      <c r="E40" s="238" t="s">
        <v>451</v>
      </c>
      <c r="F40" s="387" t="s">
        <v>383</v>
      </c>
      <c r="G40" s="48" t="s">
        <v>0</v>
      </c>
      <c r="H40" s="39"/>
      <c r="I40" s="360">
        <v>0</v>
      </c>
      <c r="J40" s="39">
        <f t="shared" si="0"/>
        <v>0</v>
      </c>
      <c r="K40" s="309">
        <f t="shared" si="10"/>
        <v>4.8</v>
      </c>
      <c r="L40" s="230">
        <f t="shared" si="11"/>
        <v>0</v>
      </c>
      <c r="M40" s="233" t="s">
        <v>528</v>
      </c>
      <c r="N40" s="279"/>
      <c r="O40" s="39"/>
      <c r="P40" s="467">
        <f t="shared" si="8"/>
        <v>0</v>
      </c>
      <c r="Q40" s="264" t="str">
        <f t="shared" si="1"/>
        <v>К72х32х12</v>
      </c>
      <c r="R40" s="377">
        <f t="shared" si="14"/>
        <v>6</v>
      </c>
      <c r="S40" s="330">
        <v>5</v>
      </c>
      <c r="T40" s="353">
        <f t="shared" si="12"/>
        <v>0</v>
      </c>
      <c r="U40" s="20"/>
      <c r="V40" s="20">
        <f t="shared" si="13"/>
        <v>0</v>
      </c>
      <c r="W40" s="52">
        <f t="shared" si="4"/>
        <v>0</v>
      </c>
      <c r="X40" s="20"/>
      <c r="Y40" s="20"/>
      <c r="Z40" s="20"/>
      <c r="AA40" s="20">
        <f>12+40800</f>
        <v>40812</v>
      </c>
      <c r="AB40" s="417"/>
      <c r="AC40" s="200"/>
      <c r="AD40" s="160"/>
      <c r="AE40" s="163"/>
      <c r="AF40" s="171"/>
      <c r="AG40" s="192"/>
      <c r="AH40" s="16"/>
      <c r="AI40" s="16"/>
      <c r="AJ40" s="185"/>
      <c r="AK40" s="126"/>
    </row>
    <row r="41" spans="1:241" ht="26.25" customHeight="1" x14ac:dyDescent="0.35">
      <c r="B41" s="11">
        <v>11</v>
      </c>
      <c r="C41" s="6" t="s">
        <v>18</v>
      </c>
      <c r="D41" s="23" t="s">
        <v>9</v>
      </c>
      <c r="E41" s="239" t="s">
        <v>210</v>
      </c>
      <c r="F41" s="208" t="s">
        <v>256</v>
      </c>
      <c r="G41" s="12" t="s">
        <v>0</v>
      </c>
      <c r="H41" s="39">
        <v>46</v>
      </c>
      <c r="I41" s="360">
        <v>86.48</v>
      </c>
      <c r="J41" s="39">
        <f t="shared" si="0"/>
        <v>0</v>
      </c>
      <c r="K41" s="309">
        <v>1.88</v>
      </c>
      <c r="L41" s="230">
        <f t="shared" si="11"/>
        <v>0</v>
      </c>
      <c r="M41" s="89" t="s">
        <v>566</v>
      </c>
      <c r="N41" s="553"/>
      <c r="O41" s="503">
        <v>46</v>
      </c>
      <c r="P41" s="309">
        <f t="shared" si="8"/>
        <v>86.48</v>
      </c>
      <c r="Q41" s="259" t="str">
        <f t="shared" si="1"/>
        <v>К85х32х9</v>
      </c>
      <c r="R41" s="377">
        <f t="shared" si="14"/>
        <v>2.41</v>
      </c>
      <c r="S41" s="319">
        <v>2.0099999999999998</v>
      </c>
      <c r="T41" s="353">
        <f t="shared" si="12"/>
        <v>0</v>
      </c>
      <c r="U41" s="18">
        <v>3478</v>
      </c>
      <c r="V41" s="20">
        <f t="shared" si="13"/>
        <v>0</v>
      </c>
      <c r="W41" s="52">
        <f t="shared" si="4"/>
        <v>0</v>
      </c>
      <c r="X41" s="18">
        <v>3478</v>
      </c>
      <c r="Y41" s="18"/>
      <c r="Z41" s="18"/>
      <c r="AA41" s="18">
        <f>20+720+20</f>
        <v>760</v>
      </c>
      <c r="AB41" s="418"/>
      <c r="AC41" s="200"/>
      <c r="AD41" s="160"/>
      <c r="AE41" s="162"/>
      <c r="AF41" s="171"/>
      <c r="AG41" s="176"/>
      <c r="AH41" s="115"/>
      <c r="AI41" s="113"/>
      <c r="AJ41" s="185"/>
      <c r="AK41" s="435"/>
      <c r="AL41" s="16"/>
      <c r="AM41" s="10"/>
    </row>
    <row r="42" spans="1:241" ht="26.25" hidden="1" customHeight="1" x14ac:dyDescent="0.25">
      <c r="B42" s="11"/>
      <c r="C42" s="6" t="s">
        <v>18</v>
      </c>
      <c r="D42" s="23" t="s">
        <v>9</v>
      </c>
      <c r="E42" s="239"/>
      <c r="F42" s="211"/>
      <c r="G42" s="12" t="s">
        <v>0</v>
      </c>
      <c r="H42" s="39"/>
      <c r="I42" s="360">
        <v>0</v>
      </c>
      <c r="J42" s="39">
        <f t="shared" si="0"/>
        <v>0</v>
      </c>
      <c r="K42" s="309">
        <v>1.76</v>
      </c>
      <c r="L42" s="230">
        <f t="shared" si="11"/>
        <v>0</v>
      </c>
      <c r="M42" s="89"/>
      <c r="N42" s="279"/>
      <c r="O42" s="39"/>
      <c r="P42" s="467">
        <f t="shared" si="8"/>
        <v>0</v>
      </c>
      <c r="Q42" s="260">
        <f t="shared" si="1"/>
        <v>0</v>
      </c>
      <c r="R42" s="377">
        <f t="shared" si="14"/>
        <v>2.41</v>
      </c>
      <c r="S42" s="319">
        <v>2.0099999999999998</v>
      </c>
      <c r="T42" s="353">
        <f t="shared" si="12"/>
        <v>0</v>
      </c>
      <c r="U42" s="18"/>
      <c r="V42" s="20">
        <f t="shared" si="13"/>
        <v>0</v>
      </c>
      <c r="W42" s="52">
        <f t="shared" si="4"/>
        <v>0</v>
      </c>
      <c r="X42" s="18"/>
      <c r="Y42" s="18"/>
      <c r="Z42" s="102">
        <v>1</v>
      </c>
      <c r="AA42" s="18"/>
      <c r="AB42" s="420"/>
      <c r="AC42" s="200"/>
      <c r="AD42" s="160"/>
      <c r="AE42" s="163"/>
      <c r="AF42" s="171"/>
      <c r="AG42" s="192"/>
      <c r="AH42" s="128"/>
      <c r="AI42" s="129"/>
      <c r="AK42" s="10"/>
      <c r="AL42" s="10"/>
      <c r="AM42" s="10"/>
    </row>
    <row r="43" spans="1:241" s="5" customFormat="1" ht="26.25" customHeight="1" x14ac:dyDescent="0.25">
      <c r="B43" s="11">
        <v>12</v>
      </c>
      <c r="C43" s="6" t="s">
        <v>18</v>
      </c>
      <c r="D43" s="23" t="s">
        <v>9</v>
      </c>
      <c r="E43" s="237" t="s">
        <v>39</v>
      </c>
      <c r="F43" s="208" t="s">
        <v>67</v>
      </c>
      <c r="G43" s="12" t="s">
        <v>0</v>
      </c>
      <c r="H43" s="39">
        <v>1305</v>
      </c>
      <c r="I43" s="360">
        <v>5011.2</v>
      </c>
      <c r="J43" s="39">
        <f t="shared" si="0"/>
        <v>0</v>
      </c>
      <c r="K43" s="309">
        <f>R43*0.8</f>
        <v>3.84</v>
      </c>
      <c r="L43" s="230">
        <f t="shared" si="11"/>
        <v>0</v>
      </c>
      <c r="M43" s="98"/>
      <c r="N43" s="553">
        <f>40+100</f>
        <v>140</v>
      </c>
      <c r="O43" s="503">
        <f>1305-140</f>
        <v>1165</v>
      </c>
      <c r="P43" s="309">
        <f t="shared" si="8"/>
        <v>4473.6000000000004</v>
      </c>
      <c r="Q43" s="260" t="str">
        <f t="shared" si="1"/>
        <v>К85х44х9</v>
      </c>
      <c r="R43" s="377">
        <f t="shared" si="14"/>
        <v>4.8</v>
      </c>
      <c r="S43" s="319">
        <v>4</v>
      </c>
      <c r="T43" s="353">
        <f t="shared" si="12"/>
        <v>0</v>
      </c>
      <c r="U43" s="20">
        <v>2018</v>
      </c>
      <c r="V43" s="20">
        <f t="shared" si="13"/>
        <v>140</v>
      </c>
      <c r="W43" s="52">
        <f t="shared" si="4"/>
        <v>2068</v>
      </c>
      <c r="X43" s="20">
        <f>16*30+10+48*72</f>
        <v>3946</v>
      </c>
      <c r="Y43" s="20"/>
      <c r="Z43" s="20"/>
      <c r="AA43" s="20">
        <v>100</v>
      </c>
      <c r="AB43" s="417"/>
      <c r="AC43" s="200"/>
      <c r="AD43" s="160">
        <v>0.53</v>
      </c>
      <c r="AE43" s="163"/>
      <c r="AF43" s="171"/>
      <c r="AG43" s="173"/>
      <c r="AH43" s="14"/>
      <c r="AI43" s="14"/>
      <c r="AJ43" s="178"/>
      <c r="AK43" s="434"/>
      <c r="AL43" s="475"/>
    </row>
    <row r="44" spans="1:241" s="5" customFormat="1" ht="26.25" customHeight="1" thickBot="1" x14ac:dyDescent="0.3">
      <c r="B44" s="14">
        <v>13</v>
      </c>
      <c r="C44" s="6" t="s">
        <v>18</v>
      </c>
      <c r="D44" s="23" t="s">
        <v>9</v>
      </c>
      <c r="E44" s="237" t="s">
        <v>543</v>
      </c>
      <c r="F44" s="526" t="s">
        <v>303</v>
      </c>
      <c r="G44" s="12" t="s">
        <v>0</v>
      </c>
      <c r="H44" s="39">
        <v>120</v>
      </c>
      <c r="I44" s="360">
        <v>193.2</v>
      </c>
      <c r="J44" s="39">
        <f t="shared" si="0"/>
        <v>0</v>
      </c>
      <c r="K44" s="309">
        <f>S44*0.8</f>
        <v>1.61</v>
      </c>
      <c r="L44" s="230">
        <f t="shared" si="11"/>
        <v>0</v>
      </c>
      <c r="M44" s="233" t="s">
        <v>825</v>
      </c>
      <c r="N44" s="553">
        <v>90</v>
      </c>
      <c r="O44" s="503">
        <v>30</v>
      </c>
      <c r="P44" s="309">
        <f t="shared" si="8"/>
        <v>48.3</v>
      </c>
      <c r="Q44" s="261" t="str">
        <f t="shared" si="1"/>
        <v>К86х32х9 Кр.Борец</v>
      </c>
      <c r="R44" s="377">
        <f t="shared" si="14"/>
        <v>2.41</v>
      </c>
      <c r="S44" s="322">
        <v>2.0099999999999998</v>
      </c>
      <c r="T44" s="353">
        <f t="shared" si="12"/>
        <v>0</v>
      </c>
      <c r="U44" s="18"/>
      <c r="V44" s="20">
        <f t="shared" si="13"/>
        <v>90</v>
      </c>
      <c r="W44" s="52">
        <f t="shared" si="4"/>
        <v>90</v>
      </c>
      <c r="X44" s="18"/>
      <c r="Y44" s="18"/>
      <c r="Z44" s="18"/>
      <c r="AA44" s="18">
        <v>720</v>
      </c>
      <c r="AB44" s="418"/>
      <c r="AC44" s="200"/>
      <c r="AD44" s="160"/>
      <c r="AE44" s="164"/>
      <c r="AF44" s="160"/>
      <c r="AG44" s="173"/>
      <c r="AH44" s="59"/>
      <c r="AI44" s="127"/>
      <c r="AJ44" s="179"/>
      <c r="AL44" s="475"/>
    </row>
    <row r="45" spans="1:241" s="8" customFormat="1" ht="26.25" hidden="1" customHeight="1" x14ac:dyDescent="0.25">
      <c r="A45" s="5"/>
      <c r="B45" s="14"/>
      <c r="C45" s="6" t="s">
        <v>18</v>
      </c>
      <c r="D45" s="23" t="s">
        <v>357</v>
      </c>
      <c r="E45" s="104" t="s">
        <v>356</v>
      </c>
      <c r="F45" s="387" t="s">
        <v>358</v>
      </c>
      <c r="G45" s="12" t="s">
        <v>0</v>
      </c>
      <c r="H45" s="39"/>
      <c r="I45" s="309">
        <v>0</v>
      </c>
      <c r="J45" s="39">
        <f t="shared" si="0"/>
        <v>0</v>
      </c>
      <c r="K45" s="309">
        <f>R45*0.8</f>
        <v>37.93</v>
      </c>
      <c r="L45" s="230"/>
      <c r="M45" s="89"/>
      <c r="N45" s="140"/>
      <c r="O45" s="39"/>
      <c r="P45" s="490">
        <f t="shared" si="8"/>
        <v>0</v>
      </c>
      <c r="Q45" s="264" t="str">
        <f t="shared" si="1"/>
        <v>К102х56х12</v>
      </c>
      <c r="R45" s="377">
        <f t="shared" si="14"/>
        <v>47.41</v>
      </c>
      <c r="S45" s="319">
        <f>395125*0.0001</f>
        <v>39.51</v>
      </c>
      <c r="T45" s="353">
        <f t="shared" si="12"/>
        <v>0</v>
      </c>
      <c r="U45" s="20"/>
      <c r="V45" s="20">
        <f t="shared" si="13"/>
        <v>0</v>
      </c>
      <c r="W45" s="52">
        <f t="shared" si="4"/>
        <v>0</v>
      </c>
      <c r="X45" s="20"/>
      <c r="Y45" s="20"/>
      <c r="Z45" s="20"/>
      <c r="AA45" s="20"/>
      <c r="AB45" s="417"/>
      <c r="AC45" s="200"/>
      <c r="AD45" s="160"/>
      <c r="AE45" s="164"/>
      <c r="AF45" s="160"/>
      <c r="AG45" s="173"/>
      <c r="AH45" s="59"/>
      <c r="AI45" s="127"/>
      <c r="AJ45" s="179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</row>
    <row r="46" spans="1:241" s="8" customFormat="1" ht="26.25" hidden="1" customHeight="1" x14ac:dyDescent="0.25">
      <c r="A46" s="5"/>
      <c r="B46" s="14"/>
      <c r="C46" s="6" t="s">
        <v>18</v>
      </c>
      <c r="D46" s="23" t="s">
        <v>177</v>
      </c>
      <c r="E46" s="87" t="s">
        <v>693</v>
      </c>
      <c r="F46" s="387" t="s">
        <v>697</v>
      </c>
      <c r="G46" s="12"/>
      <c r="H46" s="39"/>
      <c r="I46" s="360">
        <v>0</v>
      </c>
      <c r="J46" s="39">
        <f t="shared" si="0"/>
        <v>0</v>
      </c>
      <c r="K46" s="309">
        <f>R46*0.8</f>
        <v>4.8</v>
      </c>
      <c r="L46" s="230"/>
      <c r="M46" s="89"/>
      <c r="N46" s="140"/>
      <c r="O46" s="503"/>
      <c r="P46" s="309">
        <f t="shared" si="8"/>
        <v>0</v>
      </c>
      <c r="Q46" s="264" t="str">
        <f t="shared" si="1"/>
        <v>Д8,2х6,4</v>
      </c>
      <c r="R46" s="377">
        <f t="shared" si="14"/>
        <v>6</v>
      </c>
      <c r="S46" s="319">
        <v>5</v>
      </c>
      <c r="T46" s="353">
        <f t="shared" si="12"/>
        <v>0</v>
      </c>
      <c r="U46" s="20"/>
      <c r="V46" s="20">
        <f t="shared" si="13"/>
        <v>0</v>
      </c>
      <c r="W46" s="52"/>
      <c r="X46" s="20"/>
      <c r="Y46" s="20"/>
      <c r="Z46" s="20"/>
      <c r="AA46" s="20"/>
      <c r="AB46" s="417"/>
      <c r="AC46" s="200"/>
      <c r="AD46" s="160"/>
      <c r="AE46" s="164"/>
      <c r="AF46" s="160"/>
      <c r="AG46" s="173"/>
      <c r="AH46" s="59"/>
      <c r="AI46" s="127"/>
      <c r="AJ46" s="179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</row>
    <row r="47" spans="1:241" s="5" customFormat="1" ht="30" customHeight="1" x14ac:dyDescent="0.35">
      <c r="B47" s="11">
        <v>14</v>
      </c>
      <c r="C47" s="6" t="s">
        <v>18</v>
      </c>
      <c r="D47" s="23" t="s">
        <v>9</v>
      </c>
      <c r="E47" s="239" t="s">
        <v>225</v>
      </c>
      <c r="F47" s="208" t="s">
        <v>234</v>
      </c>
      <c r="G47" s="12" t="s">
        <v>0</v>
      </c>
      <c r="H47" s="39">
        <v>2000</v>
      </c>
      <c r="I47" s="360">
        <v>280</v>
      </c>
      <c r="J47" s="39">
        <f t="shared" si="0"/>
        <v>1000</v>
      </c>
      <c r="K47" s="309">
        <f>S47*0.8</f>
        <v>0.14000000000000001</v>
      </c>
      <c r="L47" s="406">
        <f>K47*J339</f>
        <v>0</v>
      </c>
      <c r="M47" s="220" t="s">
        <v>884</v>
      </c>
      <c r="N47" s="553">
        <v>1000</v>
      </c>
      <c r="O47" s="503">
        <v>2000</v>
      </c>
      <c r="P47" s="309">
        <f t="shared" si="8"/>
        <v>280</v>
      </c>
      <c r="Q47" s="235" t="str">
        <f t="shared" si="1"/>
        <v>Д18х3</v>
      </c>
      <c r="R47" s="377">
        <f t="shared" si="14"/>
        <v>0.22</v>
      </c>
      <c r="S47" s="323">
        <v>0.18</v>
      </c>
      <c r="T47" s="353">
        <f t="shared" si="12"/>
        <v>180</v>
      </c>
      <c r="U47" s="20">
        <v>68000</v>
      </c>
      <c r="V47" s="20">
        <f t="shared" si="13"/>
        <v>1000</v>
      </c>
      <c r="W47" s="52">
        <f t="shared" ref="W47:W55" si="15">X47-U47+V47</f>
        <v>-8500</v>
      </c>
      <c r="X47" s="20">
        <f>6500*9</f>
        <v>58500</v>
      </c>
      <c r="Y47" s="20">
        <v>1</v>
      </c>
      <c r="Z47" s="20"/>
      <c r="AA47" s="20">
        <f>300+150+1300+20</f>
        <v>1770</v>
      </c>
      <c r="AB47" s="417"/>
      <c r="AC47" s="200"/>
      <c r="AD47" s="160"/>
      <c r="AE47" s="164">
        <v>4940</v>
      </c>
      <c r="AF47" s="160"/>
      <c r="AG47" s="173"/>
      <c r="AH47" s="114"/>
      <c r="AI47" s="109"/>
      <c r="AJ47" s="178"/>
      <c r="AK47" s="434"/>
      <c r="AL47" s="830"/>
      <c r="AM47" s="830"/>
    </row>
    <row r="48" spans="1:241" s="5" customFormat="1" ht="32.25" hidden="1" customHeight="1" x14ac:dyDescent="0.35">
      <c r="B48" s="11"/>
      <c r="C48" s="6" t="s">
        <v>18</v>
      </c>
      <c r="D48" s="23" t="s">
        <v>9</v>
      </c>
      <c r="E48" s="512" t="s">
        <v>851</v>
      </c>
      <c r="F48" s="208">
        <v>1285</v>
      </c>
      <c r="G48" s="12" t="s">
        <v>0</v>
      </c>
      <c r="H48" s="39"/>
      <c r="I48" s="309">
        <v>0</v>
      </c>
      <c r="J48" s="39">
        <f t="shared" si="0"/>
        <v>0</v>
      </c>
      <c r="K48" s="309">
        <f>R48*0.8</f>
        <v>7.68</v>
      </c>
      <c r="L48" s="230"/>
      <c r="M48" s="220" t="s">
        <v>863</v>
      </c>
      <c r="N48" s="279"/>
      <c r="O48" s="503"/>
      <c r="P48" s="309">
        <f t="shared" si="8"/>
        <v>0</v>
      </c>
      <c r="Q48" s="235" t="str">
        <f t="shared" si="1"/>
        <v xml:space="preserve">Д12х18 </v>
      </c>
      <c r="R48" s="495">
        <f t="shared" si="14"/>
        <v>9.6</v>
      </c>
      <c r="S48" s="323">
        <v>8</v>
      </c>
      <c r="T48" s="353">
        <f t="shared" si="12"/>
        <v>0</v>
      </c>
      <c r="U48" s="18"/>
      <c r="V48" s="20">
        <f t="shared" si="13"/>
        <v>0</v>
      </c>
      <c r="W48" s="18">
        <f t="shared" si="15"/>
        <v>0</v>
      </c>
      <c r="X48" s="18"/>
      <c r="Y48" s="20"/>
      <c r="Z48" s="199"/>
      <c r="AA48" s="20"/>
      <c r="AB48" s="419"/>
      <c r="AC48" s="200"/>
      <c r="AD48" s="160"/>
      <c r="AE48" s="164"/>
      <c r="AF48" s="160"/>
      <c r="AG48" s="173"/>
      <c r="AH48" s="114"/>
      <c r="AI48" s="288"/>
      <c r="AJ48" s="289"/>
      <c r="AK48" s="290"/>
    </row>
    <row r="49" spans="1:39" s="5" customFormat="1" ht="26.25" hidden="1" customHeight="1" x14ac:dyDescent="0.25">
      <c r="B49" s="483"/>
      <c r="C49" s="484" t="s">
        <v>18</v>
      </c>
      <c r="D49" s="485" t="s">
        <v>9</v>
      </c>
      <c r="E49" s="486" t="s">
        <v>853</v>
      </c>
      <c r="F49" s="487" t="s">
        <v>698</v>
      </c>
      <c r="G49" s="12" t="s">
        <v>0</v>
      </c>
      <c r="H49" s="489"/>
      <c r="I49" s="467">
        <v>0</v>
      </c>
      <c r="J49" s="39">
        <f t="shared" si="0"/>
        <v>0</v>
      </c>
      <c r="K49" s="490">
        <f>R49*0.8</f>
        <v>0.48</v>
      </c>
      <c r="L49" s="491"/>
      <c r="M49" s="220" t="s">
        <v>865</v>
      </c>
      <c r="N49" s="493"/>
      <c r="O49" s="489"/>
      <c r="P49" s="467">
        <f t="shared" si="8"/>
        <v>0</v>
      </c>
      <c r="Q49" s="264" t="str">
        <f t="shared" si="1"/>
        <v>Д16х3</v>
      </c>
      <c r="R49" s="494">
        <f t="shared" si="14"/>
        <v>0.6</v>
      </c>
      <c r="S49" s="324">
        <v>0.5</v>
      </c>
      <c r="T49" s="353">
        <f t="shared" si="12"/>
        <v>0</v>
      </c>
      <c r="U49" s="20">
        <v>130</v>
      </c>
      <c r="V49" s="20">
        <f t="shared" si="13"/>
        <v>0</v>
      </c>
      <c r="W49" s="52">
        <f t="shared" si="15"/>
        <v>-130</v>
      </c>
      <c r="X49" s="20"/>
      <c r="Y49" s="20"/>
      <c r="Z49" s="20"/>
      <c r="AA49" s="20"/>
      <c r="AB49" s="417"/>
      <c r="AC49" s="200"/>
      <c r="AD49" s="160"/>
      <c r="AE49" s="164"/>
      <c r="AF49" s="160"/>
      <c r="AG49" s="173"/>
      <c r="AH49" s="59"/>
      <c r="AI49" s="127"/>
      <c r="AJ49" s="179"/>
    </row>
    <row r="50" spans="1:39" s="5" customFormat="1" ht="26.25" customHeight="1" x14ac:dyDescent="0.25">
      <c r="B50" s="11">
        <v>15</v>
      </c>
      <c r="C50" s="6" t="s">
        <v>18</v>
      </c>
      <c r="D50" s="23" t="s">
        <v>9</v>
      </c>
      <c r="E50" s="239" t="s">
        <v>315</v>
      </c>
      <c r="F50" s="208">
        <v>1094</v>
      </c>
      <c r="G50" s="12" t="s">
        <v>0</v>
      </c>
      <c r="H50" s="39">
        <v>1760</v>
      </c>
      <c r="I50" s="360">
        <v>338.32</v>
      </c>
      <c r="J50" s="39">
        <f t="shared" si="0"/>
        <v>0</v>
      </c>
      <c r="K50" s="309">
        <v>0.19</v>
      </c>
      <c r="L50" s="230"/>
      <c r="M50" s="89"/>
      <c r="N50" s="553"/>
      <c r="O50" s="503">
        <v>1760</v>
      </c>
      <c r="P50" s="309">
        <f>I50</f>
        <v>338.32</v>
      </c>
      <c r="Q50" s="235" t="str">
        <f t="shared" si="1"/>
        <v>Д20х3</v>
      </c>
      <c r="R50" s="377">
        <f t="shared" si="14"/>
        <v>0.24</v>
      </c>
      <c r="S50" s="323">
        <f>2000*0.0001</f>
        <v>0.2</v>
      </c>
      <c r="T50" s="353">
        <f t="shared" si="12"/>
        <v>0</v>
      </c>
      <c r="U50" s="20"/>
      <c r="V50" s="20">
        <f t="shared" si="13"/>
        <v>0</v>
      </c>
      <c r="W50" s="52">
        <f t="shared" si="15"/>
        <v>0</v>
      </c>
      <c r="X50" s="20"/>
      <c r="Y50" s="20">
        <v>1</v>
      </c>
      <c r="Z50" s="20"/>
      <c r="AA50" s="20">
        <v>200</v>
      </c>
      <c r="AB50" s="417"/>
      <c r="AC50" s="200"/>
      <c r="AD50" s="160">
        <v>4.2000000000000003E-2</v>
      </c>
      <c r="AE50" s="164"/>
      <c r="AF50" s="160"/>
      <c r="AG50" s="173"/>
      <c r="AH50" s="14"/>
      <c r="AI50" s="14"/>
      <c r="AJ50" s="178"/>
      <c r="AK50" s="135"/>
    </row>
    <row r="51" spans="1:39" s="5" customFormat="1" ht="26.25" hidden="1" customHeight="1" x14ac:dyDescent="0.25">
      <c r="B51" s="11"/>
      <c r="C51" s="6" t="s">
        <v>18</v>
      </c>
      <c r="D51" s="23" t="s">
        <v>9</v>
      </c>
      <c r="E51" s="212" t="s">
        <v>490</v>
      </c>
      <c r="F51" s="385" t="s">
        <v>270</v>
      </c>
      <c r="G51" s="12" t="s">
        <v>0</v>
      </c>
      <c r="H51" s="39"/>
      <c r="I51" s="309">
        <v>0</v>
      </c>
      <c r="J51" s="39">
        <f t="shared" si="0"/>
        <v>0</v>
      </c>
      <c r="K51" s="309">
        <f>R51*0.8</f>
        <v>4.99</v>
      </c>
      <c r="L51" s="230"/>
      <c r="M51" s="89"/>
      <c r="N51" s="279"/>
      <c r="O51" s="39"/>
      <c r="P51" s="490">
        <f>K51*O51</f>
        <v>0</v>
      </c>
      <c r="Q51" s="264" t="str">
        <f t="shared" si="1"/>
        <v>Д40х9</v>
      </c>
      <c r="R51" s="377">
        <f t="shared" si="14"/>
        <v>6.24</v>
      </c>
      <c r="S51" s="323">
        <f>52000*0.0001</f>
        <v>5.2</v>
      </c>
      <c r="T51" s="353">
        <f t="shared" si="12"/>
        <v>0</v>
      </c>
      <c r="U51" s="20">
        <v>210</v>
      </c>
      <c r="V51" s="20">
        <f t="shared" si="13"/>
        <v>0</v>
      </c>
      <c r="W51" s="52">
        <f t="shared" si="15"/>
        <v>0</v>
      </c>
      <c r="X51" s="20">
        <v>210</v>
      </c>
      <c r="Y51" s="20"/>
      <c r="Z51" s="20"/>
      <c r="AA51" s="20"/>
      <c r="AB51" s="417"/>
      <c r="AC51" s="200"/>
      <c r="AD51" s="160"/>
      <c r="AE51" s="164"/>
      <c r="AF51" s="160"/>
      <c r="AG51" s="173"/>
      <c r="AH51" s="59"/>
      <c r="AI51" s="127"/>
      <c r="AJ51" s="179"/>
      <c r="AL51" s="475"/>
    </row>
    <row r="52" spans="1:39" s="5" customFormat="1" ht="26.25" customHeight="1" x14ac:dyDescent="0.25">
      <c r="B52" s="11">
        <v>16</v>
      </c>
      <c r="C52" s="6" t="s">
        <v>18</v>
      </c>
      <c r="D52" s="23" t="s">
        <v>9</v>
      </c>
      <c r="E52" s="212" t="s">
        <v>455</v>
      </c>
      <c r="F52" s="383" t="s">
        <v>456</v>
      </c>
      <c r="G52" s="12" t="s">
        <v>0</v>
      </c>
      <c r="H52" s="39">
        <v>400</v>
      </c>
      <c r="I52" s="360">
        <v>691.2</v>
      </c>
      <c r="J52" s="39">
        <f t="shared" si="0"/>
        <v>0</v>
      </c>
      <c r="K52" s="309">
        <v>1.73</v>
      </c>
      <c r="L52" s="230"/>
      <c r="M52" s="89"/>
      <c r="N52" s="553"/>
      <c r="O52" s="503">
        <v>400</v>
      </c>
      <c r="P52" s="309">
        <f>I52</f>
        <v>691.2</v>
      </c>
      <c r="Q52" s="235" t="str">
        <f t="shared" si="1"/>
        <v>Д30х10</v>
      </c>
      <c r="R52" s="377">
        <f t="shared" si="14"/>
        <v>2.16</v>
      </c>
      <c r="S52" s="325">
        <f>18000*0.0001</f>
        <v>1.8</v>
      </c>
      <c r="T52" s="353">
        <f t="shared" si="12"/>
        <v>0</v>
      </c>
      <c r="U52" s="20"/>
      <c r="V52" s="20">
        <f t="shared" si="13"/>
        <v>0</v>
      </c>
      <c r="W52" s="52">
        <f t="shared" si="15"/>
        <v>0</v>
      </c>
      <c r="X52" s="20"/>
      <c r="Y52" s="20"/>
      <c r="Z52" s="20"/>
      <c r="AA52" s="20"/>
      <c r="AB52" s="417"/>
      <c r="AC52" s="200"/>
      <c r="AD52" s="160"/>
      <c r="AE52" s="164"/>
      <c r="AF52" s="160"/>
      <c r="AG52" s="173"/>
      <c r="AH52" s="59"/>
      <c r="AI52" s="127"/>
      <c r="AJ52" s="179"/>
    </row>
    <row r="53" spans="1:39" s="4" customFormat="1" ht="26.25" hidden="1" customHeight="1" x14ac:dyDescent="0.25">
      <c r="A53" s="10"/>
      <c r="B53" s="11"/>
      <c r="C53" s="6" t="s">
        <v>18</v>
      </c>
      <c r="D53" s="23" t="s">
        <v>9</v>
      </c>
      <c r="E53" s="239" t="s">
        <v>661</v>
      </c>
      <c r="F53" s="270">
        <v>1131</v>
      </c>
      <c r="G53" s="12" t="s">
        <v>0</v>
      </c>
      <c r="H53" s="39"/>
      <c r="I53" s="309">
        <v>0</v>
      </c>
      <c r="J53" s="39">
        <f t="shared" si="0"/>
        <v>0</v>
      </c>
      <c r="K53" s="309">
        <f>R53*0.8</f>
        <v>19.2</v>
      </c>
      <c r="L53" s="230"/>
      <c r="M53" s="64"/>
      <c r="N53" s="279"/>
      <c r="O53" s="39"/>
      <c r="P53" s="490">
        <f t="shared" ref="P53:P63" si="16">K53*O53</f>
        <v>0</v>
      </c>
      <c r="Q53" s="262"/>
      <c r="R53" s="377">
        <f t="shared" si="14"/>
        <v>24</v>
      </c>
      <c r="S53" s="320">
        <f>200000*0.0001</f>
        <v>20</v>
      </c>
      <c r="T53" s="353">
        <f t="shared" si="12"/>
        <v>0</v>
      </c>
      <c r="U53" s="20">
        <v>600</v>
      </c>
      <c r="V53" s="20">
        <f t="shared" si="13"/>
        <v>0</v>
      </c>
      <c r="W53" s="52">
        <f t="shared" si="15"/>
        <v>650</v>
      </c>
      <c r="X53" s="148">
        <v>1250</v>
      </c>
      <c r="Y53" s="20"/>
      <c r="Z53" s="199"/>
      <c r="AA53" s="20"/>
      <c r="AB53" s="419"/>
      <c r="AC53" s="200"/>
      <c r="AD53" s="160"/>
      <c r="AE53" s="163"/>
      <c r="AF53" s="171"/>
      <c r="AG53" s="192"/>
      <c r="AH53" s="128"/>
      <c r="AI53" s="129"/>
      <c r="AJ53" s="182"/>
    </row>
    <row r="54" spans="1:39" s="4" customFormat="1" ht="26.25" hidden="1" customHeight="1" x14ac:dyDescent="0.25">
      <c r="A54" s="10"/>
      <c r="B54" s="14"/>
      <c r="C54" s="6" t="s">
        <v>18</v>
      </c>
      <c r="D54" s="23" t="s">
        <v>9</v>
      </c>
      <c r="E54" s="212" t="s">
        <v>661</v>
      </c>
      <c r="F54" s="385"/>
      <c r="G54" s="12" t="s">
        <v>0</v>
      </c>
      <c r="H54" s="39"/>
      <c r="I54" s="309">
        <v>0</v>
      </c>
      <c r="J54" s="39">
        <f t="shared" si="0"/>
        <v>0</v>
      </c>
      <c r="K54" s="309">
        <f>R54*0.8</f>
        <v>0.48</v>
      </c>
      <c r="L54" s="230">
        <f>K54*J346</f>
        <v>0</v>
      </c>
      <c r="M54" s="42"/>
      <c r="N54" s="279"/>
      <c r="O54" s="39"/>
      <c r="P54" s="309">
        <f t="shared" si="16"/>
        <v>0</v>
      </c>
      <c r="Q54" s="263" t="str">
        <f t="shared" ref="Q54:Q117" si="17">E54</f>
        <v>Д20х4</v>
      </c>
      <c r="R54" s="377">
        <f t="shared" si="14"/>
        <v>0.6</v>
      </c>
      <c r="S54" s="322">
        <f>0.0001*5000</f>
        <v>0.5</v>
      </c>
      <c r="T54" s="353">
        <f t="shared" si="12"/>
        <v>0</v>
      </c>
      <c r="U54" s="18"/>
      <c r="V54" s="20">
        <f t="shared" si="13"/>
        <v>0</v>
      </c>
      <c r="W54" s="52">
        <f t="shared" si="15"/>
        <v>1250</v>
      </c>
      <c r="X54" s="147">
        <v>1250</v>
      </c>
      <c r="Y54" s="18"/>
      <c r="Z54" s="18"/>
      <c r="AA54" s="18"/>
      <c r="AB54" s="418"/>
      <c r="AC54" s="200"/>
      <c r="AD54" s="160"/>
      <c r="AE54" s="163"/>
      <c r="AF54" s="171"/>
      <c r="AG54" s="192"/>
      <c r="AH54" s="128"/>
      <c r="AI54" s="129"/>
      <c r="AJ54" s="182"/>
    </row>
    <row r="55" spans="1:39" ht="26.25" hidden="1" customHeight="1" x14ac:dyDescent="0.25">
      <c r="B55" s="15"/>
      <c r="C55" s="6" t="s">
        <v>18</v>
      </c>
      <c r="D55" s="23" t="s">
        <v>9</v>
      </c>
      <c r="E55" s="87" t="s">
        <v>507</v>
      </c>
      <c r="F55" s="208" t="s">
        <v>184</v>
      </c>
      <c r="G55" s="48" t="s">
        <v>0</v>
      </c>
      <c r="H55" s="39"/>
      <c r="I55" s="360">
        <v>0</v>
      </c>
      <c r="J55" s="39">
        <f t="shared" si="0"/>
        <v>0</v>
      </c>
      <c r="K55" s="309">
        <v>0.39</v>
      </c>
      <c r="L55" s="230">
        <f>K55*J347</f>
        <v>0</v>
      </c>
      <c r="M55" s="154" t="s">
        <v>801</v>
      </c>
      <c r="N55" s="279"/>
      <c r="O55" s="503"/>
      <c r="P55" s="309">
        <f t="shared" si="16"/>
        <v>0</v>
      </c>
      <c r="Q55" s="235" t="str">
        <f t="shared" si="17"/>
        <v>П2х3.5х3.8 DFM</v>
      </c>
      <c r="R55" s="306">
        <f t="shared" si="14"/>
        <v>0.49</v>
      </c>
      <c r="S55" s="319">
        <f>4060*0.0001</f>
        <v>0.41</v>
      </c>
      <c r="T55" s="353">
        <f t="shared" si="12"/>
        <v>0</v>
      </c>
      <c r="U55" s="20">
        <v>31000</v>
      </c>
      <c r="V55" s="20">
        <f t="shared" si="13"/>
        <v>0</v>
      </c>
      <c r="W55" s="52">
        <f t="shared" si="15"/>
        <v>0</v>
      </c>
      <c r="X55" s="20">
        <v>31000</v>
      </c>
      <c r="Y55" s="20">
        <v>1</v>
      </c>
      <c r="Z55" s="20">
        <v>4500</v>
      </c>
      <c r="AA55" s="20">
        <v>30000</v>
      </c>
      <c r="AB55" s="417"/>
      <c r="AC55" s="201"/>
      <c r="AD55" s="160">
        <v>5.1999999999999998E-2</v>
      </c>
      <c r="AE55" s="163"/>
      <c r="AF55" s="171"/>
      <c r="AG55" s="192"/>
      <c r="AH55" s="16"/>
      <c r="AI55" s="16"/>
      <c r="AJ55" s="185"/>
      <c r="AK55" s="435"/>
      <c r="AL55" s="476"/>
      <c r="AM55" s="10"/>
    </row>
    <row r="56" spans="1:39" ht="26.25" hidden="1" customHeight="1" x14ac:dyDescent="0.25">
      <c r="B56" s="15"/>
      <c r="C56" s="6" t="s">
        <v>18</v>
      </c>
      <c r="D56" s="23" t="s">
        <v>9</v>
      </c>
      <c r="E56" s="87" t="s">
        <v>390</v>
      </c>
      <c r="F56" s="208">
        <v>1464</v>
      </c>
      <c r="G56" s="48" t="s">
        <v>0</v>
      </c>
      <c r="H56" s="39"/>
      <c r="I56" s="360">
        <v>0</v>
      </c>
      <c r="J56" s="39">
        <f t="shared" si="0"/>
        <v>0</v>
      </c>
      <c r="K56" s="309">
        <f t="shared" ref="K56:K63" si="18">R56*0.8</f>
        <v>1.06</v>
      </c>
      <c r="L56" s="230"/>
      <c r="M56" s="456" t="s">
        <v>739</v>
      </c>
      <c r="N56" s="279"/>
      <c r="O56" s="503"/>
      <c r="P56" s="309">
        <f t="shared" si="16"/>
        <v>0</v>
      </c>
      <c r="Q56" s="235" t="str">
        <f t="shared" si="17"/>
        <v xml:space="preserve">П3,5х2х4 </v>
      </c>
      <c r="R56" s="306">
        <f t="shared" si="14"/>
        <v>1.32</v>
      </c>
      <c r="S56" s="319">
        <v>1.1000000000000001</v>
      </c>
      <c r="T56" s="353">
        <f t="shared" si="12"/>
        <v>0</v>
      </c>
      <c r="U56" s="20"/>
      <c r="V56" s="20">
        <f t="shared" si="13"/>
        <v>0</v>
      </c>
      <c r="W56" s="52"/>
      <c r="X56" s="20"/>
      <c r="Y56" s="20"/>
      <c r="Z56" s="20"/>
      <c r="AA56" s="20"/>
      <c r="AB56" s="417"/>
      <c r="AC56" s="201"/>
      <c r="AD56" s="160"/>
      <c r="AE56" s="163"/>
      <c r="AF56" s="171"/>
      <c r="AG56" s="192"/>
      <c r="AH56" s="16"/>
      <c r="AI56" s="16"/>
      <c r="AJ56" s="185"/>
      <c r="AK56" s="435"/>
      <c r="AL56" s="836"/>
      <c r="AM56" s="10"/>
    </row>
    <row r="57" spans="1:39" ht="26.25" customHeight="1" x14ac:dyDescent="0.25">
      <c r="B57" s="11">
        <v>17</v>
      </c>
      <c r="C57" s="6" t="s">
        <v>18</v>
      </c>
      <c r="D57" s="23" t="s">
        <v>9</v>
      </c>
      <c r="E57" s="237" t="s">
        <v>90</v>
      </c>
      <c r="F57" s="208">
        <v>403</v>
      </c>
      <c r="G57" s="48" t="s">
        <v>0</v>
      </c>
      <c r="H57" s="39"/>
      <c r="I57" s="360">
        <v>0</v>
      </c>
      <c r="J57" s="39">
        <f t="shared" si="0"/>
        <v>116</v>
      </c>
      <c r="K57" s="309">
        <f t="shared" si="18"/>
        <v>0.68</v>
      </c>
      <c r="L57" s="230">
        <f>K57*J348</f>
        <v>0</v>
      </c>
      <c r="M57" s="292"/>
      <c r="N57" s="553">
        <v>116</v>
      </c>
      <c r="O57" s="503"/>
      <c r="P57" s="309">
        <f t="shared" si="16"/>
        <v>0</v>
      </c>
      <c r="Q57" s="235" t="str">
        <f t="shared" si="17"/>
        <v>П4,8х4х3,8 ЭПГ110.150</v>
      </c>
      <c r="R57" s="377">
        <f t="shared" si="14"/>
        <v>0.85</v>
      </c>
      <c r="S57" s="320">
        <v>0.71</v>
      </c>
      <c r="T57" s="353">
        <f t="shared" si="12"/>
        <v>82.36</v>
      </c>
      <c r="U57" s="20">
        <v>7562</v>
      </c>
      <c r="V57" s="20">
        <f t="shared" si="13"/>
        <v>116</v>
      </c>
      <c r="W57" s="52">
        <f t="shared" ref="W57:W65" si="19">X57-U57+V57</f>
        <v>116</v>
      </c>
      <c r="X57" s="20">
        <f>7680-118</f>
        <v>7562</v>
      </c>
      <c r="Y57" s="20"/>
      <c r="Z57" s="20"/>
      <c r="AA57" s="20">
        <v>450</v>
      </c>
      <c r="AB57" s="417"/>
      <c r="AC57" s="200"/>
      <c r="AD57" s="160"/>
      <c r="AE57" s="163"/>
      <c r="AF57" s="171"/>
      <c r="AG57" s="192"/>
      <c r="AH57" s="16"/>
      <c r="AI57" s="16"/>
      <c r="AJ57" s="185"/>
      <c r="AK57" s="435"/>
      <c r="AL57" s="832"/>
      <c r="AM57" s="832"/>
    </row>
    <row r="58" spans="1:39" ht="26.25" hidden="1" customHeight="1" x14ac:dyDescent="0.25">
      <c r="B58" s="11"/>
      <c r="C58" s="6" t="s">
        <v>18</v>
      </c>
      <c r="D58" s="23" t="s">
        <v>9</v>
      </c>
      <c r="E58" s="87" t="s">
        <v>552</v>
      </c>
      <c r="F58" s="208">
        <v>1353</v>
      </c>
      <c r="G58" s="48"/>
      <c r="H58" s="39"/>
      <c r="I58" s="360">
        <v>0</v>
      </c>
      <c r="J58" s="39">
        <f t="shared" si="0"/>
        <v>0</v>
      </c>
      <c r="K58" s="309">
        <f t="shared" si="18"/>
        <v>15.36</v>
      </c>
      <c r="L58" s="230"/>
      <c r="M58" s="213"/>
      <c r="N58" s="279"/>
      <c r="O58" s="39"/>
      <c r="P58" s="467">
        <f t="shared" si="16"/>
        <v>0</v>
      </c>
      <c r="Q58" s="441" t="str">
        <f t="shared" si="17"/>
        <v>П5,5х1,5х5,5</v>
      </c>
      <c r="R58" s="306">
        <f t="shared" si="14"/>
        <v>19.2</v>
      </c>
      <c r="S58" s="320">
        <v>16</v>
      </c>
      <c r="T58" s="353">
        <f t="shared" si="12"/>
        <v>0</v>
      </c>
      <c r="U58" s="20"/>
      <c r="V58" s="20">
        <f t="shared" si="13"/>
        <v>0</v>
      </c>
      <c r="W58" s="52">
        <f t="shared" si="19"/>
        <v>0</v>
      </c>
      <c r="X58" s="20"/>
      <c r="Y58" s="20"/>
      <c r="Z58" s="20"/>
      <c r="AA58" s="20"/>
      <c r="AB58" s="417"/>
      <c r="AC58" s="200"/>
      <c r="AD58" s="160"/>
      <c r="AE58" s="163"/>
      <c r="AF58" s="171"/>
      <c r="AG58" s="192"/>
      <c r="AH58" s="16"/>
      <c r="AI58" s="30"/>
      <c r="AJ58" s="188"/>
      <c r="AK58" s="137"/>
      <c r="AL58" s="10"/>
      <c r="AM58" s="10"/>
    </row>
    <row r="59" spans="1:39" ht="26.25" hidden="1" customHeight="1" x14ac:dyDescent="0.25">
      <c r="B59" s="11"/>
      <c r="C59" s="6" t="s">
        <v>18</v>
      </c>
      <c r="D59" s="23" t="s">
        <v>9</v>
      </c>
      <c r="E59" s="87" t="s">
        <v>553</v>
      </c>
      <c r="F59" s="208">
        <v>1353</v>
      </c>
      <c r="G59" s="48"/>
      <c r="H59" s="39"/>
      <c r="I59" s="360">
        <v>0</v>
      </c>
      <c r="J59" s="39">
        <f t="shared" si="0"/>
        <v>0</v>
      </c>
      <c r="K59" s="309">
        <f t="shared" si="18"/>
        <v>15.36</v>
      </c>
      <c r="L59" s="230"/>
      <c r="M59" s="213"/>
      <c r="N59" s="279"/>
      <c r="O59" s="39"/>
      <c r="P59" s="360">
        <f t="shared" si="16"/>
        <v>0</v>
      </c>
      <c r="Q59" s="51" t="str">
        <f t="shared" si="17"/>
        <v>П5,5х2х5,5</v>
      </c>
      <c r="R59" s="306">
        <f t="shared" si="14"/>
        <v>19.2</v>
      </c>
      <c r="S59" s="320">
        <v>16</v>
      </c>
      <c r="T59" s="353">
        <f t="shared" si="12"/>
        <v>0</v>
      </c>
      <c r="U59" s="20"/>
      <c r="V59" s="20">
        <f t="shared" si="13"/>
        <v>0</v>
      </c>
      <c r="W59" s="52">
        <f t="shared" si="19"/>
        <v>0</v>
      </c>
      <c r="X59" s="20"/>
      <c r="Y59" s="20"/>
      <c r="Z59" s="20"/>
      <c r="AA59" s="20"/>
      <c r="AB59" s="417"/>
      <c r="AC59" s="200"/>
      <c r="AD59" s="160"/>
      <c r="AE59" s="163"/>
      <c r="AF59" s="171"/>
      <c r="AG59" s="192"/>
      <c r="AH59" s="16"/>
      <c r="AI59" s="30"/>
      <c r="AJ59" s="188"/>
      <c r="AK59" s="137"/>
      <c r="AL59" s="10"/>
      <c r="AM59" s="10"/>
    </row>
    <row r="60" spans="1:39" ht="26.25" hidden="1" customHeight="1" x14ac:dyDescent="0.25">
      <c r="B60" s="11"/>
      <c r="C60" s="6" t="s">
        <v>18</v>
      </c>
      <c r="D60" s="23" t="s">
        <v>9</v>
      </c>
      <c r="E60" s="87" t="s">
        <v>554</v>
      </c>
      <c r="F60" s="208">
        <v>1353</v>
      </c>
      <c r="G60" s="48"/>
      <c r="H60" s="39"/>
      <c r="I60" s="360">
        <v>0</v>
      </c>
      <c r="J60" s="39">
        <f t="shared" si="0"/>
        <v>0</v>
      </c>
      <c r="K60" s="309">
        <f t="shared" si="18"/>
        <v>15.36</v>
      </c>
      <c r="L60" s="230"/>
      <c r="M60" s="213"/>
      <c r="N60" s="279"/>
      <c r="O60" s="39"/>
      <c r="P60" s="360">
        <f t="shared" si="16"/>
        <v>0</v>
      </c>
      <c r="Q60" s="442" t="str">
        <f t="shared" si="17"/>
        <v>П5,5х2,5х5,5</v>
      </c>
      <c r="R60" s="306">
        <f t="shared" si="14"/>
        <v>19.2</v>
      </c>
      <c r="S60" s="320">
        <v>16</v>
      </c>
      <c r="T60" s="353">
        <f t="shared" si="12"/>
        <v>0</v>
      </c>
      <c r="U60" s="20"/>
      <c r="V60" s="20">
        <f t="shared" si="13"/>
        <v>0</v>
      </c>
      <c r="W60" s="52">
        <f t="shared" si="19"/>
        <v>0</v>
      </c>
      <c r="X60" s="20"/>
      <c r="Y60" s="20"/>
      <c r="Z60" s="20"/>
      <c r="AA60" s="20"/>
      <c r="AB60" s="417"/>
      <c r="AC60" s="200"/>
      <c r="AD60" s="160"/>
      <c r="AE60" s="163"/>
      <c r="AF60" s="171"/>
      <c r="AG60" s="192"/>
      <c r="AH60" s="16"/>
      <c r="AI60" s="30"/>
      <c r="AJ60" s="188"/>
      <c r="AK60" s="137"/>
      <c r="AL60" s="10"/>
      <c r="AM60" s="10"/>
    </row>
    <row r="61" spans="1:39" ht="26.25" customHeight="1" x14ac:dyDescent="0.25">
      <c r="B61" s="11">
        <v>18</v>
      </c>
      <c r="C61" s="6" t="s">
        <v>18</v>
      </c>
      <c r="D61" s="23" t="s">
        <v>9</v>
      </c>
      <c r="E61" s="237" t="s">
        <v>323</v>
      </c>
      <c r="F61" s="208">
        <v>997</v>
      </c>
      <c r="G61" s="48"/>
      <c r="H61" s="39"/>
      <c r="I61" s="360">
        <v>0</v>
      </c>
      <c r="J61" s="39">
        <f t="shared" si="0"/>
        <v>800</v>
      </c>
      <c r="K61" s="309">
        <f t="shared" si="18"/>
        <v>0.9</v>
      </c>
      <c r="L61" s="230">
        <f>K61*J352</f>
        <v>0</v>
      </c>
      <c r="M61" s="220"/>
      <c r="N61" s="553">
        <v>800</v>
      </c>
      <c r="O61" s="503"/>
      <c r="P61" s="309">
        <f t="shared" si="16"/>
        <v>0</v>
      </c>
      <c r="Q61" s="235" t="str">
        <f t="shared" si="17"/>
        <v>П5х5х4</v>
      </c>
      <c r="R61" s="377">
        <f t="shared" si="14"/>
        <v>1.1200000000000001</v>
      </c>
      <c r="S61" s="320">
        <v>0.93</v>
      </c>
      <c r="T61" s="353">
        <f t="shared" si="12"/>
        <v>744</v>
      </c>
      <c r="U61" s="20">
        <v>3157</v>
      </c>
      <c r="V61" s="20">
        <f t="shared" si="13"/>
        <v>800</v>
      </c>
      <c r="W61" s="52">
        <f t="shared" si="19"/>
        <v>800</v>
      </c>
      <c r="X61" s="20">
        <v>3157</v>
      </c>
      <c r="Y61" s="20">
        <v>1</v>
      </c>
      <c r="Z61" s="20"/>
      <c r="AA61" s="20">
        <v>900</v>
      </c>
      <c r="AB61" s="417"/>
      <c r="AC61" s="200"/>
      <c r="AD61" s="160"/>
      <c r="AE61" s="163"/>
      <c r="AF61" s="171"/>
      <c r="AG61" s="192"/>
      <c r="AH61" s="128"/>
      <c r="AI61" s="129"/>
      <c r="AK61" s="10"/>
      <c r="AL61" s="832"/>
      <c r="AM61" s="832"/>
    </row>
    <row r="62" spans="1:39" ht="26.25" customHeight="1" x14ac:dyDescent="0.25">
      <c r="B62" s="11">
        <v>19</v>
      </c>
      <c r="C62" s="6" t="s">
        <v>18</v>
      </c>
      <c r="D62" s="23" t="s">
        <v>9</v>
      </c>
      <c r="E62" s="237" t="s">
        <v>324</v>
      </c>
      <c r="F62" s="384">
        <v>996</v>
      </c>
      <c r="G62" s="48"/>
      <c r="H62" s="39"/>
      <c r="I62" s="360">
        <v>0</v>
      </c>
      <c r="J62" s="39">
        <f t="shared" si="0"/>
        <v>100</v>
      </c>
      <c r="K62" s="309">
        <f t="shared" si="18"/>
        <v>0.86</v>
      </c>
      <c r="L62" s="230"/>
      <c r="M62" s="292"/>
      <c r="N62" s="553">
        <v>100</v>
      </c>
      <c r="O62" s="39"/>
      <c r="P62" s="469">
        <f t="shared" si="16"/>
        <v>0</v>
      </c>
      <c r="Q62" s="264" t="str">
        <f t="shared" si="17"/>
        <v>П5х5х5</v>
      </c>
      <c r="R62" s="377">
        <f t="shared" si="14"/>
        <v>1.08</v>
      </c>
      <c r="S62" s="320">
        <v>0.9</v>
      </c>
      <c r="T62" s="353">
        <f t="shared" si="12"/>
        <v>90</v>
      </c>
      <c r="U62" s="20">
        <v>76</v>
      </c>
      <c r="V62" s="20">
        <f t="shared" si="13"/>
        <v>100</v>
      </c>
      <c r="W62" s="52">
        <f t="shared" si="19"/>
        <v>100</v>
      </c>
      <c r="X62" s="20">
        <v>76</v>
      </c>
      <c r="Y62" s="20"/>
      <c r="Z62" s="20"/>
      <c r="AA62" s="20">
        <v>500</v>
      </c>
      <c r="AB62" s="417"/>
      <c r="AC62" s="200"/>
      <c r="AD62" s="160"/>
      <c r="AE62" s="163"/>
      <c r="AF62" s="171"/>
      <c r="AG62" s="192"/>
      <c r="AH62" s="128"/>
      <c r="AI62" s="129"/>
      <c r="AK62" s="10"/>
      <c r="AL62" s="832"/>
      <c r="AM62" s="832"/>
    </row>
    <row r="63" spans="1:39" ht="26.25" hidden="1" customHeight="1" x14ac:dyDescent="0.25">
      <c r="B63" s="11"/>
      <c r="C63" s="6" t="s">
        <v>18</v>
      </c>
      <c r="D63" s="23" t="s">
        <v>9</v>
      </c>
      <c r="E63" s="237" t="s">
        <v>489</v>
      </c>
      <c r="F63" s="208">
        <v>505</v>
      </c>
      <c r="G63" s="12" t="s">
        <v>0</v>
      </c>
      <c r="H63" s="39"/>
      <c r="I63" s="360">
        <v>0</v>
      </c>
      <c r="J63" s="39">
        <f t="shared" si="0"/>
        <v>0</v>
      </c>
      <c r="K63" s="309">
        <f t="shared" si="18"/>
        <v>0.28000000000000003</v>
      </c>
      <c r="L63" s="230">
        <f>K63*J354</f>
        <v>0</v>
      </c>
      <c r="M63" s="220" t="s">
        <v>866</v>
      </c>
      <c r="N63" s="279"/>
      <c r="O63" s="503"/>
      <c r="P63" s="309">
        <f t="shared" si="16"/>
        <v>0</v>
      </c>
      <c r="Q63" s="235" t="str">
        <f t="shared" si="17"/>
        <v>П 5х5х20 (ЭПГ110.156)</v>
      </c>
      <c r="R63" s="306">
        <f t="shared" si="14"/>
        <v>0.35</v>
      </c>
      <c r="S63" s="320">
        <v>0.28999999999999998</v>
      </c>
      <c r="T63" s="353">
        <f t="shared" si="12"/>
        <v>0</v>
      </c>
      <c r="U63" s="70">
        <v>479</v>
      </c>
      <c r="V63" s="20">
        <f t="shared" si="13"/>
        <v>0</v>
      </c>
      <c r="W63" s="52">
        <f t="shared" si="19"/>
        <v>-479</v>
      </c>
      <c r="X63" s="70"/>
      <c r="Y63" s="20"/>
      <c r="Z63" s="20"/>
      <c r="AA63" s="20">
        <v>600</v>
      </c>
      <c r="AB63" s="417"/>
      <c r="AC63" s="200"/>
      <c r="AD63" s="160"/>
      <c r="AE63" s="163"/>
      <c r="AF63" s="171"/>
      <c r="AG63" s="192"/>
      <c r="AH63" s="16"/>
      <c r="AI63" s="16"/>
      <c r="AJ63" s="185"/>
      <c r="AK63" s="435"/>
      <c r="AL63" s="840"/>
      <c r="AM63" s="10"/>
    </row>
    <row r="64" spans="1:39" ht="26.25" hidden="1" customHeight="1" x14ac:dyDescent="0.25">
      <c r="B64" s="11"/>
      <c r="C64" s="6" t="s">
        <v>18</v>
      </c>
      <c r="D64" s="23" t="s">
        <v>9</v>
      </c>
      <c r="E64" s="237" t="s">
        <v>646</v>
      </c>
      <c r="F64" s="390">
        <v>922</v>
      </c>
      <c r="G64" s="48"/>
      <c r="H64" s="39"/>
      <c r="I64" s="360"/>
      <c r="J64" s="39">
        <f t="shared" si="0"/>
        <v>0</v>
      </c>
      <c r="K64" s="309">
        <f>S64*0.8</f>
        <v>0.76</v>
      </c>
      <c r="L64" s="230"/>
      <c r="M64" s="233"/>
      <c r="N64" s="279"/>
      <c r="O64" s="39"/>
      <c r="P64" s="467"/>
      <c r="Q64" s="51" t="str">
        <f t="shared" si="17"/>
        <v>П17х8х7</v>
      </c>
      <c r="R64" s="306">
        <f t="shared" si="14"/>
        <v>1.1399999999999999</v>
      </c>
      <c r="S64" s="320">
        <v>0.95</v>
      </c>
      <c r="T64" s="353">
        <f t="shared" si="12"/>
        <v>0</v>
      </c>
      <c r="U64" s="70">
        <v>20000</v>
      </c>
      <c r="V64" s="20">
        <f t="shared" si="13"/>
        <v>0</v>
      </c>
      <c r="W64" s="52">
        <f t="shared" si="19"/>
        <v>0</v>
      </c>
      <c r="X64" s="148">
        <v>20000</v>
      </c>
      <c r="Y64" s="20"/>
      <c r="Z64" s="20"/>
      <c r="AA64" s="20"/>
      <c r="AB64" s="417"/>
      <c r="AC64" s="200">
        <v>20000</v>
      </c>
      <c r="AD64" s="160">
        <v>2.9000000000000001E-2</v>
      </c>
      <c r="AE64" s="163" t="s">
        <v>650</v>
      </c>
      <c r="AF64" s="171"/>
      <c r="AG64" s="192"/>
      <c r="AH64" s="16"/>
      <c r="AI64" s="16"/>
      <c r="AJ64" s="185"/>
      <c r="AK64" s="435"/>
      <c r="AL64" s="30"/>
      <c r="AM64" s="10"/>
    </row>
    <row r="65" spans="1:74" ht="26.25" customHeight="1" x14ac:dyDescent="0.25">
      <c r="B65" s="14">
        <v>20</v>
      </c>
      <c r="C65" s="6" t="s">
        <v>18</v>
      </c>
      <c r="D65" s="23" t="s">
        <v>9</v>
      </c>
      <c r="E65" s="237" t="s">
        <v>508</v>
      </c>
      <c r="F65" s="208">
        <v>1239</v>
      </c>
      <c r="G65" s="12" t="s">
        <v>0</v>
      </c>
      <c r="H65" s="39">
        <v>1000</v>
      </c>
      <c r="I65" s="360">
        <v>200</v>
      </c>
      <c r="J65" s="39">
        <f t="shared" si="0"/>
        <v>0</v>
      </c>
      <c r="K65" s="309">
        <f t="shared" ref="K65:K71" si="20">R65*0.8</f>
        <v>0.2</v>
      </c>
      <c r="L65" s="230">
        <f>K65*J356</f>
        <v>0</v>
      </c>
      <c r="M65" s="205" t="s">
        <v>677</v>
      </c>
      <c r="N65" s="553"/>
      <c r="O65" s="503">
        <v>1000</v>
      </c>
      <c r="P65" s="309">
        <f t="shared" ref="P65:P71" si="21">K65*O65</f>
        <v>200</v>
      </c>
      <c r="Q65" s="235" t="str">
        <f t="shared" si="17"/>
        <v>П7х8х17</v>
      </c>
      <c r="R65" s="377">
        <f t="shared" si="14"/>
        <v>0.25</v>
      </c>
      <c r="S65" s="320">
        <v>0.21</v>
      </c>
      <c r="T65" s="353">
        <f t="shared" si="12"/>
        <v>0</v>
      </c>
      <c r="U65" s="20">
        <v>316</v>
      </c>
      <c r="V65" s="20">
        <f t="shared" si="13"/>
        <v>0</v>
      </c>
      <c r="W65" s="52">
        <f t="shared" si="19"/>
        <v>0</v>
      </c>
      <c r="X65" s="20">
        <v>316</v>
      </c>
      <c r="Y65" s="20"/>
      <c r="Z65" s="20">
        <v>954</v>
      </c>
      <c r="AA65" s="20">
        <v>8386</v>
      </c>
      <c r="AB65" s="417"/>
      <c r="AC65" s="200"/>
      <c r="AD65" s="160"/>
      <c r="AE65" s="163"/>
      <c r="AF65" s="171"/>
      <c r="AG65" s="192"/>
      <c r="AH65" s="16"/>
      <c r="AI65" s="16"/>
      <c r="AJ65" s="185"/>
      <c r="AK65" s="125"/>
      <c r="AL65" s="10"/>
      <c r="AM65" s="10"/>
    </row>
    <row r="66" spans="1:74" ht="26.25" customHeight="1" x14ac:dyDescent="0.25">
      <c r="B66" s="14">
        <v>21</v>
      </c>
      <c r="C66" s="6" t="s">
        <v>18</v>
      </c>
      <c r="D66" s="23" t="s">
        <v>9</v>
      </c>
      <c r="E66" s="237" t="s">
        <v>604</v>
      </c>
      <c r="F66" s="382">
        <v>922</v>
      </c>
      <c r="G66" s="48"/>
      <c r="H66" s="39"/>
      <c r="I66" s="360">
        <v>0</v>
      </c>
      <c r="J66" s="39">
        <f t="shared" si="0"/>
        <v>100</v>
      </c>
      <c r="K66" s="309">
        <f t="shared" si="20"/>
        <v>0.91</v>
      </c>
      <c r="L66" s="230"/>
      <c r="M66" s="194"/>
      <c r="N66" s="553">
        <v>100</v>
      </c>
      <c r="O66" s="503"/>
      <c r="P66" s="309">
        <f t="shared" si="21"/>
        <v>0</v>
      </c>
      <c r="Q66" s="235" t="str">
        <f t="shared" si="17"/>
        <v>П7х7х17</v>
      </c>
      <c r="R66" s="377">
        <f t="shared" si="14"/>
        <v>1.1399999999999999</v>
      </c>
      <c r="S66" s="320">
        <v>0.95</v>
      </c>
      <c r="T66" s="353">
        <f t="shared" si="12"/>
        <v>95</v>
      </c>
      <c r="U66" s="20">
        <v>345</v>
      </c>
      <c r="V66" s="20">
        <f t="shared" si="13"/>
        <v>100</v>
      </c>
      <c r="W66" s="52"/>
      <c r="X66" s="20">
        <f>145+200</f>
        <v>345</v>
      </c>
      <c r="Y66" s="20"/>
      <c r="Z66" s="20"/>
      <c r="AA66" s="20"/>
      <c r="AB66" s="417"/>
      <c r="AC66" s="200"/>
      <c r="AD66" s="160"/>
      <c r="AE66" s="163"/>
      <c r="AF66" s="171"/>
      <c r="AG66" s="192"/>
      <c r="AH66" s="16"/>
      <c r="AI66" s="16"/>
      <c r="AJ66" s="185"/>
      <c r="AK66" s="435"/>
      <c r="AL66" s="832"/>
      <c r="AM66" s="832"/>
    </row>
    <row r="67" spans="1:74" ht="26.25" hidden="1" customHeight="1" x14ac:dyDescent="0.25">
      <c r="B67" s="11"/>
      <c r="C67" s="6" t="s">
        <v>18</v>
      </c>
      <c r="D67" s="23" t="s">
        <v>9</v>
      </c>
      <c r="E67" s="237" t="s">
        <v>100</v>
      </c>
      <c r="F67" s="208">
        <v>579</v>
      </c>
      <c r="G67" s="12" t="s">
        <v>0</v>
      </c>
      <c r="H67" s="39"/>
      <c r="I67" s="360">
        <v>0</v>
      </c>
      <c r="J67" s="39">
        <f t="shared" si="0"/>
        <v>0</v>
      </c>
      <c r="K67" s="309">
        <f t="shared" si="20"/>
        <v>0.67</v>
      </c>
      <c r="L67" s="230">
        <f>K67*J358</f>
        <v>0</v>
      </c>
      <c r="M67" s="218"/>
      <c r="N67" s="279"/>
      <c r="O67" s="503"/>
      <c r="P67" s="309">
        <f t="shared" si="21"/>
        <v>0</v>
      </c>
      <c r="Q67" s="235" t="str">
        <f t="shared" si="17"/>
        <v>П10х10х7</v>
      </c>
      <c r="R67" s="377">
        <f t="shared" si="14"/>
        <v>0.84</v>
      </c>
      <c r="S67" s="319">
        <v>0.7</v>
      </c>
      <c r="T67" s="353">
        <f t="shared" si="12"/>
        <v>0</v>
      </c>
      <c r="U67" s="20">
        <v>712</v>
      </c>
      <c r="V67" s="20">
        <f t="shared" si="13"/>
        <v>0</v>
      </c>
      <c r="W67" s="52">
        <f t="shared" ref="W67:W110" si="22">X67-U67+V67</f>
        <v>-200</v>
      </c>
      <c r="X67" s="148">
        <v>512</v>
      </c>
      <c r="Y67" s="20"/>
      <c r="Z67" s="20">
        <v>400</v>
      </c>
      <c r="AA67" s="20">
        <v>1000</v>
      </c>
      <c r="AB67" s="417"/>
      <c r="AC67" s="200"/>
      <c r="AD67" s="160"/>
      <c r="AE67" s="163"/>
      <c r="AF67" s="171"/>
      <c r="AG67" s="192"/>
      <c r="AH67" s="16"/>
      <c r="AI67" s="16"/>
      <c r="AJ67" s="185"/>
      <c r="AK67" s="435"/>
      <c r="AL67" s="840"/>
      <c r="AM67" s="10"/>
    </row>
    <row r="68" spans="1:74" s="5" customFormat="1" ht="26.25" customHeight="1" x14ac:dyDescent="0.25">
      <c r="B68" s="11">
        <v>22</v>
      </c>
      <c r="C68" s="6" t="s">
        <v>18</v>
      </c>
      <c r="D68" s="23" t="s">
        <v>9</v>
      </c>
      <c r="E68" s="239" t="s">
        <v>330</v>
      </c>
      <c r="F68" s="526">
        <v>1323</v>
      </c>
      <c r="G68" s="12" t="s">
        <v>0</v>
      </c>
      <c r="H68" s="39">
        <v>180</v>
      </c>
      <c r="I68" s="360">
        <v>432</v>
      </c>
      <c r="J68" s="39">
        <f t="shared" si="0"/>
        <v>0</v>
      </c>
      <c r="K68" s="309">
        <f t="shared" si="20"/>
        <v>2.4</v>
      </c>
      <c r="L68" s="230"/>
      <c r="M68" s="205"/>
      <c r="N68" s="553"/>
      <c r="O68" s="503">
        <v>180</v>
      </c>
      <c r="P68" s="309">
        <f t="shared" si="21"/>
        <v>432</v>
      </c>
      <c r="Q68" s="235" t="str">
        <f t="shared" si="17"/>
        <v>П15х9х5</v>
      </c>
      <c r="R68" s="377">
        <f t="shared" si="14"/>
        <v>3</v>
      </c>
      <c r="S68" s="331">
        <v>2.5</v>
      </c>
      <c r="T68" s="353">
        <f t="shared" si="12"/>
        <v>0</v>
      </c>
      <c r="U68" s="20">
        <v>95</v>
      </c>
      <c r="V68" s="20">
        <f t="shared" si="13"/>
        <v>0</v>
      </c>
      <c r="W68" s="52">
        <f t="shared" si="22"/>
        <v>0</v>
      </c>
      <c r="X68" s="20">
        <v>95</v>
      </c>
      <c r="Y68" s="20"/>
      <c r="Z68" s="20"/>
      <c r="AA68" s="20">
        <v>730</v>
      </c>
      <c r="AB68" s="417"/>
      <c r="AC68" s="200"/>
      <c r="AD68" s="160"/>
      <c r="AE68" s="164"/>
      <c r="AF68" s="160"/>
      <c r="AG68" s="173"/>
      <c r="AH68" s="59"/>
      <c r="AI68" s="127"/>
      <c r="AJ68" s="179"/>
    </row>
    <row r="69" spans="1:74" ht="26.25" hidden="1" customHeight="1" x14ac:dyDescent="0.25">
      <c r="B69" s="11"/>
      <c r="C69" s="6" t="s">
        <v>18</v>
      </c>
      <c r="D69" s="23" t="s">
        <v>9</v>
      </c>
      <c r="E69" s="239" t="s">
        <v>217</v>
      </c>
      <c r="F69" s="211" t="s">
        <v>126</v>
      </c>
      <c r="G69" s="12" t="s">
        <v>0</v>
      </c>
      <c r="H69" s="39"/>
      <c r="I69" s="360">
        <v>0</v>
      </c>
      <c r="J69" s="39">
        <f t="shared" si="0"/>
        <v>0</v>
      </c>
      <c r="K69" s="309">
        <f t="shared" si="20"/>
        <v>0.14000000000000001</v>
      </c>
      <c r="L69" s="230">
        <f>K69*J360</f>
        <v>0</v>
      </c>
      <c r="M69" s="535"/>
      <c r="N69" s="279"/>
      <c r="O69" s="39"/>
      <c r="P69" s="469">
        <f t="shared" si="21"/>
        <v>0</v>
      </c>
      <c r="Q69" s="443" t="str">
        <f t="shared" si="17"/>
        <v>П24х10х5 (Метиз)</v>
      </c>
      <c r="R69" s="377">
        <f t="shared" si="14"/>
        <v>0.17</v>
      </c>
      <c r="S69" s="320">
        <v>0.14000000000000001</v>
      </c>
      <c r="T69" s="353">
        <f t="shared" si="12"/>
        <v>0</v>
      </c>
      <c r="U69" s="20"/>
      <c r="V69" s="20">
        <f t="shared" si="13"/>
        <v>0</v>
      </c>
      <c r="W69" s="52">
        <f t="shared" si="22"/>
        <v>0</v>
      </c>
      <c r="X69" s="20"/>
      <c r="Y69" s="20"/>
      <c r="Z69" s="199"/>
      <c r="AA69" s="20"/>
      <c r="AB69" s="419"/>
      <c r="AC69" s="200"/>
      <c r="AD69" s="160"/>
      <c r="AE69" s="163"/>
      <c r="AF69" s="171"/>
      <c r="AG69" s="192"/>
      <c r="AH69" s="128"/>
      <c r="AI69" s="129"/>
      <c r="AK69" s="10"/>
      <c r="AL69" s="10"/>
      <c r="AM69" s="10"/>
    </row>
    <row r="70" spans="1:74" ht="26.25" customHeight="1" x14ac:dyDescent="0.35">
      <c r="B70" s="11">
        <v>23</v>
      </c>
      <c r="C70" s="6" t="s">
        <v>18</v>
      </c>
      <c r="D70" s="23" t="s">
        <v>9</v>
      </c>
      <c r="E70" s="237" t="s">
        <v>5</v>
      </c>
      <c r="F70" s="208" t="s">
        <v>43</v>
      </c>
      <c r="G70" s="12" t="s">
        <v>0</v>
      </c>
      <c r="H70" s="39">
        <v>9800</v>
      </c>
      <c r="I70" s="360">
        <v>1078</v>
      </c>
      <c r="J70" s="39">
        <f t="shared" ref="J70:J133" si="23">N70+O70-H70</f>
        <v>0</v>
      </c>
      <c r="K70" s="309">
        <f t="shared" si="20"/>
        <v>0.11</v>
      </c>
      <c r="L70" s="230">
        <f>K70*J361</f>
        <v>0</v>
      </c>
      <c r="M70" s="233" t="s">
        <v>802</v>
      </c>
      <c r="N70" s="886"/>
      <c r="O70" s="503">
        <f>11760-1960</f>
        <v>9800</v>
      </c>
      <c r="P70" s="309">
        <f t="shared" si="21"/>
        <v>1078</v>
      </c>
      <c r="Q70" s="235" t="str">
        <f t="shared" si="17"/>
        <v>МЛП 1б-04</v>
      </c>
      <c r="R70" s="377">
        <f t="shared" si="14"/>
        <v>0.14000000000000001</v>
      </c>
      <c r="S70" s="319">
        <f>1200*0.0001</f>
        <v>0.12</v>
      </c>
      <c r="T70" s="353">
        <f t="shared" ref="T70:T101" si="24">S70*J70</f>
        <v>0</v>
      </c>
      <c r="U70" s="20">
        <v>4500</v>
      </c>
      <c r="V70" s="20">
        <f t="shared" ref="V70:V101" si="25">N70</f>
        <v>0</v>
      </c>
      <c r="W70" s="52">
        <f t="shared" si="22"/>
        <v>105300</v>
      </c>
      <c r="X70" s="20">
        <f>5*1960+100000</f>
        <v>109800</v>
      </c>
      <c r="Y70" s="20">
        <f>100000-9800</f>
        <v>90200</v>
      </c>
      <c r="Z70" s="20">
        <v>11760</v>
      </c>
      <c r="AA70" s="20">
        <v>85350</v>
      </c>
      <c r="AB70" s="417">
        <f>0.007*AA70</f>
        <v>597</v>
      </c>
      <c r="AC70" s="200"/>
      <c r="AD70" s="160"/>
      <c r="AE70" s="162"/>
      <c r="AF70" s="171"/>
      <c r="AG70" s="176"/>
      <c r="AH70" s="115"/>
      <c r="AI70" s="113"/>
      <c r="AJ70" s="185"/>
      <c r="AK70" s="435"/>
      <c r="AL70" s="476"/>
      <c r="AM70" s="10"/>
    </row>
    <row r="71" spans="1:74" ht="26.25" hidden="1" customHeight="1" x14ac:dyDescent="0.3">
      <c r="B71" s="14"/>
      <c r="C71" s="6" t="s">
        <v>18</v>
      </c>
      <c r="D71" s="23" t="s">
        <v>9</v>
      </c>
      <c r="E71" s="43" t="s">
        <v>167</v>
      </c>
      <c r="F71" s="208" t="s">
        <v>179</v>
      </c>
      <c r="G71" s="48" t="s">
        <v>0</v>
      </c>
      <c r="H71" s="39"/>
      <c r="I71" s="309">
        <v>0</v>
      </c>
      <c r="J71" s="39">
        <f t="shared" si="23"/>
        <v>0</v>
      </c>
      <c r="K71" s="309">
        <f t="shared" si="20"/>
        <v>0.11</v>
      </c>
      <c r="L71" s="230">
        <f>K71*J362</f>
        <v>0</v>
      </c>
      <c r="M71" s="89" t="s">
        <v>454</v>
      </c>
      <c r="N71" s="279"/>
      <c r="O71" s="39"/>
      <c r="P71" s="490">
        <f t="shared" si="21"/>
        <v>0</v>
      </c>
      <c r="Q71" s="264" t="str">
        <f t="shared" si="17"/>
        <v>ЭПГ110.166 (16х15х12)</v>
      </c>
      <c r="R71" s="377">
        <f>S71*1.2</f>
        <v>0.14000000000000001</v>
      </c>
      <c r="S71" s="332">
        <f>1200*0.0001</f>
        <v>0.12</v>
      </c>
      <c r="T71" s="353">
        <f t="shared" si="24"/>
        <v>0</v>
      </c>
      <c r="U71" s="70">
        <v>46200</v>
      </c>
      <c r="V71" s="20">
        <f t="shared" si="25"/>
        <v>0</v>
      </c>
      <c r="W71" s="52">
        <f t="shared" si="22"/>
        <v>0</v>
      </c>
      <c r="X71" s="70">
        <f>77*600</f>
        <v>46200</v>
      </c>
      <c r="Y71" s="20"/>
      <c r="Z71" s="20"/>
      <c r="AA71" s="20"/>
      <c r="AB71" s="417"/>
      <c r="AC71" s="200"/>
      <c r="AD71" s="160"/>
      <c r="AE71" s="162"/>
      <c r="AF71" s="171"/>
      <c r="AG71" s="173"/>
      <c r="AH71" s="14">
        <f>0.001*AG71*N71</f>
        <v>0</v>
      </c>
      <c r="AI71" s="113"/>
      <c r="AJ71" s="185"/>
      <c r="AK71" s="435"/>
      <c r="AL71" s="476"/>
      <c r="AM71" s="10"/>
    </row>
    <row r="72" spans="1:74" ht="26.25" customHeight="1" x14ac:dyDescent="0.25">
      <c r="B72" s="11">
        <v>24</v>
      </c>
      <c r="C72" s="6" t="s">
        <v>18</v>
      </c>
      <c r="D72" s="23" t="s">
        <v>9</v>
      </c>
      <c r="E72" s="238" t="s">
        <v>250</v>
      </c>
      <c r="F72" s="383">
        <v>998</v>
      </c>
      <c r="G72" s="12" t="s">
        <v>0</v>
      </c>
      <c r="H72" s="39">
        <v>3920</v>
      </c>
      <c r="I72" s="360">
        <v>376.32</v>
      </c>
      <c r="J72" s="39">
        <f t="shared" si="23"/>
        <v>0</v>
      </c>
      <c r="K72" s="309">
        <v>0.1</v>
      </c>
      <c r="L72" s="230">
        <f>K72*J363</f>
        <v>0</v>
      </c>
      <c r="M72" s="91"/>
      <c r="N72" s="553"/>
      <c r="O72" s="503">
        <v>3920</v>
      </c>
      <c r="P72" s="497">
        <f>I72</f>
        <v>376.32</v>
      </c>
      <c r="Q72" s="263" t="str">
        <f t="shared" si="17"/>
        <v>П24х10х5,6</v>
      </c>
      <c r="R72" s="377">
        <f>S72*1.2</f>
        <v>0.12</v>
      </c>
      <c r="S72" s="319">
        <f>1000*0.0001</f>
        <v>0.1</v>
      </c>
      <c r="T72" s="353">
        <f t="shared" si="24"/>
        <v>0</v>
      </c>
      <c r="U72" s="20"/>
      <c r="V72" s="20">
        <f t="shared" si="25"/>
        <v>0</v>
      </c>
      <c r="W72" s="52">
        <f t="shared" si="22"/>
        <v>1960</v>
      </c>
      <c r="X72" s="20">
        <v>1960</v>
      </c>
      <c r="Y72" s="20"/>
      <c r="Z72" s="199"/>
      <c r="AA72" s="20"/>
      <c r="AB72" s="419"/>
      <c r="AC72" s="200"/>
      <c r="AD72" s="160"/>
      <c r="AE72" s="163"/>
      <c r="AF72" s="171"/>
      <c r="AG72" s="192"/>
      <c r="AH72" s="16"/>
      <c r="AI72" s="16"/>
      <c r="AJ72" s="185"/>
      <c r="AK72" s="125"/>
      <c r="AL72" s="10"/>
      <c r="AM72" s="10"/>
    </row>
    <row r="73" spans="1:74" s="5" customFormat="1" ht="26.25" hidden="1" customHeight="1" x14ac:dyDescent="0.25">
      <c r="B73" s="11"/>
      <c r="C73" s="6" t="s">
        <v>18</v>
      </c>
      <c r="D73" s="23" t="s">
        <v>9</v>
      </c>
      <c r="E73" s="87" t="s">
        <v>728</v>
      </c>
      <c r="F73" s="397">
        <v>1453</v>
      </c>
      <c r="G73" s="12" t="s">
        <v>0</v>
      </c>
      <c r="H73" s="39"/>
      <c r="I73" s="360">
        <v>0</v>
      </c>
      <c r="J73" s="39">
        <f t="shared" si="23"/>
        <v>0</v>
      </c>
      <c r="K73" s="309">
        <f>R73*0.8</f>
        <v>12</v>
      </c>
      <c r="L73" s="230"/>
      <c r="M73" s="205" t="s">
        <v>741</v>
      </c>
      <c r="N73" s="279"/>
      <c r="O73" s="39"/>
      <c r="P73" s="309">
        <f>K73*O73</f>
        <v>0</v>
      </c>
      <c r="Q73" s="51" t="str">
        <f t="shared" si="17"/>
        <v>АЮДИ 757.159.001</v>
      </c>
      <c r="R73" s="377">
        <f>S73*1.2</f>
        <v>15</v>
      </c>
      <c r="S73" s="331">
        <v>12.5</v>
      </c>
      <c r="T73" s="353">
        <f t="shared" si="24"/>
        <v>0</v>
      </c>
      <c r="U73" s="20"/>
      <c r="V73" s="20">
        <f t="shared" si="25"/>
        <v>0</v>
      </c>
      <c r="W73" s="52">
        <f t="shared" si="22"/>
        <v>0</v>
      </c>
      <c r="X73" s="20"/>
      <c r="Y73" s="20"/>
      <c r="Z73" s="20"/>
      <c r="AA73" s="20"/>
      <c r="AB73" s="417"/>
      <c r="AC73" s="18"/>
      <c r="AD73" s="160"/>
      <c r="AE73" s="164"/>
      <c r="AF73" s="160"/>
      <c r="AG73" s="173"/>
      <c r="AH73" s="59"/>
      <c r="AI73" s="127"/>
      <c r="AJ73" s="179"/>
    </row>
    <row r="74" spans="1:74" s="5" customFormat="1" ht="26.25" hidden="1" customHeight="1" x14ac:dyDescent="0.25">
      <c r="B74" s="11"/>
      <c r="C74" s="6" t="s">
        <v>18</v>
      </c>
      <c r="D74" s="23" t="s">
        <v>9</v>
      </c>
      <c r="E74" s="237" t="s">
        <v>294</v>
      </c>
      <c r="F74" s="209" t="s">
        <v>42</v>
      </c>
      <c r="G74" s="12" t="s">
        <v>0</v>
      </c>
      <c r="H74" s="39"/>
      <c r="I74" s="360">
        <v>0</v>
      </c>
      <c r="J74" s="39">
        <f t="shared" si="23"/>
        <v>0</v>
      </c>
      <c r="K74" s="309">
        <v>1.36</v>
      </c>
      <c r="L74" s="230">
        <f>K74*J365</f>
        <v>0</v>
      </c>
      <c r="M74" s="205"/>
      <c r="N74" s="279"/>
      <c r="O74" s="503"/>
      <c r="P74" s="309">
        <f>K74*O74</f>
        <v>0</v>
      </c>
      <c r="Q74" s="51" t="str">
        <f t="shared" si="17"/>
        <v>ЦИКС 741611018(П34х19х6)</v>
      </c>
      <c r="R74" s="377">
        <f>S74*1.2</f>
        <v>2.41</v>
      </c>
      <c r="S74" s="320">
        <v>2.0099999999999998</v>
      </c>
      <c r="T74" s="353">
        <f t="shared" si="24"/>
        <v>0</v>
      </c>
      <c r="U74" s="20"/>
      <c r="V74" s="20">
        <f t="shared" si="25"/>
        <v>0</v>
      </c>
      <c r="W74" s="52">
        <f t="shared" si="22"/>
        <v>0</v>
      </c>
      <c r="X74" s="20"/>
      <c r="Y74" s="20"/>
      <c r="Z74" s="20"/>
      <c r="AA74" s="20"/>
      <c r="AB74" s="417"/>
      <c r="AC74" s="200"/>
      <c r="AD74" s="160"/>
      <c r="AE74" s="163"/>
      <c r="AF74" s="171"/>
      <c r="AG74" s="173"/>
      <c r="AH74" s="14"/>
      <c r="AI74" s="14"/>
      <c r="AJ74" s="178"/>
      <c r="AK74" s="434"/>
      <c r="AL74" s="14"/>
    </row>
    <row r="75" spans="1:74" ht="26.25" hidden="1" customHeight="1" x14ac:dyDescent="0.25">
      <c r="B75" s="11"/>
      <c r="C75" s="6" t="s">
        <v>18</v>
      </c>
      <c r="D75" s="23" t="s">
        <v>9</v>
      </c>
      <c r="E75" s="239" t="s">
        <v>293</v>
      </c>
      <c r="F75" s="387"/>
      <c r="G75" s="48" t="s">
        <v>0</v>
      </c>
      <c r="H75" s="39">
        <v>0</v>
      </c>
      <c r="I75" s="309">
        <v>0</v>
      </c>
      <c r="J75" s="39">
        <f t="shared" si="23"/>
        <v>0</v>
      </c>
      <c r="K75" s="309">
        <f>R75*0.8</f>
        <v>7.0000000000000007E-2</v>
      </c>
      <c r="L75" s="230">
        <f>K75*J366</f>
        <v>0</v>
      </c>
      <c r="M75" s="64"/>
      <c r="N75" s="279"/>
      <c r="O75" s="39">
        <v>0</v>
      </c>
      <c r="P75" s="490">
        <f>K75*O75</f>
        <v>0</v>
      </c>
      <c r="Q75" s="264" t="str">
        <f t="shared" si="17"/>
        <v xml:space="preserve">малая Фронда П24х12х10 </v>
      </c>
      <c r="R75" s="377">
        <f>S75*1.2</f>
        <v>0.09</v>
      </c>
      <c r="S75" s="326">
        <v>7.4999999999999997E-2</v>
      </c>
      <c r="T75" s="353">
        <f t="shared" si="24"/>
        <v>0</v>
      </c>
      <c r="U75" s="430"/>
      <c r="V75" s="20">
        <f t="shared" si="25"/>
        <v>0</v>
      </c>
      <c r="W75" s="52">
        <f t="shared" si="22"/>
        <v>10000</v>
      </c>
      <c r="X75" s="147">
        <v>10000</v>
      </c>
      <c r="Y75" s="18"/>
      <c r="Z75" s="430"/>
      <c r="AA75" s="430">
        <v>109355</v>
      </c>
      <c r="AB75" s="440">
        <f>0.014*AA75</f>
        <v>1531</v>
      </c>
      <c r="AC75" s="200"/>
      <c r="AD75" s="160"/>
      <c r="AE75" s="165"/>
      <c r="AF75" s="160"/>
      <c r="AG75" s="192"/>
      <c r="AH75" s="16"/>
      <c r="AI75" s="16"/>
      <c r="AJ75" s="185"/>
      <c r="AK75" s="435"/>
      <c r="AL75" s="477"/>
      <c r="AM75" s="10"/>
    </row>
    <row r="76" spans="1:74" ht="26.25" hidden="1" customHeight="1" x14ac:dyDescent="0.25">
      <c r="B76" s="11"/>
      <c r="C76" s="6" t="s">
        <v>18</v>
      </c>
      <c r="D76" s="23" t="s">
        <v>9</v>
      </c>
      <c r="E76" s="239" t="s">
        <v>620</v>
      </c>
      <c r="F76" s="387"/>
      <c r="G76" s="48"/>
      <c r="H76" s="39"/>
      <c r="I76" s="309"/>
      <c r="J76" s="39">
        <f t="shared" si="23"/>
        <v>0</v>
      </c>
      <c r="K76" s="309">
        <f>R76*0.8</f>
        <v>0</v>
      </c>
      <c r="L76" s="230"/>
      <c r="M76" s="64"/>
      <c r="N76" s="279"/>
      <c r="O76" s="39"/>
      <c r="P76" s="497"/>
      <c r="Q76" s="264" t="str">
        <f t="shared" si="17"/>
        <v>большая Фронда</v>
      </c>
      <c r="R76" s="377"/>
      <c r="S76" s="316"/>
      <c r="T76" s="353">
        <f t="shared" si="24"/>
        <v>0</v>
      </c>
      <c r="U76" s="70">
        <v>3200</v>
      </c>
      <c r="V76" s="20">
        <f t="shared" si="25"/>
        <v>0</v>
      </c>
      <c r="W76" s="52">
        <f t="shared" si="22"/>
        <v>39300</v>
      </c>
      <c r="X76" s="148">
        <f>25*1700</f>
        <v>42500</v>
      </c>
      <c r="Y76" s="20">
        <f>50000-13*800</f>
        <v>39600</v>
      </c>
      <c r="Z76" s="430"/>
      <c r="AA76" s="430"/>
      <c r="AB76" s="440"/>
      <c r="AC76" s="200"/>
      <c r="AD76" s="160"/>
      <c r="AE76" s="165"/>
      <c r="AF76" s="160"/>
      <c r="AG76" s="192"/>
      <c r="AH76" s="16"/>
      <c r="AI76" s="16"/>
      <c r="AJ76" s="185"/>
      <c r="AK76" s="435"/>
      <c r="AL76" s="477"/>
      <c r="AM76" s="10"/>
    </row>
    <row r="77" spans="1:74" ht="38.25" customHeight="1" x14ac:dyDescent="0.25">
      <c r="B77" s="14">
        <v>25</v>
      </c>
      <c r="C77" s="6" t="s">
        <v>18</v>
      </c>
      <c r="D77" s="23" t="s">
        <v>9</v>
      </c>
      <c r="E77" s="465" t="s">
        <v>619</v>
      </c>
      <c r="F77" s="208">
        <v>325</v>
      </c>
      <c r="G77" s="12" t="s">
        <v>0</v>
      </c>
      <c r="H77" s="39">
        <v>3200</v>
      </c>
      <c r="I77" s="309">
        <v>672</v>
      </c>
      <c r="J77" s="39">
        <f t="shared" si="23"/>
        <v>0</v>
      </c>
      <c r="K77" s="309">
        <f>R77*0.8</f>
        <v>0.21</v>
      </c>
      <c r="L77" s="230">
        <f>K77*J368</f>
        <v>0</v>
      </c>
      <c r="M77" s="233" t="s">
        <v>829</v>
      </c>
      <c r="N77" s="553"/>
      <c r="O77" s="503">
        <v>3200</v>
      </c>
      <c r="P77" s="309">
        <f t="shared" ref="P77:P90" si="26">K77*O77</f>
        <v>672</v>
      </c>
      <c r="Q77" s="235" t="str">
        <f t="shared" si="17"/>
        <v>ЭПГ 110.094 (П24х16х10)-Чебоксары</v>
      </c>
      <c r="R77" s="377">
        <f t="shared" ref="R77:R110" si="27">S77*1.2</f>
        <v>0.26</v>
      </c>
      <c r="S77" s="338">
        <f>6.6*0.034</f>
        <v>0.22</v>
      </c>
      <c r="T77" s="353">
        <f t="shared" si="24"/>
        <v>0</v>
      </c>
      <c r="U77" s="20">
        <v>6800</v>
      </c>
      <c r="V77" s="20">
        <f t="shared" si="25"/>
        <v>0</v>
      </c>
      <c r="W77" s="52">
        <f t="shared" si="22"/>
        <v>0</v>
      </c>
      <c r="X77" s="20">
        <f>4*1700</f>
        <v>6800</v>
      </c>
      <c r="Y77" s="20"/>
      <c r="Z77" s="18">
        <v>3200</v>
      </c>
      <c r="AA77" s="18">
        <v>26800</v>
      </c>
      <c r="AB77" s="418">
        <f>0.019*AA77</f>
        <v>509</v>
      </c>
      <c r="AC77" s="200"/>
      <c r="AD77" s="160"/>
      <c r="AE77" s="163"/>
      <c r="AF77" s="171"/>
      <c r="AG77" s="175">
        <v>0.03</v>
      </c>
      <c r="AH77" s="14">
        <f>0.001*AG77*N77</f>
        <v>0</v>
      </c>
      <c r="AI77" s="16"/>
      <c r="AJ77" s="185"/>
      <c r="AK77" s="435"/>
      <c r="AL77" s="476"/>
      <c r="AM77" s="10"/>
    </row>
    <row r="78" spans="1:74" s="4" customFormat="1" ht="26.25" hidden="1" customHeight="1" x14ac:dyDescent="0.25">
      <c r="A78" s="10"/>
      <c r="B78" s="11"/>
      <c r="C78" s="6" t="s">
        <v>18</v>
      </c>
      <c r="D78" s="23" t="s">
        <v>9</v>
      </c>
      <c r="E78" s="212" t="s">
        <v>280</v>
      </c>
      <c r="F78" s="382" t="s">
        <v>491</v>
      </c>
      <c r="G78" s="48" t="s">
        <v>0</v>
      </c>
      <c r="H78" s="39"/>
      <c r="I78" s="360">
        <v>0</v>
      </c>
      <c r="J78" s="39">
        <f t="shared" si="23"/>
        <v>0</v>
      </c>
      <c r="K78" s="309">
        <f>R78*0.8</f>
        <v>0.21</v>
      </c>
      <c r="L78" s="230">
        <f>K78*J369</f>
        <v>1</v>
      </c>
      <c r="M78" s="155"/>
      <c r="N78" s="279"/>
      <c r="O78" s="39"/>
      <c r="P78" s="467">
        <f t="shared" si="26"/>
        <v>0</v>
      </c>
      <c r="Q78" s="264" t="str">
        <f t="shared" si="17"/>
        <v>П34х19х3</v>
      </c>
      <c r="R78" s="306">
        <f t="shared" si="27"/>
        <v>0.26</v>
      </c>
      <c r="S78" s="321">
        <v>0.22</v>
      </c>
      <c r="T78" s="353">
        <f t="shared" si="24"/>
        <v>0</v>
      </c>
      <c r="U78" s="20"/>
      <c r="V78" s="20">
        <f t="shared" si="25"/>
        <v>0</v>
      </c>
      <c r="W78" s="52">
        <f t="shared" si="22"/>
        <v>0</v>
      </c>
      <c r="X78" s="20"/>
      <c r="Y78" s="20"/>
      <c r="Z78" s="199"/>
      <c r="AA78" s="20"/>
      <c r="AB78" s="419"/>
      <c r="AC78" s="200"/>
      <c r="AD78" s="160"/>
      <c r="AE78" s="163"/>
      <c r="AF78" s="171"/>
      <c r="AG78" s="192"/>
      <c r="AH78" s="128"/>
      <c r="AI78" s="129"/>
      <c r="AJ78" s="182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</row>
    <row r="79" spans="1:74" ht="26.25" customHeight="1" x14ac:dyDescent="0.25">
      <c r="B79" s="14">
        <v>26</v>
      </c>
      <c r="C79" s="6" t="s">
        <v>18</v>
      </c>
      <c r="D79" s="23" t="s">
        <v>9</v>
      </c>
      <c r="E79" s="43" t="s">
        <v>252</v>
      </c>
      <c r="F79" s="208">
        <v>1172</v>
      </c>
      <c r="G79" s="12" t="s">
        <v>0</v>
      </c>
      <c r="H79" s="39">
        <v>7040</v>
      </c>
      <c r="I79" s="360">
        <v>1337.6</v>
      </c>
      <c r="J79" s="39">
        <f t="shared" si="23"/>
        <v>12160</v>
      </c>
      <c r="K79" s="309">
        <f>R79*0.8</f>
        <v>0.21</v>
      </c>
      <c r="L79" s="230">
        <f>K79*J370</f>
        <v>0</v>
      </c>
      <c r="M79" s="154"/>
      <c r="N79" s="553">
        <v>6400</v>
      </c>
      <c r="O79" s="503">
        <v>12800</v>
      </c>
      <c r="P79" s="309">
        <f t="shared" si="26"/>
        <v>2688</v>
      </c>
      <c r="Q79" s="235" t="str">
        <f t="shared" si="17"/>
        <v>П30х15х10</v>
      </c>
      <c r="R79" s="377">
        <f t="shared" si="27"/>
        <v>0.26</v>
      </c>
      <c r="S79" s="320">
        <f>6.45*0.034</f>
        <v>0.22</v>
      </c>
      <c r="T79" s="353">
        <f t="shared" si="24"/>
        <v>2675.2</v>
      </c>
      <c r="U79" s="18">
        <v>16000</v>
      </c>
      <c r="V79" s="20">
        <f t="shared" si="25"/>
        <v>6400</v>
      </c>
      <c r="W79" s="52">
        <f t="shared" si="22"/>
        <v>17280</v>
      </c>
      <c r="X79" s="18">
        <f>42*640</f>
        <v>26880</v>
      </c>
      <c r="Y79" s="18"/>
      <c r="Z79" s="18"/>
      <c r="AA79" s="18">
        <f>85120+39680</f>
        <v>124800</v>
      </c>
      <c r="AB79" s="418">
        <f>0.022*AA79</f>
        <v>2746</v>
      </c>
      <c r="AC79" s="200"/>
      <c r="AD79" s="160"/>
      <c r="AE79" s="165"/>
      <c r="AF79" s="160"/>
      <c r="AG79" s="192"/>
      <c r="AH79" s="16"/>
      <c r="AI79" s="16"/>
      <c r="AJ79" s="185"/>
      <c r="AK79" s="435"/>
      <c r="AL79" s="832">
        <v>2432</v>
      </c>
      <c r="AM79" s="832">
        <f>P79-AL79</f>
        <v>256</v>
      </c>
    </row>
    <row r="80" spans="1:74" ht="26.25" customHeight="1" x14ac:dyDescent="0.25">
      <c r="B80" s="14">
        <v>27</v>
      </c>
      <c r="C80" s="6" t="s">
        <v>18</v>
      </c>
      <c r="D80" s="23" t="s">
        <v>9</v>
      </c>
      <c r="E80" s="212" t="s">
        <v>233</v>
      </c>
      <c r="F80" s="208">
        <v>850</v>
      </c>
      <c r="G80" s="48"/>
      <c r="H80" s="39"/>
      <c r="I80" s="309">
        <v>0</v>
      </c>
      <c r="J80" s="39">
        <f t="shared" si="23"/>
        <v>60</v>
      </c>
      <c r="K80" s="309">
        <f t="shared" ref="K80:K87" si="28">R80*0.8</f>
        <v>1.95</v>
      </c>
      <c r="L80" s="230"/>
      <c r="M80" s="69"/>
      <c r="N80" s="553">
        <v>60</v>
      </c>
      <c r="O80" s="39"/>
      <c r="P80" s="467">
        <f t="shared" si="26"/>
        <v>0</v>
      </c>
      <c r="Q80" s="51" t="str">
        <f t="shared" si="17"/>
        <v>П32х18х27</v>
      </c>
      <c r="R80" s="377">
        <f t="shared" si="27"/>
        <v>2.44</v>
      </c>
      <c r="S80" s="320">
        <v>2.0299999999999998</v>
      </c>
      <c r="T80" s="353">
        <f t="shared" si="24"/>
        <v>121.8</v>
      </c>
      <c r="U80" s="20"/>
      <c r="V80" s="20">
        <f t="shared" si="25"/>
        <v>60</v>
      </c>
      <c r="W80" s="52">
        <f t="shared" si="22"/>
        <v>60</v>
      </c>
      <c r="X80" s="20"/>
      <c r="Y80" s="20"/>
      <c r="Z80" s="199"/>
      <c r="AA80" s="20"/>
      <c r="AB80" s="419"/>
      <c r="AC80" s="200"/>
      <c r="AD80" s="160"/>
      <c r="AE80" s="165"/>
      <c r="AF80" s="160"/>
      <c r="AG80" s="192"/>
      <c r="AH80" s="16"/>
      <c r="AI80" s="16"/>
      <c r="AJ80" s="185"/>
      <c r="AK80" s="435"/>
      <c r="AL80" s="832"/>
      <c r="AM80" s="832"/>
    </row>
    <row r="81" spans="2:39" ht="26.25" customHeight="1" x14ac:dyDescent="0.25">
      <c r="B81" s="14">
        <v>28</v>
      </c>
      <c r="C81" s="6" t="s">
        <v>18</v>
      </c>
      <c r="D81" s="23" t="s">
        <v>9</v>
      </c>
      <c r="E81" s="212" t="s">
        <v>166</v>
      </c>
      <c r="F81" s="208">
        <v>849</v>
      </c>
      <c r="G81" s="48"/>
      <c r="H81" s="39"/>
      <c r="I81" s="309">
        <v>0</v>
      </c>
      <c r="J81" s="39">
        <f t="shared" si="23"/>
        <v>30</v>
      </c>
      <c r="K81" s="309">
        <f t="shared" si="28"/>
        <v>1.95</v>
      </c>
      <c r="L81" s="230"/>
      <c r="M81" s="69"/>
      <c r="N81" s="553">
        <v>30</v>
      </c>
      <c r="O81" s="39"/>
      <c r="P81" s="360">
        <f t="shared" si="26"/>
        <v>0</v>
      </c>
      <c r="Q81" s="51" t="str">
        <f t="shared" si="17"/>
        <v>П32х27х18</v>
      </c>
      <c r="R81" s="377">
        <f t="shared" si="27"/>
        <v>2.44</v>
      </c>
      <c r="S81" s="320">
        <v>2.0299999999999998</v>
      </c>
      <c r="T81" s="353">
        <f t="shared" si="24"/>
        <v>60.9</v>
      </c>
      <c r="U81" s="20"/>
      <c r="V81" s="20">
        <f t="shared" si="25"/>
        <v>30</v>
      </c>
      <c r="W81" s="52">
        <f t="shared" si="22"/>
        <v>30</v>
      </c>
      <c r="X81" s="20"/>
      <c r="Y81" s="20"/>
      <c r="Z81" s="199"/>
      <c r="AA81" s="20"/>
      <c r="AB81" s="419"/>
      <c r="AC81" s="200"/>
      <c r="AD81" s="160"/>
      <c r="AE81" s="165"/>
      <c r="AF81" s="160"/>
      <c r="AG81" s="192"/>
      <c r="AH81" s="16"/>
      <c r="AI81" s="16"/>
      <c r="AJ81" s="185"/>
      <c r="AK81" s="435"/>
      <c r="AL81" s="832"/>
      <c r="AM81" s="832"/>
    </row>
    <row r="82" spans="2:39" ht="26.25" hidden="1" customHeight="1" x14ac:dyDescent="0.25">
      <c r="B82" s="14"/>
      <c r="C82" s="6" t="s">
        <v>18</v>
      </c>
      <c r="D82" s="23" t="s">
        <v>9</v>
      </c>
      <c r="E82" s="212" t="s">
        <v>603</v>
      </c>
      <c r="F82" s="390">
        <v>851</v>
      </c>
      <c r="G82" s="48"/>
      <c r="H82" s="39"/>
      <c r="I82" s="309">
        <v>0</v>
      </c>
      <c r="J82" s="39">
        <f t="shared" si="23"/>
        <v>0</v>
      </c>
      <c r="K82" s="309">
        <f t="shared" si="28"/>
        <v>2.82</v>
      </c>
      <c r="L82" s="230"/>
      <c r="M82" s="91"/>
      <c r="N82" s="279"/>
      <c r="O82" s="39"/>
      <c r="P82" s="497">
        <f t="shared" si="26"/>
        <v>0</v>
      </c>
      <c r="Q82" s="51" t="str">
        <f t="shared" si="17"/>
        <v>П64х27х27</v>
      </c>
      <c r="R82" s="377">
        <f t="shared" si="27"/>
        <v>3.53</v>
      </c>
      <c r="S82" s="320">
        <v>2.94</v>
      </c>
      <c r="T82" s="353">
        <f t="shared" si="24"/>
        <v>0</v>
      </c>
      <c r="U82" s="20"/>
      <c r="V82" s="20">
        <f t="shared" si="25"/>
        <v>0</v>
      </c>
      <c r="W82" s="52">
        <f t="shared" si="22"/>
        <v>0</v>
      </c>
      <c r="X82" s="20"/>
      <c r="Y82" s="20"/>
      <c r="Z82" s="199"/>
      <c r="AA82" s="20"/>
      <c r="AB82" s="419"/>
      <c r="AC82" s="200"/>
      <c r="AD82" s="160"/>
      <c r="AE82" s="165"/>
      <c r="AF82" s="160"/>
      <c r="AG82" s="192"/>
      <c r="AH82" s="16"/>
      <c r="AI82" s="16"/>
      <c r="AJ82" s="185"/>
      <c r="AK82" s="125"/>
      <c r="AL82" s="10"/>
      <c r="AM82" s="10"/>
    </row>
    <row r="83" spans="2:39" ht="26.25" customHeight="1" x14ac:dyDescent="0.25">
      <c r="B83" s="15">
        <v>29</v>
      </c>
      <c r="C83" s="6" t="s">
        <v>18</v>
      </c>
      <c r="D83" s="23" t="s">
        <v>9</v>
      </c>
      <c r="E83" s="237" t="s">
        <v>98</v>
      </c>
      <c r="F83" s="208" t="s">
        <v>94</v>
      </c>
      <c r="G83" s="12" t="s">
        <v>0</v>
      </c>
      <c r="H83" s="39">
        <v>18000</v>
      </c>
      <c r="I83" s="360">
        <v>6840</v>
      </c>
      <c r="J83" s="39">
        <f t="shared" si="23"/>
        <v>10800</v>
      </c>
      <c r="K83" s="309">
        <f t="shared" si="28"/>
        <v>0.42</v>
      </c>
      <c r="L83" s="230">
        <f>K83*J377</f>
        <v>0</v>
      </c>
      <c r="M83" s="194" t="s">
        <v>742</v>
      </c>
      <c r="N83" s="553">
        <v>10800</v>
      </c>
      <c r="O83" s="503">
        <f>40*450</f>
        <v>18000</v>
      </c>
      <c r="P83" s="309">
        <f t="shared" si="26"/>
        <v>7560</v>
      </c>
      <c r="Q83" s="235" t="str">
        <f t="shared" si="17"/>
        <v>П24х18х14 АБПК 757.153.028</v>
      </c>
      <c r="R83" s="377">
        <f t="shared" si="27"/>
        <v>0.53</v>
      </c>
      <c r="S83" s="319">
        <v>0.44</v>
      </c>
      <c r="T83" s="353">
        <f t="shared" si="24"/>
        <v>4752</v>
      </c>
      <c r="U83" s="20">
        <v>18900</v>
      </c>
      <c r="V83" s="20">
        <f t="shared" si="25"/>
        <v>10800</v>
      </c>
      <c r="W83" s="52">
        <f t="shared" si="22"/>
        <v>28800</v>
      </c>
      <c r="X83" s="20">
        <f>45*450+16*450+21*450</f>
        <v>36900</v>
      </c>
      <c r="Y83" s="20"/>
      <c r="Z83" s="20">
        <v>21600</v>
      </c>
      <c r="AA83" s="20">
        <f>64800+91277</f>
        <v>156077</v>
      </c>
      <c r="AB83" s="418">
        <f>0.03*AA83</f>
        <v>4682</v>
      </c>
      <c r="AC83" s="200"/>
      <c r="AD83" s="160"/>
      <c r="AE83" s="164"/>
      <c r="AF83" s="160"/>
      <c r="AG83" s="192"/>
      <c r="AH83" s="16"/>
      <c r="AI83" s="16"/>
      <c r="AJ83" s="185"/>
      <c r="AK83" s="435"/>
      <c r="AL83" s="832">
        <v>6840</v>
      </c>
      <c r="AM83" s="832">
        <f>P83-AL83</f>
        <v>720</v>
      </c>
    </row>
    <row r="84" spans="2:39" ht="26.25" hidden="1" customHeight="1" x14ac:dyDescent="0.25">
      <c r="B84" s="14"/>
      <c r="C84" s="6" t="s">
        <v>18</v>
      </c>
      <c r="D84" s="23" t="s">
        <v>9</v>
      </c>
      <c r="E84" s="237" t="s">
        <v>557</v>
      </c>
      <c r="F84" s="386">
        <v>1299</v>
      </c>
      <c r="G84" s="48" t="s">
        <v>0</v>
      </c>
      <c r="H84" s="39"/>
      <c r="I84" s="360">
        <v>0</v>
      </c>
      <c r="J84" s="39">
        <f t="shared" si="23"/>
        <v>0</v>
      </c>
      <c r="K84" s="309">
        <f t="shared" si="28"/>
        <v>4.9000000000000004</v>
      </c>
      <c r="L84" s="230">
        <f>K84*J378</f>
        <v>0</v>
      </c>
      <c r="M84" s="91"/>
      <c r="N84" s="279"/>
      <c r="O84" s="39"/>
      <c r="P84" s="469">
        <f t="shared" si="26"/>
        <v>0</v>
      </c>
      <c r="Q84" s="441" t="str">
        <f t="shared" si="17"/>
        <v>П27х24х27</v>
      </c>
      <c r="R84" s="377">
        <f t="shared" si="27"/>
        <v>6.12</v>
      </c>
      <c r="S84" s="322">
        <v>5.0999999999999996</v>
      </c>
      <c r="T84" s="353">
        <f t="shared" si="24"/>
        <v>0</v>
      </c>
      <c r="U84" s="18"/>
      <c r="V84" s="20">
        <f t="shared" si="25"/>
        <v>0</v>
      </c>
      <c r="W84" s="52">
        <f t="shared" si="22"/>
        <v>0</v>
      </c>
      <c r="X84" s="18"/>
      <c r="Y84" s="18"/>
      <c r="Z84" s="18"/>
      <c r="AA84" s="18"/>
      <c r="AB84" s="418"/>
      <c r="AC84" s="200"/>
      <c r="AD84" s="160"/>
      <c r="AE84" s="165"/>
      <c r="AF84" s="160"/>
      <c r="AG84" s="192"/>
      <c r="AH84" s="128"/>
      <c r="AI84" s="129"/>
      <c r="AK84" s="10"/>
      <c r="AL84" s="10"/>
      <c r="AM84" s="10"/>
    </row>
    <row r="85" spans="2:39" ht="26.25" customHeight="1" x14ac:dyDescent="0.3">
      <c r="B85" s="14">
        <v>30</v>
      </c>
      <c r="C85" s="6" t="s">
        <v>18</v>
      </c>
      <c r="D85" s="23" t="s">
        <v>9</v>
      </c>
      <c r="E85" s="237" t="s">
        <v>295</v>
      </c>
      <c r="F85" s="208" t="s">
        <v>176</v>
      </c>
      <c r="G85" s="12" t="s">
        <v>0</v>
      </c>
      <c r="H85" s="39">
        <v>10710</v>
      </c>
      <c r="I85" s="360">
        <v>2249.1</v>
      </c>
      <c r="J85" s="39">
        <f t="shared" si="23"/>
        <v>15120</v>
      </c>
      <c r="K85" s="309">
        <f t="shared" si="28"/>
        <v>0.21</v>
      </c>
      <c r="L85" s="230">
        <f>K85*J379</f>
        <v>0</v>
      </c>
      <c r="M85" s="194"/>
      <c r="N85" s="553">
        <v>10080</v>
      </c>
      <c r="O85" s="503">
        <v>15750</v>
      </c>
      <c r="P85" s="497">
        <f t="shared" si="26"/>
        <v>3307.5</v>
      </c>
      <c r="Q85" s="266" t="str">
        <f t="shared" si="17"/>
        <v>ИЖКС 005 (27х18х11)</v>
      </c>
      <c r="R85" s="377">
        <f t="shared" si="27"/>
        <v>0.26</v>
      </c>
      <c r="S85" s="319">
        <v>0.22</v>
      </c>
      <c r="T85" s="353">
        <f t="shared" si="24"/>
        <v>3326.4</v>
      </c>
      <c r="U85" s="20">
        <v>35385</v>
      </c>
      <c r="V85" s="20">
        <f t="shared" si="25"/>
        <v>10080</v>
      </c>
      <c r="W85" s="52">
        <f t="shared" si="22"/>
        <v>33527</v>
      </c>
      <c r="X85" s="20">
        <f>16*630+17-1265+50000</f>
        <v>58832</v>
      </c>
      <c r="Y85" s="20"/>
      <c r="Z85" s="20"/>
      <c r="AA85" s="20">
        <f>2520+357559</f>
        <v>360079</v>
      </c>
      <c r="AB85" s="417">
        <f>0.02*AA85</f>
        <v>7202</v>
      </c>
      <c r="AC85" s="200"/>
      <c r="AD85" s="160"/>
      <c r="AE85" s="162"/>
      <c r="AF85" s="171"/>
      <c r="AG85" s="173"/>
      <c r="AH85" s="14">
        <f>0.001*AG85*N85</f>
        <v>0</v>
      </c>
      <c r="AI85" s="113"/>
      <c r="AJ85" s="185"/>
      <c r="AK85" s="435"/>
      <c r="AL85" s="832"/>
      <c r="AM85" s="832"/>
    </row>
    <row r="86" spans="2:39" ht="26.25" hidden="1" customHeight="1" x14ac:dyDescent="0.25">
      <c r="B86" s="11"/>
      <c r="C86" s="6" t="s">
        <v>18</v>
      </c>
      <c r="D86" s="23" t="s">
        <v>9</v>
      </c>
      <c r="E86" s="237" t="s">
        <v>296</v>
      </c>
      <c r="F86" s="208" t="s">
        <v>82</v>
      </c>
      <c r="G86" s="48" t="s">
        <v>0</v>
      </c>
      <c r="H86" s="39"/>
      <c r="I86" s="360">
        <v>0</v>
      </c>
      <c r="J86" s="39">
        <f t="shared" si="23"/>
        <v>0</v>
      </c>
      <c r="K86" s="309">
        <f t="shared" si="28"/>
        <v>0.27</v>
      </c>
      <c r="L86" s="230">
        <f>K86*J380</f>
        <v>0</v>
      </c>
      <c r="M86" s="205" t="s">
        <v>743</v>
      </c>
      <c r="N86" s="279"/>
      <c r="O86" s="39"/>
      <c r="P86" s="309">
        <f t="shared" si="26"/>
        <v>0</v>
      </c>
      <c r="Q86" s="51" t="str">
        <f t="shared" si="17"/>
        <v>ИЖКС 007 (31х19х11)</v>
      </c>
      <c r="R86" s="306">
        <f t="shared" si="27"/>
        <v>0.34</v>
      </c>
      <c r="S86" s="320">
        <v>0.28000000000000003</v>
      </c>
      <c r="T86" s="353">
        <f t="shared" si="24"/>
        <v>0</v>
      </c>
      <c r="U86" s="20"/>
      <c r="V86" s="20">
        <f t="shared" si="25"/>
        <v>0</v>
      </c>
      <c r="W86" s="52">
        <f t="shared" si="22"/>
        <v>20000</v>
      </c>
      <c r="X86" s="148">
        <v>20000</v>
      </c>
      <c r="Y86" s="20"/>
      <c r="Z86" s="20"/>
      <c r="AA86" s="20">
        <f>4245+17318</f>
        <v>21563</v>
      </c>
      <c r="AB86" s="417">
        <f>0.027*AA86</f>
        <v>582</v>
      </c>
      <c r="AC86" s="200"/>
      <c r="AD86" s="160"/>
      <c r="AE86" s="163"/>
      <c r="AF86" s="171"/>
      <c r="AG86" s="192"/>
      <c r="AH86" s="16"/>
      <c r="AI86" s="16"/>
      <c r="AJ86" s="185"/>
      <c r="AK86" s="435"/>
      <c r="AL86" s="840"/>
      <c r="AM86" s="10"/>
    </row>
    <row r="87" spans="2:39" ht="26.25" hidden="1" customHeight="1" x14ac:dyDescent="0.25">
      <c r="B87" s="11"/>
      <c r="C87" s="6" t="s">
        <v>18</v>
      </c>
      <c r="D87" s="23" t="s">
        <v>9</v>
      </c>
      <c r="E87" s="241" t="s">
        <v>222</v>
      </c>
      <c r="F87" s="384">
        <v>993</v>
      </c>
      <c r="G87" s="13" t="s">
        <v>0</v>
      </c>
      <c r="H87" s="39"/>
      <c r="I87" s="360">
        <v>0</v>
      </c>
      <c r="J87" s="39">
        <f t="shared" si="23"/>
        <v>0</v>
      </c>
      <c r="K87" s="309">
        <f t="shared" si="28"/>
        <v>3.36</v>
      </c>
      <c r="L87" s="230"/>
      <c r="M87" s="205" t="s">
        <v>547</v>
      </c>
      <c r="N87" s="279"/>
      <c r="O87" s="39"/>
      <c r="P87" s="467">
        <f t="shared" si="26"/>
        <v>0</v>
      </c>
      <c r="Q87" s="264" t="str">
        <f t="shared" si="17"/>
        <v>П40х20х10</v>
      </c>
      <c r="R87" s="377">
        <f t="shared" si="27"/>
        <v>4.2</v>
      </c>
      <c r="S87" s="333">
        <v>3.5</v>
      </c>
      <c r="T87" s="353">
        <f t="shared" si="24"/>
        <v>0</v>
      </c>
      <c r="U87" s="20"/>
      <c r="V87" s="20">
        <f t="shared" si="25"/>
        <v>0</v>
      </c>
      <c r="W87" s="52">
        <f t="shared" si="22"/>
        <v>0</v>
      </c>
      <c r="X87" s="20"/>
      <c r="Y87" s="20"/>
      <c r="Z87" s="199"/>
      <c r="AA87" s="20"/>
      <c r="AB87" s="419"/>
      <c r="AC87" s="200"/>
      <c r="AD87" s="160"/>
      <c r="AE87" s="163"/>
      <c r="AF87" s="171"/>
      <c r="AG87" s="192"/>
      <c r="AH87" s="128"/>
      <c r="AI87" s="129"/>
      <c r="AK87" s="10"/>
      <c r="AL87" s="10"/>
      <c r="AM87" s="10"/>
    </row>
    <row r="88" spans="2:39" ht="26.25" hidden="1" customHeight="1" x14ac:dyDescent="0.25">
      <c r="B88" s="11"/>
      <c r="C88" s="6" t="s">
        <v>18</v>
      </c>
      <c r="D88" s="23" t="s">
        <v>9</v>
      </c>
      <c r="E88" s="237" t="s">
        <v>426</v>
      </c>
      <c r="F88" s="208">
        <v>1229</v>
      </c>
      <c r="G88" s="48" t="s">
        <v>0</v>
      </c>
      <c r="H88" s="39"/>
      <c r="I88" s="360">
        <v>0</v>
      </c>
      <c r="J88" s="39">
        <f t="shared" si="23"/>
        <v>0</v>
      </c>
      <c r="K88" s="309">
        <v>0.26</v>
      </c>
      <c r="L88" s="230">
        <f>K88*J382</f>
        <v>0</v>
      </c>
      <c r="M88" s="194"/>
      <c r="N88" s="279"/>
      <c r="O88" s="39"/>
      <c r="P88" s="360">
        <f t="shared" si="26"/>
        <v>0</v>
      </c>
      <c r="Q88" s="51" t="str">
        <f t="shared" si="17"/>
        <v>ЭПГ-110.093</v>
      </c>
      <c r="R88" s="306">
        <f t="shared" si="27"/>
        <v>0.37</v>
      </c>
      <c r="S88" s="320">
        <f>9*0.034</f>
        <v>0.31</v>
      </c>
      <c r="T88" s="353">
        <f t="shared" si="24"/>
        <v>0</v>
      </c>
      <c r="U88" s="20"/>
      <c r="V88" s="20">
        <f t="shared" si="25"/>
        <v>0</v>
      </c>
      <c r="W88" s="52">
        <f t="shared" si="22"/>
        <v>6800</v>
      </c>
      <c r="X88" s="148">
        <f>17*400</f>
        <v>6800</v>
      </c>
      <c r="Y88" s="20"/>
      <c r="Z88" s="20">
        <v>2400</v>
      </c>
      <c r="AA88" s="20">
        <f>23060+10400</f>
        <v>33460</v>
      </c>
      <c r="AB88" s="417"/>
      <c r="AC88" s="200"/>
      <c r="AD88" s="160"/>
      <c r="AE88" s="163"/>
      <c r="AF88" s="171"/>
      <c r="AG88" s="192"/>
      <c r="AH88" s="128"/>
      <c r="AI88" s="129"/>
      <c r="AK88" s="10"/>
      <c r="AL88" s="10"/>
      <c r="AM88" s="10"/>
    </row>
    <row r="89" spans="2:39" ht="26.25" hidden="1" customHeight="1" x14ac:dyDescent="0.25">
      <c r="B89" s="11"/>
      <c r="C89" s="6" t="s">
        <v>18</v>
      </c>
      <c r="D89" s="23" t="s">
        <v>9</v>
      </c>
      <c r="E89" s="237" t="s">
        <v>29</v>
      </c>
      <c r="F89" s="208" t="s">
        <v>44</v>
      </c>
      <c r="G89" s="48" t="s">
        <v>0</v>
      </c>
      <c r="H89" s="39"/>
      <c r="I89" s="309">
        <v>0</v>
      </c>
      <c r="J89" s="39">
        <f t="shared" si="23"/>
        <v>0</v>
      </c>
      <c r="K89" s="309">
        <v>0.11</v>
      </c>
      <c r="L89" s="230">
        <f>K89*J383</f>
        <v>0</v>
      </c>
      <c r="M89" s="42" t="s">
        <v>339</v>
      </c>
      <c r="N89" s="279"/>
      <c r="O89" s="39"/>
      <c r="P89" s="309">
        <f t="shared" si="26"/>
        <v>0</v>
      </c>
      <c r="Q89" s="264" t="str">
        <f t="shared" si="17"/>
        <v>П38х27х7,5 (ЭПГ110.088)</v>
      </c>
      <c r="R89" s="377">
        <f t="shared" si="27"/>
        <v>0</v>
      </c>
      <c r="S89" s="321">
        <v>0</v>
      </c>
      <c r="T89" s="353">
        <f t="shared" si="24"/>
        <v>0</v>
      </c>
      <c r="U89" s="20">
        <v>7500</v>
      </c>
      <c r="V89" s="20">
        <f t="shared" si="25"/>
        <v>0</v>
      </c>
      <c r="W89" s="52">
        <f t="shared" si="22"/>
        <v>0</v>
      </c>
      <c r="X89" s="148">
        <v>7500</v>
      </c>
      <c r="Y89" s="20"/>
      <c r="Z89" s="20"/>
      <c r="AA89" s="20"/>
      <c r="AB89" s="417"/>
      <c r="AC89" s="200"/>
      <c r="AD89" s="160"/>
      <c r="AE89" s="163"/>
      <c r="AF89" s="171"/>
      <c r="AG89" s="175">
        <v>0.05</v>
      </c>
      <c r="AH89" s="14">
        <f>0.001*AG89*N89</f>
        <v>0</v>
      </c>
      <c r="AI89" s="16"/>
      <c r="AJ89" s="185"/>
      <c r="AK89" s="435"/>
      <c r="AL89" s="476"/>
      <c r="AM89" s="10"/>
    </row>
    <row r="90" spans="2:39" ht="26.25" customHeight="1" x14ac:dyDescent="0.25">
      <c r="B90" s="11">
        <v>31</v>
      </c>
      <c r="C90" s="6" t="s">
        <v>18</v>
      </c>
      <c r="D90" s="23" t="s">
        <v>9</v>
      </c>
      <c r="E90" s="237" t="s">
        <v>297</v>
      </c>
      <c r="F90" s="208" t="s">
        <v>47</v>
      </c>
      <c r="G90" s="12" t="s">
        <v>0</v>
      </c>
      <c r="H90" s="39">
        <v>600</v>
      </c>
      <c r="I90" s="360">
        <v>588</v>
      </c>
      <c r="J90" s="39">
        <f t="shared" si="23"/>
        <v>0</v>
      </c>
      <c r="K90" s="309">
        <f>R90*0.8</f>
        <v>0.98</v>
      </c>
      <c r="L90" s="230">
        <f>K90*J384</f>
        <v>0</v>
      </c>
      <c r="M90" s="205"/>
      <c r="N90" s="553"/>
      <c r="O90" s="503">
        <v>600</v>
      </c>
      <c r="P90" s="309">
        <f t="shared" si="26"/>
        <v>588</v>
      </c>
      <c r="Q90" s="235" t="str">
        <f t="shared" si="17"/>
        <v>ЭПГ-110.086 (П37х27х4,5)</v>
      </c>
      <c r="R90" s="377">
        <f t="shared" si="27"/>
        <v>1.22</v>
      </c>
      <c r="S90" s="319">
        <v>1.02</v>
      </c>
      <c r="T90" s="353">
        <f t="shared" si="24"/>
        <v>0</v>
      </c>
      <c r="U90" s="20">
        <v>921</v>
      </c>
      <c r="V90" s="20">
        <f t="shared" si="25"/>
        <v>0</v>
      </c>
      <c r="W90" s="52">
        <f t="shared" si="22"/>
        <v>0</v>
      </c>
      <c r="X90" s="20">
        <f>380*2+161</f>
        <v>921</v>
      </c>
      <c r="Y90" s="20"/>
      <c r="Z90" s="20"/>
      <c r="AA90" s="20"/>
      <c r="AB90" s="417"/>
      <c r="AC90" s="200"/>
      <c r="AD90" s="160"/>
      <c r="AE90" s="163"/>
      <c r="AF90" s="171"/>
      <c r="AG90" s="192"/>
      <c r="AH90" s="16"/>
      <c r="AI90" s="16"/>
      <c r="AJ90" s="185"/>
      <c r="AK90" s="435"/>
      <c r="AL90" s="476"/>
      <c r="AM90" s="10"/>
    </row>
    <row r="91" spans="2:39" ht="26.25" customHeight="1" x14ac:dyDescent="0.3">
      <c r="B91" s="15">
        <v>32</v>
      </c>
      <c r="C91" s="6" t="s">
        <v>18</v>
      </c>
      <c r="D91" s="23" t="s">
        <v>9</v>
      </c>
      <c r="E91" s="237" t="s">
        <v>89</v>
      </c>
      <c r="F91" s="208">
        <v>495</v>
      </c>
      <c r="G91" s="12" t="s">
        <v>0</v>
      </c>
      <c r="H91" s="39">
        <v>2760</v>
      </c>
      <c r="I91" s="360">
        <v>2437.63</v>
      </c>
      <c r="J91" s="39">
        <f t="shared" si="23"/>
        <v>0</v>
      </c>
      <c r="K91" s="309">
        <v>0.88</v>
      </c>
      <c r="L91" s="230">
        <f>K91*J385</f>
        <v>0</v>
      </c>
      <c r="M91" s="89"/>
      <c r="N91" s="553"/>
      <c r="O91" s="503">
        <f>4920-1080-1080</f>
        <v>2760</v>
      </c>
      <c r="P91" s="309">
        <f>I91</f>
        <v>2437.63</v>
      </c>
      <c r="Q91" s="235" t="str">
        <f t="shared" si="17"/>
        <v>П32х18х40 ЭПГ110.155</v>
      </c>
      <c r="R91" s="377">
        <f t="shared" si="27"/>
        <v>1.1000000000000001</v>
      </c>
      <c r="S91" s="319">
        <v>0.92</v>
      </c>
      <c r="T91" s="353">
        <f t="shared" si="24"/>
        <v>0</v>
      </c>
      <c r="U91" s="20">
        <v>2760</v>
      </c>
      <c r="V91" s="20">
        <f t="shared" si="25"/>
        <v>0</v>
      </c>
      <c r="W91" s="52">
        <f t="shared" si="22"/>
        <v>0</v>
      </c>
      <c r="X91" s="20">
        <f>23*120</f>
        <v>2760</v>
      </c>
      <c r="Y91" s="20"/>
      <c r="Z91" s="20"/>
      <c r="AA91" s="20"/>
      <c r="AB91" s="417"/>
      <c r="AC91" s="200"/>
      <c r="AD91" s="160"/>
      <c r="AE91" s="162"/>
      <c r="AF91" s="171"/>
      <c r="AG91" s="173">
        <v>120</v>
      </c>
      <c r="AH91" s="14">
        <f>0.001*AG91*O91</f>
        <v>331.2</v>
      </c>
      <c r="AI91" s="113"/>
      <c r="AJ91" s="185"/>
      <c r="AK91" s="435"/>
      <c r="AL91" s="476"/>
      <c r="AM91" s="10"/>
    </row>
    <row r="92" spans="2:39" ht="26.25" customHeight="1" x14ac:dyDescent="0.25">
      <c r="B92" s="15">
        <v>33</v>
      </c>
      <c r="C92" s="6" t="s">
        <v>18</v>
      </c>
      <c r="D92" s="23" t="s">
        <v>9</v>
      </c>
      <c r="E92" s="241" t="s">
        <v>428</v>
      </c>
      <c r="F92" s="208">
        <v>326</v>
      </c>
      <c r="G92" s="12" t="s">
        <v>0</v>
      </c>
      <c r="H92" s="39">
        <v>4680</v>
      </c>
      <c r="I92" s="360">
        <v>1965.6</v>
      </c>
      <c r="J92" s="39">
        <f t="shared" si="23"/>
        <v>0</v>
      </c>
      <c r="K92" s="309">
        <f t="shared" ref="K92:K106" si="29">R92*0.8</f>
        <v>0.42</v>
      </c>
      <c r="L92" s="230">
        <f>K92*J386</f>
        <v>0</v>
      </c>
      <c r="M92" s="205" t="s">
        <v>867</v>
      </c>
      <c r="N92" s="887"/>
      <c r="O92" s="503">
        <v>4680</v>
      </c>
      <c r="P92" s="309">
        <f t="shared" ref="P92:P110" si="30">K92*O92</f>
        <v>1965.6</v>
      </c>
      <c r="Q92" s="235" t="str">
        <f t="shared" si="17"/>
        <v>ЭПГ-110.102</v>
      </c>
      <c r="R92" s="377">
        <f t="shared" si="27"/>
        <v>0.53</v>
      </c>
      <c r="S92" s="888">
        <f>13.2*0.033</f>
        <v>0.44</v>
      </c>
      <c r="T92" s="353">
        <f t="shared" si="24"/>
        <v>0</v>
      </c>
      <c r="U92" s="20">
        <v>2808</v>
      </c>
      <c r="V92" s="20">
        <f t="shared" si="25"/>
        <v>0</v>
      </c>
      <c r="W92" s="52">
        <f t="shared" si="22"/>
        <v>6318</v>
      </c>
      <c r="X92" s="20">
        <f>39*234</f>
        <v>9126</v>
      </c>
      <c r="Y92" s="20"/>
      <c r="Z92" s="20">
        <v>5850</v>
      </c>
      <c r="AA92" s="20">
        <f>33896+43656</f>
        <v>77552</v>
      </c>
      <c r="AB92" s="417"/>
      <c r="AC92" s="200"/>
      <c r="AD92" s="160"/>
      <c r="AE92" s="163"/>
      <c r="AF92" s="171"/>
      <c r="AG92" s="192"/>
      <c r="AH92" s="128"/>
      <c r="AI92" s="129"/>
      <c r="AK92" s="10"/>
      <c r="AL92" s="476"/>
      <c r="AM92" s="10"/>
    </row>
    <row r="93" spans="2:39" ht="26.25" hidden="1" customHeight="1" x14ac:dyDescent="0.25">
      <c r="B93" s="15"/>
      <c r="C93" s="6" t="s">
        <v>18</v>
      </c>
      <c r="D93" s="23" t="s">
        <v>9</v>
      </c>
      <c r="E93" s="241" t="s">
        <v>427</v>
      </c>
      <c r="F93" s="208">
        <v>385</v>
      </c>
      <c r="G93" s="13" t="s">
        <v>0</v>
      </c>
      <c r="H93" s="39"/>
      <c r="I93" s="309">
        <v>345.6</v>
      </c>
      <c r="J93" s="39">
        <f t="shared" si="23"/>
        <v>0</v>
      </c>
      <c r="K93" s="309">
        <f t="shared" si="29"/>
        <v>0.48</v>
      </c>
      <c r="L93" s="230"/>
      <c r="M93" s="195"/>
      <c r="N93" s="281"/>
      <c r="O93" s="39"/>
      <c r="P93" s="490">
        <f t="shared" si="30"/>
        <v>0</v>
      </c>
      <c r="Q93" s="264" t="str">
        <f t="shared" si="17"/>
        <v>ЭПГ-110.103</v>
      </c>
      <c r="R93" s="377">
        <f t="shared" si="27"/>
        <v>0.6</v>
      </c>
      <c r="S93" s="378">
        <f>15*0.033</f>
        <v>0.5</v>
      </c>
      <c r="T93" s="353">
        <f t="shared" si="24"/>
        <v>0</v>
      </c>
      <c r="U93" s="20"/>
      <c r="V93" s="20">
        <f t="shared" si="25"/>
        <v>0</v>
      </c>
      <c r="W93" s="52">
        <f t="shared" si="22"/>
        <v>720</v>
      </c>
      <c r="X93" s="148">
        <f>5*144</f>
        <v>720</v>
      </c>
      <c r="Y93" s="20"/>
      <c r="Z93" s="199"/>
      <c r="AA93" s="20"/>
      <c r="AB93" s="419"/>
      <c r="AC93" s="200"/>
      <c r="AD93" s="160"/>
      <c r="AE93" s="163"/>
      <c r="AF93" s="171"/>
      <c r="AG93" s="192"/>
      <c r="AH93" s="128"/>
      <c r="AI93" s="129"/>
      <c r="AK93" s="10"/>
      <c r="AL93" s="10"/>
      <c r="AM93" s="10"/>
    </row>
    <row r="94" spans="2:39" ht="26.25" hidden="1" customHeight="1" x14ac:dyDescent="0.25">
      <c r="B94" s="15"/>
      <c r="C94" s="6" t="s">
        <v>18</v>
      </c>
      <c r="D94" s="23" t="s">
        <v>9</v>
      </c>
      <c r="E94" s="1" t="s">
        <v>622</v>
      </c>
      <c r="F94" s="382">
        <v>1394</v>
      </c>
      <c r="G94" s="12" t="s">
        <v>0</v>
      </c>
      <c r="H94" s="39"/>
      <c r="I94" s="360">
        <v>0</v>
      </c>
      <c r="J94" s="39">
        <f t="shared" si="23"/>
        <v>0</v>
      </c>
      <c r="K94" s="309">
        <f t="shared" si="29"/>
        <v>2.69</v>
      </c>
      <c r="L94" s="230"/>
      <c r="M94" s="205"/>
      <c r="N94" s="281"/>
      <c r="O94" s="39"/>
      <c r="P94" s="360">
        <f t="shared" si="30"/>
        <v>0</v>
      </c>
      <c r="Q94" s="51" t="str">
        <f t="shared" si="17"/>
        <v>пж 06.56.026(П40х10х10)</v>
      </c>
      <c r="R94" s="306">
        <f t="shared" si="27"/>
        <v>3.36</v>
      </c>
      <c r="S94" s="335">
        <v>2.8</v>
      </c>
      <c r="T94" s="353">
        <f t="shared" si="24"/>
        <v>0</v>
      </c>
      <c r="U94" s="20"/>
      <c r="V94" s="20">
        <f t="shared" si="25"/>
        <v>0</v>
      </c>
      <c r="W94" s="52">
        <f t="shared" si="22"/>
        <v>0</v>
      </c>
      <c r="X94" s="20"/>
      <c r="Y94" s="20"/>
      <c r="Z94" s="20"/>
      <c r="AA94" s="20"/>
      <c r="AB94" s="417"/>
      <c r="AC94" s="200"/>
      <c r="AD94" s="160"/>
      <c r="AE94" s="163"/>
      <c r="AF94" s="171"/>
      <c r="AG94" s="192"/>
      <c r="AH94" s="128"/>
      <c r="AI94" s="129"/>
      <c r="AK94" s="10"/>
      <c r="AL94" s="10"/>
      <c r="AM94" s="10"/>
    </row>
    <row r="95" spans="2:39" ht="26.25" hidden="1" customHeight="1" x14ac:dyDescent="0.25">
      <c r="B95" s="15"/>
      <c r="C95" s="6" t="s">
        <v>18</v>
      </c>
      <c r="D95" s="23" t="s">
        <v>9</v>
      </c>
      <c r="E95" s="1" t="s">
        <v>623</v>
      </c>
      <c r="F95" s="382">
        <v>1395</v>
      </c>
      <c r="G95" s="13" t="s">
        <v>0</v>
      </c>
      <c r="H95" s="39"/>
      <c r="I95" s="360">
        <v>0</v>
      </c>
      <c r="J95" s="39">
        <f t="shared" si="23"/>
        <v>0</v>
      </c>
      <c r="K95" s="309">
        <f t="shared" si="29"/>
        <v>6.72</v>
      </c>
      <c r="L95" s="230"/>
      <c r="M95" s="205"/>
      <c r="N95" s="282"/>
      <c r="O95" s="39"/>
      <c r="P95" s="360">
        <f t="shared" si="30"/>
        <v>0</v>
      </c>
      <c r="Q95" s="51" t="str">
        <f t="shared" si="17"/>
        <v>пж 06.56.029 (П40х10х10 с прорез)</v>
      </c>
      <c r="R95" s="306">
        <f t="shared" si="27"/>
        <v>8.4</v>
      </c>
      <c r="S95" s="334">
        <v>7</v>
      </c>
      <c r="T95" s="353">
        <f t="shared" si="24"/>
        <v>0</v>
      </c>
      <c r="U95" s="20"/>
      <c r="V95" s="20">
        <f t="shared" si="25"/>
        <v>0</v>
      </c>
      <c r="W95" s="52">
        <f t="shared" si="22"/>
        <v>0</v>
      </c>
      <c r="X95" s="20"/>
      <c r="Y95" s="20"/>
      <c r="Z95" s="20"/>
      <c r="AA95" s="20"/>
      <c r="AB95" s="417"/>
      <c r="AC95" s="200"/>
      <c r="AD95" s="160"/>
      <c r="AE95" s="163"/>
      <c r="AF95" s="171"/>
      <c r="AG95" s="192"/>
      <c r="AH95" s="128"/>
      <c r="AI95" s="129"/>
      <c r="AK95" s="10"/>
      <c r="AL95" s="10"/>
      <c r="AM95" s="10"/>
    </row>
    <row r="96" spans="2:39" ht="26.25" hidden="1" customHeight="1" x14ac:dyDescent="0.25">
      <c r="B96" s="15"/>
      <c r="C96" s="6" t="s">
        <v>18</v>
      </c>
      <c r="D96" s="23" t="s">
        <v>9</v>
      </c>
      <c r="E96" s="1" t="s">
        <v>530</v>
      </c>
      <c r="F96" s="382">
        <v>1321</v>
      </c>
      <c r="G96" s="13" t="s">
        <v>0</v>
      </c>
      <c r="H96" s="39"/>
      <c r="I96" s="360">
        <v>0</v>
      </c>
      <c r="J96" s="39">
        <f t="shared" si="23"/>
        <v>0</v>
      </c>
      <c r="K96" s="309">
        <f t="shared" si="29"/>
        <v>6.62</v>
      </c>
      <c r="L96" s="230"/>
      <c r="M96" s="205" t="s">
        <v>542</v>
      </c>
      <c r="N96" s="281"/>
      <c r="O96" s="39"/>
      <c r="P96" s="360">
        <f t="shared" si="30"/>
        <v>0</v>
      </c>
      <c r="Q96" s="51" t="str">
        <f t="shared" si="17"/>
        <v>Э.200116.020-01 П50х37х13</v>
      </c>
      <c r="R96" s="306">
        <f t="shared" si="27"/>
        <v>8.2799999999999994</v>
      </c>
      <c r="S96" s="334">
        <f>230*0.03</f>
        <v>6.9</v>
      </c>
      <c r="T96" s="353">
        <f t="shared" si="24"/>
        <v>0</v>
      </c>
      <c r="U96" s="20"/>
      <c r="V96" s="20">
        <f t="shared" si="25"/>
        <v>0</v>
      </c>
      <c r="W96" s="52">
        <f t="shared" si="22"/>
        <v>0</v>
      </c>
      <c r="X96" s="20"/>
      <c r="Y96" s="20"/>
      <c r="Z96" s="20"/>
      <c r="AA96" s="20"/>
      <c r="AB96" s="417"/>
      <c r="AC96" s="200"/>
      <c r="AD96" s="160"/>
      <c r="AE96" s="163"/>
      <c r="AF96" s="171"/>
      <c r="AG96" s="192"/>
      <c r="AH96" s="128"/>
      <c r="AI96" s="129"/>
      <c r="AK96" s="10"/>
      <c r="AL96" s="10"/>
      <c r="AM96" s="10"/>
    </row>
    <row r="97" spans="1:39" ht="26.25" hidden="1" customHeight="1" x14ac:dyDescent="0.25">
      <c r="B97" s="15"/>
      <c r="C97" s="6" t="s">
        <v>18</v>
      </c>
      <c r="D97" s="23" t="s">
        <v>9</v>
      </c>
      <c r="E97" s="241" t="s">
        <v>616</v>
      </c>
      <c r="F97" s="208">
        <v>978</v>
      </c>
      <c r="G97" s="48" t="s">
        <v>0</v>
      </c>
      <c r="H97" s="39"/>
      <c r="I97" s="360">
        <v>0</v>
      </c>
      <c r="J97" s="39">
        <f t="shared" si="23"/>
        <v>0</v>
      </c>
      <c r="K97" s="309">
        <f t="shared" si="29"/>
        <v>0.19</v>
      </c>
      <c r="L97" s="230"/>
      <c r="M97" s="89"/>
      <c r="N97" s="281"/>
      <c r="O97" s="39"/>
      <c r="P97" s="360">
        <f t="shared" si="30"/>
        <v>0</v>
      </c>
      <c r="Q97" s="51" t="str">
        <f t="shared" si="17"/>
        <v>П64х20х14</v>
      </c>
      <c r="R97" s="377">
        <f t="shared" si="27"/>
        <v>0.24</v>
      </c>
      <c r="S97" s="378">
        <v>0.2</v>
      </c>
      <c r="T97" s="353">
        <f t="shared" si="24"/>
        <v>0</v>
      </c>
      <c r="U97" s="20"/>
      <c r="V97" s="20">
        <f t="shared" si="25"/>
        <v>0</v>
      </c>
      <c r="W97" s="52">
        <f t="shared" si="22"/>
        <v>0</v>
      </c>
      <c r="X97" s="20"/>
      <c r="Y97" s="20"/>
      <c r="Z97" s="20"/>
      <c r="AA97" s="20"/>
      <c r="AB97" s="417"/>
      <c r="AC97" s="200"/>
      <c r="AD97" s="160"/>
      <c r="AE97" s="163"/>
      <c r="AF97" s="171"/>
      <c r="AG97" s="192"/>
      <c r="AH97" s="128"/>
      <c r="AI97" s="129"/>
      <c r="AK97" s="10"/>
      <c r="AL97" s="10"/>
      <c r="AM97" s="10"/>
    </row>
    <row r="98" spans="1:39" ht="26.25" hidden="1" customHeight="1" x14ac:dyDescent="0.25">
      <c r="B98" s="15"/>
      <c r="C98" s="6" t="s">
        <v>18</v>
      </c>
      <c r="D98" s="23" t="s">
        <v>9</v>
      </c>
      <c r="E98" s="241" t="s">
        <v>511</v>
      </c>
      <c r="F98" s="208">
        <v>1292</v>
      </c>
      <c r="G98" s="48" t="s">
        <v>0</v>
      </c>
      <c r="H98" s="39"/>
      <c r="I98" s="360">
        <v>0</v>
      </c>
      <c r="J98" s="39">
        <f t="shared" si="23"/>
        <v>0</v>
      </c>
      <c r="K98" s="309">
        <f t="shared" si="29"/>
        <v>2.2999999999999998</v>
      </c>
      <c r="L98" s="230"/>
      <c r="M98" s="89"/>
      <c r="N98" s="281"/>
      <c r="O98" s="39"/>
      <c r="P98" s="360">
        <f t="shared" si="30"/>
        <v>0</v>
      </c>
      <c r="Q98" s="51" t="str">
        <f t="shared" si="17"/>
        <v>П52х20х8</v>
      </c>
      <c r="R98" s="377">
        <f t="shared" si="27"/>
        <v>2.87</v>
      </c>
      <c r="S98" s="378">
        <v>2.39</v>
      </c>
      <c r="T98" s="353">
        <f t="shared" si="24"/>
        <v>0</v>
      </c>
      <c r="U98" s="20"/>
      <c r="V98" s="20">
        <f t="shared" si="25"/>
        <v>0</v>
      </c>
      <c r="W98" s="52">
        <f t="shared" si="22"/>
        <v>0</v>
      </c>
      <c r="X98" s="20"/>
      <c r="Y98" s="20"/>
      <c r="Z98" s="20"/>
      <c r="AA98" s="20"/>
      <c r="AB98" s="417"/>
      <c r="AC98" s="200"/>
      <c r="AD98" s="160"/>
      <c r="AE98" s="163"/>
      <c r="AF98" s="171"/>
      <c r="AG98" s="192"/>
      <c r="AH98" s="128"/>
      <c r="AI98" s="129"/>
      <c r="AK98" s="10"/>
      <c r="AL98" s="10"/>
      <c r="AM98" s="10"/>
    </row>
    <row r="99" spans="1:39" ht="26.25" customHeight="1" x14ac:dyDescent="0.25">
      <c r="B99" s="11">
        <v>34</v>
      </c>
      <c r="C99" s="6" t="s">
        <v>18</v>
      </c>
      <c r="D99" s="23" t="s">
        <v>9</v>
      </c>
      <c r="E99" s="237" t="s">
        <v>108</v>
      </c>
      <c r="F99" s="208">
        <v>600</v>
      </c>
      <c r="G99" s="12" t="s">
        <v>0</v>
      </c>
      <c r="H99" s="39">
        <v>380</v>
      </c>
      <c r="I99" s="360">
        <v>1204.5999999999999</v>
      </c>
      <c r="J99" s="39">
        <f t="shared" si="23"/>
        <v>0</v>
      </c>
      <c r="K99" s="309">
        <f t="shared" si="29"/>
        <v>3.17</v>
      </c>
      <c r="L99" s="230">
        <f t="shared" ref="L99:L106" si="31">K99*J393</f>
        <v>0</v>
      </c>
      <c r="M99" s="154"/>
      <c r="N99" s="553">
        <v>330</v>
      </c>
      <c r="O99" s="39">
        <v>50</v>
      </c>
      <c r="P99" s="468">
        <f t="shared" si="30"/>
        <v>158.5</v>
      </c>
      <c r="Q99" s="51" t="str">
        <f t="shared" si="17"/>
        <v>ЭПГ110.158(П50х35х40)</v>
      </c>
      <c r="R99" s="377">
        <f t="shared" si="27"/>
        <v>3.96</v>
      </c>
      <c r="S99" s="320">
        <v>3.3</v>
      </c>
      <c r="T99" s="353">
        <f t="shared" si="24"/>
        <v>0</v>
      </c>
      <c r="U99" s="20">
        <v>266</v>
      </c>
      <c r="V99" s="20">
        <f t="shared" si="25"/>
        <v>330</v>
      </c>
      <c r="W99" s="52">
        <f t="shared" si="22"/>
        <v>122</v>
      </c>
      <c r="X99" s="20">
        <f>10*38-8*38-18</f>
        <v>58</v>
      </c>
      <c r="Y99" s="20"/>
      <c r="Z99" s="20"/>
      <c r="AA99" s="20">
        <v>600</v>
      </c>
      <c r="AB99" s="417"/>
      <c r="AC99" s="200"/>
      <c r="AD99" s="160"/>
      <c r="AE99" s="163"/>
      <c r="AF99" s="171"/>
      <c r="AG99" s="192"/>
      <c r="AH99" s="16"/>
      <c r="AI99" s="16"/>
      <c r="AJ99" s="185"/>
      <c r="AK99" s="435"/>
      <c r="AL99" s="476"/>
      <c r="AM99" s="10"/>
    </row>
    <row r="100" spans="1:39" ht="26.25" customHeight="1" x14ac:dyDescent="0.25">
      <c r="B100" s="11">
        <v>35</v>
      </c>
      <c r="C100" s="6" t="s">
        <v>18</v>
      </c>
      <c r="D100" s="23" t="s">
        <v>9</v>
      </c>
      <c r="E100" s="237" t="s">
        <v>66</v>
      </c>
      <c r="F100" s="210">
        <v>395</v>
      </c>
      <c r="G100" s="12" t="s">
        <v>0</v>
      </c>
      <c r="H100" s="39">
        <v>100</v>
      </c>
      <c r="I100" s="360">
        <v>670</v>
      </c>
      <c r="J100" s="39">
        <f t="shared" si="23"/>
        <v>0</v>
      </c>
      <c r="K100" s="309">
        <f t="shared" si="29"/>
        <v>6.7</v>
      </c>
      <c r="L100" s="230">
        <f t="shared" si="31"/>
        <v>0</v>
      </c>
      <c r="M100" s="154"/>
      <c r="N100" s="553"/>
      <c r="O100" s="503">
        <v>100</v>
      </c>
      <c r="P100" s="309">
        <f t="shared" si="30"/>
        <v>670</v>
      </c>
      <c r="Q100" s="260" t="str">
        <f t="shared" si="17"/>
        <v>ЭПГ110.149(П90х35х34)</v>
      </c>
      <c r="R100" s="377">
        <f t="shared" si="27"/>
        <v>8.3800000000000008</v>
      </c>
      <c r="S100" s="326">
        <v>6.98</v>
      </c>
      <c r="T100" s="353">
        <f t="shared" si="24"/>
        <v>0</v>
      </c>
      <c r="U100" s="20">
        <v>100</v>
      </c>
      <c r="V100" s="20">
        <f t="shared" si="25"/>
        <v>0</v>
      </c>
      <c r="W100" s="52">
        <f t="shared" si="22"/>
        <v>20</v>
      </c>
      <c r="X100" s="20">
        <f>6*20</f>
        <v>120</v>
      </c>
      <c r="Y100" s="20"/>
      <c r="Z100" s="20"/>
      <c r="AA100" s="20">
        <v>600</v>
      </c>
      <c r="AB100" s="417"/>
      <c r="AC100" s="200"/>
      <c r="AD100" s="160"/>
      <c r="AE100" s="163"/>
      <c r="AF100" s="171"/>
      <c r="AG100" s="192"/>
      <c r="AH100" s="16"/>
      <c r="AI100" s="16"/>
      <c r="AJ100" s="185"/>
      <c r="AK100" s="435"/>
      <c r="AL100" s="836"/>
      <c r="AM100" s="10"/>
    </row>
    <row r="101" spans="1:39" ht="26.25" customHeight="1" thickBot="1" x14ac:dyDescent="0.3">
      <c r="B101" s="15">
        <v>36</v>
      </c>
      <c r="C101" s="6" t="s">
        <v>18</v>
      </c>
      <c r="D101" s="23" t="s">
        <v>9</v>
      </c>
      <c r="E101" s="237" t="s">
        <v>65</v>
      </c>
      <c r="F101" s="210">
        <v>406</v>
      </c>
      <c r="G101" s="12" t="s">
        <v>0</v>
      </c>
      <c r="H101" s="39">
        <v>120</v>
      </c>
      <c r="I101" s="360">
        <v>1555.2</v>
      </c>
      <c r="J101" s="39">
        <f t="shared" si="23"/>
        <v>126</v>
      </c>
      <c r="K101" s="309">
        <f t="shared" si="29"/>
        <v>12.96</v>
      </c>
      <c r="L101" s="230">
        <f t="shared" si="31"/>
        <v>0</v>
      </c>
      <c r="M101" s="154"/>
      <c r="N101" s="553">
        <v>106</v>
      </c>
      <c r="O101" s="503">
        <v>140</v>
      </c>
      <c r="P101" s="309">
        <f t="shared" si="30"/>
        <v>1814.4</v>
      </c>
      <c r="Q101" s="261" t="str">
        <f t="shared" si="17"/>
        <v>ЭПГ110.148(П120х35х34)</v>
      </c>
      <c r="R101" s="377">
        <f t="shared" si="27"/>
        <v>16.2</v>
      </c>
      <c r="S101" s="333">
        <v>13.5</v>
      </c>
      <c r="T101" s="353">
        <f t="shared" si="24"/>
        <v>1701</v>
      </c>
      <c r="U101" s="20"/>
      <c r="V101" s="20">
        <f t="shared" si="25"/>
        <v>106</v>
      </c>
      <c r="W101" s="52">
        <f t="shared" si="22"/>
        <v>188</v>
      </c>
      <c r="X101" s="20">
        <f>12*14+12-7*14</f>
        <v>82</v>
      </c>
      <c r="Y101" s="20"/>
      <c r="Z101" s="20"/>
      <c r="AA101" s="20">
        <v>600</v>
      </c>
      <c r="AB101" s="417"/>
      <c r="AC101" s="200"/>
      <c r="AD101" s="160"/>
      <c r="AE101" s="163"/>
      <c r="AF101" s="171"/>
      <c r="AG101" s="192"/>
      <c r="AH101" s="16"/>
      <c r="AI101" s="16"/>
      <c r="AJ101" s="185"/>
      <c r="AK101" s="435"/>
      <c r="AL101" s="832"/>
      <c r="AM101" s="832"/>
    </row>
    <row r="102" spans="1:39" ht="26.25" hidden="1" customHeight="1" x14ac:dyDescent="0.25">
      <c r="B102" s="14"/>
      <c r="C102" s="6" t="s">
        <v>18</v>
      </c>
      <c r="D102" s="23" t="s">
        <v>9</v>
      </c>
      <c r="E102" s="212" t="s">
        <v>253</v>
      </c>
      <c r="F102" s="270">
        <v>829</v>
      </c>
      <c r="G102" s="12" t="s">
        <v>0</v>
      </c>
      <c r="H102" s="39"/>
      <c r="I102" s="309">
        <v>0</v>
      </c>
      <c r="J102" s="39">
        <f t="shared" si="23"/>
        <v>0</v>
      </c>
      <c r="K102" s="309">
        <f t="shared" si="29"/>
        <v>7.2</v>
      </c>
      <c r="L102" s="230">
        <f t="shared" si="31"/>
        <v>0</v>
      </c>
      <c r="M102" s="89"/>
      <c r="N102" s="279"/>
      <c r="O102" s="39"/>
      <c r="P102" s="490">
        <f t="shared" si="30"/>
        <v>0</v>
      </c>
      <c r="Q102" s="262" t="str">
        <f t="shared" si="17"/>
        <v>П40х40х10</v>
      </c>
      <c r="R102" s="377">
        <f t="shared" si="27"/>
        <v>9</v>
      </c>
      <c r="S102" s="319">
        <v>7.5</v>
      </c>
      <c r="T102" s="353">
        <f t="shared" ref="T102:T133" si="32">S102*J102</f>
        <v>0</v>
      </c>
      <c r="U102" s="18">
        <v>100</v>
      </c>
      <c r="V102" s="20">
        <f t="shared" ref="V102:V133" si="33">N102</f>
        <v>0</v>
      </c>
      <c r="W102" s="52">
        <f t="shared" si="22"/>
        <v>0</v>
      </c>
      <c r="X102" s="18">
        <v>100</v>
      </c>
      <c r="Y102" s="18">
        <v>1</v>
      </c>
      <c r="Z102" s="18"/>
      <c r="AA102" s="18"/>
      <c r="AB102" s="418"/>
      <c r="AC102" s="200"/>
      <c r="AD102" s="160"/>
      <c r="AE102" s="163"/>
      <c r="AF102" s="171"/>
      <c r="AG102" s="192"/>
      <c r="AH102" s="128"/>
      <c r="AI102" s="129"/>
      <c r="AK102" s="4"/>
      <c r="AL102" s="841"/>
      <c r="AM102" s="10"/>
    </row>
    <row r="103" spans="1:39" s="4" customFormat="1" ht="26.25" hidden="1" customHeight="1" x14ac:dyDescent="0.25">
      <c r="A103" s="10"/>
      <c r="B103" s="14"/>
      <c r="C103" s="6" t="s">
        <v>18</v>
      </c>
      <c r="D103" s="23" t="s">
        <v>9</v>
      </c>
      <c r="E103" s="212" t="s">
        <v>665</v>
      </c>
      <c r="F103" s="384">
        <v>1424</v>
      </c>
      <c r="G103" s="12"/>
      <c r="H103" s="39"/>
      <c r="I103" s="360">
        <v>0</v>
      </c>
      <c r="J103" s="39">
        <f t="shared" si="23"/>
        <v>0</v>
      </c>
      <c r="K103" s="309">
        <f t="shared" si="29"/>
        <v>3.55</v>
      </c>
      <c r="L103" s="230">
        <f t="shared" si="31"/>
        <v>0</v>
      </c>
      <c r="M103" s="205"/>
      <c r="N103" s="279"/>
      <c r="O103" s="503"/>
      <c r="P103" s="309">
        <f t="shared" si="30"/>
        <v>0</v>
      </c>
      <c r="Q103" s="235" t="str">
        <f t="shared" si="17"/>
        <v>П40х25х10</v>
      </c>
      <c r="R103" s="377">
        <f t="shared" si="27"/>
        <v>4.4400000000000004</v>
      </c>
      <c r="S103" s="319">
        <v>3.7</v>
      </c>
      <c r="T103" s="353">
        <f t="shared" si="32"/>
        <v>0</v>
      </c>
      <c r="U103" s="18"/>
      <c r="V103" s="20">
        <f t="shared" si="33"/>
        <v>0</v>
      </c>
      <c r="W103" s="52">
        <f t="shared" si="22"/>
        <v>0</v>
      </c>
      <c r="X103" s="18"/>
      <c r="Y103" s="18"/>
      <c r="Z103" s="18"/>
      <c r="AA103" s="18"/>
      <c r="AB103" s="418"/>
      <c r="AC103" s="200"/>
      <c r="AD103" s="160"/>
      <c r="AE103" s="163"/>
      <c r="AF103" s="171"/>
      <c r="AG103" s="192"/>
      <c r="AH103" s="128"/>
      <c r="AI103" s="129"/>
      <c r="AJ103" s="182"/>
    </row>
    <row r="104" spans="1:39" s="4" customFormat="1" ht="26.25" hidden="1" customHeight="1" x14ac:dyDescent="0.25">
      <c r="A104" s="10"/>
      <c r="B104" s="15"/>
      <c r="C104" s="6" t="s">
        <v>18</v>
      </c>
      <c r="D104" s="23" t="s">
        <v>9</v>
      </c>
      <c r="E104" s="212" t="s">
        <v>523</v>
      </c>
      <c r="F104" s="270"/>
      <c r="G104" s="12"/>
      <c r="H104" s="39"/>
      <c r="I104" s="309">
        <v>0</v>
      </c>
      <c r="J104" s="39">
        <f t="shared" si="23"/>
        <v>0</v>
      </c>
      <c r="K104" s="309">
        <f t="shared" si="29"/>
        <v>2.2999999999999998</v>
      </c>
      <c r="L104" s="230">
        <f t="shared" si="31"/>
        <v>0</v>
      </c>
      <c r="M104" s="89"/>
      <c r="N104" s="279"/>
      <c r="O104" s="39"/>
      <c r="P104" s="490">
        <f t="shared" si="30"/>
        <v>0</v>
      </c>
      <c r="Q104" s="235" t="str">
        <f t="shared" si="17"/>
        <v>30М7115.01.30.007(П27х24х27)</v>
      </c>
      <c r="R104" s="377">
        <f t="shared" si="27"/>
        <v>2.87</v>
      </c>
      <c r="S104" s="319">
        <v>2.39</v>
      </c>
      <c r="T104" s="353">
        <f t="shared" si="32"/>
        <v>0</v>
      </c>
      <c r="U104" s="18"/>
      <c r="V104" s="20">
        <f t="shared" si="33"/>
        <v>0</v>
      </c>
      <c r="W104" s="52">
        <f t="shared" si="22"/>
        <v>0</v>
      </c>
      <c r="X104" s="18"/>
      <c r="Y104" s="18"/>
      <c r="Z104" s="18"/>
      <c r="AA104" s="18"/>
      <c r="AB104" s="418"/>
      <c r="AC104" s="200"/>
      <c r="AD104" s="160"/>
      <c r="AE104" s="163"/>
      <c r="AF104" s="171"/>
      <c r="AG104" s="192"/>
      <c r="AH104" s="128"/>
      <c r="AI104" s="129"/>
      <c r="AJ104" s="182"/>
    </row>
    <row r="105" spans="1:39" s="4" customFormat="1" ht="26.25" hidden="1" customHeight="1" x14ac:dyDescent="0.25">
      <c r="A105" s="10"/>
      <c r="B105" s="15"/>
      <c r="C105" s="6" t="s">
        <v>18</v>
      </c>
      <c r="D105" s="23" t="s">
        <v>9</v>
      </c>
      <c r="E105" s="1" t="s">
        <v>544</v>
      </c>
      <c r="F105" s="384">
        <v>1075</v>
      </c>
      <c r="G105" s="12"/>
      <c r="H105" s="39"/>
      <c r="I105" s="360">
        <v>0</v>
      </c>
      <c r="J105" s="39">
        <f t="shared" si="23"/>
        <v>0</v>
      </c>
      <c r="K105" s="309">
        <f t="shared" si="29"/>
        <v>3.89</v>
      </c>
      <c r="L105" s="230">
        <f t="shared" si="31"/>
        <v>0</v>
      </c>
      <c r="M105" s="205"/>
      <c r="N105" s="279"/>
      <c r="O105" s="39"/>
      <c r="P105" s="468">
        <f t="shared" si="30"/>
        <v>0</v>
      </c>
      <c r="Q105" s="51" t="str">
        <f t="shared" si="17"/>
        <v>П50х55х10</v>
      </c>
      <c r="R105" s="377">
        <f t="shared" si="27"/>
        <v>4.8600000000000003</v>
      </c>
      <c r="S105" s="319">
        <v>4.05</v>
      </c>
      <c r="T105" s="353">
        <f t="shared" si="32"/>
        <v>0</v>
      </c>
      <c r="U105" s="18"/>
      <c r="V105" s="20">
        <f t="shared" si="33"/>
        <v>0</v>
      </c>
      <c r="W105" s="52">
        <f t="shared" si="22"/>
        <v>0</v>
      </c>
      <c r="X105" s="18"/>
      <c r="Y105" s="18"/>
      <c r="Z105" s="18"/>
      <c r="AA105" s="18"/>
      <c r="AB105" s="418"/>
      <c r="AC105" s="200"/>
      <c r="AD105" s="160"/>
      <c r="AE105" s="163"/>
      <c r="AF105" s="171"/>
      <c r="AG105" s="192"/>
      <c r="AH105" s="128"/>
      <c r="AI105" s="129"/>
      <c r="AJ105" s="182"/>
    </row>
    <row r="106" spans="1:39" ht="26.25" hidden="1" customHeight="1" x14ac:dyDescent="0.25">
      <c r="B106" s="15"/>
      <c r="C106" s="6" t="s">
        <v>18</v>
      </c>
      <c r="D106" s="23" t="s">
        <v>9</v>
      </c>
      <c r="E106" s="237" t="s">
        <v>724</v>
      </c>
      <c r="F106" s="383">
        <v>1360</v>
      </c>
      <c r="G106" s="12" t="s">
        <v>0</v>
      </c>
      <c r="H106" s="39"/>
      <c r="I106" s="360">
        <v>0</v>
      </c>
      <c r="J106" s="39">
        <f t="shared" si="23"/>
        <v>0</v>
      </c>
      <c r="K106" s="309">
        <f t="shared" si="29"/>
        <v>2.54</v>
      </c>
      <c r="L106" s="230">
        <f t="shared" si="31"/>
        <v>0</v>
      </c>
      <c r="M106" s="82"/>
      <c r="N106" s="279"/>
      <c r="O106" s="503"/>
      <c r="P106" s="309">
        <f t="shared" si="30"/>
        <v>0</v>
      </c>
      <c r="Q106" s="235" t="str">
        <f t="shared" si="17"/>
        <v>П60х20х7</v>
      </c>
      <c r="R106" s="377">
        <f t="shared" si="27"/>
        <v>3.18</v>
      </c>
      <c r="S106" s="320">
        <v>2.65</v>
      </c>
      <c r="T106" s="353">
        <f t="shared" si="32"/>
        <v>0</v>
      </c>
      <c r="U106" s="430">
        <v>52</v>
      </c>
      <c r="V106" s="20">
        <f t="shared" si="33"/>
        <v>0</v>
      </c>
      <c r="W106" s="52">
        <f t="shared" si="22"/>
        <v>0</v>
      </c>
      <c r="X106" s="430">
        <v>52</v>
      </c>
      <c r="Y106" s="18"/>
      <c r="Z106" s="18"/>
      <c r="AA106" s="18"/>
      <c r="AB106" s="418"/>
      <c r="AC106" s="200"/>
      <c r="AD106" s="160"/>
      <c r="AE106" s="163"/>
      <c r="AF106" s="171"/>
      <c r="AG106" s="192"/>
      <c r="AH106" s="128"/>
      <c r="AI106" s="129"/>
      <c r="AK106" s="10"/>
      <c r="AL106" s="10"/>
      <c r="AM106" s="10"/>
    </row>
    <row r="107" spans="1:39" ht="26.25" hidden="1" customHeight="1" thickBot="1" x14ac:dyDescent="0.3">
      <c r="B107" s="15"/>
      <c r="C107" s="6" t="s">
        <v>18</v>
      </c>
      <c r="D107" s="23" t="s">
        <v>9</v>
      </c>
      <c r="E107" s="237" t="s">
        <v>492</v>
      </c>
      <c r="F107" s="270"/>
      <c r="G107" s="12"/>
      <c r="H107" s="39"/>
      <c r="I107" s="309">
        <v>0</v>
      </c>
      <c r="J107" s="39">
        <f t="shared" si="23"/>
        <v>0</v>
      </c>
      <c r="K107" s="309"/>
      <c r="L107" s="230"/>
      <c r="M107" s="82"/>
      <c r="N107" s="279"/>
      <c r="O107" s="39"/>
      <c r="P107" s="490">
        <f t="shared" si="30"/>
        <v>0</v>
      </c>
      <c r="Q107" s="263" t="str">
        <f t="shared" si="17"/>
        <v>П30х30х9</v>
      </c>
      <c r="R107" s="377">
        <f t="shared" si="27"/>
        <v>0</v>
      </c>
      <c r="S107" s="320">
        <v>0</v>
      </c>
      <c r="T107" s="353">
        <f t="shared" si="32"/>
        <v>0</v>
      </c>
      <c r="U107" s="18">
        <v>40</v>
      </c>
      <c r="V107" s="20">
        <f t="shared" si="33"/>
        <v>0</v>
      </c>
      <c r="W107" s="52">
        <f t="shared" si="22"/>
        <v>0</v>
      </c>
      <c r="X107" s="18">
        <v>40</v>
      </c>
      <c r="Y107" s="18"/>
      <c r="Z107" s="18"/>
      <c r="AA107" s="18"/>
      <c r="AB107" s="418"/>
      <c r="AC107" s="200"/>
      <c r="AD107" s="160"/>
      <c r="AE107" s="163"/>
      <c r="AF107" s="171"/>
      <c r="AG107" s="192"/>
      <c r="AH107" s="128"/>
      <c r="AI107" s="129"/>
      <c r="AK107" s="10"/>
      <c r="AL107" s="836"/>
      <c r="AM107" s="10"/>
    </row>
    <row r="108" spans="1:39" ht="26.25" customHeight="1" x14ac:dyDescent="0.25">
      <c r="B108" s="15">
        <v>37</v>
      </c>
      <c r="C108" s="6" t="s">
        <v>18</v>
      </c>
      <c r="D108" s="23" t="s">
        <v>9</v>
      </c>
      <c r="E108" s="237" t="s">
        <v>872</v>
      </c>
      <c r="F108" s="383">
        <v>1496</v>
      </c>
      <c r="G108" s="48" t="s">
        <v>0</v>
      </c>
      <c r="H108" s="39"/>
      <c r="I108" s="360">
        <v>0</v>
      </c>
      <c r="J108" s="39">
        <f t="shared" si="23"/>
        <v>100</v>
      </c>
      <c r="K108" s="309">
        <f>R108*0.8</f>
        <v>4.8</v>
      </c>
      <c r="L108" s="230"/>
      <c r="M108" s="295"/>
      <c r="N108" s="553">
        <v>100</v>
      </c>
      <c r="O108" s="39"/>
      <c r="P108" s="360">
        <f t="shared" si="30"/>
        <v>0</v>
      </c>
      <c r="Q108" s="403" t="str">
        <f t="shared" si="17"/>
        <v>П70х15х8</v>
      </c>
      <c r="R108" s="377">
        <f t="shared" si="27"/>
        <v>6</v>
      </c>
      <c r="S108" s="320">
        <v>5</v>
      </c>
      <c r="T108" s="353">
        <f t="shared" si="32"/>
        <v>500</v>
      </c>
      <c r="U108" s="18">
        <v>52</v>
      </c>
      <c r="V108" s="20">
        <f t="shared" si="33"/>
        <v>100</v>
      </c>
      <c r="W108" s="52">
        <f t="shared" si="22"/>
        <v>48</v>
      </c>
      <c r="X108" s="18"/>
      <c r="Y108" s="18"/>
      <c r="Z108" s="18"/>
      <c r="AA108" s="18"/>
      <c r="AB108" s="418"/>
      <c r="AC108" s="200"/>
      <c r="AD108" s="160"/>
      <c r="AE108" s="163"/>
      <c r="AF108" s="171"/>
      <c r="AG108" s="192"/>
      <c r="AH108" s="128"/>
      <c r="AI108" s="129"/>
      <c r="AK108" s="10"/>
      <c r="AL108" s="832"/>
      <c r="AM108" s="832"/>
    </row>
    <row r="109" spans="1:39" ht="26.25" customHeight="1" x14ac:dyDescent="0.35">
      <c r="B109" s="15">
        <v>38</v>
      </c>
      <c r="C109" s="6" t="s">
        <v>18</v>
      </c>
      <c r="D109" s="23" t="s">
        <v>9</v>
      </c>
      <c r="E109" s="212" t="s">
        <v>161</v>
      </c>
      <c r="F109" s="208" t="s">
        <v>221</v>
      </c>
      <c r="G109" s="12" t="s">
        <v>0</v>
      </c>
      <c r="H109" s="39">
        <v>346</v>
      </c>
      <c r="I109" s="360">
        <v>1328.64</v>
      </c>
      <c r="J109" s="39">
        <f t="shared" si="23"/>
        <v>0</v>
      </c>
      <c r="K109" s="309">
        <f>R109*0.8</f>
        <v>3.84</v>
      </c>
      <c r="L109" s="230">
        <f>K109*J403</f>
        <v>0</v>
      </c>
      <c r="M109" s="194"/>
      <c r="N109" s="553"/>
      <c r="O109" s="503">
        <v>346</v>
      </c>
      <c r="P109" s="309">
        <f t="shared" si="30"/>
        <v>1328.64</v>
      </c>
      <c r="Q109" s="235" t="str">
        <f t="shared" si="17"/>
        <v>П84х64х14</v>
      </c>
      <c r="R109" s="377">
        <f t="shared" si="27"/>
        <v>4.8</v>
      </c>
      <c r="S109" s="332">
        <v>4</v>
      </c>
      <c r="T109" s="353">
        <f t="shared" si="32"/>
        <v>0</v>
      </c>
      <c r="U109" s="18">
        <v>2000</v>
      </c>
      <c r="V109" s="20">
        <f t="shared" si="33"/>
        <v>0</v>
      </c>
      <c r="W109" s="52">
        <f t="shared" si="22"/>
        <v>-2000</v>
      </c>
      <c r="X109" s="18"/>
      <c r="Y109" s="18"/>
      <c r="Z109" s="18"/>
      <c r="AA109" s="18">
        <f>3500+3000+1300+150+150+500</f>
        <v>8600</v>
      </c>
      <c r="AB109" s="418"/>
      <c r="AC109" s="200"/>
      <c r="AD109" s="160">
        <v>0.78</v>
      </c>
      <c r="AE109" s="162"/>
      <c r="AF109" s="171"/>
      <c r="AG109" s="176"/>
      <c r="AH109" s="115"/>
      <c r="AI109" s="113"/>
      <c r="AJ109" s="185"/>
      <c r="AK109" s="125"/>
      <c r="AL109" s="10"/>
      <c r="AM109" s="10"/>
    </row>
    <row r="110" spans="1:39" ht="26.25" hidden="1" customHeight="1" x14ac:dyDescent="0.25">
      <c r="B110" s="15"/>
      <c r="C110" s="6" t="s">
        <v>18</v>
      </c>
      <c r="D110" s="23" t="s">
        <v>458</v>
      </c>
      <c r="E110" s="87" t="s">
        <v>161</v>
      </c>
      <c r="F110" s="211" t="s">
        <v>374</v>
      </c>
      <c r="G110" s="48"/>
      <c r="H110" s="39"/>
      <c r="I110" s="309">
        <v>0</v>
      </c>
      <c r="J110" s="39">
        <f t="shared" si="23"/>
        <v>0</v>
      </c>
      <c r="K110" s="309">
        <f>R110*0.8</f>
        <v>2.21</v>
      </c>
      <c r="L110" s="230">
        <f>K110*J404</f>
        <v>0</v>
      </c>
      <c r="M110" s="155"/>
      <c r="N110" s="140"/>
      <c r="O110" s="39"/>
      <c r="P110" s="490">
        <f t="shared" si="30"/>
        <v>0</v>
      </c>
      <c r="Q110" s="264" t="str">
        <f t="shared" si="17"/>
        <v>П84х64х14</v>
      </c>
      <c r="R110" s="377">
        <f t="shared" si="27"/>
        <v>2.76</v>
      </c>
      <c r="S110" s="332">
        <v>2.2999999999999998</v>
      </c>
      <c r="T110" s="353">
        <f t="shared" si="32"/>
        <v>0</v>
      </c>
      <c r="U110" s="20"/>
      <c r="V110" s="20">
        <f t="shared" si="33"/>
        <v>0</v>
      </c>
      <c r="W110" s="52">
        <f t="shared" si="22"/>
        <v>0</v>
      </c>
      <c r="X110" s="20"/>
      <c r="Y110" s="20"/>
      <c r="Z110" s="20"/>
      <c r="AA110" s="20"/>
      <c r="AB110" s="417"/>
      <c r="AC110" s="200"/>
      <c r="AD110" s="160"/>
      <c r="AE110" s="163"/>
      <c r="AF110" s="171"/>
      <c r="AG110" s="192"/>
      <c r="AH110" s="128"/>
      <c r="AI110" s="129"/>
      <c r="AK110" s="10"/>
      <c r="AL110" s="10"/>
      <c r="AM110" s="10"/>
    </row>
    <row r="111" spans="1:39" ht="26.25" hidden="1" customHeight="1" x14ac:dyDescent="0.25">
      <c r="B111" s="15"/>
      <c r="C111" s="6" t="s">
        <v>18</v>
      </c>
      <c r="D111" s="23" t="s">
        <v>9</v>
      </c>
      <c r="E111" s="87" t="s">
        <v>658</v>
      </c>
      <c r="F111" s="211"/>
      <c r="G111" s="48"/>
      <c r="H111" s="39"/>
      <c r="I111" s="360"/>
      <c r="J111" s="39">
        <f t="shared" si="23"/>
        <v>0</v>
      </c>
      <c r="K111" s="309"/>
      <c r="L111" s="230"/>
      <c r="M111" s="155"/>
      <c r="N111" s="140"/>
      <c r="O111" s="39"/>
      <c r="P111" s="360"/>
      <c r="Q111" s="264" t="str">
        <f t="shared" si="17"/>
        <v>П84*64*20</v>
      </c>
      <c r="R111" s="306"/>
      <c r="S111" s="332"/>
      <c r="T111" s="353">
        <f t="shared" si="32"/>
        <v>0</v>
      </c>
      <c r="U111" s="20">
        <v>500</v>
      </c>
      <c r="V111" s="20">
        <f t="shared" si="33"/>
        <v>0</v>
      </c>
      <c r="W111" s="52"/>
      <c r="X111" s="20">
        <v>500</v>
      </c>
      <c r="Y111" s="20"/>
      <c r="Z111" s="20"/>
      <c r="AA111" s="20"/>
      <c r="AB111" s="417"/>
      <c r="AC111" s="200"/>
      <c r="AD111" s="160"/>
      <c r="AE111" s="163"/>
      <c r="AF111" s="171"/>
      <c r="AG111" s="192"/>
      <c r="AH111" s="128"/>
      <c r="AI111" s="129"/>
      <c r="AK111" s="10"/>
      <c r="AL111" s="10"/>
      <c r="AM111" s="10"/>
    </row>
    <row r="112" spans="1:39" ht="26.25" hidden="1" customHeight="1" x14ac:dyDescent="0.25">
      <c r="B112" s="15"/>
      <c r="C112" s="6" t="s">
        <v>18</v>
      </c>
      <c r="D112" s="23" t="s">
        <v>9</v>
      </c>
      <c r="E112" s="286" t="s">
        <v>551</v>
      </c>
      <c r="F112" s="211" t="s">
        <v>558</v>
      </c>
      <c r="G112" s="48"/>
      <c r="H112" s="39"/>
      <c r="I112" s="360">
        <v>0</v>
      </c>
      <c r="J112" s="39">
        <f t="shared" si="23"/>
        <v>0</v>
      </c>
      <c r="K112" s="309">
        <f>R112*0.8</f>
        <v>9.98</v>
      </c>
      <c r="L112" s="230">
        <f>K112*J406</f>
        <v>0</v>
      </c>
      <c r="M112" s="91"/>
      <c r="N112" s="279"/>
      <c r="O112" s="39"/>
      <c r="P112" s="360">
        <f t="shared" ref="P112:P131" si="34">K112*O112</f>
        <v>0</v>
      </c>
      <c r="Q112" s="51" t="str">
        <f t="shared" si="17"/>
        <v>П98х32х42</v>
      </c>
      <c r="R112" s="306">
        <f t="shared" ref="R112:R143" si="35">S112*1.2</f>
        <v>12.48</v>
      </c>
      <c r="S112" s="332">
        <v>10.4</v>
      </c>
      <c r="T112" s="353">
        <f t="shared" si="32"/>
        <v>0</v>
      </c>
      <c r="U112" s="20"/>
      <c r="V112" s="20">
        <f t="shared" si="33"/>
        <v>0</v>
      </c>
      <c r="W112" s="52">
        <f t="shared" ref="W112:W143" si="36">X112-U112+V112</f>
        <v>0</v>
      </c>
      <c r="X112" s="20"/>
      <c r="Y112" s="20"/>
      <c r="Z112" s="199"/>
      <c r="AA112" s="20"/>
      <c r="AB112" s="419"/>
      <c r="AC112" s="200"/>
      <c r="AD112" s="160"/>
      <c r="AE112" s="163"/>
      <c r="AF112" s="171"/>
      <c r="AG112" s="192"/>
      <c r="AH112" s="128"/>
      <c r="AI112" s="129"/>
      <c r="AK112" s="10"/>
      <c r="AL112" s="10"/>
      <c r="AM112" s="10"/>
    </row>
    <row r="113" spans="1:74" ht="26.25" hidden="1" customHeight="1" x14ac:dyDescent="0.25">
      <c r="B113" s="14"/>
      <c r="C113" s="6" t="s">
        <v>18</v>
      </c>
      <c r="D113" s="23" t="s">
        <v>9</v>
      </c>
      <c r="E113" s="286" t="s">
        <v>195</v>
      </c>
      <c r="F113" s="211" t="s">
        <v>559</v>
      </c>
      <c r="G113" s="48"/>
      <c r="H113" s="39"/>
      <c r="I113" s="360">
        <v>0</v>
      </c>
      <c r="J113" s="39">
        <f t="shared" si="23"/>
        <v>0</v>
      </c>
      <c r="K113" s="309">
        <f>R113*0.8</f>
        <v>9.98</v>
      </c>
      <c r="L113" s="230">
        <f>K113*J407</f>
        <v>0</v>
      </c>
      <c r="M113" s="203"/>
      <c r="N113" s="279"/>
      <c r="O113" s="39"/>
      <c r="P113" s="360">
        <f t="shared" si="34"/>
        <v>0</v>
      </c>
      <c r="Q113" s="51" t="str">
        <f t="shared" si="17"/>
        <v>П98х42х32</v>
      </c>
      <c r="R113" s="306">
        <f t="shared" si="35"/>
        <v>12.48</v>
      </c>
      <c r="S113" s="332">
        <v>10.4</v>
      </c>
      <c r="T113" s="353">
        <f t="shared" si="32"/>
        <v>0</v>
      </c>
      <c r="U113" s="20"/>
      <c r="V113" s="20">
        <f t="shared" si="33"/>
        <v>0</v>
      </c>
      <c r="W113" s="52">
        <f t="shared" si="36"/>
        <v>0</v>
      </c>
      <c r="X113" s="20"/>
      <c r="Y113" s="20"/>
      <c r="Z113" s="199"/>
      <c r="AA113" s="20"/>
      <c r="AB113" s="419"/>
      <c r="AC113" s="200"/>
      <c r="AD113" s="160"/>
      <c r="AE113" s="163"/>
      <c r="AF113" s="171"/>
      <c r="AG113" s="192"/>
      <c r="AH113" s="128"/>
      <c r="AI113" s="129"/>
      <c r="AK113" s="10"/>
      <c r="AL113" s="10"/>
      <c r="AM113" s="10"/>
    </row>
    <row r="114" spans="1:74" ht="29.25" customHeight="1" x14ac:dyDescent="0.25">
      <c r="B114" s="876">
        <v>39</v>
      </c>
      <c r="C114" s="864" t="s">
        <v>18</v>
      </c>
      <c r="D114" s="865" t="s">
        <v>9</v>
      </c>
      <c r="E114" s="877" t="s">
        <v>459</v>
      </c>
      <c r="F114" s="878">
        <v>1244</v>
      </c>
      <c r="G114" s="879" t="s">
        <v>0</v>
      </c>
      <c r="H114" s="868">
        <v>2100</v>
      </c>
      <c r="I114" s="870">
        <v>4221</v>
      </c>
      <c r="J114" s="868">
        <f t="shared" si="23"/>
        <v>3000</v>
      </c>
      <c r="K114" s="870">
        <f>R114*0.8</f>
        <v>2.0099999999999998</v>
      </c>
      <c r="L114" s="230"/>
      <c r="M114" s="880"/>
      <c r="N114" s="553">
        <v>3000</v>
      </c>
      <c r="O114" s="39">
        <v>2100</v>
      </c>
      <c r="P114" s="309">
        <f t="shared" si="34"/>
        <v>4221</v>
      </c>
      <c r="Q114" s="264" t="str">
        <f t="shared" si="17"/>
        <v>ЕАЖИ 757.155.066 (пластина)</v>
      </c>
      <c r="R114" s="377">
        <f t="shared" si="35"/>
        <v>2.5099999999999998</v>
      </c>
      <c r="S114" s="332">
        <f>63.4*0.033</f>
        <v>2.09</v>
      </c>
      <c r="T114" s="353">
        <f t="shared" si="32"/>
        <v>6270</v>
      </c>
      <c r="U114" s="20">
        <v>8100</v>
      </c>
      <c r="V114" s="20">
        <f t="shared" si="33"/>
        <v>3000</v>
      </c>
      <c r="W114" s="52">
        <f t="shared" si="36"/>
        <v>-3600</v>
      </c>
      <c r="X114" s="20">
        <v>1500</v>
      </c>
      <c r="Y114" s="20"/>
      <c r="Z114" s="199"/>
      <c r="AA114" s="20"/>
      <c r="AB114" s="419"/>
      <c r="AC114" s="200"/>
      <c r="AD114" s="160"/>
      <c r="AE114" s="163"/>
      <c r="AF114" s="171"/>
      <c r="AG114" s="192"/>
      <c r="AH114" s="128"/>
      <c r="AI114" s="129"/>
      <c r="AK114" s="10"/>
      <c r="AL114" s="832"/>
      <c r="AM114" s="832"/>
    </row>
    <row r="115" spans="1:74" ht="33" customHeight="1" x14ac:dyDescent="0.25">
      <c r="B115" s="15">
        <v>40</v>
      </c>
      <c r="C115" s="6" t="s">
        <v>18</v>
      </c>
      <c r="D115" s="23" t="s">
        <v>9</v>
      </c>
      <c r="E115" s="212" t="s">
        <v>460</v>
      </c>
      <c r="F115" s="208" t="s">
        <v>498</v>
      </c>
      <c r="G115" s="12" t="s">
        <v>0</v>
      </c>
      <c r="H115" s="39">
        <v>1560</v>
      </c>
      <c r="I115" s="360">
        <v>3135.6</v>
      </c>
      <c r="J115" s="39">
        <f t="shared" si="23"/>
        <v>3500</v>
      </c>
      <c r="K115" s="309">
        <f>R115*0.8</f>
        <v>2.0099999999999998</v>
      </c>
      <c r="L115" s="230"/>
      <c r="M115" s="154"/>
      <c r="N115" s="553">
        <v>3500</v>
      </c>
      <c r="O115" s="503">
        <v>1560</v>
      </c>
      <c r="P115" s="309">
        <f t="shared" si="34"/>
        <v>3135.6</v>
      </c>
      <c r="Q115" s="235" t="str">
        <f t="shared" si="17"/>
        <v>ЕАЖИ 757.156.066 (замыкающая)</v>
      </c>
      <c r="R115" s="377">
        <f t="shared" si="35"/>
        <v>2.5099999999999998</v>
      </c>
      <c r="S115" s="332">
        <f>63.4*0.033</f>
        <v>2.09</v>
      </c>
      <c r="T115" s="353">
        <f t="shared" si="32"/>
        <v>7315</v>
      </c>
      <c r="U115" s="20">
        <v>1530</v>
      </c>
      <c r="V115" s="20">
        <f t="shared" si="33"/>
        <v>3500</v>
      </c>
      <c r="W115" s="52">
        <f t="shared" si="36"/>
        <v>3530</v>
      </c>
      <c r="X115" s="20">
        <f>52*30</f>
        <v>1560</v>
      </c>
      <c r="Y115" s="20"/>
      <c r="Z115" s="20"/>
      <c r="AA115" s="20"/>
      <c r="AB115" s="417"/>
      <c r="AC115" s="200"/>
      <c r="AD115" s="160"/>
      <c r="AE115" s="163"/>
      <c r="AF115" s="171"/>
      <c r="AG115" s="192"/>
      <c r="AH115" s="128"/>
      <c r="AI115" s="129"/>
      <c r="AK115" s="10"/>
      <c r="AL115" s="832"/>
      <c r="AM115" s="832"/>
    </row>
    <row r="116" spans="1:74" ht="26.25" hidden="1" customHeight="1" x14ac:dyDescent="0.25">
      <c r="B116" s="14"/>
      <c r="C116" s="6" t="s">
        <v>18</v>
      </c>
      <c r="D116" s="23" t="s">
        <v>9</v>
      </c>
      <c r="E116" s="212" t="s">
        <v>317</v>
      </c>
      <c r="F116" s="211"/>
      <c r="G116" s="48"/>
      <c r="H116" s="39"/>
      <c r="I116" s="309">
        <v>0</v>
      </c>
      <c r="J116" s="39">
        <f t="shared" si="23"/>
        <v>0</v>
      </c>
      <c r="K116" s="309"/>
      <c r="L116" s="230"/>
      <c r="M116" s="64"/>
      <c r="N116" s="279"/>
      <c r="O116" s="39"/>
      <c r="P116" s="490">
        <f t="shared" si="34"/>
        <v>0</v>
      </c>
      <c r="Q116" s="264" t="str">
        <f t="shared" si="17"/>
        <v>П98х23х30</v>
      </c>
      <c r="R116" s="306">
        <f t="shared" si="35"/>
        <v>0</v>
      </c>
      <c r="S116" s="332">
        <v>0</v>
      </c>
      <c r="T116" s="353">
        <f t="shared" si="32"/>
        <v>0</v>
      </c>
      <c r="U116" s="20">
        <v>300</v>
      </c>
      <c r="V116" s="20">
        <f t="shared" si="33"/>
        <v>0</v>
      </c>
      <c r="W116" s="52">
        <f t="shared" si="36"/>
        <v>0</v>
      </c>
      <c r="X116" s="20">
        <v>300</v>
      </c>
      <c r="Y116" s="20">
        <v>1</v>
      </c>
      <c r="Z116" s="20"/>
      <c r="AA116" s="20"/>
      <c r="AB116" s="417"/>
      <c r="AC116" s="200"/>
      <c r="AD116" s="160">
        <v>1.45</v>
      </c>
      <c r="AE116" s="163"/>
      <c r="AF116" s="171"/>
      <c r="AG116" s="192"/>
      <c r="AH116" s="16"/>
      <c r="AI116" s="16"/>
      <c r="AJ116" s="185"/>
      <c r="AK116" s="435"/>
      <c r="AL116" s="840"/>
      <c r="AM116" s="10"/>
    </row>
    <row r="117" spans="1:74" s="4" customFormat="1" ht="26.25" hidden="1" customHeight="1" x14ac:dyDescent="0.25">
      <c r="A117" s="10"/>
      <c r="B117" s="11"/>
      <c r="C117" s="6" t="s">
        <v>18</v>
      </c>
      <c r="D117" s="23" t="s">
        <v>9</v>
      </c>
      <c r="E117" s="212" t="s">
        <v>852</v>
      </c>
      <c r="F117" s="387" t="s">
        <v>858</v>
      </c>
      <c r="G117" s="12" t="s">
        <v>0</v>
      </c>
      <c r="H117" s="39"/>
      <c r="I117" s="360">
        <v>0</v>
      </c>
      <c r="J117" s="39">
        <f t="shared" si="23"/>
        <v>0</v>
      </c>
      <c r="K117" s="309">
        <f>R117*0.8</f>
        <v>6.82</v>
      </c>
      <c r="L117" s="230"/>
      <c r="M117" s="69"/>
      <c r="N117" s="279"/>
      <c r="O117" s="39"/>
      <c r="P117" s="360">
        <f t="shared" si="34"/>
        <v>0</v>
      </c>
      <c r="Q117" s="442" t="str">
        <f t="shared" si="17"/>
        <v>П100х30х15</v>
      </c>
      <c r="R117" s="306">
        <f t="shared" si="35"/>
        <v>8.52</v>
      </c>
      <c r="S117" s="320">
        <v>7.1</v>
      </c>
      <c r="T117" s="353">
        <f t="shared" si="32"/>
        <v>0</v>
      </c>
      <c r="U117" s="20"/>
      <c r="V117" s="20">
        <f t="shared" si="33"/>
        <v>0</v>
      </c>
      <c r="W117" s="52">
        <f t="shared" si="36"/>
        <v>0</v>
      </c>
      <c r="X117" s="20"/>
      <c r="Y117" s="20"/>
      <c r="Z117" s="20"/>
      <c r="AA117" s="20"/>
      <c r="AB117" s="417"/>
      <c r="AC117" s="200"/>
      <c r="AD117" s="160"/>
      <c r="AE117" s="163"/>
      <c r="AF117" s="171"/>
      <c r="AG117" s="192"/>
      <c r="AH117" s="128"/>
      <c r="AI117" s="129"/>
      <c r="AJ117" s="182"/>
    </row>
    <row r="118" spans="1:74" ht="26.25" customHeight="1" x14ac:dyDescent="0.25">
      <c r="B118" s="15">
        <v>41</v>
      </c>
      <c r="C118" s="6" t="s">
        <v>18</v>
      </c>
      <c r="D118" s="23" t="s">
        <v>9</v>
      </c>
      <c r="E118" s="43" t="s">
        <v>443</v>
      </c>
      <c r="F118" s="210">
        <v>1062</v>
      </c>
      <c r="G118" s="12" t="s">
        <v>0</v>
      </c>
      <c r="H118" s="39">
        <v>790</v>
      </c>
      <c r="I118" s="360">
        <v>3586.6</v>
      </c>
      <c r="J118" s="39">
        <f t="shared" si="23"/>
        <v>0</v>
      </c>
      <c r="K118" s="309">
        <v>4.54</v>
      </c>
      <c r="L118" s="230"/>
      <c r="N118" s="553"/>
      <c r="O118" s="503">
        <v>790</v>
      </c>
      <c r="P118" s="309">
        <f t="shared" si="34"/>
        <v>3586.6</v>
      </c>
      <c r="Q118" s="235" t="str">
        <f t="shared" ref="Q118:Q181" si="37">E118</f>
        <v>П98х64х14</v>
      </c>
      <c r="R118" s="377">
        <f t="shared" si="35"/>
        <v>7.08</v>
      </c>
      <c r="S118" s="321">
        <v>5.9</v>
      </c>
      <c r="T118" s="353">
        <f t="shared" si="32"/>
        <v>0</v>
      </c>
      <c r="U118" s="18"/>
      <c r="V118" s="20">
        <f t="shared" si="33"/>
        <v>0</v>
      </c>
      <c r="W118" s="52">
        <f t="shared" si="36"/>
        <v>0</v>
      </c>
      <c r="X118" s="18"/>
      <c r="Y118" s="18"/>
      <c r="Z118" s="18"/>
      <c r="AA118" s="18"/>
      <c r="AB118" s="418"/>
      <c r="AC118" s="200"/>
      <c r="AD118" s="160"/>
      <c r="AE118" s="163"/>
      <c r="AF118" s="171"/>
      <c r="AG118" s="192"/>
      <c r="AH118" s="128"/>
      <c r="AI118" s="129"/>
      <c r="AK118" s="10"/>
      <c r="AL118" s="10"/>
      <c r="AM118" s="10"/>
    </row>
    <row r="119" spans="1:74" ht="26.25" customHeight="1" x14ac:dyDescent="0.25">
      <c r="B119" s="15">
        <v>42</v>
      </c>
      <c r="C119" s="6" t="s">
        <v>18</v>
      </c>
      <c r="D119" s="23" t="s">
        <v>142</v>
      </c>
      <c r="E119" s="104" t="s">
        <v>1</v>
      </c>
      <c r="F119" s="208" t="s">
        <v>64</v>
      </c>
      <c r="G119" s="12" t="s">
        <v>0</v>
      </c>
      <c r="H119" s="39">
        <v>3000</v>
      </c>
      <c r="I119" s="360">
        <v>630</v>
      </c>
      <c r="J119" s="39">
        <f t="shared" si="23"/>
        <v>4200</v>
      </c>
      <c r="K119" s="309">
        <f>R119*0.8</f>
        <v>0.21</v>
      </c>
      <c r="L119" s="230">
        <f t="shared" ref="L119:L127" si="38">K119*J413</f>
        <v>0</v>
      </c>
      <c r="M119" s="154"/>
      <c r="N119" s="41">
        <v>4200</v>
      </c>
      <c r="O119" s="503">
        <v>3000</v>
      </c>
      <c r="P119" s="309">
        <f t="shared" si="34"/>
        <v>630</v>
      </c>
      <c r="Q119" s="235" t="str">
        <f t="shared" si="37"/>
        <v>ОТИБ 757.151.001</v>
      </c>
      <c r="R119" s="377">
        <f t="shared" si="35"/>
        <v>0.26</v>
      </c>
      <c r="S119" s="319">
        <v>0.22</v>
      </c>
      <c r="T119" s="353">
        <f t="shared" si="32"/>
        <v>924</v>
      </c>
      <c r="U119" s="18">
        <v>2400</v>
      </c>
      <c r="V119" s="20">
        <f t="shared" si="33"/>
        <v>4200</v>
      </c>
      <c r="W119" s="52">
        <f t="shared" si="36"/>
        <v>3600</v>
      </c>
      <c r="X119" s="18">
        <f>3*600</f>
        <v>1800</v>
      </c>
      <c r="Y119" s="18"/>
      <c r="Z119" s="18"/>
      <c r="AA119" s="18">
        <v>15000</v>
      </c>
      <c r="AB119" s="418"/>
      <c r="AC119" s="200"/>
      <c r="AD119" s="160"/>
      <c r="AE119" s="163"/>
      <c r="AF119" s="171"/>
      <c r="AG119" s="192"/>
      <c r="AH119" s="16"/>
      <c r="AI119" s="16"/>
      <c r="AJ119" s="185"/>
      <c r="AK119" s="435"/>
      <c r="AL119" s="832"/>
      <c r="AM119" s="832"/>
    </row>
    <row r="120" spans="1:74" ht="26.25" customHeight="1" x14ac:dyDescent="0.25">
      <c r="B120" s="11">
        <v>43</v>
      </c>
      <c r="C120" s="6" t="s">
        <v>18</v>
      </c>
      <c r="D120" s="23" t="s">
        <v>142</v>
      </c>
      <c r="E120" s="104" t="s">
        <v>2</v>
      </c>
      <c r="F120" s="208" t="s">
        <v>63</v>
      </c>
      <c r="G120" s="12" t="s">
        <v>0</v>
      </c>
      <c r="H120" s="39">
        <v>3000</v>
      </c>
      <c r="I120" s="360">
        <v>1050</v>
      </c>
      <c r="J120" s="39">
        <f t="shared" si="23"/>
        <v>4200</v>
      </c>
      <c r="K120" s="309">
        <f>R120*0.8</f>
        <v>0.35</v>
      </c>
      <c r="L120" s="230">
        <f t="shared" si="38"/>
        <v>0</v>
      </c>
      <c r="M120" s="194"/>
      <c r="N120" s="41">
        <v>4200</v>
      </c>
      <c r="O120" s="503">
        <v>3000</v>
      </c>
      <c r="P120" s="309">
        <f t="shared" si="34"/>
        <v>1050</v>
      </c>
      <c r="Q120" s="235" t="str">
        <f t="shared" si="37"/>
        <v>ОТИБ 757.152.001</v>
      </c>
      <c r="R120" s="377">
        <f t="shared" si="35"/>
        <v>0.44</v>
      </c>
      <c r="S120" s="319">
        <v>0.37</v>
      </c>
      <c r="T120" s="353">
        <f t="shared" si="32"/>
        <v>1554</v>
      </c>
      <c r="U120" s="18">
        <v>2400</v>
      </c>
      <c r="V120" s="20">
        <f t="shared" si="33"/>
        <v>4200</v>
      </c>
      <c r="W120" s="52">
        <f t="shared" si="36"/>
        <v>3600</v>
      </c>
      <c r="X120" s="18">
        <f>3*600</f>
        <v>1800</v>
      </c>
      <c r="Y120" s="18"/>
      <c r="Z120" s="18"/>
      <c r="AA120" s="18">
        <v>15000</v>
      </c>
      <c r="AB120" s="418"/>
      <c r="AC120" s="200"/>
      <c r="AD120" s="160"/>
      <c r="AE120" s="163"/>
      <c r="AF120" s="171"/>
      <c r="AG120" s="192"/>
      <c r="AH120" s="16"/>
      <c r="AI120" s="16"/>
      <c r="AJ120" s="185"/>
      <c r="AK120" s="435"/>
      <c r="AL120" s="832"/>
      <c r="AM120" s="832"/>
    </row>
    <row r="121" spans="1:74" ht="26.25" customHeight="1" x14ac:dyDescent="0.25">
      <c r="B121" s="11">
        <v>44</v>
      </c>
      <c r="C121" s="6" t="s">
        <v>18</v>
      </c>
      <c r="D121" s="23" t="s">
        <v>142</v>
      </c>
      <c r="E121" s="104" t="s">
        <v>35</v>
      </c>
      <c r="F121" s="208" t="s">
        <v>51</v>
      </c>
      <c r="G121" s="12" t="s">
        <v>0</v>
      </c>
      <c r="H121" s="39">
        <v>1300</v>
      </c>
      <c r="I121" s="360">
        <v>832</v>
      </c>
      <c r="J121" s="39">
        <f t="shared" si="23"/>
        <v>0</v>
      </c>
      <c r="K121" s="309">
        <v>0.64</v>
      </c>
      <c r="L121" s="230">
        <f t="shared" si="38"/>
        <v>0</v>
      </c>
      <c r="M121" s="196"/>
      <c r="N121" s="889"/>
      <c r="O121" s="503">
        <v>1300</v>
      </c>
      <c r="P121" s="309">
        <f t="shared" si="34"/>
        <v>832</v>
      </c>
      <c r="Q121" s="235" t="str">
        <f t="shared" si="37"/>
        <v>КЦИР 757.125.001-04</v>
      </c>
      <c r="R121" s="377">
        <f t="shared" si="35"/>
        <v>1.1399999999999999</v>
      </c>
      <c r="S121" s="319">
        <v>0.95</v>
      </c>
      <c r="T121" s="353">
        <f t="shared" si="32"/>
        <v>0</v>
      </c>
      <c r="U121" s="20">
        <v>100</v>
      </c>
      <c r="V121" s="20">
        <f t="shared" si="33"/>
        <v>0</v>
      </c>
      <c r="W121" s="52">
        <f t="shared" si="36"/>
        <v>900</v>
      </c>
      <c r="X121" s="20">
        <f>100*10</f>
        <v>1000</v>
      </c>
      <c r="Y121" s="20"/>
      <c r="Z121" s="20"/>
      <c r="AA121" s="20">
        <v>8920</v>
      </c>
      <c r="AB121" s="417" t="s">
        <v>598</v>
      </c>
      <c r="AC121" s="200"/>
      <c r="AD121" s="160"/>
      <c r="AE121" s="163"/>
      <c r="AF121" s="171"/>
      <c r="AG121" s="192"/>
      <c r="AH121" s="16"/>
      <c r="AI121" s="16"/>
      <c r="AJ121" s="185"/>
      <c r="AK121" s="435"/>
      <c r="AL121" s="840"/>
      <c r="AM121" s="10"/>
    </row>
    <row r="122" spans="1:74" s="4" customFormat="1" ht="26.25" hidden="1" customHeight="1" x14ac:dyDescent="0.25">
      <c r="A122" s="10"/>
      <c r="B122" s="11"/>
      <c r="C122" s="6" t="s">
        <v>18</v>
      </c>
      <c r="D122" s="23" t="s">
        <v>142</v>
      </c>
      <c r="E122" s="1" t="s">
        <v>372</v>
      </c>
      <c r="F122" s="387" t="s">
        <v>375</v>
      </c>
      <c r="G122" s="48" t="s">
        <v>0</v>
      </c>
      <c r="H122" s="39">
        <v>0</v>
      </c>
      <c r="I122" s="309">
        <v>0</v>
      </c>
      <c r="J122" s="39">
        <f t="shared" si="23"/>
        <v>0</v>
      </c>
      <c r="K122" s="309">
        <f>R122/1.4</f>
        <v>0.34</v>
      </c>
      <c r="L122" s="230">
        <f t="shared" si="38"/>
        <v>0</v>
      </c>
      <c r="M122" s="89"/>
      <c r="N122" s="140"/>
      <c r="O122" s="39">
        <v>0</v>
      </c>
      <c r="P122" s="507">
        <f t="shared" si="34"/>
        <v>0</v>
      </c>
      <c r="Q122" s="264" t="str">
        <f t="shared" si="37"/>
        <v>К19,5х10,2х3,2</v>
      </c>
      <c r="R122" s="377">
        <f t="shared" si="35"/>
        <v>0.48</v>
      </c>
      <c r="S122" s="322">
        <v>0.4</v>
      </c>
      <c r="T122" s="353">
        <f t="shared" si="32"/>
        <v>0</v>
      </c>
      <c r="U122" s="18">
        <v>0</v>
      </c>
      <c r="V122" s="20">
        <f t="shared" si="33"/>
        <v>0</v>
      </c>
      <c r="W122" s="52">
        <f t="shared" si="36"/>
        <v>0</v>
      </c>
      <c r="X122" s="18">
        <v>0</v>
      </c>
      <c r="Y122" s="18"/>
      <c r="Z122" s="102">
        <v>1</v>
      </c>
      <c r="AA122" s="18"/>
      <c r="AB122" s="420"/>
      <c r="AC122" s="200"/>
      <c r="AD122" s="160"/>
      <c r="AE122" s="163"/>
      <c r="AF122" s="171"/>
      <c r="AG122" s="192"/>
      <c r="AH122" s="128"/>
      <c r="AI122" s="129"/>
      <c r="AJ122" s="182"/>
    </row>
    <row r="123" spans="1:74" ht="26.25" customHeight="1" x14ac:dyDescent="0.25">
      <c r="B123" s="11">
        <v>45</v>
      </c>
      <c r="C123" s="6" t="s">
        <v>18</v>
      </c>
      <c r="D123" s="23" t="s">
        <v>142</v>
      </c>
      <c r="E123" s="104" t="s">
        <v>28</v>
      </c>
      <c r="F123" s="208" t="s">
        <v>50</v>
      </c>
      <c r="G123" s="12" t="s">
        <v>0</v>
      </c>
      <c r="H123" s="39">
        <v>7680</v>
      </c>
      <c r="I123" s="360">
        <v>1228.8</v>
      </c>
      <c r="J123" s="39">
        <f t="shared" si="23"/>
        <v>6720</v>
      </c>
      <c r="K123" s="309">
        <f>R123/1.4</f>
        <v>0.16</v>
      </c>
      <c r="L123" s="230">
        <f t="shared" si="38"/>
        <v>0</v>
      </c>
      <c r="M123" s="194"/>
      <c r="N123" s="889">
        <v>6720</v>
      </c>
      <c r="O123" s="503">
        <v>7680</v>
      </c>
      <c r="P123" s="309">
        <f t="shared" si="34"/>
        <v>1228.8</v>
      </c>
      <c r="Q123" s="235" t="str">
        <f t="shared" si="37"/>
        <v>П10х20х33</v>
      </c>
      <c r="R123" s="377">
        <f t="shared" si="35"/>
        <v>0.23</v>
      </c>
      <c r="S123" s="319">
        <v>0.19</v>
      </c>
      <c r="T123" s="353">
        <f t="shared" si="32"/>
        <v>1276.8</v>
      </c>
      <c r="U123" s="20">
        <v>3360</v>
      </c>
      <c r="V123" s="20">
        <f t="shared" si="33"/>
        <v>6720</v>
      </c>
      <c r="W123" s="52">
        <f t="shared" si="36"/>
        <v>11040</v>
      </c>
      <c r="X123" s="20">
        <f>6720+2*480</f>
        <v>7680</v>
      </c>
      <c r="Y123" s="20"/>
      <c r="Z123" s="20">
        <v>1</v>
      </c>
      <c r="AA123" s="20">
        <f>98400</f>
        <v>98400</v>
      </c>
      <c r="AB123" s="417" t="s">
        <v>599</v>
      </c>
      <c r="AC123" s="200"/>
      <c r="AD123" s="160"/>
      <c r="AE123" s="163"/>
      <c r="AF123" s="171"/>
      <c r="AG123" s="192"/>
      <c r="AH123" s="16"/>
      <c r="AI123" s="16"/>
      <c r="AJ123" s="185"/>
      <c r="AK123" s="435"/>
      <c r="AL123" s="832"/>
      <c r="AM123" s="832"/>
    </row>
    <row r="124" spans="1:74" s="4" customFormat="1" ht="26.25" hidden="1" customHeight="1" x14ac:dyDescent="0.25">
      <c r="A124" s="10"/>
      <c r="B124" s="11"/>
      <c r="C124" s="6" t="s">
        <v>18</v>
      </c>
      <c r="D124" s="23" t="s">
        <v>142</v>
      </c>
      <c r="E124" s="104" t="s">
        <v>165</v>
      </c>
      <c r="F124" s="210" t="s">
        <v>164</v>
      </c>
      <c r="G124" s="48" t="s">
        <v>0</v>
      </c>
      <c r="H124" s="39"/>
      <c r="I124" s="360">
        <v>0</v>
      </c>
      <c r="J124" s="39">
        <f t="shared" si="23"/>
        <v>0</v>
      </c>
      <c r="K124" s="309">
        <f>R124/1.4</f>
        <v>0.19</v>
      </c>
      <c r="L124" s="230">
        <f t="shared" si="38"/>
        <v>0</v>
      </c>
      <c r="M124" s="205"/>
      <c r="N124" s="140"/>
      <c r="O124" s="503"/>
      <c r="P124" s="309">
        <f t="shared" si="34"/>
        <v>0</v>
      </c>
      <c r="Q124" s="235" t="str">
        <f t="shared" si="37"/>
        <v>П10х20х33-Литопласт</v>
      </c>
      <c r="R124" s="306">
        <f t="shared" si="35"/>
        <v>0.26</v>
      </c>
      <c r="S124" s="336">
        <v>0.22</v>
      </c>
      <c r="T124" s="353">
        <f t="shared" si="32"/>
        <v>0</v>
      </c>
      <c r="U124" s="20"/>
      <c r="V124" s="20">
        <f t="shared" si="33"/>
        <v>0</v>
      </c>
      <c r="W124" s="52">
        <f t="shared" si="36"/>
        <v>0</v>
      </c>
      <c r="X124" s="20"/>
      <c r="Y124" s="20"/>
      <c r="Z124" s="20"/>
      <c r="AA124" s="20">
        <f>38880</f>
        <v>38880</v>
      </c>
      <c r="AB124" s="417" t="s">
        <v>600</v>
      </c>
      <c r="AC124" s="200"/>
      <c r="AD124" s="160"/>
      <c r="AE124" s="163"/>
      <c r="AF124" s="171"/>
      <c r="AG124" s="192"/>
      <c r="AH124" s="128"/>
      <c r="AI124" s="129"/>
      <c r="AJ124" s="182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</row>
    <row r="125" spans="1:74" ht="26.25" customHeight="1" x14ac:dyDescent="0.25">
      <c r="B125" s="11">
        <v>46</v>
      </c>
      <c r="C125" s="6" t="s">
        <v>18</v>
      </c>
      <c r="D125" s="23" t="s">
        <v>142</v>
      </c>
      <c r="E125" s="104" t="s">
        <v>531</v>
      </c>
      <c r="F125" s="208" t="s">
        <v>49</v>
      </c>
      <c r="G125" s="12" t="s">
        <v>0</v>
      </c>
      <c r="H125" s="39">
        <v>2326</v>
      </c>
      <c r="I125" s="360">
        <v>907.14</v>
      </c>
      <c r="J125" s="39">
        <f t="shared" si="23"/>
        <v>0</v>
      </c>
      <c r="K125" s="309">
        <f>R125/1.4</f>
        <v>0.39</v>
      </c>
      <c r="L125" s="230">
        <f t="shared" si="38"/>
        <v>0</v>
      </c>
      <c r="M125" s="205"/>
      <c r="N125" s="41"/>
      <c r="O125" s="503">
        <f>3186-260-100-500</f>
        <v>2326</v>
      </c>
      <c r="P125" s="309">
        <f t="shared" si="34"/>
        <v>907.14</v>
      </c>
      <c r="Q125" s="235" t="str">
        <f t="shared" si="37"/>
        <v>К22,4х8,9х10 ЭПГ110.138</v>
      </c>
      <c r="R125" s="377">
        <f t="shared" si="35"/>
        <v>0.55000000000000004</v>
      </c>
      <c r="S125" s="319">
        <v>0.46</v>
      </c>
      <c r="T125" s="353">
        <f t="shared" si="32"/>
        <v>0</v>
      </c>
      <c r="U125" s="20"/>
      <c r="V125" s="20">
        <f t="shared" si="33"/>
        <v>0</v>
      </c>
      <c r="W125" s="52">
        <f t="shared" si="36"/>
        <v>0</v>
      </c>
      <c r="X125" s="20"/>
      <c r="Y125" s="20"/>
      <c r="Z125" s="20"/>
      <c r="AA125" s="20">
        <v>1350</v>
      </c>
      <c r="AB125" s="417"/>
      <c r="AC125" s="200"/>
      <c r="AD125" s="160"/>
      <c r="AE125" s="163"/>
      <c r="AF125" s="171"/>
      <c r="AG125" s="192"/>
      <c r="AH125" s="16"/>
      <c r="AI125" s="16"/>
      <c r="AJ125" s="185"/>
      <c r="AK125" s="125"/>
      <c r="AL125" s="10"/>
      <c r="AM125" s="10"/>
    </row>
    <row r="126" spans="1:74" ht="26.25" hidden="1" customHeight="1" x14ac:dyDescent="0.25">
      <c r="B126" s="11"/>
      <c r="C126" s="6" t="s">
        <v>18</v>
      </c>
      <c r="D126" s="23" t="s">
        <v>142</v>
      </c>
      <c r="E126" s="104" t="s">
        <v>470</v>
      </c>
      <c r="F126" s="383">
        <v>1248</v>
      </c>
      <c r="G126" s="48"/>
      <c r="H126" s="39"/>
      <c r="I126" s="309">
        <v>0</v>
      </c>
      <c r="J126" s="39">
        <f t="shared" si="23"/>
        <v>0</v>
      </c>
      <c r="K126" s="309"/>
      <c r="L126" s="230">
        <f t="shared" si="38"/>
        <v>0</v>
      </c>
      <c r="M126" s="89"/>
      <c r="N126" s="142"/>
      <c r="O126" s="39"/>
      <c r="P126" s="490">
        <f t="shared" si="34"/>
        <v>0</v>
      </c>
      <c r="Q126" s="262" t="str">
        <f t="shared" si="37"/>
        <v>П20х16х2,5</v>
      </c>
      <c r="R126" s="377">
        <f t="shared" si="35"/>
        <v>0.12</v>
      </c>
      <c r="S126" s="322">
        <v>0.1</v>
      </c>
      <c r="T126" s="353">
        <f t="shared" si="32"/>
        <v>0</v>
      </c>
      <c r="U126" s="20"/>
      <c r="V126" s="20">
        <f t="shared" si="33"/>
        <v>0</v>
      </c>
      <c r="W126" s="52">
        <f t="shared" si="36"/>
        <v>0</v>
      </c>
      <c r="X126" s="20"/>
      <c r="Y126" s="20"/>
      <c r="Z126" s="20"/>
      <c r="AA126" s="20"/>
      <c r="AB126" s="417"/>
      <c r="AC126" s="200"/>
      <c r="AD126" s="160"/>
      <c r="AE126" s="163"/>
      <c r="AF126" s="171"/>
      <c r="AG126" s="192"/>
      <c r="AH126" s="128"/>
      <c r="AI126" s="129"/>
      <c r="AK126" s="10"/>
      <c r="AL126" s="10"/>
      <c r="AM126" s="10"/>
    </row>
    <row r="127" spans="1:74" ht="26.25" hidden="1" customHeight="1" x14ac:dyDescent="0.25">
      <c r="B127" s="15"/>
      <c r="C127" s="6" t="s">
        <v>129</v>
      </c>
      <c r="D127" s="23" t="s">
        <v>142</v>
      </c>
      <c r="E127" s="104" t="s">
        <v>130</v>
      </c>
      <c r="F127" s="391" t="s">
        <v>198</v>
      </c>
      <c r="G127" s="19" t="s">
        <v>0</v>
      </c>
      <c r="H127" s="39">
        <v>0</v>
      </c>
      <c r="I127" s="309">
        <v>0</v>
      </c>
      <c r="J127" s="39">
        <f t="shared" si="23"/>
        <v>0</v>
      </c>
      <c r="K127" s="309">
        <f t="shared" ref="K127:K132" si="39">R127/1.4</f>
        <v>1.59</v>
      </c>
      <c r="L127" s="230">
        <f t="shared" si="38"/>
        <v>0</v>
      </c>
      <c r="M127" s="60"/>
      <c r="N127" s="140"/>
      <c r="O127" s="39">
        <v>0</v>
      </c>
      <c r="P127" s="497">
        <f t="shared" si="34"/>
        <v>0</v>
      </c>
      <c r="Q127" s="263" t="str">
        <f t="shared" si="37"/>
        <v>К21,5х15х2 (8ПМ610.033)</v>
      </c>
      <c r="R127" s="377">
        <f t="shared" si="35"/>
        <v>2.2200000000000002</v>
      </c>
      <c r="S127" s="320">
        <v>1.85</v>
      </c>
      <c r="T127" s="353">
        <f t="shared" si="32"/>
        <v>0</v>
      </c>
      <c r="U127" s="18"/>
      <c r="V127" s="20">
        <f t="shared" si="33"/>
        <v>0</v>
      </c>
      <c r="W127" s="52">
        <f t="shared" si="36"/>
        <v>0</v>
      </c>
      <c r="X127" s="18"/>
      <c r="Y127" s="18"/>
      <c r="Z127" s="18">
        <v>1</v>
      </c>
      <c r="AA127" s="18"/>
      <c r="AB127" s="418"/>
      <c r="AC127" s="200"/>
      <c r="AD127" s="160"/>
      <c r="AE127" s="163"/>
      <c r="AF127" s="171"/>
      <c r="AG127" s="192"/>
      <c r="AH127" s="128"/>
      <c r="AI127" s="129"/>
      <c r="AK127" s="10"/>
      <c r="AL127" s="476"/>
      <c r="AM127" s="10"/>
    </row>
    <row r="128" spans="1:74" ht="26.25" hidden="1" customHeight="1" x14ac:dyDescent="0.25">
      <c r="B128" s="11"/>
      <c r="C128" s="6" t="s">
        <v>18</v>
      </c>
      <c r="D128" s="23" t="s">
        <v>142</v>
      </c>
      <c r="E128" s="104" t="s">
        <v>817</v>
      </c>
      <c r="F128" s="210">
        <v>1289</v>
      </c>
      <c r="G128" s="48" t="s">
        <v>0</v>
      </c>
      <c r="H128" s="39"/>
      <c r="I128" s="360">
        <v>0</v>
      </c>
      <c r="J128" s="39">
        <f t="shared" si="23"/>
        <v>0</v>
      </c>
      <c r="K128" s="309">
        <f t="shared" si="39"/>
        <v>0.04</v>
      </c>
      <c r="L128" s="230">
        <f t="shared" ref="L128:L147" si="40">K128*J425</f>
        <v>0</v>
      </c>
      <c r="M128" s="88"/>
      <c r="N128" s="140"/>
      <c r="O128" s="39"/>
      <c r="P128" s="309">
        <f t="shared" si="34"/>
        <v>0</v>
      </c>
      <c r="Q128" s="51" t="str">
        <f t="shared" si="37"/>
        <v>Д13,5х2</v>
      </c>
      <c r="R128" s="377">
        <f t="shared" si="35"/>
        <v>0.06</v>
      </c>
      <c r="S128" s="337">
        <v>0.05</v>
      </c>
      <c r="T128" s="353">
        <f t="shared" si="32"/>
        <v>0</v>
      </c>
      <c r="U128" s="20"/>
      <c r="V128" s="20">
        <f t="shared" si="33"/>
        <v>0</v>
      </c>
      <c r="W128" s="52">
        <f t="shared" si="36"/>
        <v>0</v>
      </c>
      <c r="X128" s="20"/>
      <c r="Y128" s="20"/>
      <c r="Z128" s="20"/>
      <c r="AA128" s="20"/>
      <c r="AB128" s="417"/>
      <c r="AC128" s="200"/>
      <c r="AD128" s="160"/>
      <c r="AE128" s="163"/>
      <c r="AF128" s="171"/>
      <c r="AG128" s="192"/>
      <c r="AH128" s="16"/>
      <c r="AI128" s="16"/>
      <c r="AJ128" s="185"/>
      <c r="AK128" s="125"/>
      <c r="AL128" s="10"/>
      <c r="AM128" s="10"/>
    </row>
    <row r="129" spans="1:241" s="5" customFormat="1" ht="26.25" hidden="1" customHeight="1" thickBot="1" x14ac:dyDescent="0.3">
      <c r="B129" s="14"/>
      <c r="C129" s="6" t="s">
        <v>18</v>
      </c>
      <c r="D129" s="23" t="s">
        <v>142</v>
      </c>
      <c r="E129" s="104" t="s">
        <v>502</v>
      </c>
      <c r="F129" s="390">
        <v>761</v>
      </c>
      <c r="G129" s="12" t="s">
        <v>0</v>
      </c>
      <c r="H129" s="39"/>
      <c r="I129" s="309">
        <v>0</v>
      </c>
      <c r="J129" s="39">
        <f t="shared" si="23"/>
        <v>0</v>
      </c>
      <c r="K129" s="309">
        <f t="shared" si="39"/>
        <v>1.03</v>
      </c>
      <c r="L129" s="230">
        <f t="shared" si="40"/>
        <v>0</v>
      </c>
      <c r="M129" s="42"/>
      <c r="N129" s="140"/>
      <c r="O129" s="39"/>
      <c r="P129" s="490">
        <f t="shared" si="34"/>
        <v>0</v>
      </c>
      <c r="Q129" s="256" t="str">
        <f t="shared" si="37"/>
        <v>Д15х7х5</v>
      </c>
      <c r="R129" s="377">
        <f t="shared" si="35"/>
        <v>1.44</v>
      </c>
      <c r="S129" s="319">
        <v>1.2</v>
      </c>
      <c r="T129" s="353">
        <f t="shared" si="32"/>
        <v>0</v>
      </c>
      <c r="U129" s="18"/>
      <c r="V129" s="20">
        <f t="shared" si="33"/>
        <v>0</v>
      </c>
      <c r="W129" s="52">
        <f t="shared" si="36"/>
        <v>0</v>
      </c>
      <c r="X129" s="18"/>
      <c r="Y129" s="18"/>
      <c r="Z129" s="102">
        <v>1</v>
      </c>
      <c r="AA129" s="18"/>
      <c r="AB129" s="420"/>
      <c r="AC129" s="18"/>
      <c r="AD129" s="160"/>
      <c r="AE129" s="164"/>
      <c r="AF129" s="160"/>
      <c r="AG129" s="173"/>
      <c r="AH129" s="14"/>
      <c r="AI129" s="14"/>
      <c r="AJ129" s="178"/>
      <c r="AK129" s="135"/>
    </row>
    <row r="130" spans="1:241" ht="26.25" hidden="1" customHeight="1" x14ac:dyDescent="0.25">
      <c r="B130" s="15"/>
      <c r="C130" s="6" t="s">
        <v>18</v>
      </c>
      <c r="D130" s="23" t="s">
        <v>142</v>
      </c>
      <c r="E130" s="106" t="s">
        <v>185</v>
      </c>
      <c r="F130" s="386">
        <v>879</v>
      </c>
      <c r="G130" s="19" t="s">
        <v>0</v>
      </c>
      <c r="H130" s="39"/>
      <c r="I130" s="309">
        <v>0</v>
      </c>
      <c r="J130" s="39">
        <f t="shared" si="23"/>
        <v>0</v>
      </c>
      <c r="K130" s="309">
        <f t="shared" si="39"/>
        <v>0.39</v>
      </c>
      <c r="L130" s="230">
        <f t="shared" si="40"/>
        <v>1</v>
      </c>
      <c r="M130" s="42" t="s">
        <v>155</v>
      </c>
      <c r="N130" s="140"/>
      <c r="O130" s="39"/>
      <c r="P130" s="309">
        <f t="shared" si="34"/>
        <v>0</v>
      </c>
      <c r="Q130" s="262" t="str">
        <f t="shared" si="37"/>
        <v>К9,7х4,5х12,5</v>
      </c>
      <c r="R130" s="377">
        <f t="shared" si="35"/>
        <v>0.54</v>
      </c>
      <c r="S130" s="320">
        <v>0.45</v>
      </c>
      <c r="T130" s="353">
        <f t="shared" si="32"/>
        <v>0</v>
      </c>
      <c r="U130" s="18">
        <v>0</v>
      </c>
      <c r="V130" s="20">
        <f t="shared" si="33"/>
        <v>0</v>
      </c>
      <c r="W130" s="52">
        <f t="shared" si="36"/>
        <v>0</v>
      </c>
      <c r="X130" s="18">
        <v>0</v>
      </c>
      <c r="Y130" s="18"/>
      <c r="Z130" s="18"/>
      <c r="AA130" s="18"/>
      <c r="AB130" s="418"/>
      <c r="AC130" s="200"/>
      <c r="AD130" s="160"/>
      <c r="AE130" s="163"/>
      <c r="AF130" s="171"/>
      <c r="AG130" s="192"/>
      <c r="AH130" s="128"/>
      <c r="AI130" s="129"/>
      <c r="AK130" s="10"/>
      <c r="AL130" s="10"/>
      <c r="AM130" s="10"/>
    </row>
    <row r="131" spans="1:241" s="21" customFormat="1" ht="26.25" customHeight="1" x14ac:dyDescent="0.25">
      <c r="B131" s="15">
        <v>47</v>
      </c>
      <c r="C131" s="6" t="s">
        <v>18</v>
      </c>
      <c r="D131" s="23" t="s">
        <v>142</v>
      </c>
      <c r="E131" s="104" t="s">
        <v>515</v>
      </c>
      <c r="F131" s="526" t="s">
        <v>585</v>
      </c>
      <c r="G131" s="19" t="s">
        <v>0</v>
      </c>
      <c r="H131" s="39"/>
      <c r="I131" s="309">
        <v>0</v>
      </c>
      <c r="J131" s="820">
        <f>N131+O131-H131</f>
        <v>460136</v>
      </c>
      <c r="K131" s="309">
        <f t="shared" si="39"/>
        <v>0.03</v>
      </c>
      <c r="L131" s="230">
        <f t="shared" si="40"/>
        <v>0</v>
      </c>
      <c r="M131" s="271"/>
      <c r="N131" s="41">
        <f>14000+147000</f>
        <v>161000</v>
      </c>
      <c r="O131" s="820">
        <v>299136</v>
      </c>
      <c r="P131" s="309">
        <f t="shared" si="34"/>
        <v>8974.08</v>
      </c>
      <c r="Q131" s="263" t="str">
        <f t="shared" si="37"/>
        <v>П10х5х5</v>
      </c>
      <c r="R131" s="377">
        <f t="shared" si="35"/>
        <v>0.04</v>
      </c>
      <c r="S131" s="320">
        <v>0.03</v>
      </c>
      <c r="T131" s="353">
        <f t="shared" si="32"/>
        <v>13804.08</v>
      </c>
      <c r="U131" s="18">
        <v>91000</v>
      </c>
      <c r="V131" s="20">
        <f t="shared" si="33"/>
        <v>161000</v>
      </c>
      <c r="W131" s="52">
        <f t="shared" si="36"/>
        <v>420000</v>
      </c>
      <c r="X131" s="18">
        <f>48*7000+2*7000</f>
        <v>350000</v>
      </c>
      <c r="Y131" s="18"/>
      <c r="Z131" s="18"/>
      <c r="AA131" s="18"/>
      <c r="AB131" s="418"/>
      <c r="AC131" s="200"/>
      <c r="AD131" s="160"/>
      <c r="AE131" s="163"/>
      <c r="AF131" s="171"/>
      <c r="AG131" s="192"/>
      <c r="AH131" s="131"/>
      <c r="AI131" s="132"/>
      <c r="AJ131" s="182"/>
      <c r="AL131" s="832"/>
      <c r="AM131" s="832"/>
    </row>
    <row r="132" spans="1:241" s="3" customFormat="1" ht="26.25" customHeight="1" x14ac:dyDescent="0.25">
      <c r="B132" s="11">
        <v>48</v>
      </c>
      <c r="C132" s="6" t="s">
        <v>18</v>
      </c>
      <c r="D132" s="23" t="s">
        <v>142</v>
      </c>
      <c r="E132" s="104" t="s">
        <v>134</v>
      </c>
      <c r="F132" s="526" t="s">
        <v>236</v>
      </c>
      <c r="G132" s="12" t="s">
        <v>0</v>
      </c>
      <c r="H132" s="39">
        <v>180</v>
      </c>
      <c r="I132" s="360">
        <v>143.65</v>
      </c>
      <c r="J132" s="39">
        <f t="shared" si="23"/>
        <v>0</v>
      </c>
      <c r="K132" s="309">
        <f t="shared" si="39"/>
        <v>0.81</v>
      </c>
      <c r="L132" s="230">
        <f t="shared" si="40"/>
        <v>0</v>
      </c>
      <c r="M132" s="89"/>
      <c r="N132" s="41">
        <v>180</v>
      </c>
      <c r="O132" s="503"/>
      <c r="P132" s="309"/>
      <c r="Q132" s="235" t="str">
        <f t="shared" si="37"/>
        <v>ЭПГ110.084</v>
      </c>
      <c r="R132" s="377">
        <f t="shared" si="35"/>
        <v>1.1299999999999999</v>
      </c>
      <c r="S132" s="321">
        <v>0.94</v>
      </c>
      <c r="T132" s="353">
        <f t="shared" si="32"/>
        <v>0</v>
      </c>
      <c r="U132" s="18">
        <v>1232</v>
      </c>
      <c r="V132" s="20">
        <f t="shared" si="33"/>
        <v>180</v>
      </c>
      <c r="W132" s="52">
        <f t="shared" si="36"/>
        <v>180</v>
      </c>
      <c r="X132" s="18">
        <f>320*3+272</f>
        <v>1232</v>
      </c>
      <c r="Y132" s="18"/>
      <c r="Z132" s="18"/>
      <c r="AA132" s="18"/>
      <c r="AB132" s="418"/>
      <c r="AC132" s="200"/>
      <c r="AD132" s="160"/>
      <c r="AE132" s="165"/>
      <c r="AF132" s="160"/>
      <c r="AG132" s="175"/>
      <c r="AH132" s="34"/>
      <c r="AI132" s="34"/>
      <c r="AJ132" s="184"/>
      <c r="AK132" s="433"/>
      <c r="AL132" s="838"/>
    </row>
    <row r="133" spans="1:241" ht="26.25" customHeight="1" x14ac:dyDescent="0.25">
      <c r="B133" s="11">
        <v>49</v>
      </c>
      <c r="C133" s="6" t="s">
        <v>18</v>
      </c>
      <c r="D133" s="23" t="s">
        <v>142</v>
      </c>
      <c r="E133" s="104" t="s">
        <v>429</v>
      </c>
      <c r="F133" s="208" t="s">
        <v>68</v>
      </c>
      <c r="G133" s="12" t="s">
        <v>0</v>
      </c>
      <c r="H133" s="39">
        <v>115</v>
      </c>
      <c r="I133" s="360">
        <v>23.95</v>
      </c>
      <c r="J133" s="39">
        <f t="shared" si="23"/>
        <v>0</v>
      </c>
      <c r="K133" s="309">
        <v>0.21</v>
      </c>
      <c r="L133" s="230">
        <f t="shared" si="40"/>
        <v>0</v>
      </c>
      <c r="M133" s="92"/>
      <c r="N133" s="41"/>
      <c r="O133" s="503">
        <v>115</v>
      </c>
      <c r="P133" s="309">
        <v>23.95</v>
      </c>
      <c r="Q133" s="235" t="str">
        <f t="shared" si="37"/>
        <v>ЭПГ 110.139 (К18х10х6)</v>
      </c>
      <c r="R133" s="377">
        <f t="shared" si="35"/>
        <v>0.28999999999999998</v>
      </c>
      <c r="S133" s="338">
        <v>0.24299999999999999</v>
      </c>
      <c r="T133" s="353">
        <f t="shared" si="32"/>
        <v>0</v>
      </c>
      <c r="U133" s="18">
        <v>500</v>
      </c>
      <c r="V133" s="20">
        <f t="shared" si="33"/>
        <v>0</v>
      </c>
      <c r="W133" s="52">
        <f t="shared" si="36"/>
        <v>0</v>
      </c>
      <c r="X133" s="18">
        <v>500</v>
      </c>
      <c r="Y133" s="18"/>
      <c r="Z133" s="18">
        <v>1</v>
      </c>
      <c r="AA133" s="18"/>
      <c r="AB133" s="418"/>
      <c r="AC133" s="200"/>
      <c r="AD133" s="160"/>
      <c r="AE133" s="163"/>
      <c r="AF133" s="171"/>
      <c r="AG133" s="192"/>
      <c r="AH133" s="16"/>
      <c r="AI133" s="16"/>
      <c r="AJ133" s="185"/>
      <c r="AK133" s="435"/>
      <c r="AL133" s="476"/>
      <c r="AM133" s="10"/>
    </row>
    <row r="134" spans="1:241" ht="26.25" customHeight="1" x14ac:dyDescent="0.25">
      <c r="B134" s="11">
        <v>50</v>
      </c>
      <c r="C134" s="6" t="s">
        <v>18</v>
      </c>
      <c r="D134" s="23" t="s">
        <v>142</v>
      </c>
      <c r="E134" s="87" t="s">
        <v>338</v>
      </c>
      <c r="F134" s="526" t="s">
        <v>534</v>
      </c>
      <c r="G134" s="12" t="s">
        <v>0</v>
      </c>
      <c r="H134" s="39">
        <v>180</v>
      </c>
      <c r="I134" s="360">
        <v>307.8</v>
      </c>
      <c r="J134" s="39">
        <f t="shared" ref="J134:J197" si="41">N134+O134-H134</f>
        <v>0</v>
      </c>
      <c r="K134" s="309">
        <f t="shared" ref="K134:K139" si="42">R134/1.4</f>
        <v>1.71</v>
      </c>
      <c r="L134" s="230">
        <f t="shared" si="40"/>
        <v>0</v>
      </c>
      <c r="M134" s="205"/>
      <c r="N134" s="41"/>
      <c r="O134" s="503">
        <v>180</v>
      </c>
      <c r="P134" s="309">
        <f t="shared" ref="P134:P139" si="43">K134*O134</f>
        <v>307.8</v>
      </c>
      <c r="Q134" s="235" t="str">
        <f t="shared" si="37"/>
        <v>Д12х5,5</v>
      </c>
      <c r="R134" s="377">
        <f t="shared" si="35"/>
        <v>2.4</v>
      </c>
      <c r="S134" s="326">
        <v>2</v>
      </c>
      <c r="T134" s="353">
        <f t="shared" ref="T134:T165" si="44">S134*J134</f>
        <v>0</v>
      </c>
      <c r="U134" s="18">
        <v>0</v>
      </c>
      <c r="V134" s="20">
        <f t="shared" ref="V134:V165" si="45">N134</f>
        <v>0</v>
      </c>
      <c r="W134" s="52">
        <f t="shared" si="36"/>
        <v>0</v>
      </c>
      <c r="X134" s="18">
        <v>0</v>
      </c>
      <c r="Y134" s="18"/>
      <c r="Z134" s="18"/>
      <c r="AA134" s="18"/>
      <c r="AB134" s="418"/>
      <c r="AC134" s="200"/>
      <c r="AD134" s="160"/>
      <c r="AE134" s="163"/>
      <c r="AF134" s="171"/>
      <c r="AG134" s="192"/>
      <c r="AH134" s="128"/>
      <c r="AI134" s="129"/>
      <c r="AK134" s="10"/>
      <c r="AL134" s="10"/>
      <c r="AM134" s="10"/>
    </row>
    <row r="135" spans="1:241" ht="26.25" customHeight="1" x14ac:dyDescent="0.25">
      <c r="B135" s="11">
        <v>51</v>
      </c>
      <c r="C135" s="6" t="s">
        <v>18</v>
      </c>
      <c r="D135" s="23" t="s">
        <v>142</v>
      </c>
      <c r="E135" s="87" t="s">
        <v>450</v>
      </c>
      <c r="F135" s="526" t="s">
        <v>457</v>
      </c>
      <c r="G135" s="12" t="s">
        <v>0</v>
      </c>
      <c r="H135" s="39">
        <v>600</v>
      </c>
      <c r="I135" s="360">
        <v>66</v>
      </c>
      <c r="J135" s="39">
        <f t="shared" si="41"/>
        <v>0</v>
      </c>
      <c r="K135" s="309">
        <f t="shared" si="42"/>
        <v>0.11</v>
      </c>
      <c r="L135" s="230">
        <f t="shared" si="40"/>
        <v>0</v>
      </c>
      <c r="M135" s="42"/>
      <c r="N135" s="41"/>
      <c r="O135" s="503">
        <v>600</v>
      </c>
      <c r="P135" s="309">
        <f t="shared" si="43"/>
        <v>66</v>
      </c>
      <c r="Q135" s="235" t="str">
        <f t="shared" si="37"/>
        <v>п33х20х2,5</v>
      </c>
      <c r="R135" s="377">
        <f t="shared" si="35"/>
        <v>0.16</v>
      </c>
      <c r="S135" s="319">
        <v>0.13</v>
      </c>
      <c r="T135" s="353">
        <f t="shared" si="44"/>
        <v>0</v>
      </c>
      <c r="U135" s="18">
        <v>0</v>
      </c>
      <c r="V135" s="20">
        <f t="shared" si="45"/>
        <v>0</v>
      </c>
      <c r="W135" s="52">
        <f t="shared" si="36"/>
        <v>0</v>
      </c>
      <c r="X135" s="18">
        <v>0</v>
      </c>
      <c r="Y135" s="18"/>
      <c r="Z135" s="18"/>
      <c r="AA135" s="18"/>
      <c r="AB135" s="418"/>
      <c r="AC135" s="200"/>
      <c r="AD135" s="160"/>
      <c r="AE135" s="163"/>
      <c r="AF135" s="171"/>
      <c r="AG135" s="192"/>
      <c r="AH135" s="128"/>
      <c r="AI135" s="129"/>
      <c r="AK135" s="10"/>
      <c r="AL135" s="10"/>
      <c r="AM135" s="10"/>
    </row>
    <row r="136" spans="1:241" s="4" customFormat="1" ht="26.25" hidden="1" customHeight="1" x14ac:dyDescent="0.25">
      <c r="A136" s="10"/>
      <c r="B136" s="11"/>
      <c r="C136" s="6" t="s">
        <v>18</v>
      </c>
      <c r="D136" s="23" t="s">
        <v>142</v>
      </c>
      <c r="E136" s="87" t="s">
        <v>818</v>
      </c>
      <c r="F136" s="387" t="s">
        <v>822</v>
      </c>
      <c r="G136" s="14" t="s">
        <v>0</v>
      </c>
      <c r="H136" s="39"/>
      <c r="I136" s="309">
        <v>0</v>
      </c>
      <c r="J136" s="39">
        <f t="shared" si="41"/>
        <v>0</v>
      </c>
      <c r="K136" s="309">
        <f t="shared" si="42"/>
        <v>49.71</v>
      </c>
      <c r="L136" s="230">
        <f t="shared" si="40"/>
        <v>0</v>
      </c>
      <c r="M136" s="89"/>
      <c r="N136" s="140"/>
      <c r="O136" s="39"/>
      <c r="P136" s="467">
        <f t="shared" si="43"/>
        <v>0</v>
      </c>
      <c r="Q136" s="262" t="str">
        <f t="shared" si="37"/>
        <v>К34х26х3</v>
      </c>
      <c r="R136" s="377">
        <f t="shared" si="35"/>
        <v>69.599999999999994</v>
      </c>
      <c r="S136" s="326">
        <v>58</v>
      </c>
      <c r="T136" s="353">
        <f t="shared" si="44"/>
        <v>0</v>
      </c>
      <c r="U136" s="20"/>
      <c r="V136" s="20">
        <f t="shared" si="45"/>
        <v>0</v>
      </c>
      <c r="W136" s="52">
        <f t="shared" si="36"/>
        <v>0</v>
      </c>
      <c r="X136" s="20"/>
      <c r="Y136" s="20"/>
      <c r="Z136" s="199">
        <v>1</v>
      </c>
      <c r="AA136" s="20"/>
      <c r="AB136" s="419"/>
      <c r="AC136" s="200"/>
      <c r="AD136" s="160"/>
      <c r="AE136" s="163"/>
      <c r="AF136" s="171"/>
      <c r="AG136" s="192"/>
      <c r="AH136" s="16"/>
      <c r="AI136" s="16"/>
      <c r="AJ136" s="185"/>
      <c r="AK136" s="126"/>
    </row>
    <row r="137" spans="1:241" ht="26.25" hidden="1" customHeight="1" x14ac:dyDescent="0.25">
      <c r="B137" s="11"/>
      <c r="C137" s="6" t="s">
        <v>18</v>
      </c>
      <c r="D137" s="23" t="s">
        <v>142</v>
      </c>
      <c r="E137" s="107" t="s">
        <v>114</v>
      </c>
      <c r="F137" s="210" t="s">
        <v>117</v>
      </c>
      <c r="G137" s="48" t="s">
        <v>0</v>
      </c>
      <c r="H137" s="39"/>
      <c r="I137" s="309">
        <v>0</v>
      </c>
      <c r="J137" s="39">
        <f t="shared" si="41"/>
        <v>0</v>
      </c>
      <c r="K137" s="309">
        <f t="shared" si="42"/>
        <v>0.01</v>
      </c>
      <c r="L137" s="230">
        <f t="shared" si="40"/>
        <v>0</v>
      </c>
      <c r="M137" s="82"/>
      <c r="N137" s="140"/>
      <c r="O137" s="39"/>
      <c r="P137" s="309">
        <f t="shared" si="43"/>
        <v>0</v>
      </c>
      <c r="Q137" s="235" t="str">
        <f t="shared" si="37"/>
        <v>ЖЕ7.074.896   (К14,2*9,5*4,6)</v>
      </c>
      <c r="R137" s="377">
        <f t="shared" si="35"/>
        <v>0.02</v>
      </c>
      <c r="S137" s="339">
        <v>2.0400000000000001E-2</v>
      </c>
      <c r="T137" s="353">
        <f t="shared" si="44"/>
        <v>0</v>
      </c>
      <c r="U137" s="20">
        <v>12000</v>
      </c>
      <c r="V137" s="20">
        <f t="shared" si="45"/>
        <v>0</v>
      </c>
      <c r="W137" s="52">
        <f t="shared" si="36"/>
        <v>0</v>
      </c>
      <c r="X137" s="20">
        <f>4*3000</f>
        <v>12000</v>
      </c>
      <c r="Y137" s="20"/>
      <c r="Z137" s="20"/>
      <c r="AA137" s="20"/>
      <c r="AB137" s="417"/>
      <c r="AC137" s="200"/>
      <c r="AD137" s="160"/>
      <c r="AE137" s="165"/>
      <c r="AF137" s="160"/>
      <c r="AG137" s="192"/>
      <c r="AH137" s="16"/>
      <c r="AI137" s="16"/>
      <c r="AJ137" s="185"/>
      <c r="AK137" s="435"/>
      <c r="AL137" s="476"/>
      <c r="AM137" s="10"/>
    </row>
    <row r="138" spans="1:241" ht="26.25" hidden="1" customHeight="1" x14ac:dyDescent="0.25">
      <c r="B138" s="11"/>
      <c r="C138" s="6" t="s">
        <v>18</v>
      </c>
      <c r="D138" s="23" t="s">
        <v>142</v>
      </c>
      <c r="E138" s="107" t="s">
        <v>173</v>
      </c>
      <c r="F138" s="208" t="s">
        <v>118</v>
      </c>
      <c r="G138" s="48" t="s">
        <v>0</v>
      </c>
      <c r="H138" s="39"/>
      <c r="I138" s="309">
        <v>0</v>
      </c>
      <c r="J138" s="39">
        <f t="shared" si="41"/>
        <v>0</v>
      </c>
      <c r="K138" s="309">
        <f t="shared" si="42"/>
        <v>0.01</v>
      </c>
      <c r="L138" s="230">
        <f t="shared" si="40"/>
        <v>0</v>
      </c>
      <c r="M138" s="204"/>
      <c r="N138" s="140"/>
      <c r="O138" s="39"/>
      <c r="P138" s="309">
        <f t="shared" si="43"/>
        <v>0</v>
      </c>
      <c r="Q138" s="235" t="str">
        <f t="shared" si="37"/>
        <v>ЖЕ7.074.978   (Д14)</v>
      </c>
      <c r="R138" s="377">
        <f t="shared" si="35"/>
        <v>0.02</v>
      </c>
      <c r="S138" s="319">
        <v>1.5599999999999999E-2</v>
      </c>
      <c r="T138" s="353">
        <f t="shared" si="44"/>
        <v>0</v>
      </c>
      <c r="U138" s="18"/>
      <c r="V138" s="20">
        <f t="shared" si="45"/>
        <v>0</v>
      </c>
      <c r="W138" s="52">
        <f t="shared" si="36"/>
        <v>0</v>
      </c>
      <c r="X138" s="18"/>
      <c r="Y138" s="18"/>
      <c r="Z138" s="102">
        <v>1</v>
      </c>
      <c r="AA138" s="18"/>
      <c r="AB138" s="420"/>
      <c r="AC138" s="200"/>
      <c r="AD138" s="160"/>
      <c r="AE138" s="163"/>
      <c r="AF138" s="171"/>
      <c r="AG138" s="192"/>
      <c r="AH138" s="16"/>
      <c r="AI138" s="16"/>
      <c r="AJ138" s="185"/>
      <c r="AK138" s="125"/>
      <c r="AL138" s="10"/>
      <c r="AM138" s="10"/>
    </row>
    <row r="139" spans="1:241" s="4" customFormat="1" ht="26.25" hidden="1" customHeight="1" x14ac:dyDescent="0.25">
      <c r="A139" s="10"/>
      <c r="B139" s="11"/>
      <c r="C139" s="6" t="s">
        <v>18</v>
      </c>
      <c r="D139" s="23" t="s">
        <v>142</v>
      </c>
      <c r="E139" s="87" t="s">
        <v>532</v>
      </c>
      <c r="F139" s="375">
        <v>1329</v>
      </c>
      <c r="G139" s="14" t="s">
        <v>0</v>
      </c>
      <c r="H139" s="39"/>
      <c r="I139" s="360">
        <v>0</v>
      </c>
      <c r="J139" s="39">
        <f t="shared" si="41"/>
        <v>0</v>
      </c>
      <c r="K139" s="309">
        <f t="shared" si="42"/>
        <v>8.57</v>
      </c>
      <c r="L139" s="230">
        <f t="shared" si="40"/>
        <v>0</v>
      </c>
      <c r="M139" s="205" t="s">
        <v>536</v>
      </c>
      <c r="N139" s="140"/>
      <c r="O139" s="39"/>
      <c r="P139" s="309">
        <f t="shared" si="43"/>
        <v>0</v>
      </c>
      <c r="Q139" s="263" t="str">
        <f t="shared" si="37"/>
        <v>магнитопл П250х25х1</v>
      </c>
      <c r="R139" s="306">
        <f t="shared" si="35"/>
        <v>12</v>
      </c>
      <c r="S139" s="322">
        <v>10</v>
      </c>
      <c r="T139" s="353">
        <f t="shared" si="44"/>
        <v>0</v>
      </c>
      <c r="U139" s="18"/>
      <c r="V139" s="20">
        <f t="shared" si="45"/>
        <v>0</v>
      </c>
      <c r="W139" s="52">
        <f t="shared" si="36"/>
        <v>0</v>
      </c>
      <c r="X139" s="18"/>
      <c r="Y139" s="18"/>
      <c r="Z139" s="102">
        <v>1</v>
      </c>
      <c r="AA139" s="18"/>
      <c r="AB139" s="420"/>
      <c r="AC139" s="200"/>
      <c r="AD139" s="160"/>
      <c r="AE139" s="163"/>
      <c r="AF139" s="171"/>
      <c r="AG139" s="192"/>
      <c r="AH139" s="128"/>
      <c r="AI139" s="129"/>
      <c r="AJ139" s="182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</row>
    <row r="140" spans="1:241" ht="26.25" customHeight="1" x14ac:dyDescent="0.25">
      <c r="B140" s="11">
        <v>52</v>
      </c>
      <c r="C140" s="6" t="s">
        <v>18</v>
      </c>
      <c r="D140" s="23" t="s">
        <v>142</v>
      </c>
      <c r="E140" s="107" t="s">
        <v>122</v>
      </c>
      <c r="F140" s="208" t="s">
        <v>125</v>
      </c>
      <c r="G140" s="12" t="s">
        <v>0</v>
      </c>
      <c r="H140" s="39">
        <v>1300</v>
      </c>
      <c r="I140" s="360">
        <v>149.76</v>
      </c>
      <c r="J140" s="39">
        <f t="shared" si="41"/>
        <v>0</v>
      </c>
      <c r="K140" s="309">
        <v>0.12</v>
      </c>
      <c r="L140" s="230">
        <f t="shared" si="40"/>
        <v>0</v>
      </c>
      <c r="M140" s="92"/>
      <c r="N140" s="41"/>
      <c r="O140" s="503">
        <v>1300</v>
      </c>
      <c r="P140" s="309">
        <v>149.76</v>
      </c>
      <c r="Q140" s="235" t="str">
        <f t="shared" si="37"/>
        <v>ЖЕ7.074.975   (К23,6*9,5*21)</v>
      </c>
      <c r="R140" s="377">
        <f t="shared" si="35"/>
        <v>0.16</v>
      </c>
      <c r="S140" s="319">
        <v>0.13439999999999999</v>
      </c>
      <c r="T140" s="353">
        <f t="shared" si="44"/>
        <v>0</v>
      </c>
      <c r="U140" s="20"/>
      <c r="V140" s="20">
        <f t="shared" si="45"/>
        <v>0</v>
      </c>
      <c r="W140" s="52">
        <f t="shared" si="36"/>
        <v>0</v>
      </c>
      <c r="X140" s="20"/>
      <c r="Y140" s="20"/>
      <c r="Z140" s="199">
        <v>1</v>
      </c>
      <c r="AA140" s="20"/>
      <c r="AB140" s="419"/>
      <c r="AC140" s="200"/>
      <c r="AD140" s="160"/>
      <c r="AE140" s="165"/>
      <c r="AF140" s="160"/>
      <c r="AG140" s="192"/>
      <c r="AH140" s="128"/>
      <c r="AI140" s="129"/>
      <c r="AK140" s="10"/>
      <c r="AL140" s="10"/>
      <c r="AM140" s="10"/>
    </row>
    <row r="141" spans="1:241" ht="32.25" customHeight="1" x14ac:dyDescent="0.25">
      <c r="B141" s="11">
        <v>53</v>
      </c>
      <c r="C141" s="6" t="s">
        <v>18</v>
      </c>
      <c r="D141" s="23" t="s">
        <v>142</v>
      </c>
      <c r="E141" s="106" t="s">
        <v>248</v>
      </c>
      <c r="F141" s="526" t="s">
        <v>235</v>
      </c>
      <c r="G141" s="12" t="s">
        <v>0</v>
      </c>
      <c r="H141" s="39">
        <v>16000</v>
      </c>
      <c r="I141" s="360">
        <v>640</v>
      </c>
      <c r="J141" s="39">
        <f t="shared" si="41"/>
        <v>0</v>
      </c>
      <c r="K141" s="309">
        <f>R141/1.4</f>
        <v>0.04</v>
      </c>
      <c r="L141" s="230">
        <f t="shared" si="40"/>
        <v>0</v>
      </c>
      <c r="M141" s="196"/>
      <c r="N141" s="41"/>
      <c r="O141" s="503">
        <v>16000</v>
      </c>
      <c r="P141" s="309">
        <f>K141*O141</f>
        <v>640</v>
      </c>
      <c r="Q141" s="235" t="str">
        <f t="shared" si="37"/>
        <v>К14,5х10х3,3 ЭПГ110.173</v>
      </c>
      <c r="R141" s="377">
        <f t="shared" si="35"/>
        <v>0.06</v>
      </c>
      <c r="S141" s="322">
        <f>1.52*0.034</f>
        <v>0.05</v>
      </c>
      <c r="T141" s="353">
        <f t="shared" si="44"/>
        <v>0</v>
      </c>
      <c r="U141" s="18">
        <v>28000</v>
      </c>
      <c r="V141" s="20">
        <f t="shared" si="45"/>
        <v>0</v>
      </c>
      <c r="W141" s="52">
        <f t="shared" si="36"/>
        <v>-24000</v>
      </c>
      <c r="X141" s="18">
        <v>4000</v>
      </c>
      <c r="Y141" s="18"/>
      <c r="Z141" s="18">
        <v>40000</v>
      </c>
      <c r="AA141" s="18">
        <v>80000</v>
      </c>
      <c r="AB141" s="418"/>
      <c r="AC141" s="200"/>
      <c r="AD141" s="160"/>
      <c r="AE141" s="163"/>
      <c r="AF141" s="171"/>
      <c r="AG141" s="192"/>
      <c r="AH141" s="16"/>
      <c r="AI141" s="16"/>
      <c r="AJ141" s="185"/>
      <c r="AK141" s="435"/>
      <c r="AL141" s="476"/>
      <c r="AM141" s="10"/>
    </row>
    <row r="142" spans="1:241" ht="26.25" customHeight="1" x14ac:dyDescent="0.25">
      <c r="B142" s="11">
        <v>54</v>
      </c>
      <c r="C142" s="6" t="s">
        <v>18</v>
      </c>
      <c r="D142" s="23" t="s">
        <v>142</v>
      </c>
      <c r="E142" s="104" t="s">
        <v>612</v>
      </c>
      <c r="F142" s="208" t="s">
        <v>174</v>
      </c>
      <c r="G142" s="12" t="s">
        <v>0</v>
      </c>
      <c r="H142" s="39">
        <v>3950</v>
      </c>
      <c r="I142" s="360">
        <v>158</v>
      </c>
      <c r="J142" s="39">
        <f t="shared" si="41"/>
        <v>0</v>
      </c>
      <c r="K142" s="309">
        <f>R142/1.4</f>
        <v>0.04</v>
      </c>
      <c r="L142" s="230">
        <f t="shared" si="40"/>
        <v>0</v>
      </c>
      <c r="M142" s="42"/>
      <c r="N142" s="41"/>
      <c r="O142" s="503">
        <v>3950</v>
      </c>
      <c r="P142" s="309">
        <f>K142*O142</f>
        <v>158</v>
      </c>
      <c r="Q142" s="235" t="str">
        <f t="shared" si="37"/>
        <v xml:space="preserve">Д13.5х2,5 </v>
      </c>
      <c r="R142" s="377">
        <f t="shared" si="35"/>
        <v>0.06</v>
      </c>
      <c r="S142" s="320">
        <v>0.05</v>
      </c>
      <c r="T142" s="353">
        <f t="shared" si="44"/>
        <v>0</v>
      </c>
      <c r="U142" s="20">
        <v>10000</v>
      </c>
      <c r="V142" s="20">
        <f t="shared" si="45"/>
        <v>0</v>
      </c>
      <c r="W142" s="52">
        <f t="shared" si="36"/>
        <v>0</v>
      </c>
      <c r="X142" s="20">
        <f>2*5000</f>
        <v>10000</v>
      </c>
      <c r="Y142" s="20"/>
      <c r="Z142" s="20"/>
      <c r="AA142" s="20"/>
      <c r="AB142" s="417"/>
      <c r="AC142" s="200"/>
      <c r="AD142" s="160"/>
      <c r="AE142" s="163"/>
      <c r="AF142" s="171"/>
      <c r="AG142" s="192"/>
      <c r="AH142" s="16"/>
      <c r="AI142" s="16"/>
      <c r="AJ142" s="185"/>
      <c r="AK142" s="435"/>
      <c r="AL142" s="476"/>
      <c r="AM142" s="10"/>
    </row>
    <row r="143" spans="1:241" ht="26.25" customHeight="1" x14ac:dyDescent="0.25">
      <c r="B143" s="11">
        <v>55</v>
      </c>
      <c r="C143" s="6" t="s">
        <v>18</v>
      </c>
      <c r="D143" s="23" t="s">
        <v>142</v>
      </c>
      <c r="E143" s="104" t="s">
        <v>153</v>
      </c>
      <c r="F143" s="208" t="s">
        <v>175</v>
      </c>
      <c r="G143" s="12" t="s">
        <v>0</v>
      </c>
      <c r="H143" s="39">
        <v>1640</v>
      </c>
      <c r="I143" s="360">
        <v>8.36</v>
      </c>
      <c r="J143" s="39">
        <f t="shared" si="41"/>
        <v>0</v>
      </c>
      <c r="K143" s="309">
        <v>0.01</v>
      </c>
      <c r="L143" s="230">
        <f t="shared" si="40"/>
        <v>0</v>
      </c>
      <c r="M143" s="42"/>
      <c r="N143" s="41"/>
      <c r="O143" s="503">
        <f>2000-360</f>
        <v>1640</v>
      </c>
      <c r="P143" s="309">
        <v>8.36</v>
      </c>
      <c r="Q143" s="235" t="str">
        <f t="shared" si="37"/>
        <v>Д13.5х4,5 (ненамаг)</v>
      </c>
      <c r="R143" s="377">
        <f t="shared" si="35"/>
        <v>0.01</v>
      </c>
      <c r="S143" s="320">
        <v>6.0000000000000001E-3</v>
      </c>
      <c r="T143" s="353">
        <f t="shared" si="44"/>
        <v>0</v>
      </c>
      <c r="U143" s="20"/>
      <c r="V143" s="20">
        <f t="shared" si="45"/>
        <v>0</v>
      </c>
      <c r="W143" s="52">
        <f t="shared" si="36"/>
        <v>0</v>
      </c>
      <c r="X143" s="20"/>
      <c r="Y143" s="20"/>
      <c r="Z143" s="20"/>
      <c r="AA143" s="20"/>
      <c r="AB143" s="417"/>
      <c r="AC143" s="200"/>
      <c r="AD143" s="160"/>
      <c r="AE143" s="163"/>
      <c r="AF143" s="171"/>
      <c r="AG143" s="192"/>
      <c r="AH143" s="128"/>
      <c r="AI143" s="129"/>
      <c r="AK143" s="10"/>
      <c r="AL143" s="10"/>
      <c r="AM143" s="10"/>
    </row>
    <row r="144" spans="1:241" ht="26.25" customHeight="1" x14ac:dyDescent="0.25">
      <c r="B144" s="11">
        <v>56</v>
      </c>
      <c r="C144" s="6" t="s">
        <v>18</v>
      </c>
      <c r="D144" s="23" t="s">
        <v>142</v>
      </c>
      <c r="E144" s="104" t="s">
        <v>32</v>
      </c>
      <c r="F144" s="208" t="s">
        <v>53</v>
      </c>
      <c r="G144" s="12" t="s">
        <v>0</v>
      </c>
      <c r="H144" s="39">
        <v>5000</v>
      </c>
      <c r="I144" s="360">
        <v>43</v>
      </c>
      <c r="J144" s="39">
        <f t="shared" si="41"/>
        <v>0</v>
      </c>
      <c r="K144" s="309">
        <v>0.01</v>
      </c>
      <c r="L144" s="230">
        <f t="shared" si="40"/>
        <v>0</v>
      </c>
      <c r="M144" s="89"/>
      <c r="N144" s="41"/>
      <c r="O144" s="503">
        <v>5000</v>
      </c>
      <c r="P144" s="309">
        <v>43</v>
      </c>
      <c r="Q144" s="235" t="str">
        <f t="shared" si="37"/>
        <v>Д 8,2х6,4</v>
      </c>
      <c r="R144" s="377">
        <f t="shared" ref="R144:R175" si="46">S144*1.2</f>
        <v>0.01</v>
      </c>
      <c r="S144" s="319">
        <v>0.01</v>
      </c>
      <c r="T144" s="353">
        <f t="shared" si="44"/>
        <v>0</v>
      </c>
      <c r="U144" s="20">
        <v>34950</v>
      </c>
      <c r="V144" s="20">
        <f t="shared" si="45"/>
        <v>0</v>
      </c>
      <c r="W144" s="52">
        <f t="shared" ref="W144:W165" si="47">X144-U144+V144</f>
        <v>0</v>
      </c>
      <c r="X144" s="20">
        <f>5000*6+4950</f>
        <v>34950</v>
      </c>
      <c r="Y144" s="20"/>
      <c r="Z144" s="20"/>
      <c r="AA144" s="20"/>
      <c r="AB144" s="417"/>
      <c r="AC144" s="200"/>
      <c r="AD144" s="160"/>
      <c r="AE144" s="163"/>
      <c r="AF144" s="171"/>
      <c r="AG144" s="192"/>
      <c r="AH144" s="16"/>
      <c r="AI144" s="16"/>
      <c r="AJ144" s="185"/>
      <c r="AK144" s="435"/>
      <c r="AL144" s="476"/>
      <c r="AM144" s="10"/>
    </row>
    <row r="145" spans="1:74" ht="26.25" customHeight="1" x14ac:dyDescent="0.25">
      <c r="B145" s="11">
        <v>57</v>
      </c>
      <c r="C145" s="6" t="s">
        <v>18</v>
      </c>
      <c r="D145" s="23" t="s">
        <v>142</v>
      </c>
      <c r="E145" s="105" t="s">
        <v>86</v>
      </c>
      <c r="F145" s="392">
        <v>503</v>
      </c>
      <c r="G145" s="12" t="s">
        <v>0</v>
      </c>
      <c r="H145" s="39">
        <v>2200</v>
      </c>
      <c r="I145" s="360">
        <v>277.2</v>
      </c>
      <c r="J145" s="39">
        <f t="shared" si="41"/>
        <v>0</v>
      </c>
      <c r="K145" s="309">
        <v>0.13</v>
      </c>
      <c r="L145" s="230">
        <f t="shared" si="40"/>
        <v>0</v>
      </c>
      <c r="M145" s="42"/>
      <c r="N145" s="41"/>
      <c r="O145" s="503">
        <v>2200</v>
      </c>
      <c r="P145" s="309">
        <v>277.2</v>
      </c>
      <c r="Q145" s="235" t="str">
        <f t="shared" si="37"/>
        <v>Д16х4</v>
      </c>
      <c r="R145" s="377">
        <f t="shared" si="46"/>
        <v>0.18</v>
      </c>
      <c r="S145" s="319">
        <v>0.14699999999999999</v>
      </c>
      <c r="T145" s="353">
        <f t="shared" si="44"/>
        <v>0</v>
      </c>
      <c r="U145" s="20">
        <v>9000</v>
      </c>
      <c r="V145" s="20">
        <f t="shared" si="45"/>
        <v>0</v>
      </c>
      <c r="W145" s="52">
        <f t="shared" si="47"/>
        <v>0</v>
      </c>
      <c r="X145" s="20">
        <f>3*3000</f>
        <v>9000</v>
      </c>
      <c r="Y145" s="20"/>
      <c r="Z145" s="20"/>
      <c r="AA145" s="20"/>
      <c r="AB145" s="417"/>
      <c r="AC145" s="200"/>
      <c r="AD145" s="160"/>
      <c r="AE145" s="163"/>
      <c r="AF145" s="171"/>
      <c r="AG145" s="192"/>
      <c r="AH145" s="16"/>
      <c r="AI145" s="16"/>
      <c r="AJ145" s="185"/>
      <c r="AK145" s="435"/>
      <c r="AL145" s="836"/>
      <c r="AM145" s="10"/>
    </row>
    <row r="146" spans="1:74" ht="26.25" customHeight="1" x14ac:dyDescent="0.25">
      <c r="B146" s="11">
        <v>58</v>
      </c>
      <c r="C146" s="6" t="s">
        <v>18</v>
      </c>
      <c r="D146" s="23" t="s">
        <v>142</v>
      </c>
      <c r="E146" s="86" t="s">
        <v>83</v>
      </c>
      <c r="F146" s="392" t="s">
        <v>52</v>
      </c>
      <c r="G146" s="12" t="s">
        <v>0</v>
      </c>
      <c r="H146" s="39">
        <v>2400</v>
      </c>
      <c r="I146" s="360">
        <v>14808</v>
      </c>
      <c r="J146" s="39">
        <f t="shared" si="41"/>
        <v>1880</v>
      </c>
      <c r="K146" s="309">
        <f>R146/1.4</f>
        <v>6.17</v>
      </c>
      <c r="L146" s="230">
        <f t="shared" si="40"/>
        <v>0</v>
      </c>
      <c r="M146" s="196"/>
      <c r="N146" s="41">
        <v>1880</v>
      </c>
      <c r="O146" s="503">
        <v>2400</v>
      </c>
      <c r="P146" s="309">
        <f t="shared" ref="P146:P165" si="48">K146*O146</f>
        <v>14808</v>
      </c>
      <c r="Q146" s="235" t="str">
        <f t="shared" si="37"/>
        <v>Якорь магн.однор.(200 шт в к-те)</v>
      </c>
      <c r="R146" s="377">
        <f t="shared" si="46"/>
        <v>8.64</v>
      </c>
      <c r="S146" s="319">
        <v>7.2</v>
      </c>
      <c r="T146" s="353">
        <f t="shared" si="44"/>
        <v>13536</v>
      </c>
      <c r="U146" s="20">
        <v>2685</v>
      </c>
      <c r="V146" s="20">
        <f t="shared" si="45"/>
        <v>1880</v>
      </c>
      <c r="W146" s="52">
        <f t="shared" si="47"/>
        <v>905</v>
      </c>
      <c r="X146" s="20">
        <f>114*15</f>
        <v>1710</v>
      </c>
      <c r="Y146" s="20"/>
      <c r="Z146" s="20"/>
      <c r="AA146" s="20">
        <v>10215</v>
      </c>
      <c r="AB146" s="417"/>
      <c r="AC146" s="200"/>
      <c r="AD146" s="160"/>
      <c r="AE146" s="163"/>
      <c r="AF146" s="171"/>
      <c r="AG146" s="192"/>
      <c r="AH146" s="16"/>
      <c r="AI146" s="16"/>
      <c r="AJ146" s="185"/>
      <c r="AK146" s="435"/>
      <c r="AL146" s="832"/>
      <c r="AM146" s="832"/>
    </row>
    <row r="147" spans="1:74" ht="26.25" customHeight="1" x14ac:dyDescent="0.25">
      <c r="B147" s="11">
        <v>59</v>
      </c>
      <c r="C147" s="6" t="s">
        <v>18</v>
      </c>
      <c r="D147" s="23" t="s">
        <v>142</v>
      </c>
      <c r="E147" s="104" t="s">
        <v>225</v>
      </c>
      <c r="F147" s="383">
        <v>1177</v>
      </c>
      <c r="G147" s="12" t="s">
        <v>0</v>
      </c>
      <c r="H147" s="39">
        <v>1000</v>
      </c>
      <c r="I147" s="360">
        <v>90</v>
      </c>
      <c r="J147" s="39">
        <f t="shared" si="41"/>
        <v>0</v>
      </c>
      <c r="K147" s="309">
        <v>0.09</v>
      </c>
      <c r="L147" s="230">
        <f t="shared" si="40"/>
        <v>0</v>
      </c>
      <c r="M147" s="42"/>
      <c r="N147" s="41"/>
      <c r="O147" s="503">
        <v>1000</v>
      </c>
      <c r="P147" s="309">
        <f t="shared" si="48"/>
        <v>90</v>
      </c>
      <c r="Q147" s="235" t="str">
        <f t="shared" si="37"/>
        <v>Д18х3</v>
      </c>
      <c r="R147" s="377">
        <f t="shared" si="46"/>
        <v>0.1</v>
      </c>
      <c r="S147" s="326">
        <v>0.08</v>
      </c>
      <c r="T147" s="353">
        <f t="shared" si="44"/>
        <v>0</v>
      </c>
      <c r="U147" s="18"/>
      <c r="V147" s="20">
        <f t="shared" si="45"/>
        <v>0</v>
      </c>
      <c r="W147" s="52">
        <f t="shared" si="47"/>
        <v>0</v>
      </c>
      <c r="X147" s="18"/>
      <c r="Y147" s="18"/>
      <c r="Z147" s="18"/>
      <c r="AA147" s="18"/>
      <c r="AB147" s="418"/>
      <c r="AC147" s="200"/>
      <c r="AD147" s="160"/>
      <c r="AE147" s="163"/>
      <c r="AF147" s="171"/>
      <c r="AG147" s="192"/>
      <c r="AH147" s="128"/>
      <c r="AI147" s="129"/>
      <c r="AK147" s="10"/>
      <c r="AL147" s="10"/>
      <c r="AM147" s="10"/>
    </row>
    <row r="148" spans="1:74" s="4" customFormat="1" ht="26.25" hidden="1" customHeight="1" x14ac:dyDescent="0.25">
      <c r="A148" s="10"/>
      <c r="B148" s="11"/>
      <c r="C148" s="6" t="s">
        <v>18</v>
      </c>
      <c r="D148" s="23" t="s">
        <v>142</v>
      </c>
      <c r="E148" s="86" t="s">
        <v>574</v>
      </c>
      <c r="F148" s="384">
        <v>1372</v>
      </c>
      <c r="G148" s="12" t="s">
        <v>0</v>
      </c>
      <c r="H148" s="39"/>
      <c r="I148" s="360">
        <v>0</v>
      </c>
      <c r="J148" s="39">
        <f t="shared" si="41"/>
        <v>0</v>
      </c>
      <c r="K148" s="309">
        <f t="shared" ref="K148:K179" si="49">R148/1.4</f>
        <v>0.14000000000000001</v>
      </c>
      <c r="L148" s="230"/>
      <c r="M148" s="42"/>
      <c r="N148" s="140"/>
      <c r="O148" s="39"/>
      <c r="P148" s="309">
        <f t="shared" si="48"/>
        <v>0</v>
      </c>
      <c r="Q148" s="404" t="str">
        <f t="shared" si="37"/>
        <v>Круглый магнит аурикулярный Д2,5</v>
      </c>
      <c r="R148" s="377">
        <f t="shared" si="46"/>
        <v>0.19</v>
      </c>
      <c r="S148" s="326">
        <f>5.28*0.03</f>
        <v>0.16</v>
      </c>
      <c r="T148" s="353">
        <f t="shared" si="44"/>
        <v>0</v>
      </c>
      <c r="U148" s="20"/>
      <c r="V148" s="20">
        <f t="shared" si="45"/>
        <v>0</v>
      </c>
      <c r="W148" s="52">
        <f t="shared" si="47"/>
        <v>0</v>
      </c>
      <c r="X148" s="20"/>
      <c r="Y148" s="20"/>
      <c r="Z148" s="20"/>
      <c r="AA148" s="20"/>
      <c r="AB148" s="417"/>
      <c r="AC148" s="200"/>
      <c r="AD148" s="160"/>
      <c r="AE148" s="163"/>
      <c r="AF148" s="171"/>
      <c r="AG148" s="192"/>
      <c r="AH148" s="128"/>
      <c r="AI148" s="129"/>
      <c r="AJ148" s="182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</row>
    <row r="149" spans="1:74" s="4" customFormat="1" ht="26.25" hidden="1" customHeight="1" x14ac:dyDescent="0.25">
      <c r="A149" s="10"/>
      <c r="B149" s="11"/>
      <c r="C149" s="6" t="s">
        <v>18</v>
      </c>
      <c r="D149" s="23" t="s">
        <v>142</v>
      </c>
      <c r="E149" s="86" t="s">
        <v>575</v>
      </c>
      <c r="F149" s="384">
        <v>1373</v>
      </c>
      <c r="G149" s="12" t="s">
        <v>0</v>
      </c>
      <c r="H149" s="39"/>
      <c r="I149" s="360">
        <v>0</v>
      </c>
      <c r="J149" s="39">
        <f t="shared" si="41"/>
        <v>0</v>
      </c>
      <c r="K149" s="309">
        <f t="shared" si="49"/>
        <v>0.14000000000000001</v>
      </c>
      <c r="L149" s="230"/>
      <c r="M149" s="42"/>
      <c r="N149" s="140"/>
      <c r="O149" s="39"/>
      <c r="P149" s="309">
        <f t="shared" si="48"/>
        <v>0</v>
      </c>
      <c r="Q149" s="260" t="str">
        <f t="shared" si="37"/>
        <v>Круглый магнит малый Д3,5</v>
      </c>
      <c r="R149" s="377">
        <f t="shared" si="46"/>
        <v>0.19</v>
      </c>
      <c r="S149" s="326">
        <f>5.28*0.03</f>
        <v>0.16</v>
      </c>
      <c r="T149" s="353">
        <f t="shared" si="44"/>
        <v>0</v>
      </c>
      <c r="U149" s="20"/>
      <c r="V149" s="20">
        <f t="shared" si="45"/>
        <v>0</v>
      </c>
      <c r="W149" s="52">
        <f t="shared" si="47"/>
        <v>0</v>
      </c>
      <c r="X149" s="20"/>
      <c r="Y149" s="20"/>
      <c r="Z149" s="20"/>
      <c r="AA149" s="20"/>
      <c r="AB149" s="417"/>
      <c r="AC149" s="200"/>
      <c r="AD149" s="160"/>
      <c r="AE149" s="163"/>
      <c r="AF149" s="171"/>
      <c r="AG149" s="192"/>
      <c r="AH149" s="128"/>
      <c r="AI149" s="129"/>
      <c r="AJ149" s="182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</row>
    <row r="150" spans="1:74" s="4" customFormat="1" ht="26.25" hidden="1" customHeight="1" x14ac:dyDescent="0.25">
      <c r="A150" s="10"/>
      <c r="B150" s="11"/>
      <c r="C150" s="6" t="s">
        <v>18</v>
      </c>
      <c r="D150" s="23" t="s">
        <v>142</v>
      </c>
      <c r="E150" s="86" t="s">
        <v>576</v>
      </c>
      <c r="F150" s="384">
        <v>1374</v>
      </c>
      <c r="G150" s="12" t="s">
        <v>0</v>
      </c>
      <c r="H150" s="39"/>
      <c r="I150" s="360">
        <v>0</v>
      </c>
      <c r="J150" s="39">
        <f t="shared" si="41"/>
        <v>0</v>
      </c>
      <c r="K150" s="309">
        <f t="shared" si="49"/>
        <v>0.14000000000000001</v>
      </c>
      <c r="L150" s="230"/>
      <c r="M150" s="42"/>
      <c r="N150" s="140"/>
      <c r="O150" s="39"/>
      <c r="P150" s="309">
        <f t="shared" si="48"/>
        <v>0</v>
      </c>
      <c r="Q150" s="260" t="str">
        <f t="shared" si="37"/>
        <v>Круглый магнит большой Д5</v>
      </c>
      <c r="R150" s="377">
        <f t="shared" si="46"/>
        <v>0.19</v>
      </c>
      <c r="S150" s="326">
        <f>5.28*0.03</f>
        <v>0.16</v>
      </c>
      <c r="T150" s="353">
        <f t="shared" si="44"/>
        <v>0</v>
      </c>
      <c r="U150" s="20"/>
      <c r="V150" s="20">
        <f t="shared" si="45"/>
        <v>0</v>
      </c>
      <c r="W150" s="52">
        <f t="shared" si="47"/>
        <v>0</v>
      </c>
      <c r="X150" s="20"/>
      <c r="Y150" s="20"/>
      <c r="Z150" s="20"/>
      <c r="AA150" s="20"/>
      <c r="AB150" s="417"/>
      <c r="AC150" s="200"/>
      <c r="AD150" s="160"/>
      <c r="AE150" s="163"/>
      <c r="AF150" s="171"/>
      <c r="AG150" s="192"/>
      <c r="AH150" s="128"/>
      <c r="AI150" s="129"/>
      <c r="AJ150" s="182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</row>
    <row r="151" spans="1:74" s="4" customFormat="1" ht="26.25" hidden="1" customHeight="1" x14ac:dyDescent="0.25">
      <c r="A151" s="10"/>
      <c r="B151" s="11"/>
      <c r="C151" s="6" t="s">
        <v>18</v>
      </c>
      <c r="D151" s="23" t="s">
        <v>142</v>
      </c>
      <c r="E151" s="1" t="s">
        <v>570</v>
      </c>
      <c r="F151" s="386">
        <v>1309</v>
      </c>
      <c r="G151" s="12" t="s">
        <v>0</v>
      </c>
      <c r="H151" s="39"/>
      <c r="I151" s="360">
        <v>0</v>
      </c>
      <c r="J151" s="39">
        <f t="shared" si="41"/>
        <v>0</v>
      </c>
      <c r="K151" s="309">
        <f t="shared" si="49"/>
        <v>0.22</v>
      </c>
      <c r="L151" s="230"/>
      <c r="M151" s="42"/>
      <c r="N151" s="413"/>
      <c r="O151" s="39"/>
      <c r="P151" s="309">
        <f t="shared" si="48"/>
        <v>0</v>
      </c>
      <c r="Q151" s="260" t="str">
        <f t="shared" si="37"/>
        <v>Плоский магнит "стрелка"</v>
      </c>
      <c r="R151" s="377">
        <f t="shared" si="46"/>
        <v>0.31</v>
      </c>
      <c r="S151" s="379">
        <f>8.7*0.03</f>
        <v>0.26</v>
      </c>
      <c r="T151" s="353">
        <f t="shared" si="44"/>
        <v>0</v>
      </c>
      <c r="U151" s="20"/>
      <c r="V151" s="20">
        <f t="shared" si="45"/>
        <v>0</v>
      </c>
      <c r="W151" s="52">
        <f t="shared" si="47"/>
        <v>0</v>
      </c>
      <c r="X151" s="20"/>
      <c r="Y151" s="20"/>
      <c r="Z151" s="20"/>
      <c r="AA151" s="20"/>
      <c r="AB151" s="417"/>
      <c r="AC151" s="200"/>
      <c r="AD151" s="160"/>
      <c r="AE151" s="163"/>
      <c r="AF151" s="171"/>
      <c r="AG151" s="192"/>
      <c r="AH151" s="128"/>
      <c r="AI151" s="129"/>
      <c r="AJ151" s="182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</row>
    <row r="152" spans="1:74" s="4" customFormat="1" ht="38.25" hidden="1" customHeight="1" x14ac:dyDescent="0.25">
      <c r="A152" s="10"/>
      <c r="B152" s="11"/>
      <c r="C152" s="6" t="s">
        <v>18</v>
      </c>
      <c r="D152" s="23" t="s">
        <v>142</v>
      </c>
      <c r="E152" s="1" t="s">
        <v>573</v>
      </c>
      <c r="F152" s="386">
        <v>1375</v>
      </c>
      <c r="G152" s="12" t="s">
        <v>0</v>
      </c>
      <c r="H152" s="39"/>
      <c r="I152" s="360">
        <v>0</v>
      </c>
      <c r="J152" s="39">
        <f t="shared" si="41"/>
        <v>0</v>
      </c>
      <c r="K152" s="309">
        <f t="shared" si="49"/>
        <v>0.89</v>
      </c>
      <c r="L152" s="230"/>
      <c r="M152" s="42"/>
      <c r="N152" s="413"/>
      <c r="O152" s="39"/>
      <c r="P152" s="309">
        <f t="shared" si="48"/>
        <v>0</v>
      </c>
      <c r="Q152" s="51" t="str">
        <f t="shared" si="37"/>
        <v>Кольцевой магнит большой усиленной намагниченности</v>
      </c>
      <c r="R152" s="377">
        <f t="shared" si="46"/>
        <v>1.25</v>
      </c>
      <c r="S152" s="379">
        <f>34.8*0.03</f>
        <v>1.04</v>
      </c>
      <c r="T152" s="353">
        <f t="shared" si="44"/>
        <v>0</v>
      </c>
      <c r="U152" s="20"/>
      <c r="V152" s="20">
        <f t="shared" si="45"/>
        <v>0</v>
      </c>
      <c r="W152" s="52">
        <f t="shared" si="47"/>
        <v>0</v>
      </c>
      <c r="X152" s="20"/>
      <c r="Y152" s="20"/>
      <c r="Z152" s="20"/>
      <c r="AA152" s="20"/>
      <c r="AB152" s="417"/>
      <c r="AC152" s="200"/>
      <c r="AD152" s="160"/>
      <c r="AE152" s="163"/>
      <c r="AF152" s="171"/>
      <c r="AG152" s="192"/>
      <c r="AH152" s="128"/>
      <c r="AI152" s="129"/>
      <c r="AJ152" s="182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</row>
    <row r="153" spans="1:74" s="4" customFormat="1" ht="43.5" hidden="1" customHeight="1" x14ac:dyDescent="0.25">
      <c r="A153" s="10"/>
      <c r="B153" s="11"/>
      <c r="C153" s="6" t="s">
        <v>18</v>
      </c>
      <c r="D153" s="23" t="s">
        <v>142</v>
      </c>
      <c r="E153" s="1" t="s">
        <v>571</v>
      </c>
      <c r="F153" s="386">
        <v>1310</v>
      </c>
      <c r="G153" s="12" t="s">
        <v>0</v>
      </c>
      <c r="H153" s="39"/>
      <c r="I153" s="360">
        <v>0</v>
      </c>
      <c r="J153" s="39">
        <f t="shared" si="41"/>
        <v>0</v>
      </c>
      <c r="K153" s="309">
        <f t="shared" si="49"/>
        <v>0.56000000000000005</v>
      </c>
      <c r="L153" s="230"/>
      <c r="M153" s="42"/>
      <c r="N153" s="413"/>
      <c r="O153" s="39"/>
      <c r="P153" s="309">
        <f t="shared" si="48"/>
        <v>0</v>
      </c>
      <c r="Q153" s="51" t="str">
        <f t="shared" si="37"/>
        <v>Кольцевой магнит большой Д17 со вставкой(110.045)</v>
      </c>
      <c r="R153" s="377">
        <f t="shared" si="46"/>
        <v>0.78</v>
      </c>
      <c r="S153" s="379">
        <f>21.75*0.03</f>
        <v>0.65</v>
      </c>
      <c r="T153" s="353">
        <f t="shared" si="44"/>
        <v>0</v>
      </c>
      <c r="U153" s="20"/>
      <c r="V153" s="20">
        <f t="shared" si="45"/>
        <v>0</v>
      </c>
      <c r="W153" s="52">
        <f t="shared" si="47"/>
        <v>0</v>
      </c>
      <c r="X153" s="20"/>
      <c r="Y153" s="20"/>
      <c r="Z153" s="20"/>
      <c r="AA153" s="20"/>
      <c r="AB153" s="417"/>
      <c r="AC153" s="200"/>
      <c r="AD153" s="160"/>
      <c r="AE153" s="163"/>
      <c r="AF153" s="171"/>
      <c r="AG153" s="192"/>
      <c r="AH153" s="128"/>
      <c r="AI153" s="129"/>
      <c r="AJ153" s="182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</row>
    <row r="154" spans="1:74" s="4" customFormat="1" ht="26.25" hidden="1" customHeight="1" x14ac:dyDescent="0.25">
      <c r="A154" s="10"/>
      <c r="B154" s="11"/>
      <c r="C154" s="6" t="s">
        <v>18</v>
      </c>
      <c r="D154" s="23" t="s">
        <v>142</v>
      </c>
      <c r="E154" s="1" t="s">
        <v>577</v>
      </c>
      <c r="F154" s="386">
        <v>1311</v>
      </c>
      <c r="G154" s="12" t="s">
        <v>0</v>
      </c>
      <c r="H154" s="39"/>
      <c r="I154" s="360">
        <v>0</v>
      </c>
      <c r="J154" s="39">
        <f t="shared" si="41"/>
        <v>0</v>
      </c>
      <c r="K154" s="309">
        <f t="shared" si="49"/>
        <v>0.31</v>
      </c>
      <c r="L154" s="230"/>
      <c r="M154" s="42"/>
      <c r="N154" s="413"/>
      <c r="O154" s="39"/>
      <c r="P154" s="309">
        <f t="shared" si="48"/>
        <v>0</v>
      </c>
      <c r="Q154" s="51" t="str">
        <f t="shared" si="37"/>
        <v>Кольцевой магнит малый Д11 со вставкой (110.044)</v>
      </c>
      <c r="R154" s="377">
        <f t="shared" si="46"/>
        <v>0.44</v>
      </c>
      <c r="S154" s="379">
        <f>12.43*0.03</f>
        <v>0.37</v>
      </c>
      <c r="T154" s="353">
        <f t="shared" si="44"/>
        <v>0</v>
      </c>
      <c r="U154" s="20"/>
      <c r="V154" s="20">
        <f t="shared" si="45"/>
        <v>0</v>
      </c>
      <c r="W154" s="52">
        <f t="shared" si="47"/>
        <v>0</v>
      </c>
      <c r="X154" s="20"/>
      <c r="Y154" s="20"/>
      <c r="Z154" s="20"/>
      <c r="AA154" s="20"/>
      <c r="AB154" s="417"/>
      <c r="AC154" s="200"/>
      <c r="AD154" s="160"/>
      <c r="AE154" s="163"/>
      <c r="AF154" s="171"/>
      <c r="AG154" s="192"/>
      <c r="AH154" s="128"/>
      <c r="AI154" s="129"/>
      <c r="AJ154" s="182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</row>
    <row r="155" spans="1:74" s="4" customFormat="1" ht="26.25" hidden="1" customHeight="1" x14ac:dyDescent="0.25">
      <c r="A155" s="10"/>
      <c r="B155" s="11"/>
      <c r="C155" s="6" t="s">
        <v>18</v>
      </c>
      <c r="D155" s="23" t="s">
        <v>142</v>
      </c>
      <c r="E155" s="1" t="s">
        <v>578</v>
      </c>
      <c r="F155" s="386">
        <v>1312</v>
      </c>
      <c r="G155" s="12" t="s">
        <v>0</v>
      </c>
      <c r="H155" s="39"/>
      <c r="I155" s="360">
        <v>0</v>
      </c>
      <c r="J155" s="39">
        <f t="shared" si="41"/>
        <v>0</v>
      </c>
      <c r="K155" s="309">
        <f t="shared" si="49"/>
        <v>1.44</v>
      </c>
      <c r="L155" s="230"/>
      <c r="M155" s="42"/>
      <c r="N155" s="413"/>
      <c r="O155" s="39"/>
      <c r="P155" s="309">
        <f t="shared" si="48"/>
        <v>0</v>
      </c>
      <c r="Q155" s="51" t="str">
        <f t="shared" si="37"/>
        <v>4х кольцевой магнит</v>
      </c>
      <c r="R155" s="377">
        <f t="shared" si="46"/>
        <v>2.02</v>
      </c>
      <c r="S155" s="379">
        <f>55.94*0.03</f>
        <v>1.68</v>
      </c>
      <c r="T155" s="353">
        <f t="shared" si="44"/>
        <v>0</v>
      </c>
      <c r="U155" s="20"/>
      <c r="V155" s="20">
        <f t="shared" si="45"/>
        <v>0</v>
      </c>
      <c r="W155" s="52">
        <f t="shared" si="47"/>
        <v>0</v>
      </c>
      <c r="X155" s="20"/>
      <c r="Y155" s="20"/>
      <c r="Z155" s="20"/>
      <c r="AA155" s="20"/>
      <c r="AB155" s="417"/>
      <c r="AC155" s="200"/>
      <c r="AD155" s="160"/>
      <c r="AE155" s="163"/>
      <c r="AF155" s="171"/>
      <c r="AG155" s="192"/>
      <c r="AH155" s="128"/>
      <c r="AI155" s="129"/>
      <c r="AJ155" s="182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</row>
    <row r="156" spans="1:74" s="4" customFormat="1" ht="26.25" hidden="1" customHeight="1" x14ac:dyDescent="0.25">
      <c r="A156" s="10"/>
      <c r="B156" s="11"/>
      <c r="C156" s="6" t="s">
        <v>18</v>
      </c>
      <c r="D156" s="23" t="s">
        <v>142</v>
      </c>
      <c r="E156" s="1" t="s">
        <v>582</v>
      </c>
      <c r="F156" s="386">
        <v>1376</v>
      </c>
      <c r="G156" s="12" t="s">
        <v>0</v>
      </c>
      <c r="H156" s="39"/>
      <c r="I156" s="360">
        <v>0</v>
      </c>
      <c r="J156" s="39">
        <f t="shared" si="41"/>
        <v>0</v>
      </c>
      <c r="K156" s="309">
        <f t="shared" si="49"/>
        <v>0.11</v>
      </c>
      <c r="L156" s="230"/>
      <c r="M156" s="42"/>
      <c r="N156" s="413"/>
      <c r="O156" s="39"/>
      <c r="P156" s="309">
        <f t="shared" si="48"/>
        <v>0</v>
      </c>
      <c r="Q156" s="51" t="str">
        <f t="shared" si="37"/>
        <v xml:space="preserve"> Большой Д7 со звездочкой (110.015)</v>
      </c>
      <c r="R156" s="377">
        <f t="shared" si="46"/>
        <v>0.16</v>
      </c>
      <c r="S156" s="379">
        <f>4.35*0.03</f>
        <v>0.13</v>
      </c>
      <c r="T156" s="353">
        <f t="shared" si="44"/>
        <v>0</v>
      </c>
      <c r="U156" s="20"/>
      <c r="V156" s="20">
        <f t="shared" si="45"/>
        <v>0</v>
      </c>
      <c r="W156" s="52">
        <f t="shared" si="47"/>
        <v>0</v>
      </c>
      <c r="X156" s="20"/>
      <c r="Y156" s="20"/>
      <c r="Z156" s="20"/>
      <c r="AA156" s="20"/>
      <c r="AB156" s="417"/>
      <c r="AC156" s="200"/>
      <c r="AD156" s="160"/>
      <c r="AE156" s="163"/>
      <c r="AF156" s="171"/>
      <c r="AG156" s="192"/>
      <c r="AH156" s="128"/>
      <c r="AI156" s="129"/>
      <c r="AJ156" s="182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</row>
    <row r="157" spans="1:74" s="4" customFormat="1" ht="26.25" hidden="1" customHeight="1" x14ac:dyDescent="0.25">
      <c r="A157" s="10"/>
      <c r="B157" s="11"/>
      <c r="C157" s="6" t="s">
        <v>18</v>
      </c>
      <c r="D157" s="23" t="s">
        <v>142</v>
      </c>
      <c r="E157" s="1" t="s">
        <v>572</v>
      </c>
      <c r="F157" s="386">
        <v>1314</v>
      </c>
      <c r="G157" s="12" t="s">
        <v>0</v>
      </c>
      <c r="H157" s="39"/>
      <c r="I157" s="360">
        <v>0</v>
      </c>
      <c r="J157" s="39">
        <f t="shared" si="41"/>
        <v>0</v>
      </c>
      <c r="K157" s="309">
        <f t="shared" si="49"/>
        <v>0.11</v>
      </c>
      <c r="L157" s="230"/>
      <c r="M157" s="42"/>
      <c r="N157" s="413"/>
      <c r="O157" s="39"/>
      <c r="P157" s="309">
        <f t="shared" si="48"/>
        <v>0</v>
      </c>
      <c r="Q157" s="51" t="str">
        <f t="shared" si="37"/>
        <v xml:space="preserve"> Малый Д5 со звездочкой (110.015)</v>
      </c>
      <c r="R157" s="377">
        <f t="shared" si="46"/>
        <v>0.16</v>
      </c>
      <c r="S157" s="379">
        <f>4.35*0.03</f>
        <v>0.13</v>
      </c>
      <c r="T157" s="353">
        <f t="shared" si="44"/>
        <v>0</v>
      </c>
      <c r="U157" s="20"/>
      <c r="V157" s="20">
        <f t="shared" si="45"/>
        <v>0</v>
      </c>
      <c r="W157" s="52">
        <f t="shared" si="47"/>
        <v>0</v>
      </c>
      <c r="X157" s="20"/>
      <c r="Y157" s="20"/>
      <c r="Z157" s="20"/>
      <c r="AA157" s="20"/>
      <c r="AB157" s="417"/>
      <c r="AC157" s="200"/>
      <c r="AD157" s="160"/>
      <c r="AE157" s="163"/>
      <c r="AF157" s="171"/>
      <c r="AG157" s="192"/>
      <c r="AH157" s="128"/>
      <c r="AI157" s="129"/>
      <c r="AJ157" s="182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</row>
    <row r="158" spans="1:74" s="4" customFormat="1" ht="26.25" hidden="1" customHeight="1" x14ac:dyDescent="0.25">
      <c r="A158" s="10"/>
      <c r="B158" s="11"/>
      <c r="C158" s="6" t="s">
        <v>18</v>
      </c>
      <c r="D158" s="23" t="s">
        <v>142</v>
      </c>
      <c r="E158" s="1" t="s">
        <v>617</v>
      </c>
      <c r="F158" s="386">
        <v>1313</v>
      </c>
      <c r="G158" s="12" t="s">
        <v>0</v>
      </c>
      <c r="H158" s="39"/>
      <c r="I158" s="360">
        <v>0</v>
      </c>
      <c r="J158" s="39">
        <f t="shared" si="41"/>
        <v>0</v>
      </c>
      <c r="K158" s="309">
        <f t="shared" si="49"/>
        <v>2.88</v>
      </c>
      <c r="L158" s="230"/>
      <c r="M158" s="42"/>
      <c r="N158" s="413"/>
      <c r="O158" s="39"/>
      <c r="P158" s="309">
        <f t="shared" si="48"/>
        <v>0</v>
      </c>
      <c r="Q158" s="51" t="str">
        <f t="shared" si="37"/>
        <v>6ти кольцевой</v>
      </c>
      <c r="R158" s="377">
        <f t="shared" si="46"/>
        <v>4.03</v>
      </c>
      <c r="S158" s="379">
        <f>111.87*0.03</f>
        <v>3.36</v>
      </c>
      <c r="T158" s="353">
        <f t="shared" si="44"/>
        <v>0</v>
      </c>
      <c r="U158" s="20"/>
      <c r="V158" s="20">
        <f t="shared" si="45"/>
        <v>0</v>
      </c>
      <c r="W158" s="52">
        <f t="shared" si="47"/>
        <v>0</v>
      </c>
      <c r="X158" s="20"/>
      <c r="Y158" s="20"/>
      <c r="Z158" s="20"/>
      <c r="AA158" s="20"/>
      <c r="AB158" s="417"/>
      <c r="AC158" s="200"/>
      <c r="AD158" s="160"/>
      <c r="AE158" s="163"/>
      <c r="AF158" s="171"/>
      <c r="AG158" s="192"/>
      <c r="AH158" s="128"/>
      <c r="AI158" s="129"/>
      <c r="AJ158" s="182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</row>
    <row r="159" spans="1:74" s="4" customFormat="1" ht="26.25" hidden="1" customHeight="1" x14ac:dyDescent="0.25">
      <c r="A159" s="10"/>
      <c r="B159" s="11"/>
      <c r="C159" s="6" t="s">
        <v>18</v>
      </c>
      <c r="D159" s="23" t="s">
        <v>142</v>
      </c>
      <c r="E159" s="1" t="s">
        <v>581</v>
      </c>
      <c r="F159" s="386">
        <v>1378</v>
      </c>
      <c r="G159" s="12" t="s">
        <v>0</v>
      </c>
      <c r="H159" s="39"/>
      <c r="I159" s="360">
        <v>0</v>
      </c>
      <c r="J159" s="39">
        <f t="shared" si="41"/>
        <v>0</v>
      </c>
      <c r="K159" s="309">
        <f t="shared" si="49"/>
        <v>0.09</v>
      </c>
      <c r="L159" s="230"/>
      <c r="M159" s="42"/>
      <c r="N159" s="413"/>
      <c r="O159" s="39"/>
      <c r="P159" s="309">
        <f t="shared" si="48"/>
        <v>0</v>
      </c>
      <c r="Q159" s="51" t="str">
        <f t="shared" si="37"/>
        <v xml:space="preserve"> Односторонний под наклейку  Д7</v>
      </c>
      <c r="R159" s="377">
        <f t="shared" si="46"/>
        <v>0.13</v>
      </c>
      <c r="S159" s="379">
        <f>3.73*0.03</f>
        <v>0.11</v>
      </c>
      <c r="T159" s="353">
        <f t="shared" si="44"/>
        <v>0</v>
      </c>
      <c r="U159" s="20"/>
      <c r="V159" s="20">
        <f t="shared" si="45"/>
        <v>0</v>
      </c>
      <c r="W159" s="52">
        <f t="shared" si="47"/>
        <v>0</v>
      </c>
      <c r="X159" s="20"/>
      <c r="Y159" s="20"/>
      <c r="Z159" s="20"/>
      <c r="AA159" s="20"/>
      <c r="AB159" s="417"/>
      <c r="AC159" s="200"/>
      <c r="AD159" s="160"/>
      <c r="AE159" s="163"/>
      <c r="AF159" s="171"/>
      <c r="AG159" s="192"/>
      <c r="AH159" s="128"/>
      <c r="AI159" s="129"/>
      <c r="AJ159" s="182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</row>
    <row r="160" spans="1:74" s="4" customFormat="1" ht="26.25" hidden="1" customHeight="1" x14ac:dyDescent="0.25">
      <c r="A160" s="10"/>
      <c r="B160" s="11"/>
      <c r="C160" s="6" t="s">
        <v>18</v>
      </c>
      <c r="D160" s="23" t="s">
        <v>142</v>
      </c>
      <c r="E160" s="1" t="s">
        <v>579</v>
      </c>
      <c r="F160" s="386">
        <v>1315</v>
      </c>
      <c r="G160" s="12" t="s">
        <v>0</v>
      </c>
      <c r="H160" s="39"/>
      <c r="I160" s="360">
        <v>0</v>
      </c>
      <c r="J160" s="39">
        <f t="shared" si="41"/>
        <v>0</v>
      </c>
      <c r="K160" s="309">
        <f t="shared" si="49"/>
        <v>0.09</v>
      </c>
      <c r="L160" s="230"/>
      <c r="M160" s="42"/>
      <c r="N160" s="413"/>
      <c r="O160" s="39"/>
      <c r="P160" s="309">
        <f t="shared" si="48"/>
        <v>0</v>
      </c>
      <c r="Q160" s="51" t="str">
        <f t="shared" si="37"/>
        <v xml:space="preserve"> Односторонний под наклейку  Д5</v>
      </c>
      <c r="R160" s="377">
        <f t="shared" si="46"/>
        <v>0.13</v>
      </c>
      <c r="S160" s="379">
        <f>3.73*0.03</f>
        <v>0.11</v>
      </c>
      <c r="T160" s="353">
        <f t="shared" si="44"/>
        <v>0</v>
      </c>
      <c r="U160" s="20"/>
      <c r="V160" s="20">
        <f t="shared" si="45"/>
        <v>0</v>
      </c>
      <c r="W160" s="52">
        <f t="shared" si="47"/>
        <v>0</v>
      </c>
      <c r="X160" s="20"/>
      <c r="Y160" s="20"/>
      <c r="Z160" s="20"/>
      <c r="AA160" s="20"/>
      <c r="AB160" s="417"/>
      <c r="AC160" s="200"/>
      <c r="AD160" s="160"/>
      <c r="AE160" s="163"/>
      <c r="AF160" s="171"/>
      <c r="AG160" s="192"/>
      <c r="AH160" s="128"/>
      <c r="AI160" s="129"/>
      <c r="AJ160" s="182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</row>
    <row r="161" spans="1:39" ht="26.25" hidden="1" customHeight="1" x14ac:dyDescent="0.25">
      <c r="B161" s="11"/>
      <c r="C161" s="6" t="s">
        <v>18</v>
      </c>
      <c r="D161" s="23" t="s">
        <v>142</v>
      </c>
      <c r="E161" s="1" t="s">
        <v>580</v>
      </c>
      <c r="F161" s="393" t="s">
        <v>624</v>
      </c>
      <c r="G161" s="346" t="s">
        <v>0</v>
      </c>
      <c r="H161" s="39"/>
      <c r="I161" s="360">
        <v>0</v>
      </c>
      <c r="J161" s="39">
        <f t="shared" si="41"/>
        <v>0</v>
      </c>
      <c r="K161" s="309">
        <f t="shared" si="49"/>
        <v>1.92</v>
      </c>
      <c r="L161" s="230">
        <f>K161*J458</f>
        <v>0</v>
      </c>
      <c r="M161" s="205"/>
      <c r="N161" s="140"/>
      <c r="O161" s="39"/>
      <c r="P161" s="309">
        <f t="shared" si="48"/>
        <v>0</v>
      </c>
      <c r="Q161" s="51" t="str">
        <f t="shared" si="37"/>
        <v>Крестообразный  магнит</v>
      </c>
      <c r="R161" s="377">
        <f t="shared" si="46"/>
        <v>2.69</v>
      </c>
      <c r="S161" s="379">
        <f>74.58*0.03</f>
        <v>2.2400000000000002</v>
      </c>
      <c r="T161" s="353">
        <f t="shared" si="44"/>
        <v>0</v>
      </c>
      <c r="U161" s="20"/>
      <c r="V161" s="20">
        <f t="shared" si="45"/>
        <v>0</v>
      </c>
      <c r="W161" s="52">
        <f t="shared" si="47"/>
        <v>0</v>
      </c>
      <c r="X161" s="20"/>
      <c r="Y161" s="20"/>
      <c r="Z161" s="20"/>
      <c r="AA161" s="20"/>
      <c r="AB161" s="417"/>
      <c r="AC161" s="200"/>
      <c r="AD161" s="160"/>
      <c r="AE161" s="163"/>
      <c r="AF161" s="171"/>
      <c r="AG161" s="192"/>
      <c r="AH161" s="128"/>
      <c r="AI161" s="129"/>
      <c r="AK161" s="10"/>
      <c r="AL161" s="10"/>
      <c r="AM161" s="10"/>
    </row>
    <row r="162" spans="1:39" s="4" customFormat="1" ht="26.25" hidden="1" customHeight="1" x14ac:dyDescent="0.25">
      <c r="A162" s="10"/>
      <c r="B162" s="11"/>
      <c r="C162" s="6" t="s">
        <v>18</v>
      </c>
      <c r="D162" s="23" t="s">
        <v>142</v>
      </c>
      <c r="E162" s="463" t="s">
        <v>666</v>
      </c>
      <c r="F162" s="387" t="s">
        <v>605</v>
      </c>
      <c r="G162" s="12" t="s">
        <v>0</v>
      </c>
      <c r="H162" s="39"/>
      <c r="I162" s="360">
        <v>0</v>
      </c>
      <c r="J162" s="39">
        <f t="shared" si="41"/>
        <v>0</v>
      </c>
      <c r="K162" s="309">
        <f t="shared" si="49"/>
        <v>0.22</v>
      </c>
      <c r="L162" s="230">
        <f>K162*J459</f>
        <v>0</v>
      </c>
      <c r="M162" s="195"/>
      <c r="N162" s="140"/>
      <c r="O162" s="503"/>
      <c r="P162" s="309">
        <f t="shared" si="48"/>
        <v>0</v>
      </c>
      <c r="Q162" s="235" t="str">
        <f t="shared" si="37"/>
        <v>ЭПГ110.014</v>
      </c>
      <c r="R162" s="377">
        <f t="shared" si="46"/>
        <v>0.31</v>
      </c>
      <c r="S162" s="379">
        <v>0.26</v>
      </c>
      <c r="T162" s="353">
        <f t="shared" si="44"/>
        <v>0</v>
      </c>
      <c r="U162" s="18">
        <v>0</v>
      </c>
      <c r="V162" s="20">
        <f t="shared" si="45"/>
        <v>0</v>
      </c>
      <c r="W162" s="52">
        <f t="shared" si="47"/>
        <v>0</v>
      </c>
      <c r="X162" s="18">
        <v>0</v>
      </c>
      <c r="Y162" s="18"/>
      <c r="Z162" s="18"/>
      <c r="AA162" s="18"/>
      <c r="AB162" s="418"/>
      <c r="AC162" s="200"/>
      <c r="AD162" s="160"/>
      <c r="AE162" s="163"/>
      <c r="AF162" s="171"/>
      <c r="AG162" s="192"/>
      <c r="AH162" s="128"/>
      <c r="AI162" s="129"/>
      <c r="AJ162" s="182"/>
    </row>
    <row r="163" spans="1:39" s="4" customFormat="1" ht="26.25" hidden="1" customHeight="1" x14ac:dyDescent="0.25">
      <c r="A163" s="10"/>
      <c r="B163" s="11"/>
      <c r="C163" s="6" t="s">
        <v>18</v>
      </c>
      <c r="D163" s="23" t="s">
        <v>142</v>
      </c>
      <c r="E163" s="463" t="s">
        <v>854</v>
      </c>
      <c r="F163" s="387" t="s">
        <v>54</v>
      </c>
      <c r="G163" s="12" t="s">
        <v>0</v>
      </c>
      <c r="H163" s="39"/>
      <c r="I163" s="360">
        <v>0</v>
      </c>
      <c r="J163" s="39">
        <f t="shared" si="41"/>
        <v>0</v>
      </c>
      <c r="K163" s="309">
        <f t="shared" si="49"/>
        <v>0.26</v>
      </c>
      <c r="L163" s="230">
        <f>K163*J460</f>
        <v>0</v>
      </c>
      <c r="M163" s="194"/>
      <c r="N163" s="140"/>
      <c r="O163" s="503"/>
      <c r="P163" s="309">
        <f t="shared" si="48"/>
        <v>0</v>
      </c>
      <c r="Q163" s="235" t="str">
        <f t="shared" si="37"/>
        <v>ЭПГ110.032</v>
      </c>
      <c r="R163" s="377">
        <f t="shared" si="46"/>
        <v>0.37</v>
      </c>
      <c r="S163" s="319">
        <v>0.31</v>
      </c>
      <c r="T163" s="353">
        <f t="shared" si="44"/>
        <v>0</v>
      </c>
      <c r="U163" s="18">
        <v>0</v>
      </c>
      <c r="V163" s="20">
        <f t="shared" si="45"/>
        <v>0</v>
      </c>
      <c r="W163" s="52">
        <f t="shared" si="47"/>
        <v>0</v>
      </c>
      <c r="X163" s="18">
        <v>0</v>
      </c>
      <c r="Y163" s="18"/>
      <c r="Z163" s="18"/>
      <c r="AA163" s="18"/>
      <c r="AB163" s="418"/>
      <c r="AC163" s="200"/>
      <c r="AD163" s="160"/>
      <c r="AE163" s="163"/>
      <c r="AF163" s="171"/>
      <c r="AG163" s="192"/>
      <c r="AH163" s="128"/>
      <c r="AI163" s="129"/>
      <c r="AJ163" s="182"/>
    </row>
    <row r="164" spans="1:39" ht="26.25" customHeight="1" x14ac:dyDescent="0.25">
      <c r="B164" s="14">
        <v>60</v>
      </c>
      <c r="C164" s="6" t="s">
        <v>129</v>
      </c>
      <c r="D164" s="23" t="s">
        <v>142</v>
      </c>
      <c r="E164" s="87" t="s">
        <v>671</v>
      </c>
      <c r="F164" s="386">
        <v>629</v>
      </c>
      <c r="G164" s="12" t="s">
        <v>0</v>
      </c>
      <c r="H164" s="39"/>
      <c r="I164" s="309">
        <v>0</v>
      </c>
      <c r="J164" s="39">
        <f t="shared" si="41"/>
        <v>500</v>
      </c>
      <c r="K164" s="309">
        <f t="shared" si="49"/>
        <v>1.59</v>
      </c>
      <c r="L164" s="230">
        <f>K164*J461</f>
        <v>0</v>
      </c>
      <c r="M164" s="457"/>
      <c r="N164" s="41">
        <v>500</v>
      </c>
      <c r="O164" s="503"/>
      <c r="P164" s="309">
        <f t="shared" si="48"/>
        <v>0</v>
      </c>
      <c r="Q164" s="235" t="str">
        <f t="shared" si="37"/>
        <v xml:space="preserve">8ПМ.610.033    МП-1  </v>
      </c>
      <c r="R164" s="377">
        <f t="shared" si="46"/>
        <v>2.2200000000000002</v>
      </c>
      <c r="S164" s="319">
        <v>1.85</v>
      </c>
      <c r="T164" s="353">
        <f t="shared" si="44"/>
        <v>925</v>
      </c>
      <c r="U164" s="20"/>
      <c r="V164" s="20">
        <f t="shared" si="45"/>
        <v>500</v>
      </c>
      <c r="W164" s="52">
        <f t="shared" si="47"/>
        <v>500</v>
      </c>
      <c r="X164" s="20"/>
      <c r="Y164" s="20"/>
      <c r="Z164" s="20"/>
      <c r="AA164" s="20"/>
      <c r="AB164" s="417"/>
      <c r="AC164" s="200"/>
      <c r="AD164" s="160"/>
      <c r="AE164" s="165"/>
      <c r="AF164" s="160"/>
      <c r="AG164" s="192"/>
      <c r="AH164" s="16"/>
      <c r="AI164" s="16"/>
      <c r="AJ164" s="185"/>
      <c r="AK164" s="435"/>
      <c r="AL164" s="832"/>
      <c r="AM164" s="832"/>
    </row>
    <row r="165" spans="1:39" ht="26.25" hidden="1" customHeight="1" x14ac:dyDescent="0.25">
      <c r="B165" s="11"/>
      <c r="C165" s="6" t="s">
        <v>19</v>
      </c>
      <c r="D165" s="23" t="s">
        <v>140</v>
      </c>
      <c r="E165" s="105" t="s">
        <v>160</v>
      </c>
      <c r="F165" s="391"/>
      <c r="G165" s="14" t="s">
        <v>36</v>
      </c>
      <c r="H165" s="39"/>
      <c r="I165" s="309">
        <v>0</v>
      </c>
      <c r="J165" s="39">
        <f t="shared" si="41"/>
        <v>0</v>
      </c>
      <c r="K165" s="309">
        <f t="shared" si="49"/>
        <v>0</v>
      </c>
      <c r="L165" s="230">
        <f>K165*J462</f>
        <v>0</v>
      </c>
      <c r="M165" s="42"/>
      <c r="N165" s="140"/>
      <c r="O165" s="39"/>
      <c r="P165" s="490">
        <f t="shared" si="48"/>
        <v>0</v>
      </c>
      <c r="Q165" s="51" t="str">
        <f t="shared" si="37"/>
        <v>к10</v>
      </c>
      <c r="R165" s="377">
        <f t="shared" si="46"/>
        <v>0</v>
      </c>
      <c r="S165" s="319">
        <v>0</v>
      </c>
      <c r="T165" s="353">
        <f t="shared" si="44"/>
        <v>0</v>
      </c>
      <c r="U165" s="18"/>
      <c r="V165" s="20">
        <f t="shared" si="45"/>
        <v>0</v>
      </c>
      <c r="W165" s="52">
        <f t="shared" si="47"/>
        <v>0</v>
      </c>
      <c r="X165" s="18"/>
      <c r="Y165" s="18"/>
      <c r="Z165" s="18">
        <v>1</v>
      </c>
      <c r="AA165" s="18"/>
      <c r="AB165" s="418"/>
      <c r="AC165" s="200"/>
      <c r="AD165" s="160"/>
      <c r="AE165" s="165"/>
      <c r="AF165" s="160"/>
      <c r="AG165" s="192"/>
      <c r="AH165" s="16"/>
      <c r="AI165" s="16"/>
      <c r="AJ165" s="185"/>
      <c r="AK165" s="125"/>
      <c r="AL165" s="10"/>
      <c r="AM165" s="10"/>
    </row>
    <row r="166" spans="1:39" ht="26.25" hidden="1" customHeight="1" x14ac:dyDescent="0.25">
      <c r="B166" s="11"/>
      <c r="C166" s="6" t="s">
        <v>19</v>
      </c>
      <c r="D166" s="23" t="s">
        <v>140</v>
      </c>
      <c r="E166" s="87" t="s">
        <v>815</v>
      </c>
      <c r="F166" s="391" t="s">
        <v>823</v>
      </c>
      <c r="G166" s="14"/>
      <c r="H166" s="39"/>
      <c r="I166" s="360"/>
      <c r="J166" s="39">
        <f t="shared" si="41"/>
        <v>0</v>
      </c>
      <c r="K166" s="309">
        <f t="shared" si="49"/>
        <v>1.63</v>
      </c>
      <c r="L166" s="230"/>
      <c r="M166" s="42"/>
      <c r="N166" s="140"/>
      <c r="O166" s="39"/>
      <c r="P166" s="490"/>
      <c r="Q166" s="51" t="str">
        <f t="shared" si="37"/>
        <v>23х6,4х12,5</v>
      </c>
      <c r="R166" s="377">
        <f t="shared" si="46"/>
        <v>2.2799999999999998</v>
      </c>
      <c r="S166" s="319">
        <v>1.9</v>
      </c>
      <c r="T166" s="353"/>
      <c r="U166" s="18"/>
      <c r="V166" s="20"/>
      <c r="W166" s="52"/>
      <c r="X166" s="18"/>
      <c r="Y166" s="18"/>
      <c r="Z166" s="18"/>
      <c r="AA166" s="18"/>
      <c r="AB166" s="418"/>
      <c r="AC166" s="200"/>
      <c r="AD166" s="160"/>
      <c r="AE166" s="165"/>
      <c r="AF166" s="160"/>
      <c r="AG166" s="192"/>
      <c r="AH166" s="16"/>
      <c r="AI166" s="30"/>
      <c r="AJ166" s="188"/>
      <c r="AK166" s="137"/>
      <c r="AL166" s="10"/>
      <c r="AM166" s="10"/>
    </row>
    <row r="167" spans="1:39" ht="26.25" hidden="1" customHeight="1" x14ac:dyDescent="0.25">
      <c r="B167" s="11"/>
      <c r="C167" s="6" t="s">
        <v>19</v>
      </c>
      <c r="D167" s="23" t="s">
        <v>140</v>
      </c>
      <c r="E167" s="459" t="s">
        <v>816</v>
      </c>
      <c r="F167" s="384">
        <v>1487</v>
      </c>
      <c r="G167" s="12" t="s">
        <v>0</v>
      </c>
      <c r="H167" s="39"/>
      <c r="I167" s="360">
        <v>0</v>
      </c>
      <c r="J167" s="39">
        <f t="shared" si="41"/>
        <v>0</v>
      </c>
      <c r="K167" s="309">
        <f t="shared" si="49"/>
        <v>1.61</v>
      </c>
      <c r="L167" s="230">
        <f t="shared" ref="L167:L185" si="50">K167*J463</f>
        <v>0</v>
      </c>
      <c r="M167" s="271"/>
      <c r="N167" s="140"/>
      <c r="O167" s="39"/>
      <c r="P167" s="309">
        <f t="shared" ref="P167:P179" si="51">K167*O167</f>
        <v>0</v>
      </c>
      <c r="Q167" s="51" t="str">
        <f t="shared" si="37"/>
        <v>К6х4х3</v>
      </c>
      <c r="R167" s="377">
        <f t="shared" si="46"/>
        <v>2.2599999999999998</v>
      </c>
      <c r="S167" s="319">
        <v>1.88</v>
      </c>
      <c r="T167" s="353">
        <f t="shared" ref="T167:T198" si="52">S167*J167</f>
        <v>0</v>
      </c>
      <c r="U167" s="18"/>
      <c r="V167" s="20">
        <f t="shared" ref="V167:V198" si="53">N167</f>
        <v>0</v>
      </c>
      <c r="W167" s="52">
        <f t="shared" ref="W167:W198" si="54">X167-U167+V167</f>
        <v>0</v>
      </c>
      <c r="X167" s="18"/>
      <c r="Y167" s="18"/>
      <c r="Z167" s="18"/>
      <c r="AA167" s="18"/>
      <c r="AB167" s="418"/>
      <c r="AC167" s="200"/>
      <c r="AD167" s="160"/>
      <c r="AE167" s="163"/>
      <c r="AF167" s="171"/>
      <c r="AG167" s="192"/>
      <c r="AH167" s="128"/>
      <c r="AI167" s="129"/>
      <c r="AK167" s="10"/>
      <c r="AL167" s="10"/>
      <c r="AM167" s="10"/>
    </row>
    <row r="168" spans="1:39" ht="26.25" hidden="1" customHeight="1" x14ac:dyDescent="0.25">
      <c r="B168" s="14"/>
      <c r="C168" s="6" t="s">
        <v>19</v>
      </c>
      <c r="D168" s="23" t="s">
        <v>140</v>
      </c>
      <c r="E168" s="104" t="s">
        <v>30</v>
      </c>
      <c r="F168" s="387" t="s">
        <v>224</v>
      </c>
      <c r="G168" s="14" t="s">
        <v>0</v>
      </c>
      <c r="H168" s="39"/>
      <c r="I168" s="309">
        <v>0</v>
      </c>
      <c r="J168" s="39">
        <f t="shared" si="41"/>
        <v>0</v>
      </c>
      <c r="K168" s="309">
        <f t="shared" si="49"/>
        <v>0.01</v>
      </c>
      <c r="L168" s="230">
        <f t="shared" si="50"/>
        <v>0</v>
      </c>
      <c r="M168" s="42"/>
      <c r="N168" s="140"/>
      <c r="O168" s="39"/>
      <c r="P168" s="309">
        <f t="shared" si="51"/>
        <v>0</v>
      </c>
      <c r="Q168" s="51" t="str">
        <f t="shared" si="37"/>
        <v xml:space="preserve"> СпГ210-004 Пг 2,8х2,3х3,5</v>
      </c>
      <c r="R168" s="377">
        <f t="shared" si="46"/>
        <v>0.02</v>
      </c>
      <c r="S168" s="319">
        <v>0.02</v>
      </c>
      <c r="T168" s="353">
        <f t="shared" si="52"/>
        <v>0</v>
      </c>
      <c r="U168" s="18">
        <v>14345</v>
      </c>
      <c r="V168" s="20">
        <f t="shared" si="53"/>
        <v>0</v>
      </c>
      <c r="W168" s="52">
        <f t="shared" si="54"/>
        <v>0</v>
      </c>
      <c r="X168" s="18">
        <v>14345</v>
      </c>
      <c r="Y168" s="18"/>
      <c r="Z168" s="18"/>
      <c r="AA168" s="18"/>
      <c r="AB168" s="418"/>
      <c r="AC168" s="200"/>
      <c r="AD168" s="160"/>
      <c r="AE168" s="165"/>
      <c r="AF168" s="160"/>
      <c r="AG168" s="192"/>
      <c r="AH168" s="16"/>
      <c r="AI168" s="16"/>
      <c r="AJ168" s="185"/>
      <c r="AK168" s="435"/>
      <c r="AL168" s="476"/>
      <c r="AM168" s="10"/>
    </row>
    <row r="169" spans="1:39" ht="26.25" hidden="1" customHeight="1" x14ac:dyDescent="0.25">
      <c r="B169" s="14"/>
      <c r="C169" s="6" t="s">
        <v>19</v>
      </c>
      <c r="D169" s="23" t="s">
        <v>140</v>
      </c>
      <c r="E169" s="104" t="s">
        <v>555</v>
      </c>
      <c r="F169" s="386">
        <v>1347</v>
      </c>
      <c r="G169" s="48" t="s">
        <v>0</v>
      </c>
      <c r="H169" s="39"/>
      <c r="I169" s="360">
        <v>0</v>
      </c>
      <c r="J169" s="39">
        <f t="shared" si="41"/>
        <v>0</v>
      </c>
      <c r="K169" s="309">
        <f t="shared" si="49"/>
        <v>0.34</v>
      </c>
      <c r="L169" s="230">
        <f t="shared" si="50"/>
        <v>0</v>
      </c>
      <c r="M169" s="89"/>
      <c r="N169" s="140"/>
      <c r="O169" s="39"/>
      <c r="P169" s="497">
        <f t="shared" si="51"/>
        <v>0</v>
      </c>
      <c r="Q169" s="51" t="str">
        <f t="shared" si="37"/>
        <v>C4х32</v>
      </c>
      <c r="R169" s="377">
        <f t="shared" si="46"/>
        <v>0.48</v>
      </c>
      <c r="S169" s="330">
        <v>0.4</v>
      </c>
      <c r="T169" s="353">
        <f t="shared" si="52"/>
        <v>0</v>
      </c>
      <c r="U169" s="20"/>
      <c r="V169" s="20">
        <f t="shared" si="53"/>
        <v>0</v>
      </c>
      <c r="W169" s="52">
        <f t="shared" si="54"/>
        <v>0</v>
      </c>
      <c r="X169" s="20"/>
      <c r="Y169" s="20"/>
      <c r="Z169" s="20"/>
      <c r="AA169" s="20"/>
      <c r="AB169" s="417"/>
      <c r="AC169" s="200"/>
      <c r="AD169" s="160"/>
      <c r="AE169" s="165"/>
      <c r="AF169" s="160"/>
      <c r="AG169" s="192"/>
      <c r="AH169" s="128"/>
      <c r="AI169" s="129"/>
      <c r="AK169" s="10"/>
      <c r="AL169" s="10"/>
      <c r="AM169" s="10"/>
    </row>
    <row r="170" spans="1:39" ht="26.25" hidden="1" customHeight="1" x14ac:dyDescent="0.25">
      <c r="B170" s="19"/>
      <c r="C170" s="6" t="s">
        <v>19</v>
      </c>
      <c r="D170" s="23" t="s">
        <v>140</v>
      </c>
      <c r="E170" s="104" t="s">
        <v>23</v>
      </c>
      <c r="F170" s="208" t="s">
        <v>56</v>
      </c>
      <c r="G170" s="12" t="s">
        <v>0</v>
      </c>
      <c r="H170" s="39"/>
      <c r="I170" s="360">
        <v>0</v>
      </c>
      <c r="J170" s="39">
        <f t="shared" si="41"/>
        <v>0</v>
      </c>
      <c r="K170" s="309">
        <f t="shared" si="49"/>
        <v>0.04</v>
      </c>
      <c r="L170" s="230">
        <f t="shared" si="50"/>
        <v>0</v>
      </c>
      <c r="M170" s="196"/>
      <c r="N170" s="140"/>
      <c r="O170" s="503"/>
      <c r="P170" s="309">
        <f t="shared" si="51"/>
        <v>0</v>
      </c>
      <c r="Q170" s="235" t="str">
        <f t="shared" si="37"/>
        <v xml:space="preserve"> СГ 210-001 Г5,5х3х7,4</v>
      </c>
      <c r="R170" s="306">
        <f t="shared" si="46"/>
        <v>0.06</v>
      </c>
      <c r="S170" s="339">
        <v>0.05</v>
      </c>
      <c r="T170" s="353">
        <f t="shared" si="52"/>
        <v>0</v>
      </c>
      <c r="U170" s="20"/>
      <c r="V170" s="20">
        <f t="shared" si="53"/>
        <v>0</v>
      </c>
      <c r="W170" s="52">
        <f t="shared" si="54"/>
        <v>0</v>
      </c>
      <c r="X170" s="20"/>
      <c r="Y170" s="20"/>
      <c r="Z170" s="70"/>
      <c r="AA170" s="70"/>
      <c r="AB170" s="421"/>
      <c r="AC170" s="200"/>
      <c r="AD170" s="160"/>
      <c r="AE170" s="163"/>
      <c r="AF170" s="171"/>
      <c r="AG170" s="192"/>
      <c r="AH170" s="128"/>
      <c r="AI170" s="129"/>
      <c r="AK170" s="10"/>
      <c r="AL170" s="476"/>
      <c r="AM170" s="10"/>
    </row>
    <row r="171" spans="1:39" ht="26.25" hidden="1" customHeight="1" x14ac:dyDescent="0.25">
      <c r="B171" s="19"/>
      <c r="C171" s="6" t="s">
        <v>19</v>
      </c>
      <c r="D171" s="23" t="s">
        <v>140</v>
      </c>
      <c r="E171" s="107" t="s">
        <v>93</v>
      </c>
      <c r="F171" s="385" t="s">
        <v>306</v>
      </c>
      <c r="G171" s="48" t="s">
        <v>0</v>
      </c>
      <c r="H171" s="39"/>
      <c r="I171" s="309">
        <v>0</v>
      </c>
      <c r="J171" s="39">
        <f t="shared" si="41"/>
        <v>0</v>
      </c>
      <c r="K171" s="309">
        <f t="shared" si="49"/>
        <v>0.01</v>
      </c>
      <c r="L171" s="230">
        <f t="shared" si="50"/>
        <v>0</v>
      </c>
      <c r="M171" s="89"/>
      <c r="N171" s="140"/>
      <c r="O171" s="39"/>
      <c r="P171" s="490">
        <f t="shared" si="51"/>
        <v>0</v>
      </c>
      <c r="Q171" s="51" t="str">
        <f t="shared" si="37"/>
        <v>серд СТ210-005(Т3,5х1,2х10)</v>
      </c>
      <c r="R171" s="377">
        <f t="shared" si="46"/>
        <v>0.02</v>
      </c>
      <c r="S171" s="319">
        <v>0.02</v>
      </c>
      <c r="T171" s="353">
        <f t="shared" si="52"/>
        <v>0</v>
      </c>
      <c r="U171" s="18">
        <v>9950</v>
      </c>
      <c r="V171" s="20">
        <f t="shared" si="53"/>
        <v>0</v>
      </c>
      <c r="W171" s="52">
        <f t="shared" si="54"/>
        <v>0</v>
      </c>
      <c r="X171" s="18">
        <v>9950</v>
      </c>
      <c r="Y171" s="18"/>
      <c r="Z171" s="18"/>
      <c r="AA171" s="18"/>
      <c r="AB171" s="418"/>
      <c r="AC171" s="200"/>
      <c r="AD171" s="160"/>
      <c r="AE171" s="165"/>
      <c r="AF171" s="160"/>
      <c r="AG171" s="192"/>
      <c r="AH171" s="16"/>
      <c r="AI171" s="16"/>
      <c r="AJ171" s="185"/>
      <c r="AK171" s="435"/>
      <c r="AL171" s="476"/>
      <c r="AM171" s="10"/>
    </row>
    <row r="172" spans="1:39" ht="26.25" hidden="1" customHeight="1" x14ac:dyDescent="0.25">
      <c r="B172" s="14"/>
      <c r="C172" s="6" t="s">
        <v>19</v>
      </c>
      <c r="D172" s="23" t="s">
        <v>140</v>
      </c>
      <c r="E172" s="107" t="s">
        <v>721</v>
      </c>
      <c r="F172" s="208">
        <v>393</v>
      </c>
      <c r="G172" s="13" t="s">
        <v>0</v>
      </c>
      <c r="H172" s="39"/>
      <c r="I172" s="309">
        <v>0</v>
      </c>
      <c r="J172" s="39">
        <f t="shared" si="41"/>
        <v>0</v>
      </c>
      <c r="K172" s="309">
        <f t="shared" si="49"/>
        <v>3</v>
      </c>
      <c r="L172" s="230">
        <f t="shared" si="50"/>
        <v>0</v>
      </c>
      <c r="M172" s="92"/>
      <c r="N172" s="140"/>
      <c r="O172" s="39"/>
      <c r="P172" s="309">
        <f t="shared" si="51"/>
        <v>0</v>
      </c>
      <c r="Q172" s="51" t="str">
        <f t="shared" si="37"/>
        <v>ИБЯД.04.00.001</v>
      </c>
      <c r="R172" s="377">
        <f t="shared" si="46"/>
        <v>4.2</v>
      </c>
      <c r="S172" s="319">
        <v>3.5</v>
      </c>
      <c r="T172" s="353">
        <f t="shared" si="52"/>
        <v>0</v>
      </c>
      <c r="U172" s="18">
        <v>0</v>
      </c>
      <c r="V172" s="20">
        <f t="shared" si="53"/>
        <v>0</v>
      </c>
      <c r="W172" s="52">
        <f t="shared" si="54"/>
        <v>0</v>
      </c>
      <c r="X172" s="18">
        <v>0</v>
      </c>
      <c r="Y172" s="18"/>
      <c r="Z172" s="18"/>
      <c r="AA172" s="18"/>
      <c r="AB172" s="418"/>
      <c r="AC172" s="200"/>
      <c r="AD172" s="160"/>
      <c r="AE172" s="163"/>
      <c r="AF172" s="171"/>
      <c r="AG172" s="192"/>
      <c r="AH172" s="128"/>
      <c r="AI172" s="129"/>
      <c r="AK172" s="10"/>
      <c r="AL172" s="10"/>
      <c r="AM172" s="10"/>
    </row>
    <row r="173" spans="1:39" ht="26.25" hidden="1" customHeight="1" x14ac:dyDescent="0.25">
      <c r="B173" s="11"/>
      <c r="C173" s="6" t="s">
        <v>19</v>
      </c>
      <c r="D173" s="23" t="s">
        <v>140</v>
      </c>
      <c r="E173" s="107" t="s">
        <v>238</v>
      </c>
      <c r="F173" s="390">
        <v>1089</v>
      </c>
      <c r="G173" s="14" t="s">
        <v>0</v>
      </c>
      <c r="H173" s="39"/>
      <c r="I173" s="309">
        <v>0</v>
      </c>
      <c r="J173" s="39">
        <f t="shared" si="41"/>
        <v>0</v>
      </c>
      <c r="K173" s="309">
        <f t="shared" si="49"/>
        <v>0.04</v>
      </c>
      <c r="L173" s="230">
        <f t="shared" si="50"/>
        <v>0</v>
      </c>
      <c r="M173" s="42"/>
      <c r="N173" s="140"/>
      <c r="O173" s="39"/>
      <c r="P173" s="309">
        <f t="shared" si="51"/>
        <v>0</v>
      </c>
      <c r="Q173" s="51" t="str">
        <f t="shared" si="37"/>
        <v>Ч14</v>
      </c>
      <c r="R173" s="377">
        <f t="shared" si="46"/>
        <v>0.05</v>
      </c>
      <c r="S173" s="319">
        <v>0.04</v>
      </c>
      <c r="T173" s="353">
        <f t="shared" si="52"/>
        <v>0</v>
      </c>
      <c r="U173" s="18">
        <v>150000</v>
      </c>
      <c r="V173" s="20">
        <f t="shared" si="53"/>
        <v>0</v>
      </c>
      <c r="W173" s="52">
        <f t="shared" si="54"/>
        <v>0</v>
      </c>
      <c r="X173" s="18">
        <v>150000</v>
      </c>
      <c r="Y173" s="18"/>
      <c r="Z173" s="18">
        <v>1</v>
      </c>
      <c r="AA173" s="18"/>
      <c r="AB173" s="418"/>
      <c r="AC173" s="200"/>
      <c r="AD173" s="160"/>
      <c r="AE173" s="163"/>
      <c r="AF173" s="171"/>
      <c r="AG173" s="192"/>
      <c r="AH173" s="16"/>
      <c r="AI173" s="16"/>
      <c r="AJ173" s="185"/>
      <c r="AK173" s="437"/>
      <c r="AL173" s="477"/>
      <c r="AM173" s="10"/>
    </row>
    <row r="174" spans="1:39" ht="26.25" hidden="1" customHeight="1" x14ac:dyDescent="0.25">
      <c r="B174" s="14"/>
      <c r="C174" s="6" t="s">
        <v>19</v>
      </c>
      <c r="D174" s="23" t="s">
        <v>140</v>
      </c>
      <c r="E174" s="104" t="s">
        <v>131</v>
      </c>
      <c r="F174" s="386">
        <v>72</v>
      </c>
      <c r="G174" s="14" t="s">
        <v>0</v>
      </c>
      <c r="H174" s="39">
        <v>0</v>
      </c>
      <c r="I174" s="309">
        <v>0</v>
      </c>
      <c r="J174" s="39">
        <f t="shared" si="41"/>
        <v>0</v>
      </c>
      <c r="K174" s="309">
        <f t="shared" si="49"/>
        <v>1.06</v>
      </c>
      <c r="L174" s="230">
        <f t="shared" si="50"/>
        <v>0</v>
      </c>
      <c r="M174" s="88"/>
      <c r="N174" s="140"/>
      <c r="O174" s="39">
        <v>0</v>
      </c>
      <c r="P174" s="497">
        <f t="shared" si="51"/>
        <v>0</v>
      </c>
      <c r="Q174" s="51" t="str">
        <f t="shared" si="37"/>
        <v>ПП30*15*10</v>
      </c>
      <c r="R174" s="377">
        <f t="shared" si="46"/>
        <v>1.49</v>
      </c>
      <c r="S174" s="319">
        <v>1.24</v>
      </c>
      <c r="T174" s="353">
        <f t="shared" si="52"/>
        <v>0</v>
      </c>
      <c r="U174" s="18">
        <v>0</v>
      </c>
      <c r="V174" s="20">
        <f t="shared" si="53"/>
        <v>0</v>
      </c>
      <c r="W174" s="52">
        <f t="shared" si="54"/>
        <v>0</v>
      </c>
      <c r="X174" s="18">
        <v>0</v>
      </c>
      <c r="Y174" s="18"/>
      <c r="Z174" s="18"/>
      <c r="AA174" s="18"/>
      <c r="AB174" s="418"/>
      <c r="AC174" s="200"/>
      <c r="AD174" s="160"/>
      <c r="AE174" s="163"/>
      <c r="AF174" s="171"/>
      <c r="AG174" s="192"/>
      <c r="AH174" s="128"/>
      <c r="AI174" s="129"/>
      <c r="AK174" s="10"/>
      <c r="AL174" s="10"/>
      <c r="AM174" s="10"/>
    </row>
    <row r="175" spans="1:39" ht="26.25" customHeight="1" x14ac:dyDescent="0.25">
      <c r="B175" s="11">
        <v>61</v>
      </c>
      <c r="C175" s="6" t="s">
        <v>19</v>
      </c>
      <c r="D175" s="23" t="s">
        <v>140</v>
      </c>
      <c r="E175" s="104" t="s">
        <v>545</v>
      </c>
      <c r="F175" s="383">
        <v>1340</v>
      </c>
      <c r="G175" s="12" t="s">
        <v>0</v>
      </c>
      <c r="H175" s="39">
        <v>4800</v>
      </c>
      <c r="I175" s="360">
        <v>2832</v>
      </c>
      <c r="J175" s="39">
        <f t="shared" si="41"/>
        <v>0</v>
      </c>
      <c r="K175" s="309">
        <f t="shared" si="49"/>
        <v>0.59</v>
      </c>
      <c r="L175" s="230">
        <f t="shared" si="50"/>
        <v>0</v>
      </c>
      <c r="M175" s="291"/>
      <c r="N175" s="41"/>
      <c r="O175" s="503">
        <v>4800</v>
      </c>
      <c r="P175" s="309">
        <f t="shared" si="51"/>
        <v>2832</v>
      </c>
      <c r="Q175" s="235" t="str">
        <f t="shared" si="37"/>
        <v>К38х24х7</v>
      </c>
      <c r="R175" s="377">
        <f t="shared" si="46"/>
        <v>0.83</v>
      </c>
      <c r="S175" s="322">
        <f>20.21*0.034</f>
        <v>0.69</v>
      </c>
      <c r="T175" s="353">
        <f t="shared" si="52"/>
        <v>0</v>
      </c>
      <c r="U175" s="20">
        <v>7500</v>
      </c>
      <c r="V175" s="20">
        <f t="shared" si="53"/>
        <v>0</v>
      </c>
      <c r="W175" s="52">
        <f t="shared" si="54"/>
        <v>2580</v>
      </c>
      <c r="X175" s="20">
        <f>300*33+180</f>
        <v>10080</v>
      </c>
      <c r="Y175" s="20"/>
      <c r="Z175" s="20"/>
      <c r="AA175" s="20"/>
      <c r="AB175" s="417"/>
      <c r="AC175" s="200"/>
      <c r="AD175" s="160"/>
      <c r="AE175" s="163"/>
      <c r="AF175" s="171"/>
      <c r="AG175" s="192"/>
      <c r="AH175" s="128"/>
      <c r="AI175" s="129"/>
      <c r="AK175" s="10"/>
      <c r="AL175" s="476"/>
      <c r="AM175" s="10"/>
    </row>
    <row r="176" spans="1:39" ht="26.25" customHeight="1" x14ac:dyDescent="0.25">
      <c r="B176" s="11">
        <v>62</v>
      </c>
      <c r="C176" s="6" t="s">
        <v>19</v>
      </c>
      <c r="D176" s="23" t="s">
        <v>147</v>
      </c>
      <c r="E176" s="104" t="s">
        <v>546</v>
      </c>
      <c r="F176" s="383">
        <v>1348</v>
      </c>
      <c r="G176" s="12" t="s">
        <v>0</v>
      </c>
      <c r="H176" s="39">
        <v>4800</v>
      </c>
      <c r="I176" s="360">
        <v>1872</v>
      </c>
      <c r="J176" s="39">
        <f t="shared" si="41"/>
        <v>0</v>
      </c>
      <c r="K176" s="309">
        <f t="shared" si="49"/>
        <v>0.39</v>
      </c>
      <c r="L176" s="230">
        <f t="shared" si="50"/>
        <v>0</v>
      </c>
      <c r="M176" s="60"/>
      <c r="N176" s="41"/>
      <c r="O176" s="503">
        <v>4800</v>
      </c>
      <c r="P176" s="309">
        <f t="shared" si="51"/>
        <v>1872</v>
      </c>
      <c r="Q176" s="235" t="str">
        <f t="shared" si="37"/>
        <v>К23х10х7</v>
      </c>
      <c r="R176" s="377">
        <f t="shared" ref="R176:R207" si="55">S176*1.2</f>
        <v>0.54</v>
      </c>
      <c r="S176" s="338">
        <f>13.17*0.034</f>
        <v>0.45</v>
      </c>
      <c r="T176" s="353">
        <f t="shared" si="52"/>
        <v>0</v>
      </c>
      <c r="U176" s="18">
        <v>5600</v>
      </c>
      <c r="V176" s="20">
        <f t="shared" si="53"/>
        <v>0</v>
      </c>
      <c r="W176" s="52">
        <f t="shared" si="54"/>
        <v>3050</v>
      </c>
      <c r="X176" s="18">
        <v>8650</v>
      </c>
      <c r="Y176" s="18"/>
      <c r="Z176" s="18"/>
      <c r="AA176" s="18"/>
      <c r="AB176" s="418"/>
      <c r="AC176" s="200"/>
      <c r="AD176" s="160"/>
      <c r="AE176" s="163"/>
      <c r="AF176" s="171"/>
      <c r="AG176" s="192"/>
      <c r="AH176" s="128"/>
      <c r="AI176" s="129"/>
      <c r="AK176" s="10"/>
      <c r="AL176" s="476"/>
      <c r="AM176" s="10"/>
    </row>
    <row r="177" spans="1:74" ht="26.25" hidden="1" customHeight="1" x14ac:dyDescent="0.25">
      <c r="B177" s="11"/>
      <c r="C177" s="6" t="s">
        <v>19</v>
      </c>
      <c r="D177" s="23" t="s">
        <v>140</v>
      </c>
      <c r="E177" s="104" t="s">
        <v>80</v>
      </c>
      <c r="F177" s="388">
        <v>92</v>
      </c>
      <c r="G177" s="12" t="s">
        <v>0</v>
      </c>
      <c r="H177" s="39"/>
      <c r="I177" s="309">
        <v>0</v>
      </c>
      <c r="J177" s="39">
        <f t="shared" si="41"/>
        <v>0</v>
      </c>
      <c r="K177" s="309">
        <f t="shared" si="49"/>
        <v>1.2</v>
      </c>
      <c r="L177" s="230">
        <f t="shared" si="50"/>
        <v>0</v>
      </c>
      <c r="M177" s="93"/>
      <c r="N177" s="140"/>
      <c r="O177" s="39"/>
      <c r="P177" s="490">
        <f t="shared" si="51"/>
        <v>0</v>
      </c>
      <c r="Q177" s="51" t="str">
        <f t="shared" si="37"/>
        <v>СП210-028</v>
      </c>
      <c r="R177" s="377">
        <f t="shared" si="55"/>
        <v>1.68</v>
      </c>
      <c r="S177" s="319">
        <v>1.4</v>
      </c>
      <c r="T177" s="353">
        <f t="shared" si="52"/>
        <v>0</v>
      </c>
      <c r="U177" s="18">
        <v>60</v>
      </c>
      <c r="V177" s="20">
        <f t="shared" si="53"/>
        <v>0</v>
      </c>
      <c r="W177" s="52">
        <f t="shared" si="54"/>
        <v>0</v>
      </c>
      <c r="X177" s="18">
        <v>60</v>
      </c>
      <c r="Y177" s="18"/>
      <c r="Z177" s="18"/>
      <c r="AA177" s="18"/>
      <c r="AB177" s="418"/>
      <c r="AC177" s="200"/>
      <c r="AD177" s="160"/>
      <c r="AE177" s="165"/>
      <c r="AF177" s="160"/>
      <c r="AG177" s="192"/>
      <c r="AH177" s="16"/>
      <c r="AI177" s="16"/>
      <c r="AJ177" s="185"/>
      <c r="AK177" s="435"/>
      <c r="AL177" s="476"/>
      <c r="AM177" s="10"/>
    </row>
    <row r="178" spans="1:74" ht="26.25" hidden="1" customHeight="1" x14ac:dyDescent="0.25">
      <c r="B178" s="19"/>
      <c r="C178" s="6" t="s">
        <v>19</v>
      </c>
      <c r="D178" s="23" t="s">
        <v>140</v>
      </c>
      <c r="E178" s="87" t="s">
        <v>696</v>
      </c>
      <c r="F178" s="387" t="s">
        <v>699</v>
      </c>
      <c r="G178" s="12" t="s">
        <v>0</v>
      </c>
      <c r="H178" s="39"/>
      <c r="I178" s="309">
        <v>0</v>
      </c>
      <c r="J178" s="39">
        <f t="shared" si="41"/>
        <v>0</v>
      </c>
      <c r="K178" s="309">
        <f t="shared" si="49"/>
        <v>0.25</v>
      </c>
      <c r="L178" s="230">
        <f t="shared" si="50"/>
        <v>0</v>
      </c>
      <c r="M178" s="204"/>
      <c r="N178" s="140"/>
      <c r="O178" s="39"/>
      <c r="P178" s="309">
        <f t="shared" si="51"/>
        <v>0</v>
      </c>
      <c r="Q178" s="51" t="str">
        <f t="shared" si="37"/>
        <v>С8х30</v>
      </c>
      <c r="R178" s="377">
        <f t="shared" si="55"/>
        <v>0.35</v>
      </c>
      <c r="S178" s="339">
        <v>0.28999999999999998</v>
      </c>
      <c r="T178" s="353">
        <f t="shared" si="52"/>
        <v>0</v>
      </c>
      <c r="U178" s="18"/>
      <c r="V178" s="20">
        <f t="shared" si="53"/>
        <v>0</v>
      </c>
      <c r="W178" s="52">
        <f t="shared" si="54"/>
        <v>0</v>
      </c>
      <c r="X178" s="18"/>
      <c r="Y178" s="18"/>
      <c r="Z178" s="18"/>
      <c r="AA178" s="18"/>
      <c r="AB178" s="418"/>
      <c r="AC178" s="200"/>
      <c r="AD178" s="160"/>
      <c r="AE178" s="165"/>
      <c r="AF178" s="160"/>
      <c r="AG178" s="192"/>
      <c r="AH178" s="128"/>
      <c r="AI178" s="129"/>
      <c r="AK178" s="10"/>
      <c r="AL178" s="10"/>
      <c r="AM178" s="10"/>
    </row>
    <row r="179" spans="1:74" ht="26.25" customHeight="1" x14ac:dyDescent="0.25">
      <c r="B179" s="11">
        <v>63</v>
      </c>
      <c r="C179" s="6" t="s">
        <v>19</v>
      </c>
      <c r="D179" s="23" t="s">
        <v>140</v>
      </c>
      <c r="E179" s="104" t="s">
        <v>75</v>
      </c>
      <c r="F179" s="208">
        <v>437</v>
      </c>
      <c r="G179" s="12" t="s">
        <v>0</v>
      </c>
      <c r="H179" s="39">
        <v>1400</v>
      </c>
      <c r="I179" s="360">
        <v>546</v>
      </c>
      <c r="J179" s="39">
        <f t="shared" si="41"/>
        <v>0</v>
      </c>
      <c r="K179" s="309">
        <f t="shared" si="49"/>
        <v>0.39</v>
      </c>
      <c r="L179" s="230">
        <f t="shared" si="50"/>
        <v>0</v>
      </c>
      <c r="M179" s="196"/>
      <c r="N179" s="41"/>
      <c r="O179" s="503">
        <v>1400</v>
      </c>
      <c r="P179" s="309">
        <f t="shared" si="51"/>
        <v>546</v>
      </c>
      <c r="Q179" s="235" t="str">
        <f t="shared" si="37"/>
        <v>С10х40</v>
      </c>
      <c r="R179" s="377">
        <f t="shared" si="55"/>
        <v>0.54</v>
      </c>
      <c r="S179" s="319">
        <v>0.45</v>
      </c>
      <c r="T179" s="353">
        <f t="shared" si="52"/>
        <v>0</v>
      </c>
      <c r="U179" s="20">
        <v>500</v>
      </c>
      <c r="V179" s="20">
        <f t="shared" si="53"/>
        <v>0</v>
      </c>
      <c r="W179" s="52">
        <f t="shared" si="54"/>
        <v>0</v>
      </c>
      <c r="X179" s="20">
        <v>500</v>
      </c>
      <c r="Y179" s="20"/>
      <c r="Z179" s="20"/>
      <c r="AA179" s="20"/>
      <c r="AB179" s="417"/>
      <c r="AC179" s="200"/>
      <c r="AD179" s="160"/>
      <c r="AE179" s="163"/>
      <c r="AF179" s="171"/>
      <c r="AG179" s="192"/>
      <c r="AH179" s="16"/>
      <c r="AI179" s="16"/>
      <c r="AJ179" s="185"/>
      <c r="AK179" s="435"/>
      <c r="AL179" s="476"/>
      <c r="AM179" s="10"/>
    </row>
    <row r="180" spans="1:74" ht="26.25" customHeight="1" x14ac:dyDescent="0.25">
      <c r="B180" s="11">
        <v>64</v>
      </c>
      <c r="C180" s="6" t="s">
        <v>19</v>
      </c>
      <c r="D180" s="23" t="s">
        <v>140</v>
      </c>
      <c r="E180" s="104" t="s">
        <v>78</v>
      </c>
      <c r="F180" s="208">
        <v>391</v>
      </c>
      <c r="G180" s="12" t="s">
        <v>0</v>
      </c>
      <c r="H180" s="39">
        <v>1800</v>
      </c>
      <c r="I180" s="360">
        <v>21.24</v>
      </c>
      <c r="J180" s="39">
        <f t="shared" si="41"/>
        <v>0</v>
      </c>
      <c r="K180" s="309">
        <v>0.01</v>
      </c>
      <c r="L180" s="230">
        <f t="shared" si="50"/>
        <v>0</v>
      </c>
      <c r="M180" s="42"/>
      <c r="N180" s="41"/>
      <c r="O180" s="503">
        <v>1800</v>
      </c>
      <c r="P180" s="309">
        <f>I180</f>
        <v>21.24</v>
      </c>
      <c r="Q180" s="235" t="str">
        <f t="shared" si="37"/>
        <v>С10х26</v>
      </c>
      <c r="R180" s="377">
        <f t="shared" si="55"/>
        <v>0.36</v>
      </c>
      <c r="S180" s="320">
        <v>0.3</v>
      </c>
      <c r="T180" s="353">
        <f t="shared" si="52"/>
        <v>0</v>
      </c>
      <c r="U180" s="20">
        <v>1800</v>
      </c>
      <c r="V180" s="20">
        <f t="shared" si="53"/>
        <v>0</v>
      </c>
      <c r="W180" s="52">
        <f t="shared" si="54"/>
        <v>0</v>
      </c>
      <c r="X180" s="20">
        <v>1800</v>
      </c>
      <c r="Y180" s="20"/>
      <c r="Z180" s="20"/>
      <c r="AA180" s="20"/>
      <c r="AB180" s="417"/>
      <c r="AC180" s="200"/>
      <c r="AD180" s="160"/>
      <c r="AE180" s="163"/>
      <c r="AF180" s="171"/>
      <c r="AG180" s="192"/>
      <c r="AH180" s="16"/>
      <c r="AI180" s="16"/>
      <c r="AJ180" s="185"/>
      <c r="AK180" s="435"/>
      <c r="AL180" s="476"/>
      <c r="AM180" s="10"/>
    </row>
    <row r="181" spans="1:74" ht="26.25" hidden="1" customHeight="1" x14ac:dyDescent="0.25">
      <c r="B181" s="11"/>
      <c r="C181" s="6" t="s">
        <v>19</v>
      </c>
      <c r="D181" s="23" t="s">
        <v>147</v>
      </c>
      <c r="E181" s="104" t="s">
        <v>209</v>
      </c>
      <c r="F181" s="386">
        <v>373</v>
      </c>
      <c r="G181" s="48" t="s">
        <v>0</v>
      </c>
      <c r="H181" s="39"/>
      <c r="I181" s="360">
        <v>0</v>
      </c>
      <c r="J181" s="39">
        <f t="shared" si="41"/>
        <v>0</v>
      </c>
      <c r="K181" s="309">
        <f>R181/1.4</f>
        <v>4.37</v>
      </c>
      <c r="L181" s="230">
        <f t="shared" si="50"/>
        <v>0</v>
      </c>
      <c r="M181" s="363" t="s">
        <v>679</v>
      </c>
      <c r="N181" s="140"/>
      <c r="O181" s="503"/>
      <c r="P181" s="309">
        <f t="shared" ref="P181:P189" si="56">K181*O181</f>
        <v>0</v>
      </c>
      <c r="Q181" s="235" t="str">
        <f t="shared" si="37"/>
        <v>С8х160 М400НН</v>
      </c>
      <c r="R181" s="377">
        <f t="shared" si="55"/>
        <v>6.12</v>
      </c>
      <c r="S181" s="326">
        <v>5.0999999999999996</v>
      </c>
      <c r="T181" s="353">
        <f t="shared" si="52"/>
        <v>0</v>
      </c>
      <c r="U181" s="18">
        <v>222</v>
      </c>
      <c r="V181" s="20">
        <f t="shared" si="53"/>
        <v>0</v>
      </c>
      <c r="W181" s="52">
        <f t="shared" si="54"/>
        <v>0</v>
      </c>
      <c r="X181" s="147">
        <f>15*14+12</f>
        <v>222</v>
      </c>
      <c r="Y181" s="18"/>
      <c r="Z181" s="18"/>
      <c r="AA181" s="18"/>
      <c r="AB181" s="418"/>
      <c r="AC181" s="200"/>
      <c r="AD181" s="160"/>
      <c r="AE181" s="163"/>
      <c r="AF181" s="171"/>
      <c r="AG181" s="192"/>
      <c r="AH181" s="16"/>
      <c r="AI181" s="16"/>
      <c r="AJ181" s="185"/>
      <c r="AK181" s="435"/>
      <c r="AL181" s="476"/>
      <c r="AM181" s="10"/>
    </row>
    <row r="182" spans="1:74" s="22" customFormat="1" ht="26.25" hidden="1" customHeight="1" x14ac:dyDescent="0.25">
      <c r="A182" s="10"/>
      <c r="B182" s="11"/>
      <c r="C182" s="6" t="s">
        <v>19</v>
      </c>
      <c r="D182" s="23" t="s">
        <v>147</v>
      </c>
      <c r="E182" s="104" t="s">
        <v>146</v>
      </c>
      <c r="F182" s="385" t="s">
        <v>244</v>
      </c>
      <c r="G182" s="14" t="s">
        <v>0</v>
      </c>
      <c r="H182" s="39">
        <v>0</v>
      </c>
      <c r="I182" s="309">
        <v>0</v>
      </c>
      <c r="J182" s="39">
        <f t="shared" si="41"/>
        <v>0</v>
      </c>
      <c r="K182" s="309">
        <f>R182/1.4</f>
        <v>5.57</v>
      </c>
      <c r="L182" s="230">
        <f t="shared" si="50"/>
        <v>0</v>
      </c>
      <c r="M182" s="249" t="s">
        <v>678</v>
      </c>
      <c r="N182" s="140"/>
      <c r="O182" s="503">
        <v>0</v>
      </c>
      <c r="P182" s="309">
        <f t="shared" si="56"/>
        <v>0</v>
      </c>
      <c r="Q182" s="235" t="str">
        <f t="shared" ref="Q182:Q245" si="57">E182</f>
        <v>С10х200 М400НН</v>
      </c>
      <c r="R182" s="377">
        <f t="shared" si="55"/>
        <v>7.8</v>
      </c>
      <c r="S182" s="319">
        <v>6.5</v>
      </c>
      <c r="T182" s="353">
        <f t="shared" si="52"/>
        <v>0</v>
      </c>
      <c r="U182" s="18">
        <v>55</v>
      </c>
      <c r="V182" s="20">
        <f t="shared" si="53"/>
        <v>0</v>
      </c>
      <c r="W182" s="52">
        <f t="shared" si="54"/>
        <v>0</v>
      </c>
      <c r="X182" s="147">
        <v>55</v>
      </c>
      <c r="Y182" s="18"/>
      <c r="Z182" s="102">
        <v>1</v>
      </c>
      <c r="AA182" s="18"/>
      <c r="AB182" s="420"/>
      <c r="AC182" s="200"/>
      <c r="AD182" s="160"/>
      <c r="AE182" s="163"/>
      <c r="AF182" s="171"/>
      <c r="AG182" s="192"/>
      <c r="AH182" s="16"/>
      <c r="AI182" s="16"/>
      <c r="AJ182" s="185"/>
      <c r="AK182" s="125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</row>
    <row r="183" spans="1:74" ht="26.25" hidden="1" customHeight="1" x14ac:dyDescent="0.25">
      <c r="B183" s="14"/>
      <c r="C183" s="6" t="s">
        <v>19</v>
      </c>
      <c r="D183" s="23" t="s">
        <v>15</v>
      </c>
      <c r="E183" s="107" t="s">
        <v>154</v>
      </c>
      <c r="F183" s="390">
        <v>589</v>
      </c>
      <c r="G183" s="13" t="s">
        <v>0</v>
      </c>
      <c r="H183" s="39">
        <v>0</v>
      </c>
      <c r="I183" s="309">
        <v>0</v>
      </c>
      <c r="J183" s="39">
        <f t="shared" si="41"/>
        <v>0</v>
      </c>
      <c r="K183" s="309">
        <f>R183/1.4</f>
        <v>0.43</v>
      </c>
      <c r="L183" s="230">
        <f t="shared" si="50"/>
        <v>0</v>
      </c>
      <c r="M183" s="90"/>
      <c r="N183" s="140"/>
      <c r="O183" s="39">
        <v>0</v>
      </c>
      <c r="P183" s="490">
        <f t="shared" si="56"/>
        <v>0</v>
      </c>
      <c r="Q183" s="51" t="str">
        <f t="shared" si="57"/>
        <v>С6х30</v>
      </c>
      <c r="R183" s="377">
        <f t="shared" si="55"/>
        <v>0.6</v>
      </c>
      <c r="S183" s="319">
        <v>0.5</v>
      </c>
      <c r="T183" s="353">
        <f t="shared" si="52"/>
        <v>0</v>
      </c>
      <c r="U183" s="18">
        <v>0</v>
      </c>
      <c r="V183" s="20">
        <f t="shared" si="53"/>
        <v>0</v>
      </c>
      <c r="W183" s="52">
        <f t="shared" si="54"/>
        <v>0</v>
      </c>
      <c r="X183" s="18">
        <v>0</v>
      </c>
      <c r="Y183" s="18"/>
      <c r="Z183" s="102">
        <v>1</v>
      </c>
      <c r="AA183" s="18"/>
      <c r="AB183" s="420"/>
      <c r="AC183" s="200"/>
      <c r="AD183" s="160"/>
      <c r="AE183" s="163"/>
      <c r="AF183" s="171"/>
      <c r="AG183" s="192"/>
      <c r="AH183" s="128"/>
      <c r="AI183" s="129"/>
      <c r="AK183" s="10"/>
      <c r="AL183" s="10"/>
      <c r="AM183" s="10"/>
    </row>
    <row r="184" spans="1:74" s="21" customFormat="1" ht="26.25" hidden="1" customHeight="1" x14ac:dyDescent="0.25">
      <c r="B184" s="15"/>
      <c r="C184" s="6" t="s">
        <v>19</v>
      </c>
      <c r="D184" s="23" t="s">
        <v>15</v>
      </c>
      <c r="E184" s="104" t="s">
        <v>208</v>
      </c>
      <c r="F184" s="386">
        <v>944</v>
      </c>
      <c r="G184" s="19" t="s">
        <v>0</v>
      </c>
      <c r="H184" s="39"/>
      <c r="I184" s="309">
        <v>0</v>
      </c>
      <c r="J184" s="39">
        <f t="shared" si="41"/>
        <v>0</v>
      </c>
      <c r="K184" s="309">
        <f>R184/1.4</f>
        <v>0.27</v>
      </c>
      <c r="L184" s="230">
        <f t="shared" si="50"/>
        <v>0</v>
      </c>
      <c r="M184" s="116" t="s">
        <v>212</v>
      </c>
      <c r="N184" s="140"/>
      <c r="O184" s="39"/>
      <c r="P184" s="309">
        <f t="shared" si="56"/>
        <v>0</v>
      </c>
      <c r="Q184" s="51" t="str">
        <f t="shared" si="57"/>
        <v>ПС6х25</v>
      </c>
      <c r="R184" s="377">
        <f t="shared" si="55"/>
        <v>0.38</v>
      </c>
      <c r="S184" s="320">
        <v>0.32</v>
      </c>
      <c r="T184" s="353">
        <f t="shared" si="52"/>
        <v>0</v>
      </c>
      <c r="U184" s="18">
        <v>0</v>
      </c>
      <c r="V184" s="20">
        <f t="shared" si="53"/>
        <v>0</v>
      </c>
      <c r="W184" s="52">
        <f t="shared" si="54"/>
        <v>0</v>
      </c>
      <c r="X184" s="18">
        <v>0</v>
      </c>
      <c r="Y184" s="18"/>
      <c r="Z184" s="18"/>
      <c r="AA184" s="18"/>
      <c r="AB184" s="418"/>
      <c r="AC184" s="200"/>
      <c r="AD184" s="160"/>
      <c r="AE184" s="163"/>
      <c r="AF184" s="171"/>
      <c r="AG184" s="192"/>
      <c r="AH184" s="131"/>
      <c r="AI184" s="132"/>
      <c r="AJ184" s="182"/>
    </row>
    <row r="185" spans="1:74" ht="26.25" hidden="1" customHeight="1" x14ac:dyDescent="0.25">
      <c r="B185" s="11"/>
      <c r="C185" s="6" t="s">
        <v>19</v>
      </c>
      <c r="D185" s="23" t="s">
        <v>15</v>
      </c>
      <c r="E185" s="104" t="s">
        <v>284</v>
      </c>
      <c r="F185" s="209"/>
      <c r="G185" s="48" t="s">
        <v>0</v>
      </c>
      <c r="H185" s="39"/>
      <c r="I185" s="309">
        <v>0</v>
      </c>
      <c r="J185" s="39">
        <f t="shared" si="41"/>
        <v>0</v>
      </c>
      <c r="K185" s="309">
        <f>R185/1.4</f>
        <v>0</v>
      </c>
      <c r="L185" s="230">
        <f t="shared" si="50"/>
        <v>0</v>
      </c>
      <c r="M185" s="99" t="s">
        <v>263</v>
      </c>
      <c r="N185" s="140"/>
      <c r="O185" s="39"/>
      <c r="P185" s="309">
        <f t="shared" si="56"/>
        <v>0</v>
      </c>
      <c r="Q185" s="51" t="str">
        <f t="shared" si="57"/>
        <v>С10х100</v>
      </c>
      <c r="R185" s="377">
        <f t="shared" si="55"/>
        <v>0</v>
      </c>
      <c r="S185" s="319">
        <v>0</v>
      </c>
      <c r="T185" s="353">
        <f t="shared" si="52"/>
        <v>0</v>
      </c>
      <c r="U185" s="20"/>
      <c r="V185" s="20">
        <f t="shared" si="53"/>
        <v>0</v>
      </c>
      <c r="W185" s="52">
        <f t="shared" si="54"/>
        <v>0</v>
      </c>
      <c r="X185" s="20"/>
      <c r="Y185" s="20"/>
      <c r="Z185" s="20"/>
      <c r="AA185" s="20"/>
      <c r="AB185" s="417"/>
      <c r="AC185" s="200"/>
      <c r="AD185" s="160"/>
      <c r="AE185" s="163"/>
      <c r="AF185" s="171"/>
      <c r="AG185" s="192"/>
      <c r="AH185" s="128"/>
      <c r="AI185" s="129"/>
      <c r="AK185" s="10"/>
      <c r="AL185" s="10"/>
      <c r="AM185" s="10"/>
    </row>
    <row r="186" spans="1:74" ht="26.25" hidden="1" customHeight="1" x14ac:dyDescent="0.25">
      <c r="B186" s="11"/>
      <c r="C186" s="6" t="s">
        <v>19</v>
      </c>
      <c r="D186" s="23" t="s">
        <v>15</v>
      </c>
      <c r="E186" s="104"/>
      <c r="F186" s="209"/>
      <c r="G186" s="48"/>
      <c r="H186" s="39"/>
      <c r="I186" s="309">
        <v>0</v>
      </c>
      <c r="J186" s="39">
        <f t="shared" si="41"/>
        <v>0</v>
      </c>
      <c r="K186" s="309"/>
      <c r="L186" s="230"/>
      <c r="M186" s="99"/>
      <c r="N186" s="140"/>
      <c r="O186" s="39"/>
      <c r="P186" s="309">
        <f t="shared" si="56"/>
        <v>0</v>
      </c>
      <c r="Q186" s="51">
        <f t="shared" si="57"/>
        <v>0</v>
      </c>
      <c r="R186" s="377">
        <f t="shared" si="55"/>
        <v>0</v>
      </c>
      <c r="S186" s="339">
        <v>0</v>
      </c>
      <c r="T186" s="353">
        <f t="shared" si="52"/>
        <v>0</v>
      </c>
      <c r="U186" s="20"/>
      <c r="V186" s="20">
        <f t="shared" si="53"/>
        <v>0</v>
      </c>
      <c r="W186" s="52">
        <f t="shared" si="54"/>
        <v>0</v>
      </c>
      <c r="X186" s="20"/>
      <c r="Y186" s="20"/>
      <c r="Z186" s="20"/>
      <c r="AA186" s="20"/>
      <c r="AB186" s="417"/>
      <c r="AC186" s="200"/>
      <c r="AD186" s="160"/>
      <c r="AE186" s="163"/>
      <c r="AF186" s="171"/>
      <c r="AG186" s="192"/>
      <c r="AH186" s="128"/>
      <c r="AI186" s="129"/>
      <c r="AK186" s="10"/>
      <c r="AL186" s="10"/>
      <c r="AM186" s="10"/>
    </row>
    <row r="187" spans="1:74" ht="26.25" hidden="1" customHeight="1" x14ac:dyDescent="0.25">
      <c r="B187" s="11"/>
      <c r="C187" s="6" t="s">
        <v>19</v>
      </c>
      <c r="D187" s="23" t="s">
        <v>15</v>
      </c>
      <c r="E187" s="1" t="s">
        <v>329</v>
      </c>
      <c r="F187" s="209"/>
      <c r="G187" s="48"/>
      <c r="H187" s="39"/>
      <c r="I187" s="309">
        <v>0</v>
      </c>
      <c r="J187" s="39">
        <f t="shared" si="41"/>
        <v>0</v>
      </c>
      <c r="K187" s="309">
        <f>R187/1.4</f>
        <v>0.09</v>
      </c>
      <c r="L187" s="230"/>
      <c r="M187" s="99" t="s">
        <v>332</v>
      </c>
      <c r="N187" s="140"/>
      <c r="O187" s="39"/>
      <c r="P187" s="309">
        <f t="shared" si="56"/>
        <v>0</v>
      </c>
      <c r="Q187" s="51" t="str">
        <f t="shared" si="57"/>
        <v>К7х4х2</v>
      </c>
      <c r="R187" s="377">
        <f t="shared" si="55"/>
        <v>0.12</v>
      </c>
      <c r="S187" s="319">
        <v>0.1</v>
      </c>
      <c r="T187" s="353">
        <f t="shared" si="52"/>
        <v>0</v>
      </c>
      <c r="U187" s="20"/>
      <c r="V187" s="20">
        <f t="shared" si="53"/>
        <v>0</v>
      </c>
      <c r="W187" s="52">
        <f t="shared" si="54"/>
        <v>0</v>
      </c>
      <c r="X187" s="20"/>
      <c r="Y187" s="20"/>
      <c r="Z187" s="20"/>
      <c r="AA187" s="20"/>
      <c r="AB187" s="417"/>
      <c r="AC187" s="200"/>
      <c r="AD187" s="160"/>
      <c r="AE187" s="163"/>
      <c r="AF187" s="171"/>
      <c r="AG187" s="192"/>
      <c r="AH187" s="128"/>
      <c r="AI187" s="129"/>
      <c r="AK187" s="10"/>
      <c r="AL187" s="10"/>
      <c r="AM187" s="10"/>
    </row>
    <row r="188" spans="1:74" ht="26.25" hidden="1" customHeight="1" x14ac:dyDescent="0.25">
      <c r="B188" s="11"/>
      <c r="C188" s="6" t="s">
        <v>19</v>
      </c>
      <c r="D188" s="23" t="s">
        <v>15</v>
      </c>
      <c r="E188" s="1" t="s">
        <v>366</v>
      </c>
      <c r="F188" s="209">
        <v>1142</v>
      </c>
      <c r="G188" s="48"/>
      <c r="H188" s="39"/>
      <c r="I188" s="309">
        <v>0</v>
      </c>
      <c r="J188" s="39">
        <f t="shared" si="41"/>
        <v>0</v>
      </c>
      <c r="K188" s="309">
        <f>R188/1.4</f>
        <v>0.11</v>
      </c>
      <c r="L188" s="230"/>
      <c r="M188" s="99" t="s">
        <v>371</v>
      </c>
      <c r="N188" s="140"/>
      <c r="O188" s="39"/>
      <c r="P188" s="309">
        <f t="shared" si="56"/>
        <v>0</v>
      </c>
      <c r="Q188" s="51" t="str">
        <f t="shared" si="57"/>
        <v>К17х8,2х5</v>
      </c>
      <c r="R188" s="377">
        <f t="shared" si="55"/>
        <v>0.16</v>
      </c>
      <c r="S188" s="319">
        <v>0.13</v>
      </c>
      <c r="T188" s="353">
        <f t="shared" si="52"/>
        <v>0</v>
      </c>
      <c r="U188" s="20"/>
      <c r="V188" s="20">
        <f t="shared" si="53"/>
        <v>0</v>
      </c>
      <c r="W188" s="52">
        <f t="shared" si="54"/>
        <v>0</v>
      </c>
      <c r="X188" s="20"/>
      <c r="Y188" s="20"/>
      <c r="Z188" s="20"/>
      <c r="AA188" s="20"/>
      <c r="AB188" s="417"/>
      <c r="AC188" s="200"/>
      <c r="AD188" s="160"/>
      <c r="AE188" s="163"/>
      <c r="AF188" s="171"/>
      <c r="AG188" s="192"/>
      <c r="AH188" s="128"/>
      <c r="AI188" s="129"/>
      <c r="AK188" s="10"/>
      <c r="AL188" s="10"/>
      <c r="AM188" s="10"/>
    </row>
    <row r="189" spans="1:74" s="4" customFormat="1" ht="26.25" hidden="1" customHeight="1" x14ac:dyDescent="0.25">
      <c r="A189" s="10"/>
      <c r="B189" s="14"/>
      <c r="C189" s="6" t="s">
        <v>19</v>
      </c>
      <c r="D189" s="23" t="s">
        <v>15</v>
      </c>
      <c r="E189" s="107" t="s">
        <v>172</v>
      </c>
      <c r="F189" s="210">
        <v>1204</v>
      </c>
      <c r="G189" s="48" t="s">
        <v>0</v>
      </c>
      <c r="H189" s="39"/>
      <c r="I189" s="360">
        <v>0</v>
      </c>
      <c r="J189" s="39">
        <f t="shared" si="41"/>
        <v>0</v>
      </c>
      <c r="K189" s="309">
        <f>R189/1.4</f>
        <v>1.37</v>
      </c>
      <c r="L189" s="230">
        <f>K189*J485</f>
        <v>0</v>
      </c>
      <c r="M189" s="367"/>
      <c r="N189" s="140"/>
      <c r="O189" s="39"/>
      <c r="P189" s="309">
        <f t="shared" si="56"/>
        <v>0</v>
      </c>
      <c r="Q189" s="51" t="str">
        <f t="shared" si="57"/>
        <v>К10х6х3</v>
      </c>
      <c r="R189" s="377">
        <f t="shared" si="55"/>
        <v>1.92</v>
      </c>
      <c r="S189" s="322">
        <v>1.6</v>
      </c>
      <c r="T189" s="353">
        <f t="shared" si="52"/>
        <v>0</v>
      </c>
      <c r="U189" s="18">
        <v>0</v>
      </c>
      <c r="V189" s="20">
        <f t="shared" si="53"/>
        <v>0</v>
      </c>
      <c r="W189" s="52">
        <f t="shared" si="54"/>
        <v>0</v>
      </c>
      <c r="X189" s="18">
        <v>0</v>
      </c>
      <c r="Y189" s="18"/>
      <c r="Z189" s="18"/>
      <c r="AA189" s="18"/>
      <c r="AB189" s="418"/>
      <c r="AC189" s="200"/>
      <c r="AD189" s="160"/>
      <c r="AE189" s="163"/>
      <c r="AF189" s="171"/>
      <c r="AG189" s="192"/>
      <c r="AH189" s="128"/>
      <c r="AI189" s="129"/>
      <c r="AJ189" s="182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1:74" ht="26.25" customHeight="1" x14ac:dyDescent="0.25">
      <c r="B190" s="11">
        <v>65</v>
      </c>
      <c r="C190" s="6" t="s">
        <v>19</v>
      </c>
      <c r="D190" s="23" t="s">
        <v>15</v>
      </c>
      <c r="E190" s="104" t="s">
        <v>21</v>
      </c>
      <c r="F190" s="383" t="s">
        <v>127</v>
      </c>
      <c r="G190" s="12" t="s">
        <v>0</v>
      </c>
      <c r="H190" s="39">
        <v>2261</v>
      </c>
      <c r="I190" s="360">
        <v>158.27000000000001</v>
      </c>
      <c r="J190" s="39">
        <f t="shared" si="41"/>
        <v>0</v>
      </c>
      <c r="K190" s="309">
        <f>R190/1.4</f>
        <v>0.64</v>
      </c>
      <c r="L190" s="230">
        <f>K190*J486</f>
        <v>0</v>
      </c>
      <c r="M190" s="363"/>
      <c r="N190" s="41">
        <v>500</v>
      </c>
      <c r="O190" s="503">
        <f>3000-239-500-500</f>
        <v>1761</v>
      </c>
      <c r="P190" s="309">
        <f>K190*O190</f>
        <v>1127.04</v>
      </c>
      <c r="Q190" s="235" t="str">
        <f t="shared" si="57"/>
        <v>К10х6х4,5</v>
      </c>
      <c r="R190" s="377">
        <f t="shared" si="55"/>
        <v>0.9</v>
      </c>
      <c r="S190" s="319">
        <v>0.75</v>
      </c>
      <c r="T190" s="353">
        <f t="shared" si="52"/>
        <v>0</v>
      </c>
      <c r="U190" s="20">
        <v>10000</v>
      </c>
      <c r="V190" s="20">
        <f t="shared" si="53"/>
        <v>500</v>
      </c>
      <c r="W190" s="52">
        <f t="shared" si="54"/>
        <v>500</v>
      </c>
      <c r="X190" s="20">
        <v>10000</v>
      </c>
      <c r="Y190" s="20"/>
      <c r="Z190" s="20"/>
      <c r="AA190" s="20"/>
      <c r="AB190" s="417"/>
      <c r="AC190" s="200"/>
      <c r="AD190" s="160">
        <v>1.6E-2</v>
      </c>
      <c r="AE190" s="163"/>
      <c r="AF190" s="171"/>
      <c r="AG190" s="192"/>
      <c r="AH190" s="16"/>
      <c r="AI190" s="16"/>
      <c r="AJ190" s="185"/>
      <c r="AK190" s="435"/>
      <c r="AL190" s="476"/>
      <c r="AM190" s="10"/>
    </row>
    <row r="191" spans="1:74" ht="26.25" customHeight="1" x14ac:dyDescent="0.25">
      <c r="B191" s="11">
        <v>66</v>
      </c>
      <c r="C191" s="6" t="s">
        <v>19</v>
      </c>
      <c r="D191" s="23" t="s">
        <v>15</v>
      </c>
      <c r="E191" s="104" t="s">
        <v>111</v>
      </c>
      <c r="F191" s="208" t="s">
        <v>81</v>
      </c>
      <c r="G191" s="12" t="s">
        <v>0</v>
      </c>
      <c r="H191" s="39">
        <v>5000</v>
      </c>
      <c r="I191" s="360">
        <v>1285.5</v>
      </c>
      <c r="J191" s="39">
        <f t="shared" si="41"/>
        <v>0</v>
      </c>
      <c r="K191" s="309">
        <v>0.26</v>
      </c>
      <c r="L191" s="230">
        <f>K191*J487</f>
        <v>0</v>
      </c>
      <c r="M191" s="94"/>
      <c r="N191" s="41"/>
      <c r="O191" s="503">
        <v>5000</v>
      </c>
      <c r="P191" s="309">
        <f>I191</f>
        <v>1285.5</v>
      </c>
      <c r="Q191" s="235" t="str">
        <f t="shared" si="57"/>
        <v>К10х6х4,5 с п/п</v>
      </c>
      <c r="R191" s="377">
        <f t="shared" si="55"/>
        <v>0.36</v>
      </c>
      <c r="S191" s="320">
        <v>0.3</v>
      </c>
      <c r="T191" s="353">
        <f t="shared" si="52"/>
        <v>0</v>
      </c>
      <c r="U191" s="20"/>
      <c r="V191" s="20">
        <f t="shared" si="53"/>
        <v>0</v>
      </c>
      <c r="W191" s="52">
        <f t="shared" si="54"/>
        <v>0</v>
      </c>
      <c r="X191" s="20"/>
      <c r="Y191" s="20"/>
      <c r="Z191" s="199">
        <v>1</v>
      </c>
      <c r="AA191" s="20"/>
      <c r="AB191" s="419"/>
      <c r="AC191" s="200"/>
      <c r="AD191" s="160">
        <v>1.6E-2</v>
      </c>
      <c r="AE191" s="163"/>
      <c r="AF191" s="171"/>
      <c r="AG191" s="192"/>
      <c r="AH191" s="16"/>
      <c r="AI191" s="16"/>
      <c r="AJ191" s="185">
        <f t="shared" ref="AJ191:AJ222" si="58">X191*AD191</f>
        <v>0</v>
      </c>
      <c r="AK191" s="125"/>
      <c r="AL191" s="10"/>
      <c r="AM191" s="10"/>
    </row>
    <row r="192" spans="1:74" ht="26.25" customHeight="1" x14ac:dyDescent="0.25">
      <c r="B192" s="11">
        <v>67</v>
      </c>
      <c r="C192" s="6" t="s">
        <v>19</v>
      </c>
      <c r="D192" s="23" t="s">
        <v>15</v>
      </c>
      <c r="E192" s="104" t="s">
        <v>550</v>
      </c>
      <c r="F192" s="208">
        <v>374</v>
      </c>
      <c r="G192" s="12" t="s">
        <v>0</v>
      </c>
      <c r="H192" s="39">
        <v>53545</v>
      </c>
      <c r="I192" s="360">
        <v>11244.45</v>
      </c>
      <c r="J192" s="39">
        <f t="shared" si="41"/>
        <v>0</v>
      </c>
      <c r="K192" s="309">
        <f>R192/1.4</f>
        <v>0.21</v>
      </c>
      <c r="L192" s="230">
        <f>K192*J488</f>
        <v>0</v>
      </c>
      <c r="M192" s="363"/>
      <c r="N192" s="41"/>
      <c r="O192" s="503">
        <f>55280-700-515-520</f>
        <v>53545</v>
      </c>
      <c r="P192" s="309">
        <f t="shared" ref="P192:P202" si="59">K192*O192</f>
        <v>11244.45</v>
      </c>
      <c r="Q192" s="235" t="str">
        <f t="shared" si="57"/>
        <v>К16х10х4,5</v>
      </c>
      <c r="R192" s="377">
        <f t="shared" si="55"/>
        <v>0.3</v>
      </c>
      <c r="S192" s="319">
        <v>0.25</v>
      </c>
      <c r="T192" s="353">
        <f t="shared" si="52"/>
        <v>0</v>
      </c>
      <c r="U192" s="20">
        <v>160165</v>
      </c>
      <c r="V192" s="20">
        <f t="shared" si="53"/>
        <v>0</v>
      </c>
      <c r="W192" s="52">
        <f t="shared" si="54"/>
        <v>0</v>
      </c>
      <c r="X192" s="20">
        <f>161200-515-520</f>
        <v>160165</v>
      </c>
      <c r="Y192" s="20"/>
      <c r="Z192" s="20"/>
      <c r="AA192" s="20"/>
      <c r="AB192" s="417"/>
      <c r="AC192" s="200"/>
      <c r="AD192" s="160">
        <v>3.9E-2</v>
      </c>
      <c r="AE192" s="163"/>
      <c r="AF192" s="171"/>
      <c r="AG192" s="192"/>
      <c r="AH192" s="16"/>
      <c r="AI192" s="16"/>
      <c r="AJ192" s="185">
        <f t="shared" si="58"/>
        <v>6246.4</v>
      </c>
      <c r="AK192" s="435"/>
      <c r="AL192" s="476"/>
      <c r="AM192" s="10"/>
    </row>
    <row r="193" spans="2:39" ht="26.25" hidden="1" customHeight="1" x14ac:dyDescent="0.25">
      <c r="B193" s="14"/>
      <c r="C193" s="6" t="s">
        <v>19</v>
      </c>
      <c r="D193" s="23" t="s">
        <v>193</v>
      </c>
      <c r="E193" s="104" t="s">
        <v>197</v>
      </c>
      <c r="F193" s="386">
        <v>1071</v>
      </c>
      <c r="G193" s="14" t="s">
        <v>0</v>
      </c>
      <c r="H193" s="39"/>
      <c r="I193" s="309">
        <v>0</v>
      </c>
      <c r="J193" s="39">
        <f t="shared" si="41"/>
        <v>0</v>
      </c>
      <c r="K193" s="309">
        <f>R193/1.4</f>
        <v>0.26</v>
      </c>
      <c r="L193" s="230"/>
      <c r="M193" s="82" t="s">
        <v>276</v>
      </c>
      <c r="N193" s="140"/>
      <c r="O193" s="39"/>
      <c r="P193" s="490">
        <f t="shared" si="59"/>
        <v>0</v>
      </c>
      <c r="Q193" s="51" t="str">
        <f t="shared" si="57"/>
        <v>К16 х  10  х 4,5 c  п/п</v>
      </c>
      <c r="R193" s="377">
        <f t="shared" si="55"/>
        <v>0.36</v>
      </c>
      <c r="S193" s="322">
        <v>0.3</v>
      </c>
      <c r="T193" s="353">
        <f t="shared" si="52"/>
        <v>0</v>
      </c>
      <c r="U193" s="18">
        <v>16500</v>
      </c>
      <c r="V193" s="20">
        <f t="shared" si="53"/>
        <v>0</v>
      </c>
      <c r="W193" s="52">
        <f t="shared" si="54"/>
        <v>0</v>
      </c>
      <c r="X193" s="147">
        <f>11*1500</f>
        <v>16500</v>
      </c>
      <c r="Y193" s="18"/>
      <c r="Z193" s="18"/>
      <c r="AA193" s="18"/>
      <c r="AB193" s="418"/>
      <c r="AC193" s="200"/>
      <c r="AD193" s="160">
        <v>3.9E-2</v>
      </c>
      <c r="AE193" s="165"/>
      <c r="AF193" s="160"/>
      <c r="AG193" s="192"/>
      <c r="AH193" s="16"/>
      <c r="AI193" s="16"/>
      <c r="AJ193" s="185">
        <f t="shared" si="58"/>
        <v>643.5</v>
      </c>
      <c r="AK193" s="435"/>
      <c r="AL193" s="476"/>
      <c r="AM193" s="10"/>
    </row>
    <row r="194" spans="2:39" s="21" customFormat="1" ht="26.25" customHeight="1" x14ac:dyDescent="0.25">
      <c r="B194" s="11">
        <v>68</v>
      </c>
      <c r="C194" s="6" t="s">
        <v>19</v>
      </c>
      <c r="D194" s="23" t="s">
        <v>15</v>
      </c>
      <c r="E194" s="104" t="s">
        <v>33</v>
      </c>
      <c r="F194" s="208" t="s">
        <v>62</v>
      </c>
      <c r="G194" s="12" t="s">
        <v>0</v>
      </c>
      <c r="H194" s="39">
        <v>674</v>
      </c>
      <c r="I194" s="360">
        <v>141.54</v>
      </c>
      <c r="J194" s="39">
        <f t="shared" si="41"/>
        <v>0</v>
      </c>
      <c r="K194" s="309">
        <v>0.21</v>
      </c>
      <c r="L194" s="230">
        <f t="shared" ref="L194:L224" si="60">K194*J490</f>
        <v>0</v>
      </c>
      <c r="M194" s="365"/>
      <c r="N194" s="41"/>
      <c r="O194" s="503">
        <v>674</v>
      </c>
      <c r="P194" s="309">
        <f t="shared" si="59"/>
        <v>141.54</v>
      </c>
      <c r="Q194" s="235" t="str">
        <f t="shared" si="57"/>
        <v>К20х10х5</v>
      </c>
      <c r="R194" s="377">
        <f t="shared" si="55"/>
        <v>0.3</v>
      </c>
      <c r="S194" s="320">
        <v>0.25</v>
      </c>
      <c r="T194" s="353">
        <f t="shared" si="52"/>
        <v>0</v>
      </c>
      <c r="U194" s="20">
        <v>685</v>
      </c>
      <c r="V194" s="20">
        <f t="shared" si="53"/>
        <v>0</v>
      </c>
      <c r="W194" s="52">
        <f t="shared" si="54"/>
        <v>0</v>
      </c>
      <c r="X194" s="20">
        <v>685</v>
      </c>
      <c r="Y194" s="20"/>
      <c r="Z194" s="20"/>
      <c r="AA194" s="20"/>
      <c r="AB194" s="417"/>
      <c r="AC194" s="200"/>
      <c r="AD194" s="160"/>
      <c r="AE194" s="163"/>
      <c r="AF194" s="171"/>
      <c r="AG194" s="192"/>
      <c r="AH194" s="110"/>
      <c r="AI194" s="110"/>
      <c r="AJ194" s="185">
        <f t="shared" si="58"/>
        <v>0</v>
      </c>
      <c r="AK194" s="435"/>
      <c r="AL194" s="480"/>
    </row>
    <row r="195" spans="2:39" s="21" customFormat="1" ht="26.25" hidden="1" customHeight="1" x14ac:dyDescent="0.25">
      <c r="B195" s="15"/>
      <c r="C195" s="6" t="s">
        <v>19</v>
      </c>
      <c r="D195" s="23" t="s">
        <v>15</v>
      </c>
      <c r="E195" s="104" t="s">
        <v>102</v>
      </c>
      <c r="F195" s="387" t="s">
        <v>271</v>
      </c>
      <c r="G195" s="12" t="s">
        <v>0</v>
      </c>
      <c r="H195" s="39"/>
      <c r="I195" s="309">
        <v>0</v>
      </c>
      <c r="J195" s="39">
        <f t="shared" si="41"/>
        <v>0</v>
      </c>
      <c r="K195" s="309">
        <f>R195/1.4</f>
        <v>0.47</v>
      </c>
      <c r="L195" s="230">
        <f t="shared" si="60"/>
        <v>0</v>
      </c>
      <c r="M195" s="543" t="s">
        <v>804</v>
      </c>
      <c r="N195" s="140"/>
      <c r="O195" s="39"/>
      <c r="P195" s="507">
        <f t="shared" si="59"/>
        <v>0</v>
      </c>
      <c r="Q195" s="51" t="str">
        <f t="shared" si="57"/>
        <v>К20х12х6 с п/п</v>
      </c>
      <c r="R195" s="377">
        <f t="shared" si="55"/>
        <v>0.66</v>
      </c>
      <c r="S195" s="337">
        <v>0.55000000000000004</v>
      </c>
      <c r="T195" s="353">
        <f t="shared" si="52"/>
        <v>0</v>
      </c>
      <c r="U195" s="18">
        <v>4550</v>
      </c>
      <c r="V195" s="20">
        <f t="shared" si="53"/>
        <v>0</v>
      </c>
      <c r="W195" s="52">
        <f t="shared" si="54"/>
        <v>-300</v>
      </c>
      <c r="X195" s="18">
        <f>4600-50-300</f>
        <v>4250</v>
      </c>
      <c r="Y195" s="18"/>
      <c r="Z195" s="18"/>
      <c r="AA195" s="18"/>
      <c r="AB195" s="418"/>
      <c r="AC195" s="200"/>
      <c r="AD195" s="160">
        <v>0.06</v>
      </c>
      <c r="AE195" s="163"/>
      <c r="AF195" s="171"/>
      <c r="AG195" s="192"/>
      <c r="AH195" s="110"/>
      <c r="AI195" s="110"/>
      <c r="AJ195" s="185">
        <f t="shared" si="58"/>
        <v>255</v>
      </c>
      <c r="AK195" s="435"/>
      <c r="AL195" s="480"/>
    </row>
    <row r="196" spans="2:39" ht="26.25" customHeight="1" x14ac:dyDescent="0.25">
      <c r="B196" s="11">
        <v>69</v>
      </c>
      <c r="C196" s="6" t="s">
        <v>19</v>
      </c>
      <c r="D196" s="23" t="s">
        <v>15</v>
      </c>
      <c r="E196" s="104" t="s">
        <v>143</v>
      </c>
      <c r="F196" s="208" t="s">
        <v>201</v>
      </c>
      <c r="G196" s="12" t="s">
        <v>0</v>
      </c>
      <c r="H196" s="39">
        <v>752</v>
      </c>
      <c r="I196" s="360">
        <v>496.32</v>
      </c>
      <c r="J196" s="39">
        <f t="shared" si="41"/>
        <v>0</v>
      </c>
      <c r="K196" s="309">
        <v>0.66</v>
      </c>
      <c r="L196" s="230">
        <f t="shared" si="60"/>
        <v>0</v>
      </c>
      <c r="M196" s="363" t="s">
        <v>651</v>
      </c>
      <c r="N196" s="41"/>
      <c r="O196" s="503">
        <f>799-47</f>
        <v>752</v>
      </c>
      <c r="P196" s="309">
        <f t="shared" si="59"/>
        <v>496.32</v>
      </c>
      <c r="Q196" s="235" t="str">
        <f t="shared" si="57"/>
        <v>К 20х12х6</v>
      </c>
      <c r="R196" s="377">
        <f t="shared" si="55"/>
        <v>0.95</v>
      </c>
      <c r="S196" s="319">
        <v>0.79</v>
      </c>
      <c r="T196" s="353">
        <f t="shared" si="52"/>
        <v>0</v>
      </c>
      <c r="U196" s="20">
        <v>8447</v>
      </c>
      <c r="V196" s="20">
        <f t="shared" si="53"/>
        <v>0</v>
      </c>
      <c r="W196" s="52">
        <f t="shared" si="54"/>
        <v>0</v>
      </c>
      <c r="X196" s="20">
        <f>10869-2250-100-25-47</f>
        <v>8447</v>
      </c>
      <c r="Y196" s="20"/>
      <c r="Z196" s="20"/>
      <c r="AA196" s="20"/>
      <c r="AB196" s="417"/>
      <c r="AC196" s="200"/>
      <c r="AD196" s="160">
        <v>0.06</v>
      </c>
      <c r="AE196" s="165"/>
      <c r="AF196" s="160"/>
      <c r="AG196" s="192"/>
      <c r="AH196" s="16"/>
      <c r="AI196" s="16"/>
      <c r="AJ196" s="185">
        <f t="shared" si="58"/>
        <v>506.8</v>
      </c>
      <c r="AK196" s="435"/>
      <c r="AL196" s="476"/>
      <c r="AM196" s="10"/>
    </row>
    <row r="197" spans="2:39" ht="26.25" customHeight="1" x14ac:dyDescent="0.25">
      <c r="B197" s="11">
        <v>70</v>
      </c>
      <c r="C197" s="6" t="s">
        <v>19</v>
      </c>
      <c r="D197" s="79" t="s">
        <v>193</v>
      </c>
      <c r="E197" s="104" t="s">
        <v>102</v>
      </c>
      <c r="F197" s="208">
        <v>596</v>
      </c>
      <c r="G197" s="12" t="s">
        <v>0</v>
      </c>
      <c r="H197" s="39">
        <v>435</v>
      </c>
      <c r="I197" s="360">
        <v>204.45</v>
      </c>
      <c r="J197" s="39">
        <f t="shared" si="41"/>
        <v>0</v>
      </c>
      <c r="K197" s="309">
        <f>R197/1.4</f>
        <v>0.47</v>
      </c>
      <c r="L197" s="230">
        <f t="shared" si="60"/>
        <v>0</v>
      </c>
      <c r="M197" s="298"/>
      <c r="N197" s="41"/>
      <c r="O197" s="503">
        <v>435</v>
      </c>
      <c r="P197" s="309">
        <f t="shared" si="59"/>
        <v>204.45</v>
      </c>
      <c r="Q197" s="235" t="str">
        <f t="shared" si="57"/>
        <v>К20х12х6 с п/п</v>
      </c>
      <c r="R197" s="377">
        <f t="shared" si="55"/>
        <v>0.66</v>
      </c>
      <c r="S197" s="319">
        <v>0.55000000000000004</v>
      </c>
      <c r="T197" s="353">
        <f t="shared" si="52"/>
        <v>0</v>
      </c>
      <c r="U197" s="20">
        <v>700</v>
      </c>
      <c r="V197" s="20">
        <f t="shared" si="53"/>
        <v>0</v>
      </c>
      <c r="W197" s="52">
        <f t="shared" si="54"/>
        <v>-15</v>
      </c>
      <c r="X197" s="20">
        <f>700-15</f>
        <v>685</v>
      </c>
      <c r="Y197" s="20"/>
      <c r="Z197" s="20"/>
      <c r="AA197" s="20"/>
      <c r="AB197" s="417"/>
      <c r="AC197" s="200"/>
      <c r="AD197" s="160">
        <v>0.06</v>
      </c>
      <c r="AE197" s="163"/>
      <c r="AF197" s="171"/>
      <c r="AG197" s="192"/>
      <c r="AH197" s="16"/>
      <c r="AI197" s="16"/>
      <c r="AJ197" s="185">
        <f t="shared" si="58"/>
        <v>41.1</v>
      </c>
      <c r="AK197" s="435"/>
      <c r="AL197" s="476"/>
      <c r="AM197" s="10"/>
    </row>
    <row r="198" spans="2:39" s="21" customFormat="1" ht="26.25" customHeight="1" x14ac:dyDescent="0.25">
      <c r="B198" s="11">
        <v>71</v>
      </c>
      <c r="C198" s="6" t="s">
        <v>19</v>
      </c>
      <c r="D198" s="23" t="s">
        <v>15</v>
      </c>
      <c r="E198" s="104" t="s">
        <v>123</v>
      </c>
      <c r="F198" s="526">
        <v>620</v>
      </c>
      <c r="G198" s="12" t="s">
        <v>0</v>
      </c>
      <c r="H198" s="39">
        <v>1084</v>
      </c>
      <c r="I198" s="360">
        <v>682.92</v>
      </c>
      <c r="J198" s="39">
        <f t="shared" ref="J198:J264" si="61">N198+O198-H198</f>
        <v>0</v>
      </c>
      <c r="K198" s="309">
        <v>0.63</v>
      </c>
      <c r="L198" s="230">
        <f t="shared" si="60"/>
        <v>0</v>
      </c>
      <c r="M198" s="299"/>
      <c r="N198" s="41"/>
      <c r="O198" s="503">
        <v>1084</v>
      </c>
      <c r="P198" s="309">
        <f t="shared" si="59"/>
        <v>682.92</v>
      </c>
      <c r="Q198" s="235" t="str">
        <f t="shared" si="57"/>
        <v xml:space="preserve">К28х16х9 </v>
      </c>
      <c r="R198" s="377">
        <f t="shared" si="55"/>
        <v>0.89</v>
      </c>
      <c r="S198" s="320">
        <v>0.74</v>
      </c>
      <c r="T198" s="353">
        <f t="shared" si="52"/>
        <v>0</v>
      </c>
      <c r="U198" s="20">
        <v>5885</v>
      </c>
      <c r="V198" s="20">
        <f t="shared" si="53"/>
        <v>0</v>
      </c>
      <c r="W198" s="52">
        <f t="shared" si="54"/>
        <v>-5</v>
      </c>
      <c r="X198" s="20">
        <f>1200*2+600+2890-5-5</f>
        <v>5880</v>
      </c>
      <c r="Y198" s="20"/>
      <c r="Z198" s="20"/>
      <c r="AA198" s="20"/>
      <c r="AB198" s="417"/>
      <c r="AC198" s="200"/>
      <c r="AD198" s="160">
        <v>0.122</v>
      </c>
      <c r="AE198" s="165"/>
      <c r="AF198" s="160"/>
      <c r="AG198" s="192"/>
      <c r="AH198" s="110"/>
      <c r="AI198" s="110"/>
      <c r="AJ198" s="185">
        <f t="shared" si="58"/>
        <v>717.4</v>
      </c>
      <c r="AK198" s="435"/>
      <c r="AL198" s="480"/>
    </row>
    <row r="199" spans="2:39" s="21" customFormat="1" ht="26.25" hidden="1" customHeight="1" x14ac:dyDescent="0.25">
      <c r="B199" s="15"/>
      <c r="C199" s="6" t="s">
        <v>19</v>
      </c>
      <c r="D199" s="23" t="s">
        <v>15</v>
      </c>
      <c r="E199" s="104" t="s">
        <v>208</v>
      </c>
      <c r="F199" s="386">
        <v>944</v>
      </c>
      <c r="G199" s="19" t="s">
        <v>0</v>
      </c>
      <c r="H199" s="39"/>
      <c r="I199" s="309">
        <v>0</v>
      </c>
      <c r="J199" s="39">
        <f t="shared" si="61"/>
        <v>0</v>
      </c>
      <c r="K199" s="309">
        <f>R199/1.4</f>
        <v>0.27</v>
      </c>
      <c r="L199" s="230">
        <f t="shared" si="60"/>
        <v>0</v>
      </c>
      <c r="M199" s="116" t="s">
        <v>212</v>
      </c>
      <c r="N199" s="140"/>
      <c r="O199" s="39"/>
      <c r="P199" s="490">
        <f t="shared" si="59"/>
        <v>0</v>
      </c>
      <c r="Q199" s="262" t="str">
        <f t="shared" si="57"/>
        <v>ПС6х25</v>
      </c>
      <c r="R199" s="377">
        <f t="shared" si="55"/>
        <v>0.38</v>
      </c>
      <c r="S199" s="333">
        <v>0.32</v>
      </c>
      <c r="T199" s="353">
        <f t="shared" ref="T199:T230" si="62">S199*J199</f>
        <v>0</v>
      </c>
      <c r="U199" s="18">
        <v>0</v>
      </c>
      <c r="V199" s="20">
        <f t="shared" ref="V199:V230" si="63">N199</f>
        <v>0</v>
      </c>
      <c r="W199" s="52">
        <f t="shared" ref="W199:W230" si="64">X199-U199+V199</f>
        <v>0</v>
      </c>
      <c r="X199" s="18">
        <v>0</v>
      </c>
      <c r="Y199" s="18"/>
      <c r="Z199" s="18"/>
      <c r="AA199" s="18"/>
      <c r="AB199" s="418"/>
      <c r="AC199" s="200"/>
      <c r="AD199" s="160"/>
      <c r="AE199" s="163"/>
      <c r="AF199" s="171"/>
      <c r="AG199" s="192"/>
      <c r="AH199" s="131"/>
      <c r="AI199" s="132"/>
      <c r="AJ199" s="185">
        <f t="shared" si="58"/>
        <v>0</v>
      </c>
    </row>
    <row r="200" spans="2:39" s="21" customFormat="1" ht="26.25" hidden="1" customHeight="1" x14ac:dyDescent="0.25">
      <c r="B200" s="15"/>
      <c r="C200" s="6" t="s">
        <v>19</v>
      </c>
      <c r="D200" s="23" t="s">
        <v>15</v>
      </c>
      <c r="E200" s="104" t="s">
        <v>148</v>
      </c>
      <c r="F200" s="388">
        <v>426</v>
      </c>
      <c r="G200" s="12" t="s">
        <v>0</v>
      </c>
      <c r="H200" s="39"/>
      <c r="I200" s="309">
        <v>0</v>
      </c>
      <c r="J200" s="39">
        <f t="shared" si="61"/>
        <v>0</v>
      </c>
      <c r="K200" s="309">
        <f>R200/1.4</f>
        <v>0.39</v>
      </c>
      <c r="L200" s="230">
        <f t="shared" si="60"/>
        <v>0</v>
      </c>
      <c r="M200" s="272" t="s">
        <v>152</v>
      </c>
      <c r="N200" s="140"/>
      <c r="O200" s="39"/>
      <c r="P200" s="309">
        <f t="shared" si="59"/>
        <v>0</v>
      </c>
      <c r="Q200" s="263" t="str">
        <f t="shared" si="57"/>
        <v>К38х19х9 п/п</v>
      </c>
      <c r="R200" s="377">
        <f t="shared" si="55"/>
        <v>0.55000000000000004</v>
      </c>
      <c r="S200" s="339">
        <v>0.46</v>
      </c>
      <c r="T200" s="353">
        <f t="shared" si="62"/>
        <v>0</v>
      </c>
      <c r="U200" s="18"/>
      <c r="V200" s="20">
        <f t="shared" si="63"/>
        <v>0</v>
      </c>
      <c r="W200" s="52">
        <f t="shared" si="64"/>
        <v>0</v>
      </c>
      <c r="X200" s="18"/>
      <c r="Y200" s="18"/>
      <c r="Z200" s="18"/>
      <c r="AA200" s="18"/>
      <c r="AB200" s="418"/>
      <c r="AC200" s="200"/>
      <c r="AD200" s="160">
        <v>0.23</v>
      </c>
      <c r="AE200" s="165"/>
      <c r="AF200" s="160"/>
      <c r="AG200" s="192"/>
      <c r="AH200" s="110"/>
      <c r="AI200" s="110"/>
      <c r="AJ200" s="185">
        <f t="shared" si="58"/>
        <v>0</v>
      </c>
      <c r="AK200" s="435"/>
      <c r="AL200" s="837"/>
    </row>
    <row r="201" spans="2:39" s="21" customFormat="1" ht="26.25" customHeight="1" x14ac:dyDescent="0.3">
      <c r="B201" s="11">
        <v>72</v>
      </c>
      <c r="C201" s="6" t="s">
        <v>19</v>
      </c>
      <c r="D201" s="23" t="s">
        <v>15</v>
      </c>
      <c r="E201" s="104" t="s">
        <v>61</v>
      </c>
      <c r="F201" s="208">
        <v>208</v>
      </c>
      <c r="G201" s="12" t="s">
        <v>0</v>
      </c>
      <c r="H201" s="39">
        <v>686</v>
      </c>
      <c r="I201" s="360">
        <v>692.86</v>
      </c>
      <c r="J201" s="39">
        <f t="shared" si="61"/>
        <v>1029</v>
      </c>
      <c r="K201" s="309">
        <f>R201/1.4</f>
        <v>1.2</v>
      </c>
      <c r="L201" s="230">
        <f t="shared" si="60"/>
        <v>0</v>
      </c>
      <c r="M201" s="300" t="s">
        <v>885</v>
      </c>
      <c r="N201" s="41">
        <v>1029</v>
      </c>
      <c r="O201" s="503">
        <f>343*2</f>
        <v>686</v>
      </c>
      <c r="P201" s="309">
        <f t="shared" si="59"/>
        <v>823.2</v>
      </c>
      <c r="Q201" s="235" t="str">
        <f t="shared" si="57"/>
        <v>К38х19х9</v>
      </c>
      <c r="R201" s="377">
        <f t="shared" si="55"/>
        <v>1.68</v>
      </c>
      <c r="S201" s="319">
        <v>1.4</v>
      </c>
      <c r="T201" s="353">
        <f t="shared" si="62"/>
        <v>1440.6</v>
      </c>
      <c r="U201" s="74">
        <v>2012</v>
      </c>
      <c r="V201" s="20">
        <f t="shared" si="63"/>
        <v>1029</v>
      </c>
      <c r="W201" s="52">
        <f t="shared" si="64"/>
        <v>-72</v>
      </c>
      <c r="X201" s="74">
        <f>343*2+225</f>
        <v>911</v>
      </c>
      <c r="Y201" s="74"/>
      <c r="Z201" s="74"/>
      <c r="AA201" s="74">
        <v>8832</v>
      </c>
      <c r="AB201" s="422"/>
      <c r="AC201" s="200"/>
      <c r="AD201" s="160">
        <v>0.23</v>
      </c>
      <c r="AE201" s="165"/>
      <c r="AF201" s="160"/>
      <c r="AG201" s="192"/>
      <c r="AH201" s="110"/>
      <c r="AI201" s="110"/>
      <c r="AJ201" s="185">
        <f t="shared" si="58"/>
        <v>209.5</v>
      </c>
      <c r="AK201" s="435"/>
      <c r="AL201" s="832">
        <v>692.86</v>
      </c>
      <c r="AM201" s="832">
        <f>P201-AL201</f>
        <v>130.34</v>
      </c>
    </row>
    <row r="202" spans="2:39" ht="26.25" customHeight="1" x14ac:dyDescent="0.25">
      <c r="B202" s="11">
        <v>73</v>
      </c>
      <c r="C202" s="6" t="s">
        <v>19</v>
      </c>
      <c r="D202" s="23" t="s">
        <v>15</v>
      </c>
      <c r="E202" s="104" t="s">
        <v>87</v>
      </c>
      <c r="F202" s="383">
        <v>506</v>
      </c>
      <c r="G202" s="12" t="s">
        <v>0</v>
      </c>
      <c r="H202" s="39">
        <v>400</v>
      </c>
      <c r="I202" s="360">
        <v>824</v>
      </c>
      <c r="J202" s="39">
        <f t="shared" si="61"/>
        <v>800</v>
      </c>
      <c r="K202" s="309">
        <f>R202/1.4</f>
        <v>2.06</v>
      </c>
      <c r="L202" s="230">
        <f t="shared" si="60"/>
        <v>0</v>
      </c>
      <c r="M202" s="191" t="s">
        <v>886</v>
      </c>
      <c r="N202" s="41">
        <v>400</v>
      </c>
      <c r="O202" s="503">
        <v>800</v>
      </c>
      <c r="P202" s="309">
        <f t="shared" si="59"/>
        <v>1648</v>
      </c>
      <c r="Q202" s="235" t="str">
        <f t="shared" si="57"/>
        <v>К45х28х8</v>
      </c>
      <c r="R202" s="377">
        <f t="shared" si="55"/>
        <v>2.88</v>
      </c>
      <c r="S202" s="319">
        <v>2.4</v>
      </c>
      <c r="T202" s="353">
        <f t="shared" si="62"/>
        <v>1920</v>
      </c>
      <c r="U202" s="20">
        <v>2944</v>
      </c>
      <c r="V202" s="20">
        <f t="shared" si="63"/>
        <v>400</v>
      </c>
      <c r="W202" s="52">
        <f t="shared" si="64"/>
        <v>-744</v>
      </c>
      <c r="X202" s="20">
        <f>5*360</f>
        <v>1800</v>
      </c>
      <c r="Y202" s="20"/>
      <c r="Z202" s="20"/>
      <c r="AA202" s="20">
        <v>1800</v>
      </c>
      <c r="AB202" s="417"/>
      <c r="AC202" s="200"/>
      <c r="AD202" s="160">
        <v>0.26</v>
      </c>
      <c r="AE202" s="163"/>
      <c r="AF202" s="171"/>
      <c r="AG202" s="192"/>
      <c r="AH202" s="16"/>
      <c r="AI202" s="16"/>
      <c r="AJ202" s="185">
        <f t="shared" si="58"/>
        <v>468</v>
      </c>
      <c r="AK202" s="435"/>
      <c r="AL202" s="832"/>
      <c r="AM202" s="832"/>
    </row>
    <row r="203" spans="2:39" ht="26.25" customHeight="1" x14ac:dyDescent="0.25">
      <c r="B203" s="11">
        <v>74</v>
      </c>
      <c r="C203" s="6" t="s">
        <v>19</v>
      </c>
      <c r="D203" s="23" t="s">
        <v>15</v>
      </c>
      <c r="E203" s="104" t="s">
        <v>144</v>
      </c>
      <c r="F203" s="208">
        <v>590</v>
      </c>
      <c r="G203" s="12" t="s">
        <v>0</v>
      </c>
      <c r="H203" s="39">
        <v>462</v>
      </c>
      <c r="I203" s="360">
        <v>910.14</v>
      </c>
      <c r="J203" s="39">
        <f t="shared" si="61"/>
        <v>0</v>
      </c>
      <c r="K203" s="309">
        <v>1.97</v>
      </c>
      <c r="L203" s="230">
        <f t="shared" si="60"/>
        <v>0</v>
      </c>
      <c r="M203" s="363"/>
      <c r="N203" s="41"/>
      <c r="O203" s="503">
        <f>510-46-2</f>
        <v>462</v>
      </c>
      <c r="P203" s="309">
        <f>O203*K203</f>
        <v>910.14</v>
      </c>
      <c r="Q203" s="235" t="str">
        <f t="shared" si="57"/>
        <v>К45х28х12</v>
      </c>
      <c r="R203" s="377">
        <f t="shared" si="55"/>
        <v>6.24</v>
      </c>
      <c r="S203" s="319">
        <v>5.2</v>
      </c>
      <c r="T203" s="353">
        <f t="shared" si="62"/>
        <v>0</v>
      </c>
      <c r="U203" s="20">
        <v>3240</v>
      </c>
      <c r="V203" s="20">
        <f t="shared" si="63"/>
        <v>0</v>
      </c>
      <c r="W203" s="52">
        <f t="shared" si="64"/>
        <v>0</v>
      </c>
      <c r="X203" s="20">
        <f>13*120+240*7</f>
        <v>3240</v>
      </c>
      <c r="Y203" s="20"/>
      <c r="Z203" s="20"/>
      <c r="AA203" s="20"/>
      <c r="AB203" s="417"/>
      <c r="AC203" s="200"/>
      <c r="AD203" s="160">
        <v>0.38500000000000001</v>
      </c>
      <c r="AE203" s="165"/>
      <c r="AF203" s="160"/>
      <c r="AG203" s="192"/>
      <c r="AH203" s="16"/>
      <c r="AI203" s="16"/>
      <c r="AJ203" s="185">
        <f t="shared" si="58"/>
        <v>1247.4000000000001</v>
      </c>
      <c r="AK203" s="435"/>
      <c r="AL203" s="840"/>
      <c r="AM203" s="10"/>
    </row>
    <row r="204" spans="2:39" ht="26.25" customHeight="1" x14ac:dyDescent="0.25">
      <c r="B204" s="11">
        <v>75</v>
      </c>
      <c r="C204" s="6" t="s">
        <v>19</v>
      </c>
      <c r="D204" s="23" t="s">
        <v>15</v>
      </c>
      <c r="E204" s="104" t="s">
        <v>22</v>
      </c>
      <c r="F204" s="208" t="s">
        <v>57</v>
      </c>
      <c r="G204" s="12" t="s">
        <v>0</v>
      </c>
      <c r="H204" s="39">
        <v>1670</v>
      </c>
      <c r="I204" s="360">
        <v>501</v>
      </c>
      <c r="J204" s="39">
        <f t="shared" si="61"/>
        <v>0</v>
      </c>
      <c r="K204" s="309">
        <f t="shared" ref="K204:K222" si="65">R204/1.4</f>
        <v>0.3</v>
      </c>
      <c r="L204" s="230">
        <f t="shared" si="60"/>
        <v>0</v>
      </c>
      <c r="M204" s="364"/>
      <c r="N204" s="41"/>
      <c r="O204" s="503">
        <v>1670</v>
      </c>
      <c r="P204" s="309">
        <f t="shared" ref="P204:P234" si="66">K204*O204</f>
        <v>501</v>
      </c>
      <c r="Q204" s="235" t="str">
        <f t="shared" si="57"/>
        <v xml:space="preserve"> Ч22 </v>
      </c>
      <c r="R204" s="377">
        <f t="shared" si="55"/>
        <v>0.42</v>
      </c>
      <c r="S204" s="319">
        <v>0.35</v>
      </c>
      <c r="T204" s="353">
        <f t="shared" si="62"/>
        <v>0</v>
      </c>
      <c r="U204" s="20">
        <v>1456</v>
      </c>
      <c r="V204" s="20">
        <f t="shared" si="63"/>
        <v>0</v>
      </c>
      <c r="W204" s="52">
        <f t="shared" si="64"/>
        <v>0</v>
      </c>
      <c r="X204" s="20">
        <f>100+1105+213+158-100-20</f>
        <v>1456</v>
      </c>
      <c r="Y204" s="20"/>
      <c r="Z204" s="20"/>
      <c r="AA204" s="20"/>
      <c r="AB204" s="417"/>
      <c r="AC204" s="200"/>
      <c r="AD204" s="160"/>
      <c r="AE204" s="163"/>
      <c r="AF204" s="171"/>
      <c r="AG204" s="192"/>
      <c r="AH204" s="16"/>
      <c r="AI204" s="16"/>
      <c r="AJ204" s="185">
        <f t="shared" si="58"/>
        <v>0</v>
      </c>
      <c r="AK204" s="435"/>
      <c r="AL204" s="476"/>
      <c r="AM204" s="10"/>
    </row>
    <row r="205" spans="2:39" ht="26.25" hidden="1" customHeight="1" x14ac:dyDescent="0.25">
      <c r="B205" s="11"/>
      <c r="C205" s="6" t="s">
        <v>19</v>
      </c>
      <c r="D205" s="23" t="s">
        <v>15</v>
      </c>
      <c r="E205" s="104" t="s">
        <v>113</v>
      </c>
      <c r="F205" s="374">
        <v>605</v>
      </c>
      <c r="G205" s="12" t="s">
        <v>0</v>
      </c>
      <c r="H205" s="39"/>
      <c r="I205" s="360">
        <v>0</v>
      </c>
      <c r="J205" s="39">
        <f t="shared" si="61"/>
        <v>0</v>
      </c>
      <c r="K205" s="309">
        <f t="shared" si="65"/>
        <v>1.7</v>
      </c>
      <c r="L205" s="230">
        <f t="shared" si="60"/>
        <v>0</v>
      </c>
      <c r="M205" s="219" t="s">
        <v>537</v>
      </c>
      <c r="N205" s="140"/>
      <c r="O205" s="39"/>
      <c r="P205" s="467">
        <f t="shared" si="66"/>
        <v>0</v>
      </c>
      <c r="Q205" s="51" t="str">
        <f t="shared" si="57"/>
        <v>Ч36</v>
      </c>
      <c r="R205" s="306">
        <f t="shared" si="55"/>
        <v>2.38</v>
      </c>
      <c r="S205" s="319">
        <v>1.98</v>
      </c>
      <c r="T205" s="353">
        <f t="shared" si="62"/>
        <v>0</v>
      </c>
      <c r="U205" s="20">
        <v>1111</v>
      </c>
      <c r="V205" s="20">
        <f t="shared" si="63"/>
        <v>0</v>
      </c>
      <c r="W205" s="52">
        <f t="shared" si="64"/>
        <v>-605</v>
      </c>
      <c r="X205" s="148">
        <v>506</v>
      </c>
      <c r="Y205" s="20"/>
      <c r="Z205" s="20"/>
      <c r="AA205" s="20"/>
      <c r="AB205" s="417"/>
      <c r="AC205" s="200"/>
      <c r="AD205" s="160">
        <v>0.23</v>
      </c>
      <c r="AE205" s="163"/>
      <c r="AF205" s="171"/>
      <c r="AG205" s="192"/>
      <c r="AH205" s="16"/>
      <c r="AI205" s="16"/>
      <c r="AJ205" s="185">
        <f t="shared" si="58"/>
        <v>116.4</v>
      </c>
      <c r="AK205" s="435"/>
      <c r="AL205" s="476"/>
      <c r="AM205" s="10"/>
    </row>
    <row r="206" spans="2:39" ht="26.25" hidden="1" customHeight="1" x14ac:dyDescent="0.25">
      <c r="B206" s="14"/>
      <c r="C206" s="6" t="s">
        <v>19</v>
      </c>
      <c r="D206" s="23" t="s">
        <v>15</v>
      </c>
      <c r="E206" s="104" t="s">
        <v>74</v>
      </c>
      <c r="F206" s="208">
        <v>339</v>
      </c>
      <c r="G206" s="48" t="s">
        <v>0</v>
      </c>
      <c r="H206" s="39"/>
      <c r="I206" s="309">
        <v>0</v>
      </c>
      <c r="J206" s="39">
        <f t="shared" si="61"/>
        <v>0</v>
      </c>
      <c r="K206" s="309">
        <f t="shared" si="65"/>
        <v>0.79</v>
      </c>
      <c r="L206" s="230">
        <f t="shared" si="60"/>
        <v>0</v>
      </c>
      <c r="M206" s="146" t="s">
        <v>439</v>
      </c>
      <c r="N206" s="140"/>
      <c r="O206" s="39"/>
      <c r="P206" s="309">
        <f t="shared" si="66"/>
        <v>0</v>
      </c>
      <c r="Q206" s="264" t="str">
        <f t="shared" si="57"/>
        <v>Ч30</v>
      </c>
      <c r="R206" s="377">
        <f t="shared" si="55"/>
        <v>1.1000000000000001</v>
      </c>
      <c r="S206" s="338">
        <v>0.91500000000000004</v>
      </c>
      <c r="T206" s="353">
        <f t="shared" si="62"/>
        <v>0</v>
      </c>
      <c r="U206" s="20">
        <v>263</v>
      </c>
      <c r="V206" s="20">
        <f t="shared" si="63"/>
        <v>0</v>
      </c>
      <c r="W206" s="52">
        <f t="shared" si="64"/>
        <v>0</v>
      </c>
      <c r="X206" s="148">
        <f>155+108</f>
        <v>263</v>
      </c>
      <c r="Y206" s="20"/>
      <c r="Z206" s="20"/>
      <c r="AA206" s="20"/>
      <c r="AB206" s="417"/>
      <c r="AC206" s="200"/>
      <c r="AD206" s="160"/>
      <c r="AE206" s="163"/>
      <c r="AF206" s="171"/>
      <c r="AG206" s="192"/>
      <c r="AH206" s="16"/>
      <c r="AI206" s="16"/>
      <c r="AJ206" s="185">
        <f t="shared" si="58"/>
        <v>0</v>
      </c>
      <c r="AK206" s="435"/>
      <c r="AL206" s="836"/>
      <c r="AM206" s="10"/>
    </row>
    <row r="207" spans="2:39" ht="26.25" customHeight="1" x14ac:dyDescent="0.25">
      <c r="B207" s="11">
        <v>76</v>
      </c>
      <c r="C207" s="6" t="s">
        <v>19</v>
      </c>
      <c r="D207" s="23" t="s">
        <v>15</v>
      </c>
      <c r="E207" s="104" t="s">
        <v>453</v>
      </c>
      <c r="F207" s="387" t="s">
        <v>606</v>
      </c>
      <c r="G207" s="12" t="s">
        <v>0</v>
      </c>
      <c r="H207" s="39"/>
      <c r="I207" s="309">
        <v>0</v>
      </c>
      <c r="J207" s="39">
        <f t="shared" si="61"/>
        <v>850</v>
      </c>
      <c r="K207" s="309">
        <f t="shared" si="65"/>
        <v>0.12</v>
      </c>
      <c r="L207" s="230">
        <f t="shared" si="60"/>
        <v>0</v>
      </c>
      <c r="M207" s="458" t="s">
        <v>887</v>
      </c>
      <c r="N207" s="41">
        <v>650</v>
      </c>
      <c r="O207" s="39">
        <v>200</v>
      </c>
      <c r="P207" s="309">
        <f t="shared" si="66"/>
        <v>24</v>
      </c>
      <c r="Q207" s="51" t="str">
        <f t="shared" si="57"/>
        <v>Ш  4х4 М2000НМ</v>
      </c>
      <c r="R207" s="377">
        <f t="shared" si="55"/>
        <v>0.17</v>
      </c>
      <c r="S207" s="340">
        <v>0.14000000000000001</v>
      </c>
      <c r="T207" s="353">
        <f t="shared" si="62"/>
        <v>119</v>
      </c>
      <c r="U207" s="18">
        <v>19256</v>
      </c>
      <c r="V207" s="20">
        <f t="shared" si="63"/>
        <v>650</v>
      </c>
      <c r="W207" s="52">
        <f t="shared" si="64"/>
        <v>416</v>
      </c>
      <c r="X207" s="18">
        <f>12000-1234-3000+12000-510-234</f>
        <v>19022</v>
      </c>
      <c r="Y207" s="18"/>
      <c r="Z207" s="18">
        <v>1</v>
      </c>
      <c r="AA207" s="18"/>
      <c r="AB207" s="418"/>
      <c r="AC207" s="200"/>
      <c r="AD207" s="160"/>
      <c r="AE207" s="163"/>
      <c r="AF207" s="171"/>
      <c r="AG207" s="192"/>
      <c r="AH207" s="128"/>
      <c r="AI207" s="129"/>
      <c r="AJ207" s="185">
        <f t="shared" si="58"/>
        <v>0</v>
      </c>
      <c r="AK207" s="10"/>
      <c r="AL207" s="832"/>
      <c r="AM207" s="832"/>
    </row>
    <row r="208" spans="2:39" ht="26.25" hidden="1" customHeight="1" thickBot="1" x14ac:dyDescent="0.35">
      <c r="B208" s="11"/>
      <c r="C208" s="6" t="s">
        <v>19</v>
      </c>
      <c r="D208" s="23" t="s">
        <v>15</v>
      </c>
      <c r="E208" s="104" t="s">
        <v>139</v>
      </c>
      <c r="F208" s="208" t="s">
        <v>55</v>
      </c>
      <c r="G208" s="48" t="s">
        <v>0</v>
      </c>
      <c r="H208" s="39"/>
      <c r="I208" s="309">
        <v>0</v>
      </c>
      <c r="J208" s="39">
        <f t="shared" si="61"/>
        <v>0</v>
      </c>
      <c r="K208" s="309">
        <f t="shared" si="65"/>
        <v>0.09</v>
      </c>
      <c r="L208" s="230">
        <f t="shared" si="60"/>
        <v>0</v>
      </c>
      <c r="M208" s="233" t="s">
        <v>474</v>
      </c>
      <c r="N208" s="140"/>
      <c r="O208" s="39"/>
      <c r="P208" s="309">
        <f t="shared" si="66"/>
        <v>0</v>
      </c>
      <c r="Q208" s="264" t="str">
        <f t="shared" si="57"/>
        <v>Ш6х6 М2000НМ1</v>
      </c>
      <c r="R208" s="377">
        <f t="shared" ref="R208:R239" si="67">S208*1.2</f>
        <v>0.13</v>
      </c>
      <c r="S208" s="320">
        <v>0.105</v>
      </c>
      <c r="T208" s="353">
        <f t="shared" si="62"/>
        <v>0</v>
      </c>
      <c r="U208" s="74">
        <v>81790</v>
      </c>
      <c r="V208" s="20">
        <f t="shared" si="63"/>
        <v>0</v>
      </c>
      <c r="W208" s="52">
        <f t="shared" si="64"/>
        <v>0</v>
      </c>
      <c r="X208" s="257">
        <v>81790</v>
      </c>
      <c r="Y208" s="74"/>
      <c r="Z208" s="74"/>
      <c r="AA208" s="74"/>
      <c r="AB208" s="422"/>
      <c r="AC208" s="200"/>
      <c r="AD208" s="160">
        <v>3.5999999999999997E-2</v>
      </c>
      <c r="AE208" s="163"/>
      <c r="AF208" s="171"/>
      <c r="AG208" s="192"/>
      <c r="AH208" s="16"/>
      <c r="AI208" s="16"/>
      <c r="AJ208" s="185">
        <f t="shared" si="58"/>
        <v>2944.4</v>
      </c>
      <c r="AK208" s="435"/>
      <c r="AL208" s="840"/>
      <c r="AM208" s="10"/>
    </row>
    <row r="209" spans="2:39" ht="26.25" hidden="1" customHeight="1" thickBot="1" x14ac:dyDescent="0.3">
      <c r="B209" s="11"/>
      <c r="C209" s="6" t="s">
        <v>19</v>
      </c>
      <c r="D209" s="23" t="s">
        <v>193</v>
      </c>
      <c r="E209" s="104" t="s">
        <v>188</v>
      </c>
      <c r="F209" s="385" t="s">
        <v>190</v>
      </c>
      <c r="G209" s="19" t="s">
        <v>0</v>
      </c>
      <c r="H209" s="39"/>
      <c r="I209" s="309">
        <v>0</v>
      </c>
      <c r="J209" s="39">
        <f t="shared" si="61"/>
        <v>0</v>
      </c>
      <c r="K209" s="309">
        <f t="shared" si="65"/>
        <v>7.0000000000000007E-2</v>
      </c>
      <c r="L209" s="230">
        <f t="shared" si="60"/>
        <v>0</v>
      </c>
      <c r="M209" s="146" t="s">
        <v>379</v>
      </c>
      <c r="N209" s="140"/>
      <c r="O209" s="39"/>
      <c r="P209" s="309">
        <f t="shared" si="66"/>
        <v>0</v>
      </c>
      <c r="Q209" s="265" t="str">
        <f t="shared" si="57"/>
        <v>Ш6х6 М2500НМ</v>
      </c>
      <c r="R209" s="377">
        <f t="shared" si="67"/>
        <v>0.1</v>
      </c>
      <c r="S209" s="320">
        <v>8.5000000000000006E-2</v>
      </c>
      <c r="T209" s="353">
        <f t="shared" si="62"/>
        <v>0</v>
      </c>
      <c r="U209" s="18"/>
      <c r="V209" s="20">
        <f t="shared" si="63"/>
        <v>0</v>
      </c>
      <c r="W209" s="52">
        <f t="shared" si="64"/>
        <v>0</v>
      </c>
      <c r="X209" s="18"/>
      <c r="Y209" s="18"/>
      <c r="Z209" s="18"/>
      <c r="AA209" s="18"/>
      <c r="AB209" s="418"/>
      <c r="AC209" s="200"/>
      <c r="AD209" s="160">
        <v>3.5999999999999997E-2</v>
      </c>
      <c r="AE209" s="163"/>
      <c r="AF209" s="171"/>
      <c r="AG209" s="192"/>
      <c r="AH209" s="128"/>
      <c r="AI209" s="129"/>
      <c r="AJ209" s="185">
        <f t="shared" si="58"/>
        <v>0</v>
      </c>
      <c r="AK209" s="10"/>
      <c r="AL209" s="10"/>
      <c r="AM209" s="10"/>
    </row>
    <row r="210" spans="2:39" ht="26.25" hidden="1" customHeight="1" x14ac:dyDescent="0.25">
      <c r="B210" s="15"/>
      <c r="C210" s="6" t="s">
        <v>19</v>
      </c>
      <c r="D210" s="23" t="s">
        <v>203</v>
      </c>
      <c r="E210" s="104" t="s">
        <v>204</v>
      </c>
      <c r="F210" s="387" t="s">
        <v>194</v>
      </c>
      <c r="G210" s="19" t="s">
        <v>0</v>
      </c>
      <c r="H210" s="39"/>
      <c r="I210" s="309">
        <v>0</v>
      </c>
      <c r="J210" s="39">
        <f t="shared" si="61"/>
        <v>0</v>
      </c>
      <c r="K210" s="309">
        <f t="shared" si="65"/>
        <v>0.06</v>
      </c>
      <c r="L210" s="230">
        <f t="shared" si="60"/>
        <v>0</v>
      </c>
      <c r="M210" s="64" t="s">
        <v>205</v>
      </c>
      <c r="N210" s="140"/>
      <c r="O210" s="39"/>
      <c r="P210" s="309">
        <f t="shared" si="66"/>
        <v>0</v>
      </c>
      <c r="Q210" s="262" t="str">
        <f t="shared" si="57"/>
        <v>Ш6х6 М6000НМ</v>
      </c>
      <c r="R210" s="377">
        <f t="shared" si="67"/>
        <v>0.08</v>
      </c>
      <c r="S210" s="333">
        <v>6.93E-2</v>
      </c>
      <c r="T210" s="353">
        <f t="shared" si="62"/>
        <v>0</v>
      </c>
      <c r="U210" s="18"/>
      <c r="V210" s="20">
        <f t="shared" si="63"/>
        <v>0</v>
      </c>
      <c r="W210" s="52">
        <f t="shared" si="64"/>
        <v>0</v>
      </c>
      <c r="X210" s="18"/>
      <c r="Y210" s="18"/>
      <c r="Z210" s="18"/>
      <c r="AA210" s="18"/>
      <c r="AB210" s="418"/>
      <c r="AC210" s="200"/>
      <c r="AD210" s="160"/>
      <c r="AE210" s="163"/>
      <c r="AF210" s="171"/>
      <c r="AG210" s="192"/>
      <c r="AH210" s="16"/>
      <c r="AI210" s="16"/>
      <c r="AJ210" s="185">
        <f t="shared" si="58"/>
        <v>0</v>
      </c>
      <c r="AK210" s="125"/>
      <c r="AL210" s="10"/>
      <c r="AM210" s="10"/>
    </row>
    <row r="211" spans="2:39" ht="26.25" customHeight="1" x14ac:dyDescent="0.25">
      <c r="B211" s="14">
        <v>77</v>
      </c>
      <c r="C211" s="6" t="s">
        <v>20</v>
      </c>
      <c r="D211" s="23" t="s">
        <v>15</v>
      </c>
      <c r="E211" s="104" t="s">
        <v>96</v>
      </c>
      <c r="F211" s="386">
        <v>103</v>
      </c>
      <c r="G211" s="12" t="s">
        <v>0</v>
      </c>
      <c r="H211" s="39"/>
      <c r="I211" s="309">
        <v>0</v>
      </c>
      <c r="J211" s="39">
        <f t="shared" si="61"/>
        <v>4000</v>
      </c>
      <c r="K211" s="309">
        <f t="shared" si="65"/>
        <v>0.16</v>
      </c>
      <c r="L211" s="230">
        <f t="shared" si="60"/>
        <v>0</v>
      </c>
      <c r="M211" s="557" t="s">
        <v>888</v>
      </c>
      <c r="N211" s="41">
        <v>1000</v>
      </c>
      <c r="O211" s="39">
        <v>3000</v>
      </c>
      <c r="P211" s="309">
        <f>K211*O211</f>
        <v>480</v>
      </c>
      <c r="Q211" s="235" t="str">
        <f t="shared" si="57"/>
        <v>Ш7х7 М2000НМ</v>
      </c>
      <c r="R211" s="377">
        <f t="shared" si="67"/>
        <v>0.22</v>
      </c>
      <c r="S211" s="319">
        <v>0.18</v>
      </c>
      <c r="T211" s="353">
        <f t="shared" si="62"/>
        <v>720</v>
      </c>
      <c r="U211" s="18"/>
      <c r="V211" s="20">
        <f t="shared" si="63"/>
        <v>1000</v>
      </c>
      <c r="W211" s="52">
        <f t="shared" si="64"/>
        <v>1000</v>
      </c>
      <c r="X211" s="18"/>
      <c r="Y211" s="18"/>
      <c r="Z211" s="18"/>
      <c r="AA211" s="18"/>
      <c r="AB211" s="418"/>
      <c r="AC211" s="200"/>
      <c r="AD211" s="160"/>
      <c r="AE211" s="163"/>
      <c r="AF211" s="171"/>
      <c r="AG211" s="192"/>
      <c r="AH211" s="128"/>
      <c r="AI211" s="129"/>
      <c r="AJ211" s="185">
        <f t="shared" si="58"/>
        <v>0</v>
      </c>
      <c r="AK211" s="10"/>
      <c r="AL211" s="832">
        <v>240</v>
      </c>
      <c r="AM211" s="832">
        <f>P211-AL211</f>
        <v>240</v>
      </c>
    </row>
    <row r="212" spans="2:39" s="21" customFormat="1" ht="26.25" hidden="1" customHeight="1" x14ac:dyDescent="0.25">
      <c r="B212" s="15"/>
      <c r="C212" s="6" t="s">
        <v>19</v>
      </c>
      <c r="D212" s="23" t="s">
        <v>193</v>
      </c>
      <c r="E212" s="104" t="s">
        <v>367</v>
      </c>
      <c r="F212" s="387" t="s">
        <v>220</v>
      </c>
      <c r="G212" s="12" t="s">
        <v>0</v>
      </c>
      <c r="H212" s="39"/>
      <c r="I212" s="309">
        <v>0</v>
      </c>
      <c r="J212" s="39">
        <f t="shared" si="61"/>
        <v>0</v>
      </c>
      <c r="K212" s="309">
        <f t="shared" si="65"/>
        <v>0.16</v>
      </c>
      <c r="L212" s="230">
        <f t="shared" si="60"/>
        <v>0</v>
      </c>
      <c r="M212" s="557" t="s">
        <v>832</v>
      </c>
      <c r="N212" s="140"/>
      <c r="O212" s="39"/>
      <c r="P212" s="309">
        <f t="shared" si="66"/>
        <v>0</v>
      </c>
      <c r="Q212" s="263" t="str">
        <f t="shared" si="57"/>
        <v xml:space="preserve">Ш7х7 </v>
      </c>
      <c r="R212" s="377">
        <f t="shared" si="67"/>
        <v>0.22</v>
      </c>
      <c r="S212" s="339">
        <v>0.18</v>
      </c>
      <c r="T212" s="353">
        <f t="shared" si="62"/>
        <v>0</v>
      </c>
      <c r="U212" s="18">
        <v>19980</v>
      </c>
      <c r="V212" s="20">
        <f t="shared" si="63"/>
        <v>0</v>
      </c>
      <c r="W212" s="52">
        <f t="shared" si="64"/>
        <v>0</v>
      </c>
      <c r="X212" s="147">
        <f>20900-20-150-450-300</f>
        <v>19980</v>
      </c>
      <c r="Y212" s="18">
        <v>1</v>
      </c>
      <c r="Z212" s="18"/>
      <c r="AA212" s="18"/>
      <c r="AB212" s="418"/>
      <c r="AC212" s="200"/>
      <c r="AD212" s="160">
        <v>0.09</v>
      </c>
      <c r="AE212" s="165"/>
      <c r="AF212" s="160"/>
      <c r="AG212" s="192"/>
      <c r="AH212" s="110"/>
      <c r="AI212" s="110"/>
      <c r="AJ212" s="185">
        <f t="shared" si="58"/>
        <v>1798.2</v>
      </c>
      <c r="AK212" s="435"/>
      <c r="AL212" s="842"/>
    </row>
    <row r="213" spans="2:39" ht="26.25" hidden="1" customHeight="1" x14ac:dyDescent="0.25">
      <c r="B213" s="11"/>
      <c r="C213" s="6" t="s">
        <v>19</v>
      </c>
      <c r="D213" s="23" t="s">
        <v>15</v>
      </c>
      <c r="E213" s="104" t="s">
        <v>110</v>
      </c>
      <c r="F213" s="208" t="s">
        <v>112</v>
      </c>
      <c r="G213" s="19" t="s">
        <v>0</v>
      </c>
      <c r="H213" s="39"/>
      <c r="I213" s="360">
        <v>0</v>
      </c>
      <c r="J213" s="39">
        <f t="shared" si="61"/>
        <v>0</v>
      </c>
      <c r="K213" s="309">
        <f t="shared" si="65"/>
        <v>0.69</v>
      </c>
      <c r="L213" s="230">
        <f t="shared" si="60"/>
        <v>0</v>
      </c>
      <c r="M213" s="64"/>
      <c r="N213" s="140"/>
      <c r="O213" s="503"/>
      <c r="P213" s="309">
        <f t="shared" si="66"/>
        <v>0</v>
      </c>
      <c r="Q213" s="235" t="str">
        <f t="shared" si="57"/>
        <v>Ш 10х10</v>
      </c>
      <c r="R213" s="377">
        <f t="shared" si="67"/>
        <v>0.97</v>
      </c>
      <c r="S213" s="319">
        <v>0.81</v>
      </c>
      <c r="T213" s="353">
        <f t="shared" si="62"/>
        <v>0</v>
      </c>
      <c r="U213" s="18">
        <v>960</v>
      </c>
      <c r="V213" s="20">
        <f t="shared" si="63"/>
        <v>0</v>
      </c>
      <c r="W213" s="52">
        <f t="shared" si="64"/>
        <v>0</v>
      </c>
      <c r="X213" s="147">
        <f>260+700</f>
        <v>960</v>
      </c>
      <c r="Y213" s="18">
        <v>1</v>
      </c>
      <c r="Z213" s="18"/>
      <c r="AA213" s="18"/>
      <c r="AB213" s="418"/>
      <c r="AC213" s="200"/>
      <c r="AD213" s="160">
        <v>0.39</v>
      </c>
      <c r="AE213" s="163"/>
      <c r="AF213" s="171"/>
      <c r="AG213" s="192"/>
      <c r="AH213" s="128"/>
      <c r="AI213" s="129"/>
      <c r="AJ213" s="185">
        <f t="shared" si="58"/>
        <v>374.4</v>
      </c>
      <c r="AK213" s="10"/>
      <c r="AL213" s="476"/>
      <c r="AM213" s="10"/>
    </row>
    <row r="214" spans="2:39" ht="26.25" hidden="1" customHeight="1" x14ac:dyDescent="0.25">
      <c r="B214" s="11"/>
      <c r="C214" s="6" t="s">
        <v>19</v>
      </c>
      <c r="D214" s="23" t="s">
        <v>15</v>
      </c>
      <c r="E214" s="104" t="s">
        <v>101</v>
      </c>
      <c r="F214" s="387"/>
      <c r="G214" s="14" t="s">
        <v>0</v>
      </c>
      <c r="H214" s="39"/>
      <c r="I214" s="309">
        <v>0</v>
      </c>
      <c r="J214" s="39">
        <f t="shared" si="61"/>
        <v>0</v>
      </c>
      <c r="K214" s="309">
        <f t="shared" si="65"/>
        <v>0.46</v>
      </c>
      <c r="L214" s="230">
        <f t="shared" si="60"/>
        <v>0</v>
      </c>
      <c r="M214" s="90" t="s">
        <v>121</v>
      </c>
      <c r="N214" s="140"/>
      <c r="O214" s="39"/>
      <c r="P214" s="490">
        <f t="shared" si="66"/>
        <v>0</v>
      </c>
      <c r="Q214" s="264" t="str">
        <f t="shared" si="57"/>
        <v>Ш12х15</v>
      </c>
      <c r="R214" s="377">
        <f t="shared" si="67"/>
        <v>0.65</v>
      </c>
      <c r="S214" s="322">
        <v>0.54</v>
      </c>
      <c r="T214" s="353">
        <f t="shared" si="62"/>
        <v>0</v>
      </c>
      <c r="U214" s="18">
        <v>5600</v>
      </c>
      <c r="V214" s="20">
        <f t="shared" si="63"/>
        <v>0</v>
      </c>
      <c r="W214" s="52">
        <f t="shared" si="64"/>
        <v>0</v>
      </c>
      <c r="X214" s="147">
        <v>5600</v>
      </c>
      <c r="Y214" s="18"/>
      <c r="Z214" s="18"/>
      <c r="AA214" s="18"/>
      <c r="AB214" s="418"/>
      <c r="AC214" s="200"/>
      <c r="AD214" s="160">
        <v>0.64</v>
      </c>
      <c r="AE214" s="165"/>
      <c r="AF214" s="160"/>
      <c r="AG214" s="192"/>
      <c r="AH214" s="16"/>
      <c r="AI214" s="16"/>
      <c r="AJ214" s="185">
        <f t="shared" si="58"/>
        <v>3584</v>
      </c>
      <c r="AK214" s="435"/>
      <c r="AL214" s="476"/>
      <c r="AM214" s="10"/>
    </row>
    <row r="215" spans="2:39" ht="26.25" customHeight="1" x14ac:dyDescent="0.25">
      <c r="B215" s="11">
        <v>78</v>
      </c>
      <c r="C215" s="6" t="s">
        <v>20</v>
      </c>
      <c r="D215" s="23" t="s">
        <v>15</v>
      </c>
      <c r="E215" s="104" t="s">
        <v>163</v>
      </c>
      <c r="F215" s="208">
        <v>433</v>
      </c>
      <c r="G215" s="12" t="s">
        <v>0</v>
      </c>
      <c r="H215" s="39">
        <v>192</v>
      </c>
      <c r="I215" s="360">
        <v>971.52</v>
      </c>
      <c r="J215" s="39">
        <f t="shared" si="61"/>
        <v>0</v>
      </c>
      <c r="K215" s="309">
        <f t="shared" si="65"/>
        <v>5.0599999999999996</v>
      </c>
      <c r="L215" s="230">
        <f t="shared" si="60"/>
        <v>0</v>
      </c>
      <c r="M215" s="365"/>
      <c r="N215" s="41"/>
      <c r="O215" s="503">
        <v>192</v>
      </c>
      <c r="P215" s="309">
        <f t="shared" si="66"/>
        <v>971.52</v>
      </c>
      <c r="Q215" s="235" t="str">
        <f t="shared" si="57"/>
        <v xml:space="preserve">Ш20х28 </v>
      </c>
      <c r="R215" s="377">
        <f t="shared" si="67"/>
        <v>7.08</v>
      </c>
      <c r="S215" s="319">
        <v>5.9</v>
      </c>
      <c r="T215" s="353">
        <f t="shared" si="62"/>
        <v>0</v>
      </c>
      <c r="U215" s="18">
        <v>4000</v>
      </c>
      <c r="V215" s="20">
        <f t="shared" si="63"/>
        <v>0</v>
      </c>
      <c r="W215" s="52">
        <f t="shared" si="64"/>
        <v>0</v>
      </c>
      <c r="X215" s="18">
        <v>4000</v>
      </c>
      <c r="Y215" s="18"/>
      <c r="Z215" s="18"/>
      <c r="AA215" s="18"/>
      <c r="AB215" s="418"/>
      <c r="AC215" s="200"/>
      <c r="AD215" s="160">
        <v>1.1499999999999999</v>
      </c>
      <c r="AE215" s="163"/>
      <c r="AF215" s="171"/>
      <c r="AG215" s="192"/>
      <c r="AH215" s="16"/>
      <c r="AI215" s="16"/>
      <c r="AJ215" s="185">
        <f t="shared" si="58"/>
        <v>4600</v>
      </c>
      <c r="AK215" s="435"/>
      <c r="AL215" s="476"/>
      <c r="AM215" s="10"/>
    </row>
    <row r="216" spans="2:39" ht="26.25" hidden="1" customHeight="1" x14ac:dyDescent="0.25">
      <c r="B216" s="11"/>
      <c r="C216" s="6" t="s">
        <v>19</v>
      </c>
      <c r="D216" s="23" t="s">
        <v>15</v>
      </c>
      <c r="E216" s="104" t="s">
        <v>156</v>
      </c>
      <c r="F216" s="387" t="s">
        <v>119</v>
      </c>
      <c r="G216" s="14" t="s">
        <v>0</v>
      </c>
      <c r="H216" s="39"/>
      <c r="I216" s="309">
        <v>0</v>
      </c>
      <c r="J216" s="39">
        <f t="shared" si="61"/>
        <v>0</v>
      </c>
      <c r="K216" s="309">
        <f t="shared" si="65"/>
        <v>0.34</v>
      </c>
      <c r="L216" s="230">
        <f t="shared" si="60"/>
        <v>0</v>
      </c>
      <c r="M216" s="90" t="s">
        <v>120</v>
      </c>
      <c r="N216" s="140"/>
      <c r="O216" s="39"/>
      <c r="P216" s="490">
        <f t="shared" si="66"/>
        <v>0</v>
      </c>
      <c r="Q216" s="262" t="str">
        <f t="shared" si="57"/>
        <v>Ш42х21х13</v>
      </c>
      <c r="R216" s="377">
        <f t="shared" si="67"/>
        <v>0.48</v>
      </c>
      <c r="S216" s="326">
        <v>0.4</v>
      </c>
      <c r="T216" s="353">
        <f t="shared" si="62"/>
        <v>0</v>
      </c>
      <c r="U216" s="20">
        <v>2444</v>
      </c>
      <c r="V216" s="20">
        <f t="shared" si="63"/>
        <v>0</v>
      </c>
      <c r="W216" s="52">
        <f t="shared" si="64"/>
        <v>0</v>
      </c>
      <c r="X216" s="148">
        <f>400+44+2000</f>
        <v>2444</v>
      </c>
      <c r="Y216" s="20"/>
      <c r="Z216" s="20">
        <v>1</v>
      </c>
      <c r="AA216" s="20"/>
      <c r="AB216" s="417"/>
      <c r="AC216" s="200"/>
      <c r="AD216" s="160">
        <v>0.64</v>
      </c>
      <c r="AE216" s="163"/>
      <c r="AF216" s="171"/>
      <c r="AG216" s="192"/>
      <c r="AH216" s="16"/>
      <c r="AI216" s="16"/>
      <c r="AJ216" s="185">
        <f t="shared" si="58"/>
        <v>1564.2</v>
      </c>
      <c r="AK216" s="437"/>
      <c r="AL216" s="477"/>
      <c r="AM216" s="10"/>
    </row>
    <row r="217" spans="2:39" ht="26.25" hidden="1" customHeight="1" x14ac:dyDescent="0.25">
      <c r="B217" s="19"/>
      <c r="C217" s="6" t="s">
        <v>19</v>
      </c>
      <c r="D217" s="23" t="s">
        <v>141</v>
      </c>
      <c r="E217" s="104" t="s">
        <v>88</v>
      </c>
      <c r="F217" s="385" t="s">
        <v>267</v>
      </c>
      <c r="G217" s="12" t="s">
        <v>0</v>
      </c>
      <c r="H217" s="39"/>
      <c r="I217" s="309">
        <v>0</v>
      </c>
      <c r="J217" s="39">
        <f t="shared" si="61"/>
        <v>0</v>
      </c>
      <c r="K217" s="309">
        <f t="shared" si="65"/>
        <v>7.0000000000000007E-2</v>
      </c>
      <c r="L217" s="230">
        <f t="shared" si="60"/>
        <v>0</v>
      </c>
      <c r="M217" s="214" t="s">
        <v>506</v>
      </c>
      <c r="N217" s="140"/>
      <c r="O217" s="39"/>
      <c r="P217" s="309">
        <f t="shared" si="66"/>
        <v>0</v>
      </c>
      <c r="Q217" s="235" t="str">
        <f t="shared" si="57"/>
        <v xml:space="preserve"> СК210-23 К14х9х 5</v>
      </c>
      <c r="R217" s="377">
        <f t="shared" si="67"/>
        <v>0.1</v>
      </c>
      <c r="S217" s="341">
        <v>8.3000000000000004E-2</v>
      </c>
      <c r="T217" s="353">
        <f t="shared" si="62"/>
        <v>0</v>
      </c>
      <c r="U217" s="20">
        <v>139300</v>
      </c>
      <c r="V217" s="20">
        <f t="shared" si="63"/>
        <v>0</v>
      </c>
      <c r="W217" s="52">
        <f t="shared" si="64"/>
        <v>0</v>
      </c>
      <c r="X217" s="148">
        <v>139300</v>
      </c>
      <c r="Y217" s="20"/>
      <c r="Z217" s="20">
        <v>1</v>
      </c>
      <c r="AA217" s="20"/>
      <c r="AB217" s="417"/>
      <c r="AC217" s="200"/>
      <c r="AD217" s="160">
        <v>0.08</v>
      </c>
      <c r="AE217" s="165"/>
      <c r="AF217" s="160"/>
      <c r="AG217" s="192"/>
      <c r="AH217" s="16"/>
      <c r="AI217" s="16"/>
      <c r="AJ217" s="185">
        <f t="shared" si="58"/>
        <v>11144</v>
      </c>
      <c r="AK217" s="435"/>
      <c r="AL217" s="481">
        <f>SUM(AJ191:AJ217)</f>
        <v>36460.699999999997</v>
      </c>
      <c r="AM217" s="10"/>
    </row>
    <row r="218" spans="2:39" ht="26.25" hidden="1" customHeight="1" x14ac:dyDescent="0.25">
      <c r="B218" s="11"/>
      <c r="C218" s="6" t="s">
        <v>18</v>
      </c>
      <c r="D218" s="23" t="s">
        <v>40</v>
      </c>
      <c r="E218" s="104" t="s">
        <v>211</v>
      </c>
      <c r="F218" s="375">
        <v>642</v>
      </c>
      <c r="G218" s="48" t="s">
        <v>0</v>
      </c>
      <c r="H218" s="39"/>
      <c r="I218" s="360">
        <v>0</v>
      </c>
      <c r="J218" s="39">
        <f t="shared" si="61"/>
        <v>0</v>
      </c>
      <c r="K218" s="309">
        <f t="shared" si="65"/>
        <v>0.51</v>
      </c>
      <c r="L218" s="230">
        <f t="shared" si="60"/>
        <v>0</v>
      </c>
      <c r="M218" s="219" t="s">
        <v>833</v>
      </c>
      <c r="N218" s="140"/>
      <c r="O218" s="39"/>
      <c r="P218" s="360">
        <f t="shared" si="66"/>
        <v>0</v>
      </c>
      <c r="Q218" s="235" t="str">
        <f t="shared" si="57"/>
        <v>Д3х2</v>
      </c>
      <c r="R218" s="306">
        <f t="shared" si="67"/>
        <v>0.72</v>
      </c>
      <c r="S218" s="319">
        <v>0.6</v>
      </c>
      <c r="T218" s="353">
        <f t="shared" si="62"/>
        <v>0</v>
      </c>
      <c r="U218" s="430">
        <v>8990</v>
      </c>
      <c r="V218" s="20">
        <f t="shared" si="63"/>
        <v>0</v>
      </c>
      <c r="W218" s="52">
        <f t="shared" si="64"/>
        <v>790</v>
      </c>
      <c r="X218" s="147">
        <v>9780</v>
      </c>
      <c r="Y218" s="18"/>
      <c r="Z218" s="18"/>
      <c r="AA218" s="18">
        <v>12</v>
      </c>
      <c r="AB218" s="418"/>
      <c r="AC218" s="168"/>
      <c r="AD218" s="450">
        <v>1.7999999999999999E-2</v>
      </c>
      <c r="AE218" s="162"/>
      <c r="AF218" s="171"/>
      <c r="AG218" s="176">
        <v>0.2</v>
      </c>
      <c r="AH218" s="120">
        <v>1.1000000000000001</v>
      </c>
      <c r="AI218" s="125">
        <v>0.35</v>
      </c>
      <c r="AJ218" s="185">
        <f t="shared" si="58"/>
        <v>176</v>
      </c>
      <c r="AK218" s="435" t="s">
        <v>341</v>
      </c>
      <c r="AL218" s="836"/>
      <c r="AM218" s="10"/>
    </row>
    <row r="219" spans="2:39" ht="26.25" customHeight="1" x14ac:dyDescent="0.25">
      <c r="B219" s="11">
        <v>79</v>
      </c>
      <c r="C219" s="6" t="s">
        <v>18</v>
      </c>
      <c r="D219" s="23" t="s">
        <v>40</v>
      </c>
      <c r="E219" s="104" t="s">
        <v>226</v>
      </c>
      <c r="F219" s="208">
        <v>966</v>
      </c>
      <c r="G219" s="48"/>
      <c r="H219" s="39"/>
      <c r="I219" s="309">
        <v>0</v>
      </c>
      <c r="J219" s="39">
        <f t="shared" si="61"/>
        <v>1600</v>
      </c>
      <c r="K219" s="309">
        <f t="shared" si="65"/>
        <v>0.17</v>
      </c>
      <c r="L219" s="230">
        <f t="shared" si="60"/>
        <v>0</v>
      </c>
      <c r="M219" s="216" t="s">
        <v>889</v>
      </c>
      <c r="N219" s="41">
        <v>800</v>
      </c>
      <c r="O219" s="39">
        <v>800</v>
      </c>
      <c r="P219" s="309">
        <f t="shared" si="66"/>
        <v>136</v>
      </c>
      <c r="Q219" s="235" t="str">
        <f t="shared" si="57"/>
        <v>Д3х3</v>
      </c>
      <c r="R219" s="377">
        <f t="shared" si="67"/>
        <v>0.24</v>
      </c>
      <c r="S219" s="319">
        <v>0.2</v>
      </c>
      <c r="T219" s="353">
        <f t="shared" si="62"/>
        <v>320</v>
      </c>
      <c r="U219" s="18">
        <v>8673</v>
      </c>
      <c r="V219" s="20">
        <f t="shared" si="63"/>
        <v>800</v>
      </c>
      <c r="W219" s="52">
        <f t="shared" si="64"/>
        <v>800</v>
      </c>
      <c r="X219" s="18">
        <f>7873+800</f>
        <v>8673</v>
      </c>
      <c r="Y219" s="18"/>
      <c r="Z219" s="18"/>
      <c r="AA219" s="18"/>
      <c r="AB219" s="418"/>
      <c r="AC219" s="168"/>
      <c r="AD219" s="450">
        <v>1.7999999999999999E-2</v>
      </c>
      <c r="AE219" s="163"/>
      <c r="AF219" s="171"/>
      <c r="AG219" s="192">
        <v>0.3</v>
      </c>
      <c r="AH219" s="110"/>
      <c r="AI219" s="125" t="s">
        <v>423</v>
      </c>
      <c r="AJ219" s="185">
        <f t="shared" si="58"/>
        <v>156.1</v>
      </c>
      <c r="AK219" s="435" t="s">
        <v>342</v>
      </c>
      <c r="AL219" s="832"/>
      <c r="AM219" s="832"/>
    </row>
    <row r="220" spans="2:39" ht="26.25" hidden="1" customHeight="1" x14ac:dyDescent="0.25">
      <c r="B220" s="11"/>
      <c r="C220" s="6" t="s">
        <v>18</v>
      </c>
      <c r="D220" s="23" t="s">
        <v>40</v>
      </c>
      <c r="E220" s="104" t="s">
        <v>227</v>
      </c>
      <c r="F220" s="394">
        <v>496</v>
      </c>
      <c r="G220" s="48"/>
      <c r="H220" s="39"/>
      <c r="I220" s="309">
        <v>0</v>
      </c>
      <c r="J220" s="39">
        <f t="shared" si="61"/>
        <v>0</v>
      </c>
      <c r="K220" s="309">
        <f t="shared" si="65"/>
        <v>0.43</v>
      </c>
      <c r="L220" s="230">
        <f t="shared" si="60"/>
        <v>0</v>
      </c>
      <c r="M220" s="215" t="s">
        <v>232</v>
      </c>
      <c r="N220" s="140"/>
      <c r="O220" s="39"/>
      <c r="P220" s="309">
        <f t="shared" si="66"/>
        <v>0</v>
      </c>
      <c r="Q220" s="235" t="str">
        <f t="shared" si="57"/>
        <v>Д3х4</v>
      </c>
      <c r="R220" s="377">
        <f t="shared" si="67"/>
        <v>0.6</v>
      </c>
      <c r="S220" s="319">
        <v>0.5</v>
      </c>
      <c r="T220" s="353">
        <f t="shared" si="62"/>
        <v>0</v>
      </c>
      <c r="U220" s="430">
        <v>2567</v>
      </c>
      <c r="V220" s="20">
        <f t="shared" si="63"/>
        <v>0</v>
      </c>
      <c r="W220" s="52">
        <f t="shared" si="64"/>
        <v>0</v>
      </c>
      <c r="X220" s="147">
        <f>1676+891</f>
        <v>2567</v>
      </c>
      <c r="Y220" s="18"/>
      <c r="Z220" s="18"/>
      <c r="AA220" s="18"/>
      <c r="AB220" s="418"/>
      <c r="AC220" s="168"/>
      <c r="AD220" s="450">
        <v>3.5999999999999997E-2</v>
      </c>
      <c r="AE220" s="162"/>
      <c r="AF220" s="171"/>
      <c r="AG220" s="176"/>
      <c r="AH220" s="120"/>
      <c r="AI220" s="125"/>
      <c r="AJ220" s="185">
        <f t="shared" si="58"/>
        <v>92.4</v>
      </c>
      <c r="AK220" s="435" t="s">
        <v>341</v>
      </c>
      <c r="AL220" s="840"/>
      <c r="AM220" s="10"/>
    </row>
    <row r="221" spans="2:39" ht="26.25" hidden="1" customHeight="1" x14ac:dyDescent="0.25">
      <c r="B221" s="11"/>
      <c r="C221" s="6" t="s">
        <v>18</v>
      </c>
      <c r="D221" s="23" t="s">
        <v>40</v>
      </c>
      <c r="E221" s="104" t="s">
        <v>245</v>
      </c>
      <c r="F221" s="210"/>
      <c r="G221" s="48"/>
      <c r="H221" s="39"/>
      <c r="I221" s="309">
        <v>0</v>
      </c>
      <c r="J221" s="39">
        <f t="shared" si="61"/>
        <v>0</v>
      </c>
      <c r="K221" s="309">
        <f t="shared" si="65"/>
        <v>1.8</v>
      </c>
      <c r="L221" s="230">
        <f t="shared" si="60"/>
        <v>0</v>
      </c>
      <c r="M221" s="95" t="s">
        <v>241</v>
      </c>
      <c r="N221" s="140"/>
      <c r="O221" s="39"/>
      <c r="P221" s="309">
        <f t="shared" si="66"/>
        <v>0</v>
      </c>
      <c r="Q221" s="235" t="str">
        <f t="shared" si="57"/>
        <v>Д3,5х2 с цн.пок.</v>
      </c>
      <c r="R221" s="377">
        <f t="shared" si="67"/>
        <v>2.52</v>
      </c>
      <c r="S221" s="339">
        <v>2.1</v>
      </c>
      <c r="T221" s="353">
        <f t="shared" si="62"/>
        <v>0</v>
      </c>
      <c r="U221" s="70">
        <v>1847</v>
      </c>
      <c r="V221" s="20">
        <f t="shared" si="63"/>
        <v>0</v>
      </c>
      <c r="W221" s="52">
        <f t="shared" si="64"/>
        <v>0</v>
      </c>
      <c r="X221" s="148">
        <v>1847</v>
      </c>
      <c r="Y221" s="20"/>
      <c r="Z221" s="20"/>
      <c r="AA221" s="20"/>
      <c r="AB221" s="417"/>
      <c r="AC221" s="168"/>
      <c r="AD221" s="450">
        <v>6.6000000000000003E-2</v>
      </c>
      <c r="AE221" s="162"/>
      <c r="AF221" s="171"/>
      <c r="AG221" s="176">
        <v>0.15</v>
      </c>
      <c r="AH221" s="120"/>
      <c r="AI221" s="125"/>
      <c r="AJ221" s="185">
        <f t="shared" si="58"/>
        <v>121.9</v>
      </c>
      <c r="AK221" s="435" t="s">
        <v>343</v>
      </c>
      <c r="AL221" s="836"/>
      <c r="AM221" s="10"/>
    </row>
    <row r="222" spans="2:39" ht="26.25" customHeight="1" x14ac:dyDescent="0.25">
      <c r="B222" s="11">
        <v>80</v>
      </c>
      <c r="C222" s="6" t="s">
        <v>18</v>
      </c>
      <c r="D222" s="23" t="s">
        <v>40</v>
      </c>
      <c r="E222" s="104" t="s">
        <v>246</v>
      </c>
      <c r="F222" s="270">
        <v>663</v>
      </c>
      <c r="G222" s="13" t="s">
        <v>0</v>
      </c>
      <c r="H222" s="39"/>
      <c r="I222" s="360">
        <v>0</v>
      </c>
      <c r="J222" s="39">
        <f t="shared" si="61"/>
        <v>15</v>
      </c>
      <c r="K222" s="309">
        <f t="shared" si="65"/>
        <v>0.81</v>
      </c>
      <c r="L222" s="230">
        <f t="shared" si="60"/>
        <v>0</v>
      </c>
      <c r="M222" s="216" t="s">
        <v>890</v>
      </c>
      <c r="N222" s="41">
        <v>15</v>
      </c>
      <c r="O222" s="39"/>
      <c r="P222" s="360">
        <f t="shared" si="66"/>
        <v>0</v>
      </c>
      <c r="Q222" s="263" t="str">
        <f t="shared" si="57"/>
        <v xml:space="preserve">Д3,5х2 </v>
      </c>
      <c r="R222" s="377">
        <f t="shared" si="67"/>
        <v>1.1399999999999999</v>
      </c>
      <c r="S222" s="319">
        <v>0.95</v>
      </c>
      <c r="T222" s="353">
        <f t="shared" si="62"/>
        <v>14.25</v>
      </c>
      <c r="U222" s="20">
        <v>4560</v>
      </c>
      <c r="V222" s="20">
        <f t="shared" si="63"/>
        <v>15</v>
      </c>
      <c r="W222" s="52">
        <f t="shared" si="64"/>
        <v>119</v>
      </c>
      <c r="X222" s="20">
        <f>760+3904</f>
        <v>4664</v>
      </c>
      <c r="Y222" s="20"/>
      <c r="Z222" s="20"/>
      <c r="AA222" s="20">
        <v>50</v>
      </c>
      <c r="AB222" s="417"/>
      <c r="AC222" s="168"/>
      <c r="AD222" s="450">
        <v>5.8000000000000003E-2</v>
      </c>
      <c r="AE222" s="165"/>
      <c r="AF222" s="160"/>
      <c r="AG222" s="192">
        <v>0.15</v>
      </c>
      <c r="AH222" s="110"/>
      <c r="AI222" s="125"/>
      <c r="AJ222" s="185">
        <f t="shared" si="58"/>
        <v>270.5</v>
      </c>
      <c r="AK222" s="435" t="s">
        <v>344</v>
      </c>
      <c r="AL222" s="832"/>
      <c r="AM222" s="832"/>
    </row>
    <row r="223" spans="2:39" ht="26.25" hidden="1" customHeight="1" x14ac:dyDescent="0.25">
      <c r="B223" s="11"/>
      <c r="C223" s="6" t="s">
        <v>18</v>
      </c>
      <c r="D223" s="23" t="s">
        <v>40</v>
      </c>
      <c r="E223" s="104" t="s">
        <v>228</v>
      </c>
      <c r="F223" s="210">
        <v>515</v>
      </c>
      <c r="G223" s="48"/>
      <c r="H223" s="39"/>
      <c r="I223" s="360">
        <v>0</v>
      </c>
      <c r="J223" s="39">
        <f t="shared" si="61"/>
        <v>0</v>
      </c>
      <c r="K223" s="309">
        <v>0.63</v>
      </c>
      <c r="L223" s="230">
        <f t="shared" si="60"/>
        <v>0</v>
      </c>
      <c r="M223" s="219" t="s">
        <v>834</v>
      </c>
      <c r="N223" s="140"/>
      <c r="O223" s="503"/>
      <c r="P223" s="309">
        <f t="shared" si="66"/>
        <v>0</v>
      </c>
      <c r="Q223" s="263" t="str">
        <f t="shared" si="57"/>
        <v>Д3,5х3</v>
      </c>
      <c r="R223" s="377">
        <f t="shared" si="67"/>
        <v>1.1399999999999999</v>
      </c>
      <c r="S223" s="326">
        <v>0.95</v>
      </c>
      <c r="T223" s="353">
        <f t="shared" si="62"/>
        <v>0</v>
      </c>
      <c r="U223" s="430">
        <v>3100</v>
      </c>
      <c r="V223" s="20">
        <f t="shared" si="63"/>
        <v>0</v>
      </c>
      <c r="W223" s="52">
        <f t="shared" si="64"/>
        <v>-38</v>
      </c>
      <c r="X223" s="147">
        <v>3062</v>
      </c>
      <c r="Y223" s="18"/>
      <c r="Z223" s="18"/>
      <c r="AA223" s="18">
        <v>500</v>
      </c>
      <c r="AB223" s="418"/>
      <c r="AC223" s="168"/>
      <c r="AD223" s="450">
        <v>0.13800000000000001</v>
      </c>
      <c r="AE223" s="163" t="s">
        <v>399</v>
      </c>
      <c r="AF223" s="171">
        <v>2.4E-2</v>
      </c>
      <c r="AG223" s="192"/>
      <c r="AH223" s="110"/>
      <c r="AI223" s="125"/>
      <c r="AJ223" s="185">
        <f>AF223*X223</f>
        <v>73.5</v>
      </c>
      <c r="AK223" s="435" t="s">
        <v>343</v>
      </c>
      <c r="AL223" s="840"/>
      <c r="AM223" s="10"/>
    </row>
    <row r="224" spans="2:39" ht="26.25" hidden="1" customHeight="1" x14ac:dyDescent="0.25">
      <c r="B224" s="11"/>
      <c r="C224" s="6" t="s">
        <v>18</v>
      </c>
      <c r="D224" s="23" t="s">
        <v>40</v>
      </c>
      <c r="E224" s="106" t="s">
        <v>186</v>
      </c>
      <c r="F224" s="210">
        <v>586</v>
      </c>
      <c r="G224" s="13" t="s">
        <v>0</v>
      </c>
      <c r="H224" s="39"/>
      <c r="I224" s="309">
        <v>0</v>
      </c>
      <c r="J224" s="39">
        <f t="shared" si="61"/>
        <v>0</v>
      </c>
      <c r="K224" s="309">
        <f>R224/1.4</f>
        <v>1.71</v>
      </c>
      <c r="L224" s="230">
        <f t="shared" si="60"/>
        <v>0</v>
      </c>
      <c r="M224" s="215" t="s">
        <v>707</v>
      </c>
      <c r="N224" s="140"/>
      <c r="O224" s="39"/>
      <c r="P224" s="490">
        <f t="shared" si="66"/>
        <v>0</v>
      </c>
      <c r="Q224" s="51" t="str">
        <f t="shared" si="57"/>
        <v>Д3х6</v>
      </c>
      <c r="R224" s="377">
        <f t="shared" si="67"/>
        <v>2.4</v>
      </c>
      <c r="S224" s="319">
        <v>2</v>
      </c>
      <c r="T224" s="353">
        <f t="shared" si="62"/>
        <v>0</v>
      </c>
      <c r="U224" s="430">
        <v>476</v>
      </c>
      <c r="V224" s="20">
        <f t="shared" si="63"/>
        <v>0</v>
      </c>
      <c r="W224" s="52">
        <f t="shared" si="64"/>
        <v>0</v>
      </c>
      <c r="X224" s="147">
        <v>476</v>
      </c>
      <c r="Y224" s="18"/>
      <c r="Z224" s="18"/>
      <c r="AA224" s="18"/>
      <c r="AB224" s="418"/>
      <c r="AC224" s="168"/>
      <c r="AD224" s="450">
        <v>0.04</v>
      </c>
      <c r="AE224" s="162"/>
      <c r="AF224" s="171"/>
      <c r="AG224" s="176">
        <v>0.33</v>
      </c>
      <c r="AH224" s="120"/>
      <c r="AI224" s="125"/>
      <c r="AJ224" s="185">
        <f>X224*AD224</f>
        <v>19</v>
      </c>
      <c r="AK224" s="435" t="s">
        <v>341</v>
      </c>
      <c r="AL224" s="476"/>
      <c r="AM224" s="10"/>
    </row>
    <row r="225" spans="1:73" ht="26.25" customHeight="1" x14ac:dyDescent="0.25">
      <c r="B225" s="11">
        <v>81</v>
      </c>
      <c r="C225" s="6" t="s">
        <v>18</v>
      </c>
      <c r="D225" s="23" t="s">
        <v>40</v>
      </c>
      <c r="E225" s="106" t="s">
        <v>285</v>
      </c>
      <c r="F225" s="383">
        <v>1224</v>
      </c>
      <c r="G225" s="12" t="s">
        <v>0</v>
      </c>
      <c r="H225" s="39">
        <v>1440</v>
      </c>
      <c r="I225" s="360">
        <v>244.8</v>
      </c>
      <c r="J225" s="39">
        <f t="shared" si="61"/>
        <v>0</v>
      </c>
      <c r="K225" s="309">
        <f>R225/1.4</f>
        <v>0.17</v>
      </c>
      <c r="L225" s="230"/>
      <c r="M225" s="250" t="s">
        <v>538</v>
      </c>
      <c r="N225" s="41"/>
      <c r="O225" s="503">
        <v>1440</v>
      </c>
      <c r="P225" s="497">
        <f t="shared" si="66"/>
        <v>244.8</v>
      </c>
      <c r="Q225" s="263" t="str">
        <f t="shared" si="57"/>
        <v>Д4х2</v>
      </c>
      <c r="R225" s="377">
        <f t="shared" si="67"/>
        <v>0.24</v>
      </c>
      <c r="S225" s="342">
        <v>0.2</v>
      </c>
      <c r="T225" s="353">
        <f t="shared" si="62"/>
        <v>0</v>
      </c>
      <c r="U225" s="20">
        <v>50</v>
      </c>
      <c r="V225" s="20">
        <f t="shared" si="63"/>
        <v>0</v>
      </c>
      <c r="W225" s="52">
        <f t="shared" si="64"/>
        <v>0</v>
      </c>
      <c r="X225" s="20">
        <v>50</v>
      </c>
      <c r="Y225" s="20"/>
      <c r="Z225" s="20"/>
      <c r="AA225" s="20">
        <v>1440</v>
      </c>
      <c r="AB225" s="417"/>
      <c r="AC225" s="168"/>
      <c r="AD225" s="450">
        <v>0.02</v>
      </c>
      <c r="AE225" s="165"/>
      <c r="AF225" s="160"/>
      <c r="AG225" s="192">
        <v>0.19</v>
      </c>
      <c r="AH225" s="110"/>
      <c r="AI225" s="125"/>
      <c r="AJ225" s="185">
        <f>X225*AD225</f>
        <v>1</v>
      </c>
      <c r="AK225" s="435" t="s">
        <v>344</v>
      </c>
      <c r="AL225" s="476"/>
      <c r="AM225" s="10"/>
    </row>
    <row r="226" spans="1:73" ht="26.25" hidden="1" customHeight="1" x14ac:dyDescent="0.25">
      <c r="B226" s="11"/>
      <c r="C226" s="6" t="s">
        <v>18</v>
      </c>
      <c r="D226" s="23" t="s">
        <v>40</v>
      </c>
      <c r="E226" s="104" t="s">
        <v>229</v>
      </c>
      <c r="F226" s="384">
        <v>452</v>
      </c>
      <c r="G226" s="48"/>
      <c r="H226" s="39"/>
      <c r="I226" s="360">
        <v>0</v>
      </c>
      <c r="J226" s="39">
        <f t="shared" si="61"/>
        <v>0</v>
      </c>
      <c r="K226" s="309">
        <f>R226/1.4</f>
        <v>0.51</v>
      </c>
      <c r="L226" s="230">
        <f>K226*J522</f>
        <v>0</v>
      </c>
      <c r="M226" s="369" t="s">
        <v>835</v>
      </c>
      <c r="N226" s="140"/>
      <c r="O226" s="503"/>
      <c r="P226" s="309">
        <f t="shared" si="66"/>
        <v>0</v>
      </c>
      <c r="Q226" s="51" t="str">
        <f t="shared" si="57"/>
        <v>Д4,5х3</v>
      </c>
      <c r="R226" s="377">
        <f t="shared" si="67"/>
        <v>0.72</v>
      </c>
      <c r="S226" s="339">
        <v>0.6</v>
      </c>
      <c r="T226" s="353">
        <f t="shared" si="62"/>
        <v>0</v>
      </c>
      <c r="U226" s="430">
        <v>6981</v>
      </c>
      <c r="V226" s="20">
        <f t="shared" si="63"/>
        <v>0</v>
      </c>
      <c r="W226" s="52">
        <f t="shared" si="64"/>
        <v>104</v>
      </c>
      <c r="X226" s="147">
        <f>4286+1699+1100</f>
        <v>7085</v>
      </c>
      <c r="Y226" s="18"/>
      <c r="Z226" s="18"/>
      <c r="AA226" s="18">
        <f>700+100</f>
        <v>800</v>
      </c>
      <c r="AB226" s="418"/>
      <c r="AC226" s="168"/>
      <c r="AD226" s="450">
        <v>0.19</v>
      </c>
      <c r="AE226" s="162"/>
      <c r="AF226" s="171"/>
      <c r="AG226" s="176">
        <v>0.4</v>
      </c>
      <c r="AH226" s="120">
        <v>3.2</v>
      </c>
      <c r="AI226" s="125"/>
      <c r="AJ226" s="185">
        <f>X226*AD226</f>
        <v>1346.2</v>
      </c>
      <c r="AK226" s="435" t="s">
        <v>344</v>
      </c>
      <c r="AL226" s="476"/>
      <c r="AM226" s="10"/>
    </row>
    <row r="227" spans="1:73" s="4" customFormat="1" ht="26.25" hidden="1" customHeight="1" x14ac:dyDescent="0.25">
      <c r="A227" s="10"/>
      <c r="B227" s="11"/>
      <c r="C227" s="6" t="s">
        <v>18</v>
      </c>
      <c r="D227" s="23" t="s">
        <v>40</v>
      </c>
      <c r="E227" s="104" t="s">
        <v>868</v>
      </c>
      <c r="F227" s="375">
        <v>1304</v>
      </c>
      <c r="G227" s="48"/>
      <c r="H227" s="39"/>
      <c r="I227" s="360">
        <v>0</v>
      </c>
      <c r="J227" s="39">
        <f t="shared" si="61"/>
        <v>0</v>
      </c>
      <c r="K227" s="309">
        <f>R227/1.4</f>
        <v>5.14</v>
      </c>
      <c r="L227" s="230"/>
      <c r="M227" s="250" t="s">
        <v>539</v>
      </c>
      <c r="N227" s="140"/>
      <c r="O227" s="39"/>
      <c r="P227" s="467">
        <f t="shared" si="66"/>
        <v>0</v>
      </c>
      <c r="Q227" s="264" t="str">
        <f t="shared" si="57"/>
        <v>Д5х3 N42H</v>
      </c>
      <c r="R227" s="306">
        <f t="shared" si="67"/>
        <v>7.2</v>
      </c>
      <c r="S227" s="339">
        <v>6</v>
      </c>
      <c r="T227" s="353">
        <f t="shared" si="62"/>
        <v>0</v>
      </c>
      <c r="U227" s="20">
        <v>20</v>
      </c>
      <c r="V227" s="20">
        <f t="shared" si="63"/>
        <v>0</v>
      </c>
      <c r="W227" s="52">
        <f t="shared" si="64"/>
        <v>0</v>
      </c>
      <c r="X227" s="148">
        <v>20</v>
      </c>
      <c r="Y227" s="20"/>
      <c r="Z227" s="20"/>
      <c r="AA227" s="20"/>
      <c r="AB227" s="417"/>
      <c r="AC227" s="200"/>
      <c r="AD227" s="160"/>
      <c r="AE227" s="162"/>
      <c r="AF227" s="171"/>
      <c r="AG227" s="176"/>
      <c r="AH227" s="120"/>
      <c r="AI227" s="125"/>
      <c r="AJ227" s="185"/>
      <c r="AK227" s="125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</row>
    <row r="228" spans="1:73" ht="26.25" customHeight="1" x14ac:dyDescent="0.25">
      <c r="B228" s="11">
        <v>82</v>
      </c>
      <c r="C228" s="6" t="s">
        <v>18</v>
      </c>
      <c r="D228" s="23" t="s">
        <v>40</v>
      </c>
      <c r="E228" s="104" t="s">
        <v>158</v>
      </c>
      <c r="F228" s="208">
        <v>808</v>
      </c>
      <c r="G228" s="12" t="s">
        <v>0</v>
      </c>
      <c r="H228" s="39">
        <v>1280</v>
      </c>
      <c r="I228" s="360">
        <v>332.8</v>
      </c>
      <c r="J228" s="39">
        <f t="shared" si="61"/>
        <v>0</v>
      </c>
      <c r="K228" s="309">
        <v>0.26</v>
      </c>
      <c r="L228" s="230">
        <f>K228*J524</f>
        <v>0</v>
      </c>
      <c r="M228" s="215" t="s">
        <v>803</v>
      </c>
      <c r="N228" s="41"/>
      <c r="O228" s="503">
        <v>1280</v>
      </c>
      <c r="P228" s="309">
        <f t="shared" si="66"/>
        <v>332.8</v>
      </c>
      <c r="Q228" s="235" t="str">
        <f t="shared" si="57"/>
        <v>Д5х2</v>
      </c>
      <c r="R228" s="377">
        <f t="shared" si="67"/>
        <v>0.36</v>
      </c>
      <c r="S228" s="319">
        <v>0.3</v>
      </c>
      <c r="T228" s="353">
        <f t="shared" si="62"/>
        <v>0</v>
      </c>
      <c r="U228" s="20">
        <v>10065</v>
      </c>
      <c r="V228" s="20">
        <f t="shared" si="63"/>
        <v>0</v>
      </c>
      <c r="W228" s="52">
        <f t="shared" si="64"/>
        <v>0</v>
      </c>
      <c r="X228" s="20">
        <f>9365+1500-800</f>
        <v>10065</v>
      </c>
      <c r="Y228" s="20"/>
      <c r="Z228" s="20"/>
      <c r="AA228" s="20">
        <v>400</v>
      </c>
      <c r="AB228" s="417"/>
      <c r="AC228" s="168"/>
      <c r="AD228" s="450">
        <v>2.4E-2</v>
      </c>
      <c r="AE228" s="163"/>
      <c r="AF228" s="171"/>
      <c r="AG228" s="192">
        <v>0.3</v>
      </c>
      <c r="AH228" s="110"/>
      <c r="AI228" s="125" t="s">
        <v>422</v>
      </c>
      <c r="AJ228" s="185">
        <f>X228*AD228</f>
        <v>241.6</v>
      </c>
      <c r="AK228" s="435" t="s">
        <v>345</v>
      </c>
      <c r="AL228" s="476"/>
      <c r="AM228" s="10"/>
    </row>
    <row r="229" spans="1:73" ht="26.25" hidden="1" customHeight="1" x14ac:dyDescent="0.25">
      <c r="B229" s="11"/>
      <c r="C229" s="6" t="s">
        <v>18</v>
      </c>
      <c r="D229" s="23" t="s">
        <v>40</v>
      </c>
      <c r="E229" s="104" t="s">
        <v>642</v>
      </c>
      <c r="F229" s="208">
        <v>1401</v>
      </c>
      <c r="G229" s="48"/>
      <c r="H229" s="39"/>
      <c r="I229" s="309">
        <v>0</v>
      </c>
      <c r="J229" s="39">
        <f t="shared" si="61"/>
        <v>0</v>
      </c>
      <c r="K229" s="309">
        <f>R229/1.4</f>
        <v>2.14</v>
      </c>
      <c r="L229" s="230">
        <f>K229*J525</f>
        <v>0</v>
      </c>
      <c r="M229" s="158" t="s">
        <v>628</v>
      </c>
      <c r="N229" s="140"/>
      <c r="O229" s="39"/>
      <c r="P229" s="490">
        <f t="shared" si="66"/>
        <v>0</v>
      </c>
      <c r="Q229" s="262" t="str">
        <f t="shared" si="57"/>
        <v>Д5х2 с ник.покр.</v>
      </c>
      <c r="R229" s="377">
        <f t="shared" si="67"/>
        <v>3</v>
      </c>
      <c r="S229" s="330">
        <v>2.5</v>
      </c>
      <c r="T229" s="353">
        <f t="shared" si="62"/>
        <v>0</v>
      </c>
      <c r="U229" s="70">
        <v>16000</v>
      </c>
      <c r="V229" s="20">
        <f t="shared" si="63"/>
        <v>0</v>
      </c>
      <c r="W229" s="52">
        <f t="shared" si="64"/>
        <v>0</v>
      </c>
      <c r="X229" s="70">
        <f>10285+5715</f>
        <v>16000</v>
      </c>
      <c r="Y229" s="20"/>
      <c r="Z229" s="20"/>
      <c r="AA229" s="20"/>
      <c r="AB229" s="417"/>
      <c r="AC229" s="451"/>
      <c r="AD229" s="450">
        <v>2.4E-2</v>
      </c>
      <c r="AE229" s="163"/>
      <c r="AF229" s="171"/>
      <c r="AG229" s="192">
        <v>0.3</v>
      </c>
      <c r="AH229" s="110"/>
      <c r="AI229" s="125" t="s">
        <v>422</v>
      </c>
      <c r="AJ229" s="185">
        <f>X229*AD229</f>
        <v>384</v>
      </c>
      <c r="AK229" s="435" t="s">
        <v>345</v>
      </c>
      <c r="AL229" s="476"/>
      <c r="AM229" s="10"/>
    </row>
    <row r="230" spans="1:73" ht="26.25" hidden="1" customHeight="1" x14ac:dyDescent="0.25">
      <c r="B230" s="19"/>
      <c r="C230" s="6" t="s">
        <v>18</v>
      </c>
      <c r="D230" s="23" t="s">
        <v>40</v>
      </c>
      <c r="E230" s="104" t="s">
        <v>360</v>
      </c>
      <c r="F230" s="208"/>
      <c r="G230" s="48"/>
      <c r="H230" s="39"/>
      <c r="I230" s="309">
        <v>0</v>
      </c>
      <c r="J230" s="39">
        <f t="shared" si="61"/>
        <v>0</v>
      </c>
      <c r="K230" s="309"/>
      <c r="L230" s="230"/>
      <c r="M230" s="90"/>
      <c r="N230" s="140"/>
      <c r="O230" s="39"/>
      <c r="P230" s="497">
        <f t="shared" si="66"/>
        <v>0</v>
      </c>
      <c r="Q230" s="263" t="str">
        <f t="shared" si="57"/>
        <v>Д5х3 С  ЦН.ПОК.</v>
      </c>
      <c r="R230" s="377">
        <f t="shared" si="67"/>
        <v>0</v>
      </c>
      <c r="S230" s="319">
        <v>0</v>
      </c>
      <c r="T230" s="353">
        <f t="shared" si="62"/>
        <v>0</v>
      </c>
      <c r="U230" s="70">
        <v>483</v>
      </c>
      <c r="V230" s="20">
        <f t="shared" si="63"/>
        <v>0</v>
      </c>
      <c r="W230" s="52">
        <f t="shared" si="64"/>
        <v>-61</v>
      </c>
      <c r="X230" s="148">
        <v>422</v>
      </c>
      <c r="Y230" s="20"/>
      <c r="Z230" s="20"/>
      <c r="AA230" s="20"/>
      <c r="AB230" s="417"/>
      <c r="AC230" s="451"/>
      <c r="AD230" s="450">
        <v>3.5999999999999997E-2</v>
      </c>
      <c r="AE230" s="163"/>
      <c r="AF230" s="171"/>
      <c r="AG230" s="192">
        <v>0.4</v>
      </c>
      <c r="AH230" s="110"/>
      <c r="AI230" s="125" t="s">
        <v>424</v>
      </c>
      <c r="AJ230" s="185">
        <f>X230*AD230</f>
        <v>15.2</v>
      </c>
      <c r="AK230" s="435" t="s">
        <v>342</v>
      </c>
      <c r="AL230" s="476"/>
      <c r="AM230" s="10"/>
    </row>
    <row r="231" spans="1:73" ht="26.25" hidden="1" customHeight="1" x14ac:dyDescent="0.25">
      <c r="B231" s="11"/>
      <c r="C231" s="6" t="s">
        <v>18</v>
      </c>
      <c r="D231" s="23" t="s">
        <v>40</v>
      </c>
      <c r="E231" s="104" t="s">
        <v>124</v>
      </c>
      <c r="F231" s="383" t="s">
        <v>183</v>
      </c>
      <c r="G231" s="12" t="s">
        <v>0</v>
      </c>
      <c r="H231" s="39"/>
      <c r="I231" s="360">
        <v>0</v>
      </c>
      <c r="J231" s="39">
        <f t="shared" si="61"/>
        <v>0</v>
      </c>
      <c r="K231" s="309">
        <f>R231/1.4</f>
        <v>0.46</v>
      </c>
      <c r="L231" s="230">
        <f>K231*J527</f>
        <v>0</v>
      </c>
      <c r="M231" s="298" t="s">
        <v>519</v>
      </c>
      <c r="N231" s="140"/>
      <c r="O231" s="39"/>
      <c r="P231" s="309">
        <f t="shared" si="66"/>
        <v>0</v>
      </c>
      <c r="Q231" s="51" t="str">
        <f t="shared" si="57"/>
        <v>Д5х3</v>
      </c>
      <c r="R231" s="377">
        <f t="shared" si="67"/>
        <v>0.65</v>
      </c>
      <c r="S231" s="330">
        <v>0.54</v>
      </c>
      <c r="T231" s="353">
        <f t="shared" ref="T231:T263" si="68">S231*J231</f>
        <v>0</v>
      </c>
      <c r="U231" s="70">
        <v>1649</v>
      </c>
      <c r="V231" s="20">
        <f t="shared" ref="V231:V264" si="69">N231</f>
        <v>0</v>
      </c>
      <c r="W231" s="52">
        <f t="shared" ref="W231:W236" si="70">X231-U231+V231</f>
        <v>0</v>
      </c>
      <c r="X231" s="148">
        <v>1649</v>
      </c>
      <c r="Y231" s="20"/>
      <c r="Z231" s="20"/>
      <c r="AA231" s="20"/>
      <c r="AB231" s="417"/>
      <c r="AC231" s="168"/>
      <c r="AD231" s="450">
        <v>3.5999999999999997E-2</v>
      </c>
      <c r="AE231" s="163"/>
      <c r="AF231" s="171"/>
      <c r="AG231" s="192">
        <v>0.4</v>
      </c>
      <c r="AH231" s="110"/>
      <c r="AI231" s="125" t="s">
        <v>424</v>
      </c>
      <c r="AJ231" s="185">
        <f>X231*AD231</f>
        <v>59.4</v>
      </c>
      <c r="AK231" s="435" t="s">
        <v>342</v>
      </c>
      <c r="AL231" s="476"/>
      <c r="AM231" s="10"/>
    </row>
    <row r="232" spans="1:73" ht="26.25" customHeight="1" x14ac:dyDescent="0.25">
      <c r="B232" s="11">
        <v>83</v>
      </c>
      <c r="C232" s="6" t="s">
        <v>18</v>
      </c>
      <c r="D232" s="23" t="s">
        <v>40</v>
      </c>
      <c r="E232" s="87" t="s">
        <v>286</v>
      </c>
      <c r="F232" s="208">
        <v>1072</v>
      </c>
      <c r="G232" s="12" t="s">
        <v>0</v>
      </c>
      <c r="H232" s="39">
        <v>4880</v>
      </c>
      <c r="I232" s="360">
        <v>7124.8</v>
      </c>
      <c r="J232" s="39">
        <f t="shared" si="61"/>
        <v>0</v>
      </c>
      <c r="K232" s="309">
        <f>R232/1.4</f>
        <v>1.46</v>
      </c>
      <c r="L232" s="230">
        <f>K232*J528</f>
        <v>0</v>
      </c>
      <c r="M232" s="399"/>
      <c r="N232" s="890"/>
      <c r="O232" s="503">
        <f>5000-120</f>
        <v>4880</v>
      </c>
      <c r="P232" s="490">
        <f t="shared" si="66"/>
        <v>7124.8</v>
      </c>
      <c r="Q232" s="262" t="str">
        <f t="shared" si="57"/>
        <v xml:space="preserve">Д5х5 </v>
      </c>
      <c r="R232" s="377">
        <f t="shared" si="67"/>
        <v>2.04</v>
      </c>
      <c r="S232" s="339">
        <v>1.7</v>
      </c>
      <c r="T232" s="353">
        <f t="shared" si="68"/>
        <v>0</v>
      </c>
      <c r="U232" s="18">
        <v>13360</v>
      </c>
      <c r="V232" s="20">
        <f t="shared" si="69"/>
        <v>0</v>
      </c>
      <c r="W232" s="52">
        <f t="shared" si="70"/>
        <v>0</v>
      </c>
      <c r="X232" s="18">
        <f>4110*3+1150-120</f>
        <v>13360</v>
      </c>
      <c r="Y232" s="18" t="s">
        <v>782</v>
      </c>
      <c r="Z232" s="18"/>
      <c r="AA232" s="18"/>
      <c r="AB232" s="418"/>
      <c r="AC232" s="168"/>
      <c r="AD232" s="450">
        <v>0.06</v>
      </c>
      <c r="AE232" s="165"/>
      <c r="AF232" s="160"/>
      <c r="AG232" s="192">
        <v>0.7</v>
      </c>
      <c r="AH232" s="110"/>
      <c r="AI232" s="125" t="s">
        <v>411</v>
      </c>
      <c r="AJ232" s="185">
        <f>X232*AD232</f>
        <v>801.6</v>
      </c>
      <c r="AK232" s="435" t="s">
        <v>361</v>
      </c>
      <c r="AL232" s="476"/>
      <c r="AM232" s="10"/>
    </row>
    <row r="233" spans="1:73" ht="32.25" customHeight="1" x14ac:dyDescent="0.25">
      <c r="B233" s="11">
        <v>84</v>
      </c>
      <c r="C233" s="6" t="s">
        <v>18</v>
      </c>
      <c r="D233" s="23" t="s">
        <v>40</v>
      </c>
      <c r="E233" s="87" t="s">
        <v>269</v>
      </c>
      <c r="F233" s="208">
        <v>481</v>
      </c>
      <c r="G233" s="12" t="s">
        <v>0</v>
      </c>
      <c r="H233" s="39">
        <v>4712</v>
      </c>
      <c r="I233" s="360">
        <v>1130.8800000000001</v>
      </c>
      <c r="J233" s="39">
        <f t="shared" si="61"/>
        <v>0</v>
      </c>
      <c r="K233" s="309">
        <f>R233/1.4</f>
        <v>1.29</v>
      </c>
      <c r="L233" s="230">
        <f>K233*J529</f>
        <v>0</v>
      </c>
      <c r="M233" s="250" t="s">
        <v>540</v>
      </c>
      <c r="N233" s="890">
        <v>30</v>
      </c>
      <c r="O233" s="503">
        <f>4712-30</f>
        <v>4682</v>
      </c>
      <c r="P233" s="309">
        <f t="shared" si="66"/>
        <v>6039.78</v>
      </c>
      <c r="Q233" s="235" t="str">
        <f t="shared" si="57"/>
        <v>Д5х6 ЭПГ111.035</v>
      </c>
      <c r="R233" s="377">
        <f t="shared" si="67"/>
        <v>1.8</v>
      </c>
      <c r="S233" s="319">
        <v>1.5</v>
      </c>
      <c r="T233" s="353">
        <f t="shared" si="68"/>
        <v>0</v>
      </c>
      <c r="U233" s="18">
        <v>44506</v>
      </c>
      <c r="V233" s="20">
        <f t="shared" si="69"/>
        <v>30</v>
      </c>
      <c r="W233" s="52">
        <f t="shared" si="70"/>
        <v>30</v>
      </c>
      <c r="X233" s="18">
        <f>3168*6+3366*7+1571+565-200</f>
        <v>44506</v>
      </c>
      <c r="Y233" s="18" t="s">
        <v>782</v>
      </c>
      <c r="Z233" s="18"/>
      <c r="AA233" s="18">
        <v>1000</v>
      </c>
      <c r="AB233" s="418"/>
      <c r="AC233" s="168"/>
      <c r="AD233" s="450">
        <v>7.1999999999999995E-2</v>
      </c>
      <c r="AE233" s="164" t="s">
        <v>398</v>
      </c>
      <c r="AF233" s="160">
        <v>0.14499999999999999</v>
      </c>
      <c r="AG233" s="192">
        <v>0.7</v>
      </c>
      <c r="AH233" s="110"/>
      <c r="AI233" s="125" t="s">
        <v>411</v>
      </c>
      <c r="AJ233" s="185">
        <f>AD233*X233</f>
        <v>3204.4</v>
      </c>
      <c r="AK233" s="435"/>
      <c r="AL233" s="476">
        <v>1123.68</v>
      </c>
      <c r="AM233" s="832">
        <f>P233-AL233</f>
        <v>4916.1000000000004</v>
      </c>
    </row>
    <row r="234" spans="1:73" ht="26.25" hidden="1" customHeight="1" x14ac:dyDescent="0.25">
      <c r="B234" s="11"/>
      <c r="C234" s="6" t="s">
        <v>18</v>
      </c>
      <c r="D234" s="23" t="s">
        <v>40</v>
      </c>
      <c r="E234" s="87" t="s">
        <v>389</v>
      </c>
      <c r="F234" s="208">
        <v>1170</v>
      </c>
      <c r="G234" s="48" t="s">
        <v>0</v>
      </c>
      <c r="H234" s="39"/>
      <c r="I234" s="309">
        <v>0</v>
      </c>
      <c r="J234" s="39">
        <f t="shared" si="61"/>
        <v>0</v>
      </c>
      <c r="K234" s="309">
        <f>R234/1.4</f>
        <v>0.53</v>
      </c>
      <c r="L234" s="230"/>
      <c r="M234" s="156" t="s">
        <v>409</v>
      </c>
      <c r="N234" s="143"/>
      <c r="O234" s="39"/>
      <c r="P234" s="490">
        <f t="shared" si="66"/>
        <v>0</v>
      </c>
      <c r="Q234" s="264" t="str">
        <f t="shared" si="57"/>
        <v>Д5х6 нжб1400</v>
      </c>
      <c r="R234" s="377">
        <f t="shared" si="67"/>
        <v>0.74</v>
      </c>
      <c r="S234" s="319">
        <v>0.61799999999999999</v>
      </c>
      <c r="T234" s="353">
        <f t="shared" si="68"/>
        <v>0</v>
      </c>
      <c r="U234" s="70">
        <v>3706</v>
      </c>
      <c r="V234" s="20">
        <f t="shared" si="69"/>
        <v>0</v>
      </c>
      <c r="W234" s="52">
        <f t="shared" si="70"/>
        <v>0</v>
      </c>
      <c r="X234" s="70">
        <f>2706+1000</f>
        <v>3706</v>
      </c>
      <c r="Y234" s="18" t="s">
        <v>782</v>
      </c>
      <c r="Z234" s="20"/>
      <c r="AA234" s="20"/>
      <c r="AB234" s="417"/>
      <c r="AC234" s="168"/>
      <c r="AD234" s="450">
        <v>0.38</v>
      </c>
      <c r="AE234" s="200" t="s">
        <v>395</v>
      </c>
      <c r="AF234" s="160"/>
      <c r="AG234" s="192">
        <v>0.7</v>
      </c>
      <c r="AH234" s="110"/>
      <c r="AI234" s="125" t="s">
        <v>411</v>
      </c>
      <c r="AJ234" s="185">
        <f>X234*AD234</f>
        <v>1408.3</v>
      </c>
      <c r="AK234" s="435"/>
      <c r="AL234" s="476"/>
      <c r="AM234" s="10"/>
    </row>
    <row r="235" spans="1:73" ht="26.25" customHeight="1" x14ac:dyDescent="0.25">
      <c r="B235" s="11">
        <v>85</v>
      </c>
      <c r="C235" s="6" t="s">
        <v>18</v>
      </c>
      <c r="D235" s="23" t="s">
        <v>40</v>
      </c>
      <c r="E235" s="104" t="s">
        <v>71</v>
      </c>
      <c r="F235" s="208" t="s">
        <v>76</v>
      </c>
      <c r="G235" s="12" t="s">
        <v>0</v>
      </c>
      <c r="H235" s="39">
        <v>8962</v>
      </c>
      <c r="I235" s="360">
        <v>2841.74</v>
      </c>
      <c r="J235" s="39">
        <f t="shared" si="61"/>
        <v>0</v>
      </c>
      <c r="K235" s="827">
        <v>0.317</v>
      </c>
      <c r="L235" s="230">
        <f>K235*J531</f>
        <v>0</v>
      </c>
      <c r="M235" s="399"/>
      <c r="N235" s="41">
        <v>50</v>
      </c>
      <c r="O235" s="503">
        <f>8962-50</f>
        <v>8912</v>
      </c>
      <c r="P235" s="309">
        <v>2825.74</v>
      </c>
      <c r="Q235" s="235" t="str">
        <f t="shared" si="57"/>
        <v>Д5х10</v>
      </c>
      <c r="R235" s="377">
        <f t="shared" si="67"/>
        <v>0.44</v>
      </c>
      <c r="S235" s="319">
        <v>0.37</v>
      </c>
      <c r="T235" s="353">
        <f t="shared" si="68"/>
        <v>0</v>
      </c>
      <c r="U235" s="20">
        <v>43059</v>
      </c>
      <c r="V235" s="20">
        <f t="shared" si="69"/>
        <v>50</v>
      </c>
      <c r="W235" s="52">
        <f t="shared" si="70"/>
        <v>50</v>
      </c>
      <c r="X235" s="20">
        <f>44775-1716</f>
        <v>43059</v>
      </c>
      <c r="Y235" s="18" t="s">
        <v>782</v>
      </c>
      <c r="Z235" s="20"/>
      <c r="AA235" s="20"/>
      <c r="AB235" s="417"/>
      <c r="AC235" s="168"/>
      <c r="AD235" s="450">
        <v>0.12</v>
      </c>
      <c r="AE235" s="162"/>
      <c r="AF235" s="171"/>
      <c r="AG235" s="192">
        <v>1.4</v>
      </c>
      <c r="AH235" s="110"/>
      <c r="AI235" s="125" t="s">
        <v>412</v>
      </c>
      <c r="AJ235" s="185">
        <f>X235*AD235</f>
        <v>5167.1000000000004</v>
      </c>
      <c r="AK235" s="435"/>
      <c r="AL235" s="476"/>
      <c r="AM235" s="10"/>
    </row>
    <row r="236" spans="1:73" ht="26.25" hidden="1" customHeight="1" x14ac:dyDescent="0.25">
      <c r="B236" s="11"/>
      <c r="C236" s="6" t="s">
        <v>18</v>
      </c>
      <c r="D236" s="23" t="s">
        <v>40</v>
      </c>
      <c r="E236" s="87" t="s">
        <v>621</v>
      </c>
      <c r="F236" s="393" t="s">
        <v>625</v>
      </c>
      <c r="G236" s="48" t="s">
        <v>0</v>
      </c>
      <c r="H236" s="39"/>
      <c r="I236" s="309">
        <v>0</v>
      </c>
      <c r="J236" s="39">
        <f t="shared" si="61"/>
        <v>0</v>
      </c>
      <c r="K236" s="309">
        <f t="shared" ref="K236:K243" si="71">R236/1.4</f>
        <v>1.46</v>
      </c>
      <c r="L236" s="230">
        <f>K236*J532</f>
        <v>0</v>
      </c>
      <c r="M236" s="158" t="s">
        <v>653</v>
      </c>
      <c r="N236" s="141"/>
      <c r="O236" s="503"/>
      <c r="P236" s="309">
        <f t="shared" ref="P236:P246" si="72">K236*O236</f>
        <v>0</v>
      </c>
      <c r="Q236" s="264" t="str">
        <f t="shared" si="57"/>
        <v>Д5х20</v>
      </c>
      <c r="R236" s="377">
        <f t="shared" si="67"/>
        <v>2.04</v>
      </c>
      <c r="S236" s="322">
        <v>1.7</v>
      </c>
      <c r="T236" s="353">
        <f t="shared" si="68"/>
        <v>0</v>
      </c>
      <c r="U236" s="20"/>
      <c r="V236" s="20">
        <f t="shared" si="69"/>
        <v>0</v>
      </c>
      <c r="W236" s="52">
        <f t="shared" si="70"/>
        <v>0</v>
      </c>
      <c r="X236" s="20"/>
      <c r="Y236" s="20"/>
      <c r="Z236" s="20"/>
      <c r="AA236" s="20"/>
      <c r="AB236" s="417"/>
      <c r="AC236" s="168"/>
      <c r="AD236" s="450">
        <v>0.25</v>
      </c>
      <c r="AE236" s="164"/>
      <c r="AF236" s="160"/>
      <c r="AG236" s="176">
        <v>2.5</v>
      </c>
      <c r="AH236" s="120">
        <v>25</v>
      </c>
      <c r="AI236" s="125"/>
      <c r="AJ236" s="185">
        <f>X236*AD236</f>
        <v>0</v>
      </c>
      <c r="AK236" s="435" t="s">
        <v>346</v>
      </c>
      <c r="AL236" s="476"/>
      <c r="AM236" s="10"/>
    </row>
    <row r="237" spans="1:73" ht="26.25" hidden="1" customHeight="1" x14ac:dyDescent="0.25">
      <c r="B237" s="11"/>
      <c r="C237" s="6" t="s">
        <v>18</v>
      </c>
      <c r="D237" s="23" t="s">
        <v>40</v>
      </c>
      <c r="E237" s="106" t="s">
        <v>703</v>
      </c>
      <c r="F237" s="209" t="s">
        <v>700</v>
      </c>
      <c r="G237" s="48" t="s">
        <v>0</v>
      </c>
      <c r="H237" s="39"/>
      <c r="I237" s="360">
        <v>0</v>
      </c>
      <c r="J237" s="39">
        <f t="shared" si="61"/>
        <v>0</v>
      </c>
      <c r="K237" s="309">
        <f t="shared" si="71"/>
        <v>2.66</v>
      </c>
      <c r="L237" s="230"/>
      <c r="M237" s="215" t="s">
        <v>708</v>
      </c>
      <c r="N237" s="141"/>
      <c r="O237" s="503"/>
      <c r="P237" s="309">
        <f t="shared" si="72"/>
        <v>0</v>
      </c>
      <c r="Q237" s="51" t="str">
        <f t="shared" si="57"/>
        <v>Д6х1 НЖБ1400</v>
      </c>
      <c r="R237" s="377">
        <f t="shared" si="67"/>
        <v>3.72</v>
      </c>
      <c r="S237" s="322">
        <v>3.1</v>
      </c>
      <c r="T237" s="353">
        <f t="shared" si="68"/>
        <v>0</v>
      </c>
      <c r="U237" s="70">
        <v>900</v>
      </c>
      <c r="V237" s="20">
        <f t="shared" si="69"/>
        <v>0</v>
      </c>
      <c r="W237" s="52"/>
      <c r="X237" s="70">
        <v>900</v>
      </c>
      <c r="Y237" s="20" t="s">
        <v>783</v>
      </c>
      <c r="Z237" s="20"/>
      <c r="AA237" s="20"/>
      <c r="AB237" s="417"/>
      <c r="AC237" s="168"/>
      <c r="AD237" s="450"/>
      <c r="AE237" s="164"/>
      <c r="AF237" s="160"/>
      <c r="AG237" s="176"/>
      <c r="AH237" s="120"/>
      <c r="AI237" s="125"/>
      <c r="AJ237" s="185"/>
      <c r="AK237" s="435"/>
      <c r="AL237" s="476"/>
      <c r="AM237" s="10"/>
    </row>
    <row r="238" spans="1:73" ht="26.25" hidden="1" customHeight="1" x14ac:dyDescent="0.25">
      <c r="B238" s="15"/>
      <c r="C238" s="6" t="s">
        <v>18</v>
      </c>
      <c r="D238" s="23" t="s">
        <v>40</v>
      </c>
      <c r="E238" s="106" t="s">
        <v>702</v>
      </c>
      <c r="F238" s="209" t="s">
        <v>701</v>
      </c>
      <c r="G238" s="48"/>
      <c r="H238" s="39"/>
      <c r="I238" s="360">
        <v>0</v>
      </c>
      <c r="J238" s="39">
        <f t="shared" si="61"/>
        <v>0</v>
      </c>
      <c r="K238" s="309">
        <f t="shared" si="71"/>
        <v>4.63</v>
      </c>
      <c r="L238" s="230"/>
      <c r="M238" s="215" t="s">
        <v>709</v>
      </c>
      <c r="N238" s="141"/>
      <c r="O238" s="503"/>
      <c r="P238" s="309">
        <f t="shared" si="72"/>
        <v>0</v>
      </c>
      <c r="Q238" s="51" t="str">
        <f t="shared" si="57"/>
        <v>Д6х2 НЖБ1400</v>
      </c>
      <c r="R238" s="377">
        <f t="shared" si="67"/>
        <v>6.48</v>
      </c>
      <c r="S238" s="322">
        <v>5.4</v>
      </c>
      <c r="T238" s="353">
        <f t="shared" si="68"/>
        <v>0</v>
      </c>
      <c r="U238" s="70">
        <v>900</v>
      </c>
      <c r="V238" s="20">
        <f t="shared" si="69"/>
        <v>0</v>
      </c>
      <c r="W238" s="52"/>
      <c r="X238" s="70">
        <v>900</v>
      </c>
      <c r="Y238" s="20" t="s">
        <v>783</v>
      </c>
      <c r="Z238" s="20"/>
      <c r="AA238" s="20"/>
      <c r="AB238" s="417"/>
      <c r="AC238" s="168"/>
      <c r="AD238" s="450"/>
      <c r="AE238" s="164"/>
      <c r="AF238" s="160"/>
      <c r="AG238" s="176"/>
      <c r="AH238" s="120"/>
      <c r="AI238" s="125"/>
      <c r="AJ238" s="185"/>
      <c r="AK238" s="435"/>
      <c r="AL238" s="476"/>
      <c r="AM238" s="10"/>
    </row>
    <row r="239" spans="1:73" ht="26.25" hidden="1" customHeight="1" x14ac:dyDescent="0.25">
      <c r="B239" s="15"/>
      <c r="C239" s="6" t="s">
        <v>18</v>
      </c>
      <c r="D239" s="23" t="s">
        <v>40</v>
      </c>
      <c r="E239" s="106" t="s">
        <v>216</v>
      </c>
      <c r="F239" s="208">
        <v>1191</v>
      </c>
      <c r="G239" s="48" t="s">
        <v>0</v>
      </c>
      <c r="H239" s="39"/>
      <c r="I239" s="360">
        <v>0</v>
      </c>
      <c r="J239" s="39">
        <f t="shared" si="61"/>
        <v>0</v>
      </c>
      <c r="K239" s="309">
        <f t="shared" si="71"/>
        <v>0.6</v>
      </c>
      <c r="L239" s="230">
        <f>K239*J535</f>
        <v>0</v>
      </c>
      <c r="M239" s="369" t="s">
        <v>710</v>
      </c>
      <c r="N239" s="140"/>
      <c r="O239" s="39"/>
      <c r="P239" s="309">
        <f t="shared" si="72"/>
        <v>0</v>
      </c>
      <c r="Q239" s="51" t="str">
        <f t="shared" si="57"/>
        <v>Д6х2</v>
      </c>
      <c r="R239" s="377">
        <f t="shared" si="67"/>
        <v>0.84</v>
      </c>
      <c r="S239" s="339">
        <v>0.7</v>
      </c>
      <c r="T239" s="353">
        <f t="shared" si="68"/>
        <v>0</v>
      </c>
      <c r="U239" s="430">
        <v>800</v>
      </c>
      <c r="V239" s="20">
        <f t="shared" si="69"/>
        <v>0</v>
      </c>
      <c r="W239" s="52">
        <f t="shared" ref="W239:W246" si="73">X239-U239+V239</f>
        <v>0</v>
      </c>
      <c r="X239" s="147">
        <v>800</v>
      </c>
      <c r="Y239" s="18"/>
      <c r="Z239" s="18"/>
      <c r="AA239" s="18">
        <v>500</v>
      </c>
      <c r="AB239" s="418" t="s">
        <v>596</v>
      </c>
      <c r="AC239" s="168"/>
      <c r="AD239" s="450">
        <v>0.04</v>
      </c>
      <c r="AE239" s="165" t="s">
        <v>404</v>
      </c>
      <c r="AF239" s="160">
        <v>0.06</v>
      </c>
      <c r="AG239" s="192">
        <v>0.4</v>
      </c>
      <c r="AH239" s="110"/>
      <c r="AI239" s="125" t="s">
        <v>413</v>
      </c>
      <c r="AJ239" s="185">
        <f>X239*AD239</f>
        <v>32</v>
      </c>
      <c r="AK239" s="435" t="s">
        <v>347</v>
      </c>
      <c r="AL239" s="476"/>
      <c r="AM239" s="10"/>
    </row>
    <row r="240" spans="1:73" ht="26.25" hidden="1" customHeight="1" x14ac:dyDescent="0.25">
      <c r="B240" s="15"/>
      <c r="C240" s="6" t="s">
        <v>18</v>
      </c>
      <c r="D240" s="23" t="s">
        <v>40</v>
      </c>
      <c r="E240" s="106" t="s">
        <v>637</v>
      </c>
      <c r="F240" s="211" t="s">
        <v>199</v>
      </c>
      <c r="G240" s="48" t="s">
        <v>0</v>
      </c>
      <c r="H240" s="39"/>
      <c r="I240" s="309">
        <v>0</v>
      </c>
      <c r="J240" s="39">
        <f t="shared" si="61"/>
        <v>0</v>
      </c>
      <c r="K240" s="309">
        <f t="shared" si="71"/>
        <v>0.75</v>
      </c>
      <c r="L240" s="230">
        <f>K240*J536</f>
        <v>0</v>
      </c>
      <c r="M240" s="214" t="s">
        <v>240</v>
      </c>
      <c r="N240" s="140"/>
      <c r="O240" s="39"/>
      <c r="P240" s="309">
        <f t="shared" si="72"/>
        <v>0</v>
      </c>
      <c r="Q240" s="264" t="str">
        <f t="shared" si="57"/>
        <v>Д6х2-Днамаг N48H</v>
      </c>
      <c r="R240" s="377">
        <f t="shared" ref="R240:R268" si="74">S240*1.2</f>
        <v>1.05</v>
      </c>
      <c r="S240" s="319">
        <v>0.875</v>
      </c>
      <c r="T240" s="353">
        <f t="shared" si="68"/>
        <v>0</v>
      </c>
      <c r="U240" s="70">
        <v>20</v>
      </c>
      <c r="V240" s="20">
        <f t="shared" si="69"/>
        <v>0</v>
      </c>
      <c r="W240" s="52">
        <f t="shared" si="73"/>
        <v>0</v>
      </c>
      <c r="X240" s="148">
        <v>20</v>
      </c>
      <c r="Y240" s="20" t="s">
        <v>779</v>
      </c>
      <c r="Z240" s="20"/>
      <c r="AA240" s="20"/>
      <c r="AB240" s="417"/>
      <c r="AC240" s="200"/>
      <c r="AD240" s="160">
        <v>0.06</v>
      </c>
      <c r="AE240" s="165"/>
      <c r="AF240" s="160"/>
      <c r="AG240" s="192">
        <v>0.6</v>
      </c>
      <c r="AH240" s="110"/>
      <c r="AI240" s="125" t="s">
        <v>414</v>
      </c>
      <c r="AJ240" s="185">
        <f>X240*AD240</f>
        <v>1.2</v>
      </c>
      <c r="AK240" s="125" t="s">
        <v>347</v>
      </c>
      <c r="AL240" s="10"/>
      <c r="AM240" s="10"/>
    </row>
    <row r="241" spans="2:39" ht="26.25" customHeight="1" x14ac:dyDescent="0.25">
      <c r="B241" s="11">
        <v>86</v>
      </c>
      <c r="C241" s="6" t="s">
        <v>18</v>
      </c>
      <c r="D241" s="23" t="s">
        <v>40</v>
      </c>
      <c r="E241" s="106" t="s">
        <v>462</v>
      </c>
      <c r="F241" s="208" t="s">
        <v>447</v>
      </c>
      <c r="G241" s="12" t="s">
        <v>0</v>
      </c>
      <c r="H241" s="39">
        <v>7000</v>
      </c>
      <c r="I241" s="360">
        <v>3710</v>
      </c>
      <c r="J241" s="39">
        <f t="shared" si="61"/>
        <v>0</v>
      </c>
      <c r="K241" s="309">
        <f t="shared" si="71"/>
        <v>0.53</v>
      </c>
      <c r="L241" s="230">
        <f>K241*J537</f>
        <v>0</v>
      </c>
      <c r="M241" s="215" t="s">
        <v>711</v>
      </c>
      <c r="N241" s="41"/>
      <c r="O241" s="503">
        <v>7000</v>
      </c>
      <c r="P241" s="309">
        <f t="shared" si="72"/>
        <v>3710</v>
      </c>
      <c r="Q241" s="235" t="str">
        <f t="shared" si="57"/>
        <v>С6х3 НЖБ1400-100 град</v>
      </c>
      <c r="R241" s="377">
        <f t="shared" si="74"/>
        <v>0.74</v>
      </c>
      <c r="S241" s="319">
        <v>0.62</v>
      </c>
      <c r="T241" s="353">
        <f t="shared" si="68"/>
        <v>0</v>
      </c>
      <c r="U241" s="20">
        <v>13934</v>
      </c>
      <c r="V241" s="20">
        <f t="shared" si="69"/>
        <v>0</v>
      </c>
      <c r="W241" s="52">
        <f t="shared" si="73"/>
        <v>0</v>
      </c>
      <c r="X241" s="20">
        <v>13934</v>
      </c>
      <c r="Y241" s="20" t="s">
        <v>779</v>
      </c>
      <c r="Z241" s="20"/>
      <c r="AA241" s="20">
        <v>31950</v>
      </c>
      <c r="AB241" s="417"/>
      <c r="AC241" s="168"/>
      <c r="AD241" s="450">
        <v>0.06</v>
      </c>
      <c r="AE241" s="165"/>
      <c r="AF241" s="160"/>
      <c r="AG241" s="192">
        <v>0.6</v>
      </c>
      <c r="AH241" s="110"/>
      <c r="AI241" s="125" t="s">
        <v>414</v>
      </c>
      <c r="AJ241" s="185">
        <f>X241*AD241</f>
        <v>836</v>
      </c>
      <c r="AK241" s="438">
        <f>X241+X240</f>
        <v>13954</v>
      </c>
      <c r="AL241" s="836"/>
      <c r="AM241" s="10"/>
    </row>
    <row r="242" spans="2:39" ht="34.5" customHeight="1" x14ac:dyDescent="0.25">
      <c r="B242" s="15">
        <v>87</v>
      </c>
      <c r="C242" s="6" t="s">
        <v>18</v>
      </c>
      <c r="D242" s="23" t="s">
        <v>40</v>
      </c>
      <c r="E242" s="106" t="s">
        <v>873</v>
      </c>
      <c r="F242" s="382">
        <v>510</v>
      </c>
      <c r="G242" s="48"/>
      <c r="H242" s="39"/>
      <c r="I242" s="360">
        <v>0</v>
      </c>
      <c r="J242" s="39">
        <f t="shared" si="61"/>
        <v>100</v>
      </c>
      <c r="K242" s="309">
        <f t="shared" si="71"/>
        <v>0.98</v>
      </c>
      <c r="L242" s="230"/>
      <c r="M242" s="219" t="s">
        <v>891</v>
      </c>
      <c r="N242" s="41">
        <v>100</v>
      </c>
      <c r="O242" s="39"/>
      <c r="P242" s="467">
        <f t="shared" si="72"/>
        <v>0</v>
      </c>
      <c r="Q242" s="262" t="str">
        <f t="shared" si="57"/>
        <v>С6х3</v>
      </c>
      <c r="R242" s="377">
        <f t="shared" si="74"/>
        <v>1.37</v>
      </c>
      <c r="S242" s="319">
        <v>1.1399999999999999</v>
      </c>
      <c r="T242" s="353">
        <f t="shared" si="68"/>
        <v>114</v>
      </c>
      <c r="U242" s="20">
        <v>20</v>
      </c>
      <c r="V242" s="20">
        <f t="shared" si="69"/>
        <v>100</v>
      </c>
      <c r="W242" s="52">
        <f t="shared" si="73"/>
        <v>100</v>
      </c>
      <c r="X242" s="20">
        <v>20</v>
      </c>
      <c r="Y242" s="20" t="s">
        <v>779</v>
      </c>
      <c r="Z242" s="20"/>
      <c r="AA242" s="20"/>
      <c r="AB242" s="417"/>
      <c r="AC242" s="200"/>
      <c r="AD242" s="160"/>
      <c r="AE242" s="165"/>
      <c r="AF242" s="160"/>
      <c r="AG242" s="192"/>
      <c r="AH242" s="110"/>
      <c r="AI242" s="125"/>
      <c r="AJ242" s="185"/>
      <c r="AK242" s="435"/>
      <c r="AL242" s="832"/>
      <c r="AM242" s="832"/>
    </row>
    <row r="243" spans="2:39" ht="26.25" hidden="1" customHeight="1" x14ac:dyDescent="0.25">
      <c r="B243" s="11"/>
      <c r="C243" s="6" t="s">
        <v>18</v>
      </c>
      <c r="D243" s="23" t="s">
        <v>40</v>
      </c>
      <c r="E243" s="106" t="s">
        <v>444</v>
      </c>
      <c r="F243" s="386">
        <v>1196</v>
      </c>
      <c r="G243" s="48" t="s">
        <v>0</v>
      </c>
      <c r="H243" s="39"/>
      <c r="I243" s="309">
        <v>0</v>
      </c>
      <c r="J243" s="39">
        <f t="shared" si="61"/>
        <v>0</v>
      </c>
      <c r="K243" s="309">
        <f t="shared" si="71"/>
        <v>1.3</v>
      </c>
      <c r="L243" s="230">
        <f>K243*J539</f>
        <v>0</v>
      </c>
      <c r="M243" s="94" t="s">
        <v>170</v>
      </c>
      <c r="N243" s="140"/>
      <c r="O243" s="39"/>
      <c r="P243" s="309">
        <f t="shared" si="72"/>
        <v>0</v>
      </c>
      <c r="Q243" s="235" t="str">
        <f t="shared" si="57"/>
        <v>Д6х30</v>
      </c>
      <c r="R243" s="377">
        <f t="shared" si="74"/>
        <v>1.82</v>
      </c>
      <c r="S243" s="319">
        <v>1.5149999999999999</v>
      </c>
      <c r="T243" s="353">
        <f t="shared" si="68"/>
        <v>0</v>
      </c>
      <c r="U243" s="70">
        <v>636</v>
      </c>
      <c r="V243" s="20">
        <f t="shared" si="69"/>
        <v>0</v>
      </c>
      <c r="W243" s="52">
        <f t="shared" si="73"/>
        <v>0</v>
      </c>
      <c r="X243" s="148">
        <f>350+286</f>
        <v>636</v>
      </c>
      <c r="Y243" s="20"/>
      <c r="Z243" s="20"/>
      <c r="AA243" s="20"/>
      <c r="AB243" s="417"/>
      <c r="AC243" s="168"/>
      <c r="AD243" s="450">
        <v>1.92</v>
      </c>
      <c r="AE243" s="168" t="s">
        <v>399</v>
      </c>
      <c r="AF243" s="171">
        <v>0.5</v>
      </c>
      <c r="AG243" s="192">
        <v>6</v>
      </c>
      <c r="AH243" s="110"/>
      <c r="AI243" s="125" t="s">
        <v>415</v>
      </c>
      <c r="AJ243" s="185">
        <f>AF243*X243</f>
        <v>318</v>
      </c>
      <c r="AK243" s="435" t="s">
        <v>348</v>
      </c>
      <c r="AL243" s="840"/>
      <c r="AM243" s="10"/>
    </row>
    <row r="244" spans="2:39" ht="26.25" hidden="1" customHeight="1" x14ac:dyDescent="0.35">
      <c r="B244" s="11"/>
      <c r="C244" s="6" t="s">
        <v>18</v>
      </c>
      <c r="D244" s="23" t="s">
        <v>40</v>
      </c>
      <c r="E244" s="106" t="s">
        <v>309</v>
      </c>
      <c r="F244" s="386"/>
      <c r="G244" s="48"/>
      <c r="H244" s="39"/>
      <c r="I244" s="309">
        <v>0</v>
      </c>
      <c r="J244" s="39">
        <f t="shared" si="61"/>
        <v>0</v>
      </c>
      <c r="K244" s="309"/>
      <c r="L244" s="230"/>
      <c r="M244" s="94"/>
      <c r="N244" s="140"/>
      <c r="O244" s="39"/>
      <c r="P244" s="309">
        <f t="shared" si="72"/>
        <v>0</v>
      </c>
      <c r="Q244" s="235" t="str">
        <f t="shared" si="57"/>
        <v>Д7х10 без покр.</v>
      </c>
      <c r="R244" s="377">
        <f t="shared" si="74"/>
        <v>0</v>
      </c>
      <c r="S244" s="319">
        <v>0</v>
      </c>
      <c r="T244" s="353">
        <f t="shared" si="68"/>
        <v>0</v>
      </c>
      <c r="U244" s="70">
        <v>2965</v>
      </c>
      <c r="V244" s="20">
        <f t="shared" si="69"/>
        <v>0</v>
      </c>
      <c r="W244" s="52">
        <f t="shared" si="73"/>
        <v>0</v>
      </c>
      <c r="X244" s="148">
        <v>2965</v>
      </c>
      <c r="Y244" s="20"/>
      <c r="Z244" s="20"/>
      <c r="AA244" s="20"/>
      <c r="AB244" s="417"/>
      <c r="AC244" s="168"/>
      <c r="AD244" s="450">
        <v>0.3</v>
      </c>
      <c r="AE244" s="162"/>
      <c r="AF244" s="171"/>
      <c r="AG244" s="176">
        <v>3</v>
      </c>
      <c r="AH244" s="115">
        <v>16.5</v>
      </c>
      <c r="AI244" s="113"/>
      <c r="AJ244" s="185">
        <f>X244*AD244</f>
        <v>889.5</v>
      </c>
      <c r="AK244" s="435"/>
      <c r="AL244" s="476"/>
      <c r="AM244" s="10"/>
    </row>
    <row r="245" spans="2:39" ht="26.25" hidden="1" customHeight="1" x14ac:dyDescent="0.25">
      <c r="B245" s="11"/>
      <c r="C245" s="6" t="s">
        <v>18</v>
      </c>
      <c r="D245" s="23" t="s">
        <v>40</v>
      </c>
      <c r="E245" s="106" t="s">
        <v>465</v>
      </c>
      <c r="F245" s="388">
        <v>773</v>
      </c>
      <c r="G245" s="13" t="s">
        <v>0</v>
      </c>
      <c r="H245" s="39"/>
      <c r="I245" s="309">
        <v>0</v>
      </c>
      <c r="J245" s="39">
        <f t="shared" si="61"/>
        <v>0</v>
      </c>
      <c r="K245" s="309">
        <f>R245/1.4</f>
        <v>0.09</v>
      </c>
      <c r="L245" s="230">
        <f>K245*J541</f>
        <v>0</v>
      </c>
      <c r="M245" s="95" t="s">
        <v>242</v>
      </c>
      <c r="N245" s="140"/>
      <c r="O245" s="39"/>
      <c r="P245" s="309">
        <f t="shared" si="72"/>
        <v>0</v>
      </c>
      <c r="Q245" s="263" t="str">
        <f t="shared" si="57"/>
        <v>Д 8х15</v>
      </c>
      <c r="R245" s="377">
        <f t="shared" si="74"/>
        <v>0.12</v>
      </c>
      <c r="S245" s="323">
        <v>0.1</v>
      </c>
      <c r="T245" s="353">
        <f t="shared" si="68"/>
        <v>0</v>
      </c>
      <c r="U245" s="70">
        <v>11</v>
      </c>
      <c r="V245" s="20">
        <f t="shared" si="69"/>
        <v>0</v>
      </c>
      <c r="W245" s="52">
        <f t="shared" si="73"/>
        <v>0</v>
      </c>
      <c r="X245" s="70">
        <v>11</v>
      </c>
      <c r="Y245" s="20"/>
      <c r="Z245" s="20"/>
      <c r="AA245" s="20"/>
      <c r="AB245" s="417"/>
      <c r="AC245" s="168"/>
      <c r="AD245" s="450">
        <v>0.6</v>
      </c>
      <c r="AE245" s="165"/>
      <c r="AF245" s="160"/>
      <c r="AG245" s="192">
        <v>6</v>
      </c>
      <c r="AH245" s="110"/>
      <c r="AI245" s="125"/>
      <c r="AJ245" s="185">
        <f>X245*AD245</f>
        <v>6.6</v>
      </c>
      <c r="AK245" s="435"/>
      <c r="AL245" s="476"/>
      <c r="AM245" s="10"/>
    </row>
    <row r="246" spans="2:39" ht="26.25" customHeight="1" x14ac:dyDescent="0.25">
      <c r="B246" s="11">
        <v>88</v>
      </c>
      <c r="C246" s="6" t="s">
        <v>18</v>
      </c>
      <c r="D246" s="23" t="s">
        <v>40</v>
      </c>
      <c r="E246" s="104" t="s">
        <v>533</v>
      </c>
      <c r="F246" s="208">
        <v>86</v>
      </c>
      <c r="G246" s="12" t="s">
        <v>0</v>
      </c>
      <c r="H246" s="39">
        <v>1018</v>
      </c>
      <c r="I246" s="360">
        <v>1384.48</v>
      </c>
      <c r="J246" s="39">
        <f t="shared" si="61"/>
        <v>0</v>
      </c>
      <c r="K246" s="309">
        <v>1.36</v>
      </c>
      <c r="L246" s="230">
        <f>K246*J542</f>
        <v>0</v>
      </c>
      <c r="M246" s="250" t="s">
        <v>541</v>
      </c>
      <c r="N246" s="41">
        <v>200</v>
      </c>
      <c r="O246" s="39">
        <f>1018-200</f>
        <v>818</v>
      </c>
      <c r="P246" s="309">
        <f t="shared" si="72"/>
        <v>1112.48</v>
      </c>
      <c r="Q246" s="51" t="str">
        <f t="shared" ref="Q246:Q309" si="75">E246</f>
        <v>Д8х4 ЭПГ111.011</v>
      </c>
      <c r="R246" s="377">
        <f t="shared" si="74"/>
        <v>2.3199999999999998</v>
      </c>
      <c r="S246" s="319">
        <v>1.93</v>
      </c>
      <c r="T246" s="353">
        <f t="shared" si="68"/>
        <v>0</v>
      </c>
      <c r="U246" s="20">
        <v>76246</v>
      </c>
      <c r="V246" s="20">
        <f t="shared" si="69"/>
        <v>200</v>
      </c>
      <c r="W246" s="52">
        <f t="shared" si="73"/>
        <v>198</v>
      </c>
      <c r="X246" s="20">
        <v>76244</v>
      </c>
      <c r="Y246" s="20" t="s">
        <v>780</v>
      </c>
      <c r="Z246" s="20"/>
      <c r="AA246" s="20">
        <f>10+166</f>
        <v>176</v>
      </c>
      <c r="AB246" s="417"/>
      <c r="AC246" s="168"/>
      <c r="AD246" s="450">
        <v>0.65</v>
      </c>
      <c r="AE246" s="162"/>
      <c r="AF246" s="171"/>
      <c r="AG246" s="176">
        <v>1.6</v>
      </c>
      <c r="AH246" s="120">
        <v>10</v>
      </c>
      <c r="AI246" s="125">
        <v>1.6</v>
      </c>
      <c r="AJ246" s="185">
        <f>X246*AD246</f>
        <v>49558.6</v>
      </c>
      <c r="AK246" s="435"/>
      <c r="AL246" s="476"/>
      <c r="AM246" s="10"/>
    </row>
    <row r="247" spans="2:39" ht="26.25" hidden="1" customHeight="1" x14ac:dyDescent="0.25">
      <c r="B247" s="11"/>
      <c r="C247" s="6" t="s">
        <v>18</v>
      </c>
      <c r="D247" s="23" t="s">
        <v>40</v>
      </c>
      <c r="E247" s="104" t="s">
        <v>645</v>
      </c>
      <c r="F247" s="208">
        <v>1275</v>
      </c>
      <c r="G247" s="48" t="s">
        <v>0</v>
      </c>
      <c r="H247" s="39"/>
      <c r="I247" s="360"/>
      <c r="J247" s="39">
        <f t="shared" si="61"/>
        <v>0</v>
      </c>
      <c r="K247" s="309">
        <f>R247/1.4</f>
        <v>3.44</v>
      </c>
      <c r="L247" s="230"/>
      <c r="M247" s="158" t="s">
        <v>744</v>
      </c>
      <c r="N247" s="41"/>
      <c r="O247" s="503"/>
      <c r="P247" s="309"/>
      <c r="Q247" s="51" t="str">
        <f t="shared" si="75"/>
        <v>Д8х4 ЭПГ111.011МЗКТ</v>
      </c>
      <c r="R247" s="306">
        <f t="shared" si="74"/>
        <v>4.8099999999999996</v>
      </c>
      <c r="S247" s="319">
        <v>4.01</v>
      </c>
      <c r="T247" s="353">
        <f t="shared" si="68"/>
        <v>0</v>
      </c>
      <c r="U247" s="20"/>
      <c r="V247" s="20">
        <f t="shared" si="69"/>
        <v>0</v>
      </c>
      <c r="W247" s="52"/>
      <c r="X247" s="20"/>
      <c r="Y247" s="20" t="s">
        <v>780</v>
      </c>
      <c r="Z247" s="20"/>
      <c r="AA247" s="20"/>
      <c r="AB247" s="417"/>
      <c r="AC247" s="168"/>
      <c r="AD247" s="450"/>
      <c r="AE247" s="162"/>
      <c r="AF247" s="171"/>
      <c r="AG247" s="176"/>
      <c r="AH247" s="120"/>
      <c r="AI247" s="125"/>
      <c r="AJ247" s="185"/>
      <c r="AK247" s="137"/>
      <c r="AL247" s="30"/>
      <c r="AM247" s="10"/>
    </row>
    <row r="248" spans="2:39" ht="26.25" customHeight="1" x14ac:dyDescent="0.35">
      <c r="B248" s="11">
        <v>89</v>
      </c>
      <c r="C248" s="6" t="s">
        <v>18</v>
      </c>
      <c r="D248" s="23" t="s">
        <v>40</v>
      </c>
      <c r="E248" s="1" t="s">
        <v>495</v>
      </c>
      <c r="F248" s="208">
        <v>1435</v>
      </c>
      <c r="G248" s="12" t="s">
        <v>0</v>
      </c>
      <c r="H248" s="39"/>
      <c r="I248" s="360">
        <v>0</v>
      </c>
      <c r="J248" s="39">
        <f t="shared" si="61"/>
        <v>50</v>
      </c>
      <c r="K248" s="309">
        <f>R248/1.4</f>
        <v>1.8</v>
      </c>
      <c r="L248" s="230"/>
      <c r="M248" s="219" t="s">
        <v>892</v>
      </c>
      <c r="N248" s="41">
        <v>50</v>
      </c>
      <c r="O248" s="39"/>
      <c r="P248" s="309">
        <f>K248*O248</f>
        <v>0</v>
      </c>
      <c r="Q248" s="51" t="str">
        <f t="shared" si="75"/>
        <v>Д8х10</v>
      </c>
      <c r="R248" s="377">
        <f t="shared" si="74"/>
        <v>2.52</v>
      </c>
      <c r="S248" s="319">
        <v>2.1</v>
      </c>
      <c r="T248" s="353">
        <f t="shared" si="68"/>
        <v>105</v>
      </c>
      <c r="U248" s="20"/>
      <c r="V248" s="20">
        <f t="shared" si="69"/>
        <v>50</v>
      </c>
      <c r="W248" s="52">
        <f t="shared" ref="W248:W264" si="76">X248-U248+V248</f>
        <v>50</v>
      </c>
      <c r="X248" s="20"/>
      <c r="Y248" s="20"/>
      <c r="Z248" s="20"/>
      <c r="AA248" s="20">
        <f>12+110+51</f>
        <v>173</v>
      </c>
      <c r="AB248" s="417"/>
      <c r="AC248" s="200"/>
      <c r="AD248" s="160"/>
      <c r="AE248" s="162"/>
      <c r="AF248" s="171"/>
      <c r="AG248" s="176">
        <v>2.1</v>
      </c>
      <c r="AH248" s="130"/>
      <c r="AI248" s="113" t="s">
        <v>416</v>
      </c>
      <c r="AJ248" s="185">
        <f>X248*AD248</f>
        <v>0</v>
      </c>
      <c r="AK248" s="10"/>
      <c r="AL248" s="832"/>
      <c r="AM248" s="832"/>
    </row>
    <row r="249" spans="2:39" ht="26.25" hidden="1" customHeight="1" x14ac:dyDescent="0.25">
      <c r="B249" s="11"/>
      <c r="C249" s="6" t="s">
        <v>18</v>
      </c>
      <c r="D249" s="23" t="s">
        <v>40</v>
      </c>
      <c r="E249" s="104" t="s">
        <v>310</v>
      </c>
      <c r="F249" s="208"/>
      <c r="G249" s="48"/>
      <c r="H249" s="39"/>
      <c r="I249" s="309">
        <v>0</v>
      </c>
      <c r="J249" s="39">
        <f t="shared" si="61"/>
        <v>0</v>
      </c>
      <c r="K249" s="309"/>
      <c r="L249" s="230"/>
      <c r="M249" s="62"/>
      <c r="N249" s="140"/>
      <c r="O249" s="39"/>
      <c r="P249" s="490">
        <f>K249*O249</f>
        <v>0</v>
      </c>
      <c r="Q249" s="262" t="str">
        <f t="shared" si="75"/>
        <v>Д7,9х10 с цн.пок.</v>
      </c>
      <c r="R249" s="377">
        <f t="shared" si="74"/>
        <v>0</v>
      </c>
      <c r="S249" s="319">
        <v>0</v>
      </c>
      <c r="T249" s="353">
        <f t="shared" si="68"/>
        <v>0</v>
      </c>
      <c r="U249" s="70">
        <v>950</v>
      </c>
      <c r="V249" s="20">
        <f t="shared" si="69"/>
        <v>0</v>
      </c>
      <c r="W249" s="52">
        <f t="shared" si="76"/>
        <v>0</v>
      </c>
      <c r="X249" s="70">
        <f>770+180</f>
        <v>950</v>
      </c>
      <c r="Y249" s="103"/>
      <c r="Z249" s="103"/>
      <c r="AA249" s="18"/>
      <c r="AB249" s="418"/>
      <c r="AC249" s="452"/>
      <c r="AD249" s="450">
        <v>0.38</v>
      </c>
      <c r="AE249" s="163"/>
      <c r="AF249" s="171"/>
      <c r="AG249" s="192">
        <v>4</v>
      </c>
      <c r="AH249" s="110"/>
      <c r="AI249" s="125"/>
      <c r="AJ249" s="185">
        <f>X249*AD249</f>
        <v>361</v>
      </c>
      <c r="AK249" s="435" t="s">
        <v>349</v>
      </c>
      <c r="AL249" s="843"/>
      <c r="AM249" s="10"/>
    </row>
    <row r="250" spans="2:39" s="21" customFormat="1" ht="26.25" customHeight="1" x14ac:dyDescent="0.25">
      <c r="B250" s="11">
        <v>90</v>
      </c>
      <c r="C250" s="6" t="s">
        <v>18</v>
      </c>
      <c r="D250" s="23" t="s">
        <v>40</v>
      </c>
      <c r="E250" s="104" t="s">
        <v>478</v>
      </c>
      <c r="F250" s="208" t="s">
        <v>70</v>
      </c>
      <c r="G250" s="12" t="s">
        <v>0</v>
      </c>
      <c r="H250" s="40"/>
      <c r="I250" s="309">
        <v>0</v>
      </c>
      <c r="J250" s="39">
        <f t="shared" si="61"/>
        <v>8500</v>
      </c>
      <c r="K250" s="309">
        <f>R250/1.4</f>
        <v>0.51</v>
      </c>
      <c r="L250" s="230">
        <f>K250*J546</f>
        <v>0</v>
      </c>
      <c r="M250" s="277" t="s">
        <v>893</v>
      </c>
      <c r="N250" s="41">
        <v>8500</v>
      </c>
      <c r="O250" s="40"/>
      <c r="P250" s="309">
        <f>K250*O250</f>
        <v>0</v>
      </c>
      <c r="Q250" s="235" t="str">
        <f t="shared" si="75"/>
        <v>Д7,9х10</v>
      </c>
      <c r="R250" s="377">
        <f t="shared" si="74"/>
        <v>0.71</v>
      </c>
      <c r="S250" s="319">
        <v>0.59</v>
      </c>
      <c r="T250" s="353">
        <f t="shared" si="68"/>
        <v>5015</v>
      </c>
      <c r="U250" s="20">
        <v>21000</v>
      </c>
      <c r="V250" s="20">
        <f t="shared" si="69"/>
        <v>8500</v>
      </c>
      <c r="W250" s="52">
        <f t="shared" si="76"/>
        <v>-12500</v>
      </c>
      <c r="X250" s="20"/>
      <c r="Y250" s="18" t="s">
        <v>781</v>
      </c>
      <c r="Z250" s="20"/>
      <c r="AA250" s="20">
        <f>51+110</f>
        <v>161</v>
      </c>
      <c r="AB250" s="417"/>
      <c r="AC250" s="168"/>
      <c r="AD250" s="450" t="s">
        <v>403</v>
      </c>
      <c r="AE250" s="163" t="s">
        <v>397</v>
      </c>
      <c r="AF250" s="171">
        <v>0.59299999999999997</v>
      </c>
      <c r="AG250" s="192">
        <v>4</v>
      </c>
      <c r="AH250" s="110"/>
      <c r="AI250" s="125"/>
      <c r="AJ250" s="185">
        <f>AF250*X250</f>
        <v>0</v>
      </c>
      <c r="AK250" s="435"/>
      <c r="AL250" s="832"/>
      <c r="AM250" s="832"/>
    </row>
    <row r="251" spans="2:39" ht="26.25" hidden="1" customHeight="1" x14ac:dyDescent="0.25">
      <c r="B251" s="15"/>
      <c r="C251" s="6" t="s">
        <v>18</v>
      </c>
      <c r="D251" s="23" t="s">
        <v>40</v>
      </c>
      <c r="E251" s="106" t="s">
        <v>318</v>
      </c>
      <c r="F251" s="387" t="s">
        <v>437</v>
      </c>
      <c r="G251" s="48" t="s">
        <v>0</v>
      </c>
      <c r="H251" s="39"/>
      <c r="I251" s="309">
        <v>0</v>
      </c>
      <c r="J251" s="39">
        <f t="shared" si="61"/>
        <v>0</v>
      </c>
      <c r="K251" s="309">
        <f>R251/1.4</f>
        <v>3.09</v>
      </c>
      <c r="L251" s="230">
        <f>K251*J547</f>
        <v>0</v>
      </c>
      <c r="M251" s="213" t="s">
        <v>440</v>
      </c>
      <c r="N251" s="140"/>
      <c r="O251" s="39"/>
      <c r="P251" s="309">
        <f>K251*O251</f>
        <v>0</v>
      </c>
      <c r="Q251" s="235" t="str">
        <f t="shared" si="75"/>
        <v>С8,2х24 ЭПГ110.001</v>
      </c>
      <c r="R251" s="377">
        <f t="shared" si="74"/>
        <v>4.32</v>
      </c>
      <c r="S251" s="326">
        <v>3.6</v>
      </c>
      <c r="T251" s="353">
        <f t="shared" si="68"/>
        <v>0</v>
      </c>
      <c r="U251" s="430">
        <v>9415</v>
      </c>
      <c r="V251" s="20">
        <f t="shared" si="69"/>
        <v>0</v>
      </c>
      <c r="W251" s="52">
        <f t="shared" si="76"/>
        <v>0</v>
      </c>
      <c r="X251" s="430">
        <f>4615+4800</f>
        <v>9415</v>
      </c>
      <c r="Y251" s="18" t="s">
        <v>782</v>
      </c>
      <c r="Z251" s="18"/>
      <c r="AA251" s="18"/>
      <c r="AB251" s="418"/>
      <c r="AC251" s="451"/>
      <c r="AD251" s="450">
        <v>1.8069999999999999</v>
      </c>
      <c r="AE251" s="165"/>
      <c r="AF251" s="160"/>
      <c r="AG251" s="192">
        <v>9.4</v>
      </c>
      <c r="AH251" s="110"/>
      <c r="AI251" s="125"/>
      <c r="AJ251" s="185">
        <f t="shared" ref="AJ251:AJ263" si="77">X251*AD251</f>
        <v>17012.900000000001</v>
      </c>
      <c r="AK251" s="435"/>
      <c r="AL251" s="840"/>
      <c r="AM251" s="10"/>
    </row>
    <row r="252" spans="2:39" ht="26.25" hidden="1" customHeight="1" x14ac:dyDescent="0.25">
      <c r="B252" s="15"/>
      <c r="C252" s="6" t="s">
        <v>18</v>
      </c>
      <c r="D252" s="23" t="s">
        <v>40</v>
      </c>
      <c r="E252" s="106" t="s">
        <v>438</v>
      </c>
      <c r="F252" s="385" t="s">
        <v>58</v>
      </c>
      <c r="G252" s="13" t="s">
        <v>0</v>
      </c>
      <c r="H252" s="39"/>
      <c r="I252" s="309">
        <v>0</v>
      </c>
      <c r="J252" s="39">
        <f t="shared" si="61"/>
        <v>0</v>
      </c>
      <c r="K252" s="309">
        <f>R252/1.4</f>
        <v>3.09</v>
      </c>
      <c r="L252" s="230">
        <f>K252*J548</f>
        <v>0</v>
      </c>
      <c r="M252" s="146" t="s">
        <v>333</v>
      </c>
      <c r="N252" s="140"/>
      <c r="O252" s="39"/>
      <c r="P252" s="309">
        <f>K252*O252</f>
        <v>0</v>
      </c>
      <c r="Q252" s="263" t="str">
        <f t="shared" si="75"/>
        <v>Д8х24</v>
      </c>
      <c r="R252" s="377">
        <f t="shared" si="74"/>
        <v>4.32</v>
      </c>
      <c r="S252" s="319">
        <v>3.6</v>
      </c>
      <c r="T252" s="353">
        <f t="shared" si="68"/>
        <v>0</v>
      </c>
      <c r="U252" s="430">
        <v>735</v>
      </c>
      <c r="V252" s="20">
        <f t="shared" si="69"/>
        <v>0</v>
      </c>
      <c r="W252" s="52">
        <f t="shared" si="76"/>
        <v>0</v>
      </c>
      <c r="X252" s="430">
        <v>735</v>
      </c>
      <c r="Y252" s="18" t="s">
        <v>784</v>
      </c>
      <c r="Z252" s="18"/>
      <c r="AA252" s="18"/>
      <c r="AB252" s="418"/>
      <c r="AC252" s="451"/>
      <c r="AD252" s="450">
        <v>1.52</v>
      </c>
      <c r="AE252" s="165"/>
      <c r="AF252" s="160"/>
      <c r="AG252" s="192">
        <v>9.75</v>
      </c>
      <c r="AH252" s="110"/>
      <c r="AI252" s="125"/>
      <c r="AJ252" s="185">
        <f t="shared" si="77"/>
        <v>1117.2</v>
      </c>
      <c r="AK252" s="435"/>
      <c r="AL252" s="476"/>
      <c r="AM252" s="10"/>
    </row>
    <row r="253" spans="2:39" ht="26.25" customHeight="1" x14ac:dyDescent="0.25">
      <c r="B253" s="11">
        <v>91</v>
      </c>
      <c r="C253" s="6" t="s">
        <v>18</v>
      </c>
      <c r="D253" s="23" t="s">
        <v>40</v>
      </c>
      <c r="E253" s="106" t="s">
        <v>288</v>
      </c>
      <c r="F253" s="383" t="s">
        <v>434</v>
      </c>
      <c r="G253" s="12" t="s">
        <v>0</v>
      </c>
      <c r="H253" s="39">
        <v>1440</v>
      </c>
      <c r="I253" s="360">
        <v>246.82</v>
      </c>
      <c r="J253" s="39">
        <f t="shared" si="61"/>
        <v>0</v>
      </c>
      <c r="K253" s="309">
        <v>0.17</v>
      </c>
      <c r="L253" s="230"/>
      <c r="M253" s="370" t="s">
        <v>520</v>
      </c>
      <c r="N253" s="60"/>
      <c r="O253" s="39">
        <v>1440</v>
      </c>
      <c r="P253" s="309">
        <f>I253</f>
        <v>246.82</v>
      </c>
      <c r="Q253" s="51" t="str">
        <f t="shared" si="75"/>
        <v>Д8х2</v>
      </c>
      <c r="R253" s="377">
        <f t="shared" si="74"/>
        <v>0.24</v>
      </c>
      <c r="S253" s="319">
        <v>0.2</v>
      </c>
      <c r="T253" s="353">
        <f t="shared" si="68"/>
        <v>0</v>
      </c>
      <c r="U253" s="20">
        <v>6</v>
      </c>
      <c r="V253" s="20">
        <f t="shared" si="69"/>
        <v>0</v>
      </c>
      <c r="W253" s="52">
        <f t="shared" si="76"/>
        <v>0</v>
      </c>
      <c r="X253" s="20">
        <v>6</v>
      </c>
      <c r="Y253" s="20"/>
      <c r="Z253" s="20"/>
      <c r="AA253" s="20">
        <v>1000</v>
      </c>
      <c r="AB253" s="417"/>
      <c r="AC253" s="168"/>
      <c r="AD253" s="450">
        <v>7.0000000000000007E-2</v>
      </c>
      <c r="AE253" s="165"/>
      <c r="AF253" s="160"/>
      <c r="AG253" s="192">
        <v>0.76</v>
      </c>
      <c r="AH253" s="110"/>
      <c r="AI253" s="125">
        <v>1.5</v>
      </c>
      <c r="AJ253" s="185">
        <f t="shared" si="77"/>
        <v>0.4</v>
      </c>
      <c r="AK253" s="435" t="s">
        <v>350</v>
      </c>
      <c r="AL253" s="16"/>
      <c r="AM253" s="10"/>
    </row>
    <row r="254" spans="2:39" ht="26.25" hidden="1" customHeight="1" x14ac:dyDescent="0.25">
      <c r="B254" s="19"/>
      <c r="C254" s="6" t="s">
        <v>18</v>
      </c>
      <c r="D254" s="23" t="s">
        <v>40</v>
      </c>
      <c r="E254" s="106" t="s">
        <v>384</v>
      </c>
      <c r="F254" s="385"/>
      <c r="G254" s="48"/>
      <c r="H254" s="39"/>
      <c r="I254" s="309">
        <v>0</v>
      </c>
      <c r="J254" s="39">
        <f t="shared" si="61"/>
        <v>0</v>
      </c>
      <c r="K254" s="309">
        <f t="shared" ref="K254:K268" si="78">R254/1.4</f>
        <v>0</v>
      </c>
      <c r="L254" s="230"/>
      <c r="M254" s="72"/>
      <c r="N254" s="141"/>
      <c r="O254" s="39"/>
      <c r="P254" s="490">
        <f>K254*O254</f>
        <v>0</v>
      </c>
      <c r="Q254" s="262" t="str">
        <f t="shared" si="75"/>
        <v>Д8х2,5</v>
      </c>
      <c r="R254" s="377">
        <f t="shared" si="74"/>
        <v>0</v>
      </c>
      <c r="S254" s="319">
        <v>0</v>
      </c>
      <c r="T254" s="353">
        <f t="shared" si="68"/>
        <v>0</v>
      </c>
      <c r="U254" s="70">
        <v>5</v>
      </c>
      <c r="V254" s="20">
        <f t="shared" si="69"/>
        <v>0</v>
      </c>
      <c r="W254" s="52">
        <f t="shared" si="76"/>
        <v>0</v>
      </c>
      <c r="X254" s="70">
        <v>5</v>
      </c>
      <c r="Y254" s="20"/>
      <c r="Z254" s="20"/>
      <c r="AA254" s="20"/>
      <c r="AB254" s="417"/>
      <c r="AC254" s="168"/>
      <c r="AD254" s="450">
        <v>0.15</v>
      </c>
      <c r="AE254" s="165"/>
      <c r="AF254" s="160"/>
      <c r="AG254" s="192">
        <v>1.19</v>
      </c>
      <c r="AH254" s="110"/>
      <c r="AI254" s="125"/>
      <c r="AJ254" s="185">
        <f t="shared" si="77"/>
        <v>0.8</v>
      </c>
      <c r="AK254" s="435"/>
      <c r="AL254" s="476"/>
      <c r="AM254" s="10"/>
    </row>
    <row r="255" spans="2:39" ht="26.25" hidden="1" customHeight="1" x14ac:dyDescent="0.25">
      <c r="B255" s="19"/>
      <c r="C255" s="6" t="s">
        <v>18</v>
      </c>
      <c r="D255" s="23" t="s">
        <v>40</v>
      </c>
      <c r="E255" s="106" t="s">
        <v>289</v>
      </c>
      <c r="F255" s="385" t="s">
        <v>376</v>
      </c>
      <c r="G255" s="48"/>
      <c r="H255" s="39"/>
      <c r="I255" s="309">
        <v>0</v>
      </c>
      <c r="J255" s="39">
        <f t="shared" si="61"/>
        <v>0</v>
      </c>
      <c r="K255" s="309">
        <f t="shared" si="78"/>
        <v>1.29</v>
      </c>
      <c r="L255" s="230"/>
      <c r="M255" s="457" t="s">
        <v>499</v>
      </c>
      <c r="N255" s="141"/>
      <c r="O255" s="39"/>
      <c r="P255" s="309">
        <f>K255*O255</f>
        <v>0</v>
      </c>
      <c r="Q255" s="235" t="str">
        <f t="shared" si="75"/>
        <v>Д8х3</v>
      </c>
      <c r="R255" s="377">
        <f t="shared" si="74"/>
        <v>1.8</v>
      </c>
      <c r="S255" s="319">
        <v>1.5</v>
      </c>
      <c r="T255" s="353">
        <f t="shared" si="68"/>
        <v>0</v>
      </c>
      <c r="U255" s="70">
        <v>1655</v>
      </c>
      <c r="V255" s="20">
        <f t="shared" si="69"/>
        <v>0</v>
      </c>
      <c r="W255" s="52">
        <f t="shared" si="76"/>
        <v>0</v>
      </c>
      <c r="X255" s="70">
        <v>1655</v>
      </c>
      <c r="Y255" s="20"/>
      <c r="Z255" s="20"/>
      <c r="AA255" s="20">
        <v>300</v>
      </c>
      <c r="AB255" s="417"/>
      <c r="AC255" s="168"/>
      <c r="AD255" s="450">
        <v>9.5000000000000001E-2</v>
      </c>
      <c r="AE255" s="165"/>
      <c r="AF255" s="160"/>
      <c r="AG255" s="192">
        <v>1.1299999999999999</v>
      </c>
      <c r="AH255" s="110"/>
      <c r="AI255" s="125">
        <v>2.1</v>
      </c>
      <c r="AJ255" s="185">
        <f t="shared" si="77"/>
        <v>157.19999999999999</v>
      </c>
      <c r="AK255" s="435" t="s">
        <v>350</v>
      </c>
      <c r="AL255" s="476"/>
      <c r="AM255" s="10"/>
    </row>
    <row r="256" spans="2:39" ht="26.25" hidden="1" customHeight="1" x14ac:dyDescent="0.25">
      <c r="B256" s="19"/>
      <c r="C256" s="6" t="s">
        <v>18</v>
      </c>
      <c r="D256" s="23" t="s">
        <v>40</v>
      </c>
      <c r="E256" s="106" t="s">
        <v>308</v>
      </c>
      <c r="F256" s="385"/>
      <c r="G256" s="48"/>
      <c r="H256" s="39"/>
      <c r="I256" s="309">
        <v>0</v>
      </c>
      <c r="J256" s="39">
        <f t="shared" si="61"/>
        <v>0</v>
      </c>
      <c r="K256" s="309">
        <f t="shared" si="78"/>
        <v>0</v>
      </c>
      <c r="L256" s="230"/>
      <c r="M256" s="72"/>
      <c r="N256" s="141"/>
      <c r="O256" s="39"/>
      <c r="P256" s="309">
        <f>K256*O256</f>
        <v>0</v>
      </c>
      <c r="Q256" s="235" t="str">
        <f t="shared" si="75"/>
        <v>Д8,2х3</v>
      </c>
      <c r="R256" s="377">
        <f t="shared" si="74"/>
        <v>0</v>
      </c>
      <c r="S256" s="339">
        <v>0</v>
      </c>
      <c r="T256" s="353">
        <f t="shared" si="68"/>
        <v>0</v>
      </c>
      <c r="U256" s="70">
        <v>1659</v>
      </c>
      <c r="V256" s="20">
        <f t="shared" si="69"/>
        <v>0</v>
      </c>
      <c r="W256" s="52">
        <f t="shared" si="76"/>
        <v>0</v>
      </c>
      <c r="X256" s="70">
        <v>1659</v>
      </c>
      <c r="Y256" s="20"/>
      <c r="Z256" s="20"/>
      <c r="AA256" s="20"/>
      <c r="AB256" s="417"/>
      <c r="AC256" s="168"/>
      <c r="AD256" s="450">
        <v>0.16</v>
      </c>
      <c r="AE256" s="165"/>
      <c r="AF256" s="160"/>
      <c r="AG256" s="192">
        <v>1.19</v>
      </c>
      <c r="AH256" s="110"/>
      <c r="AI256" s="125"/>
      <c r="AJ256" s="185">
        <f t="shared" si="77"/>
        <v>265.39999999999998</v>
      </c>
      <c r="AK256" s="435" t="s">
        <v>351</v>
      </c>
      <c r="AL256" s="476"/>
      <c r="AM256" s="10"/>
    </row>
    <row r="257" spans="2:39" ht="26.25" hidden="1" customHeight="1" x14ac:dyDescent="0.25">
      <c r="B257" s="19"/>
      <c r="C257" s="6" t="s">
        <v>18</v>
      </c>
      <c r="D257" s="23" t="s">
        <v>40</v>
      </c>
      <c r="E257" s="106" t="s">
        <v>819</v>
      </c>
      <c r="F257" s="385" t="s">
        <v>824</v>
      </c>
      <c r="G257" s="48"/>
      <c r="H257" s="39"/>
      <c r="I257" s="309">
        <v>0</v>
      </c>
      <c r="J257" s="39">
        <f t="shared" si="61"/>
        <v>0</v>
      </c>
      <c r="K257" s="309">
        <f t="shared" si="78"/>
        <v>14.14</v>
      </c>
      <c r="L257" s="230"/>
      <c r="M257" s="191" t="s">
        <v>836</v>
      </c>
      <c r="N257" s="141"/>
      <c r="O257" s="39"/>
      <c r="P257" s="309">
        <f>K257*O257</f>
        <v>0</v>
      </c>
      <c r="Q257" s="51" t="str">
        <f t="shared" si="75"/>
        <v>Д8,5х2,5 Магнитопласт</v>
      </c>
      <c r="R257" s="377">
        <f t="shared" si="74"/>
        <v>19.8</v>
      </c>
      <c r="S257" s="339">
        <v>16.5</v>
      </c>
      <c r="T257" s="353">
        <f t="shared" si="68"/>
        <v>0</v>
      </c>
      <c r="U257" s="20"/>
      <c r="V257" s="20">
        <f t="shared" si="69"/>
        <v>0</v>
      </c>
      <c r="W257" s="52">
        <f t="shared" si="76"/>
        <v>0</v>
      </c>
      <c r="X257" s="20"/>
      <c r="Y257" s="20">
        <v>1</v>
      </c>
      <c r="Z257" s="20"/>
      <c r="AA257" s="20"/>
      <c r="AB257" s="417"/>
      <c r="AC257" s="168"/>
      <c r="AD257" s="450">
        <v>0.5</v>
      </c>
      <c r="AE257" s="165"/>
      <c r="AF257" s="160"/>
      <c r="AG257" s="192">
        <v>5</v>
      </c>
      <c r="AH257" s="110"/>
      <c r="AI257" s="125"/>
      <c r="AJ257" s="185">
        <f t="shared" si="77"/>
        <v>0</v>
      </c>
      <c r="AK257" s="435"/>
      <c r="AL257" s="476"/>
      <c r="AM257" s="10"/>
    </row>
    <row r="258" spans="2:39" ht="26.25" customHeight="1" x14ac:dyDescent="0.25">
      <c r="B258" s="11">
        <v>92</v>
      </c>
      <c r="C258" s="6" t="s">
        <v>18</v>
      </c>
      <c r="D258" s="23" t="s">
        <v>40</v>
      </c>
      <c r="E258" s="107" t="s">
        <v>182</v>
      </c>
      <c r="F258" s="208" t="s">
        <v>181</v>
      </c>
      <c r="G258" s="12" t="s">
        <v>0</v>
      </c>
      <c r="H258" s="39">
        <v>348</v>
      </c>
      <c r="I258" s="360">
        <v>44.75</v>
      </c>
      <c r="J258" s="39">
        <f t="shared" si="61"/>
        <v>0</v>
      </c>
      <c r="K258" s="309">
        <f t="shared" si="78"/>
        <v>0.13</v>
      </c>
      <c r="L258" s="230">
        <f>K258*J554</f>
        <v>0</v>
      </c>
      <c r="M258" s="367"/>
      <c r="N258" s="41"/>
      <c r="O258" s="39">
        <v>348</v>
      </c>
      <c r="P258" s="309">
        <f>I258</f>
        <v>44.75</v>
      </c>
      <c r="Q258" s="51" t="str">
        <f t="shared" si="75"/>
        <v xml:space="preserve">Д9х3 </v>
      </c>
      <c r="R258" s="377">
        <f t="shared" si="74"/>
        <v>0.18</v>
      </c>
      <c r="S258" s="319">
        <v>0.15</v>
      </c>
      <c r="T258" s="353">
        <f t="shared" si="68"/>
        <v>0</v>
      </c>
      <c r="U258" s="20">
        <v>3346</v>
      </c>
      <c r="V258" s="20">
        <f t="shared" si="69"/>
        <v>0</v>
      </c>
      <c r="W258" s="52">
        <f t="shared" si="76"/>
        <v>0</v>
      </c>
      <c r="X258" s="20">
        <f>3398-52</f>
        <v>3346</v>
      </c>
      <c r="Y258" s="20"/>
      <c r="Z258" s="20"/>
      <c r="AA258" s="20"/>
      <c r="AB258" s="417"/>
      <c r="AC258" s="168"/>
      <c r="AD258" s="450">
        <v>0.37</v>
      </c>
      <c r="AE258" s="162"/>
      <c r="AF258" s="171"/>
      <c r="AG258" s="176">
        <v>1.9</v>
      </c>
      <c r="AH258" s="120">
        <v>10.5</v>
      </c>
      <c r="AI258" s="125"/>
      <c r="AJ258" s="185">
        <f t="shared" si="77"/>
        <v>1238</v>
      </c>
      <c r="AK258" s="435" t="s">
        <v>352</v>
      </c>
      <c r="AL258" s="476"/>
      <c r="AM258" s="10"/>
    </row>
    <row r="259" spans="2:39" ht="26.25" hidden="1" customHeight="1" x14ac:dyDescent="0.25">
      <c r="B259" s="11"/>
      <c r="C259" s="6" t="s">
        <v>18</v>
      </c>
      <c r="D259" s="23" t="s">
        <v>40</v>
      </c>
      <c r="E259" s="107" t="s">
        <v>694</v>
      </c>
      <c r="F259" s="208">
        <v>1446</v>
      </c>
      <c r="G259" s="48"/>
      <c r="H259" s="39"/>
      <c r="I259" s="309">
        <v>0</v>
      </c>
      <c r="J259" s="39">
        <f t="shared" si="61"/>
        <v>0</v>
      </c>
      <c r="K259" s="309">
        <f t="shared" si="78"/>
        <v>1.1100000000000001</v>
      </c>
      <c r="L259" s="230"/>
      <c r="M259" s="250" t="s">
        <v>713</v>
      </c>
      <c r="N259" s="140"/>
      <c r="O259" s="39"/>
      <c r="P259" s="309">
        <f t="shared" ref="P259:P267" si="79">K259*O259</f>
        <v>0</v>
      </c>
      <c r="Q259" s="262" t="str">
        <f t="shared" si="75"/>
        <v>Д9х7</v>
      </c>
      <c r="R259" s="377">
        <f t="shared" si="74"/>
        <v>1.56</v>
      </c>
      <c r="S259" s="322">
        <v>1.3</v>
      </c>
      <c r="T259" s="353">
        <f t="shared" si="68"/>
        <v>0</v>
      </c>
      <c r="U259" s="70">
        <v>30</v>
      </c>
      <c r="V259" s="20">
        <f t="shared" si="69"/>
        <v>0</v>
      </c>
      <c r="W259" s="52">
        <f t="shared" si="76"/>
        <v>0</v>
      </c>
      <c r="X259" s="70">
        <v>30</v>
      </c>
      <c r="Y259" s="20"/>
      <c r="Z259" s="20"/>
      <c r="AA259" s="20"/>
      <c r="AB259" s="417"/>
      <c r="AC259" s="168"/>
      <c r="AD259" s="450">
        <v>0.34</v>
      </c>
      <c r="AE259" s="163"/>
      <c r="AF259" s="171"/>
      <c r="AG259" s="192">
        <v>3.4</v>
      </c>
      <c r="AH259" s="110"/>
      <c r="AI259" s="125"/>
      <c r="AJ259" s="185">
        <f t="shared" si="77"/>
        <v>10.199999999999999</v>
      </c>
      <c r="AK259" s="435" t="s">
        <v>352</v>
      </c>
      <c r="AL259" s="476"/>
      <c r="AM259" s="10"/>
    </row>
    <row r="260" spans="2:39" ht="26.25" hidden="1" customHeight="1" x14ac:dyDescent="0.25">
      <c r="B260" s="19"/>
      <c r="C260" s="6" t="s">
        <v>18</v>
      </c>
      <c r="D260" s="23" t="s">
        <v>40</v>
      </c>
      <c r="E260" s="87" t="s">
        <v>230</v>
      </c>
      <c r="F260" s="393" t="s">
        <v>257</v>
      </c>
      <c r="G260" s="48" t="s">
        <v>0</v>
      </c>
      <c r="H260" s="39"/>
      <c r="I260" s="309">
        <v>0</v>
      </c>
      <c r="J260" s="39">
        <f t="shared" si="61"/>
        <v>0</v>
      </c>
      <c r="K260" s="309">
        <f t="shared" si="78"/>
        <v>2.44</v>
      </c>
      <c r="L260" s="230">
        <f>K260*J556</f>
        <v>0</v>
      </c>
      <c r="M260" s="72" t="s">
        <v>260</v>
      </c>
      <c r="N260" s="141"/>
      <c r="O260" s="513"/>
      <c r="P260" s="497">
        <f t="shared" si="79"/>
        <v>0</v>
      </c>
      <c r="Q260" s="263" t="str">
        <f t="shared" si="75"/>
        <v>Д10х0,5</v>
      </c>
      <c r="R260" s="377">
        <f t="shared" si="74"/>
        <v>3.42</v>
      </c>
      <c r="S260" s="322">
        <v>2.85</v>
      </c>
      <c r="T260" s="353">
        <f t="shared" si="68"/>
        <v>0</v>
      </c>
      <c r="U260" s="70">
        <v>1800</v>
      </c>
      <c r="V260" s="20">
        <f t="shared" si="69"/>
        <v>0</v>
      </c>
      <c r="W260" s="52">
        <f t="shared" si="76"/>
        <v>0</v>
      </c>
      <c r="X260" s="148">
        <v>1800</v>
      </c>
      <c r="Y260" s="20"/>
      <c r="Z260" s="20"/>
      <c r="AA260" s="20"/>
      <c r="AB260" s="417"/>
      <c r="AC260" s="451"/>
      <c r="AD260" s="450">
        <v>5.2999999999999999E-2</v>
      </c>
      <c r="AE260" s="164"/>
      <c r="AF260" s="160"/>
      <c r="AG260" s="176">
        <v>0.4</v>
      </c>
      <c r="AH260" s="120">
        <v>3.5</v>
      </c>
      <c r="AI260" s="125"/>
      <c r="AJ260" s="185">
        <f t="shared" si="77"/>
        <v>95.4</v>
      </c>
      <c r="AK260" s="435" t="s">
        <v>353</v>
      </c>
      <c r="AL260" s="476"/>
      <c r="AM260" s="10"/>
    </row>
    <row r="261" spans="2:39" ht="26.25" hidden="1" customHeight="1" x14ac:dyDescent="0.25">
      <c r="B261" s="19"/>
      <c r="C261" s="6" t="s">
        <v>18</v>
      </c>
      <c r="D261" s="23" t="s">
        <v>40</v>
      </c>
      <c r="E261" s="87" t="s">
        <v>231</v>
      </c>
      <c r="F261" s="385" t="s">
        <v>516</v>
      </c>
      <c r="G261" s="48" t="s">
        <v>0</v>
      </c>
      <c r="H261" s="39"/>
      <c r="I261" s="360">
        <v>0</v>
      </c>
      <c r="J261" s="39">
        <f t="shared" si="61"/>
        <v>0</v>
      </c>
      <c r="K261" s="309">
        <f t="shared" si="78"/>
        <v>0.16</v>
      </c>
      <c r="L261" s="230">
        <f>K261*J557</f>
        <v>0</v>
      </c>
      <c r="M261" s="297" t="s">
        <v>745</v>
      </c>
      <c r="N261" s="141"/>
      <c r="O261" s="39"/>
      <c r="P261" s="309">
        <f t="shared" si="79"/>
        <v>0</v>
      </c>
      <c r="Q261" s="51" t="str">
        <f t="shared" si="75"/>
        <v>Д10х1</v>
      </c>
      <c r="R261" s="377">
        <f t="shared" si="74"/>
        <v>0.22</v>
      </c>
      <c r="S261" s="319">
        <v>0.18</v>
      </c>
      <c r="T261" s="353">
        <f t="shared" si="68"/>
        <v>0</v>
      </c>
      <c r="U261" s="70">
        <v>2260</v>
      </c>
      <c r="V261" s="20">
        <f t="shared" si="69"/>
        <v>0</v>
      </c>
      <c r="W261" s="52">
        <f t="shared" si="76"/>
        <v>0</v>
      </c>
      <c r="X261" s="148">
        <f>2470-210</f>
        <v>2260</v>
      </c>
      <c r="Y261" s="20"/>
      <c r="Z261" s="20"/>
      <c r="AA261" s="20">
        <v>10100</v>
      </c>
      <c r="AB261" s="417"/>
      <c r="AC261" s="451"/>
      <c r="AD261" s="450">
        <v>0.06</v>
      </c>
      <c r="AE261" s="164"/>
      <c r="AF261" s="160"/>
      <c r="AG261" s="176">
        <v>0.6</v>
      </c>
      <c r="AH261" s="120">
        <v>3.9</v>
      </c>
      <c r="AI261" s="125">
        <v>1</v>
      </c>
      <c r="AJ261" s="185">
        <f t="shared" si="77"/>
        <v>135.6</v>
      </c>
      <c r="AK261" s="435" t="s">
        <v>353</v>
      </c>
      <c r="AL261" s="836"/>
      <c r="AM261" s="10"/>
    </row>
    <row r="262" spans="2:39" ht="26.25" customHeight="1" x14ac:dyDescent="0.25">
      <c r="B262" s="19">
        <v>93</v>
      </c>
      <c r="C262" s="6" t="s">
        <v>18</v>
      </c>
      <c r="D262" s="23" t="s">
        <v>40</v>
      </c>
      <c r="E262" s="87" t="s">
        <v>287</v>
      </c>
      <c r="F262" s="383" t="s">
        <v>378</v>
      </c>
      <c r="G262" s="12" t="s">
        <v>0</v>
      </c>
      <c r="H262" s="39"/>
      <c r="I262" s="309">
        <v>0</v>
      </c>
      <c r="J262" s="39">
        <f t="shared" si="61"/>
        <v>650</v>
      </c>
      <c r="K262" s="309">
        <f t="shared" si="78"/>
        <v>0.21</v>
      </c>
      <c r="L262" s="230"/>
      <c r="M262" s="369" t="s">
        <v>894</v>
      </c>
      <c r="N262" s="60">
        <f>300+350</f>
        <v>650</v>
      </c>
      <c r="O262" s="39"/>
      <c r="P262" s="309">
        <f t="shared" si="79"/>
        <v>0</v>
      </c>
      <c r="Q262" s="51" t="str">
        <f t="shared" si="75"/>
        <v>Д10х2</v>
      </c>
      <c r="R262" s="377">
        <f t="shared" si="74"/>
        <v>0.3</v>
      </c>
      <c r="S262" s="319">
        <v>0.25</v>
      </c>
      <c r="T262" s="353">
        <f t="shared" si="68"/>
        <v>162.5</v>
      </c>
      <c r="U262" s="20">
        <v>986</v>
      </c>
      <c r="V262" s="20">
        <f t="shared" si="69"/>
        <v>650</v>
      </c>
      <c r="W262" s="52">
        <f t="shared" si="76"/>
        <v>9594</v>
      </c>
      <c r="X262" s="20">
        <f>2090*4+1570</f>
        <v>9930</v>
      </c>
      <c r="Y262" s="20"/>
      <c r="Z262" s="20"/>
      <c r="AA262" s="20">
        <v>1000</v>
      </c>
      <c r="AB262" s="417"/>
      <c r="AC262" s="168"/>
      <c r="AD262" s="450">
        <v>0.09</v>
      </c>
      <c r="AE262" s="165"/>
      <c r="AF262" s="160"/>
      <c r="AG262" s="192">
        <v>1.17</v>
      </c>
      <c r="AH262" s="110"/>
      <c r="AI262" s="125">
        <v>1.8</v>
      </c>
      <c r="AJ262" s="185">
        <f t="shared" si="77"/>
        <v>893.7</v>
      </c>
      <c r="AK262" s="435" t="s">
        <v>354</v>
      </c>
      <c r="AL262" s="832"/>
      <c r="AM262" s="832"/>
    </row>
    <row r="263" spans="2:39" ht="26.25" customHeight="1" x14ac:dyDescent="0.25">
      <c r="B263" s="14">
        <v>94</v>
      </c>
      <c r="C263" s="6" t="s">
        <v>18</v>
      </c>
      <c r="D263" s="23" t="s">
        <v>40</v>
      </c>
      <c r="E263" s="106" t="s">
        <v>151</v>
      </c>
      <c r="F263" s="526">
        <v>606</v>
      </c>
      <c r="G263" s="48" t="s">
        <v>0</v>
      </c>
      <c r="H263" s="39"/>
      <c r="I263" s="360">
        <v>0</v>
      </c>
      <c r="J263" s="39">
        <f t="shared" si="61"/>
        <v>100</v>
      </c>
      <c r="K263" s="309">
        <f t="shared" si="78"/>
        <v>1.8</v>
      </c>
      <c r="L263" s="230">
        <f>K263*J559</f>
        <v>0</v>
      </c>
      <c r="M263" s="219" t="s">
        <v>895</v>
      </c>
      <c r="N263" s="41">
        <v>100</v>
      </c>
      <c r="O263" s="39"/>
      <c r="P263" s="309">
        <f t="shared" si="79"/>
        <v>0</v>
      </c>
      <c r="Q263" s="51" t="str">
        <f t="shared" si="75"/>
        <v>Д10х3</v>
      </c>
      <c r="R263" s="377">
        <f t="shared" si="74"/>
        <v>2.52</v>
      </c>
      <c r="S263" s="339">
        <v>2.1</v>
      </c>
      <c r="T263" s="353">
        <f t="shared" si="68"/>
        <v>210</v>
      </c>
      <c r="U263" s="20">
        <v>5414</v>
      </c>
      <c r="V263" s="20">
        <f t="shared" si="69"/>
        <v>100</v>
      </c>
      <c r="W263" s="52">
        <f t="shared" si="76"/>
        <v>100</v>
      </c>
      <c r="X263" s="20">
        <f>5864-10-240-100-100</f>
        <v>5414</v>
      </c>
      <c r="Y263" s="20" t="s">
        <v>774</v>
      </c>
      <c r="Z263" s="20"/>
      <c r="AA263" s="20">
        <f>110+250</f>
        <v>360</v>
      </c>
      <c r="AB263" s="417"/>
      <c r="AC263" s="168"/>
      <c r="AD263" s="450">
        <v>0.13</v>
      </c>
      <c r="AE263" s="163"/>
      <c r="AF263" s="171"/>
      <c r="AG263" s="192">
        <v>1.81</v>
      </c>
      <c r="AH263" s="110"/>
      <c r="AI263" s="125"/>
      <c r="AJ263" s="185">
        <f t="shared" si="77"/>
        <v>703.8</v>
      </c>
      <c r="AK263" s="435" t="s">
        <v>355</v>
      </c>
      <c r="AL263" s="832"/>
      <c r="AM263" s="832"/>
    </row>
    <row r="264" spans="2:39" ht="26.25" hidden="1" customHeight="1" x14ac:dyDescent="0.25">
      <c r="B264" s="14"/>
      <c r="C264" s="6" t="s">
        <v>18</v>
      </c>
      <c r="D264" s="23" t="s">
        <v>40</v>
      </c>
      <c r="E264" s="106" t="s">
        <v>524</v>
      </c>
      <c r="F264" s="386">
        <v>1181</v>
      </c>
      <c r="G264" s="48"/>
      <c r="H264" s="39"/>
      <c r="I264" s="309">
        <v>0</v>
      </c>
      <c r="J264" s="39">
        <f t="shared" si="61"/>
        <v>0</v>
      </c>
      <c r="K264" s="309">
        <f t="shared" si="78"/>
        <v>4.29</v>
      </c>
      <c r="L264" s="230"/>
      <c r="M264" s="250" t="s">
        <v>615</v>
      </c>
      <c r="N264" s="140"/>
      <c r="O264" s="489"/>
      <c r="P264" s="490">
        <f t="shared" si="79"/>
        <v>0</v>
      </c>
      <c r="Q264" s="441" t="str">
        <f t="shared" si="75"/>
        <v>Д10*12</v>
      </c>
      <c r="R264" s="377">
        <f t="shared" si="74"/>
        <v>6</v>
      </c>
      <c r="S264" s="339">
        <v>5</v>
      </c>
      <c r="T264" s="353">
        <f t="shared" ref="T264:T294" si="80">S264*J264</f>
        <v>0</v>
      </c>
      <c r="U264" s="70">
        <v>22</v>
      </c>
      <c r="V264" s="20">
        <f t="shared" si="69"/>
        <v>0</v>
      </c>
      <c r="W264" s="52">
        <f t="shared" si="76"/>
        <v>0</v>
      </c>
      <c r="X264" s="70">
        <v>22</v>
      </c>
      <c r="Y264" s="20" t="s">
        <v>771</v>
      </c>
      <c r="Z264" s="20"/>
      <c r="AA264" s="20"/>
      <c r="AB264" s="417"/>
      <c r="AC264" s="168"/>
      <c r="AD264" s="450"/>
      <c r="AE264" s="163"/>
      <c r="AF264" s="171"/>
      <c r="AG264" s="192"/>
      <c r="AH264" s="110"/>
      <c r="AI264" s="125"/>
      <c r="AJ264" s="185"/>
      <c r="AK264" s="137"/>
      <c r="AL264" s="840"/>
      <c r="AM264" s="10"/>
    </row>
    <row r="265" spans="2:39" ht="26.25" hidden="1" customHeight="1" x14ac:dyDescent="0.25">
      <c r="B265" s="14"/>
      <c r="C265" s="6" t="s">
        <v>18</v>
      </c>
      <c r="D265" s="23" t="s">
        <v>40</v>
      </c>
      <c r="E265" s="106" t="s">
        <v>855</v>
      </c>
      <c r="F265" s="386">
        <v>1333</v>
      </c>
      <c r="G265" s="12" t="s">
        <v>0</v>
      </c>
      <c r="H265" s="39"/>
      <c r="I265" s="309">
        <v>0</v>
      </c>
      <c r="J265" s="39"/>
      <c r="K265" s="309">
        <f t="shared" si="78"/>
        <v>5.14</v>
      </c>
      <c r="L265" s="230"/>
      <c r="M265" s="250"/>
      <c r="N265" s="140"/>
      <c r="O265" s="39"/>
      <c r="P265" s="309">
        <f t="shared" si="79"/>
        <v>0</v>
      </c>
      <c r="Q265" s="51" t="str">
        <f t="shared" si="75"/>
        <v>Д10х14,5</v>
      </c>
      <c r="R265" s="377">
        <f t="shared" si="74"/>
        <v>7.2</v>
      </c>
      <c r="S265" s="339">
        <v>6</v>
      </c>
      <c r="T265" s="353">
        <f t="shared" si="80"/>
        <v>0</v>
      </c>
      <c r="U265" s="70">
        <v>10</v>
      </c>
      <c r="V265" s="20"/>
      <c r="W265" s="52"/>
      <c r="X265" s="70">
        <v>10</v>
      </c>
      <c r="Y265" s="20" t="s">
        <v>771</v>
      </c>
      <c r="Z265" s="20"/>
      <c r="AA265" s="20"/>
      <c r="AB265" s="417"/>
      <c r="AC265" s="168"/>
      <c r="AD265" s="450"/>
      <c r="AE265" s="163"/>
      <c r="AF265" s="171"/>
      <c r="AG265" s="192"/>
      <c r="AH265" s="110"/>
      <c r="AI265" s="125"/>
      <c r="AJ265" s="185"/>
      <c r="AK265" s="137"/>
      <c r="AL265" s="30"/>
      <c r="AM265" s="10"/>
    </row>
    <row r="266" spans="2:39" ht="26.25" hidden="1" customHeight="1" x14ac:dyDescent="0.3">
      <c r="B266" s="14"/>
      <c r="C266" s="6" t="s">
        <v>18</v>
      </c>
      <c r="D266" s="23" t="s">
        <v>40</v>
      </c>
      <c r="E266" s="1" t="s">
        <v>643</v>
      </c>
      <c r="F266" s="386">
        <v>893</v>
      </c>
      <c r="G266" s="48"/>
      <c r="H266" s="39"/>
      <c r="I266" s="309">
        <v>0</v>
      </c>
      <c r="J266" s="39">
        <f t="shared" ref="J266:J292" si="81">N266+O266-H266</f>
        <v>0</v>
      </c>
      <c r="K266" s="309">
        <f t="shared" si="78"/>
        <v>5.4</v>
      </c>
      <c r="L266" s="230">
        <f>K266*J561</f>
        <v>0</v>
      </c>
      <c r="M266" s="99" t="s">
        <v>410</v>
      </c>
      <c r="N266" s="140"/>
      <c r="O266" s="39"/>
      <c r="P266" s="467">
        <f t="shared" si="79"/>
        <v>0</v>
      </c>
      <c r="Q266" s="404" t="str">
        <f t="shared" si="75"/>
        <v>Д11х12</v>
      </c>
      <c r="R266" s="377">
        <f t="shared" si="74"/>
        <v>7.56</v>
      </c>
      <c r="S266" s="319">
        <v>6.3</v>
      </c>
      <c r="T266" s="353">
        <f t="shared" si="80"/>
        <v>0</v>
      </c>
      <c r="U266" s="70">
        <v>11</v>
      </c>
      <c r="V266" s="20">
        <f t="shared" ref="V266:V290" si="82">N266</f>
        <v>0</v>
      </c>
      <c r="W266" s="52">
        <f>X266-U266+V266</f>
        <v>0</v>
      </c>
      <c r="X266" s="70">
        <v>11</v>
      </c>
      <c r="Y266" s="20"/>
      <c r="Z266" s="20"/>
      <c r="AA266" s="20"/>
      <c r="AB266" s="417"/>
      <c r="AC266" s="200"/>
      <c r="AD266" s="160"/>
      <c r="AE266" s="163"/>
      <c r="AF266" s="171"/>
      <c r="AG266" s="192">
        <v>5.9</v>
      </c>
      <c r="AH266" s="128"/>
      <c r="AI266" s="113" t="s">
        <v>417</v>
      </c>
      <c r="AJ266" s="185">
        <f>X266*AD266</f>
        <v>0</v>
      </c>
      <c r="AK266" s="10"/>
      <c r="AL266" s="10"/>
      <c r="AM266" s="10"/>
    </row>
    <row r="267" spans="2:39" ht="26.25" hidden="1" customHeight="1" x14ac:dyDescent="0.25">
      <c r="B267" s="14"/>
      <c r="C267" s="6" t="s">
        <v>18</v>
      </c>
      <c r="D267" s="23" t="s">
        <v>40</v>
      </c>
      <c r="E267" s="87" t="s">
        <v>514</v>
      </c>
      <c r="F267" s="386">
        <v>1126</v>
      </c>
      <c r="G267" s="48"/>
      <c r="H267" s="39"/>
      <c r="I267" s="309">
        <v>0</v>
      </c>
      <c r="J267" s="39">
        <f t="shared" si="81"/>
        <v>0</v>
      </c>
      <c r="K267" s="309">
        <f t="shared" si="78"/>
        <v>42</v>
      </c>
      <c r="L267" s="230">
        <f>K267*J562</f>
        <v>0</v>
      </c>
      <c r="M267" s="215"/>
      <c r="N267" s="140"/>
      <c r="O267" s="39"/>
      <c r="P267" s="309">
        <f t="shared" si="79"/>
        <v>0</v>
      </c>
      <c r="Q267" s="263" t="str">
        <f t="shared" si="75"/>
        <v>Д12х2</v>
      </c>
      <c r="R267" s="377">
        <f t="shared" si="74"/>
        <v>58.8</v>
      </c>
      <c r="S267" s="322">
        <v>49</v>
      </c>
      <c r="T267" s="353">
        <f t="shared" si="80"/>
        <v>0</v>
      </c>
      <c r="U267" s="70">
        <v>100</v>
      </c>
      <c r="V267" s="20">
        <f t="shared" si="82"/>
        <v>0</v>
      </c>
      <c r="W267" s="52">
        <f>X267-U267+V267</f>
        <v>0</v>
      </c>
      <c r="X267" s="70">
        <v>100</v>
      </c>
      <c r="Y267" s="20"/>
      <c r="Z267" s="20"/>
      <c r="AA267" s="20"/>
      <c r="AB267" s="417"/>
      <c r="AC267" s="168"/>
      <c r="AD267" s="450">
        <v>2.4</v>
      </c>
      <c r="AE267" s="162"/>
      <c r="AF267" s="171"/>
      <c r="AG267" s="192">
        <v>24.2</v>
      </c>
      <c r="AH267" s="110"/>
      <c r="AI267" s="125"/>
      <c r="AJ267" s="185">
        <f>X267*AD267</f>
        <v>240</v>
      </c>
      <c r="AK267" s="435" t="s">
        <v>346</v>
      </c>
      <c r="AL267" s="476"/>
      <c r="AM267" s="10"/>
    </row>
    <row r="268" spans="2:39" ht="26.25" hidden="1" customHeight="1" x14ac:dyDescent="0.25">
      <c r="B268" s="11"/>
      <c r="C268" s="6" t="s">
        <v>18</v>
      </c>
      <c r="D268" s="23" t="s">
        <v>40</v>
      </c>
      <c r="E268" s="104" t="s">
        <v>214</v>
      </c>
      <c r="F268" s="210">
        <v>735</v>
      </c>
      <c r="G268" s="48" t="s">
        <v>0</v>
      </c>
      <c r="H268" s="39"/>
      <c r="I268" s="360"/>
      <c r="J268" s="39">
        <f t="shared" si="81"/>
        <v>0</v>
      </c>
      <c r="K268" s="309">
        <f t="shared" si="78"/>
        <v>2.14</v>
      </c>
      <c r="L268" s="230">
        <f>K268*J563</f>
        <v>0</v>
      </c>
      <c r="M268" s="215" t="s">
        <v>627</v>
      </c>
      <c r="N268" s="140"/>
      <c r="O268" s="39"/>
      <c r="P268" s="360"/>
      <c r="Q268" s="51" t="str">
        <f t="shared" si="75"/>
        <v>Д11х5</v>
      </c>
      <c r="R268" s="377">
        <f t="shared" si="74"/>
        <v>3</v>
      </c>
      <c r="S268" s="319">
        <v>2.5</v>
      </c>
      <c r="T268" s="353">
        <f t="shared" si="80"/>
        <v>0</v>
      </c>
      <c r="U268" s="70">
        <v>12861</v>
      </c>
      <c r="V268" s="20">
        <f t="shared" si="82"/>
        <v>0</v>
      </c>
      <c r="W268" s="52">
        <f>X268-U268+V268</f>
        <v>0</v>
      </c>
      <c r="X268" s="70">
        <f>532*17+80+40+109+3588</f>
        <v>12861</v>
      </c>
      <c r="Y268" s="20" t="s">
        <v>785</v>
      </c>
      <c r="Z268" s="20"/>
      <c r="AA268" s="20"/>
      <c r="AB268" s="417"/>
      <c r="AC268" s="451"/>
      <c r="AD268" s="450">
        <v>0.35</v>
      </c>
      <c r="AE268" s="162"/>
      <c r="AF268" s="171"/>
      <c r="AG268" s="176">
        <v>3.6</v>
      </c>
      <c r="AH268" s="120">
        <v>25</v>
      </c>
      <c r="AI268" s="125"/>
      <c r="AJ268" s="185">
        <f>X268*AD268</f>
        <v>4501.3999999999996</v>
      </c>
      <c r="AK268" s="435"/>
      <c r="AL268" s="476"/>
      <c r="AM268" s="10"/>
    </row>
    <row r="269" spans="2:39" ht="26.25" hidden="1" customHeight="1" x14ac:dyDescent="0.25">
      <c r="B269" s="11"/>
      <c r="C269" s="6" t="s">
        <v>18</v>
      </c>
      <c r="D269" s="23" t="s">
        <v>40</v>
      </c>
      <c r="E269" s="87" t="s">
        <v>663</v>
      </c>
      <c r="F269" s="210"/>
      <c r="G269" s="48"/>
      <c r="H269" s="39"/>
      <c r="I269" s="360"/>
      <c r="J269" s="39">
        <f t="shared" si="81"/>
        <v>0</v>
      </c>
      <c r="K269" s="309"/>
      <c r="L269" s="230"/>
      <c r="M269" s="215"/>
      <c r="N269" s="140"/>
      <c r="O269" s="39"/>
      <c r="P269" s="468"/>
      <c r="Q269" s="442" t="str">
        <f t="shared" si="75"/>
        <v>Д11,9х3,3</v>
      </c>
      <c r="R269" s="377"/>
      <c r="S269" s="326"/>
      <c r="T269" s="353">
        <f t="shared" si="80"/>
        <v>0</v>
      </c>
      <c r="U269" s="70">
        <v>6</v>
      </c>
      <c r="V269" s="20">
        <f t="shared" si="82"/>
        <v>0</v>
      </c>
      <c r="W269" s="52"/>
      <c r="X269" s="70">
        <v>6</v>
      </c>
      <c r="Y269" s="20"/>
      <c r="Z269" s="20"/>
      <c r="AA269" s="20"/>
      <c r="AB269" s="417"/>
      <c r="AC269" s="451"/>
      <c r="AD269" s="450"/>
      <c r="AE269" s="162"/>
      <c r="AF269" s="171"/>
      <c r="AG269" s="176"/>
      <c r="AH269" s="120"/>
      <c r="AI269" s="125"/>
      <c r="AJ269" s="185"/>
      <c r="AK269" s="435"/>
      <c r="AL269" s="476"/>
      <c r="AM269" s="10"/>
    </row>
    <row r="270" spans="2:39" ht="26.25" hidden="1" customHeight="1" x14ac:dyDescent="0.25">
      <c r="B270" s="19"/>
      <c r="C270" s="6" t="s">
        <v>18</v>
      </c>
      <c r="D270" s="23" t="s">
        <v>40</v>
      </c>
      <c r="E270" s="87" t="s">
        <v>290</v>
      </c>
      <c r="F270" s="385" t="s">
        <v>369</v>
      </c>
      <c r="G270" s="48"/>
      <c r="H270" s="39"/>
      <c r="I270" s="360">
        <v>0</v>
      </c>
      <c r="J270" s="39">
        <f t="shared" si="81"/>
        <v>0</v>
      </c>
      <c r="K270" s="309">
        <f t="shared" ref="K270:K280" si="83">R270/1.4</f>
        <v>2.23</v>
      </c>
      <c r="L270" s="230">
        <f>K270*J565</f>
        <v>0</v>
      </c>
      <c r="M270" s="215" t="s">
        <v>746</v>
      </c>
      <c r="N270" s="141"/>
      <c r="O270" s="39"/>
      <c r="P270" s="309">
        <f>K270*O270</f>
        <v>0</v>
      </c>
      <c r="Q270" s="51" t="str">
        <f t="shared" si="75"/>
        <v>Д12х3</v>
      </c>
      <c r="R270" s="377">
        <f t="shared" ref="R270:R285" si="84">S270*1.2</f>
        <v>3.12</v>
      </c>
      <c r="S270" s="326">
        <v>2.6</v>
      </c>
      <c r="T270" s="353">
        <f t="shared" si="80"/>
        <v>0</v>
      </c>
      <c r="U270" s="70">
        <v>235</v>
      </c>
      <c r="V270" s="20">
        <f t="shared" si="82"/>
        <v>0</v>
      </c>
      <c r="W270" s="52">
        <f t="shared" ref="W270:W286" si="85">X270-U270+V270</f>
        <v>0</v>
      </c>
      <c r="X270" s="70">
        <v>235</v>
      </c>
      <c r="Y270" s="20" t="s">
        <v>772</v>
      </c>
      <c r="Z270" s="20"/>
      <c r="AA270" s="20">
        <v>1420</v>
      </c>
      <c r="AB270" s="417"/>
      <c r="AC270" s="168"/>
      <c r="AD270" s="450">
        <v>0.18</v>
      </c>
      <c r="AE270" s="165"/>
      <c r="AF270" s="160"/>
      <c r="AG270" s="192">
        <v>2.54</v>
      </c>
      <c r="AH270" s="110"/>
      <c r="AI270" s="125">
        <v>2.6</v>
      </c>
      <c r="AJ270" s="185">
        <f>X270*AD270</f>
        <v>42.3</v>
      </c>
      <c r="AK270" s="437" t="s">
        <v>354</v>
      </c>
      <c r="AL270" s="476"/>
      <c r="AM270" s="10"/>
    </row>
    <row r="271" spans="2:39" ht="26.25" hidden="1" customHeight="1" x14ac:dyDescent="0.25">
      <c r="B271" s="19"/>
      <c r="C271" s="6" t="s">
        <v>18</v>
      </c>
      <c r="D271" s="23" t="s">
        <v>40</v>
      </c>
      <c r="E271" s="1" t="s">
        <v>513</v>
      </c>
      <c r="F271" s="385" t="s">
        <v>517</v>
      </c>
      <c r="G271" s="48" t="s">
        <v>0</v>
      </c>
      <c r="H271" s="39"/>
      <c r="I271" s="360">
        <v>0</v>
      </c>
      <c r="J271" s="39">
        <f t="shared" si="81"/>
        <v>0</v>
      </c>
      <c r="K271" s="309">
        <f t="shared" si="83"/>
        <v>7.59</v>
      </c>
      <c r="L271" s="230">
        <f>K271*J566</f>
        <v>0</v>
      </c>
      <c r="M271" s="370" t="s">
        <v>521</v>
      </c>
      <c r="N271" s="141"/>
      <c r="O271" s="39"/>
      <c r="P271" s="467">
        <f>K271*O271</f>
        <v>0</v>
      </c>
      <c r="Q271" s="262" t="str">
        <f t="shared" si="75"/>
        <v>д12х4 нжб1200-150</v>
      </c>
      <c r="R271" s="377">
        <f t="shared" si="84"/>
        <v>10.62</v>
      </c>
      <c r="S271" s="322">
        <v>8.85</v>
      </c>
      <c r="T271" s="353">
        <f t="shared" si="80"/>
        <v>0</v>
      </c>
      <c r="U271" s="70">
        <v>4</v>
      </c>
      <c r="V271" s="20">
        <f t="shared" si="82"/>
        <v>0</v>
      </c>
      <c r="W271" s="52">
        <f t="shared" si="85"/>
        <v>0</v>
      </c>
      <c r="X271" s="70">
        <v>4</v>
      </c>
      <c r="Y271" s="20"/>
      <c r="Z271" s="20"/>
      <c r="AA271" s="20"/>
      <c r="AB271" s="417"/>
      <c r="AC271" s="168"/>
      <c r="AD271" s="450"/>
      <c r="AE271" s="165"/>
      <c r="AF271" s="160"/>
      <c r="AG271" s="192">
        <v>3.7</v>
      </c>
      <c r="AH271" s="128"/>
      <c r="AI271" s="125">
        <v>2</v>
      </c>
      <c r="AJ271" s="185">
        <f>X271*AD271</f>
        <v>0</v>
      </c>
      <c r="AK271" s="4"/>
      <c r="AL271" s="476"/>
      <c r="AM271" s="10"/>
    </row>
    <row r="272" spans="2:39" ht="26.25" hidden="1" customHeight="1" x14ac:dyDescent="0.25">
      <c r="B272" s="19"/>
      <c r="C272" s="6" t="s">
        <v>18</v>
      </c>
      <c r="D272" s="23" t="s">
        <v>40</v>
      </c>
      <c r="E272" s="1" t="s">
        <v>766</v>
      </c>
      <c r="F272" s="385"/>
      <c r="G272" s="48"/>
      <c r="H272" s="39"/>
      <c r="I272" s="360"/>
      <c r="J272" s="39">
        <f t="shared" si="81"/>
        <v>0</v>
      </c>
      <c r="K272" s="309">
        <f t="shared" si="83"/>
        <v>0</v>
      </c>
      <c r="L272" s="230"/>
      <c r="M272" s="370"/>
      <c r="N272" s="141"/>
      <c r="O272" s="39"/>
      <c r="P272" s="360"/>
      <c r="Q272" s="262" t="str">
        <f t="shared" si="75"/>
        <v>Д12х12</v>
      </c>
      <c r="R272" s="377">
        <f t="shared" si="84"/>
        <v>0</v>
      </c>
      <c r="S272" s="322"/>
      <c r="T272" s="353">
        <f t="shared" si="80"/>
        <v>0</v>
      </c>
      <c r="U272" s="70">
        <v>111</v>
      </c>
      <c r="V272" s="20">
        <f t="shared" si="82"/>
        <v>0</v>
      </c>
      <c r="W272" s="52">
        <f t="shared" si="85"/>
        <v>0</v>
      </c>
      <c r="X272" s="70">
        <v>111</v>
      </c>
      <c r="Y272" s="20"/>
      <c r="Z272" s="20"/>
      <c r="AA272" s="20"/>
      <c r="AB272" s="417"/>
      <c r="AC272" s="168"/>
      <c r="AD272" s="450"/>
      <c r="AE272" s="165"/>
      <c r="AF272" s="160"/>
      <c r="AG272" s="192"/>
      <c r="AH272" s="128"/>
      <c r="AI272" s="125"/>
      <c r="AJ272" s="185"/>
      <c r="AK272" s="4"/>
      <c r="AL272" s="476"/>
      <c r="AM272" s="10"/>
    </row>
    <row r="273" spans="1:39" ht="26.25" hidden="1" customHeight="1" x14ac:dyDescent="0.25">
      <c r="B273" s="19"/>
      <c r="C273" s="6" t="s">
        <v>18</v>
      </c>
      <c r="D273" s="23" t="s">
        <v>40</v>
      </c>
      <c r="E273" s="1" t="s">
        <v>561</v>
      </c>
      <c r="F273" s="385"/>
      <c r="G273" s="48"/>
      <c r="H273" s="39"/>
      <c r="I273" s="360"/>
      <c r="J273" s="39">
        <f t="shared" si="81"/>
        <v>0</v>
      </c>
      <c r="K273" s="309">
        <f t="shared" si="83"/>
        <v>0</v>
      </c>
      <c r="L273" s="230"/>
      <c r="M273" s="370"/>
      <c r="N273" s="141"/>
      <c r="O273" s="39"/>
      <c r="P273" s="360"/>
      <c r="Q273" s="262" t="str">
        <f t="shared" si="75"/>
        <v>Д12х5</v>
      </c>
      <c r="R273" s="377">
        <f t="shared" si="84"/>
        <v>0</v>
      </c>
      <c r="S273" s="322"/>
      <c r="T273" s="353">
        <f t="shared" si="80"/>
        <v>0</v>
      </c>
      <c r="U273" s="70">
        <v>1</v>
      </c>
      <c r="V273" s="20">
        <f t="shared" si="82"/>
        <v>0</v>
      </c>
      <c r="W273" s="52">
        <f t="shared" si="85"/>
        <v>0</v>
      </c>
      <c r="X273" s="70">
        <v>1</v>
      </c>
      <c r="Y273" s="20"/>
      <c r="Z273" s="20"/>
      <c r="AA273" s="20"/>
      <c r="AB273" s="417"/>
      <c r="AC273" s="168"/>
      <c r="AD273" s="450"/>
      <c r="AE273" s="165"/>
      <c r="AF273" s="160"/>
      <c r="AG273" s="192"/>
      <c r="AH273" s="128"/>
      <c r="AI273" s="125"/>
      <c r="AJ273" s="185"/>
      <c r="AK273" s="4"/>
      <c r="AL273" s="476"/>
      <c r="AM273" s="10"/>
    </row>
    <row r="274" spans="1:39" ht="26.25" hidden="1" customHeight="1" x14ac:dyDescent="0.25">
      <c r="B274" s="19"/>
      <c r="C274" s="6" t="s">
        <v>18</v>
      </c>
      <c r="D274" s="23" t="s">
        <v>40</v>
      </c>
      <c r="E274" s="1" t="s">
        <v>562</v>
      </c>
      <c r="F274" s="385"/>
      <c r="G274" s="48"/>
      <c r="H274" s="39"/>
      <c r="I274" s="360"/>
      <c r="J274" s="39">
        <f t="shared" si="81"/>
        <v>0</v>
      </c>
      <c r="K274" s="309">
        <f t="shared" si="83"/>
        <v>0</v>
      </c>
      <c r="L274" s="230"/>
      <c r="M274" s="370"/>
      <c r="N274" s="141"/>
      <c r="O274" s="39"/>
      <c r="P274" s="468"/>
      <c r="Q274" s="264" t="str">
        <f t="shared" si="75"/>
        <v>Д12х25</v>
      </c>
      <c r="R274" s="377">
        <f t="shared" si="84"/>
        <v>0</v>
      </c>
      <c r="S274" s="322"/>
      <c r="T274" s="353">
        <f t="shared" si="80"/>
        <v>0</v>
      </c>
      <c r="U274" s="70">
        <v>10</v>
      </c>
      <c r="V274" s="20">
        <f t="shared" si="82"/>
        <v>0</v>
      </c>
      <c r="W274" s="52">
        <f t="shared" si="85"/>
        <v>0</v>
      </c>
      <c r="X274" s="70">
        <v>10</v>
      </c>
      <c r="Y274" s="20"/>
      <c r="Z274" s="20"/>
      <c r="AA274" s="20"/>
      <c r="AB274" s="417"/>
      <c r="AC274" s="168"/>
      <c r="AD274" s="450"/>
      <c r="AE274" s="165"/>
      <c r="AF274" s="160"/>
      <c r="AG274" s="192"/>
      <c r="AH274" s="128"/>
      <c r="AI274" s="125"/>
      <c r="AJ274" s="185"/>
      <c r="AK274" s="4"/>
      <c r="AL274" s="476"/>
      <c r="AM274" s="10"/>
    </row>
    <row r="275" spans="1:39" ht="26.25" hidden="1" customHeight="1" x14ac:dyDescent="0.25">
      <c r="B275" s="19"/>
      <c r="C275" s="6" t="s">
        <v>18</v>
      </c>
      <c r="D275" s="23" t="s">
        <v>40</v>
      </c>
      <c r="E275" s="1" t="s">
        <v>729</v>
      </c>
      <c r="F275" s="385" t="s">
        <v>733</v>
      </c>
      <c r="G275" s="48"/>
      <c r="H275" s="39"/>
      <c r="I275" s="360"/>
      <c r="J275" s="39">
        <f t="shared" si="81"/>
        <v>0</v>
      </c>
      <c r="K275" s="309">
        <f t="shared" si="83"/>
        <v>5.57</v>
      </c>
      <c r="L275" s="230"/>
      <c r="M275" s="215" t="s">
        <v>747</v>
      </c>
      <c r="N275" s="141"/>
      <c r="O275" s="39"/>
      <c r="P275" s="309"/>
      <c r="Q275" s="51" t="str">
        <f t="shared" si="75"/>
        <v>Д13,5х4 б/п</v>
      </c>
      <c r="R275" s="377">
        <f t="shared" si="84"/>
        <v>7.8</v>
      </c>
      <c r="S275" s="322">
        <v>6.5</v>
      </c>
      <c r="T275" s="353">
        <f t="shared" si="80"/>
        <v>0</v>
      </c>
      <c r="U275" s="70">
        <v>8</v>
      </c>
      <c r="V275" s="20">
        <f t="shared" si="82"/>
        <v>0</v>
      </c>
      <c r="W275" s="52">
        <f t="shared" si="85"/>
        <v>0</v>
      </c>
      <c r="X275" s="70">
        <v>8</v>
      </c>
      <c r="Y275" s="20"/>
      <c r="Z275" s="20"/>
      <c r="AA275" s="20"/>
      <c r="AB275" s="417"/>
      <c r="AC275" s="168"/>
      <c r="AD275" s="450"/>
      <c r="AE275" s="165"/>
      <c r="AF275" s="160"/>
      <c r="AG275" s="192"/>
      <c r="AH275" s="128"/>
      <c r="AI275" s="125"/>
      <c r="AJ275" s="185"/>
      <c r="AK275" s="4"/>
      <c r="AL275" s="476"/>
      <c r="AM275" s="10"/>
    </row>
    <row r="276" spans="1:39" s="4" customFormat="1" ht="33" hidden="1" customHeight="1" x14ac:dyDescent="0.3">
      <c r="A276" s="10"/>
      <c r="B276" s="19"/>
      <c r="C276" s="6" t="s">
        <v>18</v>
      </c>
      <c r="D276" s="23" t="s">
        <v>40</v>
      </c>
      <c r="E276" s="87" t="s">
        <v>765</v>
      </c>
      <c r="F276" s="385"/>
      <c r="G276" s="48"/>
      <c r="H276" s="39"/>
      <c r="I276" s="309">
        <v>0</v>
      </c>
      <c r="J276" s="39">
        <f t="shared" si="81"/>
        <v>0</v>
      </c>
      <c r="K276" s="309">
        <f t="shared" si="83"/>
        <v>4.84</v>
      </c>
      <c r="L276" s="230"/>
      <c r="M276" s="250" t="s">
        <v>681</v>
      </c>
      <c r="N276" s="141"/>
      <c r="O276" s="503"/>
      <c r="P276" s="490">
        <f>K276*O276</f>
        <v>0</v>
      </c>
      <c r="Q276" s="262" t="str">
        <f t="shared" si="75"/>
        <v>Д14,5х4(Химволокно)</v>
      </c>
      <c r="R276" s="377">
        <f t="shared" si="84"/>
        <v>6.78</v>
      </c>
      <c r="S276" s="319">
        <v>5.65</v>
      </c>
      <c r="T276" s="353">
        <f t="shared" si="80"/>
        <v>0</v>
      </c>
      <c r="U276" s="70">
        <v>42</v>
      </c>
      <c r="V276" s="20">
        <f t="shared" si="82"/>
        <v>0</v>
      </c>
      <c r="W276" s="52">
        <f t="shared" si="85"/>
        <v>0</v>
      </c>
      <c r="X276" s="70">
        <v>42</v>
      </c>
      <c r="Y276" s="20" t="s">
        <v>775</v>
      </c>
      <c r="Z276" s="20"/>
      <c r="AA276" s="20"/>
      <c r="AB276" s="417"/>
      <c r="AC276" s="200">
        <v>10</v>
      </c>
      <c r="AD276" s="160">
        <v>2.2999999999999998</v>
      </c>
      <c r="AE276" s="165" t="s">
        <v>399</v>
      </c>
      <c r="AF276" s="160"/>
      <c r="AG276" s="192"/>
      <c r="AH276" s="128"/>
      <c r="AI276" s="113"/>
      <c r="AJ276" s="185"/>
    </row>
    <row r="277" spans="1:39" ht="26.25" customHeight="1" x14ac:dyDescent="0.3">
      <c r="B277" s="19">
        <v>95</v>
      </c>
      <c r="C277" s="6" t="s">
        <v>18</v>
      </c>
      <c r="D277" s="23" t="s">
        <v>40</v>
      </c>
      <c r="E277" s="1" t="s">
        <v>373</v>
      </c>
      <c r="F277" s="398">
        <v>945</v>
      </c>
      <c r="G277" s="48"/>
      <c r="H277" s="39"/>
      <c r="I277" s="360">
        <v>0</v>
      </c>
      <c r="J277" s="39">
        <f t="shared" si="81"/>
        <v>8</v>
      </c>
      <c r="K277" s="309">
        <f t="shared" si="83"/>
        <v>4.54</v>
      </c>
      <c r="L277" s="230"/>
      <c r="M277" s="154" t="s">
        <v>896</v>
      </c>
      <c r="N277" s="60">
        <v>8</v>
      </c>
      <c r="O277" s="547"/>
      <c r="P277" s="497">
        <f>K277*O277</f>
        <v>0</v>
      </c>
      <c r="Q277" s="263" t="str">
        <f t="shared" si="75"/>
        <v>Д20х6</v>
      </c>
      <c r="R277" s="377">
        <f t="shared" si="84"/>
        <v>6.36</v>
      </c>
      <c r="S277" s="319">
        <v>5.3</v>
      </c>
      <c r="T277" s="353">
        <f t="shared" si="80"/>
        <v>42.4</v>
      </c>
      <c r="U277" s="20"/>
      <c r="V277" s="20">
        <f t="shared" si="82"/>
        <v>8</v>
      </c>
      <c r="W277" s="52">
        <f t="shared" si="85"/>
        <v>8</v>
      </c>
      <c r="X277" s="20"/>
      <c r="Y277" s="20"/>
      <c r="Z277" s="20"/>
      <c r="AA277" s="20"/>
      <c r="AB277" s="417"/>
      <c r="AC277" s="200"/>
      <c r="AD277" s="160"/>
      <c r="AE277" s="165"/>
      <c r="AF277" s="160"/>
      <c r="AG277" s="192"/>
      <c r="AH277" s="128"/>
      <c r="AI277" s="113"/>
      <c r="AJ277" s="185"/>
      <c r="AK277" s="10"/>
      <c r="AL277" s="832"/>
      <c r="AM277" s="832"/>
    </row>
    <row r="278" spans="1:39" ht="32.25" hidden="1" customHeight="1" x14ac:dyDescent="0.3">
      <c r="B278" s="19"/>
      <c r="C278" s="6" t="s">
        <v>18</v>
      </c>
      <c r="D278" s="23" t="s">
        <v>40</v>
      </c>
      <c r="E278" s="87" t="s">
        <v>636</v>
      </c>
      <c r="F278" s="398">
        <v>1371</v>
      </c>
      <c r="G278" s="48"/>
      <c r="H278" s="39"/>
      <c r="I278" s="360"/>
      <c r="J278" s="39">
        <f t="shared" si="81"/>
        <v>0</v>
      </c>
      <c r="K278" s="309">
        <f t="shared" si="83"/>
        <v>8.14</v>
      </c>
      <c r="L278" s="230"/>
      <c r="M278" s="219" t="s">
        <v>683</v>
      </c>
      <c r="N278" s="141"/>
      <c r="O278" s="39"/>
      <c r="P278" s="309"/>
      <c r="Q278" s="51" t="str">
        <f t="shared" si="75"/>
        <v>Д25х5</v>
      </c>
      <c r="R278" s="306">
        <f t="shared" si="84"/>
        <v>11.4</v>
      </c>
      <c r="S278" s="326">
        <v>9.5</v>
      </c>
      <c r="T278" s="353">
        <f t="shared" si="80"/>
        <v>0</v>
      </c>
      <c r="U278" s="20"/>
      <c r="V278" s="20">
        <f t="shared" si="82"/>
        <v>0</v>
      </c>
      <c r="W278" s="52">
        <f t="shared" si="85"/>
        <v>0</v>
      </c>
      <c r="X278" s="20"/>
      <c r="Y278" s="20"/>
      <c r="Z278" s="20"/>
      <c r="AA278" s="20"/>
      <c r="AB278" s="417"/>
      <c r="AC278" s="168"/>
      <c r="AD278" s="450"/>
      <c r="AE278" s="165"/>
      <c r="AF278" s="160"/>
      <c r="AG278" s="192"/>
      <c r="AH278" s="128"/>
      <c r="AI278" s="113"/>
      <c r="AJ278" s="185"/>
      <c r="AK278" s="4"/>
      <c r="AL278" s="841"/>
      <c r="AM278" s="10"/>
    </row>
    <row r="279" spans="1:39" ht="26.25" hidden="1" customHeight="1" x14ac:dyDescent="0.25">
      <c r="B279" s="15"/>
      <c r="C279" s="6" t="s">
        <v>18</v>
      </c>
      <c r="D279" s="23" t="s">
        <v>40</v>
      </c>
      <c r="E279" s="87" t="s">
        <v>869</v>
      </c>
      <c r="F279" s="386">
        <v>1253</v>
      </c>
      <c r="G279" s="12" t="s">
        <v>0</v>
      </c>
      <c r="H279" s="39">
        <v>0</v>
      </c>
      <c r="I279" s="309">
        <v>0</v>
      </c>
      <c r="J279" s="39">
        <f t="shared" si="81"/>
        <v>0</v>
      </c>
      <c r="K279" s="309">
        <f t="shared" si="83"/>
        <v>2.31</v>
      </c>
      <c r="L279" s="230">
        <f>K279*J574</f>
        <v>0</v>
      </c>
      <c r="M279" s="99" t="s">
        <v>171</v>
      </c>
      <c r="N279" s="140"/>
      <c r="O279" s="489">
        <v>0</v>
      </c>
      <c r="P279" s="490">
        <f t="shared" ref="P279:P285" si="86">K279*O279</f>
        <v>0</v>
      </c>
      <c r="Q279" s="264" t="str">
        <f t="shared" si="75"/>
        <v>Д20х10</v>
      </c>
      <c r="R279" s="377">
        <f t="shared" si="84"/>
        <v>3.23</v>
      </c>
      <c r="S279" s="326">
        <v>2.69</v>
      </c>
      <c r="T279" s="353">
        <f t="shared" si="80"/>
        <v>0</v>
      </c>
      <c r="U279" s="18"/>
      <c r="V279" s="20">
        <f t="shared" si="82"/>
        <v>0</v>
      </c>
      <c r="W279" s="52">
        <f t="shared" si="85"/>
        <v>37</v>
      </c>
      <c r="X279" s="147">
        <v>37</v>
      </c>
      <c r="Y279" s="18"/>
      <c r="Z279" s="18"/>
      <c r="AA279" s="18"/>
      <c r="AB279" s="418"/>
      <c r="AC279" s="168"/>
      <c r="AD279" s="450">
        <v>0.89</v>
      </c>
      <c r="AE279" s="165"/>
      <c r="AF279" s="160"/>
      <c r="AG279" s="192">
        <v>9.5299999999999994</v>
      </c>
      <c r="AH279" s="110"/>
      <c r="AI279" s="125">
        <v>10</v>
      </c>
      <c r="AJ279" s="185">
        <f>X279*AD279</f>
        <v>32.9</v>
      </c>
      <c r="AK279" s="435"/>
      <c r="AL279" s="476"/>
      <c r="AM279" s="10"/>
    </row>
    <row r="280" spans="1:39" ht="26.25" hidden="1" customHeight="1" x14ac:dyDescent="0.25">
      <c r="B280" s="11"/>
      <c r="C280" s="6" t="s">
        <v>18</v>
      </c>
      <c r="D280" s="23" t="s">
        <v>40</v>
      </c>
      <c r="E280" s="107" t="s">
        <v>583</v>
      </c>
      <c r="F280" s="210">
        <v>1359</v>
      </c>
      <c r="G280" s="14" t="s">
        <v>0</v>
      </c>
      <c r="H280" s="39"/>
      <c r="I280" s="360">
        <v>0</v>
      </c>
      <c r="J280" s="39">
        <f t="shared" si="81"/>
        <v>0</v>
      </c>
      <c r="K280" s="309">
        <f t="shared" si="83"/>
        <v>6.77</v>
      </c>
      <c r="L280" s="230">
        <f>K280*J575</f>
        <v>0</v>
      </c>
      <c r="M280" s="94" t="s">
        <v>608</v>
      </c>
      <c r="N280" s="140"/>
      <c r="O280" s="39"/>
      <c r="P280" s="360">
        <f t="shared" si="86"/>
        <v>0</v>
      </c>
      <c r="Q280" s="51" t="str">
        <f t="shared" si="75"/>
        <v>30М.14.2990.011(Д19,8х6)</v>
      </c>
      <c r="R280" s="377">
        <f t="shared" si="84"/>
        <v>9.48</v>
      </c>
      <c r="S280" s="324">
        <v>7.9</v>
      </c>
      <c r="T280" s="353">
        <f t="shared" si="80"/>
        <v>0</v>
      </c>
      <c r="U280" s="430">
        <v>49</v>
      </c>
      <c r="V280" s="20">
        <f t="shared" si="82"/>
        <v>0</v>
      </c>
      <c r="W280" s="52">
        <f t="shared" si="85"/>
        <v>0</v>
      </c>
      <c r="X280" s="430">
        <v>49</v>
      </c>
      <c r="Y280" s="18" t="s">
        <v>782</v>
      </c>
      <c r="Z280" s="18"/>
      <c r="AA280" s="18">
        <f>21+368+500+600+2</f>
        <v>1491</v>
      </c>
      <c r="AB280" s="418"/>
      <c r="AC280" s="168"/>
      <c r="AD280" s="450" t="s">
        <v>402</v>
      </c>
      <c r="AE280" s="348" t="s">
        <v>400</v>
      </c>
      <c r="AF280" s="160">
        <v>1.25</v>
      </c>
      <c r="AG280" s="192">
        <v>14</v>
      </c>
      <c r="AH280" s="110"/>
      <c r="AI280" s="125">
        <v>10</v>
      </c>
      <c r="AJ280" s="185">
        <f>AF280*X280</f>
        <v>61.3</v>
      </c>
      <c r="AK280" s="435"/>
      <c r="AL280" s="476"/>
      <c r="AM280" s="10"/>
    </row>
    <row r="281" spans="1:39" ht="26.25" hidden="1" customHeight="1" x14ac:dyDescent="0.25">
      <c r="B281" s="11"/>
      <c r="C281" s="6" t="s">
        <v>18</v>
      </c>
      <c r="D281" s="23" t="s">
        <v>40</v>
      </c>
      <c r="E281" s="107" t="s">
        <v>315</v>
      </c>
      <c r="F281" s="210"/>
      <c r="G281" s="14"/>
      <c r="H281" s="39"/>
      <c r="I281" s="309">
        <v>0</v>
      </c>
      <c r="J281" s="39">
        <f t="shared" si="81"/>
        <v>0</v>
      </c>
      <c r="K281" s="309"/>
      <c r="L281" s="230"/>
      <c r="M281" s="94"/>
      <c r="N281" s="140"/>
      <c r="O281" s="513"/>
      <c r="P281" s="497">
        <f t="shared" si="86"/>
        <v>0</v>
      </c>
      <c r="Q281" s="264" t="str">
        <f t="shared" si="75"/>
        <v>Д20х3</v>
      </c>
      <c r="R281" s="377">
        <f t="shared" si="84"/>
        <v>0</v>
      </c>
      <c r="S281" s="324">
        <v>0</v>
      </c>
      <c r="T281" s="353">
        <f t="shared" si="80"/>
        <v>0</v>
      </c>
      <c r="U281" s="70">
        <v>10</v>
      </c>
      <c r="V281" s="20">
        <f t="shared" si="82"/>
        <v>0</v>
      </c>
      <c r="W281" s="52">
        <f t="shared" si="85"/>
        <v>0</v>
      </c>
      <c r="X281" s="70">
        <v>10</v>
      </c>
      <c r="Y281" s="20"/>
      <c r="Z281" s="20"/>
      <c r="AA281" s="20"/>
      <c r="AB281" s="417"/>
      <c r="AC281" s="168"/>
      <c r="AD281" s="450">
        <v>0.52</v>
      </c>
      <c r="AE281" s="165"/>
      <c r="AF281" s="160"/>
      <c r="AG281" s="192">
        <v>7.1</v>
      </c>
      <c r="AH281" s="110"/>
      <c r="AI281" s="125">
        <v>8.5</v>
      </c>
      <c r="AJ281" s="185">
        <f>X281*AD281</f>
        <v>5.2</v>
      </c>
      <c r="AK281" s="435"/>
      <c r="AL281" s="476"/>
      <c r="AM281" s="10"/>
    </row>
    <row r="282" spans="1:39" ht="26.25" hidden="1" customHeight="1" x14ac:dyDescent="0.25">
      <c r="B282" s="11"/>
      <c r="C282" s="6" t="s">
        <v>18</v>
      </c>
      <c r="D282" s="23" t="s">
        <v>40</v>
      </c>
      <c r="E282" s="1" t="s">
        <v>776</v>
      </c>
      <c r="F282" s="210">
        <v>1126</v>
      </c>
      <c r="G282" s="12" t="s">
        <v>0</v>
      </c>
      <c r="H282" s="39"/>
      <c r="I282" s="360">
        <v>0</v>
      </c>
      <c r="J282" s="39">
        <f t="shared" si="81"/>
        <v>0</v>
      </c>
      <c r="K282" s="309">
        <v>4</v>
      </c>
      <c r="L282" s="230"/>
      <c r="M282" s="296"/>
      <c r="N282" s="140"/>
      <c r="O282" s="39"/>
      <c r="P282" s="309">
        <f t="shared" si="86"/>
        <v>0</v>
      </c>
      <c r="Q282" s="51" t="str">
        <f t="shared" si="75"/>
        <v>0861-8569.05 (Д20х25 с резьбой)</v>
      </c>
      <c r="R282" s="377">
        <f t="shared" si="84"/>
        <v>71.760000000000005</v>
      </c>
      <c r="S282" s="331">
        <v>59.8</v>
      </c>
      <c r="T282" s="353">
        <f t="shared" si="80"/>
        <v>0</v>
      </c>
      <c r="U282" s="70"/>
      <c r="V282" s="20">
        <f t="shared" si="82"/>
        <v>0</v>
      </c>
      <c r="W282" s="52">
        <f t="shared" si="85"/>
        <v>0</v>
      </c>
      <c r="X282" s="148"/>
      <c r="Y282" s="20"/>
      <c r="Z282" s="20"/>
      <c r="AA282" s="20"/>
      <c r="AB282" s="417"/>
      <c r="AC282" s="200"/>
      <c r="AD282" s="160">
        <v>1.42</v>
      </c>
      <c r="AE282" s="165"/>
      <c r="AF282" s="160"/>
      <c r="AG282" s="192">
        <v>14.2</v>
      </c>
      <c r="AH282" s="128"/>
      <c r="AI282" s="129"/>
      <c r="AJ282" s="185">
        <f>X282*AD282</f>
        <v>0</v>
      </c>
      <c r="AK282" s="10"/>
      <c r="AL282" s="10"/>
      <c r="AM282" s="10"/>
    </row>
    <row r="283" spans="1:39" ht="31.5" hidden="1" customHeight="1" x14ac:dyDescent="0.25">
      <c r="B283" s="11"/>
      <c r="C283" s="6" t="s">
        <v>18</v>
      </c>
      <c r="D283" s="23" t="s">
        <v>40</v>
      </c>
      <c r="E283" s="107" t="s">
        <v>586</v>
      </c>
      <c r="F283" s="210"/>
      <c r="G283" s="13"/>
      <c r="H283" s="39"/>
      <c r="I283" s="309">
        <v>0</v>
      </c>
      <c r="J283" s="39">
        <f t="shared" si="81"/>
        <v>0</v>
      </c>
      <c r="K283" s="309">
        <f>R283/1.4</f>
        <v>4.16</v>
      </c>
      <c r="L283" s="230"/>
      <c r="M283" s="94"/>
      <c r="N283" s="140"/>
      <c r="O283" s="489"/>
      <c r="P283" s="490">
        <f t="shared" si="86"/>
        <v>0</v>
      </c>
      <c r="Q283" s="262" t="str">
        <f t="shared" si="75"/>
        <v>Д22х25((сост.из 3 штук)</v>
      </c>
      <c r="R283" s="377">
        <f t="shared" si="84"/>
        <v>5.82</v>
      </c>
      <c r="S283" s="323">
        <v>4.8499999999999996</v>
      </c>
      <c r="T283" s="353">
        <f t="shared" si="80"/>
        <v>0</v>
      </c>
      <c r="U283" s="70">
        <v>12</v>
      </c>
      <c r="V283" s="20">
        <f t="shared" si="82"/>
        <v>0</v>
      </c>
      <c r="W283" s="52">
        <f t="shared" si="85"/>
        <v>0</v>
      </c>
      <c r="X283" s="70">
        <v>12</v>
      </c>
      <c r="Y283" s="20" t="s">
        <v>786</v>
      </c>
      <c r="Z283" s="20"/>
      <c r="AA283" s="20"/>
      <c r="AB283" s="417"/>
      <c r="AC283" s="168"/>
      <c r="AD283" s="450"/>
      <c r="AE283" s="165"/>
      <c r="AF283" s="160"/>
      <c r="AG283" s="192"/>
      <c r="AH283" s="128"/>
      <c r="AI283" s="129"/>
      <c r="AJ283" s="185"/>
      <c r="AK283" s="10"/>
      <c r="AL283" s="476"/>
      <c r="AM283" s="10"/>
    </row>
    <row r="284" spans="1:39" ht="34.5" hidden="1" customHeight="1" x14ac:dyDescent="0.25">
      <c r="B284" s="11"/>
      <c r="C284" s="6" t="s">
        <v>18</v>
      </c>
      <c r="D284" s="23" t="s">
        <v>40</v>
      </c>
      <c r="E284" s="107" t="s">
        <v>659</v>
      </c>
      <c r="F284" s="210"/>
      <c r="G284" s="13"/>
      <c r="H284" s="39"/>
      <c r="I284" s="309">
        <v>0</v>
      </c>
      <c r="J284" s="39">
        <f t="shared" si="81"/>
        <v>0</v>
      </c>
      <c r="K284" s="309">
        <f>R284/1.4</f>
        <v>3.17</v>
      </c>
      <c r="L284" s="230"/>
      <c r="M284" s="156" t="s">
        <v>477</v>
      </c>
      <c r="N284" s="140"/>
      <c r="O284" s="39"/>
      <c r="P284" s="360">
        <f t="shared" si="86"/>
        <v>0</v>
      </c>
      <c r="Q284" s="260" t="str">
        <f t="shared" si="75"/>
        <v>П50х23х52 (ИНТЕГРАЛ)</v>
      </c>
      <c r="R284" s="377">
        <f t="shared" si="84"/>
        <v>4.4400000000000004</v>
      </c>
      <c r="S284" s="323">
        <v>3.7</v>
      </c>
      <c r="T284" s="353">
        <f t="shared" si="80"/>
        <v>0</v>
      </c>
      <c r="U284" s="70">
        <v>6</v>
      </c>
      <c r="V284" s="20">
        <f t="shared" si="82"/>
        <v>0</v>
      </c>
      <c r="W284" s="52">
        <f t="shared" si="85"/>
        <v>0</v>
      </c>
      <c r="X284" s="70">
        <v>6</v>
      </c>
      <c r="Y284" s="20" t="s">
        <v>786</v>
      </c>
      <c r="Z284" s="20"/>
      <c r="AA284" s="20"/>
      <c r="AB284" s="417"/>
      <c r="AC284" s="168"/>
      <c r="AD284" s="450"/>
      <c r="AE284" s="165"/>
      <c r="AF284" s="160"/>
      <c r="AG284" s="192"/>
      <c r="AH284" s="128"/>
      <c r="AI284" s="129"/>
      <c r="AJ284" s="185"/>
      <c r="AK284" s="10"/>
      <c r="AL284" s="476"/>
      <c r="AM284" s="10"/>
    </row>
    <row r="285" spans="1:39" ht="26.25" hidden="1" customHeight="1" x14ac:dyDescent="0.25">
      <c r="B285" s="11"/>
      <c r="C285" s="6" t="s">
        <v>18</v>
      </c>
      <c r="D285" s="23" t="s">
        <v>40</v>
      </c>
      <c r="E285" s="107" t="s">
        <v>441</v>
      </c>
      <c r="F285" s="210"/>
      <c r="G285" s="13"/>
      <c r="H285" s="39"/>
      <c r="I285" s="309">
        <v>0</v>
      </c>
      <c r="J285" s="39">
        <f t="shared" si="81"/>
        <v>0</v>
      </c>
      <c r="K285" s="309"/>
      <c r="L285" s="230"/>
      <c r="M285" s="94"/>
      <c r="N285" s="140"/>
      <c r="O285" s="39"/>
      <c r="P285" s="309">
        <f t="shared" si="86"/>
        <v>0</v>
      </c>
      <c r="Q285" s="235" t="str">
        <f t="shared" si="75"/>
        <v>Д25х15</v>
      </c>
      <c r="R285" s="377">
        <f t="shared" si="84"/>
        <v>0</v>
      </c>
      <c r="S285" s="331">
        <v>0</v>
      </c>
      <c r="T285" s="353">
        <f t="shared" si="80"/>
        <v>0</v>
      </c>
      <c r="U285" s="70">
        <v>3</v>
      </c>
      <c r="V285" s="20">
        <f t="shared" si="82"/>
        <v>0</v>
      </c>
      <c r="W285" s="52">
        <f t="shared" si="85"/>
        <v>0</v>
      </c>
      <c r="X285" s="70">
        <v>3</v>
      </c>
      <c r="Y285" s="20"/>
      <c r="Z285" s="20"/>
      <c r="AA285" s="20"/>
      <c r="AB285" s="417"/>
      <c r="AC285" s="168"/>
      <c r="AD285" s="450"/>
      <c r="AE285" s="165"/>
      <c r="AF285" s="160"/>
      <c r="AG285" s="192"/>
      <c r="AH285" s="128"/>
      <c r="AI285" s="129"/>
      <c r="AJ285" s="185"/>
      <c r="AK285" s="10"/>
      <c r="AL285" s="476"/>
      <c r="AM285" s="10"/>
    </row>
    <row r="286" spans="1:39" ht="26.25" hidden="1" customHeight="1" x14ac:dyDescent="0.25">
      <c r="B286" s="11"/>
      <c r="C286" s="6" t="s">
        <v>18</v>
      </c>
      <c r="D286" s="23" t="s">
        <v>40</v>
      </c>
      <c r="E286" s="107" t="s">
        <v>636</v>
      </c>
      <c r="F286" s="210"/>
      <c r="G286" s="13"/>
      <c r="H286" s="39"/>
      <c r="I286" s="309"/>
      <c r="J286" s="39">
        <f t="shared" si="81"/>
        <v>0</v>
      </c>
      <c r="K286" s="309"/>
      <c r="L286" s="230"/>
      <c r="M286" s="94"/>
      <c r="N286" s="140"/>
      <c r="O286" s="39"/>
      <c r="P286" s="309"/>
      <c r="Q286" s="235" t="str">
        <f t="shared" si="75"/>
        <v>Д25х5</v>
      </c>
      <c r="R286" s="377"/>
      <c r="S286" s="331"/>
      <c r="T286" s="353">
        <f t="shared" si="80"/>
        <v>0</v>
      </c>
      <c r="U286" s="70">
        <v>20</v>
      </c>
      <c r="V286" s="20">
        <f t="shared" si="82"/>
        <v>0</v>
      </c>
      <c r="W286" s="52">
        <f t="shared" si="85"/>
        <v>0</v>
      </c>
      <c r="X286" s="70">
        <v>20</v>
      </c>
      <c r="Y286" s="20"/>
      <c r="Z286" s="20"/>
      <c r="AA286" s="20"/>
      <c r="AB286" s="417"/>
      <c r="AC286" s="168"/>
      <c r="AD286" s="450"/>
      <c r="AE286" s="165"/>
      <c r="AF286" s="160"/>
      <c r="AG286" s="192"/>
      <c r="AH286" s="128"/>
      <c r="AI286" s="129"/>
      <c r="AJ286" s="185"/>
      <c r="AK286" s="10"/>
      <c r="AL286" s="476"/>
      <c r="AM286" s="10"/>
    </row>
    <row r="287" spans="1:39" ht="31.5" hidden="1" customHeight="1" x14ac:dyDescent="0.25">
      <c r="B287" s="11"/>
      <c r="C287" s="6" t="s">
        <v>18</v>
      </c>
      <c r="D287" s="23" t="s">
        <v>40</v>
      </c>
      <c r="E287" s="107" t="s">
        <v>648</v>
      </c>
      <c r="F287" s="210"/>
      <c r="G287" s="13"/>
      <c r="H287" s="39"/>
      <c r="I287" s="309"/>
      <c r="J287" s="39">
        <f t="shared" si="81"/>
        <v>0</v>
      </c>
      <c r="K287" s="309"/>
      <c r="L287" s="230"/>
      <c r="M287" s="94"/>
      <c r="N287" s="140"/>
      <c r="O287" s="39"/>
      <c r="P287" s="309"/>
      <c r="Q287" s="235" t="str">
        <f t="shared" si="75"/>
        <v>Д28х5</v>
      </c>
      <c r="R287" s="377"/>
      <c r="S287" s="331"/>
      <c r="T287" s="353">
        <f t="shared" si="80"/>
        <v>0</v>
      </c>
      <c r="U287" s="70"/>
      <c r="V287" s="20">
        <f t="shared" si="82"/>
        <v>0</v>
      </c>
      <c r="W287" s="52"/>
      <c r="X287" s="70"/>
      <c r="Y287" s="20"/>
      <c r="Z287" s="20"/>
      <c r="AA287" s="20"/>
      <c r="AB287" s="417"/>
      <c r="AC287" s="168">
        <v>2000</v>
      </c>
      <c r="AD287" s="450">
        <v>0.65</v>
      </c>
      <c r="AE287" s="501" t="s">
        <v>649</v>
      </c>
      <c r="AF287" s="160"/>
      <c r="AG287" s="192"/>
      <c r="AH287" s="128"/>
      <c r="AI287" s="129"/>
      <c r="AJ287" s="185"/>
      <c r="AK287" s="10"/>
      <c r="AL287" s="476"/>
      <c r="AM287" s="10"/>
    </row>
    <row r="288" spans="1:39" ht="26.25" hidden="1" customHeight="1" x14ac:dyDescent="0.25">
      <c r="B288" s="15"/>
      <c r="C288" s="6" t="s">
        <v>18</v>
      </c>
      <c r="D288" s="23" t="s">
        <v>40</v>
      </c>
      <c r="E288" s="104" t="s">
        <v>455</v>
      </c>
      <c r="F288" s="393" t="s">
        <v>189</v>
      </c>
      <c r="G288" s="19" t="s">
        <v>0</v>
      </c>
      <c r="H288" s="39"/>
      <c r="I288" s="309">
        <v>0</v>
      </c>
      <c r="J288" s="39">
        <f t="shared" si="81"/>
        <v>0</v>
      </c>
      <c r="K288" s="309">
        <f>R288/1.4</f>
        <v>12.86</v>
      </c>
      <c r="L288" s="230">
        <f>K288*J583</f>
        <v>0</v>
      </c>
      <c r="M288" s="117" t="s">
        <v>262</v>
      </c>
      <c r="N288" s="140"/>
      <c r="O288" s="39"/>
      <c r="P288" s="309">
        <f>K288*O288</f>
        <v>0</v>
      </c>
      <c r="Q288" s="235" t="str">
        <f t="shared" si="75"/>
        <v>Д30х10</v>
      </c>
      <c r="R288" s="377">
        <f>S288*1.2</f>
        <v>18</v>
      </c>
      <c r="S288" s="339">
        <v>15</v>
      </c>
      <c r="T288" s="353">
        <f t="shared" si="80"/>
        <v>0</v>
      </c>
      <c r="U288" s="430"/>
      <c r="V288" s="20">
        <f t="shared" si="82"/>
        <v>0</v>
      </c>
      <c r="W288" s="52">
        <f>X288-U288+V288</f>
        <v>189</v>
      </c>
      <c r="X288" s="147">
        <f>36*4+45</f>
        <v>189</v>
      </c>
      <c r="Y288" s="18" t="s">
        <v>788</v>
      </c>
      <c r="Z288" s="18"/>
      <c r="AA288" s="18"/>
      <c r="AB288" s="418"/>
      <c r="AC288" s="168"/>
      <c r="AD288" s="450" t="s">
        <v>405</v>
      </c>
      <c r="AE288" s="168" t="s">
        <v>396</v>
      </c>
      <c r="AF288" s="171">
        <v>4.05</v>
      </c>
      <c r="AG288" s="192">
        <v>38.4</v>
      </c>
      <c r="AH288" s="110"/>
      <c r="AI288" s="125">
        <v>18</v>
      </c>
      <c r="AJ288" s="189">
        <f>3*X288</f>
        <v>567</v>
      </c>
      <c r="AK288" s="435"/>
      <c r="AL288" s="476"/>
      <c r="AM288" s="10"/>
    </row>
    <row r="289" spans="1:73" ht="26.25" hidden="1" customHeight="1" x14ac:dyDescent="0.25">
      <c r="B289" s="15"/>
      <c r="C289" s="6" t="s">
        <v>18</v>
      </c>
      <c r="D289" s="23" t="s">
        <v>40</v>
      </c>
      <c r="E289" s="104" t="s">
        <v>730</v>
      </c>
      <c r="F289" s="393"/>
      <c r="G289" s="19"/>
      <c r="H289" s="39"/>
      <c r="I289" s="309"/>
      <c r="J289" s="39">
        <f t="shared" si="81"/>
        <v>0</v>
      </c>
      <c r="K289" s="309"/>
      <c r="L289" s="230"/>
      <c r="M289" s="117"/>
      <c r="N289" s="140"/>
      <c r="O289" s="39"/>
      <c r="P289" s="309"/>
      <c r="Q289" s="263" t="str">
        <f t="shared" si="75"/>
        <v>Д20х20</v>
      </c>
      <c r="R289" s="377"/>
      <c r="S289" s="339"/>
      <c r="T289" s="353">
        <f t="shared" si="80"/>
        <v>0</v>
      </c>
      <c r="U289" s="70">
        <v>50</v>
      </c>
      <c r="V289" s="20">
        <f t="shared" si="82"/>
        <v>0</v>
      </c>
      <c r="W289" s="52">
        <f>X289-U289+V289</f>
        <v>0</v>
      </c>
      <c r="X289" s="70">
        <v>50</v>
      </c>
      <c r="Y289" s="20" t="s">
        <v>789</v>
      </c>
      <c r="Z289" s="20"/>
      <c r="AA289" s="20"/>
      <c r="AB289" s="417"/>
      <c r="AC289" s="168"/>
      <c r="AD289" s="450"/>
      <c r="AE289" s="168"/>
      <c r="AF289" s="171"/>
      <c r="AG289" s="192"/>
      <c r="AH289" s="110"/>
      <c r="AI289" s="125"/>
      <c r="AJ289" s="189"/>
      <c r="AK289" s="435"/>
      <c r="AL289" s="476"/>
      <c r="AM289" s="10"/>
    </row>
    <row r="290" spans="1:73" ht="26.25" hidden="1" customHeight="1" x14ac:dyDescent="0.25">
      <c r="B290" s="15"/>
      <c r="C290" s="6" t="s">
        <v>18</v>
      </c>
      <c r="D290" s="23" t="s">
        <v>40</v>
      </c>
      <c r="E290" s="104" t="s">
        <v>525</v>
      </c>
      <c r="F290" s="393"/>
      <c r="G290" s="19"/>
      <c r="H290" s="39"/>
      <c r="I290" s="309">
        <v>0</v>
      </c>
      <c r="J290" s="39">
        <f t="shared" si="81"/>
        <v>0</v>
      </c>
      <c r="K290" s="309"/>
      <c r="L290" s="230"/>
      <c r="M290" s="117"/>
      <c r="N290" s="140"/>
      <c r="O290" s="39"/>
      <c r="P290" s="309">
        <f>K290*O290</f>
        <v>0</v>
      </c>
      <c r="Q290" s="263" t="str">
        <f t="shared" si="75"/>
        <v>Д40х5</v>
      </c>
      <c r="R290" s="377">
        <f>S290*1.2</f>
        <v>0</v>
      </c>
      <c r="S290" s="339">
        <v>0</v>
      </c>
      <c r="T290" s="353">
        <f t="shared" si="80"/>
        <v>0</v>
      </c>
      <c r="U290" s="70">
        <v>3</v>
      </c>
      <c r="V290" s="20">
        <f t="shared" si="82"/>
        <v>0</v>
      </c>
      <c r="W290" s="52">
        <f>X290-U290+V290</f>
        <v>0</v>
      </c>
      <c r="X290" s="70">
        <v>3</v>
      </c>
      <c r="Y290" s="20"/>
      <c r="Z290" s="20"/>
      <c r="AA290" s="20"/>
      <c r="AB290" s="417"/>
      <c r="AC290" s="168"/>
      <c r="AD290" s="450"/>
      <c r="AE290" s="168"/>
      <c r="AF290" s="171"/>
      <c r="AG290" s="192"/>
      <c r="AH290" s="110"/>
      <c r="AI290" s="125"/>
      <c r="AJ290" s="189"/>
      <c r="AK290" s="435"/>
      <c r="AL290" s="476"/>
      <c r="AM290" s="10"/>
    </row>
    <row r="291" spans="1:73" ht="26.25" hidden="1" customHeight="1" x14ac:dyDescent="0.25">
      <c r="B291" s="15"/>
      <c r="C291" s="6" t="s">
        <v>18</v>
      </c>
      <c r="D291" s="23" t="s">
        <v>40</v>
      </c>
      <c r="E291" s="104" t="s">
        <v>298</v>
      </c>
      <c r="F291" s="393"/>
      <c r="G291" s="19"/>
      <c r="H291" s="39"/>
      <c r="I291" s="360"/>
      <c r="J291" s="39"/>
      <c r="K291" s="309"/>
      <c r="L291" s="230"/>
      <c r="M291" s="117"/>
      <c r="N291" s="140"/>
      <c r="O291" s="39"/>
      <c r="P291" s="360"/>
      <c r="Q291" s="287" t="str">
        <f t="shared" si="75"/>
        <v>Д40х10</v>
      </c>
      <c r="R291" s="377"/>
      <c r="S291" s="339"/>
      <c r="T291" s="353">
        <f t="shared" si="80"/>
        <v>0</v>
      </c>
      <c r="U291" s="70">
        <v>3</v>
      </c>
      <c r="V291" s="20"/>
      <c r="W291" s="52"/>
      <c r="X291" s="70">
        <v>3</v>
      </c>
      <c r="Y291" s="20" t="s">
        <v>771</v>
      </c>
      <c r="Z291" s="20"/>
      <c r="AA291" s="20"/>
      <c r="AB291" s="417"/>
      <c r="AC291" s="168"/>
      <c r="AD291" s="450"/>
      <c r="AE291" s="168"/>
      <c r="AF291" s="171"/>
      <c r="AG291" s="192"/>
      <c r="AH291" s="110"/>
      <c r="AI291" s="125"/>
      <c r="AJ291" s="189"/>
      <c r="AK291" s="435"/>
      <c r="AL291" s="836"/>
      <c r="AM291" s="10"/>
    </row>
    <row r="292" spans="1:73" ht="26.25" customHeight="1" x14ac:dyDescent="0.25">
      <c r="B292" s="15">
        <v>96</v>
      </c>
      <c r="C292" s="6" t="s">
        <v>18</v>
      </c>
      <c r="D292" s="23" t="s">
        <v>40</v>
      </c>
      <c r="E292" s="104" t="s">
        <v>673</v>
      </c>
      <c r="F292" s="393" t="s">
        <v>875</v>
      </c>
      <c r="G292" s="19"/>
      <c r="H292" s="39">
        <v>100</v>
      </c>
      <c r="I292" s="360">
        <v>257</v>
      </c>
      <c r="J292" s="39">
        <f t="shared" si="81"/>
        <v>400</v>
      </c>
      <c r="K292" s="309">
        <f>R292/1.4</f>
        <v>2.57</v>
      </c>
      <c r="L292" s="230"/>
      <c r="M292" s="154" t="s">
        <v>897</v>
      </c>
      <c r="N292" s="41">
        <v>300</v>
      </c>
      <c r="O292" s="39">
        <v>200</v>
      </c>
      <c r="P292" s="309">
        <f>K292*O292</f>
        <v>514</v>
      </c>
      <c r="Q292" s="287" t="str">
        <f t="shared" si="75"/>
        <v>П15х4,5х4</v>
      </c>
      <c r="R292" s="377">
        <f>1.2*S292</f>
        <v>3.6</v>
      </c>
      <c r="S292" s="339">
        <v>3</v>
      </c>
      <c r="T292" s="353">
        <f t="shared" si="80"/>
        <v>1200</v>
      </c>
      <c r="U292" s="20"/>
      <c r="V292" s="20"/>
      <c r="W292" s="52"/>
      <c r="X292" s="20">
        <f>85+300</f>
        <v>385</v>
      </c>
      <c r="Y292" s="20"/>
      <c r="Z292" s="20"/>
      <c r="AA292" s="20"/>
      <c r="AB292" s="417"/>
      <c r="AC292" s="168"/>
      <c r="AD292" s="450"/>
      <c r="AE292" s="168"/>
      <c r="AF292" s="171"/>
      <c r="AG292" s="192"/>
      <c r="AH292" s="110"/>
      <c r="AI292" s="125"/>
      <c r="AJ292" s="185"/>
      <c r="AK292" s="435"/>
      <c r="AL292" s="832">
        <v>514</v>
      </c>
      <c r="AM292" s="832">
        <v>514</v>
      </c>
    </row>
    <row r="293" spans="1:73" ht="26.25" hidden="1" customHeight="1" x14ac:dyDescent="0.25">
      <c r="B293" s="15"/>
      <c r="C293" s="6" t="s">
        <v>18</v>
      </c>
      <c r="D293" s="23" t="s">
        <v>40</v>
      </c>
      <c r="E293" s="104" t="s">
        <v>587</v>
      </c>
      <c r="F293" s="208">
        <v>1384</v>
      </c>
      <c r="G293" s="48" t="s">
        <v>0</v>
      </c>
      <c r="H293" s="39"/>
      <c r="I293" s="360">
        <v>0</v>
      </c>
      <c r="J293" s="39">
        <f t="shared" ref="J293:J324" si="87">N293+O293-H293</f>
        <v>0</v>
      </c>
      <c r="K293" s="309">
        <f>R293/1.4</f>
        <v>18.86</v>
      </c>
      <c r="L293" s="230">
        <f>K293*J586</f>
        <v>0</v>
      </c>
      <c r="M293" s="94" t="s">
        <v>590</v>
      </c>
      <c r="N293" s="140"/>
      <c r="O293" s="39"/>
      <c r="P293" s="360">
        <f t="shared" ref="P293:P303" si="88">K293*O293</f>
        <v>0</v>
      </c>
      <c r="Q293" s="259" t="str">
        <f t="shared" si="75"/>
        <v>Д27х5</v>
      </c>
      <c r="R293" s="377">
        <f t="shared" ref="R293:R303" si="89">S293*1.2</f>
        <v>26.4</v>
      </c>
      <c r="S293" s="319">
        <v>22</v>
      </c>
      <c r="T293" s="353">
        <f t="shared" si="80"/>
        <v>0</v>
      </c>
      <c r="U293" s="70">
        <v>13</v>
      </c>
      <c r="V293" s="20">
        <f t="shared" ref="V293:V324" si="90">N293</f>
        <v>0</v>
      </c>
      <c r="W293" s="52">
        <f t="shared" ref="W293:W324" si="91">X293-U293+V293</f>
        <v>0</v>
      </c>
      <c r="X293" s="70">
        <v>13</v>
      </c>
      <c r="Y293" s="20" t="s">
        <v>783</v>
      </c>
      <c r="Z293" s="20"/>
      <c r="AA293" s="20"/>
      <c r="AB293" s="417"/>
      <c r="AC293" s="168"/>
      <c r="AD293" s="450">
        <v>9.8000000000000007</v>
      </c>
      <c r="AE293" s="163"/>
      <c r="AF293" s="171"/>
      <c r="AG293" s="192">
        <v>98</v>
      </c>
      <c r="AH293" s="110"/>
      <c r="AI293" s="125"/>
      <c r="AJ293" s="185">
        <f>X293*AD293</f>
        <v>127.4</v>
      </c>
      <c r="AK293" s="435"/>
      <c r="AL293" s="840"/>
      <c r="AM293" s="10"/>
    </row>
    <row r="294" spans="1:73" ht="26.25" hidden="1" customHeight="1" x14ac:dyDescent="0.25">
      <c r="B294" s="15"/>
      <c r="C294" s="6" t="s">
        <v>18</v>
      </c>
      <c r="D294" s="23" t="s">
        <v>40</v>
      </c>
      <c r="E294" s="104" t="s">
        <v>563</v>
      </c>
      <c r="F294" s="208"/>
      <c r="G294" s="48"/>
      <c r="H294" s="39"/>
      <c r="I294" s="360">
        <v>0</v>
      </c>
      <c r="J294" s="39">
        <f t="shared" si="87"/>
        <v>0</v>
      </c>
      <c r="K294" s="309"/>
      <c r="L294" s="230"/>
      <c r="M294" s="94"/>
      <c r="N294" s="140"/>
      <c r="O294" s="39"/>
      <c r="P294" s="468">
        <f t="shared" si="88"/>
        <v>0</v>
      </c>
      <c r="Q294" s="266" t="str">
        <f t="shared" si="75"/>
        <v>Д8х3(5)х2</v>
      </c>
      <c r="R294" s="377">
        <f t="shared" si="89"/>
        <v>0.32</v>
      </c>
      <c r="S294" s="326">
        <v>0.27</v>
      </c>
      <c r="T294" s="353">
        <f t="shared" si="80"/>
        <v>0</v>
      </c>
      <c r="U294" s="70">
        <v>280</v>
      </c>
      <c r="V294" s="20">
        <f t="shared" si="90"/>
        <v>0</v>
      </c>
      <c r="W294" s="52">
        <f t="shared" si="91"/>
        <v>0</v>
      </c>
      <c r="X294" s="70">
        <v>280</v>
      </c>
      <c r="Y294" s="20"/>
      <c r="Z294" s="20"/>
      <c r="AA294" s="20">
        <v>2000</v>
      </c>
      <c r="AB294" s="417"/>
      <c r="AC294" s="168"/>
      <c r="AD294" s="450"/>
      <c r="AE294" s="163"/>
      <c r="AF294" s="171"/>
      <c r="AG294" s="192"/>
      <c r="AH294" s="110"/>
      <c r="AI294" s="125"/>
      <c r="AJ294" s="185"/>
      <c r="AK294" s="137"/>
      <c r="AL294" s="476"/>
      <c r="AM294" s="10"/>
    </row>
    <row r="295" spans="1:73" ht="26.25" hidden="1" customHeight="1" x14ac:dyDescent="0.25">
      <c r="B295" s="11"/>
      <c r="C295" s="6" t="s">
        <v>18</v>
      </c>
      <c r="D295" s="23" t="s">
        <v>40</v>
      </c>
      <c r="E295" s="286" t="s">
        <v>633</v>
      </c>
      <c r="F295" s="208">
        <v>1415</v>
      </c>
      <c r="G295" s="48"/>
      <c r="H295" s="39"/>
      <c r="I295" s="360">
        <v>0</v>
      </c>
      <c r="J295" s="39">
        <f t="shared" si="87"/>
        <v>0</v>
      </c>
      <c r="K295" s="309">
        <f t="shared" ref="K295:K303" si="92">R295/1.4</f>
        <v>3.43</v>
      </c>
      <c r="L295" s="230"/>
      <c r="M295" s="215" t="s">
        <v>654</v>
      </c>
      <c r="N295" s="140"/>
      <c r="O295" s="503"/>
      <c r="P295" s="309">
        <f t="shared" si="88"/>
        <v>0</v>
      </c>
      <c r="Q295" s="235" t="str">
        <f t="shared" si="75"/>
        <v>П25х8х6</v>
      </c>
      <c r="R295" s="377">
        <f t="shared" si="89"/>
        <v>4.8</v>
      </c>
      <c r="S295" s="326">
        <v>4</v>
      </c>
      <c r="T295" s="353">
        <f t="shared" ref="T295:T326" si="93">S295*J295</f>
        <v>0</v>
      </c>
      <c r="U295" s="20"/>
      <c r="V295" s="20">
        <f t="shared" si="90"/>
        <v>0</v>
      </c>
      <c r="W295" s="52">
        <f t="shared" si="91"/>
        <v>0</v>
      </c>
      <c r="X295" s="20"/>
      <c r="Y295" s="20"/>
      <c r="Z295" s="20"/>
      <c r="AA295" s="20"/>
      <c r="AB295" s="417"/>
      <c r="AC295" s="200"/>
      <c r="AD295" s="160"/>
      <c r="AE295" s="163"/>
      <c r="AF295" s="171"/>
      <c r="AG295" s="192"/>
      <c r="AH295" s="110"/>
      <c r="AI295" s="125"/>
      <c r="AJ295" s="185"/>
      <c r="AK295" s="137"/>
      <c r="AL295" s="10"/>
      <c r="AM295" s="10"/>
    </row>
    <row r="296" spans="1:73" ht="26.25" hidden="1" customHeight="1" x14ac:dyDescent="0.25">
      <c r="B296" s="11"/>
      <c r="C296" s="6" t="s">
        <v>18</v>
      </c>
      <c r="D296" s="23" t="s">
        <v>40</v>
      </c>
      <c r="E296" s="87" t="s">
        <v>618</v>
      </c>
      <c r="F296" s="208">
        <v>1397</v>
      </c>
      <c r="G296" s="48"/>
      <c r="H296" s="39"/>
      <c r="I296" s="360">
        <v>0</v>
      </c>
      <c r="J296" s="39">
        <f t="shared" si="87"/>
        <v>0</v>
      </c>
      <c r="K296" s="309">
        <f t="shared" si="92"/>
        <v>1.49</v>
      </c>
      <c r="L296" s="230"/>
      <c r="M296" s="215" t="s">
        <v>629</v>
      </c>
      <c r="N296" s="140"/>
      <c r="O296" s="39"/>
      <c r="P296" s="467">
        <f t="shared" si="88"/>
        <v>0</v>
      </c>
      <c r="Q296" s="51" t="str">
        <f t="shared" si="75"/>
        <v>П5х5х6</v>
      </c>
      <c r="R296" s="377">
        <f t="shared" si="89"/>
        <v>2.09</v>
      </c>
      <c r="S296" s="326">
        <v>1.74</v>
      </c>
      <c r="T296" s="353">
        <f t="shared" si="93"/>
        <v>0</v>
      </c>
      <c r="U296" s="20"/>
      <c r="V296" s="20">
        <f t="shared" si="90"/>
        <v>0</v>
      </c>
      <c r="W296" s="52">
        <f t="shared" si="91"/>
        <v>0</v>
      </c>
      <c r="X296" s="20"/>
      <c r="Y296" s="20"/>
      <c r="Z296" s="20"/>
      <c r="AA296" s="20"/>
      <c r="AB296" s="417"/>
      <c r="AC296" s="200"/>
      <c r="AD296" s="160"/>
      <c r="AE296" s="163"/>
      <c r="AF296" s="171"/>
      <c r="AG296" s="192"/>
      <c r="AH296" s="110"/>
      <c r="AI296" s="125"/>
      <c r="AJ296" s="185"/>
      <c r="AK296" s="137"/>
      <c r="AL296" s="10"/>
      <c r="AM296" s="10"/>
    </row>
    <row r="297" spans="1:73" ht="26.25" hidden="1" customHeight="1" x14ac:dyDescent="0.25">
      <c r="B297" s="11"/>
      <c r="C297" s="6" t="s">
        <v>18</v>
      </c>
      <c r="D297" s="23" t="s">
        <v>40</v>
      </c>
      <c r="E297" s="87" t="s">
        <v>790</v>
      </c>
      <c r="F297" s="208">
        <v>1406</v>
      </c>
      <c r="G297" s="48"/>
      <c r="H297" s="39"/>
      <c r="I297" s="360">
        <v>0</v>
      </c>
      <c r="J297" s="39">
        <f t="shared" si="87"/>
        <v>0</v>
      </c>
      <c r="K297" s="309">
        <f t="shared" si="92"/>
        <v>1.71</v>
      </c>
      <c r="L297" s="230"/>
      <c r="M297" s="215" t="s">
        <v>630</v>
      </c>
      <c r="N297" s="140"/>
      <c r="O297" s="513"/>
      <c r="P297" s="468">
        <f t="shared" si="88"/>
        <v>0</v>
      </c>
      <c r="Q297" s="442" t="str">
        <f t="shared" si="75"/>
        <v>ПС30х16х3</v>
      </c>
      <c r="R297" s="377">
        <f t="shared" si="89"/>
        <v>2.4</v>
      </c>
      <c r="S297" s="326">
        <v>2</v>
      </c>
      <c r="T297" s="353">
        <f t="shared" si="93"/>
        <v>0</v>
      </c>
      <c r="U297" s="70">
        <v>160</v>
      </c>
      <c r="V297" s="20">
        <f t="shared" si="90"/>
        <v>0</v>
      </c>
      <c r="W297" s="52">
        <f t="shared" si="91"/>
        <v>0</v>
      </c>
      <c r="X297" s="70">
        <v>160</v>
      </c>
      <c r="Y297" s="20"/>
      <c r="Z297" s="20"/>
      <c r="AA297" s="20"/>
      <c r="AB297" s="417"/>
      <c r="AC297" s="200"/>
      <c r="AD297" s="160"/>
      <c r="AE297" s="163"/>
      <c r="AF297" s="171"/>
      <c r="AG297" s="192"/>
      <c r="AH297" s="110"/>
      <c r="AI297" s="125"/>
      <c r="AJ297" s="185"/>
      <c r="AK297" s="137"/>
      <c r="AL297" s="10"/>
      <c r="AM297" s="10"/>
    </row>
    <row r="298" spans="1:73" ht="44.25" hidden="1" customHeight="1" x14ac:dyDescent="0.3">
      <c r="B298" s="11"/>
      <c r="C298" s="6" t="s">
        <v>18</v>
      </c>
      <c r="D298" s="23" t="s">
        <v>40</v>
      </c>
      <c r="E298" s="1" t="s">
        <v>497</v>
      </c>
      <c r="F298" s="383" t="s">
        <v>435</v>
      </c>
      <c r="G298" s="12" t="s">
        <v>0</v>
      </c>
      <c r="H298" s="39"/>
      <c r="I298" s="360">
        <v>0</v>
      </c>
      <c r="J298" s="39">
        <f t="shared" si="87"/>
        <v>0</v>
      </c>
      <c r="K298" s="309">
        <f t="shared" si="92"/>
        <v>1.45</v>
      </c>
      <c r="L298" s="230">
        <f>K298*J591</f>
        <v>0</v>
      </c>
      <c r="M298" s="218" t="s">
        <v>837</v>
      </c>
      <c r="N298" s="141"/>
      <c r="O298" s="39"/>
      <c r="P298" s="309">
        <f t="shared" si="88"/>
        <v>0</v>
      </c>
      <c r="Q298" s="51" t="str">
        <f t="shared" si="75"/>
        <v>К11,2х7х15</v>
      </c>
      <c r="R298" s="306">
        <f t="shared" si="89"/>
        <v>2.0299999999999998</v>
      </c>
      <c r="S298" s="326">
        <v>1.69</v>
      </c>
      <c r="T298" s="353">
        <f t="shared" si="93"/>
        <v>0</v>
      </c>
      <c r="U298" s="70">
        <v>3834</v>
      </c>
      <c r="V298" s="20">
        <f t="shared" si="90"/>
        <v>0</v>
      </c>
      <c r="W298" s="52">
        <f t="shared" si="91"/>
        <v>-901</v>
      </c>
      <c r="X298" s="148">
        <f>13*210+203</f>
        <v>2933</v>
      </c>
      <c r="Y298" s="20" t="s">
        <v>788</v>
      </c>
      <c r="Z298" s="18"/>
      <c r="AA298" s="18">
        <v>2600</v>
      </c>
      <c r="AB298" s="418"/>
      <c r="AC298" s="168"/>
      <c r="AD298" s="450">
        <f>X298-AC298</f>
        <v>2933</v>
      </c>
      <c r="AE298" s="163"/>
      <c r="AF298" s="171"/>
      <c r="AG298" s="192"/>
      <c r="AH298" s="128"/>
      <c r="AI298" s="113"/>
      <c r="AJ298" s="185">
        <f t="shared" ref="AJ298:AJ303" si="94">X298*AD298</f>
        <v>8602489</v>
      </c>
      <c r="AK298" s="10"/>
      <c r="AL298" s="476"/>
      <c r="AM298" s="10"/>
    </row>
    <row r="299" spans="1:73" ht="26.25" hidden="1" customHeight="1" x14ac:dyDescent="0.25">
      <c r="B299" s="15"/>
      <c r="C299" s="6" t="s">
        <v>18</v>
      </c>
      <c r="D299" s="23" t="s">
        <v>40</v>
      </c>
      <c r="E299" s="104" t="s">
        <v>634</v>
      </c>
      <c r="F299" s="208">
        <v>380</v>
      </c>
      <c r="G299" s="48" t="s">
        <v>0</v>
      </c>
      <c r="H299" s="39">
        <v>0</v>
      </c>
      <c r="I299" s="309">
        <v>0</v>
      </c>
      <c r="J299" s="39">
        <f t="shared" si="87"/>
        <v>0</v>
      </c>
      <c r="K299" s="309">
        <f t="shared" si="92"/>
        <v>24.86</v>
      </c>
      <c r="L299" s="230">
        <f>K299*J592</f>
        <v>0</v>
      </c>
      <c r="M299" s="156" t="s">
        <v>655</v>
      </c>
      <c r="N299" s="140"/>
      <c r="O299" s="556">
        <v>0</v>
      </c>
      <c r="P299" s="490">
        <f t="shared" si="88"/>
        <v>0</v>
      </c>
      <c r="Q299" s="264" t="str">
        <f t="shared" si="75"/>
        <v>Д11х7х62</v>
      </c>
      <c r="R299" s="377">
        <f t="shared" si="89"/>
        <v>34.799999999999997</v>
      </c>
      <c r="S299" s="319">
        <v>29</v>
      </c>
      <c r="T299" s="353">
        <f t="shared" si="93"/>
        <v>0</v>
      </c>
      <c r="U299" s="20"/>
      <c r="V299" s="20">
        <f t="shared" si="90"/>
        <v>0</v>
      </c>
      <c r="W299" s="52">
        <f t="shared" si="91"/>
        <v>0</v>
      </c>
      <c r="X299" s="20"/>
      <c r="Y299" s="20"/>
      <c r="Z299" s="20"/>
      <c r="AA299" s="20"/>
      <c r="AB299" s="417"/>
      <c r="AC299" s="200"/>
      <c r="AD299" s="160">
        <v>0.7</v>
      </c>
      <c r="AE299" s="163"/>
      <c r="AF299" s="171"/>
      <c r="AG299" s="192">
        <v>7.97</v>
      </c>
      <c r="AH299" s="110"/>
      <c r="AI299" s="125"/>
      <c r="AJ299" s="185">
        <f t="shared" si="94"/>
        <v>0</v>
      </c>
      <c r="AK299" s="125"/>
      <c r="AL299" s="10"/>
      <c r="AM299" s="10"/>
    </row>
    <row r="300" spans="1:73" ht="26.25" hidden="1" customHeight="1" x14ac:dyDescent="0.25">
      <c r="B300" s="19"/>
      <c r="C300" s="6" t="s">
        <v>18</v>
      </c>
      <c r="D300" s="23" t="s">
        <v>40</v>
      </c>
      <c r="E300" s="106" t="s">
        <v>157</v>
      </c>
      <c r="F300" s="385" t="s">
        <v>218</v>
      </c>
      <c r="G300" s="48" t="s">
        <v>0</v>
      </c>
      <c r="H300" s="39"/>
      <c r="I300" s="309">
        <v>0</v>
      </c>
      <c r="J300" s="39">
        <f t="shared" si="87"/>
        <v>0</v>
      </c>
      <c r="K300" s="309">
        <f t="shared" si="92"/>
        <v>7.29</v>
      </c>
      <c r="L300" s="230">
        <f>K300*J593</f>
        <v>0</v>
      </c>
      <c r="M300" s="146" t="s">
        <v>609</v>
      </c>
      <c r="N300" s="141"/>
      <c r="O300" s="39"/>
      <c r="P300" s="507">
        <f t="shared" si="88"/>
        <v>0</v>
      </c>
      <c r="Q300" s="442" t="str">
        <f t="shared" si="75"/>
        <v>К12х3х4,5</v>
      </c>
      <c r="R300" s="377">
        <f t="shared" si="89"/>
        <v>10.199999999999999</v>
      </c>
      <c r="S300" s="326">
        <v>8.5</v>
      </c>
      <c r="T300" s="353">
        <f t="shared" si="93"/>
        <v>0</v>
      </c>
      <c r="U300" s="430">
        <v>537</v>
      </c>
      <c r="V300" s="20">
        <f t="shared" si="90"/>
        <v>0</v>
      </c>
      <c r="W300" s="52">
        <f t="shared" si="91"/>
        <v>0</v>
      </c>
      <c r="X300" s="430">
        <f>551-14</f>
        <v>537</v>
      </c>
      <c r="Y300" s="18" t="s">
        <v>395</v>
      </c>
      <c r="Z300" s="18"/>
      <c r="AA300" s="18"/>
      <c r="AB300" s="418"/>
      <c r="AC300" s="168"/>
      <c r="AD300" s="450">
        <v>0.4</v>
      </c>
      <c r="AE300" s="165"/>
      <c r="AF300" s="160"/>
      <c r="AG300" s="192">
        <v>13.9</v>
      </c>
      <c r="AH300" s="110"/>
      <c r="AI300" s="125"/>
      <c r="AJ300" s="185">
        <f t="shared" si="94"/>
        <v>214.8</v>
      </c>
      <c r="AK300" s="435"/>
      <c r="AL300" s="476"/>
      <c r="AM300" s="10"/>
    </row>
    <row r="301" spans="1:73" ht="26.25" hidden="1" customHeight="1" x14ac:dyDescent="0.3">
      <c r="B301" s="19"/>
      <c r="C301" s="6" t="s">
        <v>18</v>
      </c>
      <c r="D301" s="23" t="s">
        <v>40</v>
      </c>
      <c r="E301" s="106" t="s">
        <v>299</v>
      </c>
      <c r="F301" s="384">
        <v>876</v>
      </c>
      <c r="G301" s="48"/>
      <c r="H301" s="39"/>
      <c r="I301" s="360">
        <v>0</v>
      </c>
      <c r="J301" s="39">
        <f t="shared" si="87"/>
        <v>0</v>
      </c>
      <c r="K301" s="309">
        <f t="shared" si="92"/>
        <v>27</v>
      </c>
      <c r="L301" s="230"/>
      <c r="M301" s="203" t="s">
        <v>748</v>
      </c>
      <c r="N301" s="141"/>
      <c r="O301" s="39"/>
      <c r="P301" s="309">
        <f t="shared" si="88"/>
        <v>0</v>
      </c>
      <c r="Q301" s="51" t="str">
        <f t="shared" si="75"/>
        <v>К12,5х5,2х7</v>
      </c>
      <c r="R301" s="377">
        <f t="shared" si="89"/>
        <v>37.799999999999997</v>
      </c>
      <c r="S301" s="319">
        <v>31.5</v>
      </c>
      <c r="T301" s="353">
        <f t="shared" si="93"/>
        <v>0</v>
      </c>
      <c r="U301" s="70">
        <v>24</v>
      </c>
      <c r="V301" s="20">
        <f t="shared" si="90"/>
        <v>0</v>
      </c>
      <c r="W301" s="52">
        <f t="shared" si="91"/>
        <v>0</v>
      </c>
      <c r="X301" s="70">
        <v>24</v>
      </c>
      <c r="Y301" s="20"/>
      <c r="Z301" s="20"/>
      <c r="AA301" s="20"/>
      <c r="AB301" s="417"/>
      <c r="AC301" s="168"/>
      <c r="AD301" s="450"/>
      <c r="AE301" s="165"/>
      <c r="AF301" s="160"/>
      <c r="AG301" s="192">
        <v>5.32</v>
      </c>
      <c r="AH301" s="128"/>
      <c r="AI301" s="113" t="s">
        <v>418</v>
      </c>
      <c r="AJ301" s="185">
        <f t="shared" si="94"/>
        <v>0</v>
      </c>
      <c r="AK301" s="10"/>
      <c r="AL301" s="476"/>
      <c r="AM301" s="10"/>
    </row>
    <row r="302" spans="1:73" s="4" customFormat="1" ht="26.25" hidden="1" customHeight="1" x14ac:dyDescent="0.25">
      <c r="A302" s="10"/>
      <c r="B302" s="15"/>
      <c r="C302" s="6" t="s">
        <v>18</v>
      </c>
      <c r="D302" s="23" t="s">
        <v>40</v>
      </c>
      <c r="E302" s="106" t="s">
        <v>291</v>
      </c>
      <c r="F302" s="395">
        <v>1307</v>
      </c>
      <c r="G302" s="48" t="s">
        <v>0</v>
      </c>
      <c r="H302" s="39">
        <v>0</v>
      </c>
      <c r="I302" s="360">
        <v>0</v>
      </c>
      <c r="J302" s="39">
        <f t="shared" si="87"/>
        <v>0</v>
      </c>
      <c r="K302" s="309">
        <f t="shared" si="92"/>
        <v>1.71</v>
      </c>
      <c r="L302" s="230">
        <f>K302*J595</f>
        <v>0</v>
      </c>
      <c r="M302" s="215" t="s">
        <v>529</v>
      </c>
      <c r="N302" s="140"/>
      <c r="O302" s="513">
        <v>0</v>
      </c>
      <c r="P302" s="469">
        <f t="shared" si="88"/>
        <v>0</v>
      </c>
      <c r="Q302" s="264" t="str">
        <f t="shared" si="75"/>
        <v>К15х5х5</v>
      </c>
      <c r="R302" s="377">
        <f t="shared" si="89"/>
        <v>2.4</v>
      </c>
      <c r="S302" s="330">
        <v>2</v>
      </c>
      <c r="T302" s="353">
        <f t="shared" si="93"/>
        <v>0</v>
      </c>
      <c r="U302" s="70">
        <v>452</v>
      </c>
      <c r="V302" s="20">
        <f t="shared" si="90"/>
        <v>0</v>
      </c>
      <c r="W302" s="52">
        <f t="shared" si="91"/>
        <v>0</v>
      </c>
      <c r="X302" s="70">
        <v>452</v>
      </c>
      <c r="Y302" s="20"/>
      <c r="Z302" s="20"/>
      <c r="AA302" s="20"/>
      <c r="AB302" s="417"/>
      <c r="AC302" s="202">
        <v>48</v>
      </c>
      <c r="AD302" s="160">
        <v>0.45</v>
      </c>
      <c r="AE302" s="163"/>
      <c r="AF302" s="171"/>
      <c r="AG302" s="192">
        <v>5.33</v>
      </c>
      <c r="AH302" s="110"/>
      <c r="AI302" s="125"/>
      <c r="AJ302" s="185">
        <f t="shared" si="94"/>
        <v>203.4</v>
      </c>
      <c r="AK302" s="125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</row>
    <row r="303" spans="1:73" ht="26.25" hidden="1" customHeight="1" x14ac:dyDescent="0.25">
      <c r="B303" s="11"/>
      <c r="C303" s="6" t="s">
        <v>18</v>
      </c>
      <c r="D303" s="23" t="s">
        <v>40</v>
      </c>
      <c r="E303" s="106" t="s">
        <v>762</v>
      </c>
      <c r="F303" s="383" t="s">
        <v>560</v>
      </c>
      <c r="G303" s="48"/>
      <c r="H303" s="39"/>
      <c r="I303" s="360">
        <v>0</v>
      </c>
      <c r="J303" s="39">
        <f t="shared" si="87"/>
        <v>0</v>
      </c>
      <c r="K303" s="309">
        <f t="shared" si="92"/>
        <v>1.71</v>
      </c>
      <c r="L303" s="230"/>
      <c r="M303" s="297" t="s">
        <v>838</v>
      </c>
      <c r="N303" s="141"/>
      <c r="O303" s="39"/>
      <c r="P303" s="309">
        <f t="shared" si="88"/>
        <v>0</v>
      </c>
      <c r="Q303" s="51" t="str">
        <f t="shared" si="75"/>
        <v>К15х5х5с зенк</v>
      </c>
      <c r="R303" s="377">
        <f t="shared" si="89"/>
        <v>2.4</v>
      </c>
      <c r="S303" s="319">
        <v>2</v>
      </c>
      <c r="T303" s="353">
        <f t="shared" si="93"/>
        <v>0</v>
      </c>
      <c r="U303" s="70"/>
      <c r="V303" s="20">
        <f t="shared" si="90"/>
        <v>0</v>
      </c>
      <c r="W303" s="52">
        <f t="shared" si="91"/>
        <v>0</v>
      </c>
      <c r="X303" s="70"/>
      <c r="Y303" s="20"/>
      <c r="Z303" s="20"/>
      <c r="AA303" s="20"/>
      <c r="AB303" s="417"/>
      <c r="AC303" s="168"/>
      <c r="AD303" s="450">
        <v>0.5</v>
      </c>
      <c r="AE303" s="165"/>
      <c r="AF303" s="160"/>
      <c r="AG303" s="192">
        <v>5.9</v>
      </c>
      <c r="AH303" s="110"/>
      <c r="AI303" s="125"/>
      <c r="AJ303" s="185">
        <f t="shared" si="94"/>
        <v>0</v>
      </c>
      <c r="AK303" s="435"/>
      <c r="AL303" s="476"/>
      <c r="AM303" s="10"/>
    </row>
    <row r="304" spans="1:73" ht="26.25" hidden="1" customHeight="1" x14ac:dyDescent="0.3">
      <c r="B304" s="19"/>
      <c r="C304" s="6"/>
      <c r="D304" s="23"/>
      <c r="E304" s="106"/>
      <c r="F304" s="385"/>
      <c r="G304" s="48"/>
      <c r="H304" s="39"/>
      <c r="I304" s="360"/>
      <c r="J304" s="39">
        <f t="shared" si="87"/>
        <v>0</v>
      </c>
      <c r="K304" s="309"/>
      <c r="L304" s="230"/>
      <c r="M304" s="274"/>
      <c r="N304" s="141"/>
      <c r="O304" s="489"/>
      <c r="P304" s="467"/>
      <c r="Q304" s="441">
        <f t="shared" si="75"/>
        <v>0</v>
      </c>
      <c r="R304" s="377"/>
      <c r="T304" s="353">
        <f t="shared" si="93"/>
        <v>0</v>
      </c>
      <c r="U304" s="20"/>
      <c r="V304" s="20">
        <f t="shared" si="90"/>
        <v>0</v>
      </c>
      <c r="W304" s="52">
        <f t="shared" si="91"/>
        <v>0</v>
      </c>
      <c r="X304" s="20"/>
      <c r="Y304" s="20"/>
      <c r="Z304" s="20"/>
      <c r="AA304" s="20">
        <v>650</v>
      </c>
      <c r="AB304" s="417"/>
      <c r="AC304" s="200"/>
      <c r="AD304" s="160"/>
      <c r="AE304" s="165"/>
      <c r="AF304" s="160"/>
      <c r="AG304" s="192"/>
      <c r="AH304" s="110"/>
      <c r="AI304" s="125"/>
      <c r="AJ304" s="185"/>
      <c r="AK304" s="435"/>
      <c r="AL304" s="476"/>
      <c r="AM304" s="10"/>
    </row>
    <row r="305" spans="1:74" ht="26.25" hidden="1" customHeight="1" x14ac:dyDescent="0.25">
      <c r="B305" s="19"/>
      <c r="C305" s="6" t="s">
        <v>18</v>
      </c>
      <c r="D305" s="23" t="s">
        <v>40</v>
      </c>
      <c r="E305" s="106" t="s">
        <v>33</v>
      </c>
      <c r="F305" s="385" t="s">
        <v>377</v>
      </c>
      <c r="G305" s="48"/>
      <c r="H305" s="39"/>
      <c r="I305" s="309">
        <v>0</v>
      </c>
      <c r="J305" s="39">
        <f t="shared" si="87"/>
        <v>0</v>
      </c>
      <c r="K305" s="309">
        <f>R305/1.4</f>
        <v>3</v>
      </c>
      <c r="L305" s="230"/>
      <c r="M305" s="94" t="s">
        <v>591</v>
      </c>
      <c r="N305" s="141"/>
      <c r="O305" s="513"/>
      <c r="P305" s="497">
        <f t="shared" ref="P305:P321" si="95">K305*O305</f>
        <v>0</v>
      </c>
      <c r="Q305" s="264" t="str">
        <f t="shared" si="75"/>
        <v>К20х10х5</v>
      </c>
      <c r="R305" s="377">
        <f t="shared" ref="R305:R336" si="96">S305*1.2</f>
        <v>4.2</v>
      </c>
      <c r="S305" s="319">
        <v>3.5</v>
      </c>
      <c r="T305" s="353">
        <f t="shared" si="93"/>
        <v>0</v>
      </c>
      <c r="U305" s="20">
        <v>20</v>
      </c>
      <c r="V305" s="20">
        <f t="shared" si="90"/>
        <v>0</v>
      </c>
      <c r="W305" s="52">
        <f t="shared" si="91"/>
        <v>0</v>
      </c>
      <c r="X305" s="20">
        <v>20</v>
      </c>
      <c r="Y305" s="20"/>
      <c r="Z305" s="20"/>
      <c r="AA305" s="20"/>
      <c r="AB305" s="417"/>
      <c r="AC305" s="168"/>
      <c r="AD305" s="450">
        <v>0.85</v>
      </c>
      <c r="AE305" s="165"/>
      <c r="AF305" s="160"/>
      <c r="AG305" s="192">
        <v>8.83</v>
      </c>
      <c r="AH305" s="110"/>
      <c r="AI305" s="125"/>
      <c r="AJ305" s="185">
        <f>X305*AD305</f>
        <v>17</v>
      </c>
      <c r="AK305" s="435"/>
      <c r="AL305" s="836"/>
      <c r="AM305" s="10"/>
    </row>
    <row r="306" spans="1:74" ht="26.25" customHeight="1" x14ac:dyDescent="0.3">
      <c r="B306" s="11">
        <v>97</v>
      </c>
      <c r="C306" s="6" t="s">
        <v>18</v>
      </c>
      <c r="D306" s="23" t="s">
        <v>40</v>
      </c>
      <c r="E306" s="1" t="s">
        <v>337</v>
      </c>
      <c r="F306" s="383" t="s">
        <v>436</v>
      </c>
      <c r="G306" s="12" t="s">
        <v>0</v>
      </c>
      <c r="H306" s="39">
        <v>2</v>
      </c>
      <c r="I306" s="360">
        <v>51.42</v>
      </c>
      <c r="J306" s="39">
        <f t="shared" si="87"/>
        <v>8</v>
      </c>
      <c r="K306" s="309">
        <v>25.71</v>
      </c>
      <c r="L306" s="230">
        <f>K306*J599</f>
        <v>0</v>
      </c>
      <c r="M306" s="219" t="s">
        <v>898</v>
      </c>
      <c r="N306" s="60">
        <v>10</v>
      </c>
      <c r="O306" s="39"/>
      <c r="P306" s="309">
        <f t="shared" si="95"/>
        <v>0</v>
      </c>
      <c r="Q306" s="51" t="str">
        <f t="shared" si="75"/>
        <v>К20х8х5</v>
      </c>
      <c r="R306" s="377">
        <f t="shared" si="96"/>
        <v>36</v>
      </c>
      <c r="S306" s="319">
        <v>30</v>
      </c>
      <c r="T306" s="353">
        <f t="shared" si="93"/>
        <v>240</v>
      </c>
      <c r="U306" s="20"/>
      <c r="V306" s="20">
        <f t="shared" si="90"/>
        <v>10</v>
      </c>
      <c r="W306" s="52">
        <f t="shared" si="91"/>
        <v>10</v>
      </c>
      <c r="X306" s="20"/>
      <c r="Y306" s="20"/>
      <c r="Z306" s="20"/>
      <c r="AA306" s="20"/>
      <c r="AB306" s="417"/>
      <c r="AC306" s="200"/>
      <c r="AD306" s="160"/>
      <c r="AE306" s="165"/>
      <c r="AF306" s="160"/>
      <c r="AG306" s="192">
        <v>9.9</v>
      </c>
      <c r="AH306" s="128"/>
      <c r="AI306" s="113" t="s">
        <v>419</v>
      </c>
      <c r="AJ306" s="185">
        <f>X306*AD306</f>
        <v>0</v>
      </c>
      <c r="AK306" s="10"/>
      <c r="AL306" s="832"/>
      <c r="AM306" s="832"/>
    </row>
    <row r="307" spans="1:74" ht="26.25" customHeight="1" x14ac:dyDescent="0.3">
      <c r="B307" s="11">
        <v>98</v>
      </c>
      <c r="C307" s="6" t="s">
        <v>18</v>
      </c>
      <c r="D307" s="23" t="s">
        <v>40</v>
      </c>
      <c r="E307" s="402" t="s">
        <v>549</v>
      </c>
      <c r="F307" s="383">
        <v>1333</v>
      </c>
      <c r="G307" s="12" t="s">
        <v>0</v>
      </c>
      <c r="H307" s="39">
        <v>12</v>
      </c>
      <c r="I307" s="360">
        <v>843.48</v>
      </c>
      <c r="J307" s="39">
        <f t="shared" si="87"/>
        <v>0</v>
      </c>
      <c r="K307" s="309">
        <f t="shared" ref="K307:K321" si="97">R307/1.4</f>
        <v>70.290000000000006</v>
      </c>
      <c r="L307" s="230">
        <f>K307*J600</f>
        <v>0</v>
      </c>
      <c r="M307" s="64" t="s">
        <v>567</v>
      </c>
      <c r="N307" s="60"/>
      <c r="O307" s="39">
        <v>12</v>
      </c>
      <c r="P307" s="309">
        <f t="shared" si="95"/>
        <v>843.48</v>
      </c>
      <c r="Q307" s="51" t="str">
        <f t="shared" si="75"/>
        <v>К14,5х6х22, К29х6х22</v>
      </c>
      <c r="R307" s="377">
        <f t="shared" si="96"/>
        <v>98.4</v>
      </c>
      <c r="S307" s="339">
        <v>82</v>
      </c>
      <c r="T307" s="353">
        <f t="shared" si="93"/>
        <v>0</v>
      </c>
      <c r="U307" s="20"/>
      <c r="V307" s="20">
        <f t="shared" si="90"/>
        <v>0</v>
      </c>
      <c r="W307" s="52">
        <f t="shared" si="91"/>
        <v>0</v>
      </c>
      <c r="X307" s="20"/>
      <c r="Y307" s="20"/>
      <c r="Z307" s="20"/>
      <c r="AA307" s="20"/>
      <c r="AB307" s="417"/>
      <c r="AC307" s="200"/>
      <c r="AD307" s="160"/>
      <c r="AE307" s="165"/>
      <c r="AF307" s="160"/>
      <c r="AG307" s="192"/>
      <c r="AH307" s="128"/>
      <c r="AI307" s="206"/>
      <c r="AJ307" s="185"/>
      <c r="AK307" s="10"/>
      <c r="AL307" s="10"/>
      <c r="AM307" s="10"/>
    </row>
    <row r="308" spans="1:74" s="4" customFormat="1" ht="33" hidden="1" customHeight="1" x14ac:dyDescent="0.25">
      <c r="A308" s="10"/>
      <c r="B308" s="19"/>
      <c r="C308" s="6" t="s">
        <v>18</v>
      </c>
      <c r="D308" s="23" t="s">
        <v>40</v>
      </c>
      <c r="E308" s="402" t="s">
        <v>639</v>
      </c>
      <c r="F308" s="384">
        <v>1086</v>
      </c>
      <c r="G308" s="48" t="s">
        <v>0</v>
      </c>
      <c r="H308" s="39"/>
      <c r="I308" s="360">
        <v>0</v>
      </c>
      <c r="J308" s="39">
        <f t="shared" si="87"/>
        <v>0</v>
      </c>
      <c r="K308" s="309">
        <f t="shared" si="97"/>
        <v>3.43</v>
      </c>
      <c r="L308" s="230">
        <f>K308*J601</f>
        <v>0</v>
      </c>
      <c r="M308" s="64" t="s">
        <v>548</v>
      </c>
      <c r="N308" s="141"/>
      <c r="O308" s="555"/>
      <c r="P308" s="469">
        <f t="shared" si="95"/>
        <v>0</v>
      </c>
      <c r="Q308" s="443" t="str">
        <f t="shared" si="75"/>
        <v>K20х5(8)х5</v>
      </c>
      <c r="R308" s="306">
        <f t="shared" si="96"/>
        <v>4.8</v>
      </c>
      <c r="S308" s="339">
        <v>4</v>
      </c>
      <c r="T308" s="353">
        <f t="shared" si="93"/>
        <v>0</v>
      </c>
      <c r="U308" s="70">
        <v>7</v>
      </c>
      <c r="V308" s="20">
        <f t="shared" si="90"/>
        <v>0</v>
      </c>
      <c r="W308" s="52">
        <f t="shared" si="91"/>
        <v>0</v>
      </c>
      <c r="X308" s="70">
        <v>7</v>
      </c>
      <c r="Y308" s="20"/>
      <c r="Z308" s="20"/>
      <c r="AA308" s="20"/>
      <c r="AB308" s="417"/>
      <c r="AC308" s="200"/>
      <c r="AD308" s="160">
        <v>1.85</v>
      </c>
      <c r="AE308" s="165"/>
      <c r="AF308" s="160"/>
      <c r="AG308" s="192">
        <v>8.67</v>
      </c>
      <c r="AH308" s="128"/>
      <c r="AI308" s="129"/>
      <c r="AJ308" s="185">
        <f>X308*AD308</f>
        <v>13</v>
      </c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</row>
    <row r="309" spans="1:74" s="21" customFormat="1" ht="26.25" customHeight="1" x14ac:dyDescent="0.25">
      <c r="B309" s="11">
        <v>99</v>
      </c>
      <c r="C309" s="6" t="s">
        <v>136</v>
      </c>
      <c r="D309" s="23" t="s">
        <v>40</v>
      </c>
      <c r="E309" s="112" t="s">
        <v>363</v>
      </c>
      <c r="F309" s="208">
        <v>595</v>
      </c>
      <c r="G309" s="12" t="s">
        <v>0</v>
      </c>
      <c r="H309" s="39">
        <v>5</v>
      </c>
      <c r="I309" s="360">
        <v>26.15</v>
      </c>
      <c r="J309" s="39">
        <f t="shared" si="87"/>
        <v>0</v>
      </c>
      <c r="K309" s="309">
        <f t="shared" si="97"/>
        <v>5.23</v>
      </c>
      <c r="L309" s="230">
        <f>K309*J602</f>
        <v>0</v>
      </c>
      <c r="M309" s="94" t="s">
        <v>592</v>
      </c>
      <c r="N309" s="41"/>
      <c r="O309" s="39">
        <v>5</v>
      </c>
      <c r="P309" s="309">
        <f t="shared" si="95"/>
        <v>26.15</v>
      </c>
      <c r="Q309" s="51" t="str">
        <f t="shared" si="75"/>
        <v>К22х6,2х3,2(ПМ-36Б-200)</v>
      </c>
      <c r="R309" s="377">
        <f t="shared" si="96"/>
        <v>7.32</v>
      </c>
      <c r="S309" s="319">
        <v>6.1</v>
      </c>
      <c r="T309" s="353">
        <f t="shared" si="93"/>
        <v>0</v>
      </c>
      <c r="U309" s="20">
        <v>269</v>
      </c>
      <c r="V309" s="20">
        <f t="shared" si="90"/>
        <v>0</v>
      </c>
      <c r="W309" s="52">
        <f t="shared" si="91"/>
        <v>-5</v>
      </c>
      <c r="X309" s="20">
        <f>281-12-5</f>
        <v>264</v>
      </c>
      <c r="Y309" s="103"/>
      <c r="Z309" s="103"/>
      <c r="AA309" s="103">
        <f>165+144</f>
        <v>309</v>
      </c>
      <c r="AB309" s="423"/>
      <c r="AC309" s="452"/>
      <c r="AD309" s="450">
        <v>1.85</v>
      </c>
      <c r="AE309" s="165"/>
      <c r="AF309" s="160"/>
      <c r="AG309" s="192">
        <v>8.67</v>
      </c>
      <c r="AH309" s="110"/>
      <c r="AI309" s="125"/>
      <c r="AJ309" s="185">
        <f>X309*AD309</f>
        <v>488.4</v>
      </c>
      <c r="AK309" s="435"/>
      <c r="AL309" s="480"/>
    </row>
    <row r="310" spans="1:74" ht="26.25" hidden="1" customHeight="1" x14ac:dyDescent="0.25">
      <c r="B310" s="11"/>
      <c r="C310" s="6" t="s">
        <v>18</v>
      </c>
      <c r="D310" s="23" t="s">
        <v>40</v>
      </c>
      <c r="E310" s="107" t="s">
        <v>467</v>
      </c>
      <c r="F310" s="386">
        <v>830</v>
      </c>
      <c r="G310" s="14" t="s">
        <v>0</v>
      </c>
      <c r="H310" s="39"/>
      <c r="I310" s="309">
        <v>0</v>
      </c>
      <c r="J310" s="39">
        <f t="shared" si="87"/>
        <v>0</v>
      </c>
      <c r="K310" s="309">
        <f t="shared" si="97"/>
        <v>17.23</v>
      </c>
      <c r="L310" s="230">
        <f>K310*J603</f>
        <v>0</v>
      </c>
      <c r="M310" s="47" t="s">
        <v>839</v>
      </c>
      <c r="N310" s="140"/>
      <c r="O310" s="39"/>
      <c r="P310" s="309">
        <f t="shared" si="95"/>
        <v>0</v>
      </c>
      <c r="Q310" s="51" t="str">
        <f t="shared" ref="Q310:Q373" si="98">E310</f>
        <v>К22,8х8,2х8,9</v>
      </c>
      <c r="R310" s="377">
        <f t="shared" si="96"/>
        <v>24.12</v>
      </c>
      <c r="S310" s="326">
        <v>20.100000000000001</v>
      </c>
      <c r="T310" s="353">
        <f t="shared" si="93"/>
        <v>0</v>
      </c>
      <c r="U310" s="430">
        <v>92</v>
      </c>
      <c r="V310" s="20">
        <f t="shared" si="90"/>
        <v>0</v>
      </c>
      <c r="W310" s="52">
        <f t="shared" si="91"/>
        <v>0</v>
      </c>
      <c r="X310" s="430">
        <f>60+38-6</f>
        <v>92</v>
      </c>
      <c r="Y310" s="18" t="s">
        <v>784</v>
      </c>
      <c r="Z310" s="18"/>
      <c r="AA310" s="18"/>
      <c r="AB310" s="418"/>
      <c r="AC310" s="168"/>
      <c r="AD310" s="450">
        <v>6</v>
      </c>
      <c r="AE310" s="165"/>
      <c r="AF310" s="160"/>
      <c r="AG310" s="192">
        <v>22</v>
      </c>
      <c r="AH310" s="110"/>
      <c r="AI310" s="125"/>
      <c r="AJ310" s="185">
        <f>X310*AD310</f>
        <v>552</v>
      </c>
      <c r="AK310" s="435"/>
      <c r="AL310" s="476"/>
      <c r="AM310" s="10"/>
    </row>
    <row r="311" spans="1:74" ht="26.25" hidden="1" customHeight="1" x14ac:dyDescent="0.3">
      <c r="B311" s="11"/>
      <c r="C311" s="6" t="s">
        <v>18</v>
      </c>
      <c r="D311" s="23" t="s">
        <v>40</v>
      </c>
      <c r="E311" s="112" t="s">
        <v>319</v>
      </c>
      <c r="F311" s="386">
        <v>1069</v>
      </c>
      <c r="G311" s="13" t="s">
        <v>0</v>
      </c>
      <c r="H311" s="39"/>
      <c r="I311" s="309">
        <v>0</v>
      </c>
      <c r="J311" s="39">
        <f t="shared" si="87"/>
        <v>0</v>
      </c>
      <c r="K311" s="309">
        <f t="shared" si="97"/>
        <v>21.43</v>
      </c>
      <c r="L311" s="230"/>
      <c r="M311" s="90"/>
      <c r="N311" s="140"/>
      <c r="O311" s="489"/>
      <c r="P311" s="490">
        <f t="shared" si="95"/>
        <v>0</v>
      </c>
      <c r="Q311" s="262" t="str">
        <f t="shared" si="98"/>
        <v>К26,6х11х0,7</v>
      </c>
      <c r="R311" s="377">
        <f t="shared" si="96"/>
        <v>30</v>
      </c>
      <c r="S311" s="322">
        <v>25</v>
      </c>
      <c r="T311" s="353">
        <f t="shared" si="93"/>
        <v>0</v>
      </c>
      <c r="U311" s="430">
        <v>30</v>
      </c>
      <c r="V311" s="20">
        <f t="shared" si="90"/>
        <v>0</v>
      </c>
      <c r="W311" s="52">
        <f t="shared" si="91"/>
        <v>0</v>
      </c>
      <c r="X311" s="430">
        <v>30</v>
      </c>
      <c r="Y311" s="18" t="s">
        <v>791</v>
      </c>
      <c r="Z311" s="18"/>
      <c r="AA311" s="18"/>
      <c r="AB311" s="418"/>
      <c r="AC311" s="168"/>
      <c r="AD311" s="450">
        <v>10</v>
      </c>
      <c r="AE311" s="165"/>
      <c r="AF311" s="160"/>
      <c r="AG311" s="192">
        <v>2.41</v>
      </c>
      <c r="AH311" s="128"/>
      <c r="AI311" s="113" t="s">
        <v>416</v>
      </c>
      <c r="AJ311" s="185">
        <f>X311*AD311</f>
        <v>300</v>
      </c>
      <c r="AK311" s="10"/>
      <c r="AL311" s="476"/>
      <c r="AM311" s="10"/>
    </row>
    <row r="312" spans="1:74" ht="26.25" hidden="1" customHeight="1" x14ac:dyDescent="0.3">
      <c r="B312" s="11"/>
      <c r="C312" s="6" t="s">
        <v>18</v>
      </c>
      <c r="D312" s="23" t="s">
        <v>40</v>
      </c>
      <c r="E312" s="112" t="s">
        <v>442</v>
      </c>
      <c r="F312" s="386">
        <v>1200</v>
      </c>
      <c r="G312" s="13"/>
      <c r="H312" s="39"/>
      <c r="I312" s="309">
        <v>0</v>
      </c>
      <c r="J312" s="39">
        <f t="shared" si="87"/>
        <v>0</v>
      </c>
      <c r="K312" s="309">
        <f t="shared" si="97"/>
        <v>10.39</v>
      </c>
      <c r="L312" s="230"/>
      <c r="M312" s="90"/>
      <c r="N312" s="140"/>
      <c r="O312" s="39"/>
      <c r="P312" s="309">
        <f t="shared" si="95"/>
        <v>0</v>
      </c>
      <c r="Q312" s="235" t="str">
        <f t="shared" si="98"/>
        <v>К30х5х5</v>
      </c>
      <c r="R312" s="377">
        <f t="shared" si="96"/>
        <v>14.54</v>
      </c>
      <c r="S312" s="319">
        <v>12.12</v>
      </c>
      <c r="T312" s="353">
        <f t="shared" si="93"/>
        <v>0</v>
      </c>
      <c r="U312" s="18"/>
      <c r="V312" s="20">
        <f t="shared" si="90"/>
        <v>0</v>
      </c>
      <c r="W312" s="52">
        <f t="shared" si="91"/>
        <v>0</v>
      </c>
      <c r="X312" s="18"/>
      <c r="Y312" s="18"/>
      <c r="Z312" s="18"/>
      <c r="AA312" s="18"/>
      <c r="AB312" s="418"/>
      <c r="AC312" s="168"/>
      <c r="AD312" s="450"/>
      <c r="AE312" s="165"/>
      <c r="AF312" s="160"/>
      <c r="AG312" s="192"/>
      <c r="AH312" s="128"/>
      <c r="AI312" s="206"/>
      <c r="AJ312" s="185"/>
      <c r="AK312" s="10"/>
      <c r="AL312" s="476"/>
      <c r="AM312" s="10"/>
    </row>
    <row r="313" spans="1:74" ht="26.25" hidden="1" customHeight="1" x14ac:dyDescent="0.25">
      <c r="B313" s="11"/>
      <c r="C313" s="6" t="s">
        <v>18</v>
      </c>
      <c r="D313" s="23" t="s">
        <v>40</v>
      </c>
      <c r="E313" s="276" t="s">
        <v>640</v>
      </c>
      <c r="F313" s="386"/>
      <c r="G313" s="13"/>
      <c r="H313" s="39"/>
      <c r="I313" s="309">
        <v>0</v>
      </c>
      <c r="J313" s="39">
        <f t="shared" si="87"/>
        <v>0</v>
      </c>
      <c r="K313" s="309">
        <f t="shared" si="97"/>
        <v>0</v>
      </c>
      <c r="L313" s="230"/>
      <c r="M313" s="90"/>
      <c r="N313" s="140"/>
      <c r="O313" s="39"/>
      <c r="P313" s="309">
        <f t="shared" si="95"/>
        <v>0</v>
      </c>
      <c r="Q313" s="235" t="str">
        <f t="shared" si="98"/>
        <v>К25х5,5(10)х3</v>
      </c>
      <c r="R313" s="377">
        <f t="shared" si="96"/>
        <v>0</v>
      </c>
      <c r="S313" s="326">
        <v>0</v>
      </c>
      <c r="T313" s="353">
        <f t="shared" si="93"/>
        <v>0</v>
      </c>
      <c r="U313" s="430">
        <v>10</v>
      </c>
      <c r="V313" s="20">
        <f t="shared" si="90"/>
        <v>0</v>
      </c>
      <c r="W313" s="52">
        <f t="shared" si="91"/>
        <v>0</v>
      </c>
      <c r="X313" s="430">
        <v>10</v>
      </c>
      <c r="Y313" s="18"/>
      <c r="Z313" s="18"/>
      <c r="AA313" s="18"/>
      <c r="AB313" s="418"/>
      <c r="AC313" s="200"/>
      <c r="AD313" s="160">
        <v>2.2000000000000002</v>
      </c>
      <c r="AE313" s="165"/>
      <c r="AF313" s="160"/>
      <c r="AG313" s="192">
        <v>22</v>
      </c>
      <c r="AH313" s="128"/>
      <c r="AI313" s="129"/>
      <c r="AJ313" s="185">
        <f t="shared" ref="AJ313:AJ323" si="99">X313*AD313</f>
        <v>22</v>
      </c>
      <c r="AK313" s="10"/>
      <c r="AL313" s="10"/>
      <c r="AM313" s="10"/>
    </row>
    <row r="314" spans="1:74" ht="26.25" hidden="1" customHeight="1" x14ac:dyDescent="0.25">
      <c r="B314" s="11"/>
      <c r="C314" s="6" t="s">
        <v>18</v>
      </c>
      <c r="D314" s="23" t="s">
        <v>40</v>
      </c>
      <c r="E314" s="276" t="s">
        <v>641</v>
      </c>
      <c r="F314" s="387"/>
      <c r="G314" s="12"/>
      <c r="H314" s="39"/>
      <c r="I314" s="309">
        <v>0</v>
      </c>
      <c r="J314" s="39">
        <f t="shared" si="87"/>
        <v>0</v>
      </c>
      <c r="K314" s="309">
        <f t="shared" si="97"/>
        <v>0</v>
      </c>
      <c r="L314" s="230">
        <f>K314*J607</f>
        <v>0</v>
      </c>
      <c r="M314" s="90" t="s">
        <v>150</v>
      </c>
      <c r="N314" s="140"/>
      <c r="O314" s="39"/>
      <c r="P314" s="309">
        <f t="shared" si="95"/>
        <v>0</v>
      </c>
      <c r="Q314" s="235" t="str">
        <f t="shared" si="98"/>
        <v>К31х12х22</v>
      </c>
      <c r="R314" s="377">
        <f t="shared" si="96"/>
        <v>0</v>
      </c>
      <c r="S314" s="319">
        <v>0</v>
      </c>
      <c r="T314" s="353">
        <f t="shared" si="93"/>
        <v>0</v>
      </c>
      <c r="U314" s="430">
        <v>9</v>
      </c>
      <c r="V314" s="20">
        <f t="shared" si="90"/>
        <v>0</v>
      </c>
      <c r="W314" s="52">
        <f t="shared" si="91"/>
        <v>0</v>
      </c>
      <c r="X314" s="430">
        <v>9</v>
      </c>
      <c r="Y314" s="18"/>
      <c r="Z314" s="18"/>
      <c r="AA314" s="18"/>
      <c r="AB314" s="418"/>
      <c r="AC314" s="200"/>
      <c r="AD314" s="160">
        <v>20</v>
      </c>
      <c r="AE314" s="164"/>
      <c r="AF314" s="160"/>
      <c r="AG314" s="176">
        <v>194.5</v>
      </c>
      <c r="AH314" s="120">
        <v>1600</v>
      </c>
      <c r="AI314" s="125"/>
      <c r="AJ314" s="185">
        <f t="shared" si="99"/>
        <v>180</v>
      </c>
      <c r="AK314" s="435"/>
      <c r="AL314" s="16"/>
      <c r="AM314" s="10"/>
    </row>
    <row r="315" spans="1:74" ht="26.25" customHeight="1" x14ac:dyDescent="0.25">
      <c r="B315" s="11">
        <v>100</v>
      </c>
      <c r="C315" s="6" t="s">
        <v>18</v>
      </c>
      <c r="D315" s="23" t="s">
        <v>40</v>
      </c>
      <c r="E315" s="1" t="s">
        <v>725</v>
      </c>
      <c r="F315" s="386">
        <v>1492</v>
      </c>
      <c r="G315" s="14"/>
      <c r="H315" s="39">
        <v>50</v>
      </c>
      <c r="I315" s="309">
        <v>7628.5</v>
      </c>
      <c r="J315" s="39">
        <f t="shared" si="87"/>
        <v>0</v>
      </c>
      <c r="K315" s="309">
        <f t="shared" si="97"/>
        <v>152.57</v>
      </c>
      <c r="L315" s="230"/>
      <c r="M315" s="456" t="s">
        <v>805</v>
      </c>
      <c r="N315" s="41">
        <v>50</v>
      </c>
      <c r="O315" s="39"/>
      <c r="P315" s="309">
        <f t="shared" si="95"/>
        <v>0</v>
      </c>
      <c r="Q315" s="235" t="str">
        <f t="shared" si="98"/>
        <v>К59х44х4</v>
      </c>
      <c r="R315" s="377">
        <f t="shared" si="96"/>
        <v>213.6</v>
      </c>
      <c r="S315" s="326">
        <v>178</v>
      </c>
      <c r="T315" s="353">
        <f t="shared" si="93"/>
        <v>0</v>
      </c>
      <c r="U315" s="20"/>
      <c r="V315" s="20">
        <f t="shared" si="90"/>
        <v>50</v>
      </c>
      <c r="W315" s="52">
        <f t="shared" si="91"/>
        <v>50</v>
      </c>
      <c r="X315" s="20"/>
      <c r="Y315" s="20"/>
      <c r="Z315" s="20"/>
      <c r="AA315" s="20"/>
      <c r="AB315" s="417"/>
      <c r="AC315" s="168"/>
      <c r="AD315" s="450">
        <v>17</v>
      </c>
      <c r="AE315" s="164"/>
      <c r="AF315" s="160"/>
      <c r="AG315" s="176">
        <v>166</v>
      </c>
      <c r="AH315" s="120"/>
      <c r="AI315" s="125"/>
      <c r="AJ315" s="185">
        <f t="shared" si="99"/>
        <v>0</v>
      </c>
      <c r="AK315" s="435"/>
      <c r="AL315" s="476"/>
      <c r="AM315" s="10"/>
    </row>
    <row r="316" spans="1:74" ht="26.25" hidden="1" customHeight="1" x14ac:dyDescent="0.25">
      <c r="B316" s="11"/>
      <c r="C316" s="6" t="s">
        <v>18</v>
      </c>
      <c r="D316" s="23" t="s">
        <v>40</v>
      </c>
      <c r="E316" s="112" t="s">
        <v>494</v>
      </c>
      <c r="F316" s="526">
        <v>1332</v>
      </c>
      <c r="G316" s="12" t="s">
        <v>0</v>
      </c>
      <c r="H316" s="39"/>
      <c r="I316" s="360">
        <v>0</v>
      </c>
      <c r="J316" s="39">
        <f t="shared" si="87"/>
        <v>0</v>
      </c>
      <c r="K316" s="309">
        <f t="shared" si="97"/>
        <v>8.14</v>
      </c>
      <c r="L316" s="230"/>
      <c r="M316" s="219" t="s">
        <v>714</v>
      </c>
      <c r="N316" s="140"/>
      <c r="O316" s="503"/>
      <c r="P316" s="309">
        <f t="shared" si="95"/>
        <v>0</v>
      </c>
      <c r="Q316" s="235" t="str">
        <f t="shared" si="98"/>
        <v>К25х5,5(10)х5</v>
      </c>
      <c r="R316" s="377">
        <f t="shared" si="96"/>
        <v>11.4</v>
      </c>
      <c r="S316" s="326">
        <v>9.5</v>
      </c>
      <c r="T316" s="353">
        <f t="shared" si="93"/>
        <v>0</v>
      </c>
      <c r="U316" s="18"/>
      <c r="V316" s="20">
        <f t="shared" si="90"/>
        <v>0</v>
      </c>
      <c r="W316" s="52">
        <f t="shared" si="91"/>
        <v>0</v>
      </c>
      <c r="X316" s="18"/>
      <c r="Y316" s="18"/>
      <c r="Z316" s="18"/>
      <c r="AA316" s="18">
        <v>4</v>
      </c>
      <c r="AB316" s="418"/>
      <c r="AC316" s="168"/>
      <c r="AD316" s="450">
        <v>2.2000000000000002</v>
      </c>
      <c r="AE316" s="165"/>
      <c r="AF316" s="160"/>
      <c r="AG316" s="192">
        <v>22</v>
      </c>
      <c r="AH316" s="128"/>
      <c r="AI316" s="129"/>
      <c r="AJ316" s="185">
        <f t="shared" si="99"/>
        <v>0</v>
      </c>
      <c r="AK316" s="10"/>
      <c r="AL316" s="476"/>
      <c r="AM316" s="10"/>
    </row>
    <row r="317" spans="1:74" ht="26.25" hidden="1" customHeight="1" x14ac:dyDescent="0.25">
      <c r="B317" s="11"/>
      <c r="C317" s="6" t="s">
        <v>18</v>
      </c>
      <c r="D317" s="23" t="s">
        <v>40</v>
      </c>
      <c r="E317" s="106" t="s">
        <v>660</v>
      </c>
      <c r="F317" s="387" t="s">
        <v>192</v>
      </c>
      <c r="G317" s="12" t="s">
        <v>0</v>
      </c>
      <c r="H317" s="39"/>
      <c r="I317" s="309">
        <v>0</v>
      </c>
      <c r="J317" s="39">
        <f t="shared" si="87"/>
        <v>0</v>
      </c>
      <c r="K317" s="309">
        <f t="shared" si="97"/>
        <v>83.14</v>
      </c>
      <c r="L317" s="230">
        <f>K317*J610</f>
        <v>0</v>
      </c>
      <c r="M317" s="90" t="s">
        <v>150</v>
      </c>
      <c r="N317" s="140"/>
      <c r="O317" s="39"/>
      <c r="P317" s="490">
        <f t="shared" si="95"/>
        <v>0</v>
      </c>
      <c r="Q317" s="235" t="str">
        <f t="shared" si="98"/>
        <v>К47х8(12)х14,5</v>
      </c>
      <c r="R317" s="377">
        <f t="shared" si="96"/>
        <v>116.4</v>
      </c>
      <c r="S317" s="319">
        <v>97</v>
      </c>
      <c r="T317" s="353">
        <f t="shared" si="93"/>
        <v>0</v>
      </c>
      <c r="U317" s="430">
        <v>15</v>
      </c>
      <c r="V317" s="20">
        <f t="shared" si="90"/>
        <v>0</v>
      </c>
      <c r="W317" s="52">
        <f t="shared" si="91"/>
        <v>0</v>
      </c>
      <c r="X317" s="147">
        <v>15</v>
      </c>
      <c r="Y317" s="18" t="s">
        <v>788</v>
      </c>
      <c r="Z317" s="18"/>
      <c r="AA317" s="18"/>
      <c r="AB317" s="418"/>
      <c r="AC317" s="168"/>
      <c r="AD317" s="450">
        <v>20</v>
      </c>
      <c r="AE317" s="164"/>
      <c r="AF317" s="160"/>
      <c r="AG317" s="176">
        <v>194.5</v>
      </c>
      <c r="AH317" s="120">
        <v>1600</v>
      </c>
      <c r="AI317" s="125"/>
      <c r="AJ317" s="185">
        <f t="shared" si="99"/>
        <v>300</v>
      </c>
      <c r="AK317" s="435"/>
      <c r="AL317" s="476"/>
      <c r="AM317" s="10"/>
    </row>
    <row r="318" spans="1:74" ht="26.25" hidden="1" customHeight="1" x14ac:dyDescent="0.25">
      <c r="B318" s="11"/>
      <c r="C318" s="6" t="s">
        <v>18</v>
      </c>
      <c r="D318" s="23" t="s">
        <v>40</v>
      </c>
      <c r="E318" s="107" t="s">
        <v>311</v>
      </c>
      <c r="F318" s="386"/>
      <c r="G318" s="12" t="s">
        <v>0</v>
      </c>
      <c r="H318" s="39"/>
      <c r="I318" s="309">
        <v>0</v>
      </c>
      <c r="J318" s="39">
        <f t="shared" si="87"/>
        <v>0</v>
      </c>
      <c r="K318" s="309">
        <f t="shared" si="97"/>
        <v>0</v>
      </c>
      <c r="L318" s="230"/>
      <c r="M318" s="90"/>
      <c r="N318" s="140"/>
      <c r="O318" s="39"/>
      <c r="P318" s="309">
        <f t="shared" si="95"/>
        <v>0</v>
      </c>
      <c r="Q318" s="235" t="str">
        <f t="shared" si="98"/>
        <v>К47х20х15</v>
      </c>
      <c r="R318" s="377">
        <f t="shared" si="96"/>
        <v>0</v>
      </c>
      <c r="S318" s="319">
        <v>0</v>
      </c>
      <c r="T318" s="353">
        <f t="shared" si="93"/>
        <v>0</v>
      </c>
      <c r="U318" s="70">
        <v>10</v>
      </c>
      <c r="V318" s="20">
        <f t="shared" si="90"/>
        <v>0</v>
      </c>
      <c r="W318" s="52">
        <f t="shared" si="91"/>
        <v>0</v>
      </c>
      <c r="X318" s="70">
        <v>10</v>
      </c>
      <c r="Y318" s="20" t="s">
        <v>792</v>
      </c>
      <c r="Z318" s="20"/>
      <c r="AA318" s="20"/>
      <c r="AB318" s="417"/>
      <c r="AC318" s="168"/>
      <c r="AD318" s="450">
        <v>17</v>
      </c>
      <c r="AE318" s="164"/>
      <c r="AF318" s="160"/>
      <c r="AG318" s="176">
        <v>166</v>
      </c>
      <c r="AH318" s="120"/>
      <c r="AI318" s="125"/>
      <c r="AJ318" s="185">
        <f t="shared" si="99"/>
        <v>170</v>
      </c>
      <c r="AK318" s="435"/>
      <c r="AL318" s="476"/>
      <c r="AM318" s="10"/>
    </row>
    <row r="319" spans="1:74" ht="26.25" hidden="1" customHeight="1" x14ac:dyDescent="0.25">
      <c r="B319" s="11"/>
      <c r="C319" s="6" t="s">
        <v>18</v>
      </c>
      <c r="D319" s="23" t="s">
        <v>40</v>
      </c>
      <c r="E319" s="107" t="s">
        <v>778</v>
      </c>
      <c r="F319" s="386">
        <v>384</v>
      </c>
      <c r="G319" s="12" t="s">
        <v>0</v>
      </c>
      <c r="H319" s="39"/>
      <c r="I319" s="309">
        <v>0</v>
      </c>
      <c r="J319" s="39">
        <f t="shared" si="87"/>
        <v>0</v>
      </c>
      <c r="K319" s="309">
        <f t="shared" si="97"/>
        <v>75.430000000000007</v>
      </c>
      <c r="L319" s="230"/>
      <c r="M319" s="64"/>
      <c r="N319" s="140"/>
      <c r="O319" s="39"/>
      <c r="P319" s="309">
        <f t="shared" si="95"/>
        <v>0</v>
      </c>
      <c r="Q319" s="235" t="str">
        <f t="shared" si="98"/>
        <v>К53х23х15</v>
      </c>
      <c r="R319" s="377">
        <f t="shared" si="96"/>
        <v>105.6</v>
      </c>
      <c r="S319" s="319">
        <v>88</v>
      </c>
      <c r="T319" s="353">
        <f t="shared" si="93"/>
        <v>0</v>
      </c>
      <c r="U319" s="70">
        <v>1</v>
      </c>
      <c r="V319" s="20">
        <f t="shared" si="90"/>
        <v>0</v>
      </c>
      <c r="W319" s="52">
        <f t="shared" si="91"/>
        <v>0</v>
      </c>
      <c r="X319" s="70">
        <v>1</v>
      </c>
      <c r="Y319" s="20" t="s">
        <v>793</v>
      </c>
      <c r="Z319" s="20"/>
      <c r="AA319" s="20"/>
      <c r="AB319" s="417"/>
      <c r="AC319" s="200"/>
      <c r="AD319" s="160">
        <v>21</v>
      </c>
      <c r="AE319" s="164"/>
      <c r="AF319" s="160"/>
      <c r="AG319" s="176">
        <v>192</v>
      </c>
      <c r="AH319" s="120"/>
      <c r="AI319" s="125"/>
      <c r="AJ319" s="185">
        <f t="shared" si="99"/>
        <v>21</v>
      </c>
      <c r="AK319" s="125"/>
      <c r="AL319" s="10"/>
      <c r="AM319" s="10"/>
    </row>
    <row r="320" spans="1:74" ht="26.25" hidden="1" customHeight="1" x14ac:dyDescent="0.25">
      <c r="B320" s="11"/>
      <c r="C320" s="6" t="s">
        <v>18</v>
      </c>
      <c r="D320" s="23" t="s">
        <v>40</v>
      </c>
      <c r="E320" s="107" t="s">
        <v>393</v>
      </c>
      <c r="F320" s="386"/>
      <c r="G320" s="12" t="s">
        <v>0</v>
      </c>
      <c r="H320" s="39"/>
      <c r="I320" s="309">
        <v>0</v>
      </c>
      <c r="J320" s="39">
        <f t="shared" si="87"/>
        <v>0</v>
      </c>
      <c r="K320" s="309">
        <f t="shared" si="97"/>
        <v>0</v>
      </c>
      <c r="L320" s="230"/>
      <c r="M320" s="64"/>
      <c r="N320" s="140"/>
      <c r="O320" s="39"/>
      <c r="P320" s="309">
        <f t="shared" si="95"/>
        <v>0</v>
      </c>
      <c r="Q320" s="235" t="str">
        <f t="shared" si="98"/>
        <v>К60х36х20</v>
      </c>
      <c r="R320" s="377">
        <f t="shared" si="96"/>
        <v>0</v>
      </c>
      <c r="S320" s="319">
        <v>0</v>
      </c>
      <c r="T320" s="353">
        <f t="shared" si="93"/>
        <v>0</v>
      </c>
      <c r="U320" s="70">
        <v>13</v>
      </c>
      <c r="V320" s="20">
        <f t="shared" si="90"/>
        <v>0</v>
      </c>
      <c r="W320" s="52">
        <f t="shared" si="91"/>
        <v>0</v>
      </c>
      <c r="X320" s="148">
        <v>13</v>
      </c>
      <c r="Y320" s="20" t="s">
        <v>788</v>
      </c>
      <c r="Z320" s="20"/>
      <c r="AA320" s="20"/>
      <c r="AB320" s="417"/>
      <c r="AC320" s="168"/>
      <c r="AD320" s="450">
        <v>28</v>
      </c>
      <c r="AE320" s="164"/>
      <c r="AF320" s="160"/>
      <c r="AG320" s="176">
        <v>282</v>
      </c>
      <c r="AH320" s="120"/>
      <c r="AI320" s="125"/>
      <c r="AJ320" s="185">
        <f t="shared" si="99"/>
        <v>364</v>
      </c>
      <c r="AK320" s="435"/>
      <c r="AL320" s="476"/>
      <c r="AM320" s="10"/>
    </row>
    <row r="321" spans="2:39" ht="26.25" hidden="1" customHeight="1" x14ac:dyDescent="0.25">
      <c r="B321" s="11"/>
      <c r="C321" s="6" t="s">
        <v>18</v>
      </c>
      <c r="D321" s="23" t="s">
        <v>40</v>
      </c>
      <c r="E321" s="107" t="s">
        <v>392</v>
      </c>
      <c r="F321" s="386"/>
      <c r="G321" s="12" t="s">
        <v>0</v>
      </c>
      <c r="H321" s="39"/>
      <c r="I321" s="309">
        <v>0</v>
      </c>
      <c r="J321" s="39">
        <f t="shared" si="87"/>
        <v>0</v>
      </c>
      <c r="K321" s="309">
        <f t="shared" si="97"/>
        <v>0</v>
      </c>
      <c r="L321" s="230"/>
      <c r="M321" s="64"/>
      <c r="N321" s="140"/>
      <c r="O321" s="513"/>
      <c r="P321" s="497">
        <f t="shared" si="95"/>
        <v>0</v>
      </c>
      <c r="Q321" s="263" t="str">
        <f t="shared" si="98"/>
        <v>К80х10х10</v>
      </c>
      <c r="R321" s="377">
        <f t="shared" si="96"/>
        <v>0</v>
      </c>
      <c r="S321" s="319">
        <v>0</v>
      </c>
      <c r="T321" s="353">
        <f t="shared" si="93"/>
        <v>0</v>
      </c>
      <c r="U321" s="70">
        <v>6</v>
      </c>
      <c r="V321" s="20">
        <f t="shared" si="90"/>
        <v>0</v>
      </c>
      <c r="W321" s="52">
        <f t="shared" si="91"/>
        <v>0</v>
      </c>
      <c r="X321" s="70">
        <v>6</v>
      </c>
      <c r="Y321" s="20" t="s">
        <v>786</v>
      </c>
      <c r="Z321" s="20"/>
      <c r="AA321" s="20"/>
      <c r="AB321" s="417"/>
      <c r="AC321" s="168"/>
      <c r="AD321" s="450">
        <v>38</v>
      </c>
      <c r="AE321" s="164"/>
      <c r="AF321" s="160"/>
      <c r="AG321" s="176">
        <v>386</v>
      </c>
      <c r="AH321" s="120"/>
      <c r="AI321" s="125"/>
      <c r="AJ321" s="185">
        <f t="shared" si="99"/>
        <v>228</v>
      </c>
      <c r="AK321" s="435"/>
      <c r="AL321" s="476"/>
      <c r="AM321" s="10"/>
    </row>
    <row r="322" spans="2:39" ht="26.25" customHeight="1" x14ac:dyDescent="0.25">
      <c r="B322" s="11">
        <v>101</v>
      </c>
      <c r="C322" s="6" t="s">
        <v>18</v>
      </c>
      <c r="D322" s="23" t="s">
        <v>40</v>
      </c>
      <c r="E322" s="107" t="s">
        <v>138</v>
      </c>
      <c r="F322" s="396" t="s">
        <v>59</v>
      </c>
      <c r="G322" s="12" t="s">
        <v>0</v>
      </c>
      <c r="H322" s="39">
        <v>1000</v>
      </c>
      <c r="I322" s="360">
        <v>219.4</v>
      </c>
      <c r="J322" s="39">
        <f t="shared" si="87"/>
        <v>0</v>
      </c>
      <c r="K322" s="309">
        <v>0.22</v>
      </c>
      <c r="L322" s="230">
        <f>K322*J615</f>
        <v>0</v>
      </c>
      <c r="M322" s="249"/>
      <c r="N322" s="60"/>
      <c r="O322" s="39">
        <v>1000</v>
      </c>
      <c r="P322" s="309">
        <v>219.4</v>
      </c>
      <c r="Q322" s="51" t="str">
        <f t="shared" si="98"/>
        <v>П2,5х2,5х2</v>
      </c>
      <c r="R322" s="377">
        <f t="shared" si="96"/>
        <v>0.31</v>
      </c>
      <c r="S322" s="319">
        <v>0.25600000000000001</v>
      </c>
      <c r="T322" s="353">
        <f t="shared" si="93"/>
        <v>0</v>
      </c>
      <c r="U322" s="20">
        <v>2998</v>
      </c>
      <c r="V322" s="20">
        <f t="shared" si="90"/>
        <v>0</v>
      </c>
      <c r="W322" s="52">
        <f t="shared" si="91"/>
        <v>0</v>
      </c>
      <c r="X322" s="20">
        <f>3000-2</f>
        <v>2998</v>
      </c>
      <c r="Y322" s="20"/>
      <c r="Z322" s="20"/>
      <c r="AA322" s="20"/>
      <c r="AB322" s="417"/>
      <c r="AC322" s="168"/>
      <c r="AD322" s="450">
        <v>0.06</v>
      </c>
      <c r="AE322" s="348" t="s">
        <v>401</v>
      </c>
      <c r="AF322" s="171">
        <v>0.06</v>
      </c>
      <c r="AG322" s="192">
        <v>0.1</v>
      </c>
      <c r="AH322" s="110"/>
      <c r="AI322" s="125"/>
      <c r="AJ322" s="185">
        <f t="shared" si="99"/>
        <v>179.9</v>
      </c>
      <c r="AK322" s="435"/>
      <c r="AL322" s="476"/>
      <c r="AM322" s="10"/>
    </row>
    <row r="323" spans="2:39" ht="26.25" customHeight="1" x14ac:dyDescent="0.25">
      <c r="B323" s="11">
        <v>102</v>
      </c>
      <c r="C323" s="6" t="s">
        <v>18</v>
      </c>
      <c r="D323" s="23" t="s">
        <v>40</v>
      </c>
      <c r="E323" s="104" t="s">
        <v>128</v>
      </c>
      <c r="F323" s="208">
        <v>480</v>
      </c>
      <c r="G323" s="12" t="s">
        <v>0</v>
      </c>
      <c r="H323" s="39">
        <v>2000</v>
      </c>
      <c r="I323" s="360">
        <v>1400</v>
      </c>
      <c r="J323" s="39">
        <f t="shared" si="87"/>
        <v>0</v>
      </c>
      <c r="K323" s="309">
        <f t="shared" ref="K323:K335" si="100">R323/1.4</f>
        <v>0.7</v>
      </c>
      <c r="L323" s="230">
        <f>K323*J616</f>
        <v>0</v>
      </c>
      <c r="M323" s="155" t="s">
        <v>840</v>
      </c>
      <c r="N323" s="41">
        <v>900</v>
      </c>
      <c r="O323" s="39">
        <v>1100</v>
      </c>
      <c r="P323" s="309">
        <f t="shared" ref="P323:P335" si="101">K323*O323</f>
        <v>770</v>
      </c>
      <c r="Q323" s="51" t="str">
        <f t="shared" si="98"/>
        <v>П3х3х4 (ЭПГ 111.022)</v>
      </c>
      <c r="R323" s="377">
        <f t="shared" si="96"/>
        <v>0.98</v>
      </c>
      <c r="S323" s="319">
        <v>0.82</v>
      </c>
      <c r="T323" s="353">
        <f t="shared" si="93"/>
        <v>0</v>
      </c>
      <c r="U323" s="20">
        <v>15650</v>
      </c>
      <c r="V323" s="20">
        <f t="shared" si="90"/>
        <v>900</v>
      </c>
      <c r="W323" s="52">
        <f t="shared" si="91"/>
        <v>-100</v>
      </c>
      <c r="X323" s="20">
        <f>15650-1000</f>
        <v>14650</v>
      </c>
      <c r="Y323" s="20" t="s">
        <v>782</v>
      </c>
      <c r="Z323" s="20">
        <v>1250</v>
      </c>
      <c r="AA323" s="20">
        <f>7020+1450</f>
        <v>8470</v>
      </c>
      <c r="AB323" s="417"/>
      <c r="AC323" s="168"/>
      <c r="AD323" s="450">
        <v>0.11</v>
      </c>
      <c r="AE323" s="163"/>
      <c r="AF323" s="171"/>
      <c r="AG323" s="192">
        <v>0.28000000000000003</v>
      </c>
      <c r="AH323" s="110"/>
      <c r="AI323" s="125"/>
      <c r="AJ323" s="185">
        <f t="shared" si="99"/>
        <v>1611.5</v>
      </c>
      <c r="AK323" s="435"/>
      <c r="AL323" s="476"/>
      <c r="AM323" s="10"/>
    </row>
    <row r="324" spans="2:39" ht="26.25" hidden="1" customHeight="1" thickBot="1" x14ac:dyDescent="0.3">
      <c r="B324" s="15"/>
      <c r="C324" s="6" t="s">
        <v>18</v>
      </c>
      <c r="D324" s="23" t="s">
        <v>40</v>
      </c>
      <c r="E324" s="286" t="s">
        <v>564</v>
      </c>
      <c r="F324" s="208">
        <v>1300</v>
      </c>
      <c r="G324" s="48" t="s">
        <v>0</v>
      </c>
      <c r="H324" s="39"/>
      <c r="I324" s="360">
        <v>0</v>
      </c>
      <c r="J324" s="39">
        <f t="shared" si="87"/>
        <v>0</v>
      </c>
      <c r="K324" s="309">
        <f t="shared" si="100"/>
        <v>4.29</v>
      </c>
      <c r="L324" s="230"/>
      <c r="M324" s="158" t="s">
        <v>522</v>
      </c>
      <c r="N324" s="140"/>
      <c r="O324" s="489"/>
      <c r="P324" s="467">
        <f t="shared" si="101"/>
        <v>0</v>
      </c>
      <c r="Q324" s="256" t="str">
        <f t="shared" si="98"/>
        <v>П4х4х3 б/п</v>
      </c>
      <c r="R324" s="377">
        <f t="shared" si="96"/>
        <v>6</v>
      </c>
      <c r="S324" s="326">
        <v>5</v>
      </c>
      <c r="T324" s="353">
        <f t="shared" si="93"/>
        <v>0</v>
      </c>
      <c r="U324" s="70">
        <v>4</v>
      </c>
      <c r="V324" s="20">
        <f t="shared" si="90"/>
        <v>0</v>
      </c>
      <c r="W324" s="52">
        <f t="shared" si="91"/>
        <v>0</v>
      </c>
      <c r="X324" s="70">
        <v>4</v>
      </c>
      <c r="Y324" s="20"/>
      <c r="Z324" s="20"/>
      <c r="AA324" s="20"/>
      <c r="AB324" s="417"/>
      <c r="AC324" s="168"/>
      <c r="AD324" s="450"/>
      <c r="AE324" s="163"/>
      <c r="AF324" s="171"/>
      <c r="AG324" s="192"/>
      <c r="AH324" s="110"/>
      <c r="AI324" s="125"/>
      <c r="AJ324" s="185"/>
      <c r="AK324" s="435"/>
      <c r="AL324" s="476"/>
      <c r="AM324" s="10"/>
    </row>
    <row r="325" spans="2:39" ht="26.25" hidden="1" customHeight="1" x14ac:dyDescent="0.25">
      <c r="B325" s="15"/>
      <c r="C325" s="6" t="s">
        <v>18</v>
      </c>
      <c r="D325" s="23" t="s">
        <v>40</v>
      </c>
      <c r="E325" s="286" t="s">
        <v>526</v>
      </c>
      <c r="F325" s="208">
        <v>1301</v>
      </c>
      <c r="G325" s="48" t="s">
        <v>0</v>
      </c>
      <c r="H325" s="39"/>
      <c r="I325" s="309">
        <v>0</v>
      </c>
      <c r="J325" s="39">
        <f t="shared" ref="J325:J356" si="102">N325+O325-H325</f>
        <v>0</v>
      </c>
      <c r="K325" s="309">
        <f t="shared" si="100"/>
        <v>4.29</v>
      </c>
      <c r="L325" s="230"/>
      <c r="M325" s="158" t="s">
        <v>522</v>
      </c>
      <c r="N325" s="140"/>
      <c r="O325" s="39"/>
      <c r="P325" s="497">
        <f t="shared" si="101"/>
        <v>0</v>
      </c>
      <c r="Q325" s="258" t="str">
        <f t="shared" si="98"/>
        <v>П7х6х2,5</v>
      </c>
      <c r="R325" s="377">
        <f t="shared" si="96"/>
        <v>6</v>
      </c>
      <c r="S325" s="326">
        <v>5</v>
      </c>
      <c r="T325" s="353">
        <f t="shared" si="93"/>
        <v>0</v>
      </c>
      <c r="U325" s="70">
        <v>41</v>
      </c>
      <c r="V325" s="20">
        <f t="shared" ref="V325:V356" si="103">N325</f>
        <v>0</v>
      </c>
      <c r="W325" s="52">
        <f t="shared" ref="W325:W356" si="104">X325-U325+V325</f>
        <v>0</v>
      </c>
      <c r="X325" s="70">
        <v>41</v>
      </c>
      <c r="Y325" s="20"/>
      <c r="Z325" s="20"/>
      <c r="AA325" s="20"/>
      <c r="AB325" s="417"/>
      <c r="AC325" s="168"/>
      <c r="AD325" s="450"/>
      <c r="AE325" s="163"/>
      <c r="AF325" s="171"/>
      <c r="AG325" s="192"/>
      <c r="AH325" s="110"/>
      <c r="AI325" s="125"/>
      <c r="AJ325" s="185"/>
      <c r="AK325" s="435"/>
      <c r="AL325" s="476"/>
      <c r="AM325" s="10"/>
    </row>
    <row r="326" spans="2:39" ht="26.25" hidden="1" customHeight="1" x14ac:dyDescent="0.3">
      <c r="B326" s="11"/>
      <c r="C326" s="6" t="s">
        <v>18</v>
      </c>
      <c r="D326" s="23" t="s">
        <v>40</v>
      </c>
      <c r="E326" s="104" t="s">
        <v>390</v>
      </c>
      <c r="F326" s="208">
        <v>951</v>
      </c>
      <c r="G326" s="12" t="s">
        <v>0</v>
      </c>
      <c r="H326" s="39"/>
      <c r="I326" s="309">
        <v>0</v>
      </c>
      <c r="J326" s="39">
        <f t="shared" si="102"/>
        <v>0</v>
      </c>
      <c r="K326" s="309">
        <f t="shared" si="100"/>
        <v>0.94</v>
      </c>
      <c r="L326" s="230">
        <f>K326*J619</f>
        <v>0</v>
      </c>
      <c r="M326" s="155" t="s">
        <v>715</v>
      </c>
      <c r="N326" s="140"/>
      <c r="O326" s="39"/>
      <c r="P326" s="309">
        <f t="shared" si="101"/>
        <v>0</v>
      </c>
      <c r="Q326" s="51" t="str">
        <f t="shared" si="98"/>
        <v xml:space="preserve">П3,5х2х4 </v>
      </c>
      <c r="R326" s="377">
        <f t="shared" si="96"/>
        <v>1.32</v>
      </c>
      <c r="S326" s="326">
        <v>1.1000000000000001</v>
      </c>
      <c r="T326" s="353">
        <f t="shared" si="93"/>
        <v>0</v>
      </c>
      <c r="U326" s="70">
        <v>715</v>
      </c>
      <c r="V326" s="20">
        <f t="shared" si="103"/>
        <v>0</v>
      </c>
      <c r="W326" s="52">
        <f t="shared" si="104"/>
        <v>0</v>
      </c>
      <c r="X326" s="70">
        <v>715</v>
      </c>
      <c r="Y326" s="20"/>
      <c r="Z326" s="20"/>
      <c r="AA326" s="20">
        <v>100</v>
      </c>
      <c r="AB326" s="417"/>
      <c r="AC326" s="168"/>
      <c r="AD326" s="450"/>
      <c r="AE326" s="163"/>
      <c r="AF326" s="171"/>
      <c r="AG326" s="192">
        <v>0.21</v>
      </c>
      <c r="AH326" s="110"/>
      <c r="AI326" s="113" t="s">
        <v>420</v>
      </c>
      <c r="AJ326" s="185">
        <f>X326*AD326</f>
        <v>0</v>
      </c>
      <c r="AK326" s="435"/>
      <c r="AL326" s="476"/>
      <c r="AM326" s="10"/>
    </row>
    <row r="327" spans="2:39" ht="26.25" hidden="1" customHeight="1" x14ac:dyDescent="0.25">
      <c r="B327" s="11"/>
      <c r="C327" s="6" t="s">
        <v>18</v>
      </c>
      <c r="D327" s="23" t="s">
        <v>40</v>
      </c>
      <c r="E327" s="104" t="s">
        <v>97</v>
      </c>
      <c r="F327" s="208"/>
      <c r="G327" s="12" t="s">
        <v>0</v>
      </c>
      <c r="H327" s="39"/>
      <c r="I327" s="309">
        <v>0</v>
      </c>
      <c r="J327" s="39">
        <f t="shared" si="102"/>
        <v>0</v>
      </c>
      <c r="K327" s="309">
        <f t="shared" si="100"/>
        <v>0</v>
      </c>
      <c r="L327" s="230"/>
      <c r="M327" s="158"/>
      <c r="N327" s="140"/>
      <c r="O327" s="39"/>
      <c r="P327" s="507">
        <f t="shared" si="101"/>
        <v>0</v>
      </c>
      <c r="Q327" s="264" t="str">
        <f t="shared" si="98"/>
        <v>П3х6х7</v>
      </c>
      <c r="R327" s="377">
        <f t="shared" si="96"/>
        <v>0</v>
      </c>
      <c r="S327" s="330">
        <v>0</v>
      </c>
      <c r="T327" s="353">
        <f>S327*J327</f>
        <v>0</v>
      </c>
      <c r="U327" s="70">
        <v>100</v>
      </c>
      <c r="V327" s="20">
        <f t="shared" si="103"/>
        <v>0</v>
      </c>
      <c r="W327" s="52">
        <f t="shared" si="104"/>
        <v>0</v>
      </c>
      <c r="X327" s="70">
        <v>100</v>
      </c>
      <c r="Y327" s="20"/>
      <c r="Z327" s="20"/>
      <c r="AA327" s="20"/>
      <c r="AB327" s="417"/>
      <c r="AC327" s="168"/>
      <c r="AD327" s="450">
        <v>0.1</v>
      </c>
      <c r="AE327" s="163"/>
      <c r="AF327" s="171"/>
      <c r="AG327" s="192">
        <v>1</v>
      </c>
      <c r="AH327" s="110"/>
      <c r="AI327" s="125"/>
      <c r="AJ327" s="185">
        <f>X327*AD327</f>
        <v>10</v>
      </c>
      <c r="AK327" s="435"/>
      <c r="AL327" s="476"/>
      <c r="AM327" s="10"/>
    </row>
    <row r="328" spans="2:39" ht="26.25" hidden="1" customHeight="1" x14ac:dyDescent="0.25">
      <c r="B328" s="11"/>
      <c r="C328" s="6" t="s">
        <v>18</v>
      </c>
      <c r="D328" s="23" t="s">
        <v>40</v>
      </c>
      <c r="E328" s="106" t="s">
        <v>273</v>
      </c>
      <c r="F328" s="526">
        <v>758</v>
      </c>
      <c r="G328" s="12" t="s">
        <v>0</v>
      </c>
      <c r="H328" s="39"/>
      <c r="I328" s="360">
        <v>0</v>
      </c>
      <c r="J328" s="39">
        <f t="shared" si="102"/>
        <v>0</v>
      </c>
      <c r="K328" s="309">
        <f t="shared" si="100"/>
        <v>7.31</v>
      </c>
      <c r="L328" s="230">
        <f>K328*J621</f>
        <v>0</v>
      </c>
      <c r="M328" s="155" t="s">
        <v>749</v>
      </c>
      <c r="N328" s="140"/>
      <c r="O328" s="513"/>
      <c r="P328" s="497">
        <f t="shared" si="101"/>
        <v>0</v>
      </c>
      <c r="Q328" s="442" t="str">
        <f t="shared" si="98"/>
        <v>П7х7х2,5</v>
      </c>
      <c r="R328" s="306">
        <f t="shared" si="96"/>
        <v>10.24</v>
      </c>
      <c r="S328" s="330">
        <v>8.5299999999999994</v>
      </c>
      <c r="T328" s="353">
        <f>S328*J328</f>
        <v>0</v>
      </c>
      <c r="U328" s="70">
        <v>24</v>
      </c>
      <c r="V328" s="20">
        <f t="shared" si="103"/>
        <v>0</v>
      </c>
      <c r="W328" s="52">
        <f t="shared" si="104"/>
        <v>0</v>
      </c>
      <c r="X328" s="70">
        <v>24</v>
      </c>
      <c r="Y328" s="20"/>
      <c r="Z328" s="20"/>
      <c r="AA328" s="20">
        <f>6+2</f>
        <v>8</v>
      </c>
      <c r="AB328" s="417"/>
      <c r="AC328" s="451"/>
      <c r="AD328" s="450">
        <v>0.15</v>
      </c>
      <c r="AE328" s="163"/>
      <c r="AF328" s="171"/>
      <c r="AG328" s="192">
        <v>1</v>
      </c>
      <c r="AH328" s="110"/>
      <c r="AI328" s="125"/>
      <c r="AJ328" s="185">
        <f>X328*AD328</f>
        <v>3.6</v>
      </c>
      <c r="AK328" s="435"/>
      <c r="AL328" s="476"/>
      <c r="AM328" s="10"/>
    </row>
    <row r="329" spans="2:39" ht="26.25" customHeight="1" x14ac:dyDescent="0.25">
      <c r="B329" s="11">
        <v>103</v>
      </c>
      <c r="C329" s="6" t="s">
        <v>18</v>
      </c>
      <c r="D329" s="23" t="s">
        <v>40</v>
      </c>
      <c r="E329" s="106" t="s">
        <v>767</v>
      </c>
      <c r="F329" s="526">
        <v>1437</v>
      </c>
      <c r="G329" s="12" t="s">
        <v>0</v>
      </c>
      <c r="H329" s="39"/>
      <c r="I329" s="309"/>
      <c r="J329" s="39">
        <f t="shared" si="102"/>
        <v>0</v>
      </c>
      <c r="K329" s="309">
        <f t="shared" si="100"/>
        <v>2.57</v>
      </c>
      <c r="L329" s="406">
        <f>K329*J622</f>
        <v>0</v>
      </c>
      <c r="M329" s="234" t="s">
        <v>684</v>
      </c>
      <c r="N329" s="41"/>
      <c r="O329" s="39"/>
      <c r="P329" s="309">
        <f t="shared" si="101"/>
        <v>0</v>
      </c>
      <c r="Q329" s="51" t="str">
        <f t="shared" si="98"/>
        <v>П14х7х2</v>
      </c>
      <c r="R329" s="377">
        <f t="shared" si="96"/>
        <v>3.6</v>
      </c>
      <c r="S329" s="330">
        <v>3</v>
      </c>
      <c r="T329" s="353">
        <f>S329*J329</f>
        <v>0</v>
      </c>
      <c r="U329" s="20">
        <v>20</v>
      </c>
      <c r="V329" s="20">
        <f t="shared" si="103"/>
        <v>0</v>
      </c>
      <c r="W329" s="52">
        <f t="shared" si="104"/>
        <v>0</v>
      </c>
      <c r="X329" s="20">
        <v>20</v>
      </c>
      <c r="Y329" s="20" t="s">
        <v>771</v>
      </c>
      <c r="Z329" s="20"/>
      <c r="AA329" s="20"/>
      <c r="AB329" s="417"/>
      <c r="AC329" s="202"/>
      <c r="AD329" s="160"/>
      <c r="AE329" s="163"/>
      <c r="AF329" s="171"/>
      <c r="AG329" s="192"/>
      <c r="AH329" s="110"/>
      <c r="AI329" s="125"/>
      <c r="AJ329" s="185"/>
      <c r="AK329" s="125"/>
      <c r="AL329" s="10"/>
      <c r="AM329" s="10"/>
    </row>
    <row r="330" spans="2:39" ht="26.25" hidden="1" customHeight="1" x14ac:dyDescent="0.25">
      <c r="B330" s="11"/>
      <c r="C330" s="6" t="s">
        <v>18</v>
      </c>
      <c r="D330" s="23" t="s">
        <v>40</v>
      </c>
      <c r="E330" s="106" t="s">
        <v>380</v>
      </c>
      <c r="F330" s="210">
        <v>1169</v>
      </c>
      <c r="G330" s="12" t="s">
        <v>0</v>
      </c>
      <c r="H330" s="39"/>
      <c r="I330" s="309">
        <v>0</v>
      </c>
      <c r="J330" s="39">
        <f t="shared" si="102"/>
        <v>0</v>
      </c>
      <c r="K330" s="309">
        <f t="shared" si="100"/>
        <v>0.04</v>
      </c>
      <c r="L330" s="230">
        <f>K330*J623</f>
        <v>0</v>
      </c>
      <c r="M330" s="97" t="s">
        <v>388</v>
      </c>
      <c r="N330" s="41"/>
      <c r="O330" s="489"/>
      <c r="P330" s="490">
        <f t="shared" si="101"/>
        <v>0</v>
      </c>
      <c r="Q330" s="262" t="str">
        <f t="shared" si="98"/>
        <v>П8х3х0,7</v>
      </c>
      <c r="R330" s="377">
        <f t="shared" si="96"/>
        <v>0.05</v>
      </c>
      <c r="S330" s="339">
        <v>0.04</v>
      </c>
      <c r="T330" s="353">
        <f>S330*J330</f>
        <v>0</v>
      </c>
      <c r="U330" s="430">
        <v>45500</v>
      </c>
      <c r="V330" s="20">
        <f t="shared" si="103"/>
        <v>0</v>
      </c>
      <c r="W330" s="52">
        <f t="shared" si="104"/>
        <v>0</v>
      </c>
      <c r="X330" s="430">
        <f>46500-1000</f>
        <v>45500</v>
      </c>
      <c r="Y330" s="18"/>
      <c r="Z330" s="18"/>
      <c r="AA330" s="18"/>
      <c r="AB330" s="418"/>
      <c r="AC330" s="168"/>
      <c r="AD330" s="450"/>
      <c r="AE330" s="164"/>
      <c r="AF330" s="160"/>
      <c r="AG330" s="176">
        <v>0.13</v>
      </c>
      <c r="AH330" s="120"/>
      <c r="AI330" s="125" t="s">
        <v>421</v>
      </c>
      <c r="AJ330" s="185">
        <f t="shared" ref="AJ330:AJ337" si="105">X330*AD330</f>
        <v>0</v>
      </c>
      <c r="AK330" s="435"/>
      <c r="AL330" s="476"/>
      <c r="AM330" s="10"/>
    </row>
    <row r="331" spans="2:39" ht="26.25" hidden="1" customHeight="1" thickBot="1" x14ac:dyDescent="0.3">
      <c r="B331" s="19"/>
      <c r="C331" s="6" t="s">
        <v>18</v>
      </c>
      <c r="D331" s="23" t="s">
        <v>40</v>
      </c>
      <c r="E331" s="106" t="s">
        <v>196</v>
      </c>
      <c r="F331" s="387" t="s">
        <v>359</v>
      </c>
      <c r="G331" s="12" t="s">
        <v>0</v>
      </c>
      <c r="H331" s="39"/>
      <c r="I331" s="309">
        <v>0</v>
      </c>
      <c r="J331" s="39">
        <f t="shared" si="102"/>
        <v>0</v>
      </c>
      <c r="K331" s="309">
        <f t="shared" si="100"/>
        <v>4.24</v>
      </c>
      <c r="L331" s="230">
        <f>K331*J624</f>
        <v>0</v>
      </c>
      <c r="M331" s="99" t="s">
        <v>334</v>
      </c>
      <c r="N331" s="140"/>
      <c r="O331" s="39"/>
      <c r="P331" s="497">
        <f t="shared" si="101"/>
        <v>0</v>
      </c>
      <c r="Q331" s="263" t="str">
        <f t="shared" si="98"/>
        <v>П8,5х8,5х13</v>
      </c>
      <c r="R331" s="377">
        <f t="shared" si="96"/>
        <v>5.94</v>
      </c>
      <c r="S331" s="319">
        <v>4.95</v>
      </c>
      <c r="T331" s="353">
        <f>S331*J331</f>
        <v>0</v>
      </c>
      <c r="U331" s="70">
        <v>1313</v>
      </c>
      <c r="V331" s="20">
        <f t="shared" si="103"/>
        <v>0</v>
      </c>
      <c r="W331" s="52">
        <f t="shared" si="104"/>
        <v>0</v>
      </c>
      <c r="X331" s="70">
        <f>3*420+74-20-1</f>
        <v>1313</v>
      </c>
      <c r="Y331" s="20" t="s">
        <v>783</v>
      </c>
      <c r="Z331" s="20"/>
      <c r="AA331" s="20"/>
      <c r="AB331" s="417"/>
      <c r="AC331" s="168"/>
      <c r="AD331" s="450">
        <v>0.95</v>
      </c>
      <c r="AE331" s="164"/>
      <c r="AF331" s="160"/>
      <c r="AG331" s="176">
        <v>7.23</v>
      </c>
      <c r="AH331" s="120"/>
      <c r="AI331" s="125"/>
      <c r="AJ331" s="185">
        <f t="shared" si="105"/>
        <v>1247.4000000000001</v>
      </c>
      <c r="AK331" s="435"/>
      <c r="AL331" s="476"/>
      <c r="AM331" s="10"/>
    </row>
    <row r="332" spans="2:39" ht="26.25" hidden="1" customHeight="1" thickBot="1" x14ac:dyDescent="0.3">
      <c r="B332" s="19"/>
      <c r="C332" s="6" t="s">
        <v>18</v>
      </c>
      <c r="D332" s="23" t="s">
        <v>40</v>
      </c>
      <c r="E332" s="104" t="s">
        <v>77</v>
      </c>
      <c r="F332" s="208">
        <v>474</v>
      </c>
      <c r="G332" s="12" t="s">
        <v>0</v>
      </c>
      <c r="H332" s="39"/>
      <c r="I332" s="360">
        <v>0</v>
      </c>
      <c r="J332" s="39">
        <f t="shared" si="102"/>
        <v>0</v>
      </c>
      <c r="K332" s="309">
        <f t="shared" si="100"/>
        <v>4.24</v>
      </c>
      <c r="L332" s="230">
        <f>K332*J625</f>
        <v>0</v>
      </c>
      <c r="M332" s="155" t="s">
        <v>750</v>
      </c>
      <c r="N332" s="140"/>
      <c r="O332" s="503"/>
      <c r="P332" s="309">
        <f t="shared" si="101"/>
        <v>0</v>
      </c>
      <c r="Q332" s="265" t="str">
        <f t="shared" si="98"/>
        <v>П8,5х13х8,5</v>
      </c>
      <c r="R332" s="306">
        <f t="shared" si="96"/>
        <v>5.94</v>
      </c>
      <c r="S332" s="326">
        <v>4.95</v>
      </c>
      <c r="T332" s="353"/>
      <c r="U332" s="70">
        <v>1014</v>
      </c>
      <c r="V332" s="20">
        <f t="shared" si="103"/>
        <v>0</v>
      </c>
      <c r="W332" s="511">
        <f t="shared" si="104"/>
        <v>0</v>
      </c>
      <c r="X332" s="148">
        <v>1014</v>
      </c>
      <c r="Y332" s="20" t="s">
        <v>777</v>
      </c>
      <c r="Z332" s="20"/>
      <c r="AA332" s="20">
        <v>650</v>
      </c>
      <c r="AB332" s="417"/>
      <c r="AC332" s="168"/>
      <c r="AD332" s="450">
        <v>0.95</v>
      </c>
      <c r="AE332" s="163"/>
      <c r="AF332" s="171"/>
      <c r="AG332" s="192">
        <v>7.23</v>
      </c>
      <c r="AH332" s="110"/>
      <c r="AI332" s="125"/>
      <c r="AJ332" s="185">
        <f t="shared" si="105"/>
        <v>963.3</v>
      </c>
      <c r="AK332" s="435"/>
      <c r="AL332" s="476"/>
      <c r="AM332" s="10"/>
    </row>
    <row r="333" spans="2:39" ht="26.25" hidden="1" customHeight="1" x14ac:dyDescent="0.25">
      <c r="B333" s="19"/>
      <c r="C333" s="6" t="s">
        <v>18</v>
      </c>
      <c r="D333" s="23" t="s">
        <v>40</v>
      </c>
      <c r="E333" s="104" t="s">
        <v>313</v>
      </c>
      <c r="F333" s="208">
        <v>1108</v>
      </c>
      <c r="G333" s="48"/>
      <c r="H333" s="39"/>
      <c r="I333" s="309">
        <v>0</v>
      </c>
      <c r="J333" s="39">
        <f t="shared" si="102"/>
        <v>0</v>
      </c>
      <c r="K333" s="309">
        <f t="shared" si="100"/>
        <v>0.09</v>
      </c>
      <c r="L333" s="230"/>
      <c r="M333" s="116"/>
      <c r="N333" s="140"/>
      <c r="O333" s="39"/>
      <c r="P333" s="490">
        <f t="shared" si="101"/>
        <v>0</v>
      </c>
      <c r="Q333" s="262" t="str">
        <f t="shared" si="98"/>
        <v>П10х4х1</v>
      </c>
      <c r="R333" s="377">
        <f t="shared" si="96"/>
        <v>0.12</v>
      </c>
      <c r="S333" s="319">
        <v>0.1</v>
      </c>
      <c r="T333" s="353">
        <f t="shared" ref="T333:T364" si="106">S333*J333</f>
        <v>0</v>
      </c>
      <c r="U333" s="70">
        <v>7440</v>
      </c>
      <c r="V333" s="20">
        <f t="shared" si="103"/>
        <v>0</v>
      </c>
      <c r="W333" s="52">
        <f t="shared" si="104"/>
        <v>0</v>
      </c>
      <c r="X333" s="70">
        <f>7500-60</f>
        <v>7440</v>
      </c>
      <c r="Y333" s="20"/>
      <c r="Z333" s="20"/>
      <c r="AA333" s="20"/>
      <c r="AB333" s="417"/>
      <c r="AC333" s="168"/>
      <c r="AD333" s="450">
        <v>0.05</v>
      </c>
      <c r="AE333" s="162"/>
      <c r="AF333" s="171"/>
      <c r="AG333" s="176">
        <v>0.3</v>
      </c>
      <c r="AH333" s="120"/>
      <c r="AI333" s="125">
        <v>0.8</v>
      </c>
      <c r="AJ333" s="185">
        <f t="shared" si="105"/>
        <v>372</v>
      </c>
      <c r="AK333" s="435"/>
      <c r="AL333" s="476"/>
      <c r="AM333" s="10"/>
    </row>
    <row r="334" spans="2:39" ht="26.25" hidden="1" customHeight="1" x14ac:dyDescent="0.25">
      <c r="B334" s="19"/>
      <c r="C334" s="6" t="s">
        <v>18</v>
      </c>
      <c r="D334" s="23" t="s">
        <v>40</v>
      </c>
      <c r="E334" s="104" t="s">
        <v>385</v>
      </c>
      <c r="F334" s="208"/>
      <c r="G334" s="48"/>
      <c r="H334" s="39"/>
      <c r="I334" s="309">
        <v>0</v>
      </c>
      <c r="J334" s="39">
        <f t="shared" si="102"/>
        <v>0</v>
      </c>
      <c r="K334" s="309">
        <f t="shared" si="100"/>
        <v>0</v>
      </c>
      <c r="L334" s="230"/>
      <c r="M334" s="116"/>
      <c r="N334" s="140"/>
      <c r="O334" s="39"/>
      <c r="P334" s="309">
        <f t="shared" si="101"/>
        <v>0</v>
      </c>
      <c r="Q334" s="235" t="str">
        <f t="shared" si="98"/>
        <v>П10х10х0,5</v>
      </c>
      <c r="R334" s="377">
        <f t="shared" si="96"/>
        <v>0</v>
      </c>
      <c r="S334" s="319">
        <v>0</v>
      </c>
      <c r="T334" s="353">
        <f t="shared" si="106"/>
        <v>0</v>
      </c>
      <c r="U334" s="20">
        <v>192</v>
      </c>
      <c r="V334" s="20">
        <f t="shared" si="103"/>
        <v>0</v>
      </c>
      <c r="W334" s="52">
        <f t="shared" si="104"/>
        <v>0</v>
      </c>
      <c r="X334" s="20">
        <v>192</v>
      </c>
      <c r="Y334" s="20"/>
      <c r="Z334" s="20"/>
      <c r="AA334" s="20"/>
      <c r="AB334" s="417"/>
      <c r="AC334" s="168"/>
      <c r="AD334" s="450">
        <v>0.06</v>
      </c>
      <c r="AE334" s="162"/>
      <c r="AF334" s="171"/>
      <c r="AG334" s="176">
        <v>0.39</v>
      </c>
      <c r="AH334" s="120"/>
      <c r="AI334" s="125"/>
      <c r="AJ334" s="185">
        <f t="shared" si="105"/>
        <v>11.5</v>
      </c>
      <c r="AK334" s="435"/>
      <c r="AL334" s="476"/>
      <c r="AM334" s="10"/>
    </row>
    <row r="335" spans="2:39" ht="26.25" hidden="1" customHeight="1" x14ac:dyDescent="0.25">
      <c r="B335" s="15"/>
      <c r="C335" s="6" t="s">
        <v>18</v>
      </c>
      <c r="D335" s="23" t="s">
        <v>40</v>
      </c>
      <c r="E335" s="107" t="s">
        <v>100</v>
      </c>
      <c r="F335" s="208">
        <v>588</v>
      </c>
      <c r="G335" s="48"/>
      <c r="H335" s="39"/>
      <c r="I335" s="360">
        <v>0</v>
      </c>
      <c r="J335" s="39">
        <f t="shared" si="102"/>
        <v>0</v>
      </c>
      <c r="K335" s="309">
        <f t="shared" si="100"/>
        <v>2.61</v>
      </c>
      <c r="L335" s="230">
        <f>K335*J628</f>
        <v>0</v>
      </c>
      <c r="M335" s="363" t="s">
        <v>469</v>
      </c>
      <c r="N335" s="140"/>
      <c r="O335" s="513"/>
      <c r="P335" s="468">
        <f t="shared" si="101"/>
        <v>0</v>
      </c>
      <c r="Q335" s="263" t="str">
        <f t="shared" si="98"/>
        <v>П10х10х7</v>
      </c>
      <c r="R335" s="377">
        <f t="shared" si="96"/>
        <v>3.66</v>
      </c>
      <c r="S335" s="339">
        <v>3.05</v>
      </c>
      <c r="T335" s="353">
        <f t="shared" si="106"/>
        <v>0</v>
      </c>
      <c r="U335" s="70">
        <v>10</v>
      </c>
      <c r="V335" s="20">
        <f t="shared" si="103"/>
        <v>0</v>
      </c>
      <c r="W335" s="52">
        <f t="shared" si="104"/>
        <v>0</v>
      </c>
      <c r="X335" s="70">
        <v>10</v>
      </c>
      <c r="Y335" s="20" t="s">
        <v>771</v>
      </c>
      <c r="Z335" s="20"/>
      <c r="AA335" s="20"/>
      <c r="AB335" s="417"/>
      <c r="AC335" s="200"/>
      <c r="AD335" s="160">
        <v>0.27200000000000002</v>
      </c>
      <c r="AE335" s="163"/>
      <c r="AF335" s="171"/>
      <c r="AG335" s="192">
        <v>1.6</v>
      </c>
      <c r="AH335" s="110"/>
      <c r="AI335" s="125"/>
      <c r="AJ335" s="185">
        <f t="shared" si="105"/>
        <v>2.7</v>
      </c>
      <c r="AK335" s="435"/>
      <c r="AL335" s="16"/>
      <c r="AM335" s="10"/>
    </row>
    <row r="336" spans="2:39" ht="26.25" hidden="1" customHeight="1" x14ac:dyDescent="0.25">
      <c r="B336" s="19"/>
      <c r="C336" s="6" t="s">
        <v>18</v>
      </c>
      <c r="D336" s="23" t="s">
        <v>40</v>
      </c>
      <c r="E336" s="107" t="s">
        <v>364</v>
      </c>
      <c r="F336" s="208">
        <v>567</v>
      </c>
      <c r="G336" s="48"/>
      <c r="H336" s="39"/>
      <c r="I336" s="360"/>
      <c r="J336" s="39">
        <f t="shared" si="102"/>
        <v>0</v>
      </c>
      <c r="K336" s="309">
        <v>1.53</v>
      </c>
      <c r="L336" s="230"/>
      <c r="M336" s="154" t="s">
        <v>841</v>
      </c>
      <c r="N336" s="140"/>
      <c r="O336" s="39"/>
      <c r="P336" s="309"/>
      <c r="Q336" s="51" t="str">
        <f t="shared" si="98"/>
        <v>П14х7х2,5 для Рифтека</v>
      </c>
      <c r="R336" s="377">
        <f t="shared" si="96"/>
        <v>2.2799999999999998</v>
      </c>
      <c r="S336" s="319">
        <v>1.9</v>
      </c>
      <c r="T336" s="353">
        <f t="shared" si="106"/>
        <v>0</v>
      </c>
      <c r="U336" s="70">
        <v>1652</v>
      </c>
      <c r="V336" s="20">
        <f t="shared" si="103"/>
        <v>0</v>
      </c>
      <c r="W336" s="511">
        <f t="shared" si="104"/>
        <v>0</v>
      </c>
      <c r="X336" s="70">
        <f>852-200+1000</f>
        <v>1652</v>
      </c>
      <c r="Y336" s="20" t="s">
        <v>782</v>
      </c>
      <c r="Z336" s="20"/>
      <c r="AA336" s="20">
        <v>2000</v>
      </c>
      <c r="AB336" s="417"/>
      <c r="AC336" s="168"/>
      <c r="AD336" s="450">
        <v>0.25</v>
      </c>
      <c r="AE336" s="162"/>
      <c r="AF336" s="171"/>
      <c r="AG336" s="176">
        <v>1.7</v>
      </c>
      <c r="AH336" s="120"/>
      <c r="AI336" s="125">
        <v>2.6</v>
      </c>
      <c r="AJ336" s="185">
        <f t="shared" si="105"/>
        <v>413</v>
      </c>
      <c r="AK336" s="435"/>
      <c r="AL336" s="476"/>
      <c r="AM336" s="10"/>
    </row>
    <row r="337" spans="1:73" ht="26.25" customHeight="1" x14ac:dyDescent="0.25">
      <c r="B337" s="11">
        <v>104</v>
      </c>
      <c r="C337" s="6" t="s">
        <v>18</v>
      </c>
      <c r="D337" s="23" t="s">
        <v>40</v>
      </c>
      <c r="E337" s="107" t="s">
        <v>255</v>
      </c>
      <c r="F337" s="208">
        <v>588</v>
      </c>
      <c r="G337" s="12" t="s">
        <v>0</v>
      </c>
      <c r="H337" s="39">
        <v>212</v>
      </c>
      <c r="I337" s="360">
        <v>610.74</v>
      </c>
      <c r="J337" s="39">
        <f t="shared" si="102"/>
        <v>0</v>
      </c>
      <c r="K337" s="309">
        <f t="shared" ref="K337:K361" si="107">R337/1.4</f>
        <v>3.34</v>
      </c>
      <c r="L337" s="230">
        <f>K337*J630</f>
        <v>0</v>
      </c>
      <c r="M337" s="366"/>
      <c r="N337" s="60"/>
      <c r="O337" s="556">
        <v>212</v>
      </c>
      <c r="P337" s="490">
        <v>610.74</v>
      </c>
      <c r="Q337" s="262" t="str">
        <f t="shared" si="98"/>
        <v>П13,85х6,85х2,35</v>
      </c>
      <c r="R337" s="377">
        <f t="shared" ref="R337:R377" si="108">S337*1.2</f>
        <v>4.68</v>
      </c>
      <c r="S337" s="326">
        <v>3.9</v>
      </c>
      <c r="T337" s="353">
        <f t="shared" si="106"/>
        <v>0</v>
      </c>
      <c r="U337" s="18">
        <v>808</v>
      </c>
      <c r="V337" s="20">
        <f t="shared" si="103"/>
        <v>0</v>
      </c>
      <c r="W337" s="52">
        <f t="shared" si="104"/>
        <v>0</v>
      </c>
      <c r="X337" s="18">
        <v>808</v>
      </c>
      <c r="Y337" s="18" t="s">
        <v>782</v>
      </c>
      <c r="Z337" s="18"/>
      <c r="AA337" s="18"/>
      <c r="AB337" s="418"/>
      <c r="AC337" s="200"/>
      <c r="AD337" s="160">
        <v>0.27200000000000002</v>
      </c>
      <c r="AE337" s="165"/>
      <c r="AF337" s="160"/>
      <c r="AG337" s="192">
        <v>1.6</v>
      </c>
      <c r="AH337" s="110"/>
      <c r="AI337" s="125"/>
      <c r="AJ337" s="185">
        <f t="shared" si="105"/>
        <v>219.8</v>
      </c>
      <c r="AK337" s="125"/>
      <c r="AL337" s="10"/>
      <c r="AM337" s="10"/>
    </row>
    <row r="338" spans="1:73" ht="26.25" hidden="1" customHeight="1" thickBot="1" x14ac:dyDescent="0.3">
      <c r="B338" s="19"/>
      <c r="C338" s="6" t="s">
        <v>18</v>
      </c>
      <c r="D338" s="23" t="s">
        <v>40</v>
      </c>
      <c r="E338" s="107" t="s">
        <v>764</v>
      </c>
      <c r="F338" s="208">
        <v>1437</v>
      </c>
      <c r="G338" s="48" t="s">
        <v>0</v>
      </c>
      <c r="H338" s="39"/>
      <c r="I338" s="360">
        <v>0</v>
      </c>
      <c r="J338" s="39">
        <f t="shared" si="102"/>
        <v>0</v>
      </c>
      <c r="K338" s="309">
        <f t="shared" si="107"/>
        <v>2.57</v>
      </c>
      <c r="L338" s="230"/>
      <c r="M338" s="155" t="s">
        <v>716</v>
      </c>
      <c r="N338" s="141"/>
      <c r="O338" s="39"/>
      <c r="P338" s="467">
        <f t="shared" ref="P338:P370" si="109">K338*O338</f>
        <v>0</v>
      </c>
      <c r="Q338" s="256" t="str">
        <f t="shared" si="98"/>
        <v>П20х8х3</v>
      </c>
      <c r="R338" s="377">
        <f t="shared" si="108"/>
        <v>3.6</v>
      </c>
      <c r="S338" s="326">
        <v>3</v>
      </c>
      <c r="T338" s="353">
        <f t="shared" si="106"/>
        <v>0</v>
      </c>
      <c r="U338" s="430">
        <v>100</v>
      </c>
      <c r="V338" s="20">
        <f t="shared" si="103"/>
        <v>0</v>
      </c>
      <c r="W338" s="52">
        <f t="shared" si="104"/>
        <v>0</v>
      </c>
      <c r="X338" s="147">
        <v>100</v>
      </c>
      <c r="Y338" s="18"/>
      <c r="Z338" s="18"/>
      <c r="AA338" s="18">
        <v>174</v>
      </c>
      <c r="AB338" s="418"/>
      <c r="AC338" s="168"/>
      <c r="AD338" s="450"/>
      <c r="AE338" s="165"/>
      <c r="AF338" s="160"/>
      <c r="AG338" s="192"/>
      <c r="AH338" s="110"/>
      <c r="AI338" s="125"/>
      <c r="AJ338" s="185"/>
      <c r="AK338" s="435"/>
      <c r="AL338" s="476"/>
      <c r="AM338" s="10"/>
    </row>
    <row r="339" spans="1:73" s="4" customFormat="1" ht="26.25" hidden="1" customHeight="1" x14ac:dyDescent="0.25">
      <c r="A339" s="10"/>
      <c r="B339" s="14"/>
      <c r="C339" s="6" t="s">
        <v>18</v>
      </c>
      <c r="D339" s="23" t="s">
        <v>40</v>
      </c>
      <c r="E339" s="107" t="s">
        <v>672</v>
      </c>
      <c r="F339" s="208">
        <v>892</v>
      </c>
      <c r="G339" s="14" t="s">
        <v>0</v>
      </c>
      <c r="H339" s="39"/>
      <c r="I339" s="309">
        <v>0</v>
      </c>
      <c r="J339" s="39">
        <f t="shared" si="102"/>
        <v>0</v>
      </c>
      <c r="K339" s="309">
        <f t="shared" si="107"/>
        <v>1.03</v>
      </c>
      <c r="L339" s="230">
        <f>K339*J632</f>
        <v>0</v>
      </c>
      <c r="M339" s="72" t="s">
        <v>261</v>
      </c>
      <c r="N339" s="140"/>
      <c r="O339" s="39"/>
      <c r="P339" s="309">
        <f t="shared" si="109"/>
        <v>0</v>
      </c>
      <c r="Q339" s="262" t="str">
        <f t="shared" si="98"/>
        <v>П20х20х5</v>
      </c>
      <c r="R339" s="377">
        <f t="shared" si="108"/>
        <v>1.44</v>
      </c>
      <c r="S339" s="326">
        <v>1.2</v>
      </c>
      <c r="T339" s="353">
        <f t="shared" si="106"/>
        <v>0</v>
      </c>
      <c r="U339" s="430">
        <v>25</v>
      </c>
      <c r="V339" s="20">
        <f t="shared" si="103"/>
        <v>0</v>
      </c>
      <c r="W339" s="52">
        <f t="shared" si="104"/>
        <v>0</v>
      </c>
      <c r="X339" s="430">
        <v>25</v>
      </c>
      <c r="Y339" s="18"/>
      <c r="Z339" s="18"/>
      <c r="AA339" s="18"/>
      <c r="AB339" s="418"/>
      <c r="AC339" s="200"/>
      <c r="AD339" s="160">
        <v>0.2</v>
      </c>
      <c r="AE339" s="164"/>
      <c r="AF339" s="160"/>
      <c r="AG339" s="176">
        <v>1.6</v>
      </c>
      <c r="AH339" s="120"/>
      <c r="AI339" s="125"/>
      <c r="AJ339" s="185">
        <f>X339*AD339</f>
        <v>5</v>
      </c>
      <c r="AK339" s="125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</row>
    <row r="340" spans="1:73" ht="26.25" hidden="1" customHeight="1" x14ac:dyDescent="0.25">
      <c r="B340" s="15"/>
      <c r="C340" s="6" t="s">
        <v>18</v>
      </c>
      <c r="D340" s="23" t="s">
        <v>40</v>
      </c>
      <c r="E340" s="104" t="s">
        <v>149</v>
      </c>
      <c r="F340" s="387"/>
      <c r="G340" s="19"/>
      <c r="H340" s="39"/>
      <c r="I340" s="309">
        <v>0</v>
      </c>
      <c r="J340" s="39">
        <f t="shared" si="102"/>
        <v>0</v>
      </c>
      <c r="K340" s="309">
        <f t="shared" si="107"/>
        <v>0</v>
      </c>
      <c r="L340" s="230">
        <f>K340*J633</f>
        <v>0</v>
      </c>
      <c r="M340" s="90"/>
      <c r="N340" s="140"/>
      <c r="O340" s="39"/>
      <c r="P340" s="309">
        <f t="shared" si="109"/>
        <v>0</v>
      </c>
      <c r="Q340" s="235" t="str">
        <f t="shared" si="98"/>
        <v>П17х6х2</v>
      </c>
      <c r="R340" s="377">
        <f t="shared" si="108"/>
        <v>0</v>
      </c>
      <c r="S340" s="321">
        <v>0</v>
      </c>
      <c r="T340" s="353">
        <f t="shared" si="106"/>
        <v>0</v>
      </c>
      <c r="U340" s="430">
        <v>880</v>
      </c>
      <c r="V340" s="20">
        <f t="shared" si="103"/>
        <v>0</v>
      </c>
      <c r="W340" s="52">
        <f t="shared" si="104"/>
        <v>0</v>
      </c>
      <c r="X340" s="430">
        <v>880</v>
      </c>
      <c r="Y340" s="18"/>
      <c r="Z340" s="18"/>
      <c r="AA340" s="18"/>
      <c r="AB340" s="418"/>
      <c r="AC340" s="168"/>
      <c r="AD340" s="450">
        <v>0.2</v>
      </c>
      <c r="AE340" s="163"/>
      <c r="AF340" s="171"/>
      <c r="AG340" s="192">
        <v>1.57</v>
      </c>
      <c r="AH340" s="110"/>
      <c r="AI340" s="125"/>
      <c r="AJ340" s="185">
        <f>X340*AD340</f>
        <v>176</v>
      </c>
      <c r="AK340" s="435"/>
      <c r="AL340" s="476"/>
      <c r="AM340" s="10"/>
    </row>
    <row r="341" spans="1:73" ht="26.25" hidden="1" customHeight="1" x14ac:dyDescent="0.25">
      <c r="B341" s="15"/>
      <c r="C341" s="6" t="s">
        <v>18</v>
      </c>
      <c r="D341" s="23" t="s">
        <v>40</v>
      </c>
      <c r="E341" s="104" t="s">
        <v>445</v>
      </c>
      <c r="F341" s="387" t="s">
        <v>448</v>
      </c>
      <c r="G341" s="19"/>
      <c r="H341" s="39"/>
      <c r="I341" s="309">
        <v>0</v>
      </c>
      <c r="J341" s="39">
        <f t="shared" si="102"/>
        <v>0</v>
      </c>
      <c r="K341" s="309">
        <f t="shared" si="107"/>
        <v>1.04</v>
      </c>
      <c r="L341" s="230"/>
      <c r="M341" s="90"/>
      <c r="N341" s="140"/>
      <c r="O341" s="39"/>
      <c r="P341" s="309">
        <f t="shared" si="109"/>
        <v>0</v>
      </c>
      <c r="Q341" s="235" t="str">
        <f t="shared" si="98"/>
        <v>П20х5х2</v>
      </c>
      <c r="R341" s="377">
        <f t="shared" si="108"/>
        <v>1.45</v>
      </c>
      <c r="S341" s="320">
        <v>1.21</v>
      </c>
      <c r="T341" s="353">
        <f t="shared" si="106"/>
        <v>0</v>
      </c>
      <c r="U341" s="430">
        <v>24</v>
      </c>
      <c r="V341" s="20">
        <f t="shared" si="103"/>
        <v>0</v>
      </c>
      <c r="W341" s="52">
        <f t="shared" si="104"/>
        <v>0</v>
      </c>
      <c r="X341" s="430">
        <v>24</v>
      </c>
      <c r="Y341" s="18" t="s">
        <v>771</v>
      </c>
      <c r="Z341" s="18"/>
      <c r="AA341" s="18"/>
      <c r="AB341" s="418"/>
      <c r="AC341" s="168"/>
      <c r="AD341" s="450"/>
      <c r="AE341" s="163"/>
      <c r="AF341" s="171"/>
      <c r="AG341" s="192"/>
      <c r="AH341" s="110"/>
      <c r="AI341" s="125"/>
      <c r="AJ341" s="185"/>
      <c r="AK341" s="435"/>
      <c r="AL341" s="476"/>
      <c r="AM341" s="10"/>
    </row>
    <row r="342" spans="1:73" ht="26.25" hidden="1" customHeight="1" thickBot="1" x14ac:dyDescent="0.3">
      <c r="B342" s="15"/>
      <c r="C342" s="6" t="s">
        <v>18</v>
      </c>
      <c r="D342" s="23" t="s">
        <v>40</v>
      </c>
      <c r="E342" s="104" t="s">
        <v>763</v>
      </c>
      <c r="F342" s="387" t="s">
        <v>449</v>
      </c>
      <c r="G342" s="19"/>
      <c r="H342" s="39"/>
      <c r="I342" s="309">
        <v>0</v>
      </c>
      <c r="J342" s="39">
        <f t="shared" si="102"/>
        <v>0</v>
      </c>
      <c r="K342" s="309">
        <f t="shared" si="107"/>
        <v>1.56</v>
      </c>
      <c r="L342" s="230"/>
      <c r="M342" s="90"/>
      <c r="N342" s="140"/>
      <c r="O342" s="39"/>
      <c r="P342" s="309">
        <f t="shared" si="109"/>
        <v>0</v>
      </c>
      <c r="Q342" s="263" t="str">
        <f t="shared" si="98"/>
        <v>П26х15х4 б/п</v>
      </c>
      <c r="R342" s="377">
        <f t="shared" si="108"/>
        <v>2.19</v>
      </c>
      <c r="S342" s="320">
        <v>1.825</v>
      </c>
      <c r="T342" s="353">
        <f t="shared" si="106"/>
        <v>0</v>
      </c>
      <c r="U342" s="430">
        <v>5</v>
      </c>
      <c r="V342" s="20">
        <f t="shared" si="103"/>
        <v>0</v>
      </c>
      <c r="W342" s="52">
        <f t="shared" si="104"/>
        <v>0</v>
      </c>
      <c r="X342" s="430">
        <v>5</v>
      </c>
      <c r="Y342" s="18"/>
      <c r="Z342" s="18"/>
      <c r="AA342" s="18"/>
      <c r="AB342" s="418"/>
      <c r="AC342" s="200"/>
      <c r="AD342" s="160"/>
      <c r="AE342" s="163"/>
      <c r="AF342" s="171"/>
      <c r="AG342" s="192"/>
      <c r="AH342" s="110"/>
      <c r="AI342" s="125"/>
      <c r="AJ342" s="185"/>
      <c r="AK342" s="125"/>
      <c r="AL342" s="10"/>
      <c r="AM342" s="10"/>
    </row>
    <row r="343" spans="1:73" ht="26.25" hidden="1" customHeight="1" x14ac:dyDescent="0.25">
      <c r="B343" s="15"/>
      <c r="C343" s="6" t="s">
        <v>18</v>
      </c>
      <c r="D343" s="23" t="s">
        <v>40</v>
      </c>
      <c r="E343" s="107" t="s">
        <v>249</v>
      </c>
      <c r="F343" s="208">
        <v>541</v>
      </c>
      <c r="G343" s="12" t="s">
        <v>0</v>
      </c>
      <c r="H343" s="39"/>
      <c r="I343" s="309">
        <v>0</v>
      </c>
      <c r="J343" s="39">
        <f t="shared" si="102"/>
        <v>0</v>
      </c>
      <c r="K343" s="309">
        <f t="shared" si="107"/>
        <v>5.14</v>
      </c>
      <c r="L343" s="230"/>
      <c r="M343" s="158" t="s">
        <v>503</v>
      </c>
      <c r="N343" s="140"/>
      <c r="O343" s="39"/>
      <c r="P343" s="309">
        <f t="shared" si="109"/>
        <v>0</v>
      </c>
      <c r="Q343" s="403" t="str">
        <f t="shared" si="98"/>
        <v>П20х10х7,5</v>
      </c>
      <c r="R343" s="377">
        <f t="shared" si="108"/>
        <v>7.2</v>
      </c>
      <c r="S343" s="326">
        <v>6</v>
      </c>
      <c r="T343" s="353">
        <f t="shared" si="106"/>
        <v>0</v>
      </c>
      <c r="U343" s="430">
        <v>295</v>
      </c>
      <c r="V343" s="20">
        <f t="shared" si="103"/>
        <v>0</v>
      </c>
      <c r="W343" s="52">
        <f t="shared" si="104"/>
        <v>0</v>
      </c>
      <c r="X343" s="430">
        <f>240+55</f>
        <v>295</v>
      </c>
      <c r="Y343" s="18" t="s">
        <v>783</v>
      </c>
      <c r="Z343" s="18"/>
      <c r="AA343" s="18"/>
      <c r="AB343" s="418"/>
      <c r="AC343" s="168"/>
      <c r="AD343" s="450">
        <v>1.64</v>
      </c>
      <c r="AE343" s="165"/>
      <c r="AF343" s="160"/>
      <c r="AG343" s="192">
        <v>11.55</v>
      </c>
      <c r="AH343" s="110"/>
      <c r="AI343" s="125">
        <v>8</v>
      </c>
      <c r="AJ343" s="185">
        <f>X343*AD343</f>
        <v>483.8</v>
      </c>
      <c r="AK343" s="435"/>
      <c r="AL343" s="476"/>
      <c r="AM343" s="10"/>
    </row>
    <row r="344" spans="1:73" ht="26.25" customHeight="1" x14ac:dyDescent="0.25">
      <c r="B344" s="14">
        <v>105</v>
      </c>
      <c r="C344" s="6" t="s">
        <v>18</v>
      </c>
      <c r="D344" s="23" t="s">
        <v>40</v>
      </c>
      <c r="E344" s="107" t="s">
        <v>387</v>
      </c>
      <c r="F344" s="208">
        <v>1123</v>
      </c>
      <c r="G344" s="12" t="s">
        <v>0</v>
      </c>
      <c r="H344" s="39">
        <v>50</v>
      </c>
      <c r="I344" s="360">
        <v>253</v>
      </c>
      <c r="J344" s="39">
        <f t="shared" si="102"/>
        <v>0</v>
      </c>
      <c r="K344" s="309">
        <f t="shared" si="107"/>
        <v>5.0599999999999996</v>
      </c>
      <c r="L344" s="230"/>
      <c r="M344" s="64" t="s">
        <v>842</v>
      </c>
      <c r="N344" s="41"/>
      <c r="O344" s="39">
        <v>50</v>
      </c>
      <c r="P344" s="360">
        <f t="shared" si="109"/>
        <v>253</v>
      </c>
      <c r="Q344" s="51" t="str">
        <f t="shared" si="98"/>
        <v>П20х10х5</v>
      </c>
      <c r="R344" s="377">
        <f t="shared" si="108"/>
        <v>7.08</v>
      </c>
      <c r="S344" s="319">
        <v>5.9</v>
      </c>
      <c r="T344" s="353">
        <f t="shared" si="106"/>
        <v>0</v>
      </c>
      <c r="U344" s="20">
        <v>130</v>
      </c>
      <c r="V344" s="20">
        <f t="shared" si="103"/>
        <v>0</v>
      </c>
      <c r="W344" s="52">
        <f t="shared" si="104"/>
        <v>-50</v>
      </c>
      <c r="X344" s="20">
        <v>80</v>
      </c>
      <c r="Y344" s="20" t="s">
        <v>771</v>
      </c>
      <c r="Z344" s="20"/>
      <c r="AA344" s="20">
        <v>400</v>
      </c>
      <c r="AB344" s="417"/>
      <c r="AC344" s="168"/>
      <c r="AD344" s="450">
        <v>1.6</v>
      </c>
      <c r="AE344" s="165"/>
      <c r="AF344" s="160"/>
      <c r="AG344" s="192">
        <v>15.6</v>
      </c>
      <c r="AH344" s="110"/>
      <c r="AI344" s="125"/>
      <c r="AJ344" s="185">
        <f>X344*AD344</f>
        <v>128</v>
      </c>
      <c r="AK344" s="435"/>
      <c r="AL344" s="476"/>
      <c r="AM344" s="10"/>
    </row>
    <row r="345" spans="1:73" ht="26.25" hidden="1" customHeight="1" x14ac:dyDescent="0.25">
      <c r="B345" s="14"/>
      <c r="C345" s="6" t="s">
        <v>18</v>
      </c>
      <c r="D345" s="23" t="s">
        <v>40</v>
      </c>
      <c r="E345" s="107" t="s">
        <v>312</v>
      </c>
      <c r="F345" s="208"/>
      <c r="G345" s="14"/>
      <c r="H345" s="39"/>
      <c r="I345" s="309">
        <v>0</v>
      </c>
      <c r="J345" s="39">
        <f t="shared" si="102"/>
        <v>0</v>
      </c>
      <c r="K345" s="309">
        <f t="shared" si="107"/>
        <v>0</v>
      </c>
      <c r="L345" s="230"/>
      <c r="M345" s="273"/>
      <c r="N345" s="140"/>
      <c r="O345" s="39"/>
      <c r="P345" s="309">
        <f t="shared" si="109"/>
        <v>0</v>
      </c>
      <c r="Q345" s="262" t="str">
        <f t="shared" si="98"/>
        <v>П18х18х3</v>
      </c>
      <c r="R345" s="377">
        <f t="shared" si="108"/>
        <v>0</v>
      </c>
      <c r="S345" s="319">
        <v>0</v>
      </c>
      <c r="T345" s="353">
        <f t="shared" si="106"/>
        <v>0</v>
      </c>
      <c r="U345" s="70">
        <v>50</v>
      </c>
      <c r="V345" s="20">
        <f t="shared" si="103"/>
        <v>0</v>
      </c>
      <c r="W345" s="52">
        <f t="shared" si="104"/>
        <v>0</v>
      </c>
      <c r="X345" s="70">
        <v>50</v>
      </c>
      <c r="Y345" s="20" t="s">
        <v>395</v>
      </c>
      <c r="Z345" s="20"/>
      <c r="AA345" s="20"/>
      <c r="AB345" s="417"/>
      <c r="AC345" s="168"/>
      <c r="AD345" s="450">
        <v>0.75</v>
      </c>
      <c r="AE345" s="165"/>
      <c r="AF345" s="160"/>
      <c r="AG345" s="192">
        <v>7.5</v>
      </c>
      <c r="AH345" s="110"/>
      <c r="AI345" s="125"/>
      <c r="AJ345" s="185">
        <f>X345*AD345</f>
        <v>37.5</v>
      </c>
      <c r="AK345" s="435"/>
      <c r="AL345" s="476"/>
      <c r="AM345" s="10"/>
    </row>
    <row r="346" spans="1:73" ht="26.25" hidden="1" customHeight="1" x14ac:dyDescent="0.25">
      <c r="B346" s="14"/>
      <c r="C346" s="6" t="s">
        <v>18</v>
      </c>
      <c r="D346" s="23" t="s">
        <v>40</v>
      </c>
      <c r="E346" s="107" t="s">
        <v>254</v>
      </c>
      <c r="F346" s="208">
        <v>757</v>
      </c>
      <c r="G346" s="48" t="s">
        <v>0</v>
      </c>
      <c r="H346" s="39"/>
      <c r="I346" s="309">
        <v>0</v>
      </c>
      <c r="J346" s="39">
        <f t="shared" si="102"/>
        <v>0</v>
      </c>
      <c r="K346" s="309">
        <f t="shared" si="107"/>
        <v>4.63</v>
      </c>
      <c r="L346" s="230"/>
      <c r="M346" s="94" t="s">
        <v>718</v>
      </c>
      <c r="N346" s="140"/>
      <c r="O346" s="39"/>
      <c r="P346" s="309">
        <f t="shared" si="109"/>
        <v>0</v>
      </c>
      <c r="Q346" s="263" t="str">
        <f t="shared" si="98"/>
        <v>П26х19х3</v>
      </c>
      <c r="R346" s="377">
        <f t="shared" si="108"/>
        <v>6.48</v>
      </c>
      <c r="S346" s="319">
        <v>5.4</v>
      </c>
      <c r="T346" s="353">
        <f t="shared" si="106"/>
        <v>0</v>
      </c>
      <c r="U346" s="70">
        <v>2</v>
      </c>
      <c r="V346" s="20">
        <f t="shared" si="103"/>
        <v>0</v>
      </c>
      <c r="W346" s="52">
        <f t="shared" si="104"/>
        <v>0</v>
      </c>
      <c r="X346" s="70">
        <v>2</v>
      </c>
      <c r="Y346" s="20"/>
      <c r="Z346" s="20"/>
      <c r="AA346" s="20"/>
      <c r="AB346" s="417"/>
      <c r="AC346" s="168"/>
      <c r="AD346" s="450">
        <v>7.8</v>
      </c>
      <c r="AE346" s="165"/>
      <c r="AF346" s="160"/>
      <c r="AG346" s="192">
        <v>11</v>
      </c>
      <c r="AH346" s="110"/>
      <c r="AI346" s="125"/>
      <c r="AJ346" s="185">
        <f>X346*AD346</f>
        <v>15.6</v>
      </c>
      <c r="AK346" s="435"/>
      <c r="AL346" s="476"/>
      <c r="AM346" s="10"/>
    </row>
    <row r="347" spans="1:73" ht="26.25" hidden="1" customHeight="1" x14ac:dyDescent="0.25">
      <c r="B347" s="14"/>
      <c r="C347" s="6" t="s">
        <v>18</v>
      </c>
      <c r="D347" s="23" t="s">
        <v>40</v>
      </c>
      <c r="E347" s="107" t="s">
        <v>722</v>
      </c>
      <c r="F347" s="208">
        <v>1398</v>
      </c>
      <c r="G347" s="48"/>
      <c r="H347" s="39"/>
      <c r="I347" s="360">
        <v>0</v>
      </c>
      <c r="J347" s="39">
        <f t="shared" si="102"/>
        <v>0</v>
      </c>
      <c r="K347" s="309">
        <f t="shared" si="107"/>
        <v>38.57</v>
      </c>
      <c r="L347" s="230"/>
      <c r="M347" s="297" t="s">
        <v>806</v>
      </c>
      <c r="N347" s="140"/>
      <c r="O347" s="39"/>
      <c r="P347" s="360">
        <f t="shared" si="109"/>
        <v>0</v>
      </c>
      <c r="Q347" s="260" t="str">
        <f t="shared" si="98"/>
        <v>П31х35х8</v>
      </c>
      <c r="R347" s="377">
        <f t="shared" si="108"/>
        <v>54</v>
      </c>
      <c r="S347" s="319">
        <v>45</v>
      </c>
      <c r="T347" s="353">
        <f t="shared" si="106"/>
        <v>0</v>
      </c>
      <c r="U347" s="70"/>
      <c r="V347" s="20">
        <f t="shared" si="103"/>
        <v>0</v>
      </c>
      <c r="W347" s="52">
        <f t="shared" si="104"/>
        <v>0</v>
      </c>
      <c r="X347" s="70"/>
      <c r="Y347" s="20"/>
      <c r="Z347" s="20"/>
      <c r="AA347" s="20"/>
      <c r="AB347" s="417"/>
      <c r="AC347" s="168"/>
      <c r="AD347" s="450"/>
      <c r="AE347" s="165"/>
      <c r="AF347" s="160"/>
      <c r="AG347" s="192"/>
      <c r="AH347" s="110"/>
      <c r="AI347" s="125"/>
      <c r="AJ347" s="185"/>
      <c r="AK347" s="435"/>
      <c r="AL347" s="476"/>
      <c r="AM347" s="10"/>
    </row>
    <row r="348" spans="1:73" ht="26.25" hidden="1" customHeight="1" x14ac:dyDescent="0.25">
      <c r="B348" s="14"/>
      <c r="C348" s="6" t="s">
        <v>18</v>
      </c>
      <c r="D348" s="23" t="s">
        <v>40</v>
      </c>
      <c r="E348" s="87" t="s">
        <v>758</v>
      </c>
      <c r="F348" s="208">
        <v>1332</v>
      </c>
      <c r="G348" s="48"/>
      <c r="H348" s="39"/>
      <c r="I348" s="360">
        <v>0</v>
      </c>
      <c r="J348" s="39">
        <f t="shared" si="102"/>
        <v>0</v>
      </c>
      <c r="K348" s="309">
        <f t="shared" si="107"/>
        <v>8.14</v>
      </c>
      <c r="L348" s="230"/>
      <c r="M348" s="297" t="s">
        <v>807</v>
      </c>
      <c r="N348" s="140"/>
      <c r="O348" s="39"/>
      <c r="P348" s="360">
        <f t="shared" si="109"/>
        <v>0</v>
      </c>
      <c r="Q348" s="51" t="str">
        <f t="shared" si="98"/>
        <v>К25х5(10)х5</v>
      </c>
      <c r="R348" s="377">
        <f t="shared" si="108"/>
        <v>11.4</v>
      </c>
      <c r="S348" s="319">
        <v>9.5</v>
      </c>
      <c r="T348" s="353">
        <f t="shared" si="106"/>
        <v>0</v>
      </c>
      <c r="U348" s="70">
        <v>3</v>
      </c>
      <c r="V348" s="20">
        <f t="shared" si="103"/>
        <v>0</v>
      </c>
      <c r="W348" s="52">
        <f t="shared" si="104"/>
        <v>0</v>
      </c>
      <c r="X348" s="70">
        <v>3</v>
      </c>
      <c r="Y348" s="20"/>
      <c r="Z348" s="20"/>
      <c r="AA348" s="20"/>
      <c r="AB348" s="417"/>
      <c r="AC348" s="168"/>
      <c r="AD348" s="450"/>
      <c r="AE348" s="165"/>
      <c r="AF348" s="160"/>
      <c r="AG348" s="192"/>
      <c r="AH348" s="110"/>
      <c r="AI348" s="125"/>
      <c r="AJ348" s="185"/>
      <c r="AK348" s="435"/>
      <c r="AL348" s="476"/>
      <c r="AM348" s="10"/>
    </row>
    <row r="349" spans="1:73" ht="26.25" hidden="1" customHeight="1" x14ac:dyDescent="0.25">
      <c r="B349" s="14"/>
      <c r="C349" s="6" t="s">
        <v>18</v>
      </c>
      <c r="D349" s="23" t="s">
        <v>40</v>
      </c>
      <c r="E349" s="107" t="s">
        <v>381</v>
      </c>
      <c r="F349" s="208"/>
      <c r="G349" s="14"/>
      <c r="H349" s="39"/>
      <c r="I349" s="309">
        <v>0</v>
      </c>
      <c r="J349" s="39">
        <f t="shared" si="102"/>
        <v>0</v>
      </c>
      <c r="K349" s="309">
        <f t="shared" si="107"/>
        <v>0</v>
      </c>
      <c r="L349" s="230"/>
      <c r="M349" s="273"/>
      <c r="N349" s="140"/>
      <c r="O349" s="39"/>
      <c r="P349" s="309">
        <f t="shared" si="109"/>
        <v>0</v>
      </c>
      <c r="Q349" s="262" t="str">
        <f t="shared" si="98"/>
        <v xml:space="preserve">п30х16х3 R50 </v>
      </c>
      <c r="R349" s="377">
        <f t="shared" si="108"/>
        <v>0</v>
      </c>
      <c r="S349" s="319">
        <v>0</v>
      </c>
      <c r="T349" s="353">
        <f t="shared" si="106"/>
        <v>0</v>
      </c>
      <c r="U349" s="70">
        <v>160</v>
      </c>
      <c r="V349" s="20">
        <f t="shared" si="103"/>
        <v>0</v>
      </c>
      <c r="W349" s="52">
        <f t="shared" si="104"/>
        <v>0</v>
      </c>
      <c r="X349" s="70">
        <v>160</v>
      </c>
      <c r="Y349" s="20" t="s">
        <v>794</v>
      </c>
      <c r="Z349" s="20"/>
      <c r="AA349" s="20"/>
      <c r="AB349" s="417"/>
      <c r="AC349" s="168"/>
      <c r="AD349" s="450">
        <v>1.1000000000000001</v>
      </c>
      <c r="AE349" s="165"/>
      <c r="AF349" s="160"/>
      <c r="AG349" s="192">
        <v>11</v>
      </c>
      <c r="AH349" s="110"/>
      <c r="AI349" s="125"/>
      <c r="AJ349" s="185">
        <f>X349*AD349</f>
        <v>176</v>
      </c>
      <c r="AK349" s="435"/>
      <c r="AL349" s="476"/>
      <c r="AM349" s="10"/>
    </row>
    <row r="350" spans="1:73" ht="26.25" hidden="1" customHeight="1" x14ac:dyDescent="0.25">
      <c r="B350" s="14"/>
      <c r="C350" s="6" t="s">
        <v>18</v>
      </c>
      <c r="D350" s="23" t="s">
        <v>40</v>
      </c>
      <c r="E350" s="107" t="s">
        <v>446</v>
      </c>
      <c r="F350" s="208"/>
      <c r="G350" s="14"/>
      <c r="H350" s="39"/>
      <c r="I350" s="309">
        <v>0</v>
      </c>
      <c r="J350" s="39">
        <f t="shared" si="102"/>
        <v>0</v>
      </c>
      <c r="K350" s="309">
        <f t="shared" si="107"/>
        <v>0</v>
      </c>
      <c r="L350" s="230"/>
      <c r="M350" s="273"/>
      <c r="N350" s="140"/>
      <c r="O350" s="39"/>
      <c r="P350" s="309">
        <f t="shared" si="109"/>
        <v>0</v>
      </c>
      <c r="Q350" s="235" t="str">
        <f t="shared" si="98"/>
        <v>П5х2х20</v>
      </c>
      <c r="R350" s="377">
        <f t="shared" si="108"/>
        <v>0</v>
      </c>
      <c r="S350" s="339">
        <v>0</v>
      </c>
      <c r="T350" s="353">
        <f t="shared" si="106"/>
        <v>0</v>
      </c>
      <c r="U350" s="70">
        <v>10</v>
      </c>
      <c r="V350" s="20">
        <f t="shared" si="103"/>
        <v>0</v>
      </c>
      <c r="W350" s="52">
        <f t="shared" si="104"/>
        <v>0</v>
      </c>
      <c r="X350" s="70">
        <v>10</v>
      </c>
      <c r="Y350" s="20" t="s">
        <v>771</v>
      </c>
      <c r="Z350" s="20"/>
      <c r="AA350" s="20"/>
      <c r="AB350" s="417"/>
      <c r="AC350" s="168"/>
      <c r="AD350" s="450"/>
      <c r="AE350" s="165"/>
      <c r="AF350" s="160"/>
      <c r="AG350" s="192"/>
      <c r="AH350" s="110"/>
      <c r="AI350" s="125"/>
      <c r="AJ350" s="185"/>
      <c r="AK350" s="435"/>
      <c r="AL350" s="476"/>
      <c r="AM350" s="10"/>
    </row>
    <row r="351" spans="1:73" ht="26.25" hidden="1" customHeight="1" x14ac:dyDescent="0.25">
      <c r="B351" s="14"/>
      <c r="C351" s="6" t="s">
        <v>18</v>
      </c>
      <c r="D351" s="23" t="s">
        <v>40</v>
      </c>
      <c r="E351" s="1" t="s">
        <v>613</v>
      </c>
      <c r="F351" s="208">
        <v>1207</v>
      </c>
      <c r="G351" s="14"/>
      <c r="H351" s="39"/>
      <c r="I351" s="309">
        <v>0</v>
      </c>
      <c r="J351" s="39">
        <f t="shared" si="102"/>
        <v>0</v>
      </c>
      <c r="K351" s="309">
        <f t="shared" si="107"/>
        <v>34.29</v>
      </c>
      <c r="L351" s="230"/>
      <c r="M351" s="273"/>
      <c r="N351" s="140"/>
      <c r="O351" s="39"/>
      <c r="P351" s="309">
        <f t="shared" si="109"/>
        <v>0</v>
      </c>
      <c r="Q351" s="235" t="str">
        <f t="shared" si="98"/>
        <v>П30х10х4</v>
      </c>
      <c r="R351" s="377">
        <f t="shared" si="108"/>
        <v>48</v>
      </c>
      <c r="S351" s="319">
        <v>40</v>
      </c>
      <c r="T351" s="353">
        <f t="shared" si="106"/>
        <v>0</v>
      </c>
      <c r="U351" s="70">
        <v>73</v>
      </c>
      <c r="V351" s="20">
        <f t="shared" si="103"/>
        <v>0</v>
      </c>
      <c r="W351" s="52">
        <f t="shared" si="104"/>
        <v>0</v>
      </c>
      <c r="X351" s="70">
        <v>73</v>
      </c>
      <c r="Y351" s="20"/>
      <c r="Z351" s="20"/>
      <c r="AA351" s="20"/>
      <c r="AB351" s="417"/>
      <c r="AC351" s="168"/>
      <c r="AD351" s="450"/>
      <c r="AE351" s="165"/>
      <c r="AF351" s="160"/>
      <c r="AG351" s="192"/>
      <c r="AH351" s="110"/>
      <c r="AI351" s="125"/>
      <c r="AJ351" s="185"/>
      <c r="AK351" s="435"/>
      <c r="AL351" s="476"/>
      <c r="AM351" s="10"/>
    </row>
    <row r="352" spans="1:73" ht="26.25" hidden="1" customHeight="1" x14ac:dyDescent="0.25">
      <c r="B352" s="14"/>
      <c r="C352" s="6" t="s">
        <v>18</v>
      </c>
      <c r="D352" s="23" t="s">
        <v>40</v>
      </c>
      <c r="E352" s="107" t="s">
        <v>690</v>
      </c>
      <c r="F352" s="208">
        <v>1194</v>
      </c>
      <c r="G352" s="14"/>
      <c r="H352" s="39"/>
      <c r="I352" s="309">
        <v>0</v>
      </c>
      <c r="J352" s="39">
        <f t="shared" si="102"/>
        <v>0</v>
      </c>
      <c r="K352" s="309">
        <f t="shared" si="107"/>
        <v>3.13</v>
      </c>
      <c r="L352" s="230"/>
      <c r="M352" s="273"/>
      <c r="N352" s="140"/>
      <c r="O352" s="39"/>
      <c r="P352" s="309">
        <f t="shared" si="109"/>
        <v>0</v>
      </c>
      <c r="Q352" s="235" t="str">
        <f t="shared" si="98"/>
        <v>П30х16х10</v>
      </c>
      <c r="R352" s="377">
        <f t="shared" si="108"/>
        <v>4.38</v>
      </c>
      <c r="S352" s="319">
        <v>3.65</v>
      </c>
      <c r="T352" s="353">
        <f t="shared" si="106"/>
        <v>0</v>
      </c>
      <c r="U352" s="70">
        <v>9</v>
      </c>
      <c r="V352" s="20">
        <f t="shared" si="103"/>
        <v>0</v>
      </c>
      <c r="W352" s="52">
        <f t="shared" si="104"/>
        <v>0</v>
      </c>
      <c r="X352" s="70">
        <v>9</v>
      </c>
      <c r="Y352" s="20"/>
      <c r="Z352" s="20"/>
      <c r="AA352" s="20"/>
      <c r="AB352" s="417"/>
      <c r="AC352" s="168"/>
      <c r="AD352" s="450"/>
      <c r="AE352" s="165"/>
      <c r="AF352" s="160"/>
      <c r="AG352" s="192"/>
      <c r="AH352" s="110"/>
      <c r="AI352" s="125"/>
      <c r="AJ352" s="185"/>
      <c r="AK352" s="435"/>
      <c r="AL352" s="476"/>
      <c r="AM352" s="10"/>
    </row>
    <row r="353" spans="1:73" ht="26.25" hidden="1" customHeight="1" x14ac:dyDescent="0.25">
      <c r="B353" s="14"/>
      <c r="C353" s="6" t="s">
        <v>18</v>
      </c>
      <c r="D353" s="23" t="s">
        <v>40</v>
      </c>
      <c r="E353" s="107" t="s">
        <v>584</v>
      </c>
      <c r="F353" s="208">
        <v>1345</v>
      </c>
      <c r="G353" s="14"/>
      <c r="H353" s="39"/>
      <c r="I353" s="309">
        <v>0</v>
      </c>
      <c r="J353" s="39">
        <f t="shared" si="102"/>
        <v>0</v>
      </c>
      <c r="K353" s="309">
        <f t="shared" si="107"/>
        <v>3</v>
      </c>
      <c r="L353" s="230"/>
      <c r="M353" s="155" t="s">
        <v>593</v>
      </c>
      <c r="N353" s="140"/>
      <c r="O353" s="39"/>
      <c r="P353" s="309">
        <f t="shared" si="109"/>
        <v>0</v>
      </c>
      <c r="Q353" s="235" t="str">
        <f t="shared" si="98"/>
        <v>П25х14х7</v>
      </c>
      <c r="R353" s="377">
        <f t="shared" si="108"/>
        <v>4.2</v>
      </c>
      <c r="S353" s="319">
        <v>3.5</v>
      </c>
      <c r="T353" s="353">
        <f t="shared" si="106"/>
        <v>0</v>
      </c>
      <c r="U353" s="70">
        <v>785</v>
      </c>
      <c r="V353" s="20">
        <f t="shared" si="103"/>
        <v>0</v>
      </c>
      <c r="W353" s="52">
        <f t="shared" si="104"/>
        <v>0</v>
      </c>
      <c r="X353" s="70">
        <f>126*6+29</f>
        <v>785</v>
      </c>
      <c r="Y353" s="20" t="s">
        <v>784</v>
      </c>
      <c r="Z353" s="20"/>
      <c r="AA353" s="20">
        <v>400</v>
      </c>
      <c r="AB353" s="417"/>
      <c r="AC353" s="168"/>
      <c r="AD353" s="450">
        <v>0.60199999999999998</v>
      </c>
      <c r="AE353" s="165"/>
      <c r="AF353" s="160"/>
      <c r="AG353" s="192"/>
      <c r="AH353" s="110"/>
      <c r="AI353" s="125"/>
      <c r="AJ353" s="185"/>
      <c r="AK353" s="435"/>
      <c r="AL353" s="476"/>
      <c r="AM353" s="10"/>
    </row>
    <row r="354" spans="1:73" ht="26.25" hidden="1" customHeight="1" x14ac:dyDescent="0.25">
      <c r="B354" s="14"/>
      <c r="C354" s="6" t="s">
        <v>18</v>
      </c>
      <c r="D354" s="23" t="s">
        <v>40</v>
      </c>
      <c r="E354" s="107" t="s">
        <v>222</v>
      </c>
      <c r="F354" s="208"/>
      <c r="G354" s="14"/>
      <c r="H354" s="39"/>
      <c r="I354" s="309">
        <v>0</v>
      </c>
      <c r="J354" s="39">
        <f t="shared" si="102"/>
        <v>0</v>
      </c>
      <c r="K354" s="309">
        <f t="shared" si="107"/>
        <v>0</v>
      </c>
      <c r="L354" s="230"/>
      <c r="M354" s="273"/>
      <c r="N354" s="140"/>
      <c r="O354" s="39"/>
      <c r="P354" s="309">
        <f t="shared" si="109"/>
        <v>0</v>
      </c>
      <c r="Q354" s="235" t="str">
        <f t="shared" si="98"/>
        <v>П40х20х10</v>
      </c>
      <c r="R354" s="377">
        <f t="shared" si="108"/>
        <v>0</v>
      </c>
      <c r="S354" s="326">
        <v>0</v>
      </c>
      <c r="T354" s="353">
        <f t="shared" si="106"/>
        <v>0</v>
      </c>
      <c r="U354" s="70">
        <v>60</v>
      </c>
      <c r="V354" s="20">
        <f t="shared" si="103"/>
        <v>0</v>
      </c>
      <c r="W354" s="52">
        <f t="shared" si="104"/>
        <v>0</v>
      </c>
      <c r="X354" s="70">
        <v>60</v>
      </c>
      <c r="Y354" s="20" t="s">
        <v>797</v>
      </c>
      <c r="Z354" s="20"/>
      <c r="AA354" s="20"/>
      <c r="AB354" s="417"/>
      <c r="AC354" s="168"/>
      <c r="AD354" s="450">
        <v>4.5</v>
      </c>
      <c r="AE354" s="165"/>
      <c r="AF354" s="160"/>
      <c r="AG354" s="192">
        <v>45</v>
      </c>
      <c r="AH354" s="110"/>
      <c r="AI354" s="125"/>
      <c r="AJ354" s="185">
        <f t="shared" ref="AJ354:AJ367" si="110">X354*AD354</f>
        <v>270</v>
      </c>
      <c r="AK354" s="435"/>
      <c r="AL354" s="476"/>
      <c r="AM354" s="10"/>
    </row>
    <row r="355" spans="1:73" s="4" customFormat="1" ht="26.25" hidden="1" customHeight="1" x14ac:dyDescent="0.25">
      <c r="A355" s="10"/>
      <c r="B355" s="14"/>
      <c r="C355" s="6" t="s">
        <v>18</v>
      </c>
      <c r="D355" s="23" t="s">
        <v>40</v>
      </c>
      <c r="E355" s="107" t="s">
        <v>633</v>
      </c>
      <c r="F355" s="208"/>
      <c r="G355" s="14"/>
      <c r="H355" s="39"/>
      <c r="I355" s="309">
        <v>0</v>
      </c>
      <c r="J355" s="39">
        <f t="shared" si="102"/>
        <v>0</v>
      </c>
      <c r="K355" s="309">
        <f t="shared" si="107"/>
        <v>0</v>
      </c>
      <c r="L355" s="230"/>
      <c r="M355" s="273"/>
      <c r="N355" s="140"/>
      <c r="O355" s="39"/>
      <c r="P355" s="309">
        <f t="shared" si="109"/>
        <v>0</v>
      </c>
      <c r="Q355" s="235" t="str">
        <f t="shared" si="98"/>
        <v>П25х8х6</v>
      </c>
      <c r="R355" s="377">
        <f t="shared" si="108"/>
        <v>0</v>
      </c>
      <c r="S355" s="319">
        <v>0</v>
      </c>
      <c r="T355" s="353">
        <f t="shared" si="106"/>
        <v>0</v>
      </c>
      <c r="U355" s="70">
        <v>2</v>
      </c>
      <c r="V355" s="20">
        <f t="shared" si="103"/>
        <v>0</v>
      </c>
      <c r="W355" s="52">
        <f t="shared" si="104"/>
        <v>0</v>
      </c>
      <c r="X355" s="70">
        <v>2</v>
      </c>
      <c r="Y355" s="20"/>
      <c r="Z355" s="20"/>
      <c r="AA355" s="20"/>
      <c r="AB355" s="417"/>
      <c r="AC355" s="200"/>
      <c r="AD355" s="160">
        <v>2.4</v>
      </c>
      <c r="AE355" s="165"/>
      <c r="AF355" s="160"/>
      <c r="AG355" s="192">
        <v>23.4</v>
      </c>
      <c r="AH355" s="110"/>
      <c r="AI355" s="125"/>
      <c r="AJ355" s="185">
        <f t="shared" si="110"/>
        <v>4.8</v>
      </c>
      <c r="AK355" s="125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</row>
    <row r="356" spans="1:73" ht="26.25" hidden="1" customHeight="1" x14ac:dyDescent="0.25">
      <c r="B356" s="14"/>
      <c r="C356" s="6" t="s">
        <v>18</v>
      </c>
      <c r="D356" s="23" t="s">
        <v>40</v>
      </c>
      <c r="E356" s="112" t="s">
        <v>320</v>
      </c>
      <c r="F356" s="208">
        <v>912</v>
      </c>
      <c r="G356" s="13" t="s">
        <v>0</v>
      </c>
      <c r="H356" s="39"/>
      <c r="I356" s="309">
        <v>0</v>
      </c>
      <c r="J356" s="39">
        <f t="shared" si="102"/>
        <v>0</v>
      </c>
      <c r="K356" s="309">
        <f t="shared" si="107"/>
        <v>10.29</v>
      </c>
      <c r="L356" s="230"/>
      <c r="M356" s="273"/>
      <c r="N356" s="140"/>
      <c r="O356" s="39"/>
      <c r="P356" s="309">
        <f t="shared" si="109"/>
        <v>0</v>
      </c>
      <c r="Q356" s="235" t="str">
        <f t="shared" si="98"/>
        <v>П31х26х4</v>
      </c>
      <c r="R356" s="377">
        <f t="shared" si="108"/>
        <v>14.4</v>
      </c>
      <c r="S356" s="319">
        <v>12</v>
      </c>
      <c r="T356" s="353">
        <f t="shared" si="106"/>
        <v>0</v>
      </c>
      <c r="U356" s="70">
        <v>18</v>
      </c>
      <c r="V356" s="20">
        <f t="shared" si="103"/>
        <v>0</v>
      </c>
      <c r="W356" s="52">
        <f t="shared" si="104"/>
        <v>0</v>
      </c>
      <c r="X356" s="70">
        <v>18</v>
      </c>
      <c r="Y356" s="20"/>
      <c r="Z356" s="20"/>
      <c r="AA356" s="20"/>
      <c r="AB356" s="417"/>
      <c r="AC356" s="168"/>
      <c r="AD356" s="450">
        <v>3.2</v>
      </c>
      <c r="AE356" s="165"/>
      <c r="AF356" s="160"/>
      <c r="AG356" s="192">
        <v>24</v>
      </c>
      <c r="AH356" s="110"/>
      <c r="AI356" s="125"/>
      <c r="AJ356" s="185">
        <f t="shared" si="110"/>
        <v>57.6</v>
      </c>
      <c r="AK356" s="435"/>
      <c r="AL356" s="476"/>
      <c r="AM356" s="10"/>
    </row>
    <row r="357" spans="1:73" ht="26.25" hidden="1" customHeight="1" x14ac:dyDescent="0.25">
      <c r="B357" s="14"/>
      <c r="C357" s="6" t="s">
        <v>18</v>
      </c>
      <c r="D357" s="23" t="s">
        <v>40</v>
      </c>
      <c r="E357" s="107" t="s">
        <v>305</v>
      </c>
      <c r="F357" s="208">
        <v>860</v>
      </c>
      <c r="G357" s="14"/>
      <c r="H357" s="39"/>
      <c r="I357" s="309">
        <v>0</v>
      </c>
      <c r="J357" s="39">
        <f t="shared" ref="J357:J373" si="111">N357+O357-H357</f>
        <v>0</v>
      </c>
      <c r="K357" s="309">
        <f t="shared" si="107"/>
        <v>2.83</v>
      </c>
      <c r="L357" s="230">
        <f>K357*J650</f>
        <v>0</v>
      </c>
      <c r="M357" s="273"/>
      <c r="N357" s="140"/>
      <c r="O357" s="39"/>
      <c r="P357" s="309">
        <f t="shared" si="109"/>
        <v>0</v>
      </c>
      <c r="Q357" s="235" t="str">
        <f t="shared" si="98"/>
        <v>П41,5х23х1,5</v>
      </c>
      <c r="R357" s="377">
        <f t="shared" si="108"/>
        <v>3.96</v>
      </c>
      <c r="S357" s="319">
        <v>3.3</v>
      </c>
      <c r="T357" s="353">
        <f t="shared" si="106"/>
        <v>0</v>
      </c>
      <c r="U357" s="70">
        <v>270</v>
      </c>
      <c r="V357" s="20">
        <f t="shared" ref="V357:V373" si="112">N357</f>
        <v>0</v>
      </c>
      <c r="W357" s="52">
        <f t="shared" ref="W357:W368" si="113">X357-U357+V357</f>
        <v>0</v>
      </c>
      <c r="X357" s="70">
        <v>270</v>
      </c>
      <c r="Y357" s="20" t="s">
        <v>786</v>
      </c>
      <c r="Z357" s="20"/>
      <c r="AA357" s="20"/>
      <c r="AB357" s="417"/>
      <c r="AC357" s="168"/>
      <c r="AD357" s="450">
        <v>1.1000000000000001</v>
      </c>
      <c r="AE357" s="164"/>
      <c r="AF357" s="160"/>
      <c r="AG357" s="176">
        <v>10.7</v>
      </c>
      <c r="AH357" s="120"/>
      <c r="AI357" s="125"/>
      <c r="AJ357" s="185">
        <f t="shared" si="110"/>
        <v>297</v>
      </c>
      <c r="AK357" s="435"/>
      <c r="AL357" s="476"/>
      <c r="AM357" s="10"/>
    </row>
    <row r="358" spans="1:73" ht="26.25" hidden="1" customHeight="1" x14ac:dyDescent="0.25">
      <c r="B358" s="14"/>
      <c r="C358" s="6" t="s">
        <v>18</v>
      </c>
      <c r="D358" s="23" t="s">
        <v>40</v>
      </c>
      <c r="E358" s="107" t="s">
        <v>382</v>
      </c>
      <c r="F358" s="208"/>
      <c r="G358" s="14"/>
      <c r="H358" s="39"/>
      <c r="I358" s="309">
        <v>0</v>
      </c>
      <c r="J358" s="39">
        <f t="shared" si="111"/>
        <v>0</v>
      </c>
      <c r="K358" s="309">
        <f t="shared" si="107"/>
        <v>0</v>
      </c>
      <c r="L358" s="230"/>
      <c r="M358" s="273"/>
      <c r="N358" s="140"/>
      <c r="O358" s="39"/>
      <c r="P358" s="309">
        <f t="shared" si="109"/>
        <v>0</v>
      </c>
      <c r="Q358" s="235" t="str">
        <f t="shared" si="98"/>
        <v>П40х40х2</v>
      </c>
      <c r="R358" s="377">
        <f t="shared" si="108"/>
        <v>0</v>
      </c>
      <c r="S358" s="319">
        <v>0</v>
      </c>
      <c r="T358" s="353">
        <f t="shared" si="106"/>
        <v>0</v>
      </c>
      <c r="U358" s="70">
        <v>110</v>
      </c>
      <c r="V358" s="20">
        <f t="shared" si="112"/>
        <v>0</v>
      </c>
      <c r="W358" s="52">
        <f t="shared" si="113"/>
        <v>0</v>
      </c>
      <c r="X358" s="70">
        <v>110</v>
      </c>
      <c r="Y358" s="20" t="s">
        <v>771</v>
      </c>
      <c r="Z358" s="20"/>
      <c r="AA358" s="20"/>
      <c r="AB358" s="417"/>
      <c r="AC358" s="168"/>
      <c r="AD358" s="450">
        <v>2.4</v>
      </c>
      <c r="AE358" s="164"/>
      <c r="AF358" s="160"/>
      <c r="AG358" s="176">
        <v>24</v>
      </c>
      <c r="AH358" s="120"/>
      <c r="AI358" s="125"/>
      <c r="AJ358" s="185">
        <f t="shared" si="110"/>
        <v>264</v>
      </c>
      <c r="AK358" s="435"/>
      <c r="AL358" s="476"/>
      <c r="AM358" s="10"/>
    </row>
    <row r="359" spans="1:73" ht="26.25" hidden="1" customHeight="1" thickBot="1" x14ac:dyDescent="0.3">
      <c r="B359" s="14"/>
      <c r="C359" s="6" t="s">
        <v>18</v>
      </c>
      <c r="D359" s="23" t="s">
        <v>40</v>
      </c>
      <c r="E359" s="107" t="s">
        <v>314</v>
      </c>
      <c r="F359" s="208">
        <v>1393</v>
      </c>
      <c r="G359" s="14"/>
      <c r="H359" s="39"/>
      <c r="I359" s="309">
        <v>0</v>
      </c>
      <c r="J359" s="39">
        <f t="shared" si="111"/>
        <v>0</v>
      </c>
      <c r="K359" s="309">
        <f t="shared" si="107"/>
        <v>6.43</v>
      </c>
      <c r="L359" s="230"/>
      <c r="M359" s="155" t="s">
        <v>717</v>
      </c>
      <c r="N359" s="140"/>
      <c r="O359" s="39"/>
      <c r="P359" s="309">
        <f t="shared" si="109"/>
        <v>0</v>
      </c>
      <c r="Q359" s="263" t="str">
        <f t="shared" si="98"/>
        <v>П30х20х10</v>
      </c>
      <c r="R359" s="377">
        <f t="shared" si="108"/>
        <v>9</v>
      </c>
      <c r="S359" s="319">
        <v>7.5</v>
      </c>
      <c r="T359" s="353">
        <f t="shared" si="106"/>
        <v>0</v>
      </c>
      <c r="U359" s="70">
        <v>29</v>
      </c>
      <c r="V359" s="20">
        <f t="shared" si="112"/>
        <v>0</v>
      </c>
      <c r="W359" s="52">
        <f t="shared" si="113"/>
        <v>0</v>
      </c>
      <c r="X359" s="70">
        <v>29</v>
      </c>
      <c r="Y359" s="20" t="s">
        <v>783</v>
      </c>
      <c r="Z359" s="20"/>
      <c r="AA359" s="20"/>
      <c r="AB359" s="417"/>
      <c r="AC359" s="168"/>
      <c r="AD359" s="450">
        <v>1.3</v>
      </c>
      <c r="AE359" s="164"/>
      <c r="AF359" s="160"/>
      <c r="AG359" s="176">
        <v>13.2</v>
      </c>
      <c r="AH359" s="120"/>
      <c r="AI359" s="125"/>
      <c r="AJ359" s="185">
        <f t="shared" si="110"/>
        <v>37.700000000000003</v>
      </c>
      <c r="AK359" s="435"/>
      <c r="AL359" s="476"/>
      <c r="AM359" s="10"/>
    </row>
    <row r="360" spans="1:73" ht="26.25" hidden="1" customHeight="1" thickBot="1" x14ac:dyDescent="0.3">
      <c r="B360" s="14"/>
      <c r="C360" s="6" t="s">
        <v>18</v>
      </c>
      <c r="D360" s="23" t="s">
        <v>40</v>
      </c>
      <c r="E360" s="107" t="s">
        <v>386</v>
      </c>
      <c r="F360" s="208">
        <v>1257</v>
      </c>
      <c r="G360" s="12" t="s">
        <v>0</v>
      </c>
      <c r="H360" s="39"/>
      <c r="I360" s="309">
        <v>0</v>
      </c>
      <c r="J360" s="39">
        <f t="shared" si="111"/>
        <v>0</v>
      </c>
      <c r="K360" s="309">
        <f t="shared" si="107"/>
        <v>11.06</v>
      </c>
      <c r="L360" s="230">
        <f>K360*J653</f>
        <v>0</v>
      </c>
      <c r="M360" s="158" t="s">
        <v>504</v>
      </c>
      <c r="N360" s="140"/>
      <c r="O360" s="39"/>
      <c r="P360" s="309">
        <f t="shared" si="109"/>
        <v>0</v>
      </c>
      <c r="Q360" s="265" t="str">
        <f t="shared" si="98"/>
        <v>П40х10х10</v>
      </c>
      <c r="R360" s="377">
        <f t="shared" si="108"/>
        <v>15.49</v>
      </c>
      <c r="S360" s="319">
        <v>12.912000000000001</v>
      </c>
      <c r="T360" s="353">
        <f t="shared" si="106"/>
        <v>0</v>
      </c>
      <c r="U360" s="70">
        <v>9</v>
      </c>
      <c r="V360" s="20">
        <f t="shared" si="112"/>
        <v>0</v>
      </c>
      <c r="W360" s="52">
        <f t="shared" si="113"/>
        <v>0</v>
      </c>
      <c r="X360" s="70">
        <v>9</v>
      </c>
      <c r="Y360" s="20"/>
      <c r="Z360" s="20"/>
      <c r="AA360" s="20"/>
      <c r="AB360" s="417"/>
      <c r="AC360" s="168"/>
      <c r="AD360" s="450">
        <v>3</v>
      </c>
      <c r="AE360" s="164"/>
      <c r="AF360" s="160"/>
      <c r="AG360" s="176">
        <v>30</v>
      </c>
      <c r="AH360" s="120"/>
      <c r="AI360" s="125"/>
      <c r="AJ360" s="185">
        <f t="shared" si="110"/>
        <v>27</v>
      </c>
      <c r="AK360" s="435"/>
      <c r="AL360" s="476"/>
      <c r="AM360" s="10"/>
    </row>
    <row r="361" spans="1:73" ht="26.25" hidden="1" customHeight="1" x14ac:dyDescent="0.3">
      <c r="B361" s="14"/>
      <c r="C361" s="6" t="s">
        <v>18</v>
      </c>
      <c r="D361" s="23" t="s">
        <v>40</v>
      </c>
      <c r="E361" s="106" t="s">
        <v>370</v>
      </c>
      <c r="F361" s="208">
        <v>1488</v>
      </c>
      <c r="G361" s="14"/>
      <c r="H361" s="39"/>
      <c r="I361" s="309">
        <v>0</v>
      </c>
      <c r="J361" s="39">
        <f t="shared" si="111"/>
        <v>0</v>
      </c>
      <c r="K361" s="309">
        <f t="shared" si="107"/>
        <v>5.14</v>
      </c>
      <c r="L361" s="230"/>
      <c r="M361" s="47" t="s">
        <v>843</v>
      </c>
      <c r="N361" s="140"/>
      <c r="O361" s="39"/>
      <c r="P361" s="309">
        <f t="shared" si="109"/>
        <v>0</v>
      </c>
      <c r="Q361" s="262" t="str">
        <f t="shared" si="98"/>
        <v>П40х10х5</v>
      </c>
      <c r="R361" s="377">
        <f t="shared" si="108"/>
        <v>7.2</v>
      </c>
      <c r="S361" s="319">
        <v>6</v>
      </c>
      <c r="T361" s="353">
        <f t="shared" si="106"/>
        <v>0</v>
      </c>
      <c r="U361" s="431"/>
      <c r="V361" s="20">
        <f t="shared" si="112"/>
        <v>0</v>
      </c>
      <c r="W361" s="52">
        <f t="shared" si="113"/>
        <v>0</v>
      </c>
      <c r="X361" s="431"/>
      <c r="Y361" s="200" t="s">
        <v>795</v>
      </c>
      <c r="Z361" s="74"/>
      <c r="AA361" s="74"/>
      <c r="AB361" s="422"/>
      <c r="AC361" s="168"/>
      <c r="AD361" s="450">
        <v>2.68</v>
      </c>
      <c r="AE361" s="164"/>
      <c r="AF361" s="160"/>
      <c r="AG361" s="176">
        <v>15</v>
      </c>
      <c r="AH361" s="120"/>
      <c r="AI361" s="125"/>
      <c r="AJ361" s="185">
        <f t="shared" si="110"/>
        <v>0</v>
      </c>
      <c r="AK361" s="435"/>
      <c r="AL361" s="476"/>
      <c r="AM361" s="10"/>
    </row>
    <row r="362" spans="1:73" ht="26.25" hidden="1" customHeight="1" x14ac:dyDescent="0.25">
      <c r="B362" s="19"/>
      <c r="C362" s="6" t="s">
        <v>18</v>
      </c>
      <c r="D362" s="23" t="s">
        <v>40</v>
      </c>
      <c r="E362" s="106" t="s">
        <v>202</v>
      </c>
      <c r="F362" s="385" t="s">
        <v>219</v>
      </c>
      <c r="G362" s="48" t="s">
        <v>0</v>
      </c>
      <c r="H362" s="39"/>
      <c r="I362" s="360">
        <v>0</v>
      </c>
      <c r="J362" s="39">
        <f t="shared" si="111"/>
        <v>0</v>
      </c>
      <c r="K362" s="309">
        <v>21.43</v>
      </c>
      <c r="L362" s="230">
        <f>K362*J655</f>
        <v>0</v>
      </c>
      <c r="M362" s="363" t="s">
        <v>518</v>
      </c>
      <c r="N362" s="141"/>
      <c r="O362" s="39"/>
      <c r="P362" s="360">
        <f t="shared" si="109"/>
        <v>0</v>
      </c>
      <c r="Q362" s="235" t="str">
        <f t="shared" si="98"/>
        <v>П40х40х8</v>
      </c>
      <c r="R362" s="377">
        <f t="shared" si="108"/>
        <v>30</v>
      </c>
      <c r="S362" s="319">
        <v>25</v>
      </c>
      <c r="T362" s="353">
        <f t="shared" si="106"/>
        <v>0</v>
      </c>
      <c r="U362" s="70">
        <v>7</v>
      </c>
      <c r="V362" s="20">
        <f t="shared" si="112"/>
        <v>0</v>
      </c>
      <c r="W362" s="52">
        <f t="shared" si="113"/>
        <v>0</v>
      </c>
      <c r="X362" s="70">
        <v>7</v>
      </c>
      <c r="Y362" s="20" t="s">
        <v>783</v>
      </c>
      <c r="Z362" s="20"/>
      <c r="AA362" s="20">
        <v>222</v>
      </c>
      <c r="AB362" s="417"/>
      <c r="AC362" s="168"/>
      <c r="AD362" s="450">
        <v>6.15</v>
      </c>
      <c r="AE362" s="165"/>
      <c r="AF362" s="160"/>
      <c r="AG362" s="192">
        <v>100</v>
      </c>
      <c r="AH362" s="110"/>
      <c r="AI362" s="125"/>
      <c r="AJ362" s="185">
        <f t="shared" si="110"/>
        <v>43.1</v>
      </c>
      <c r="AK362" s="435"/>
      <c r="AL362" s="476"/>
      <c r="AM362" s="10"/>
    </row>
    <row r="363" spans="1:73" ht="36" hidden="1" customHeight="1" x14ac:dyDescent="0.25">
      <c r="B363" s="19"/>
      <c r="C363" s="6" t="s">
        <v>18</v>
      </c>
      <c r="D363" s="23" t="s">
        <v>40</v>
      </c>
      <c r="E363" s="84" t="s">
        <v>253</v>
      </c>
      <c r="F363" s="393" t="s">
        <v>258</v>
      </c>
      <c r="G363" s="48" t="s">
        <v>0</v>
      </c>
      <c r="H363" s="39"/>
      <c r="I363" s="309">
        <v>0</v>
      </c>
      <c r="J363" s="39">
        <f t="shared" si="111"/>
        <v>0</v>
      </c>
      <c r="K363" s="309">
        <f t="shared" ref="K363:K376" si="114">R363/1.4</f>
        <v>25.71</v>
      </c>
      <c r="L363" s="230">
        <f>K363*J656</f>
        <v>0</v>
      </c>
      <c r="M363" s="117" t="s">
        <v>259</v>
      </c>
      <c r="N363" s="141"/>
      <c r="O363" s="39"/>
      <c r="P363" s="309">
        <f t="shared" si="109"/>
        <v>0</v>
      </c>
      <c r="Q363" s="235" t="str">
        <f t="shared" si="98"/>
        <v>П40х40х10</v>
      </c>
      <c r="R363" s="377">
        <f t="shared" si="108"/>
        <v>36</v>
      </c>
      <c r="S363" s="339">
        <v>30</v>
      </c>
      <c r="T363" s="353">
        <f t="shared" si="106"/>
        <v>0</v>
      </c>
      <c r="U363" s="70">
        <v>9</v>
      </c>
      <c r="V363" s="20">
        <f t="shared" si="112"/>
        <v>0</v>
      </c>
      <c r="W363" s="52">
        <f t="shared" si="113"/>
        <v>0</v>
      </c>
      <c r="X363" s="70">
        <v>9</v>
      </c>
      <c r="Y363" s="542" t="s">
        <v>798</v>
      </c>
      <c r="Z363" s="20"/>
      <c r="AA363" s="20"/>
      <c r="AB363" s="417"/>
      <c r="AC363" s="168"/>
      <c r="AD363" s="450">
        <v>12.5</v>
      </c>
      <c r="AE363" s="165"/>
      <c r="AF363" s="160"/>
      <c r="AG363" s="192">
        <v>125</v>
      </c>
      <c r="AH363" s="110"/>
      <c r="AI363" s="125"/>
      <c r="AJ363" s="185">
        <f t="shared" si="110"/>
        <v>112.5</v>
      </c>
      <c r="AK363" s="435"/>
      <c r="AL363" s="476"/>
      <c r="AM363" s="10"/>
    </row>
    <row r="364" spans="1:73" s="4" customFormat="1" ht="26.25" hidden="1" customHeight="1" x14ac:dyDescent="0.25">
      <c r="A364" s="10"/>
      <c r="B364" s="19"/>
      <c r="C364" s="6" t="s">
        <v>18</v>
      </c>
      <c r="D364" s="23" t="s">
        <v>40</v>
      </c>
      <c r="E364" s="84" t="s">
        <v>202</v>
      </c>
      <c r="F364" s="393" t="s">
        <v>626</v>
      </c>
      <c r="G364" s="48" t="s">
        <v>0</v>
      </c>
      <c r="H364" s="39"/>
      <c r="I364" s="309">
        <v>0</v>
      </c>
      <c r="J364" s="39">
        <f t="shared" si="111"/>
        <v>0</v>
      </c>
      <c r="K364" s="309">
        <f t="shared" si="114"/>
        <v>43.71</v>
      </c>
      <c r="L364" s="230">
        <f>K364*J657</f>
        <v>0</v>
      </c>
      <c r="M364" s="155" t="s">
        <v>631</v>
      </c>
      <c r="N364" s="141"/>
      <c r="O364" s="39"/>
      <c r="P364" s="309">
        <f t="shared" si="109"/>
        <v>0</v>
      </c>
      <c r="Q364" s="235" t="str">
        <f t="shared" si="98"/>
        <v>П40х40х8</v>
      </c>
      <c r="R364" s="306">
        <f t="shared" si="108"/>
        <v>61.2</v>
      </c>
      <c r="S364" s="319">
        <v>51</v>
      </c>
      <c r="T364" s="353">
        <f t="shared" si="106"/>
        <v>0</v>
      </c>
      <c r="U364" s="70">
        <v>24</v>
      </c>
      <c r="V364" s="20">
        <f t="shared" si="112"/>
        <v>0</v>
      </c>
      <c r="W364" s="52">
        <f t="shared" si="113"/>
        <v>0</v>
      </c>
      <c r="X364" s="70">
        <v>24</v>
      </c>
      <c r="Y364" s="20" t="s">
        <v>796</v>
      </c>
      <c r="Z364" s="20"/>
      <c r="AA364" s="20"/>
      <c r="AB364" s="417"/>
      <c r="AC364" s="200"/>
      <c r="AD364" s="160">
        <v>7.8</v>
      </c>
      <c r="AE364" s="165"/>
      <c r="AF364" s="160"/>
      <c r="AG364" s="192">
        <v>61.6</v>
      </c>
      <c r="AH364" s="110"/>
      <c r="AI364" s="125"/>
      <c r="AJ364" s="185">
        <f t="shared" si="110"/>
        <v>187.2</v>
      </c>
      <c r="AK364" s="125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1:73" ht="26.25" hidden="1" customHeight="1" x14ac:dyDescent="0.25">
      <c r="B365" s="19"/>
      <c r="C365" s="6" t="s">
        <v>18</v>
      </c>
      <c r="D365" s="23" t="s">
        <v>40</v>
      </c>
      <c r="E365" s="106" t="s">
        <v>662</v>
      </c>
      <c r="F365" s="385" t="s">
        <v>200</v>
      </c>
      <c r="G365" s="48" t="s">
        <v>0</v>
      </c>
      <c r="H365" s="39"/>
      <c r="I365" s="309">
        <v>0</v>
      </c>
      <c r="J365" s="39">
        <f t="shared" si="111"/>
        <v>0</v>
      </c>
      <c r="K365" s="309">
        <f t="shared" si="114"/>
        <v>45.43</v>
      </c>
      <c r="L365" s="230">
        <f>K365*J658</f>
        <v>0</v>
      </c>
      <c r="M365" s="72" t="s">
        <v>206</v>
      </c>
      <c r="N365" s="141"/>
      <c r="O365" s="39"/>
      <c r="P365" s="309">
        <f t="shared" si="109"/>
        <v>0</v>
      </c>
      <c r="Q365" s="235" t="str">
        <f t="shared" si="98"/>
        <v>П40х20х20(ЭПГ111.039)с д3,5</v>
      </c>
      <c r="R365" s="306">
        <f t="shared" si="108"/>
        <v>63.6</v>
      </c>
      <c r="S365" s="319">
        <v>53</v>
      </c>
      <c r="T365" s="353">
        <f t="shared" ref="T365:T396" si="115">S365*J365</f>
        <v>0</v>
      </c>
      <c r="U365" s="70">
        <v>94</v>
      </c>
      <c r="V365" s="20">
        <f t="shared" si="112"/>
        <v>0</v>
      </c>
      <c r="W365" s="52">
        <f t="shared" si="113"/>
        <v>0</v>
      </c>
      <c r="X365" s="70">
        <v>94</v>
      </c>
      <c r="Y365" s="20" t="s">
        <v>783</v>
      </c>
      <c r="Z365" s="20"/>
      <c r="AA365" s="20"/>
      <c r="AB365" s="417"/>
      <c r="AC365" s="168"/>
      <c r="AD365" s="450">
        <v>9.9499999999999993</v>
      </c>
      <c r="AE365" s="165"/>
      <c r="AF365" s="160"/>
      <c r="AG365" s="192">
        <v>120</v>
      </c>
      <c r="AH365" s="110"/>
      <c r="AI365" s="125"/>
      <c r="AJ365" s="185">
        <f t="shared" si="110"/>
        <v>935.3</v>
      </c>
      <c r="AK365" s="435"/>
      <c r="AL365" s="476"/>
      <c r="AM365" s="10"/>
    </row>
    <row r="366" spans="1:73" ht="26.25" hidden="1" customHeight="1" x14ac:dyDescent="0.3">
      <c r="B366" s="19"/>
      <c r="C366" s="6" t="s">
        <v>18</v>
      </c>
      <c r="D366" s="23" t="s">
        <v>40</v>
      </c>
      <c r="E366" s="84" t="s">
        <v>304</v>
      </c>
      <c r="F366" s="385"/>
      <c r="G366" s="48"/>
      <c r="H366" s="39"/>
      <c r="I366" s="309">
        <v>0</v>
      </c>
      <c r="J366" s="39">
        <f t="shared" si="111"/>
        <v>0</v>
      </c>
      <c r="K366" s="309">
        <f t="shared" si="114"/>
        <v>0</v>
      </c>
      <c r="L366" s="230"/>
      <c r="M366" s="72"/>
      <c r="N366" s="141"/>
      <c r="O366" s="39"/>
      <c r="P366" s="309">
        <f t="shared" si="109"/>
        <v>0</v>
      </c>
      <c r="Q366" s="263" t="str">
        <f t="shared" si="98"/>
        <v>П50х30х5</v>
      </c>
      <c r="R366" s="306">
        <f t="shared" si="108"/>
        <v>0</v>
      </c>
      <c r="S366" s="319">
        <v>0</v>
      </c>
      <c r="T366" s="353">
        <f t="shared" si="115"/>
        <v>0</v>
      </c>
      <c r="U366" s="431">
        <v>42</v>
      </c>
      <c r="V366" s="20">
        <f t="shared" si="112"/>
        <v>0</v>
      </c>
      <c r="W366" s="52">
        <f t="shared" si="113"/>
        <v>0</v>
      </c>
      <c r="X366" s="431">
        <v>42</v>
      </c>
      <c r="Y366" s="200" t="s">
        <v>795</v>
      </c>
      <c r="Z366" s="74"/>
      <c r="AA366" s="74"/>
      <c r="AB366" s="422"/>
      <c r="AC366" s="168"/>
      <c r="AD366" s="450">
        <v>6.88</v>
      </c>
      <c r="AE366" s="165"/>
      <c r="AF366" s="160"/>
      <c r="AG366" s="192">
        <v>56.25</v>
      </c>
      <c r="AH366" s="110"/>
      <c r="AI366" s="125"/>
      <c r="AJ366" s="185">
        <f t="shared" si="110"/>
        <v>289</v>
      </c>
      <c r="AK366" s="435"/>
      <c r="AL366" s="476"/>
      <c r="AM366" s="10"/>
    </row>
    <row r="367" spans="1:73" ht="26.25" hidden="1" customHeight="1" x14ac:dyDescent="0.25">
      <c r="B367" s="11"/>
      <c r="C367" s="6" t="s">
        <v>18</v>
      </c>
      <c r="D367" s="23" t="s">
        <v>40</v>
      </c>
      <c r="E367" s="112" t="s">
        <v>321</v>
      </c>
      <c r="F367" s="383" t="s">
        <v>322</v>
      </c>
      <c r="G367" s="13" t="s">
        <v>0</v>
      </c>
      <c r="H367" s="39"/>
      <c r="I367" s="360">
        <v>0</v>
      </c>
      <c r="J367" s="39">
        <f t="shared" si="111"/>
        <v>0</v>
      </c>
      <c r="K367" s="309">
        <f t="shared" si="114"/>
        <v>30</v>
      </c>
      <c r="L367" s="230"/>
      <c r="M367" s="154" t="s">
        <v>844</v>
      </c>
      <c r="N367" s="141"/>
      <c r="O367" s="503"/>
      <c r="P367" s="309">
        <f t="shared" si="109"/>
        <v>0</v>
      </c>
      <c r="Q367" s="235" t="str">
        <f t="shared" si="98"/>
        <v>П50х43х12,5</v>
      </c>
      <c r="R367" s="306">
        <f t="shared" si="108"/>
        <v>42</v>
      </c>
      <c r="S367" s="319">
        <v>35</v>
      </c>
      <c r="T367" s="353">
        <f t="shared" si="115"/>
        <v>0</v>
      </c>
      <c r="U367" s="70">
        <v>39</v>
      </c>
      <c r="V367" s="20">
        <f t="shared" si="112"/>
        <v>0</v>
      </c>
      <c r="W367" s="52">
        <f t="shared" si="113"/>
        <v>0</v>
      </c>
      <c r="X367" s="70">
        <v>39</v>
      </c>
      <c r="Y367" s="20" t="s">
        <v>799</v>
      </c>
      <c r="Z367" s="20"/>
      <c r="AA367" s="20"/>
      <c r="AB367" s="417"/>
      <c r="AC367" s="168"/>
      <c r="AD367" s="450">
        <v>12</v>
      </c>
      <c r="AE367" s="200" t="s">
        <v>399</v>
      </c>
      <c r="AF367" s="160"/>
      <c r="AG367" s="192">
        <v>210</v>
      </c>
      <c r="AH367" s="110"/>
      <c r="AI367" s="125"/>
      <c r="AJ367" s="185">
        <f t="shared" si="110"/>
        <v>468</v>
      </c>
      <c r="AK367" s="435"/>
      <c r="AL367" s="476"/>
      <c r="AM367" s="10"/>
    </row>
    <row r="368" spans="1:73" ht="26.25" hidden="1" customHeight="1" x14ac:dyDescent="0.25">
      <c r="B368" s="11"/>
      <c r="C368" s="6" t="s">
        <v>18</v>
      </c>
      <c r="D368" s="23" t="s">
        <v>40</v>
      </c>
      <c r="E368" s="112" t="s">
        <v>691</v>
      </c>
      <c r="F368" s="385"/>
      <c r="G368" s="13"/>
      <c r="H368" s="39"/>
      <c r="I368" s="360">
        <v>0</v>
      </c>
      <c r="J368" s="39">
        <f t="shared" si="111"/>
        <v>0</v>
      </c>
      <c r="K368" s="309">
        <f t="shared" si="114"/>
        <v>0</v>
      </c>
      <c r="L368" s="230"/>
      <c r="M368" s="366"/>
      <c r="N368" s="141"/>
      <c r="O368" s="503"/>
      <c r="P368" s="309">
        <f t="shared" si="109"/>
        <v>0</v>
      </c>
      <c r="Q368" s="262" t="str">
        <f t="shared" si="98"/>
        <v>П55х16х25</v>
      </c>
      <c r="R368" s="306">
        <f t="shared" si="108"/>
        <v>0</v>
      </c>
      <c r="T368" s="353">
        <f t="shared" si="115"/>
        <v>0</v>
      </c>
      <c r="U368" s="70">
        <v>1</v>
      </c>
      <c r="V368" s="20">
        <f t="shared" si="112"/>
        <v>0</v>
      </c>
      <c r="W368" s="52">
        <f t="shared" si="113"/>
        <v>0</v>
      </c>
      <c r="X368" s="70">
        <v>1</v>
      </c>
      <c r="Y368" s="20" t="s">
        <v>771</v>
      </c>
      <c r="Z368" s="20"/>
      <c r="AA368" s="20"/>
      <c r="AB368" s="417"/>
      <c r="AC368" s="168"/>
      <c r="AD368" s="450"/>
      <c r="AE368" s="200"/>
      <c r="AF368" s="160"/>
      <c r="AG368" s="192"/>
      <c r="AH368" s="110"/>
      <c r="AI368" s="125"/>
      <c r="AJ368" s="185"/>
      <c r="AK368" s="435"/>
      <c r="AL368" s="836"/>
      <c r="AM368" s="10"/>
    </row>
    <row r="369" spans="2:39" ht="26.25" customHeight="1" x14ac:dyDescent="0.25">
      <c r="B369" s="11">
        <v>106</v>
      </c>
      <c r="C369" s="6" t="s">
        <v>18</v>
      </c>
      <c r="D369" s="23" t="s">
        <v>40</v>
      </c>
      <c r="E369" s="112" t="s">
        <v>692</v>
      </c>
      <c r="F369" s="383" t="s">
        <v>704</v>
      </c>
      <c r="G369" s="13"/>
      <c r="H369" s="39"/>
      <c r="I369" s="360">
        <v>0</v>
      </c>
      <c r="J369" s="39">
        <f t="shared" si="111"/>
        <v>4</v>
      </c>
      <c r="K369" s="309">
        <f t="shared" si="114"/>
        <v>34.29</v>
      </c>
      <c r="L369" s="230"/>
      <c r="M369" s="154" t="s">
        <v>719</v>
      </c>
      <c r="N369" s="60">
        <v>4</v>
      </c>
      <c r="O369" s="503"/>
      <c r="P369" s="309">
        <f t="shared" si="109"/>
        <v>0</v>
      </c>
      <c r="Q369" s="262" t="str">
        <f t="shared" si="98"/>
        <v>П55х18х5</v>
      </c>
      <c r="R369" s="377">
        <f t="shared" si="108"/>
        <v>48</v>
      </c>
      <c r="S369" s="319">
        <v>40</v>
      </c>
      <c r="T369" s="353">
        <f t="shared" si="115"/>
        <v>160</v>
      </c>
      <c r="U369" s="20">
        <v>4</v>
      </c>
      <c r="V369" s="20">
        <f t="shared" si="112"/>
        <v>4</v>
      </c>
      <c r="W369" s="52"/>
      <c r="X369" s="20">
        <v>4</v>
      </c>
      <c r="Y369" s="20" t="s">
        <v>771</v>
      </c>
      <c r="Z369" s="20"/>
      <c r="AA369" s="20"/>
      <c r="AB369" s="417"/>
      <c r="AC369" s="168"/>
      <c r="AD369" s="450"/>
      <c r="AE369" s="200"/>
      <c r="AF369" s="160"/>
      <c r="AG369" s="192"/>
      <c r="AH369" s="110"/>
      <c r="AI369" s="125"/>
      <c r="AJ369" s="185"/>
      <c r="AK369" s="435"/>
      <c r="AL369" s="832"/>
      <c r="AM369" s="832"/>
    </row>
    <row r="370" spans="2:39" ht="26.25" hidden="1" customHeight="1" x14ac:dyDescent="0.25">
      <c r="B370" s="19"/>
      <c r="C370" s="6" t="s">
        <v>18</v>
      </c>
      <c r="D370" s="23" t="s">
        <v>40</v>
      </c>
      <c r="E370" s="112" t="s">
        <v>761</v>
      </c>
      <c r="F370" s="385"/>
      <c r="G370" s="13"/>
      <c r="H370" s="39"/>
      <c r="I370" s="309">
        <v>0</v>
      </c>
      <c r="J370" s="39">
        <f t="shared" si="111"/>
        <v>0</v>
      </c>
      <c r="K370" s="309">
        <f t="shared" si="114"/>
        <v>0</v>
      </c>
      <c r="L370" s="230"/>
      <c r="M370" s="72"/>
      <c r="N370" s="141"/>
      <c r="O370" s="39"/>
      <c r="P370" s="490">
        <f t="shared" si="109"/>
        <v>0</v>
      </c>
      <c r="Q370" s="262" t="str">
        <f t="shared" si="98"/>
        <v>П50х50х24</v>
      </c>
      <c r="R370" s="306">
        <f t="shared" si="108"/>
        <v>0</v>
      </c>
      <c r="S370" s="319">
        <v>0</v>
      </c>
      <c r="T370" s="353">
        <f t="shared" si="115"/>
        <v>0</v>
      </c>
      <c r="U370" s="70">
        <v>3</v>
      </c>
      <c r="V370" s="20">
        <f t="shared" si="112"/>
        <v>0</v>
      </c>
      <c r="W370" s="52">
        <f>X370-U370+V370</f>
        <v>0</v>
      </c>
      <c r="X370" s="70">
        <v>3</v>
      </c>
      <c r="Y370" s="20" t="s">
        <v>783</v>
      </c>
      <c r="Z370" s="20"/>
      <c r="AA370" s="20"/>
      <c r="AB370" s="417"/>
      <c r="AC370" s="168"/>
      <c r="AD370" s="450">
        <v>68</v>
      </c>
      <c r="AE370" s="165"/>
      <c r="AF370" s="160"/>
      <c r="AG370" s="192">
        <v>585</v>
      </c>
      <c r="AH370" s="110"/>
      <c r="AI370" s="125"/>
      <c r="AJ370" s="185">
        <f>X370*AD370</f>
        <v>204</v>
      </c>
      <c r="AK370" s="435"/>
      <c r="AL370" s="840"/>
      <c r="AM370" s="10"/>
    </row>
    <row r="371" spans="2:39" ht="26.25" hidden="1" customHeight="1" x14ac:dyDescent="0.25">
      <c r="B371" s="19"/>
      <c r="C371" s="6" t="s">
        <v>18</v>
      </c>
      <c r="D371" s="23" t="s">
        <v>40</v>
      </c>
      <c r="E371" s="112" t="s">
        <v>731</v>
      </c>
      <c r="F371" s="385"/>
      <c r="G371" s="13"/>
      <c r="H371" s="39"/>
      <c r="I371" s="309"/>
      <c r="J371" s="39">
        <f t="shared" si="111"/>
        <v>0</v>
      </c>
      <c r="K371" s="309">
        <f t="shared" si="114"/>
        <v>0</v>
      </c>
      <c r="L371" s="230"/>
      <c r="M371" s="72"/>
      <c r="N371" s="141"/>
      <c r="O371" s="39"/>
      <c r="P371" s="309"/>
      <c r="Q371" s="262" t="str">
        <f t="shared" si="98"/>
        <v>П80х40х20</v>
      </c>
      <c r="R371" s="306">
        <f t="shared" si="108"/>
        <v>0</v>
      </c>
      <c r="T371" s="353">
        <f t="shared" si="115"/>
        <v>0</v>
      </c>
      <c r="U371" s="70">
        <v>9</v>
      </c>
      <c r="V371" s="20">
        <f t="shared" si="112"/>
        <v>0</v>
      </c>
      <c r="W371" s="52">
        <f>X371-U371+V371</f>
        <v>0</v>
      </c>
      <c r="X371" s="70">
        <v>9</v>
      </c>
      <c r="Y371" s="20" t="s">
        <v>786</v>
      </c>
      <c r="Z371" s="20"/>
      <c r="AA371" s="20"/>
      <c r="AB371" s="417"/>
      <c r="AC371" s="168"/>
      <c r="AD371" s="450"/>
      <c r="AE371" s="165"/>
      <c r="AF371" s="160"/>
      <c r="AG371" s="192"/>
      <c r="AH371" s="110"/>
      <c r="AI371" s="125"/>
      <c r="AJ371" s="185"/>
      <c r="AK371" s="435"/>
      <c r="AL371" s="476"/>
      <c r="AM371" s="10"/>
    </row>
    <row r="372" spans="2:39" ht="26.25" hidden="1" customHeight="1" x14ac:dyDescent="0.25">
      <c r="B372" s="19"/>
      <c r="C372" s="6" t="s">
        <v>18</v>
      </c>
      <c r="D372" s="23" t="s">
        <v>40</v>
      </c>
      <c r="E372" s="112" t="s">
        <v>588</v>
      </c>
      <c r="F372" s="385"/>
      <c r="G372" s="13"/>
      <c r="H372" s="39"/>
      <c r="I372" s="309"/>
      <c r="J372" s="39">
        <f t="shared" si="111"/>
        <v>0</v>
      </c>
      <c r="K372" s="309">
        <f t="shared" si="114"/>
        <v>0</v>
      </c>
      <c r="L372" s="230"/>
      <c r="M372" s="72"/>
      <c r="N372" s="141"/>
      <c r="O372" s="39"/>
      <c r="P372" s="309"/>
      <c r="Q372" s="262" t="str">
        <f t="shared" si="98"/>
        <v>П50х20х20</v>
      </c>
      <c r="R372" s="306">
        <f t="shared" si="108"/>
        <v>0</v>
      </c>
      <c r="T372" s="353">
        <f t="shared" si="115"/>
        <v>0</v>
      </c>
      <c r="U372" s="70">
        <v>36</v>
      </c>
      <c r="V372" s="20">
        <f t="shared" si="112"/>
        <v>0</v>
      </c>
      <c r="W372" s="52">
        <f>X372-U372+V372</f>
        <v>0</v>
      </c>
      <c r="X372" s="70">
        <v>36</v>
      </c>
      <c r="Y372" s="20" t="s">
        <v>784</v>
      </c>
      <c r="Z372" s="20"/>
      <c r="AA372" s="20"/>
      <c r="AB372" s="417"/>
      <c r="AC372" s="168"/>
      <c r="AD372" s="450"/>
      <c r="AE372" s="165"/>
      <c r="AF372" s="160"/>
      <c r="AG372" s="192"/>
      <c r="AH372" s="110"/>
      <c r="AI372" s="125"/>
      <c r="AJ372" s="185"/>
      <c r="AK372" s="435"/>
      <c r="AL372" s="476"/>
      <c r="AM372" s="10"/>
    </row>
    <row r="373" spans="2:39" ht="26.25" hidden="1" customHeight="1" x14ac:dyDescent="0.25">
      <c r="B373" s="19"/>
      <c r="C373" s="6" t="s">
        <v>18</v>
      </c>
      <c r="D373" s="23" t="s">
        <v>40</v>
      </c>
      <c r="E373" s="112" t="s">
        <v>391</v>
      </c>
      <c r="F373" s="385"/>
      <c r="G373" s="13"/>
      <c r="H373" s="39"/>
      <c r="I373" s="309">
        <v>0</v>
      </c>
      <c r="J373" s="39">
        <f t="shared" si="111"/>
        <v>0</v>
      </c>
      <c r="K373" s="309">
        <f t="shared" si="114"/>
        <v>0</v>
      </c>
      <c r="L373" s="230"/>
      <c r="M373" s="72"/>
      <c r="N373" s="141"/>
      <c r="O373" s="39"/>
      <c r="P373" s="309">
        <f>K373*O373</f>
        <v>0</v>
      </c>
      <c r="Q373" s="235" t="str">
        <f t="shared" si="98"/>
        <v>П88х50х12,5</v>
      </c>
      <c r="R373" s="306">
        <f t="shared" si="108"/>
        <v>0</v>
      </c>
      <c r="S373" s="319">
        <v>0</v>
      </c>
      <c r="T373" s="353">
        <f t="shared" si="115"/>
        <v>0</v>
      </c>
      <c r="U373" s="70">
        <v>1</v>
      </c>
      <c r="V373" s="20">
        <f t="shared" si="112"/>
        <v>0</v>
      </c>
      <c r="W373" s="52">
        <f>X373-U373+V373</f>
        <v>0</v>
      </c>
      <c r="X373" s="70">
        <v>1</v>
      </c>
      <c r="Y373" s="20" t="s">
        <v>771</v>
      </c>
      <c r="Z373" s="20"/>
      <c r="AA373" s="20"/>
      <c r="AB373" s="417"/>
      <c r="AC373" s="168"/>
      <c r="AD373" s="450">
        <v>4.7</v>
      </c>
      <c r="AE373" s="165"/>
      <c r="AF373" s="160"/>
      <c r="AG373" s="192">
        <v>47</v>
      </c>
      <c r="AH373" s="110"/>
      <c r="AI373" s="125"/>
      <c r="AJ373" s="185">
        <f>X373*AD373</f>
        <v>4.7</v>
      </c>
      <c r="AK373" s="435"/>
      <c r="AL373" s="476"/>
      <c r="AM373" s="10"/>
    </row>
    <row r="374" spans="2:39" ht="26.25" hidden="1" customHeight="1" x14ac:dyDescent="0.25">
      <c r="B374" s="19"/>
      <c r="C374" s="6" t="s">
        <v>18</v>
      </c>
      <c r="D374" s="23" t="s">
        <v>40</v>
      </c>
      <c r="E374" s="112" t="s">
        <v>768</v>
      </c>
      <c r="F374" s="385"/>
      <c r="G374" s="13"/>
      <c r="H374" s="39"/>
      <c r="I374" s="309"/>
      <c r="J374" s="39"/>
      <c r="K374" s="309">
        <f t="shared" si="114"/>
        <v>0</v>
      </c>
      <c r="L374" s="230"/>
      <c r="M374" s="72"/>
      <c r="N374" s="141"/>
      <c r="O374" s="39"/>
      <c r="P374" s="309"/>
      <c r="Q374" s="235" t="str">
        <f t="shared" ref="Q374:Q397" si="116">E374</f>
        <v>П70х4х11</v>
      </c>
      <c r="R374" s="306">
        <f t="shared" si="108"/>
        <v>0</v>
      </c>
      <c r="T374" s="353">
        <f t="shared" si="115"/>
        <v>0</v>
      </c>
      <c r="U374" s="70">
        <v>30</v>
      </c>
      <c r="V374" s="20"/>
      <c r="W374" s="52"/>
      <c r="X374" s="70">
        <v>30</v>
      </c>
      <c r="Y374" s="20" t="s">
        <v>769</v>
      </c>
      <c r="Z374" s="20"/>
      <c r="AA374" s="20"/>
      <c r="AB374" s="417"/>
      <c r="AC374" s="168"/>
      <c r="AD374" s="450"/>
      <c r="AE374" s="165"/>
      <c r="AF374" s="160"/>
      <c r="AG374" s="192"/>
      <c r="AH374" s="110"/>
      <c r="AI374" s="125"/>
      <c r="AJ374" s="185"/>
      <c r="AK374" s="435"/>
      <c r="AL374" s="476"/>
      <c r="AM374" s="10"/>
    </row>
    <row r="375" spans="2:39" ht="26.25" hidden="1" customHeight="1" x14ac:dyDescent="0.25">
      <c r="B375" s="19"/>
      <c r="C375" s="6" t="s">
        <v>18</v>
      </c>
      <c r="D375" s="23" t="s">
        <v>40</v>
      </c>
      <c r="E375" s="112" t="s">
        <v>770</v>
      </c>
      <c r="F375" s="385"/>
      <c r="G375" s="13"/>
      <c r="H375" s="39"/>
      <c r="I375" s="309"/>
      <c r="J375" s="39"/>
      <c r="K375" s="309">
        <f t="shared" si="114"/>
        <v>0</v>
      </c>
      <c r="L375" s="230"/>
      <c r="M375" s="72"/>
      <c r="N375" s="141"/>
      <c r="O375" s="39"/>
      <c r="P375" s="309"/>
      <c r="Q375" s="235" t="str">
        <f t="shared" si="116"/>
        <v>П80х40х20 и П88х24х12,5</v>
      </c>
      <c r="R375" s="306">
        <f t="shared" si="108"/>
        <v>0</v>
      </c>
      <c r="T375" s="353">
        <f t="shared" si="115"/>
        <v>0</v>
      </c>
      <c r="U375" s="70">
        <v>2</v>
      </c>
      <c r="V375" s="20"/>
      <c r="W375" s="52"/>
      <c r="X375" s="70">
        <v>2</v>
      </c>
      <c r="Y375" s="20" t="s">
        <v>771</v>
      </c>
      <c r="Z375" s="20"/>
      <c r="AA375" s="20"/>
      <c r="AB375" s="417"/>
      <c r="AC375" s="168"/>
      <c r="AD375" s="450"/>
      <c r="AE375" s="165"/>
      <c r="AF375" s="160"/>
      <c r="AG375" s="192"/>
      <c r="AH375" s="110"/>
      <c r="AI375" s="125"/>
      <c r="AJ375" s="185"/>
      <c r="AK375" s="435"/>
      <c r="AL375" s="476"/>
      <c r="AM375" s="10"/>
    </row>
    <row r="376" spans="2:39" ht="26.25" hidden="1" customHeight="1" x14ac:dyDescent="0.25">
      <c r="B376" s="19"/>
      <c r="C376" s="6" t="s">
        <v>18</v>
      </c>
      <c r="D376" s="23" t="s">
        <v>40</v>
      </c>
      <c r="E376" s="112"/>
      <c r="F376" s="385"/>
      <c r="G376" s="13"/>
      <c r="H376" s="39"/>
      <c r="I376" s="309"/>
      <c r="J376" s="39"/>
      <c r="K376" s="309">
        <f t="shared" si="114"/>
        <v>0</v>
      </c>
      <c r="L376" s="230"/>
      <c r="M376" s="72"/>
      <c r="N376" s="141"/>
      <c r="O376" s="39"/>
      <c r="P376" s="309"/>
      <c r="Q376" s="235">
        <f t="shared" si="116"/>
        <v>0</v>
      </c>
      <c r="R376" s="306">
        <f t="shared" si="108"/>
        <v>0</v>
      </c>
      <c r="T376" s="353">
        <f t="shared" si="115"/>
        <v>0</v>
      </c>
      <c r="U376" s="70"/>
      <c r="V376" s="20"/>
      <c r="W376" s="52"/>
      <c r="X376" s="70"/>
      <c r="Y376" s="20"/>
      <c r="Z376" s="20"/>
      <c r="AA376" s="20"/>
      <c r="AB376" s="417"/>
      <c r="AC376" s="168"/>
      <c r="AD376" s="450"/>
      <c r="AE376" s="165"/>
      <c r="AF376" s="160"/>
      <c r="AG376" s="192"/>
      <c r="AH376" s="110"/>
      <c r="AI376" s="125"/>
      <c r="AJ376" s="185"/>
      <c r="AK376" s="435"/>
      <c r="AL376" s="476"/>
      <c r="AM376" s="10"/>
    </row>
    <row r="377" spans="2:39" ht="26.25" hidden="1" customHeight="1" x14ac:dyDescent="0.3">
      <c r="B377" s="19"/>
      <c r="C377" s="6" t="s">
        <v>18</v>
      </c>
      <c r="D377" s="23" t="s">
        <v>40</v>
      </c>
      <c r="E377" s="106" t="s">
        <v>168</v>
      </c>
      <c r="F377" s="385"/>
      <c r="G377" s="48"/>
      <c r="H377" s="39"/>
      <c r="I377" s="309">
        <v>0</v>
      </c>
      <c r="J377" s="39">
        <f t="shared" ref="J377:J408" si="117">N377+O377-H377</f>
        <v>0</v>
      </c>
      <c r="K377" s="309">
        <f>R377/1.4</f>
        <v>5.66</v>
      </c>
      <c r="L377" s="230">
        <f>K377*J667</f>
        <v>0</v>
      </c>
      <c r="M377" s="275" t="s">
        <v>169</v>
      </c>
      <c r="N377" s="141"/>
      <c r="O377" s="39"/>
      <c r="P377" s="309">
        <f t="shared" ref="P377:P385" si="118">K377*O377</f>
        <v>0</v>
      </c>
      <c r="Q377" s="235" t="str">
        <f t="shared" si="116"/>
        <v>СК95х56х40х3,2</v>
      </c>
      <c r="R377" s="306">
        <f t="shared" si="108"/>
        <v>7.92</v>
      </c>
      <c r="S377" s="319">
        <v>6.6</v>
      </c>
      <c r="T377" s="353">
        <f t="shared" si="115"/>
        <v>0</v>
      </c>
      <c r="U377" s="70">
        <v>10351</v>
      </c>
      <c r="V377" s="20">
        <f t="shared" ref="V377:V421" si="119">N377</f>
        <v>0</v>
      </c>
      <c r="W377" s="52">
        <f t="shared" ref="W377:W383" si="120">X377-U377+V377</f>
        <v>0</v>
      </c>
      <c r="X377" s="70">
        <f>5439+5000-88</f>
        <v>10351</v>
      </c>
      <c r="Y377" s="20"/>
      <c r="Z377" s="20"/>
      <c r="AA377" s="20"/>
      <c r="AB377" s="417"/>
      <c r="AC377" s="168"/>
      <c r="AD377" s="450">
        <v>1.3</v>
      </c>
      <c r="AE377" s="164"/>
      <c r="AF377" s="160"/>
      <c r="AG377" s="176">
        <v>13</v>
      </c>
      <c r="AH377" s="120"/>
      <c r="AI377" s="125"/>
      <c r="AJ377" s="185">
        <f>X377*AD377</f>
        <v>13456.3</v>
      </c>
      <c r="AK377" s="435"/>
      <c r="AL377" s="481">
        <f>SUM(AJ218:AJ377)</f>
        <v>8721026.5999999996</v>
      </c>
      <c r="AM377" s="10"/>
    </row>
    <row r="378" spans="2:39" ht="26.25" hidden="1" customHeight="1" x14ac:dyDescent="0.25">
      <c r="B378" s="11"/>
      <c r="C378" s="6" t="s">
        <v>18</v>
      </c>
      <c r="D378" s="23" t="s">
        <v>25</v>
      </c>
      <c r="E378" s="104" t="s">
        <v>316</v>
      </c>
      <c r="F378" s="387"/>
      <c r="G378" s="14" t="s">
        <v>0</v>
      </c>
      <c r="H378" s="39"/>
      <c r="I378" s="309">
        <v>0</v>
      </c>
      <c r="J378" s="39">
        <f t="shared" si="117"/>
        <v>0</v>
      </c>
      <c r="K378" s="309">
        <f>R378/1.4</f>
        <v>0</v>
      </c>
      <c r="L378" s="230">
        <f>K378*J668</f>
        <v>0</v>
      </c>
      <c r="M378" s="90" t="s">
        <v>132</v>
      </c>
      <c r="N378" s="140"/>
      <c r="O378" s="39"/>
      <c r="P378" s="309">
        <f t="shared" si="118"/>
        <v>0</v>
      </c>
      <c r="Q378" s="235" t="str">
        <f t="shared" si="116"/>
        <v>Д9,5х4х40</v>
      </c>
      <c r="R378" s="377">
        <f t="shared" ref="R378:R404" si="121">S378*1.2</f>
        <v>0</v>
      </c>
      <c r="S378" s="319">
        <v>0</v>
      </c>
      <c r="T378" s="353">
        <f t="shared" si="115"/>
        <v>0</v>
      </c>
      <c r="U378" s="430">
        <v>50</v>
      </c>
      <c r="V378" s="20">
        <f t="shared" si="119"/>
        <v>0</v>
      </c>
      <c r="W378" s="52">
        <f t="shared" si="120"/>
        <v>0</v>
      </c>
      <c r="X378" s="430">
        <v>50</v>
      </c>
      <c r="Y378" s="18"/>
      <c r="Z378" s="18"/>
      <c r="AA378" s="18"/>
      <c r="AB378" s="418"/>
      <c r="AC378" s="200"/>
      <c r="AD378" s="160">
        <v>0.4</v>
      </c>
      <c r="AE378" s="163"/>
      <c r="AF378" s="171"/>
      <c r="AG378" s="192"/>
      <c r="AH378" s="16"/>
      <c r="AI378" s="16"/>
      <c r="AJ378" s="185">
        <f>X378*AD378</f>
        <v>20</v>
      </c>
      <c r="AK378" s="435"/>
      <c r="AL378" s="476"/>
      <c r="AM378" s="10"/>
    </row>
    <row r="379" spans="2:39" ht="26.25" hidden="1" customHeight="1" x14ac:dyDescent="0.25">
      <c r="B379" s="11"/>
      <c r="C379" s="6" t="s">
        <v>18</v>
      </c>
      <c r="D379" s="23" t="s">
        <v>25</v>
      </c>
      <c r="E379" s="104" t="s">
        <v>471</v>
      </c>
      <c r="F379" s="387" t="s">
        <v>473</v>
      </c>
      <c r="G379" s="14"/>
      <c r="H379" s="39"/>
      <c r="I379" s="309">
        <v>0</v>
      </c>
      <c r="J379" s="39">
        <f t="shared" si="117"/>
        <v>0</v>
      </c>
      <c r="K379" s="309">
        <f>R379/1.4</f>
        <v>12.86</v>
      </c>
      <c r="L379" s="230"/>
      <c r="M379" s="214" t="s">
        <v>476</v>
      </c>
      <c r="N379" s="140"/>
      <c r="O379" s="39"/>
      <c r="P379" s="309">
        <f t="shared" si="118"/>
        <v>0</v>
      </c>
      <c r="Q379" s="263" t="str">
        <f t="shared" si="116"/>
        <v>П24х14х10</v>
      </c>
      <c r="R379" s="306">
        <f t="shared" si="121"/>
        <v>18</v>
      </c>
      <c r="S379" s="319">
        <v>15</v>
      </c>
      <c r="T379" s="353">
        <f t="shared" si="115"/>
        <v>0</v>
      </c>
      <c r="U379" s="20"/>
      <c r="V379" s="20">
        <f t="shared" si="119"/>
        <v>0</v>
      </c>
      <c r="W379" s="52">
        <f t="shared" si="120"/>
        <v>0</v>
      </c>
      <c r="X379" s="20"/>
      <c r="Y379" s="20"/>
      <c r="Z379" s="20"/>
      <c r="AA379" s="20"/>
      <c r="AB379" s="417"/>
      <c r="AC379" s="200"/>
      <c r="AD379" s="160"/>
      <c r="AE379" s="163"/>
      <c r="AF379" s="171"/>
      <c r="AG379" s="192"/>
      <c r="AH379" s="16"/>
      <c r="AI379" s="16"/>
      <c r="AJ379" s="185"/>
      <c r="AK379" s="125"/>
      <c r="AL379" s="10"/>
      <c r="AM379" s="10"/>
    </row>
    <row r="380" spans="2:39" ht="43.5" customHeight="1" x14ac:dyDescent="0.25">
      <c r="B380" s="19">
        <v>107</v>
      </c>
      <c r="C380" s="6" t="s">
        <v>18</v>
      </c>
      <c r="D380" s="23" t="s">
        <v>25</v>
      </c>
      <c r="E380" s="104" t="s">
        <v>24</v>
      </c>
      <c r="F380" s="208">
        <v>311</v>
      </c>
      <c r="G380" s="12" t="s">
        <v>0</v>
      </c>
      <c r="H380" s="39">
        <v>200</v>
      </c>
      <c r="I380" s="360">
        <v>566</v>
      </c>
      <c r="J380" s="39">
        <f t="shared" si="117"/>
        <v>0</v>
      </c>
      <c r="K380" s="309">
        <f>R380/1.4</f>
        <v>2.83</v>
      </c>
      <c r="L380" s="230">
        <f>K380*J670</f>
        <v>0</v>
      </c>
      <c r="M380" s="470" t="s">
        <v>685</v>
      </c>
      <c r="N380" s="41"/>
      <c r="O380" s="503">
        <v>200</v>
      </c>
      <c r="P380" s="309">
        <f t="shared" si="118"/>
        <v>566</v>
      </c>
      <c r="Q380" s="51" t="str">
        <f t="shared" si="116"/>
        <v>Д22,7хд8,2х8,9 ЭПГ 112.001</v>
      </c>
      <c r="R380" s="377">
        <f t="shared" si="121"/>
        <v>3.96</v>
      </c>
      <c r="S380" s="320">
        <v>3.3</v>
      </c>
      <c r="T380" s="353">
        <f t="shared" si="115"/>
        <v>0</v>
      </c>
      <c r="U380" s="20">
        <v>2232</v>
      </c>
      <c r="V380" s="20">
        <f t="shared" si="119"/>
        <v>0</v>
      </c>
      <c r="W380" s="52">
        <f t="shared" si="120"/>
        <v>0</v>
      </c>
      <c r="X380" s="20">
        <v>2232</v>
      </c>
      <c r="Y380" s="20"/>
      <c r="Z380" s="20"/>
      <c r="AA380" s="20">
        <v>1200</v>
      </c>
      <c r="AB380" s="417"/>
      <c r="AC380" s="200">
        <v>2272</v>
      </c>
      <c r="AD380" s="160">
        <v>0.49</v>
      </c>
      <c r="AE380" s="163"/>
      <c r="AF380" s="171"/>
      <c r="AG380" s="192"/>
      <c r="AH380" s="16"/>
      <c r="AI380" s="16"/>
      <c r="AJ380" s="185">
        <f>X380*AD380</f>
        <v>1093.7</v>
      </c>
      <c r="AK380" s="125"/>
      <c r="AL380" s="10"/>
      <c r="AM380" s="10"/>
    </row>
    <row r="381" spans="2:39" ht="26.25" customHeight="1" x14ac:dyDescent="0.25">
      <c r="B381" s="11">
        <v>108</v>
      </c>
      <c r="C381" s="6" t="s">
        <v>18</v>
      </c>
      <c r="D381" s="23" t="s">
        <v>25</v>
      </c>
      <c r="E381" s="107" t="s">
        <v>137</v>
      </c>
      <c r="F381" s="210" t="s">
        <v>180</v>
      </c>
      <c r="G381" s="48" t="s">
        <v>0</v>
      </c>
      <c r="H381" s="39">
        <v>200</v>
      </c>
      <c r="I381" s="360">
        <v>1866</v>
      </c>
      <c r="J381" s="39">
        <f t="shared" si="117"/>
        <v>0</v>
      </c>
      <c r="K381" s="309">
        <f>R381/1.4</f>
        <v>9.33</v>
      </c>
      <c r="L381" s="230">
        <f>K381*J671</f>
        <v>0</v>
      </c>
      <c r="M381" s="94" t="s">
        <v>845</v>
      </c>
      <c r="N381" s="41"/>
      <c r="O381" s="503">
        <v>200</v>
      </c>
      <c r="P381" s="309">
        <f t="shared" si="118"/>
        <v>1866</v>
      </c>
      <c r="Q381" s="235" t="str">
        <f t="shared" si="116"/>
        <v>К21х7х25</v>
      </c>
      <c r="R381" s="377">
        <f t="shared" si="121"/>
        <v>13.06</v>
      </c>
      <c r="S381" s="319">
        <v>10.88</v>
      </c>
      <c r="T381" s="353">
        <f t="shared" si="115"/>
        <v>0</v>
      </c>
      <c r="U381" s="20">
        <v>430</v>
      </c>
      <c r="V381" s="20">
        <f t="shared" si="119"/>
        <v>0</v>
      </c>
      <c r="W381" s="52">
        <f t="shared" si="120"/>
        <v>0</v>
      </c>
      <c r="X381" s="20">
        <v>430</v>
      </c>
      <c r="Y381" s="20"/>
      <c r="Z381" s="20"/>
      <c r="AA381" s="20">
        <v>150</v>
      </c>
      <c r="AB381" s="417"/>
      <c r="AC381" s="200"/>
      <c r="AD381" s="160">
        <v>2.1</v>
      </c>
      <c r="AE381" s="163"/>
      <c r="AF381" s="171"/>
      <c r="AG381" s="192"/>
      <c r="AH381" s="16"/>
      <c r="AI381" s="16"/>
      <c r="AJ381" s="185">
        <f>X381*AD381</f>
        <v>903</v>
      </c>
      <c r="AK381" s="435"/>
      <c r="AL381" s="476"/>
      <c r="AM381" s="10"/>
    </row>
    <row r="382" spans="2:39" ht="26.25" hidden="1" customHeight="1" x14ac:dyDescent="0.25">
      <c r="B382" s="11"/>
      <c r="C382" s="6" t="s">
        <v>18</v>
      </c>
      <c r="D382" s="23" t="s">
        <v>72</v>
      </c>
      <c r="E382" s="107" t="s">
        <v>211</v>
      </c>
      <c r="F382" s="210"/>
      <c r="G382" s="48"/>
      <c r="H382" s="39"/>
      <c r="I382" s="309">
        <v>0</v>
      </c>
      <c r="J382" s="39">
        <f t="shared" si="117"/>
        <v>0</v>
      </c>
      <c r="K382" s="309"/>
      <c r="L382" s="230"/>
      <c r="M382" s="96"/>
      <c r="N382" s="140"/>
      <c r="O382" s="39"/>
      <c r="P382" s="490">
        <f t="shared" si="118"/>
        <v>0</v>
      </c>
      <c r="Q382" s="262" t="str">
        <f t="shared" si="116"/>
        <v>Д3х2</v>
      </c>
      <c r="R382" s="377">
        <f t="shared" si="121"/>
        <v>0</v>
      </c>
      <c r="S382" s="319">
        <v>0</v>
      </c>
      <c r="T382" s="353">
        <f t="shared" si="115"/>
        <v>0</v>
      </c>
      <c r="U382" s="20">
        <v>34</v>
      </c>
      <c r="V382" s="20">
        <f t="shared" si="119"/>
        <v>0</v>
      </c>
      <c r="W382" s="52">
        <f t="shared" si="120"/>
        <v>0</v>
      </c>
      <c r="X382" s="20">
        <v>34</v>
      </c>
      <c r="Y382" s="20">
        <v>1</v>
      </c>
      <c r="Z382" s="20"/>
      <c r="AA382" s="20"/>
      <c r="AB382" s="417"/>
      <c r="AC382" s="200"/>
      <c r="AD382" s="160"/>
      <c r="AE382" s="163"/>
      <c r="AF382" s="171"/>
      <c r="AG382" s="192"/>
      <c r="AH382" s="16"/>
      <c r="AI382" s="16"/>
      <c r="AJ382" s="185"/>
      <c r="AK382" s="435"/>
      <c r="AL382" s="476"/>
      <c r="AM382" s="10"/>
    </row>
    <row r="383" spans="2:39" ht="26.25" hidden="1" customHeight="1" x14ac:dyDescent="0.35">
      <c r="B383" s="14"/>
      <c r="C383" s="6" t="s">
        <v>18</v>
      </c>
      <c r="D383" s="23" t="s">
        <v>72</v>
      </c>
      <c r="E383" s="104" t="s">
        <v>243</v>
      </c>
      <c r="F383" s="386"/>
      <c r="G383" s="48" t="s">
        <v>0</v>
      </c>
      <c r="H383" s="39"/>
      <c r="I383" s="309">
        <v>0</v>
      </c>
      <c r="J383" s="39">
        <f t="shared" si="117"/>
        <v>0</v>
      </c>
      <c r="K383" s="309">
        <f>R383/1.4</f>
        <v>0.12</v>
      </c>
      <c r="L383" s="230">
        <f>K383*J673</f>
        <v>0</v>
      </c>
      <c r="M383" s="213" t="s">
        <v>162</v>
      </c>
      <c r="N383" s="140"/>
      <c r="O383" s="39"/>
      <c r="P383" s="309">
        <f t="shared" si="118"/>
        <v>0</v>
      </c>
      <c r="Q383" s="263" t="str">
        <f t="shared" si="116"/>
        <v>Д3х5</v>
      </c>
      <c r="R383" s="819">
        <f t="shared" si="121"/>
        <v>0.17</v>
      </c>
      <c r="S383" s="319">
        <v>0.14000000000000001</v>
      </c>
      <c r="T383" s="353">
        <f t="shared" si="115"/>
        <v>0</v>
      </c>
      <c r="U383" s="430">
        <v>800</v>
      </c>
      <c r="V383" s="20">
        <f t="shared" si="119"/>
        <v>0</v>
      </c>
      <c r="W383" s="52">
        <f t="shared" si="120"/>
        <v>0</v>
      </c>
      <c r="X383" s="430">
        <v>800</v>
      </c>
      <c r="Y383" s="18">
        <v>1</v>
      </c>
      <c r="Z383" s="18"/>
      <c r="AA383" s="18"/>
      <c r="AB383" s="418"/>
      <c r="AC383" s="200"/>
      <c r="AD383" s="160"/>
      <c r="AE383" s="162"/>
      <c r="AF383" s="171"/>
      <c r="AG383" s="176"/>
      <c r="AH383" s="115"/>
      <c r="AI383" s="113"/>
      <c r="AJ383" s="185">
        <f>X383*AD383</f>
        <v>0</v>
      </c>
      <c r="AK383" s="435"/>
      <c r="AL383" s="476"/>
      <c r="AM383" s="10"/>
    </row>
    <row r="384" spans="2:39" ht="26.25" hidden="1" customHeight="1" x14ac:dyDescent="0.35">
      <c r="B384" s="14"/>
      <c r="C384" s="6" t="s">
        <v>18</v>
      </c>
      <c r="D384" s="23" t="s">
        <v>72</v>
      </c>
      <c r="E384" s="104" t="s">
        <v>695</v>
      </c>
      <c r="F384" s="526">
        <v>1447</v>
      </c>
      <c r="G384" s="48"/>
      <c r="H384" s="39"/>
      <c r="I384" s="360">
        <v>0</v>
      </c>
      <c r="J384" s="39">
        <f t="shared" si="117"/>
        <v>0</v>
      </c>
      <c r="K384" s="309">
        <f>R384/1.4</f>
        <v>5.14</v>
      </c>
      <c r="L384" s="230"/>
      <c r="M384" s="213" t="s">
        <v>720</v>
      </c>
      <c r="N384" s="140"/>
      <c r="O384" s="503"/>
      <c r="P384" s="309">
        <f t="shared" si="118"/>
        <v>0</v>
      </c>
      <c r="Q384" s="263" t="str">
        <f t="shared" si="116"/>
        <v>Д5х8</v>
      </c>
      <c r="R384" s="819">
        <f t="shared" si="121"/>
        <v>7.2</v>
      </c>
      <c r="S384" s="319">
        <v>6</v>
      </c>
      <c r="T384" s="353">
        <f t="shared" si="115"/>
        <v>0</v>
      </c>
      <c r="U384" s="20"/>
      <c r="V384" s="20">
        <f t="shared" si="119"/>
        <v>0</v>
      </c>
      <c r="W384" s="52"/>
      <c r="X384" s="20"/>
      <c r="Y384" s="20"/>
      <c r="Z384" s="20"/>
      <c r="AA384" s="20"/>
      <c r="AB384" s="417"/>
      <c r="AC384" s="200"/>
      <c r="AD384" s="160"/>
      <c r="AE384" s="162"/>
      <c r="AF384" s="171"/>
      <c r="AG384" s="176"/>
      <c r="AH384" s="115"/>
      <c r="AI384" s="113"/>
      <c r="AJ384" s="185"/>
      <c r="AK384" s="435"/>
      <c r="AL384" s="476"/>
      <c r="AM384" s="10"/>
    </row>
    <row r="385" spans="2:39" ht="26.25" customHeight="1" x14ac:dyDescent="0.35">
      <c r="B385" s="11">
        <v>109</v>
      </c>
      <c r="C385" s="6" t="s">
        <v>18</v>
      </c>
      <c r="D385" s="23" t="s">
        <v>72</v>
      </c>
      <c r="E385" s="104" t="s">
        <v>289</v>
      </c>
      <c r="F385" s="208">
        <v>447</v>
      </c>
      <c r="G385" s="48" t="s">
        <v>0</v>
      </c>
      <c r="H385" s="39">
        <v>365</v>
      </c>
      <c r="I385" s="360">
        <v>248.2</v>
      </c>
      <c r="J385" s="39">
        <f t="shared" si="117"/>
        <v>0</v>
      </c>
      <c r="K385" s="309">
        <v>0.68</v>
      </c>
      <c r="L385" s="230">
        <f>K385*J675</f>
        <v>0</v>
      </c>
      <c r="M385" s="94"/>
      <c r="N385" s="41">
        <v>20</v>
      </c>
      <c r="O385" s="503">
        <v>345</v>
      </c>
      <c r="P385" s="309">
        <f t="shared" si="118"/>
        <v>234.6</v>
      </c>
      <c r="Q385" s="263" t="str">
        <f t="shared" si="116"/>
        <v>Д8х3</v>
      </c>
      <c r="R385" s="377">
        <f t="shared" si="121"/>
        <v>5.4</v>
      </c>
      <c r="S385" s="319">
        <v>4.5</v>
      </c>
      <c r="T385" s="353">
        <f t="shared" si="115"/>
        <v>0</v>
      </c>
      <c r="U385" s="20">
        <v>270</v>
      </c>
      <c r="V385" s="20">
        <f t="shared" si="119"/>
        <v>20</v>
      </c>
      <c r="W385" s="52">
        <f>X385-U385+V385</f>
        <v>20</v>
      </c>
      <c r="X385" s="20">
        <v>270</v>
      </c>
      <c r="Y385" s="20">
        <v>1</v>
      </c>
      <c r="Z385" s="20"/>
      <c r="AA385" s="20"/>
      <c r="AB385" s="417"/>
      <c r="AC385" s="200"/>
      <c r="AD385" s="160"/>
      <c r="AE385" s="162"/>
      <c r="AF385" s="171"/>
      <c r="AG385" s="176"/>
      <c r="AH385" s="115"/>
      <c r="AI385" s="113"/>
      <c r="AJ385" s="185">
        <f>X385*AD385</f>
        <v>0</v>
      </c>
      <c r="AK385" s="435"/>
      <c r="AL385" s="476"/>
      <c r="AM385" s="10"/>
    </row>
    <row r="386" spans="2:39" ht="26.25" hidden="1" customHeight="1" x14ac:dyDescent="0.35">
      <c r="B386" s="11"/>
      <c r="C386" s="6" t="s">
        <v>18</v>
      </c>
      <c r="D386" s="23" t="s">
        <v>72</v>
      </c>
      <c r="E386" s="104" t="s">
        <v>669</v>
      </c>
      <c r="F386" s="208">
        <v>1427</v>
      </c>
      <c r="G386" s="48"/>
      <c r="H386" s="39"/>
      <c r="I386" s="360"/>
      <c r="J386" s="39">
        <f t="shared" si="117"/>
        <v>0</v>
      </c>
      <c r="K386" s="309"/>
      <c r="L386" s="230"/>
      <c r="M386" s="94"/>
      <c r="N386" s="140"/>
      <c r="O386" s="503"/>
      <c r="P386" s="309"/>
      <c r="Q386" s="263" t="str">
        <f t="shared" si="116"/>
        <v>Д8х5</v>
      </c>
      <c r="R386" s="819">
        <f t="shared" si="121"/>
        <v>8.4</v>
      </c>
      <c r="S386" s="319">
        <v>7</v>
      </c>
      <c r="T386" s="353">
        <f t="shared" si="115"/>
        <v>0</v>
      </c>
      <c r="U386" s="20"/>
      <c r="V386" s="20">
        <f t="shared" si="119"/>
        <v>0</v>
      </c>
      <c r="W386" s="52"/>
      <c r="X386" s="20"/>
      <c r="Y386" s="20"/>
      <c r="Z386" s="20"/>
      <c r="AA386" s="20"/>
      <c r="AB386" s="417"/>
      <c r="AC386" s="200"/>
      <c r="AD386" s="160"/>
      <c r="AE386" s="162"/>
      <c r="AF386" s="171"/>
      <c r="AG386" s="176"/>
      <c r="AH386" s="115"/>
      <c r="AI386" s="113"/>
      <c r="AJ386" s="185"/>
      <c r="AK386" s="435"/>
      <c r="AL386" s="476"/>
      <c r="AM386" s="10"/>
    </row>
    <row r="387" spans="2:39" ht="26.25" hidden="1" customHeight="1" x14ac:dyDescent="0.35">
      <c r="B387" s="11"/>
      <c r="C387" s="6" t="s">
        <v>18</v>
      </c>
      <c r="D387" s="23" t="s">
        <v>72</v>
      </c>
      <c r="E387" s="104" t="s">
        <v>668</v>
      </c>
      <c r="F387" s="208">
        <v>1420</v>
      </c>
      <c r="G387" s="48"/>
      <c r="H387" s="39"/>
      <c r="I387" s="360"/>
      <c r="J387" s="39">
        <f t="shared" si="117"/>
        <v>0</v>
      </c>
      <c r="K387" s="309"/>
      <c r="L387" s="230"/>
      <c r="M387" s="94"/>
      <c r="N387" s="140"/>
      <c r="O387" s="503"/>
      <c r="P387" s="309"/>
      <c r="Q387" s="263" t="str">
        <f t="shared" si="116"/>
        <v>Д8х7</v>
      </c>
      <c r="R387" s="819">
        <f t="shared" si="121"/>
        <v>8.4</v>
      </c>
      <c r="S387" s="319">
        <v>7</v>
      </c>
      <c r="T387" s="353">
        <f t="shared" si="115"/>
        <v>0</v>
      </c>
      <c r="U387" s="20"/>
      <c r="V387" s="20">
        <f t="shared" si="119"/>
        <v>0</v>
      </c>
      <c r="W387" s="52"/>
      <c r="X387" s="20"/>
      <c r="Y387" s="20"/>
      <c r="Z387" s="20"/>
      <c r="AA387" s="20"/>
      <c r="AB387" s="417"/>
      <c r="AC387" s="200"/>
      <c r="AD387" s="160"/>
      <c r="AE387" s="162"/>
      <c r="AF387" s="171"/>
      <c r="AG387" s="176"/>
      <c r="AH387" s="115"/>
      <c r="AI387" s="113"/>
      <c r="AJ387" s="185"/>
      <c r="AK387" s="435"/>
      <c r="AL387" s="476"/>
      <c r="AM387" s="10"/>
    </row>
    <row r="388" spans="2:39" ht="26.25" hidden="1" customHeight="1" x14ac:dyDescent="0.35">
      <c r="B388" s="15"/>
      <c r="C388" s="6" t="s">
        <v>18</v>
      </c>
      <c r="D388" s="23" t="s">
        <v>72</v>
      </c>
      <c r="E388" s="106" t="s">
        <v>495</v>
      </c>
      <c r="F388" s="210"/>
      <c r="G388" s="13"/>
      <c r="H388" s="39"/>
      <c r="I388" s="309">
        <v>0</v>
      </c>
      <c r="J388" s="39">
        <f t="shared" si="117"/>
        <v>0</v>
      </c>
      <c r="K388" s="309">
        <f>R388/1.4</f>
        <v>1.8</v>
      </c>
      <c r="L388" s="230">
        <f>K388*J678</f>
        <v>0</v>
      </c>
      <c r="M388" s="90"/>
      <c r="N388" s="140"/>
      <c r="O388" s="39"/>
      <c r="P388" s="490">
        <f t="shared" ref="P388:P404" si="122">K388*O388</f>
        <v>0</v>
      </c>
      <c r="Q388" s="264" t="str">
        <f t="shared" si="116"/>
        <v>Д8х10</v>
      </c>
      <c r="R388" s="819">
        <f t="shared" si="121"/>
        <v>2.52</v>
      </c>
      <c r="S388" s="319">
        <v>2.1</v>
      </c>
      <c r="T388" s="353">
        <f t="shared" si="115"/>
        <v>0</v>
      </c>
      <c r="U388" s="18">
        <v>87980</v>
      </c>
      <c r="V388" s="20">
        <f t="shared" si="119"/>
        <v>0</v>
      </c>
      <c r="W388" s="52">
        <f t="shared" ref="W388:W397" si="123">X388-U388+V388</f>
        <v>0</v>
      </c>
      <c r="X388" s="18">
        <v>87980</v>
      </c>
      <c r="Y388" s="18">
        <v>1</v>
      </c>
      <c r="Z388" s="18"/>
      <c r="AA388" s="18"/>
      <c r="AB388" s="418"/>
      <c r="AC388" s="200"/>
      <c r="AD388" s="160">
        <v>0.95</v>
      </c>
      <c r="AE388" s="162"/>
      <c r="AF388" s="171"/>
      <c r="AG388" s="176"/>
      <c r="AH388" s="115"/>
      <c r="AI388" s="113"/>
      <c r="AJ388" s="185">
        <f>X388*AD388</f>
        <v>83581</v>
      </c>
      <c r="AK388" s="435"/>
      <c r="AL388" s="476"/>
      <c r="AM388" s="10"/>
    </row>
    <row r="389" spans="2:39" ht="26.25" hidden="1" customHeight="1" x14ac:dyDescent="0.35">
      <c r="B389" s="15"/>
      <c r="C389" s="6" t="s">
        <v>18</v>
      </c>
      <c r="D389" s="23" t="s">
        <v>72</v>
      </c>
      <c r="E389" s="106" t="s">
        <v>527</v>
      </c>
      <c r="F389" s="210">
        <v>1419</v>
      </c>
      <c r="G389" s="13"/>
      <c r="H389" s="39"/>
      <c r="I389" s="309">
        <v>0</v>
      </c>
      <c r="J389" s="39">
        <f t="shared" si="117"/>
        <v>0</v>
      </c>
      <c r="K389" s="309">
        <f>R389/1.4</f>
        <v>1.71</v>
      </c>
      <c r="L389" s="230">
        <f>K389*J679</f>
        <v>0</v>
      </c>
      <c r="M389" s="155" t="s">
        <v>686</v>
      </c>
      <c r="N389" s="140"/>
      <c r="O389" s="503"/>
      <c r="P389" s="309">
        <f t="shared" si="122"/>
        <v>0</v>
      </c>
      <c r="Q389" s="51" t="str">
        <f t="shared" si="116"/>
        <v>Д5х2,5</v>
      </c>
      <c r="R389" s="819">
        <f t="shared" si="121"/>
        <v>2.4</v>
      </c>
      <c r="S389" s="319">
        <v>2</v>
      </c>
      <c r="T389" s="353">
        <f t="shared" si="115"/>
        <v>0</v>
      </c>
      <c r="U389" s="20">
        <v>75</v>
      </c>
      <c r="V389" s="20">
        <f t="shared" si="119"/>
        <v>0</v>
      </c>
      <c r="W389" s="52">
        <f t="shared" si="123"/>
        <v>0</v>
      </c>
      <c r="X389" s="20">
        <v>75</v>
      </c>
      <c r="Y389" s="20">
        <v>1</v>
      </c>
      <c r="Z389" s="20"/>
      <c r="AA389" s="20"/>
      <c r="AB389" s="417"/>
      <c r="AC389" s="200"/>
      <c r="AD389" s="160"/>
      <c r="AE389" s="162"/>
      <c r="AF389" s="171"/>
      <c r="AG389" s="176"/>
      <c r="AH389" s="115"/>
      <c r="AI389" s="113"/>
      <c r="AJ389" s="185"/>
      <c r="AK389" s="435"/>
      <c r="AL389" s="476"/>
      <c r="AM389" s="10"/>
    </row>
    <row r="390" spans="2:39" ht="26.25" hidden="1" customHeight="1" x14ac:dyDescent="0.35">
      <c r="B390" s="15"/>
      <c r="C390" s="6" t="s">
        <v>18</v>
      </c>
      <c r="D390" s="23" t="s">
        <v>72</v>
      </c>
      <c r="E390" s="106" t="s">
        <v>287</v>
      </c>
      <c r="F390" s="210">
        <v>1388</v>
      </c>
      <c r="G390" s="13"/>
      <c r="H390" s="39"/>
      <c r="I390" s="309">
        <v>0</v>
      </c>
      <c r="J390" s="39">
        <f t="shared" si="117"/>
        <v>0</v>
      </c>
      <c r="K390" s="309">
        <f>R390/1.4</f>
        <v>3.43</v>
      </c>
      <c r="L390" s="230"/>
      <c r="M390" s="215" t="s">
        <v>610</v>
      </c>
      <c r="N390" s="140"/>
      <c r="O390" s="39"/>
      <c r="P390" s="490">
        <f t="shared" si="122"/>
        <v>0</v>
      </c>
      <c r="Q390" s="442" t="str">
        <f t="shared" si="116"/>
        <v>Д10х2</v>
      </c>
      <c r="R390" s="819">
        <f t="shared" si="121"/>
        <v>4.8</v>
      </c>
      <c r="S390" s="319">
        <v>4</v>
      </c>
      <c r="T390" s="353">
        <f t="shared" si="115"/>
        <v>0</v>
      </c>
      <c r="U390" s="20">
        <v>4</v>
      </c>
      <c r="V390" s="20">
        <f t="shared" si="119"/>
        <v>0</v>
      </c>
      <c r="W390" s="52">
        <f t="shared" si="123"/>
        <v>0</v>
      </c>
      <c r="X390" s="20">
        <v>4</v>
      </c>
      <c r="Y390" s="20">
        <v>1</v>
      </c>
      <c r="Z390" s="20"/>
      <c r="AA390" s="20"/>
      <c r="AB390" s="417"/>
      <c r="AC390" s="200"/>
      <c r="AD390" s="160"/>
      <c r="AE390" s="162"/>
      <c r="AF390" s="171"/>
      <c r="AG390" s="176"/>
      <c r="AH390" s="115"/>
      <c r="AI390" s="113"/>
      <c r="AJ390" s="185"/>
      <c r="AK390" s="435"/>
      <c r="AL390" s="476"/>
      <c r="AM390" s="10"/>
    </row>
    <row r="391" spans="2:39" ht="26.25" hidden="1" customHeight="1" x14ac:dyDescent="0.35">
      <c r="B391" s="15"/>
      <c r="C391" s="6" t="s">
        <v>18</v>
      </c>
      <c r="D391" s="23" t="s">
        <v>72</v>
      </c>
      <c r="E391" s="106" t="s">
        <v>565</v>
      </c>
      <c r="F391" s="210">
        <v>841</v>
      </c>
      <c r="G391" s="13"/>
      <c r="H391" s="39"/>
      <c r="I391" s="309">
        <v>0</v>
      </c>
      <c r="J391" s="39">
        <f t="shared" si="117"/>
        <v>0</v>
      </c>
      <c r="K391" s="309">
        <f>R391/1.4</f>
        <v>12</v>
      </c>
      <c r="L391" s="230"/>
      <c r="M391" s="155" t="s">
        <v>687</v>
      </c>
      <c r="N391" s="140"/>
      <c r="O391" s="503"/>
      <c r="P391" s="309">
        <f t="shared" si="122"/>
        <v>0</v>
      </c>
      <c r="Q391" s="51" t="str">
        <f t="shared" si="116"/>
        <v>Д10х5</v>
      </c>
      <c r="R391" s="819">
        <f t="shared" si="121"/>
        <v>16.8</v>
      </c>
      <c r="S391" s="319">
        <v>14</v>
      </c>
      <c r="T391" s="353">
        <f t="shared" si="115"/>
        <v>0</v>
      </c>
      <c r="U391" s="20">
        <v>4</v>
      </c>
      <c r="V391" s="20">
        <f t="shared" si="119"/>
        <v>0</v>
      </c>
      <c r="W391" s="52">
        <f t="shared" si="123"/>
        <v>0</v>
      </c>
      <c r="X391" s="20">
        <v>4</v>
      </c>
      <c r="Y391" s="20">
        <v>1</v>
      </c>
      <c r="Z391" s="20"/>
      <c r="AA391" s="20"/>
      <c r="AB391" s="417"/>
      <c r="AC391" s="200"/>
      <c r="AD391" s="160"/>
      <c r="AE391" s="162"/>
      <c r="AF391" s="171"/>
      <c r="AG391" s="176"/>
      <c r="AH391" s="115"/>
      <c r="AI391" s="113"/>
      <c r="AJ391" s="185"/>
      <c r="AK391" s="435"/>
      <c r="AL391" s="476"/>
      <c r="AM391" s="10"/>
    </row>
    <row r="392" spans="2:39" ht="26.25" hidden="1" customHeight="1" x14ac:dyDescent="0.35">
      <c r="B392" s="15"/>
      <c r="C392" s="6" t="s">
        <v>18</v>
      </c>
      <c r="D392" s="23" t="s">
        <v>72</v>
      </c>
      <c r="E392" s="106" t="s">
        <v>486</v>
      </c>
      <c r="F392" s="210"/>
      <c r="G392" s="13"/>
      <c r="H392" s="39"/>
      <c r="I392" s="309">
        <v>0</v>
      </c>
      <c r="J392" s="39">
        <f t="shared" si="117"/>
        <v>0</v>
      </c>
      <c r="K392" s="309">
        <f>R392/1.4</f>
        <v>0</v>
      </c>
      <c r="L392" s="230"/>
      <c r="M392" s="90"/>
      <c r="N392" s="140"/>
      <c r="O392" s="39"/>
      <c r="P392" s="490">
        <f t="shared" si="122"/>
        <v>0</v>
      </c>
      <c r="Q392" s="235" t="str">
        <f t="shared" si="116"/>
        <v>Д40х5х3</v>
      </c>
      <c r="R392" s="377">
        <f t="shared" si="121"/>
        <v>0</v>
      </c>
      <c r="S392" s="319">
        <v>0</v>
      </c>
      <c r="T392" s="353">
        <f t="shared" si="115"/>
        <v>0</v>
      </c>
      <c r="U392" s="20">
        <v>5</v>
      </c>
      <c r="V392" s="20">
        <f t="shared" si="119"/>
        <v>0</v>
      </c>
      <c r="W392" s="52">
        <f t="shared" si="123"/>
        <v>0</v>
      </c>
      <c r="X392" s="20">
        <v>5</v>
      </c>
      <c r="Y392" s="20">
        <v>1</v>
      </c>
      <c r="Z392" s="20"/>
      <c r="AA392" s="20"/>
      <c r="AB392" s="417"/>
      <c r="AC392" s="200"/>
      <c r="AD392" s="160"/>
      <c r="AE392" s="162"/>
      <c r="AF392" s="171"/>
      <c r="AG392" s="176"/>
      <c r="AH392" s="115"/>
      <c r="AI392" s="113"/>
      <c r="AJ392" s="185"/>
      <c r="AK392" s="435"/>
      <c r="AL392" s="476"/>
      <c r="AM392" s="10"/>
    </row>
    <row r="393" spans="2:39" ht="26.25" hidden="1" customHeight="1" x14ac:dyDescent="0.35">
      <c r="B393" s="15"/>
      <c r="C393" s="6" t="s">
        <v>18</v>
      </c>
      <c r="D393" s="23" t="s">
        <v>72</v>
      </c>
      <c r="E393" s="106" t="s">
        <v>487</v>
      </c>
      <c r="F393" s="210"/>
      <c r="G393" s="13"/>
      <c r="H393" s="39"/>
      <c r="I393" s="309">
        <v>0</v>
      </c>
      <c r="J393" s="39">
        <f t="shared" si="117"/>
        <v>0</v>
      </c>
      <c r="K393" s="309"/>
      <c r="L393" s="230"/>
      <c r="M393" s="90"/>
      <c r="N393" s="140"/>
      <c r="O393" s="39"/>
      <c r="P393" s="309">
        <f t="shared" si="122"/>
        <v>0</v>
      </c>
      <c r="Q393" s="235" t="str">
        <f t="shared" si="116"/>
        <v>Д40х5х2</v>
      </c>
      <c r="R393" s="377">
        <f t="shared" si="121"/>
        <v>0</v>
      </c>
      <c r="S393" s="319">
        <v>0</v>
      </c>
      <c r="T393" s="353">
        <f t="shared" si="115"/>
        <v>0</v>
      </c>
      <c r="U393" s="20">
        <v>2</v>
      </c>
      <c r="V393" s="20">
        <f t="shared" si="119"/>
        <v>0</v>
      </c>
      <c r="W393" s="52">
        <f t="shared" si="123"/>
        <v>0</v>
      </c>
      <c r="X393" s="20">
        <v>2</v>
      </c>
      <c r="Y393" s="20">
        <v>1</v>
      </c>
      <c r="Z393" s="20"/>
      <c r="AA393" s="20"/>
      <c r="AB393" s="417"/>
      <c r="AC393" s="200"/>
      <c r="AD393" s="160"/>
      <c r="AE393" s="162"/>
      <c r="AF393" s="171"/>
      <c r="AG393" s="176"/>
      <c r="AH393" s="115"/>
      <c r="AI393" s="113"/>
      <c r="AJ393" s="185"/>
      <c r="AK393" s="435"/>
      <c r="AL393" s="476"/>
      <c r="AM393" s="10"/>
    </row>
    <row r="394" spans="2:39" ht="26.25" hidden="1" customHeight="1" x14ac:dyDescent="0.35">
      <c r="B394" s="15"/>
      <c r="C394" s="6" t="s">
        <v>18</v>
      </c>
      <c r="D394" s="23" t="s">
        <v>72</v>
      </c>
      <c r="E394" s="104" t="s">
        <v>468</v>
      </c>
      <c r="F394" s="210">
        <v>1249</v>
      </c>
      <c r="G394" s="48" t="s">
        <v>0</v>
      </c>
      <c r="H394" s="39"/>
      <c r="I394" s="309">
        <v>0</v>
      </c>
      <c r="J394" s="39">
        <f t="shared" si="117"/>
        <v>0</v>
      </c>
      <c r="K394" s="309">
        <f t="shared" ref="K394:K402" si="124">R394/1.4</f>
        <v>1.68</v>
      </c>
      <c r="L394" s="230">
        <f>K394*J684</f>
        <v>0</v>
      </c>
      <c r="M394" s="154" t="s">
        <v>688</v>
      </c>
      <c r="N394" s="140"/>
      <c r="O394" s="503"/>
      <c r="P394" s="309">
        <f t="shared" si="122"/>
        <v>0</v>
      </c>
      <c r="Q394" s="235" t="str">
        <f t="shared" si="116"/>
        <v>П5х5х3</v>
      </c>
      <c r="R394" s="377">
        <f t="shared" si="121"/>
        <v>2.35</v>
      </c>
      <c r="S394" s="319">
        <v>1.96</v>
      </c>
      <c r="T394" s="353">
        <f t="shared" si="115"/>
        <v>0</v>
      </c>
      <c r="U394" s="20">
        <v>226</v>
      </c>
      <c r="V394" s="20">
        <f t="shared" si="119"/>
        <v>0</v>
      </c>
      <c r="W394" s="52">
        <f t="shared" si="123"/>
        <v>-140</v>
      </c>
      <c r="X394" s="148">
        <f>124+60+42-140</f>
        <v>86</v>
      </c>
      <c r="Y394" s="20"/>
      <c r="Z394" s="20"/>
      <c r="AA394" s="20">
        <v>300</v>
      </c>
      <c r="AB394" s="417"/>
      <c r="AC394" s="200"/>
      <c r="AD394" s="160"/>
      <c r="AE394" s="162"/>
      <c r="AF394" s="171"/>
      <c r="AG394" s="176"/>
      <c r="AH394" s="115"/>
      <c r="AI394" s="113"/>
      <c r="AJ394" s="185"/>
      <c r="AK394" s="435"/>
      <c r="AL394" s="476"/>
      <c r="AM394" s="10"/>
    </row>
    <row r="395" spans="2:39" ht="26.25" hidden="1" customHeight="1" x14ac:dyDescent="0.35">
      <c r="B395" s="15"/>
      <c r="C395" s="6" t="s">
        <v>18</v>
      </c>
      <c r="D395" s="23" t="s">
        <v>72</v>
      </c>
      <c r="E395" s="347" t="s">
        <v>481</v>
      </c>
      <c r="F395" s="210">
        <v>1235</v>
      </c>
      <c r="G395" s="13"/>
      <c r="H395" s="39"/>
      <c r="I395" s="309">
        <v>0</v>
      </c>
      <c r="J395" s="39">
        <f t="shared" si="117"/>
        <v>0</v>
      </c>
      <c r="K395" s="309">
        <f t="shared" si="124"/>
        <v>3.46</v>
      </c>
      <c r="L395" s="230"/>
      <c r="M395" s="155" t="s">
        <v>464</v>
      </c>
      <c r="N395" s="140"/>
      <c r="O395" s="39"/>
      <c r="P395" s="490">
        <f t="shared" si="122"/>
        <v>0</v>
      </c>
      <c r="Q395" s="263" t="str">
        <f t="shared" si="116"/>
        <v>Д16х3 ВМ-1950.5679.13.03.003</v>
      </c>
      <c r="R395" s="377">
        <f t="shared" si="121"/>
        <v>4.84</v>
      </c>
      <c r="S395" s="319">
        <v>4.03</v>
      </c>
      <c r="T395" s="353">
        <f t="shared" si="115"/>
        <v>0</v>
      </c>
      <c r="U395" s="20">
        <v>100</v>
      </c>
      <c r="V395" s="20">
        <f t="shared" si="119"/>
        <v>0</v>
      </c>
      <c r="W395" s="52">
        <f t="shared" si="123"/>
        <v>0</v>
      </c>
      <c r="X395" s="20">
        <v>100</v>
      </c>
      <c r="Y395" s="20">
        <v>1</v>
      </c>
      <c r="Z395" s="20"/>
      <c r="AA395" s="20"/>
      <c r="AB395" s="417"/>
      <c r="AC395" s="200"/>
      <c r="AD395" s="160"/>
      <c r="AE395" s="162"/>
      <c r="AF395" s="171"/>
      <c r="AG395" s="176"/>
      <c r="AH395" s="115"/>
      <c r="AI395" s="113"/>
      <c r="AJ395" s="185"/>
      <c r="AK395" s="435"/>
      <c r="AL395" s="476"/>
      <c r="AM395" s="10"/>
    </row>
    <row r="396" spans="2:39" ht="32.25" customHeight="1" x14ac:dyDescent="0.25">
      <c r="B396" s="11">
        <v>110</v>
      </c>
      <c r="C396" s="6" t="s">
        <v>18</v>
      </c>
      <c r="D396" s="23" t="s">
        <v>72</v>
      </c>
      <c r="E396" s="104" t="s">
        <v>97</v>
      </c>
      <c r="F396" s="208">
        <v>509</v>
      </c>
      <c r="G396" s="48" t="s">
        <v>0</v>
      </c>
      <c r="H396" s="39">
        <v>2000</v>
      </c>
      <c r="I396" s="360">
        <v>3260</v>
      </c>
      <c r="J396" s="39">
        <f t="shared" si="117"/>
        <v>0</v>
      </c>
      <c r="K396" s="309">
        <f t="shared" si="124"/>
        <v>1.63</v>
      </c>
      <c r="L396" s="230">
        <f>K396*J686</f>
        <v>0</v>
      </c>
      <c r="M396" s="233" t="s">
        <v>846</v>
      </c>
      <c r="N396" s="41"/>
      <c r="O396" s="503">
        <v>2000</v>
      </c>
      <c r="P396" s="309">
        <f t="shared" si="122"/>
        <v>3260</v>
      </c>
      <c r="Q396" s="235" t="str">
        <f t="shared" si="116"/>
        <v>П3х6х7</v>
      </c>
      <c r="R396" s="377">
        <f t="shared" si="121"/>
        <v>2.2799999999999998</v>
      </c>
      <c r="S396" s="319">
        <v>1.9</v>
      </c>
      <c r="T396" s="353">
        <f t="shared" si="115"/>
        <v>0</v>
      </c>
      <c r="U396" s="20">
        <v>3140</v>
      </c>
      <c r="V396" s="20">
        <f t="shared" si="119"/>
        <v>0</v>
      </c>
      <c r="W396" s="52">
        <f t="shared" si="123"/>
        <v>0</v>
      </c>
      <c r="X396" s="20">
        <f>1920*2+100-800</f>
        <v>3140</v>
      </c>
      <c r="Y396" s="20"/>
      <c r="Z396" s="20"/>
      <c r="AA396" s="20">
        <v>5200</v>
      </c>
      <c r="AB396" s="417"/>
      <c r="AC396" s="200"/>
      <c r="AD396" s="160">
        <v>0.36499999999999999</v>
      </c>
      <c r="AE396" s="163"/>
      <c r="AF396" s="171"/>
      <c r="AG396" s="192">
        <v>1</v>
      </c>
      <c r="AH396" s="16"/>
      <c r="AI396" s="16"/>
      <c r="AJ396" s="185">
        <f>X396*AD396</f>
        <v>1146.0999999999999</v>
      </c>
      <c r="AK396" s="435"/>
      <c r="AL396" s="476"/>
      <c r="AM396" s="10"/>
    </row>
    <row r="397" spans="2:39" ht="26.25" hidden="1" customHeight="1" x14ac:dyDescent="0.25">
      <c r="B397" s="19"/>
      <c r="C397" s="6" t="s">
        <v>18</v>
      </c>
      <c r="D397" s="23" t="s">
        <v>72</v>
      </c>
      <c r="E397" s="104" t="s">
        <v>92</v>
      </c>
      <c r="F397" s="208">
        <v>557</v>
      </c>
      <c r="G397" s="48" t="s">
        <v>0</v>
      </c>
      <c r="H397" s="39"/>
      <c r="I397" s="360">
        <v>0</v>
      </c>
      <c r="J397" s="39">
        <f t="shared" si="117"/>
        <v>0</v>
      </c>
      <c r="K397" s="309">
        <f t="shared" si="124"/>
        <v>1.63</v>
      </c>
      <c r="L397" s="230">
        <f>K397*J687</f>
        <v>0</v>
      </c>
      <c r="M397" s="68" t="s">
        <v>847</v>
      </c>
      <c r="N397" s="140"/>
      <c r="O397" s="503"/>
      <c r="P397" s="309">
        <f t="shared" si="122"/>
        <v>0</v>
      </c>
      <c r="Q397" s="235" t="str">
        <f t="shared" si="116"/>
        <v>П5х5х2</v>
      </c>
      <c r="R397" s="306">
        <f t="shared" si="121"/>
        <v>2.2799999999999998</v>
      </c>
      <c r="S397" s="319">
        <v>1.9</v>
      </c>
      <c r="T397" s="353">
        <f t="shared" ref="T397:T422" si="125">S397*J397</f>
        <v>0</v>
      </c>
      <c r="U397" s="70">
        <v>437</v>
      </c>
      <c r="V397" s="20">
        <f t="shared" si="119"/>
        <v>0</v>
      </c>
      <c r="W397" s="52">
        <f t="shared" si="123"/>
        <v>0</v>
      </c>
      <c r="X397" s="148">
        <f>257+191+27+36+100+26-200</f>
        <v>437</v>
      </c>
      <c r="Y397" s="20"/>
      <c r="Z397" s="20"/>
      <c r="AA397" s="20">
        <v>600</v>
      </c>
      <c r="AB397" s="417"/>
      <c r="AC397" s="200"/>
      <c r="AD397" s="160"/>
      <c r="AE397" s="163"/>
      <c r="AF397" s="171"/>
      <c r="AG397" s="192">
        <v>0.4</v>
      </c>
      <c r="AH397" s="16"/>
      <c r="AI397" s="16"/>
      <c r="AJ397" s="185">
        <f>X397*AD397</f>
        <v>0</v>
      </c>
      <c r="AK397" s="435"/>
      <c r="AL397" s="476"/>
      <c r="AM397" s="10"/>
    </row>
    <row r="398" spans="2:39" ht="26.25" hidden="1" customHeight="1" x14ac:dyDescent="0.25">
      <c r="B398" s="19"/>
      <c r="C398" s="6" t="s">
        <v>18</v>
      </c>
      <c r="D398" s="23" t="s">
        <v>72</v>
      </c>
      <c r="E398" s="104" t="s">
        <v>670</v>
      </c>
      <c r="F398" s="208">
        <v>1416</v>
      </c>
      <c r="G398" s="48"/>
      <c r="H398" s="39"/>
      <c r="I398" s="360">
        <v>0</v>
      </c>
      <c r="J398" s="39">
        <f t="shared" si="117"/>
        <v>0</v>
      </c>
      <c r="K398" s="309">
        <f t="shared" si="124"/>
        <v>1.63</v>
      </c>
      <c r="L398" s="230"/>
      <c r="M398" s="234" t="s">
        <v>689</v>
      </c>
      <c r="N398" s="140"/>
      <c r="O398" s="503"/>
      <c r="P398" s="309">
        <f t="shared" si="122"/>
        <v>0</v>
      </c>
      <c r="Q398" s="235"/>
      <c r="R398" s="306">
        <f t="shared" si="121"/>
        <v>2.2799999999999998</v>
      </c>
      <c r="S398" s="319">
        <v>1.9</v>
      </c>
      <c r="T398" s="353">
        <f t="shared" si="125"/>
        <v>0</v>
      </c>
      <c r="U398" s="70">
        <v>20</v>
      </c>
      <c r="V398" s="20">
        <f t="shared" si="119"/>
        <v>0</v>
      </c>
      <c r="W398" s="52"/>
      <c r="X398" s="70">
        <v>20</v>
      </c>
      <c r="Y398" s="20"/>
      <c r="Z398" s="20"/>
      <c r="AA398" s="20"/>
      <c r="AB398" s="417"/>
      <c r="AC398" s="200"/>
      <c r="AD398" s="160"/>
      <c r="AE398" s="163"/>
      <c r="AF398" s="171"/>
      <c r="AG398" s="192"/>
      <c r="AH398" s="16"/>
      <c r="AI398" s="16"/>
      <c r="AJ398" s="185"/>
      <c r="AK398" s="435"/>
      <c r="AL398" s="476"/>
      <c r="AM398" s="10"/>
    </row>
    <row r="399" spans="2:39" ht="26.25" customHeight="1" x14ac:dyDescent="0.25">
      <c r="B399" s="11">
        <v>111</v>
      </c>
      <c r="C399" s="6" t="s">
        <v>18</v>
      </c>
      <c r="D399" s="23" t="s">
        <v>72</v>
      </c>
      <c r="E399" s="104" t="s">
        <v>145</v>
      </c>
      <c r="F399" s="208">
        <v>726</v>
      </c>
      <c r="G399" s="48" t="s">
        <v>0</v>
      </c>
      <c r="H399" s="40">
        <v>290</v>
      </c>
      <c r="I399" s="360">
        <v>1467.4</v>
      </c>
      <c r="J399" s="39">
        <f t="shared" si="117"/>
        <v>0</v>
      </c>
      <c r="K399" s="309">
        <f t="shared" si="124"/>
        <v>5.0599999999999996</v>
      </c>
      <c r="L399" s="230">
        <f>K399*J689</f>
        <v>0</v>
      </c>
      <c r="M399" s="367"/>
      <c r="N399" s="41">
        <v>20</v>
      </c>
      <c r="O399" s="504">
        <v>270</v>
      </c>
      <c r="P399" s="309">
        <f t="shared" si="122"/>
        <v>1366.2</v>
      </c>
      <c r="Q399" s="235" t="str">
        <f t="shared" ref="Q399:Q404" si="126">E399</f>
        <v>П7х7х4,8</v>
      </c>
      <c r="R399" s="377">
        <f t="shared" si="121"/>
        <v>7.08</v>
      </c>
      <c r="S399" s="343">
        <v>5.9</v>
      </c>
      <c r="T399" s="353">
        <f t="shared" si="125"/>
        <v>0</v>
      </c>
      <c r="U399" s="18">
        <v>757</v>
      </c>
      <c r="V399" s="20">
        <f t="shared" si="119"/>
        <v>20</v>
      </c>
      <c r="W399" s="52">
        <f t="shared" ref="W399:W404" si="127">X399-U399+V399</f>
        <v>20</v>
      </c>
      <c r="X399" s="18">
        <f>350+407</f>
        <v>757</v>
      </c>
      <c r="Y399" s="18">
        <v>1</v>
      </c>
      <c r="Z399" s="18"/>
      <c r="AA399" s="18"/>
      <c r="AB399" s="418"/>
      <c r="AC399" s="200"/>
      <c r="AD399" s="160">
        <v>0.61</v>
      </c>
      <c r="AE399" s="165"/>
      <c r="AF399" s="160"/>
      <c r="AG399" s="192">
        <v>1.9</v>
      </c>
      <c r="AH399" s="16"/>
      <c r="AI399" s="16"/>
      <c r="AJ399" s="185">
        <f>X399*AD399</f>
        <v>461.8</v>
      </c>
      <c r="AK399" s="435"/>
      <c r="AL399" s="476"/>
      <c r="AM399" s="10"/>
    </row>
    <row r="400" spans="2:39" ht="26.25" hidden="1" customHeight="1" x14ac:dyDescent="0.25">
      <c r="B400" s="11"/>
      <c r="C400" s="6" t="s">
        <v>18</v>
      </c>
      <c r="D400" s="23" t="s">
        <v>72</v>
      </c>
      <c r="E400" s="104" t="s">
        <v>273</v>
      </c>
      <c r="F400" s="208">
        <v>758</v>
      </c>
      <c r="G400" s="48" t="s">
        <v>0</v>
      </c>
      <c r="H400" s="40"/>
      <c r="I400" s="360">
        <v>0</v>
      </c>
      <c r="J400" s="39">
        <f t="shared" si="117"/>
        <v>0</v>
      </c>
      <c r="K400" s="309">
        <f t="shared" si="124"/>
        <v>7.31</v>
      </c>
      <c r="L400" s="230"/>
      <c r="M400" s="366" t="s">
        <v>611</v>
      </c>
      <c r="N400" s="140"/>
      <c r="O400" s="40"/>
      <c r="P400" s="469">
        <f t="shared" si="122"/>
        <v>0</v>
      </c>
      <c r="Q400" s="51" t="str">
        <f t="shared" si="126"/>
        <v>П7х7х2,5</v>
      </c>
      <c r="R400" s="377">
        <f t="shared" si="121"/>
        <v>10.24</v>
      </c>
      <c r="S400" s="343">
        <v>8.5299999999999994</v>
      </c>
      <c r="T400" s="353">
        <f t="shared" si="125"/>
        <v>0</v>
      </c>
      <c r="U400" s="18">
        <v>3</v>
      </c>
      <c r="V400" s="20">
        <f t="shared" si="119"/>
        <v>0</v>
      </c>
      <c r="W400" s="52">
        <f t="shared" si="127"/>
        <v>0</v>
      </c>
      <c r="X400" s="18">
        <f>6-3</f>
        <v>3</v>
      </c>
      <c r="Y400" s="18">
        <v>1</v>
      </c>
      <c r="Z400" s="18"/>
      <c r="AA400" s="18"/>
      <c r="AB400" s="418"/>
      <c r="AC400" s="200"/>
      <c r="AD400" s="160"/>
      <c r="AE400" s="165"/>
      <c r="AF400" s="160"/>
      <c r="AG400" s="192"/>
      <c r="AH400" s="16"/>
      <c r="AI400" s="30"/>
      <c r="AJ400" s="185"/>
      <c r="AK400" s="137"/>
      <c r="AL400" s="476"/>
      <c r="AM400" s="10"/>
    </row>
    <row r="401" spans="1:50" ht="26.25" hidden="1" customHeight="1" x14ac:dyDescent="0.25">
      <c r="B401" s="11"/>
      <c r="C401" s="6" t="s">
        <v>18</v>
      </c>
      <c r="D401" s="23" t="s">
        <v>72</v>
      </c>
      <c r="E401" s="104" t="s">
        <v>484</v>
      </c>
      <c r="F401" s="270">
        <v>494</v>
      </c>
      <c r="G401" s="48"/>
      <c r="H401" s="40"/>
      <c r="I401" s="309">
        <v>0</v>
      </c>
      <c r="J401" s="39">
        <f t="shared" si="117"/>
        <v>0</v>
      </c>
      <c r="K401" s="309">
        <f t="shared" si="124"/>
        <v>4.5</v>
      </c>
      <c r="L401" s="230"/>
      <c r="M401" s="234" t="s">
        <v>657</v>
      </c>
      <c r="N401" s="140"/>
      <c r="O401" s="504"/>
      <c r="P401" s="309">
        <f t="shared" si="122"/>
        <v>0</v>
      </c>
      <c r="Q401" s="262" t="str">
        <f t="shared" si="126"/>
        <v>П14х7х2,4</v>
      </c>
      <c r="R401" s="377">
        <f t="shared" si="121"/>
        <v>6.3</v>
      </c>
      <c r="S401" s="343">
        <v>5.25</v>
      </c>
      <c r="T401" s="353">
        <f t="shared" si="125"/>
        <v>0</v>
      </c>
      <c r="U401" s="18">
        <v>79</v>
      </c>
      <c r="V401" s="20">
        <f t="shared" si="119"/>
        <v>0</v>
      </c>
      <c r="W401" s="52">
        <f t="shared" si="127"/>
        <v>0</v>
      </c>
      <c r="X401" s="18">
        <v>79</v>
      </c>
      <c r="Y401" s="18">
        <v>1</v>
      </c>
      <c r="Z401" s="18"/>
      <c r="AA401" s="18"/>
      <c r="AB401" s="418"/>
      <c r="AC401" s="200"/>
      <c r="AD401" s="160"/>
      <c r="AE401" s="165"/>
      <c r="AF401" s="160"/>
      <c r="AG401" s="192"/>
      <c r="AH401" s="16"/>
      <c r="AI401" s="30"/>
      <c r="AJ401" s="185"/>
      <c r="AK401" s="137"/>
      <c r="AL401" s="476"/>
      <c r="AM401" s="10"/>
    </row>
    <row r="402" spans="1:50" ht="26.25" hidden="1" customHeight="1" x14ac:dyDescent="0.25">
      <c r="B402" s="11"/>
      <c r="C402" s="6" t="s">
        <v>18</v>
      </c>
      <c r="D402" s="23" t="s">
        <v>72</v>
      </c>
      <c r="E402" s="104" t="s">
        <v>485</v>
      </c>
      <c r="F402" s="270"/>
      <c r="G402" s="48"/>
      <c r="H402" s="40"/>
      <c r="I402" s="309">
        <v>0</v>
      </c>
      <c r="J402" s="39">
        <f t="shared" si="117"/>
        <v>0</v>
      </c>
      <c r="K402" s="309">
        <f t="shared" si="124"/>
        <v>0</v>
      </c>
      <c r="L402" s="230"/>
      <c r="M402" s="64"/>
      <c r="N402" s="140"/>
      <c r="O402" s="40"/>
      <c r="P402" s="490">
        <f t="shared" si="122"/>
        <v>0</v>
      </c>
      <c r="Q402" s="263" t="str">
        <f t="shared" si="126"/>
        <v>П7х6х3</v>
      </c>
      <c r="R402" s="377">
        <f t="shared" si="121"/>
        <v>0</v>
      </c>
      <c r="S402" s="343">
        <v>0</v>
      </c>
      <c r="T402" s="353">
        <f t="shared" si="125"/>
        <v>0</v>
      </c>
      <c r="U402" s="18">
        <v>9</v>
      </c>
      <c r="V402" s="20">
        <f t="shared" si="119"/>
        <v>0</v>
      </c>
      <c r="W402" s="52">
        <f t="shared" si="127"/>
        <v>0</v>
      </c>
      <c r="X402" s="18">
        <v>9</v>
      </c>
      <c r="Y402" s="18">
        <v>1</v>
      </c>
      <c r="Z402" s="18"/>
      <c r="AA402" s="18"/>
      <c r="AB402" s="418"/>
      <c r="AC402" s="200"/>
      <c r="AD402" s="160"/>
      <c r="AE402" s="165"/>
      <c r="AF402" s="160"/>
      <c r="AG402" s="192"/>
      <c r="AH402" s="16"/>
      <c r="AI402" s="30"/>
      <c r="AJ402" s="185"/>
      <c r="AK402" s="137"/>
      <c r="AL402" s="476"/>
      <c r="AM402" s="10"/>
    </row>
    <row r="403" spans="1:50" ht="26.25" customHeight="1" x14ac:dyDescent="0.25">
      <c r="B403" s="11">
        <v>112</v>
      </c>
      <c r="C403" s="6" t="s">
        <v>18</v>
      </c>
      <c r="D403" s="23" t="s">
        <v>72</v>
      </c>
      <c r="E403" s="107" t="s">
        <v>496</v>
      </c>
      <c r="F403" s="526">
        <v>1268</v>
      </c>
      <c r="G403" s="48" t="s">
        <v>0</v>
      </c>
      <c r="H403" s="40">
        <v>2</v>
      </c>
      <c r="I403" s="360">
        <v>12.26</v>
      </c>
      <c r="J403" s="39">
        <f t="shared" si="117"/>
        <v>0</v>
      </c>
      <c r="K403" s="309">
        <v>6.13</v>
      </c>
      <c r="L403" s="230">
        <f>K403*J693</f>
        <v>0</v>
      </c>
      <c r="M403" s="368"/>
      <c r="N403" s="41"/>
      <c r="O403" s="504">
        <v>2</v>
      </c>
      <c r="P403" s="309">
        <f t="shared" si="122"/>
        <v>12.26</v>
      </c>
      <c r="Q403" s="235" t="str">
        <f t="shared" si="126"/>
        <v>П10х10х4</v>
      </c>
      <c r="R403" s="377">
        <f t="shared" si="121"/>
        <v>8.58</v>
      </c>
      <c r="S403" s="343">
        <v>7.15</v>
      </c>
      <c r="T403" s="353">
        <f t="shared" si="125"/>
        <v>0</v>
      </c>
      <c r="U403" s="18">
        <v>8</v>
      </c>
      <c r="V403" s="20">
        <f t="shared" si="119"/>
        <v>0</v>
      </c>
      <c r="W403" s="52">
        <f t="shared" si="127"/>
        <v>0</v>
      </c>
      <c r="X403" s="18">
        <v>8</v>
      </c>
      <c r="Y403" s="18">
        <v>1</v>
      </c>
      <c r="Z403" s="18"/>
      <c r="AA403" s="18"/>
      <c r="AB403" s="418"/>
      <c r="AC403" s="200"/>
      <c r="AD403" s="160"/>
      <c r="AE403" s="163"/>
      <c r="AF403" s="171"/>
      <c r="AG403" s="192">
        <v>1.9</v>
      </c>
      <c r="AH403" s="128"/>
      <c r="AI403" s="129"/>
      <c r="AJ403" s="185">
        <f>X403*AD403</f>
        <v>0</v>
      </c>
      <c r="AK403" s="10"/>
      <c r="AL403" s="476"/>
      <c r="AM403" s="10"/>
    </row>
    <row r="404" spans="1:50" ht="26.25" hidden="1" customHeight="1" x14ac:dyDescent="0.25">
      <c r="B404" s="11"/>
      <c r="C404" s="6" t="s">
        <v>18</v>
      </c>
      <c r="D404" s="23" t="s">
        <v>72</v>
      </c>
      <c r="E404" s="107" t="s">
        <v>664</v>
      </c>
      <c r="F404" s="386">
        <v>1255</v>
      </c>
      <c r="G404" s="12"/>
      <c r="H404" s="40"/>
      <c r="I404" s="309">
        <v>0</v>
      </c>
      <c r="J404" s="39">
        <f t="shared" si="117"/>
        <v>0</v>
      </c>
      <c r="K404" s="309">
        <f>R404/1.4</f>
        <v>12</v>
      </c>
      <c r="L404" s="230"/>
      <c r="M404" s="96" t="s">
        <v>475</v>
      </c>
      <c r="N404" s="140"/>
      <c r="O404" s="40"/>
      <c r="P404" s="490">
        <f t="shared" si="122"/>
        <v>0</v>
      </c>
      <c r="Q404" s="262" t="str">
        <f t="shared" si="126"/>
        <v>П12х10х20 (скл. Интеграл)</v>
      </c>
      <c r="R404" s="377">
        <f t="shared" si="121"/>
        <v>16.8</v>
      </c>
      <c r="S404" s="343">
        <v>14</v>
      </c>
      <c r="T404" s="353">
        <f t="shared" si="125"/>
        <v>0</v>
      </c>
      <c r="U404" s="18">
        <v>8</v>
      </c>
      <c r="V404" s="20">
        <f t="shared" si="119"/>
        <v>0</v>
      </c>
      <c r="W404" s="52">
        <f t="shared" si="127"/>
        <v>0</v>
      </c>
      <c r="X404" s="18">
        <v>8</v>
      </c>
      <c r="Y404" s="18">
        <v>1</v>
      </c>
      <c r="Z404" s="18"/>
      <c r="AA404" s="18"/>
      <c r="AB404" s="418"/>
      <c r="AC404" s="200"/>
      <c r="AD404" s="160"/>
      <c r="AE404" s="163"/>
      <c r="AF404" s="171"/>
      <c r="AG404" s="192">
        <v>8</v>
      </c>
      <c r="AH404" s="128"/>
      <c r="AI404" s="129"/>
      <c r="AJ404" s="185">
        <f>X404*AD404</f>
        <v>0</v>
      </c>
      <c r="AK404" s="10"/>
      <c r="AL404" s="476"/>
      <c r="AM404" s="10"/>
    </row>
    <row r="405" spans="1:50" ht="26.25" hidden="1" customHeight="1" x14ac:dyDescent="0.25">
      <c r="B405" s="11"/>
      <c r="C405" s="6"/>
      <c r="D405" s="23"/>
      <c r="E405" s="1" t="s">
        <v>330</v>
      </c>
      <c r="F405" s="386"/>
      <c r="G405" s="12"/>
      <c r="H405" s="40"/>
      <c r="I405" s="309"/>
      <c r="J405" s="39">
        <f t="shared" si="117"/>
        <v>0</v>
      </c>
      <c r="K405" s="309"/>
      <c r="L405" s="230"/>
      <c r="M405" s="96"/>
      <c r="N405" s="140"/>
      <c r="O405" s="40"/>
      <c r="P405" s="309"/>
      <c r="Q405" s="262"/>
      <c r="R405" s="377"/>
      <c r="S405" s="343"/>
      <c r="T405" s="353">
        <f t="shared" si="125"/>
        <v>0</v>
      </c>
      <c r="U405" s="18"/>
      <c r="V405" s="20">
        <f t="shared" si="119"/>
        <v>0</v>
      </c>
      <c r="W405" s="52"/>
      <c r="X405" s="18"/>
      <c r="Y405" s="18"/>
      <c r="Z405" s="18"/>
      <c r="AA405" s="18"/>
      <c r="AB405" s="418"/>
      <c r="AC405" s="200"/>
      <c r="AD405" s="160"/>
      <c r="AE405" s="163"/>
      <c r="AF405" s="171"/>
      <c r="AG405" s="192"/>
      <c r="AH405" s="128"/>
      <c r="AI405" s="129"/>
      <c r="AJ405" s="185"/>
      <c r="AK405" s="10"/>
      <c r="AL405" s="476"/>
      <c r="AM405" s="10"/>
    </row>
    <row r="406" spans="1:50" ht="26.25" hidden="1" customHeight="1" x14ac:dyDescent="0.25">
      <c r="B406" s="11"/>
      <c r="C406" s="6" t="s">
        <v>18</v>
      </c>
      <c r="D406" s="23" t="s">
        <v>72</v>
      </c>
      <c r="E406" s="1" t="s">
        <v>249</v>
      </c>
      <c r="F406" s="386">
        <v>1222</v>
      </c>
      <c r="G406" s="12"/>
      <c r="H406" s="40"/>
      <c r="I406" s="309">
        <v>0</v>
      </c>
      <c r="J406" s="39">
        <f t="shared" si="117"/>
        <v>0</v>
      </c>
      <c r="K406" s="309">
        <f t="shared" ref="K406:K432" si="128">R406/1.4</f>
        <v>7.97</v>
      </c>
      <c r="L406" s="230"/>
      <c r="M406" s="96" t="s">
        <v>335</v>
      </c>
      <c r="N406" s="140"/>
      <c r="O406" s="40"/>
      <c r="P406" s="309">
        <f t="shared" ref="P406:P420" si="129">K406*O406</f>
        <v>0</v>
      </c>
      <c r="Q406" s="235" t="str">
        <f t="shared" ref="Q406:Q432" si="130">E406</f>
        <v>П20х10х7,5</v>
      </c>
      <c r="R406" s="377">
        <f t="shared" ref="R406:R432" si="131">S406*1.2</f>
        <v>11.16</v>
      </c>
      <c r="S406" s="343">
        <v>9.3000000000000007</v>
      </c>
      <c r="T406" s="353">
        <f t="shared" si="125"/>
        <v>0</v>
      </c>
      <c r="U406" s="18">
        <v>680</v>
      </c>
      <c r="V406" s="20">
        <f t="shared" si="119"/>
        <v>0</v>
      </c>
      <c r="W406" s="52">
        <f t="shared" ref="W406:W421" si="132">X406-U406+V406</f>
        <v>0</v>
      </c>
      <c r="X406" s="18">
        <f>162*4+32</f>
        <v>680</v>
      </c>
      <c r="Y406" s="18">
        <v>1</v>
      </c>
      <c r="Z406" s="18"/>
      <c r="AA406" s="18"/>
      <c r="AB406" s="418"/>
      <c r="AC406" s="200"/>
      <c r="AD406" s="160"/>
      <c r="AE406" s="163"/>
      <c r="AF406" s="171"/>
      <c r="AG406" s="192">
        <v>12</v>
      </c>
      <c r="AH406" s="128"/>
      <c r="AI406" s="129"/>
      <c r="AJ406" s="185">
        <f>X406*AD406</f>
        <v>0</v>
      </c>
      <c r="AK406" s="10"/>
      <c r="AL406" s="476"/>
      <c r="AM406" s="10"/>
    </row>
    <row r="407" spans="1:50" ht="26.25" hidden="1" customHeight="1" x14ac:dyDescent="0.25">
      <c r="B407" s="19"/>
      <c r="C407" s="6" t="s">
        <v>18</v>
      </c>
      <c r="D407" s="23" t="s">
        <v>72</v>
      </c>
      <c r="E407" s="106" t="s">
        <v>247</v>
      </c>
      <c r="F407" s="386"/>
      <c r="G407" s="13" t="s">
        <v>0</v>
      </c>
      <c r="H407" s="39"/>
      <c r="I407" s="309">
        <v>0</v>
      </c>
      <c r="J407" s="39">
        <f t="shared" si="117"/>
        <v>0</v>
      </c>
      <c r="K407" s="309">
        <f t="shared" si="128"/>
        <v>197.14</v>
      </c>
      <c r="L407" s="230"/>
      <c r="M407" s="217" t="s">
        <v>279</v>
      </c>
      <c r="N407" s="140"/>
      <c r="O407" s="39"/>
      <c r="P407" s="309">
        <f t="shared" si="129"/>
        <v>0</v>
      </c>
      <c r="Q407" s="235" t="str">
        <f t="shared" si="130"/>
        <v>П30х30х15</v>
      </c>
      <c r="R407" s="377">
        <f t="shared" si="131"/>
        <v>276</v>
      </c>
      <c r="S407" s="319">
        <v>230</v>
      </c>
      <c r="T407" s="353">
        <f t="shared" si="125"/>
        <v>0</v>
      </c>
      <c r="U407" s="18">
        <v>2</v>
      </c>
      <c r="V407" s="20">
        <f t="shared" si="119"/>
        <v>0</v>
      </c>
      <c r="W407" s="52">
        <f t="shared" si="132"/>
        <v>0</v>
      </c>
      <c r="X407" s="18">
        <v>2</v>
      </c>
      <c r="Y407" s="18">
        <v>1</v>
      </c>
      <c r="Z407" s="18"/>
      <c r="AA407" s="18"/>
      <c r="AB407" s="418"/>
      <c r="AC407" s="200"/>
      <c r="AD407" s="160"/>
      <c r="AE407" s="163"/>
      <c r="AF407" s="171"/>
      <c r="AG407" s="192">
        <v>108</v>
      </c>
      <c r="AH407" s="16"/>
      <c r="AI407" s="16"/>
      <c r="AJ407" s="185">
        <f>X407*AD407</f>
        <v>0</v>
      </c>
      <c r="AK407" s="435"/>
      <c r="AL407" s="476"/>
      <c r="AM407" s="10"/>
    </row>
    <row r="408" spans="1:50" ht="26.25" hidden="1" customHeight="1" x14ac:dyDescent="0.25">
      <c r="B408" s="19"/>
      <c r="C408" s="6" t="s">
        <v>18</v>
      </c>
      <c r="D408" s="23" t="s">
        <v>72</v>
      </c>
      <c r="E408" s="106" t="s">
        <v>483</v>
      </c>
      <c r="F408" s="386"/>
      <c r="G408" s="13"/>
      <c r="H408" s="39"/>
      <c r="I408" s="309">
        <v>0</v>
      </c>
      <c r="J408" s="39">
        <f t="shared" si="117"/>
        <v>0</v>
      </c>
      <c r="K408" s="309">
        <f t="shared" si="128"/>
        <v>14.66</v>
      </c>
      <c r="L408" s="230">
        <f>K408*J698</f>
        <v>0</v>
      </c>
      <c r="M408" s="90"/>
      <c r="N408" s="140"/>
      <c r="O408" s="39"/>
      <c r="P408" s="309">
        <f t="shared" si="129"/>
        <v>0</v>
      </c>
      <c r="Q408" s="235" t="str">
        <f t="shared" si="130"/>
        <v>П55х24х3</v>
      </c>
      <c r="R408" s="377">
        <f t="shared" si="131"/>
        <v>20.52</v>
      </c>
      <c r="S408" s="319">
        <v>17.100000000000001</v>
      </c>
      <c r="T408" s="353">
        <f t="shared" si="125"/>
        <v>0</v>
      </c>
      <c r="U408" s="18">
        <v>139</v>
      </c>
      <c r="V408" s="20">
        <f t="shared" si="119"/>
        <v>0</v>
      </c>
      <c r="W408" s="52">
        <f t="shared" si="132"/>
        <v>0</v>
      </c>
      <c r="X408" s="18">
        <f>16*8+11</f>
        <v>139</v>
      </c>
      <c r="Y408" s="18">
        <v>1</v>
      </c>
      <c r="Z408" s="18"/>
      <c r="AA408" s="18"/>
      <c r="AB408" s="418"/>
      <c r="AC408" s="200"/>
      <c r="AD408" s="160"/>
      <c r="AE408" s="163"/>
      <c r="AF408" s="171"/>
      <c r="AG408" s="192">
        <v>31.5</v>
      </c>
      <c r="AH408" s="16"/>
      <c r="AI408" s="16"/>
      <c r="AJ408" s="185">
        <f>X408*AD408</f>
        <v>0</v>
      </c>
      <c r="AK408" s="435"/>
      <c r="AL408" s="476"/>
      <c r="AM408" s="10"/>
    </row>
    <row r="409" spans="1:50" ht="26.25" hidden="1" customHeight="1" x14ac:dyDescent="0.25">
      <c r="B409" s="19"/>
      <c r="C409" s="6" t="s">
        <v>18</v>
      </c>
      <c r="D409" s="23" t="s">
        <v>72</v>
      </c>
      <c r="E409" s="106" t="s">
        <v>254</v>
      </c>
      <c r="F409" s="386"/>
      <c r="G409" s="13"/>
      <c r="H409" s="39"/>
      <c r="I409" s="309">
        <v>0</v>
      </c>
      <c r="J409" s="39">
        <f t="shared" ref="J409:J432" si="133">N409+O409-H409</f>
        <v>0</v>
      </c>
      <c r="K409" s="309">
        <f t="shared" si="128"/>
        <v>0</v>
      </c>
      <c r="L409" s="230"/>
      <c r="M409" s="90"/>
      <c r="N409" s="140"/>
      <c r="O409" s="39"/>
      <c r="P409" s="309">
        <f t="shared" si="129"/>
        <v>0</v>
      </c>
      <c r="Q409" s="235" t="str">
        <f t="shared" si="130"/>
        <v>П26х19х3</v>
      </c>
      <c r="R409" s="377">
        <f t="shared" si="131"/>
        <v>0</v>
      </c>
      <c r="S409" s="319">
        <v>0</v>
      </c>
      <c r="T409" s="353">
        <f t="shared" si="125"/>
        <v>0</v>
      </c>
      <c r="U409" s="18">
        <v>4</v>
      </c>
      <c r="V409" s="20">
        <f t="shared" si="119"/>
        <v>0</v>
      </c>
      <c r="W409" s="52">
        <f t="shared" si="132"/>
        <v>0</v>
      </c>
      <c r="X409" s="18">
        <v>4</v>
      </c>
      <c r="Y409" s="18">
        <v>1</v>
      </c>
      <c r="Z409" s="18"/>
      <c r="AA409" s="18"/>
      <c r="AB409" s="418"/>
      <c r="AC409" s="200"/>
      <c r="AD409" s="160"/>
      <c r="AE409" s="163"/>
      <c r="AF409" s="171"/>
      <c r="AG409" s="192"/>
      <c r="AH409" s="16"/>
      <c r="AI409" s="16"/>
      <c r="AJ409" s="185"/>
      <c r="AK409" s="435"/>
      <c r="AL409" s="476"/>
      <c r="AM409" s="10"/>
    </row>
    <row r="410" spans="1:50" ht="26.25" hidden="1" customHeight="1" x14ac:dyDescent="0.25">
      <c r="B410" s="19"/>
      <c r="C410" s="6" t="s">
        <v>18</v>
      </c>
      <c r="D410" s="23" t="s">
        <v>72</v>
      </c>
      <c r="E410" s="106" t="s">
        <v>387</v>
      </c>
      <c r="F410" s="386"/>
      <c r="G410" s="13"/>
      <c r="H410" s="39"/>
      <c r="I410" s="309">
        <v>0</v>
      </c>
      <c r="J410" s="39">
        <f t="shared" si="133"/>
        <v>0</v>
      </c>
      <c r="K410" s="309">
        <f t="shared" si="128"/>
        <v>0</v>
      </c>
      <c r="L410" s="230"/>
      <c r="M410" s="90"/>
      <c r="N410" s="140"/>
      <c r="O410" s="39"/>
      <c r="P410" s="309">
        <f t="shared" si="129"/>
        <v>0</v>
      </c>
      <c r="Q410" s="235" t="str">
        <f t="shared" si="130"/>
        <v>П20х10х5</v>
      </c>
      <c r="R410" s="377">
        <f t="shared" si="131"/>
        <v>0</v>
      </c>
      <c r="S410" s="319">
        <v>0</v>
      </c>
      <c r="T410" s="353">
        <f t="shared" si="125"/>
        <v>0</v>
      </c>
      <c r="U410" s="18">
        <v>40</v>
      </c>
      <c r="V410" s="20">
        <f t="shared" si="119"/>
        <v>0</v>
      </c>
      <c r="W410" s="52">
        <f t="shared" si="132"/>
        <v>0</v>
      </c>
      <c r="X410" s="18">
        <v>40</v>
      </c>
      <c r="Y410" s="18">
        <v>1</v>
      </c>
      <c r="Z410" s="18"/>
      <c r="AA410" s="18"/>
      <c r="AB410" s="418"/>
      <c r="AC410" s="200"/>
      <c r="AD410" s="160"/>
      <c r="AE410" s="163"/>
      <c r="AF410" s="171"/>
      <c r="AG410" s="192"/>
      <c r="AH410" s="16"/>
      <c r="AI410" s="16"/>
      <c r="AJ410" s="185"/>
      <c r="AK410" s="435"/>
      <c r="AL410" s="476"/>
      <c r="AM410" s="10"/>
    </row>
    <row r="411" spans="1:50" ht="26.25" hidden="1" customHeight="1" x14ac:dyDescent="0.25">
      <c r="B411" s="19"/>
      <c r="C411" s="6" t="s">
        <v>18</v>
      </c>
      <c r="D411" s="23" t="s">
        <v>72</v>
      </c>
      <c r="E411" s="106" t="s">
        <v>510</v>
      </c>
      <c r="F411" s="386">
        <v>1066</v>
      </c>
      <c r="G411" s="48" t="s">
        <v>0</v>
      </c>
      <c r="H411" s="39"/>
      <c r="I411" s="360">
        <v>0</v>
      </c>
      <c r="J411" s="39">
        <f t="shared" si="133"/>
        <v>0</v>
      </c>
      <c r="K411" s="309">
        <f t="shared" si="128"/>
        <v>54.43</v>
      </c>
      <c r="L411" s="230"/>
      <c r="M411" s="91" t="s">
        <v>568</v>
      </c>
      <c r="N411" s="140"/>
      <c r="O411" s="39"/>
      <c r="P411" s="360">
        <f t="shared" si="129"/>
        <v>0</v>
      </c>
      <c r="Q411" s="235" t="str">
        <f t="shared" si="130"/>
        <v>П50х8,5х2,7(БРАС757157.001-01)</v>
      </c>
      <c r="R411" s="377">
        <f t="shared" si="131"/>
        <v>76.2</v>
      </c>
      <c r="S411" s="319">
        <v>63.5</v>
      </c>
      <c r="T411" s="353">
        <f t="shared" si="125"/>
        <v>0</v>
      </c>
      <c r="U411" s="462">
        <v>2</v>
      </c>
      <c r="V411" s="20">
        <f t="shared" si="119"/>
        <v>0</v>
      </c>
      <c r="W411" s="52">
        <f t="shared" si="132"/>
        <v>0</v>
      </c>
      <c r="X411" s="462">
        <v>2</v>
      </c>
      <c r="Y411" s="462">
        <v>1</v>
      </c>
      <c r="Z411" s="18"/>
      <c r="AA411" s="18"/>
      <c r="AB411" s="418"/>
      <c r="AC411" s="200"/>
      <c r="AD411" s="160"/>
      <c r="AE411" s="163"/>
      <c r="AF411" s="171"/>
      <c r="AG411" s="192"/>
      <c r="AH411" s="16"/>
      <c r="AI411" s="16"/>
      <c r="AJ411" s="185"/>
      <c r="AK411" s="435"/>
      <c r="AL411" s="476"/>
      <c r="AM411" s="10"/>
    </row>
    <row r="412" spans="1:50" ht="26.25" hidden="1" customHeight="1" x14ac:dyDescent="0.25">
      <c r="B412" s="19"/>
      <c r="C412" s="6" t="s">
        <v>18</v>
      </c>
      <c r="D412" s="23" t="s">
        <v>72</v>
      </c>
      <c r="E412" s="106" t="s">
        <v>509</v>
      </c>
      <c r="F412" s="386">
        <v>1059</v>
      </c>
      <c r="G412" s="48" t="s">
        <v>0</v>
      </c>
      <c r="H412" s="39"/>
      <c r="I412" s="360">
        <v>0</v>
      </c>
      <c r="J412" s="39">
        <f t="shared" si="133"/>
        <v>0</v>
      </c>
      <c r="K412" s="309">
        <f t="shared" si="128"/>
        <v>54.43</v>
      </c>
      <c r="L412" s="230"/>
      <c r="M412" s="91" t="s">
        <v>568</v>
      </c>
      <c r="N412" s="140"/>
      <c r="O412" s="39"/>
      <c r="P412" s="360">
        <f t="shared" si="129"/>
        <v>0</v>
      </c>
      <c r="Q412" s="235" t="str">
        <f t="shared" si="130"/>
        <v>П50х8,5х2,7(БРАС757157.001)</v>
      </c>
      <c r="R412" s="377">
        <f t="shared" si="131"/>
        <v>76.2</v>
      </c>
      <c r="S412" s="319">
        <v>63.5</v>
      </c>
      <c r="T412" s="353">
        <f t="shared" si="125"/>
        <v>0</v>
      </c>
      <c r="U412" s="462">
        <v>2</v>
      </c>
      <c r="V412" s="20">
        <f t="shared" si="119"/>
        <v>0</v>
      </c>
      <c r="W412" s="52">
        <f t="shared" si="132"/>
        <v>0</v>
      </c>
      <c r="X412" s="462">
        <v>2</v>
      </c>
      <c r="Y412" s="462">
        <v>1</v>
      </c>
      <c r="Z412" s="18"/>
      <c r="AA412" s="18"/>
      <c r="AB412" s="418"/>
      <c r="AC412" s="200"/>
      <c r="AD412" s="160"/>
      <c r="AE412" s="163"/>
      <c r="AF412" s="171"/>
      <c r="AG412" s="192"/>
      <c r="AH412" s="16"/>
      <c r="AI412" s="16"/>
      <c r="AJ412" s="185"/>
      <c r="AK412" s="435"/>
      <c r="AL412" s="476"/>
      <c r="AM412" s="10"/>
    </row>
    <row r="413" spans="1:50" ht="26.25" hidden="1" customHeight="1" x14ac:dyDescent="0.25">
      <c r="B413" s="19"/>
      <c r="C413" s="6" t="s">
        <v>18</v>
      </c>
      <c r="D413" s="23" t="s">
        <v>72</v>
      </c>
      <c r="E413" s="106" t="s">
        <v>569</v>
      </c>
      <c r="F413" s="386"/>
      <c r="G413" s="13"/>
      <c r="H413" s="39"/>
      <c r="I413" s="309">
        <v>0</v>
      </c>
      <c r="J413" s="39">
        <f t="shared" si="133"/>
        <v>0</v>
      </c>
      <c r="K413" s="309">
        <f t="shared" si="128"/>
        <v>17.14</v>
      </c>
      <c r="L413" s="230">
        <f>K413*J703</f>
        <v>0</v>
      </c>
      <c r="M413" s="90"/>
      <c r="N413" s="140"/>
      <c r="O413" s="39"/>
      <c r="P413" s="309">
        <f t="shared" si="129"/>
        <v>0</v>
      </c>
      <c r="Q413" s="235" t="str">
        <f t="shared" si="130"/>
        <v>П10х7х2,5</v>
      </c>
      <c r="R413" s="377">
        <f t="shared" si="131"/>
        <v>24</v>
      </c>
      <c r="S413" s="319">
        <v>20</v>
      </c>
      <c r="T413" s="353">
        <f t="shared" si="125"/>
        <v>0</v>
      </c>
      <c r="U413" s="18">
        <v>79</v>
      </c>
      <c r="V413" s="20">
        <f t="shared" si="119"/>
        <v>0</v>
      </c>
      <c r="W413" s="52">
        <f t="shared" si="132"/>
        <v>0</v>
      </c>
      <c r="X413" s="18">
        <f>30+49</f>
        <v>79</v>
      </c>
      <c r="Y413" s="18">
        <v>1</v>
      </c>
      <c r="Z413" s="18"/>
      <c r="AA413" s="18"/>
      <c r="AB413" s="418"/>
      <c r="AC413" s="200"/>
      <c r="AD413" s="160"/>
      <c r="AE413" s="163"/>
      <c r="AF413" s="171"/>
      <c r="AG413" s="192">
        <v>46.2</v>
      </c>
      <c r="AH413" s="16"/>
      <c r="AI413" s="16"/>
      <c r="AJ413" s="185">
        <f t="shared" ref="AJ413:AJ419" si="134">X413*AD413</f>
        <v>0</v>
      </c>
      <c r="AK413" s="435"/>
      <c r="AL413" s="476"/>
      <c r="AM413" s="10"/>
    </row>
    <row r="414" spans="1:50" ht="26.25" hidden="1" customHeight="1" x14ac:dyDescent="0.25">
      <c r="B414" s="19"/>
      <c r="C414" s="6" t="s">
        <v>18</v>
      </c>
      <c r="D414" s="23" t="s">
        <v>72</v>
      </c>
      <c r="E414" s="106" t="s">
        <v>482</v>
      </c>
      <c r="F414" s="386"/>
      <c r="G414" s="13" t="s">
        <v>0</v>
      </c>
      <c r="H414" s="39"/>
      <c r="I414" s="309">
        <v>0</v>
      </c>
      <c r="J414" s="39">
        <f t="shared" si="133"/>
        <v>0</v>
      </c>
      <c r="K414" s="309">
        <f t="shared" si="128"/>
        <v>0</v>
      </c>
      <c r="L414" s="230">
        <f>K414*J704</f>
        <v>0</v>
      </c>
      <c r="M414" s="64"/>
      <c r="N414" s="140"/>
      <c r="O414" s="39"/>
      <c r="P414" s="309">
        <f t="shared" si="129"/>
        <v>0</v>
      </c>
      <c r="Q414" s="235" t="str">
        <f t="shared" si="130"/>
        <v>П55х40х3</v>
      </c>
      <c r="R414" s="377">
        <f t="shared" si="131"/>
        <v>0</v>
      </c>
      <c r="S414" s="319">
        <v>0</v>
      </c>
      <c r="T414" s="353">
        <f t="shared" si="125"/>
        <v>0</v>
      </c>
      <c r="U414" s="18">
        <v>225</v>
      </c>
      <c r="V414" s="20">
        <f t="shared" si="119"/>
        <v>0</v>
      </c>
      <c r="W414" s="52">
        <f t="shared" si="132"/>
        <v>0</v>
      </c>
      <c r="X414" s="18">
        <f>20*11+5</f>
        <v>225</v>
      </c>
      <c r="Y414" s="18">
        <v>1</v>
      </c>
      <c r="Z414" s="18"/>
      <c r="AA414" s="18"/>
      <c r="AB414" s="418"/>
      <c r="AC414" s="200"/>
      <c r="AD414" s="160"/>
      <c r="AE414" s="163"/>
      <c r="AF414" s="171"/>
      <c r="AG414" s="192">
        <v>52.8</v>
      </c>
      <c r="AH414" s="16"/>
      <c r="AI414" s="16"/>
      <c r="AJ414" s="185">
        <f t="shared" si="134"/>
        <v>0</v>
      </c>
      <c r="AK414" s="435"/>
      <c r="AL414" s="476"/>
      <c r="AM414" s="10"/>
    </row>
    <row r="415" spans="1:50" ht="26.25" hidden="1" customHeight="1" x14ac:dyDescent="0.25">
      <c r="B415" s="19"/>
      <c r="C415" s="6" t="s">
        <v>18</v>
      </c>
      <c r="D415" s="23" t="s">
        <v>72</v>
      </c>
      <c r="E415" s="106" t="s">
        <v>274</v>
      </c>
      <c r="F415" s="386"/>
      <c r="G415" s="13"/>
      <c r="H415" s="39"/>
      <c r="I415" s="309">
        <v>0</v>
      </c>
      <c r="J415" s="39">
        <f t="shared" si="133"/>
        <v>0</v>
      </c>
      <c r="K415" s="309">
        <f t="shared" si="128"/>
        <v>0</v>
      </c>
      <c r="L415" s="230"/>
      <c r="M415" s="116"/>
      <c r="N415" s="140"/>
      <c r="O415" s="39"/>
      <c r="P415" s="497">
        <f t="shared" si="129"/>
        <v>0</v>
      </c>
      <c r="Q415" s="235" t="str">
        <f t="shared" si="130"/>
        <v>П42х42х47</v>
      </c>
      <c r="R415" s="377">
        <f t="shared" si="131"/>
        <v>0</v>
      </c>
      <c r="S415" s="319">
        <v>0</v>
      </c>
      <c r="T415" s="353">
        <f t="shared" si="125"/>
        <v>0</v>
      </c>
      <c r="U415" s="18"/>
      <c r="V415" s="20">
        <f t="shared" si="119"/>
        <v>0</v>
      </c>
      <c r="W415" s="52">
        <f t="shared" si="132"/>
        <v>0</v>
      </c>
      <c r="X415" s="18"/>
      <c r="Y415" s="18">
        <v>1</v>
      </c>
      <c r="Z415" s="18"/>
      <c r="AA415" s="18"/>
      <c r="AB415" s="418"/>
      <c r="AC415" s="200"/>
      <c r="AD415" s="160"/>
      <c r="AE415" s="163"/>
      <c r="AF415" s="171"/>
      <c r="AG415" s="192">
        <v>663</v>
      </c>
      <c r="AH415" s="16"/>
      <c r="AI415" s="16"/>
      <c r="AJ415" s="185">
        <f t="shared" si="134"/>
        <v>0</v>
      </c>
      <c r="AK415" s="435"/>
      <c r="AL415" s="476"/>
      <c r="AM415" s="10"/>
    </row>
    <row r="416" spans="1:50" s="4" customFormat="1" ht="26.25" hidden="1" customHeight="1" x14ac:dyDescent="0.25">
      <c r="A416" s="10"/>
      <c r="B416" s="19"/>
      <c r="C416" s="6" t="s">
        <v>18</v>
      </c>
      <c r="D416" s="23" t="s">
        <v>72</v>
      </c>
      <c r="E416" s="87" t="s">
        <v>635</v>
      </c>
      <c r="F416" s="397">
        <v>693</v>
      </c>
      <c r="G416" s="13"/>
      <c r="H416" s="39"/>
      <c r="I416" s="360">
        <v>0</v>
      </c>
      <c r="J416" s="39">
        <f t="shared" si="133"/>
        <v>0</v>
      </c>
      <c r="K416" s="309">
        <f t="shared" si="128"/>
        <v>3.51</v>
      </c>
      <c r="L416" s="230"/>
      <c r="M416" s="234" t="s">
        <v>656</v>
      </c>
      <c r="N416" s="140"/>
      <c r="O416" s="503"/>
      <c r="P416" s="309">
        <f t="shared" si="129"/>
        <v>0</v>
      </c>
      <c r="Q416" s="235" t="str">
        <f t="shared" si="130"/>
        <v>П10х7х2,4</v>
      </c>
      <c r="R416" s="306">
        <f t="shared" si="131"/>
        <v>4.92</v>
      </c>
      <c r="S416" s="319">
        <v>4.0999999999999996</v>
      </c>
      <c r="T416" s="353">
        <f t="shared" si="125"/>
        <v>0</v>
      </c>
      <c r="U416" s="18"/>
      <c r="V416" s="20">
        <f t="shared" si="119"/>
        <v>0</v>
      </c>
      <c r="W416" s="52">
        <f t="shared" si="132"/>
        <v>0</v>
      </c>
      <c r="X416" s="18"/>
      <c r="Y416" s="18">
        <v>1</v>
      </c>
      <c r="Z416" s="18"/>
      <c r="AA416" s="18"/>
      <c r="AB416" s="418"/>
      <c r="AC416" s="200"/>
      <c r="AD416" s="160"/>
      <c r="AE416" s="163"/>
      <c r="AF416" s="171"/>
      <c r="AG416" s="192"/>
      <c r="AH416" s="128"/>
      <c r="AI416" s="129"/>
      <c r="AJ416" s="185">
        <f t="shared" si="134"/>
        <v>0</v>
      </c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39" ht="26.25" hidden="1" customHeight="1" x14ac:dyDescent="0.25">
      <c r="B417" s="15"/>
      <c r="C417" s="6" t="s">
        <v>18</v>
      </c>
      <c r="D417" s="23" t="s">
        <v>72</v>
      </c>
      <c r="E417" s="1" t="s">
        <v>480</v>
      </c>
      <c r="F417" s="386">
        <v>1148</v>
      </c>
      <c r="G417" s="13"/>
      <c r="H417" s="39"/>
      <c r="I417" s="309">
        <v>0</v>
      </c>
      <c r="J417" s="39">
        <f t="shared" si="133"/>
        <v>0</v>
      </c>
      <c r="K417" s="309">
        <f t="shared" si="128"/>
        <v>6</v>
      </c>
      <c r="L417" s="230"/>
      <c r="M417" s="217" t="s">
        <v>278</v>
      </c>
      <c r="N417" s="140"/>
      <c r="O417" s="39"/>
      <c r="P417" s="490">
        <f t="shared" si="129"/>
        <v>0</v>
      </c>
      <c r="Q417" s="235" t="str">
        <f t="shared" si="130"/>
        <v>П50х40х5</v>
      </c>
      <c r="R417" s="377">
        <f t="shared" si="131"/>
        <v>8.4</v>
      </c>
      <c r="S417" s="319">
        <v>7</v>
      </c>
      <c r="T417" s="353">
        <f t="shared" si="125"/>
        <v>0</v>
      </c>
      <c r="U417" s="18">
        <v>13</v>
      </c>
      <c r="V417" s="20">
        <f t="shared" si="119"/>
        <v>0</v>
      </c>
      <c r="W417" s="52">
        <f t="shared" si="132"/>
        <v>0</v>
      </c>
      <c r="X417" s="18">
        <v>13</v>
      </c>
      <c r="Y417" s="18">
        <v>1</v>
      </c>
      <c r="Z417" s="18"/>
      <c r="AA417" s="18"/>
      <c r="AB417" s="418"/>
      <c r="AC417" s="200"/>
      <c r="AD417" s="160">
        <v>12.8</v>
      </c>
      <c r="AE417" s="163"/>
      <c r="AF417" s="171"/>
      <c r="AG417" s="192"/>
      <c r="AH417" s="128"/>
      <c r="AI417" s="129"/>
      <c r="AJ417" s="185">
        <f t="shared" si="134"/>
        <v>166.4</v>
      </c>
      <c r="AK417" s="10"/>
      <c r="AL417" s="476"/>
      <c r="AM417" s="10"/>
    </row>
    <row r="418" spans="2:39" ht="26.25" hidden="1" customHeight="1" x14ac:dyDescent="0.25">
      <c r="B418" s="15"/>
      <c r="C418" s="6" t="s">
        <v>18</v>
      </c>
      <c r="D418" s="23" t="s">
        <v>72</v>
      </c>
      <c r="E418" s="1" t="s">
        <v>479</v>
      </c>
      <c r="F418" s="386">
        <v>1150</v>
      </c>
      <c r="G418" s="13"/>
      <c r="H418" s="39"/>
      <c r="I418" s="309">
        <v>0</v>
      </c>
      <c r="J418" s="39">
        <f t="shared" si="133"/>
        <v>0</v>
      </c>
      <c r="K418" s="309">
        <f t="shared" si="128"/>
        <v>21.43</v>
      </c>
      <c r="L418" s="230"/>
      <c r="M418" s="217" t="s">
        <v>278</v>
      </c>
      <c r="N418" s="140"/>
      <c r="O418" s="39"/>
      <c r="P418" s="309">
        <f t="shared" si="129"/>
        <v>0</v>
      </c>
      <c r="Q418" s="235" t="str">
        <f t="shared" si="130"/>
        <v>П50х40х10</v>
      </c>
      <c r="R418" s="377">
        <f t="shared" si="131"/>
        <v>30</v>
      </c>
      <c r="S418" s="319">
        <v>25</v>
      </c>
      <c r="T418" s="353">
        <f t="shared" si="125"/>
        <v>0</v>
      </c>
      <c r="U418" s="18">
        <v>41</v>
      </c>
      <c r="V418" s="20">
        <f t="shared" si="119"/>
        <v>0</v>
      </c>
      <c r="W418" s="52">
        <f t="shared" si="132"/>
        <v>0</v>
      </c>
      <c r="X418" s="18">
        <v>41</v>
      </c>
      <c r="Y418" s="18">
        <v>1</v>
      </c>
      <c r="Z418" s="18"/>
      <c r="AA418" s="18"/>
      <c r="AB418" s="418"/>
      <c r="AC418" s="200"/>
      <c r="AD418" s="160">
        <v>23.5</v>
      </c>
      <c r="AE418" s="163"/>
      <c r="AF418" s="171"/>
      <c r="AG418" s="192"/>
      <c r="AH418" s="128"/>
      <c r="AI418" s="129"/>
      <c r="AJ418" s="185">
        <f t="shared" si="134"/>
        <v>963.5</v>
      </c>
      <c r="AK418" s="10"/>
      <c r="AL418" s="476"/>
      <c r="AM418" s="10"/>
    </row>
    <row r="419" spans="2:39" ht="26.25" hidden="1" customHeight="1" x14ac:dyDescent="0.25">
      <c r="B419" s="11"/>
      <c r="C419" s="6" t="s">
        <v>18</v>
      </c>
      <c r="D419" s="23" t="s">
        <v>72</v>
      </c>
      <c r="E419" s="112" t="s">
        <v>362</v>
      </c>
      <c r="F419" s="208">
        <v>1136</v>
      </c>
      <c r="G419" s="48" t="s">
        <v>0</v>
      </c>
      <c r="H419" s="39"/>
      <c r="I419" s="309">
        <v>0</v>
      </c>
      <c r="J419" s="39">
        <f t="shared" si="133"/>
        <v>0</v>
      </c>
      <c r="K419" s="309">
        <f t="shared" si="128"/>
        <v>3.46</v>
      </c>
      <c r="L419" s="230">
        <f>K419*J709</f>
        <v>0</v>
      </c>
      <c r="M419" s="93" t="s">
        <v>365</v>
      </c>
      <c r="N419" s="140"/>
      <c r="O419" s="39"/>
      <c r="P419" s="309">
        <f t="shared" si="129"/>
        <v>0</v>
      </c>
      <c r="Q419" s="263" t="str">
        <f t="shared" si="130"/>
        <v>ВМ-1950.5679.13.03.003 (Д16х3)</v>
      </c>
      <c r="R419" s="377">
        <f t="shared" si="131"/>
        <v>4.84</v>
      </c>
      <c r="S419" s="319">
        <v>4.03</v>
      </c>
      <c r="T419" s="353">
        <f t="shared" si="125"/>
        <v>0</v>
      </c>
      <c r="U419" s="20"/>
      <c r="V419" s="20">
        <f t="shared" si="119"/>
        <v>0</v>
      </c>
      <c r="W419" s="52">
        <f t="shared" si="132"/>
        <v>0</v>
      </c>
      <c r="X419" s="20"/>
      <c r="Y419" s="20"/>
      <c r="Z419" s="20"/>
      <c r="AA419" s="20"/>
      <c r="AB419" s="417"/>
      <c r="AC419" s="200"/>
      <c r="AD419" s="160"/>
      <c r="AE419" s="163"/>
      <c r="AF419" s="171"/>
      <c r="AG419" s="192"/>
      <c r="AH419" s="110"/>
      <c r="AI419" s="125"/>
      <c r="AJ419" s="185">
        <f t="shared" si="134"/>
        <v>0</v>
      </c>
      <c r="AK419" s="125"/>
      <c r="AL419" s="10"/>
      <c r="AM419" s="10"/>
    </row>
    <row r="420" spans="2:39" ht="26.25" customHeight="1" x14ac:dyDescent="0.25">
      <c r="B420" s="11">
        <v>113</v>
      </c>
      <c r="C420" s="6" t="s">
        <v>26</v>
      </c>
      <c r="D420" s="23" t="s">
        <v>40</v>
      </c>
      <c r="E420" s="105" t="s">
        <v>73</v>
      </c>
      <c r="F420" s="208" t="s">
        <v>60</v>
      </c>
      <c r="G420" s="48" t="s">
        <v>0</v>
      </c>
      <c r="H420" s="39">
        <v>40</v>
      </c>
      <c r="I420" s="360">
        <v>2089.6</v>
      </c>
      <c r="J420" s="39">
        <f t="shared" si="133"/>
        <v>120</v>
      </c>
      <c r="K420" s="309">
        <f t="shared" si="128"/>
        <v>52.24</v>
      </c>
      <c r="L420" s="230">
        <f>K420*J710</f>
        <v>0</v>
      </c>
      <c r="M420" s="197" t="s">
        <v>213</v>
      </c>
      <c r="N420" s="41"/>
      <c r="O420" s="503">
        <v>160</v>
      </c>
      <c r="P420" s="309">
        <f t="shared" si="129"/>
        <v>8358.4</v>
      </c>
      <c r="Q420" s="235" t="str">
        <f t="shared" si="130"/>
        <v>Стержневой  СКЛ Д32-175</v>
      </c>
      <c r="R420" s="377">
        <f t="shared" si="131"/>
        <v>73.14</v>
      </c>
      <c r="S420" s="319">
        <v>60.95</v>
      </c>
      <c r="T420" s="353">
        <f t="shared" si="125"/>
        <v>7314</v>
      </c>
      <c r="U420" s="20"/>
      <c r="V420" s="20">
        <f t="shared" si="119"/>
        <v>0</v>
      </c>
      <c r="W420" s="52">
        <f t="shared" si="132"/>
        <v>160</v>
      </c>
      <c r="X420" s="20">
        <f>16*10</f>
        <v>160</v>
      </c>
      <c r="Y420" s="20"/>
      <c r="Z420" s="20">
        <v>42</v>
      </c>
      <c r="AA420" s="20">
        <v>312</v>
      </c>
      <c r="AB420" s="417"/>
      <c r="AC420" s="200"/>
      <c r="AD420" s="160"/>
      <c r="AE420" s="163"/>
      <c r="AF420" s="171"/>
      <c r="AG420" s="192"/>
      <c r="AH420" s="110"/>
      <c r="AI420" s="125"/>
      <c r="AJ420" s="185"/>
      <c r="AK420" s="435"/>
      <c r="AL420" s="832"/>
      <c r="AM420" s="832"/>
    </row>
    <row r="421" spans="2:39" ht="26.25" customHeight="1" x14ac:dyDescent="0.25">
      <c r="B421" s="11">
        <v>114</v>
      </c>
      <c r="C421" s="6" t="s">
        <v>26</v>
      </c>
      <c r="D421" s="23" t="s">
        <v>9</v>
      </c>
      <c r="E421" s="237" t="s">
        <v>133</v>
      </c>
      <c r="F421" s="208">
        <v>658</v>
      </c>
      <c r="G421" s="48" t="s">
        <v>0</v>
      </c>
      <c r="H421" s="39">
        <v>16</v>
      </c>
      <c r="I421" s="360">
        <v>71.66</v>
      </c>
      <c r="J421" s="39">
        <f t="shared" si="133"/>
        <v>0</v>
      </c>
      <c r="K421" s="309">
        <f t="shared" si="128"/>
        <v>4.47</v>
      </c>
      <c r="L421" s="230">
        <f>K421*J711</f>
        <v>0</v>
      </c>
      <c r="M421" s="94"/>
      <c r="N421" s="553"/>
      <c r="O421" s="503">
        <v>16</v>
      </c>
      <c r="P421" s="309">
        <f>I421</f>
        <v>71.66</v>
      </c>
      <c r="Q421" s="235" t="str">
        <f t="shared" si="130"/>
        <v>СКЛ   Д22х90</v>
      </c>
      <c r="R421" s="377">
        <f t="shared" si="131"/>
        <v>6.26</v>
      </c>
      <c r="S421" s="319">
        <v>5.22</v>
      </c>
      <c r="T421" s="353">
        <f t="shared" si="125"/>
        <v>0</v>
      </c>
      <c r="U421" s="20">
        <v>9</v>
      </c>
      <c r="V421" s="20">
        <f t="shared" si="119"/>
        <v>0</v>
      </c>
      <c r="W421" s="52">
        <f t="shared" si="132"/>
        <v>0</v>
      </c>
      <c r="X421" s="20">
        <v>9</v>
      </c>
      <c r="Y421" s="20"/>
      <c r="Z421" s="20"/>
      <c r="AA421" s="20"/>
      <c r="AB421" s="417"/>
      <c r="AC421" s="200"/>
      <c r="AD421" s="160"/>
      <c r="AE421" s="163"/>
      <c r="AF421" s="171"/>
      <c r="AG421" s="192"/>
      <c r="AH421" s="16"/>
      <c r="AI421" s="16"/>
      <c r="AJ421" s="185"/>
      <c r="AK421" s="435"/>
      <c r="AL421" s="843"/>
      <c r="AM421" s="10"/>
    </row>
    <row r="422" spans="2:39" ht="26.25" customHeight="1" x14ac:dyDescent="0.25">
      <c r="B422" s="11">
        <v>115</v>
      </c>
      <c r="C422" s="6" t="s">
        <v>26</v>
      </c>
      <c r="D422" s="23" t="s">
        <v>9</v>
      </c>
      <c r="E422" s="1" t="s">
        <v>871</v>
      </c>
      <c r="F422" s="208">
        <v>1271</v>
      </c>
      <c r="G422" s="48"/>
      <c r="H422" s="39"/>
      <c r="I422" s="360">
        <v>0</v>
      </c>
      <c r="J422" s="39">
        <f t="shared" si="133"/>
        <v>2</v>
      </c>
      <c r="K422" s="309">
        <f t="shared" si="128"/>
        <v>342.86</v>
      </c>
      <c r="L422" s="230"/>
      <c r="M422" s="197" t="s">
        <v>213</v>
      </c>
      <c r="N422" s="553">
        <v>2</v>
      </c>
      <c r="O422" s="503"/>
      <c r="P422" s="309">
        <f t="shared" ref="P422:P432" si="135">K422*O422</f>
        <v>0</v>
      </c>
      <c r="Q422" s="235" t="str">
        <f t="shared" si="130"/>
        <v>СМР1 250х250/9</v>
      </c>
      <c r="R422" s="377">
        <f t="shared" si="131"/>
        <v>480</v>
      </c>
      <c r="S422" s="319">
        <v>400</v>
      </c>
      <c r="T422" s="353">
        <f t="shared" si="125"/>
        <v>800</v>
      </c>
      <c r="U422" s="20"/>
      <c r="V422" s="20"/>
      <c r="W422" s="52"/>
      <c r="X422" s="20"/>
      <c r="Y422" s="20"/>
      <c r="Z422" s="20"/>
      <c r="AA422" s="20"/>
      <c r="AB422" s="417"/>
      <c r="AC422" s="200"/>
      <c r="AD422" s="160"/>
      <c r="AE422" s="163"/>
      <c r="AF422" s="171"/>
      <c r="AG422" s="192"/>
      <c r="AH422" s="16"/>
      <c r="AI422" s="30"/>
      <c r="AJ422" s="188"/>
      <c r="AK422" s="137"/>
      <c r="AL422" s="832"/>
      <c r="AM422" s="832"/>
    </row>
    <row r="423" spans="2:39" ht="26.25" hidden="1" customHeight="1" x14ac:dyDescent="0.25">
      <c r="B423" s="11"/>
      <c r="C423" s="6" t="s">
        <v>811</v>
      </c>
      <c r="D423" s="23" t="s">
        <v>9</v>
      </c>
      <c r="E423" s="237" t="s">
        <v>814</v>
      </c>
      <c r="F423" s="208">
        <v>1385</v>
      </c>
      <c r="G423" s="48"/>
      <c r="H423" s="39"/>
      <c r="I423" s="360">
        <v>0</v>
      </c>
      <c r="J423" s="39">
        <f t="shared" si="133"/>
        <v>0</v>
      </c>
      <c r="K423" s="309">
        <f t="shared" si="128"/>
        <v>14.31</v>
      </c>
      <c r="L423" s="230"/>
      <c r="M423" s="297"/>
      <c r="N423" s="279"/>
      <c r="O423" s="503"/>
      <c r="P423" s="309">
        <f t="shared" si="135"/>
        <v>0</v>
      </c>
      <c r="Q423" s="235" t="str">
        <f t="shared" si="130"/>
        <v>Планка магнитная 0,75 м</v>
      </c>
      <c r="R423" s="306">
        <f t="shared" si="131"/>
        <v>20.04</v>
      </c>
      <c r="S423" s="319">
        <v>16.7</v>
      </c>
      <c r="T423" s="353"/>
      <c r="U423" s="20"/>
      <c r="V423" s="20"/>
      <c r="W423" s="52"/>
      <c r="X423" s="20"/>
      <c r="Y423" s="20"/>
      <c r="Z423" s="20"/>
      <c r="AA423" s="20"/>
      <c r="AB423" s="417"/>
      <c r="AC423" s="200"/>
      <c r="AD423" s="160"/>
      <c r="AE423" s="163"/>
      <c r="AF423" s="171"/>
      <c r="AG423" s="192"/>
      <c r="AH423" s="16"/>
      <c r="AI423" s="30"/>
      <c r="AJ423" s="188"/>
      <c r="AK423" s="137"/>
      <c r="AL423" s="840"/>
      <c r="AM423" s="10"/>
    </row>
    <row r="424" spans="2:39" ht="26.25" hidden="1" customHeight="1" x14ac:dyDescent="0.25">
      <c r="B424" s="11"/>
      <c r="C424" s="6" t="s">
        <v>811</v>
      </c>
      <c r="D424" s="23" t="s">
        <v>9</v>
      </c>
      <c r="E424" s="237" t="s">
        <v>813</v>
      </c>
      <c r="F424" s="208">
        <v>1483</v>
      </c>
      <c r="G424" s="48"/>
      <c r="H424" s="39"/>
      <c r="I424" s="360">
        <v>0</v>
      </c>
      <c r="J424" s="39">
        <f t="shared" si="133"/>
        <v>0</v>
      </c>
      <c r="K424" s="309">
        <f t="shared" si="128"/>
        <v>18</v>
      </c>
      <c r="L424" s="230"/>
      <c r="M424" s="297"/>
      <c r="N424" s="279"/>
      <c r="O424" s="503"/>
      <c r="P424" s="309">
        <f t="shared" si="135"/>
        <v>0</v>
      </c>
      <c r="Q424" s="235" t="str">
        <f t="shared" si="130"/>
        <v>Планка магнитная  1 м</v>
      </c>
      <c r="R424" s="306">
        <f t="shared" si="131"/>
        <v>25.2</v>
      </c>
      <c r="S424" s="319">
        <v>21</v>
      </c>
      <c r="T424" s="353"/>
      <c r="U424" s="20"/>
      <c r="V424" s="20"/>
      <c r="W424" s="52"/>
      <c r="X424" s="20"/>
      <c r="Y424" s="20"/>
      <c r="Z424" s="20"/>
      <c r="AA424" s="20"/>
      <c r="AB424" s="417"/>
      <c r="AC424" s="200"/>
      <c r="AD424" s="160"/>
      <c r="AE424" s="163"/>
      <c r="AF424" s="171"/>
      <c r="AG424" s="192"/>
      <c r="AH424" s="16"/>
      <c r="AI424" s="30"/>
      <c r="AJ424" s="188"/>
      <c r="AK424" s="137"/>
      <c r="AL424" s="476"/>
      <c r="AM424" s="10"/>
    </row>
    <row r="425" spans="2:39" ht="26.25" customHeight="1" x14ac:dyDescent="0.25">
      <c r="B425" s="11">
        <v>116</v>
      </c>
      <c r="C425" s="6" t="s">
        <v>431</v>
      </c>
      <c r="D425" s="23" t="s">
        <v>72</v>
      </c>
      <c r="E425" s="87" t="s">
        <v>432</v>
      </c>
      <c r="F425" s="526">
        <v>1190</v>
      </c>
      <c r="G425" s="48" t="s">
        <v>0</v>
      </c>
      <c r="H425" s="39">
        <v>200</v>
      </c>
      <c r="I425" s="360">
        <v>960</v>
      </c>
      <c r="J425" s="39">
        <f t="shared" si="133"/>
        <v>0</v>
      </c>
      <c r="K425" s="309">
        <f t="shared" si="128"/>
        <v>4.8</v>
      </c>
      <c r="L425" s="230">
        <f>K425*J712</f>
        <v>0</v>
      </c>
      <c r="M425" s="368"/>
      <c r="N425" s="41">
        <v>150</v>
      </c>
      <c r="O425" s="503">
        <v>50</v>
      </c>
      <c r="P425" s="309">
        <f t="shared" si="135"/>
        <v>240</v>
      </c>
      <c r="Q425" s="235" t="str">
        <f t="shared" si="130"/>
        <v>ПМ-8</v>
      </c>
      <c r="R425" s="377">
        <f t="shared" si="131"/>
        <v>6.72</v>
      </c>
      <c r="S425" s="319">
        <v>5.6</v>
      </c>
      <c r="T425" s="353">
        <f t="shared" ref="T425:T432" si="136">S425*J425</f>
        <v>0</v>
      </c>
      <c r="U425" s="18">
        <v>300</v>
      </c>
      <c r="V425" s="20">
        <f t="shared" ref="V425:V432" si="137">N425</f>
        <v>150</v>
      </c>
      <c r="W425" s="52">
        <f>X425-U425+V425</f>
        <v>150</v>
      </c>
      <c r="X425" s="18">
        <v>300</v>
      </c>
      <c r="Y425" s="18"/>
      <c r="Z425" s="18"/>
      <c r="AA425" s="18"/>
      <c r="AB425" s="418"/>
      <c r="AC425" s="200"/>
      <c r="AD425" s="160"/>
      <c r="AE425" s="163"/>
      <c r="AF425" s="171"/>
      <c r="AG425" s="192"/>
      <c r="AH425" s="128"/>
      <c r="AI425" s="129"/>
      <c r="AK425" s="10"/>
      <c r="AL425" s="476"/>
      <c r="AM425" s="10"/>
    </row>
    <row r="426" spans="2:39" ht="26.25" customHeight="1" x14ac:dyDescent="0.25">
      <c r="B426" s="11">
        <v>117</v>
      </c>
      <c r="C426" s="6" t="s">
        <v>26</v>
      </c>
      <c r="D426" s="23" t="s">
        <v>40</v>
      </c>
      <c r="E426" s="107" t="s">
        <v>251</v>
      </c>
      <c r="F426" s="208">
        <v>1056</v>
      </c>
      <c r="G426" s="48" t="s">
        <v>0</v>
      </c>
      <c r="H426" s="39">
        <v>100</v>
      </c>
      <c r="I426" s="360">
        <v>2399</v>
      </c>
      <c r="J426" s="39">
        <f t="shared" si="133"/>
        <v>0</v>
      </c>
      <c r="K426" s="309">
        <f t="shared" si="128"/>
        <v>23.99</v>
      </c>
      <c r="L426" s="230">
        <f>K426*J713</f>
        <v>0</v>
      </c>
      <c r="M426" s="203" t="s">
        <v>213</v>
      </c>
      <c r="N426" s="41">
        <v>76</v>
      </c>
      <c r="O426" s="503">
        <v>24</v>
      </c>
      <c r="P426" s="309">
        <f t="shared" si="135"/>
        <v>575.76</v>
      </c>
      <c r="Q426" s="263" t="str">
        <f t="shared" si="130"/>
        <v>СМУ-СКЛ НЖБ- 22х120</v>
      </c>
      <c r="R426" s="377">
        <f t="shared" si="131"/>
        <v>33.58</v>
      </c>
      <c r="S426" s="320">
        <v>27.98</v>
      </c>
      <c r="T426" s="353">
        <f t="shared" si="136"/>
        <v>0</v>
      </c>
      <c r="U426" s="20"/>
      <c r="V426" s="20">
        <f t="shared" si="137"/>
        <v>76</v>
      </c>
      <c r="W426" s="52">
        <f>X426-U426+V426</f>
        <v>96</v>
      </c>
      <c r="X426" s="20">
        <v>20</v>
      </c>
      <c r="Y426" s="20"/>
      <c r="Z426" s="20"/>
      <c r="AA426" s="20">
        <v>255</v>
      </c>
      <c r="AB426" s="417"/>
      <c r="AC426" s="168"/>
      <c r="AD426" s="450"/>
      <c r="AE426" s="163"/>
      <c r="AF426" s="171"/>
      <c r="AG426" s="192"/>
      <c r="AH426" s="110"/>
      <c r="AI426" s="125"/>
      <c r="AJ426" s="185"/>
      <c r="AK426" s="435"/>
      <c r="AL426" s="836"/>
      <c r="AM426" s="10"/>
    </row>
    <row r="427" spans="2:39" ht="26.25" customHeight="1" x14ac:dyDescent="0.25">
      <c r="B427" s="15">
        <v>118</v>
      </c>
      <c r="C427" s="6" t="s">
        <v>26</v>
      </c>
      <c r="D427" s="23" t="s">
        <v>40</v>
      </c>
      <c r="E427" s="1" t="s">
        <v>874</v>
      </c>
      <c r="F427" s="528">
        <v>435</v>
      </c>
      <c r="G427" s="9" t="s">
        <v>0</v>
      </c>
      <c r="H427" s="43"/>
      <c r="I427" s="360">
        <v>0</v>
      </c>
      <c r="J427" s="39">
        <f t="shared" si="133"/>
        <v>2</v>
      </c>
      <c r="K427" s="309">
        <f t="shared" si="128"/>
        <v>132.86000000000001</v>
      </c>
      <c r="L427" s="230">
        <f>K427*J714</f>
        <v>0</v>
      </c>
      <c r="M427" s="197" t="s">
        <v>213</v>
      </c>
      <c r="N427" s="554">
        <v>2</v>
      </c>
      <c r="O427" s="505"/>
      <c r="P427" s="309">
        <f t="shared" si="135"/>
        <v>0</v>
      </c>
      <c r="Q427" s="51" t="str">
        <f t="shared" si="130"/>
        <v>уловитель НЖБ стерж 22х125</v>
      </c>
      <c r="R427" s="377">
        <f t="shared" si="131"/>
        <v>186</v>
      </c>
      <c r="S427" s="320">
        <v>155</v>
      </c>
      <c r="T427" s="353">
        <f t="shared" si="136"/>
        <v>310</v>
      </c>
      <c r="U427" s="20"/>
      <c r="V427" s="20">
        <f t="shared" si="137"/>
        <v>2</v>
      </c>
      <c r="W427" s="52">
        <f>X427-U427+V427</f>
        <v>2</v>
      </c>
      <c r="X427" s="20"/>
      <c r="Y427" s="20"/>
      <c r="Z427" s="20"/>
      <c r="AA427" s="20"/>
      <c r="AB427" s="417"/>
      <c r="AC427" s="200"/>
      <c r="AD427" s="160">
        <f>X427-AC427</f>
        <v>0</v>
      </c>
      <c r="AE427" s="163"/>
      <c r="AF427" s="171"/>
      <c r="AG427" s="192"/>
      <c r="AH427" s="128"/>
      <c r="AI427" s="129"/>
      <c r="AK427" s="10"/>
      <c r="AL427" s="832"/>
      <c r="AM427" s="832"/>
    </row>
    <row r="428" spans="2:39" ht="26.25" hidden="1" customHeight="1" x14ac:dyDescent="0.25">
      <c r="B428" s="15"/>
      <c r="C428" s="6" t="s">
        <v>26</v>
      </c>
      <c r="D428" s="23" t="s">
        <v>40</v>
      </c>
      <c r="E428" s="558" t="s">
        <v>856</v>
      </c>
      <c r="F428" s="528">
        <v>1494</v>
      </c>
      <c r="G428" s="48" t="s">
        <v>0</v>
      </c>
      <c r="H428" s="43"/>
      <c r="I428" s="360">
        <v>0</v>
      </c>
      <c r="J428" s="39">
        <f t="shared" si="133"/>
        <v>0</v>
      </c>
      <c r="K428" s="309">
        <f t="shared" si="128"/>
        <v>1457.14</v>
      </c>
      <c r="L428" s="230"/>
      <c r="M428" s="197" t="s">
        <v>213</v>
      </c>
      <c r="N428" s="283"/>
      <c r="O428" s="505"/>
      <c r="P428" s="309">
        <f t="shared" si="135"/>
        <v>0</v>
      </c>
      <c r="Q428" s="51" t="str">
        <f t="shared" si="130"/>
        <v>СМР1 300х250/5 с корпусом</v>
      </c>
      <c r="R428" s="306">
        <f t="shared" si="131"/>
        <v>2040</v>
      </c>
      <c r="S428" s="320">
        <v>1700</v>
      </c>
      <c r="T428" s="353">
        <f t="shared" si="136"/>
        <v>0</v>
      </c>
      <c r="U428" s="20"/>
      <c r="V428" s="20">
        <f t="shared" si="137"/>
        <v>0</v>
      </c>
      <c r="W428" s="52"/>
      <c r="X428" s="20"/>
      <c r="Y428" s="20"/>
      <c r="Z428" s="20"/>
      <c r="AA428" s="20"/>
      <c r="AB428" s="417"/>
      <c r="AC428" s="200"/>
      <c r="AD428" s="160"/>
      <c r="AE428" s="163"/>
      <c r="AF428" s="171"/>
      <c r="AG428" s="192"/>
      <c r="AH428" s="128"/>
      <c r="AI428" s="129"/>
      <c r="AK428" s="10"/>
      <c r="AL428" s="10"/>
      <c r="AM428" s="10"/>
    </row>
    <row r="429" spans="2:39" ht="26.25" hidden="1" customHeight="1" x14ac:dyDescent="0.25">
      <c r="B429" s="15"/>
      <c r="C429" s="6" t="s">
        <v>26</v>
      </c>
      <c r="D429" s="23" t="s">
        <v>40</v>
      </c>
      <c r="E429" s="463" t="s">
        <v>857</v>
      </c>
      <c r="F429" s="210">
        <v>1474</v>
      </c>
      <c r="G429" s="48" t="s">
        <v>0</v>
      </c>
      <c r="H429" s="39"/>
      <c r="I429" s="360">
        <v>0</v>
      </c>
      <c r="J429" s="39">
        <f t="shared" si="133"/>
        <v>0</v>
      </c>
      <c r="K429" s="309">
        <f t="shared" si="128"/>
        <v>5142.8599999999997</v>
      </c>
      <c r="L429" s="230">
        <f>K429*J716</f>
        <v>0</v>
      </c>
      <c r="M429" s="197" t="s">
        <v>213</v>
      </c>
      <c r="N429" s="279"/>
      <c r="O429" s="503"/>
      <c r="P429" s="309">
        <f t="shared" si="135"/>
        <v>0</v>
      </c>
      <c r="Q429" s="51" t="str">
        <f t="shared" si="130"/>
        <v>СМБ1-305/400</v>
      </c>
      <c r="R429" s="306">
        <f t="shared" si="131"/>
        <v>7200</v>
      </c>
      <c r="S429" s="320">
        <v>6000</v>
      </c>
      <c r="T429" s="353">
        <f t="shared" si="136"/>
        <v>0</v>
      </c>
      <c r="U429" s="20"/>
      <c r="V429" s="20">
        <f t="shared" si="137"/>
        <v>0</v>
      </c>
      <c r="W429" s="52">
        <f>X429-U429+V429</f>
        <v>0</v>
      </c>
      <c r="X429" s="20"/>
      <c r="Y429" s="20"/>
      <c r="Z429" s="20"/>
      <c r="AA429" s="20"/>
      <c r="AB429" s="417"/>
      <c r="AC429" s="200"/>
      <c r="AD429" s="160">
        <f>X429-AC429</f>
        <v>0</v>
      </c>
      <c r="AE429" s="163"/>
      <c r="AF429" s="171"/>
      <c r="AG429" s="192"/>
      <c r="AH429" s="128"/>
      <c r="AI429" s="129"/>
      <c r="AK429" s="10"/>
      <c r="AL429" s="10"/>
      <c r="AM429" s="10"/>
    </row>
    <row r="430" spans="2:39" ht="26.25" customHeight="1" thickBot="1" x14ac:dyDescent="0.3">
      <c r="B430" s="11">
        <v>119</v>
      </c>
      <c r="C430" s="6" t="s">
        <v>26</v>
      </c>
      <c r="D430" s="23" t="s">
        <v>40</v>
      </c>
      <c r="E430" s="1" t="s">
        <v>723</v>
      </c>
      <c r="F430" s="388">
        <v>1465</v>
      </c>
      <c r="G430" s="48" t="s">
        <v>0</v>
      </c>
      <c r="H430" s="39"/>
      <c r="I430" s="360">
        <v>0</v>
      </c>
      <c r="J430" s="39">
        <f t="shared" si="133"/>
        <v>1</v>
      </c>
      <c r="K430" s="309">
        <f t="shared" si="128"/>
        <v>102.86</v>
      </c>
      <c r="L430" s="230">
        <f>K430*J717</f>
        <v>0</v>
      </c>
      <c r="M430" s="197" t="s">
        <v>213</v>
      </c>
      <c r="N430" s="553"/>
      <c r="O430" s="39">
        <v>1</v>
      </c>
      <c r="P430" s="309">
        <f t="shared" si="135"/>
        <v>102.86</v>
      </c>
      <c r="Q430" s="51" t="str">
        <f t="shared" si="130"/>
        <v>Магнит Д90/2</v>
      </c>
      <c r="R430" s="377">
        <f t="shared" si="131"/>
        <v>144</v>
      </c>
      <c r="S430" s="1">
        <v>120</v>
      </c>
      <c r="T430" s="353">
        <f t="shared" si="136"/>
        <v>120</v>
      </c>
      <c r="U430" s="18"/>
      <c r="V430" s="20">
        <f t="shared" si="137"/>
        <v>0</v>
      </c>
      <c r="W430" s="52">
        <f>X430-U430+V430</f>
        <v>0</v>
      </c>
      <c r="X430" s="18"/>
      <c r="Y430" s="18"/>
      <c r="Z430" s="18"/>
      <c r="AA430" s="18"/>
      <c r="AB430" s="418"/>
      <c r="AC430" s="200"/>
      <c r="AD430" s="160">
        <f>X430-AC430</f>
        <v>0</v>
      </c>
      <c r="AE430" s="163"/>
      <c r="AF430" s="171"/>
      <c r="AG430" s="192"/>
      <c r="AH430" s="128"/>
      <c r="AI430" s="129"/>
      <c r="AK430" s="10"/>
      <c r="AL430" s="832"/>
      <c r="AM430" s="832"/>
    </row>
    <row r="431" spans="2:39" ht="26.25" hidden="1" customHeight="1" x14ac:dyDescent="0.25">
      <c r="B431" s="15"/>
      <c r="C431" s="6" t="s">
        <v>26</v>
      </c>
      <c r="D431" s="23" t="s">
        <v>40</v>
      </c>
      <c r="E431" s="1" t="s">
        <v>556</v>
      </c>
      <c r="F431" s="388">
        <v>1298</v>
      </c>
      <c r="G431" s="48" t="s">
        <v>0</v>
      </c>
      <c r="H431" s="39"/>
      <c r="I431" s="360">
        <v>0</v>
      </c>
      <c r="J431" s="39">
        <f t="shared" si="133"/>
        <v>0</v>
      </c>
      <c r="K431" s="309">
        <f t="shared" si="128"/>
        <v>8.57</v>
      </c>
      <c r="L431" s="230">
        <f>K431*J718</f>
        <v>0</v>
      </c>
      <c r="M431" s="197" t="s">
        <v>213</v>
      </c>
      <c r="N431" s="279"/>
      <c r="O431" s="503"/>
      <c r="P431" s="490">
        <f t="shared" si="135"/>
        <v>0</v>
      </c>
      <c r="Q431" s="262" t="str">
        <f t="shared" si="130"/>
        <v>магнит в оправе Д20+-0,5</v>
      </c>
      <c r="R431" s="306">
        <f t="shared" si="131"/>
        <v>12</v>
      </c>
      <c r="S431" s="463">
        <v>10</v>
      </c>
      <c r="T431" s="353">
        <f t="shared" si="136"/>
        <v>0</v>
      </c>
      <c r="U431" s="18"/>
      <c r="V431" s="20">
        <f t="shared" si="137"/>
        <v>0</v>
      </c>
      <c r="W431" s="52">
        <f>X431-U431+V431</f>
        <v>0</v>
      </c>
      <c r="X431" s="18"/>
      <c r="Y431" s="18"/>
      <c r="Z431" s="18"/>
      <c r="AA431" s="18"/>
      <c r="AB431" s="418"/>
      <c r="AC431" s="200"/>
      <c r="AD431" s="160"/>
      <c r="AE431" s="163"/>
      <c r="AF431" s="171"/>
      <c r="AG431" s="192"/>
      <c r="AH431" s="128"/>
      <c r="AI431" s="129"/>
      <c r="AK431" s="10"/>
      <c r="AL431" s="10"/>
      <c r="AM431" s="10"/>
    </row>
    <row r="432" spans="2:39" ht="31.5" hidden="1" customHeight="1" thickBot="1" x14ac:dyDescent="0.3">
      <c r="B432" s="15"/>
      <c r="C432" s="6" t="s">
        <v>26</v>
      </c>
      <c r="D432" s="23" t="s">
        <v>40</v>
      </c>
      <c r="E432" s="1" t="s">
        <v>760</v>
      </c>
      <c r="F432" s="383">
        <v>1468</v>
      </c>
      <c r="G432" s="12" t="s">
        <v>0</v>
      </c>
      <c r="H432" s="39"/>
      <c r="I432" s="309">
        <v>0</v>
      </c>
      <c r="J432" s="39">
        <f t="shared" si="133"/>
        <v>0</v>
      </c>
      <c r="K432" s="309">
        <f t="shared" si="128"/>
        <v>655.71</v>
      </c>
      <c r="L432" s="406">
        <f>K432*J719</f>
        <v>0</v>
      </c>
      <c r="M432" s="197" t="s">
        <v>213</v>
      </c>
      <c r="N432" s="553"/>
      <c r="O432" s="39"/>
      <c r="P432" s="309">
        <f t="shared" si="135"/>
        <v>0</v>
      </c>
      <c r="Q432" s="51" t="str">
        <f t="shared" si="130"/>
        <v>СМР1 L220х165/7</v>
      </c>
      <c r="R432" s="306">
        <f t="shared" si="131"/>
        <v>918</v>
      </c>
      <c r="S432" s="320">
        <v>765</v>
      </c>
      <c r="T432" s="353">
        <f t="shared" si="136"/>
        <v>0</v>
      </c>
      <c r="U432" s="18">
        <v>0</v>
      </c>
      <c r="V432" s="20">
        <f t="shared" si="137"/>
        <v>0</v>
      </c>
      <c r="W432" s="52">
        <f>X432-U432+V432</f>
        <v>0</v>
      </c>
      <c r="X432" s="18">
        <v>0</v>
      </c>
      <c r="Y432" s="18"/>
      <c r="Z432" s="18"/>
      <c r="AA432" s="18"/>
      <c r="AB432" s="418"/>
      <c r="AC432" s="200"/>
      <c r="AD432" s="160"/>
      <c r="AE432" s="163"/>
      <c r="AF432" s="171"/>
      <c r="AG432" s="192"/>
      <c r="AH432" s="128"/>
      <c r="AI432" s="129"/>
      <c r="AK432" s="10"/>
      <c r="AL432" s="10"/>
      <c r="AM432" s="10"/>
    </row>
    <row r="433" spans="2:241" ht="26.25" customHeight="1" thickBot="1" x14ac:dyDescent="0.3">
      <c r="B433" s="548">
        <v>120</v>
      </c>
      <c r="C433" s="267"/>
      <c r="D433" s="252"/>
      <c r="E433" s="253" t="s">
        <v>3</v>
      </c>
      <c r="F433" s="549"/>
      <c r="G433" s="254"/>
      <c r="H433" s="550">
        <v>247394</v>
      </c>
      <c r="I433" s="551">
        <f>SUBTOTAL(9,I6:I432)</f>
        <v>130616.19</v>
      </c>
      <c r="J433" s="552">
        <f>N136+O136-H136</f>
        <v>0</v>
      </c>
      <c r="K433" s="358"/>
      <c r="L433" s="268">
        <f>SUBTOTAL(9,L6:L432)</f>
        <v>2203</v>
      </c>
      <c r="M433" s="559"/>
      <c r="N433" s="255">
        <f>SUBTOTAL(9,N7:N429)</f>
        <v>235454</v>
      </c>
      <c r="O433" s="506">
        <f>SUBTOTAL(9,O6:O432)</f>
        <v>562623</v>
      </c>
      <c r="P433" s="551">
        <f>SUBTOTAL(9,P6:P432)</f>
        <v>146265.53</v>
      </c>
      <c r="Q433" s="256"/>
      <c r="R433" s="307">
        <v>350</v>
      </c>
      <c r="S433" s="344"/>
      <c r="T433" s="354">
        <f>SUBTOTAL(9,T6:T432)</f>
        <v>84899.83</v>
      </c>
      <c r="U433" s="73">
        <f>SUBTOTAL(9,U5:U432)</f>
        <v>901802</v>
      </c>
      <c r="V433" s="20"/>
      <c r="W433" s="52"/>
      <c r="X433" s="73">
        <f>SUBTOTAL(9,X5:X432)</f>
        <v>1283555</v>
      </c>
      <c r="Y433" s="198"/>
      <c r="Z433" s="198"/>
      <c r="AA433" s="198"/>
      <c r="AB433" s="424"/>
      <c r="AC433" s="200"/>
      <c r="AD433" s="160"/>
      <c r="AE433" s="163"/>
      <c r="AF433" s="171"/>
      <c r="AG433" s="176"/>
      <c r="AH433" s="19">
        <f>SUBTOTAL(9,AH6:AH91)</f>
        <v>331.2</v>
      </c>
      <c r="AI433" s="19"/>
      <c r="AJ433" s="180"/>
      <c r="AK433" s="439"/>
      <c r="AL433" s="482"/>
      <c r="AM433" s="24">
        <f>SUBTOTAL(9,AM5:AM430)</f>
        <v>7626.04</v>
      </c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R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  <c r="CG433" s="24"/>
      <c r="CH433" s="24"/>
      <c r="CI433" s="24"/>
      <c r="CJ433" s="24"/>
      <c r="CK433" s="24"/>
      <c r="CL433" s="24"/>
      <c r="CM433" s="24"/>
      <c r="CN433" s="24"/>
      <c r="CO433" s="24"/>
      <c r="CP433" s="24"/>
      <c r="CQ433" s="24"/>
      <c r="CR433" s="24"/>
      <c r="CS433" s="24"/>
      <c r="CT433" s="24"/>
      <c r="CU433" s="24"/>
      <c r="CV433" s="24"/>
      <c r="CW433" s="24"/>
      <c r="CX433" s="24"/>
      <c r="CY433" s="24"/>
      <c r="CZ433" s="24"/>
      <c r="DA433" s="24"/>
      <c r="DB433" s="24"/>
      <c r="DC433" s="24"/>
      <c r="DD433" s="24"/>
      <c r="DE433" s="24"/>
      <c r="DF433" s="24"/>
      <c r="DG433" s="24"/>
      <c r="DH433" s="24"/>
      <c r="DI433" s="24"/>
      <c r="DJ433" s="24"/>
      <c r="DK433" s="24"/>
      <c r="DL433" s="24"/>
      <c r="DM433" s="24"/>
      <c r="DN433" s="24"/>
      <c r="DO433" s="24"/>
      <c r="DP433" s="24"/>
      <c r="DQ433" s="24"/>
      <c r="DR433" s="24"/>
      <c r="DS433" s="24"/>
      <c r="DT433" s="24"/>
      <c r="DU433" s="24"/>
      <c r="DV433" s="24"/>
      <c r="DW433" s="24"/>
      <c r="DX433" s="24"/>
      <c r="DY433" s="24"/>
      <c r="DZ433" s="24"/>
      <c r="EA433" s="24"/>
      <c r="EB433" s="24"/>
      <c r="EC433" s="24"/>
      <c r="ED433" s="24"/>
      <c r="EE433" s="24"/>
      <c r="EF433" s="24"/>
      <c r="EG433" s="24"/>
      <c r="EH433" s="24"/>
      <c r="EI433" s="24"/>
      <c r="EJ433" s="24"/>
      <c r="EK433" s="24"/>
      <c r="EL433" s="24"/>
      <c r="EM433" s="24"/>
      <c r="EN433" s="24"/>
      <c r="EO433" s="24"/>
      <c r="EP433" s="24"/>
      <c r="EQ433" s="24"/>
      <c r="ER433" s="24"/>
      <c r="ES433" s="24"/>
      <c r="ET433" s="24"/>
      <c r="EU433" s="24"/>
      <c r="EV433" s="24"/>
      <c r="EW433" s="24"/>
      <c r="EX433" s="24"/>
      <c r="EY433" s="24"/>
      <c r="EZ433" s="24"/>
      <c r="FA433" s="24"/>
      <c r="FB433" s="24"/>
      <c r="FC433" s="24"/>
      <c r="FD433" s="24"/>
      <c r="FE433" s="24"/>
      <c r="FF433" s="24"/>
      <c r="FG433" s="24"/>
      <c r="FH433" s="24"/>
      <c r="FI433" s="24"/>
      <c r="FJ433" s="24"/>
      <c r="FK433" s="24"/>
      <c r="FL433" s="24"/>
      <c r="FM433" s="24"/>
      <c r="FN433" s="24"/>
      <c r="FO433" s="24"/>
      <c r="FP433" s="24"/>
      <c r="FQ433" s="24"/>
      <c r="FR433" s="24"/>
      <c r="FS433" s="24"/>
      <c r="FT433" s="24"/>
      <c r="FU433" s="24"/>
      <c r="FV433" s="24"/>
      <c r="FW433" s="24"/>
      <c r="FX433" s="24"/>
      <c r="FY433" s="24"/>
      <c r="FZ433" s="24"/>
      <c r="GA433" s="24"/>
      <c r="GB433" s="24"/>
      <c r="GC433" s="24"/>
      <c r="GD433" s="24"/>
      <c r="GE433" s="24"/>
      <c r="GF433" s="24"/>
      <c r="GG433" s="24"/>
      <c r="GH433" s="24"/>
      <c r="GI433" s="24"/>
      <c r="GJ433" s="24"/>
      <c r="GK433" s="24"/>
      <c r="GL433" s="24"/>
      <c r="GM433" s="24"/>
      <c r="GN433" s="24"/>
      <c r="GO433" s="24"/>
      <c r="GP433" s="24"/>
      <c r="GQ433" s="24"/>
      <c r="GR433" s="24"/>
      <c r="GS433" s="24"/>
      <c r="GT433" s="24"/>
      <c r="GU433" s="24"/>
      <c r="GV433" s="24"/>
      <c r="GW433" s="24"/>
      <c r="GX433" s="24"/>
      <c r="GY433" s="24"/>
      <c r="GZ433" s="24"/>
      <c r="HA433" s="24"/>
      <c r="HB433" s="24"/>
      <c r="HC433" s="24"/>
      <c r="HD433" s="24"/>
      <c r="HE433" s="24"/>
      <c r="HF433" s="24"/>
      <c r="HG433" s="24"/>
      <c r="HH433" s="24"/>
      <c r="HI433" s="24"/>
      <c r="HJ433" s="24"/>
      <c r="HK433" s="24"/>
      <c r="HL433" s="24"/>
      <c r="HM433" s="24"/>
      <c r="HN433" s="24"/>
      <c r="HO433" s="24"/>
      <c r="HP433" s="24"/>
      <c r="HQ433" s="24"/>
      <c r="HR433" s="24"/>
      <c r="HS433" s="24"/>
      <c r="HT433" s="24"/>
      <c r="HU433" s="24"/>
      <c r="HV433" s="24"/>
      <c r="HW433" s="24"/>
      <c r="HX433" s="24"/>
      <c r="HY433" s="24"/>
      <c r="HZ433" s="24"/>
      <c r="IA433" s="24"/>
      <c r="IB433" s="24"/>
      <c r="IC433" s="24"/>
      <c r="ID433" s="24"/>
      <c r="IE433" s="24"/>
      <c r="IF433" s="24"/>
      <c r="IG433" s="24"/>
    </row>
    <row r="434" spans="2:241" s="26" customFormat="1" ht="26.25" customHeight="1" x14ac:dyDescent="0.3">
      <c r="B434" s="33">
        <v>1</v>
      </c>
      <c r="C434" s="26" t="s">
        <v>820</v>
      </c>
      <c r="D434" s="80"/>
      <c r="E434" s="108"/>
      <c r="F434" s="524"/>
      <c r="G434" s="49"/>
      <c r="H434" s="44"/>
      <c r="I434" s="311">
        <f>I433-130616.19</f>
        <v>0</v>
      </c>
      <c r="J434" s="44">
        <f>N137+O137-H137</f>
        <v>0</v>
      </c>
      <c r="K434" s="310" t="s">
        <v>34</v>
      </c>
      <c r="L434" s="231"/>
      <c r="M434" s="38"/>
      <c r="N434" s="144"/>
      <c r="O434" s="61"/>
      <c r="P434" s="312">
        <v>138639.49</v>
      </c>
      <c r="Q434" s="251" t="s">
        <v>876</v>
      </c>
      <c r="R434" s="293"/>
      <c r="S434" s="345"/>
      <c r="T434" s="355"/>
      <c r="U434" s="134"/>
      <c r="V434" s="153"/>
      <c r="W434" s="133"/>
      <c r="X434" s="134"/>
      <c r="Y434" s="134"/>
      <c r="Z434" s="134"/>
      <c r="AA434" s="166"/>
      <c r="AB434" s="425"/>
      <c r="AF434" s="169"/>
      <c r="AG434" s="172"/>
      <c r="AJ434" s="181"/>
      <c r="AL434" s="26" t="s">
        <v>880</v>
      </c>
      <c r="AM434" s="821">
        <v>138639.49</v>
      </c>
      <c r="AN434" s="821">
        <v>7626.04</v>
      </c>
      <c r="AO434" s="821">
        <f>AM434+AN434</f>
        <v>146265.53</v>
      </c>
    </row>
    <row r="435" spans="2:241" s="28" customFormat="1" ht="20.25" x14ac:dyDescent="0.3">
      <c r="B435" s="824">
        <v>1</v>
      </c>
      <c r="D435" s="81"/>
      <c r="E435" s="108"/>
      <c r="F435" s="389"/>
      <c r="H435" s="44"/>
      <c r="I435" s="308"/>
      <c r="J435" s="44"/>
      <c r="K435" s="311"/>
      <c r="L435" s="232"/>
      <c r="M435" s="71"/>
      <c r="N435" s="823"/>
      <c r="O435" s="46"/>
      <c r="P435" s="312"/>
      <c r="Q435" s="37" t="s">
        <v>877</v>
      </c>
      <c r="R435" s="293"/>
      <c r="S435" s="345"/>
      <c r="T435" s="821">
        <f>T433-8974.08</f>
        <v>75925.75</v>
      </c>
      <c r="U435" s="134"/>
      <c r="V435" s="153"/>
      <c r="W435" s="133"/>
      <c r="X435" s="134"/>
      <c r="Y435" s="134"/>
      <c r="Z435" s="134"/>
      <c r="AA435" s="166"/>
      <c r="AB435" s="425"/>
      <c r="AC435" s="26"/>
      <c r="AD435" s="118"/>
      <c r="AE435" s="121"/>
      <c r="AF435" s="170"/>
      <c r="AG435" s="177"/>
      <c r="AH435" s="136"/>
      <c r="AJ435" s="187"/>
      <c r="AL435" s="28" t="s">
        <v>881</v>
      </c>
      <c r="AM435" s="847">
        <f>AM434+AM433</f>
        <v>146265.53</v>
      </c>
    </row>
    <row r="436" spans="2:241" s="30" customFormat="1" ht="20.25" x14ac:dyDescent="0.3">
      <c r="B436" s="29">
        <v>1</v>
      </c>
      <c r="D436" s="81"/>
      <c r="E436" s="108"/>
      <c r="F436" s="389"/>
      <c r="G436" s="49"/>
      <c r="H436" s="44"/>
      <c r="I436" s="311"/>
      <c r="J436" s="44"/>
      <c r="K436" s="311"/>
      <c r="L436" s="232"/>
      <c r="M436" s="71"/>
      <c r="N436" s="823"/>
      <c r="O436" s="46"/>
      <c r="P436" s="312"/>
      <c r="Q436" s="37" t="s">
        <v>878</v>
      </c>
      <c r="R436" s="293"/>
      <c r="S436" s="345"/>
      <c r="T436" s="355"/>
      <c r="U436" s="134"/>
      <c r="V436" s="153"/>
      <c r="W436" s="133"/>
      <c r="X436" s="134"/>
      <c r="Y436" s="134"/>
      <c r="Z436" s="134"/>
      <c r="AA436" s="166"/>
      <c r="AB436" s="425"/>
      <c r="AC436" s="26"/>
      <c r="AD436" s="118"/>
      <c r="AE436" s="121"/>
      <c r="AF436" s="170"/>
      <c r="AG436" s="193"/>
      <c r="AH436" s="137"/>
      <c r="AJ436" s="188"/>
    </row>
    <row r="437" spans="2:241" s="30" customFormat="1" ht="20.25" x14ac:dyDescent="0.3">
      <c r="B437" s="29">
        <v>1</v>
      </c>
      <c r="D437" s="81"/>
      <c r="E437" s="108"/>
      <c r="F437" s="389"/>
      <c r="H437" s="44"/>
      <c r="I437" s="311"/>
      <c r="J437" s="44"/>
      <c r="K437" s="311"/>
      <c r="L437" s="232"/>
      <c r="M437" s="71"/>
      <c r="N437" s="823"/>
      <c r="O437" s="46"/>
      <c r="P437" s="312"/>
      <c r="Q437" s="37"/>
      <c r="R437" s="293"/>
      <c r="S437" s="345"/>
      <c r="T437" s="355"/>
      <c r="U437" s="134"/>
      <c r="V437" s="153"/>
      <c r="W437" s="133"/>
      <c r="X437" s="134"/>
      <c r="Y437" s="134"/>
      <c r="Z437" s="134"/>
      <c r="AA437" s="166"/>
      <c r="AB437" s="425"/>
      <c r="AC437" s="26"/>
      <c r="AD437" s="118"/>
      <c r="AE437" s="121"/>
      <c r="AF437" s="170"/>
      <c r="AG437" s="193"/>
      <c r="AH437" s="137"/>
      <c r="AJ437" s="188"/>
    </row>
    <row r="438" spans="2:241" s="30" customFormat="1" ht="20.25" hidden="1" x14ac:dyDescent="0.3">
      <c r="B438" s="31"/>
      <c r="C438" s="26"/>
      <c r="D438" s="81"/>
      <c r="E438" s="108"/>
      <c r="F438" s="389"/>
      <c r="G438" s="32"/>
      <c r="H438" s="44"/>
      <c r="I438" s="311"/>
      <c r="J438" s="44"/>
      <c r="K438" s="311"/>
      <c r="L438" s="232"/>
      <c r="M438" s="71"/>
      <c r="N438" s="823"/>
      <c r="O438" s="46"/>
      <c r="P438" s="312">
        <f>P433-P437</f>
        <v>146265.53</v>
      </c>
      <c r="Q438" s="37"/>
      <c r="R438" s="293"/>
      <c r="S438" s="345"/>
      <c r="T438" s="355"/>
      <c r="U438" s="134"/>
      <c r="V438" s="153"/>
      <c r="W438" s="133"/>
      <c r="X438" s="134"/>
      <c r="Y438" s="134"/>
      <c r="Z438" s="134"/>
      <c r="AA438" s="166"/>
      <c r="AB438" s="425"/>
      <c r="AC438" s="26"/>
      <c r="AD438" s="118"/>
      <c r="AE438" s="121"/>
      <c r="AF438" s="170"/>
      <c r="AG438" s="193"/>
      <c r="AH438" s="137"/>
      <c r="AJ438" s="188"/>
    </row>
    <row r="439" spans="2:241" s="30" customFormat="1" ht="20.25" hidden="1" x14ac:dyDescent="0.3">
      <c r="B439" s="31"/>
      <c r="D439" s="81"/>
      <c r="E439" s="45"/>
      <c r="F439" s="389"/>
      <c r="G439" s="49"/>
      <c r="H439" s="44"/>
      <c r="I439" s="311"/>
      <c r="J439" s="44"/>
      <c r="K439" s="311"/>
      <c r="L439" s="232"/>
      <c r="M439" s="225"/>
      <c r="N439" s="823"/>
      <c r="O439" s="45"/>
      <c r="P439" s="405">
        <v>240</v>
      </c>
      <c r="Q439" s="37"/>
      <c r="R439" s="293"/>
      <c r="S439" s="345"/>
      <c r="T439" s="355"/>
      <c r="U439" s="134"/>
      <c r="V439" s="153"/>
      <c r="W439" s="133"/>
      <c r="X439" s="134"/>
      <c r="Y439" s="134"/>
      <c r="Z439" s="166"/>
      <c r="AA439" s="166"/>
      <c r="AB439" s="426"/>
      <c r="AC439" s="453"/>
      <c r="AD439" s="453"/>
      <c r="AE439" s="137"/>
      <c r="AF439" s="169"/>
      <c r="AG439" s="193"/>
      <c r="AH439" s="137"/>
      <c r="AJ439" s="188"/>
    </row>
    <row r="440" spans="2:241" s="30" customFormat="1" ht="20.25" hidden="1" x14ac:dyDescent="0.3">
      <c r="B440" s="27"/>
      <c r="D440" s="81"/>
      <c r="E440" s="45"/>
      <c r="F440" s="389"/>
      <c r="G440" s="49"/>
      <c r="H440" s="44"/>
      <c r="I440" s="311"/>
      <c r="J440" s="44"/>
      <c r="K440" s="311"/>
      <c r="L440" s="232"/>
      <c r="M440" s="225"/>
      <c r="N440" s="823"/>
      <c r="O440" s="45"/>
      <c r="P440" s="311">
        <f>P439+P437</f>
        <v>240</v>
      </c>
      <c r="Q440" s="149"/>
      <c r="R440" s="293"/>
      <c r="S440" s="345"/>
      <c r="T440" s="355"/>
      <c r="U440" s="134"/>
      <c r="V440" s="153"/>
      <c r="W440" s="133"/>
      <c r="X440" s="134"/>
      <c r="Y440" s="134"/>
      <c r="Z440" s="166"/>
      <c r="AA440" s="166"/>
      <c r="AB440" s="426"/>
      <c r="AC440" s="453"/>
      <c r="AD440" s="453"/>
      <c r="AE440" s="137"/>
      <c r="AF440" s="169"/>
      <c r="AG440" s="193"/>
      <c r="AH440" s="137"/>
      <c r="AJ440" s="188"/>
    </row>
    <row r="441" spans="2:241" s="30" customFormat="1" ht="20.25" x14ac:dyDescent="0.3">
      <c r="B441" s="27"/>
      <c r="D441" s="81"/>
      <c r="E441" s="45"/>
      <c r="F441" s="389"/>
      <c r="G441" s="49"/>
      <c r="H441" s="44"/>
      <c r="I441" s="311"/>
      <c r="J441" s="44"/>
      <c r="K441" s="311"/>
      <c r="L441" s="232"/>
      <c r="M441" s="225"/>
      <c r="N441" s="823"/>
      <c r="O441" s="45"/>
      <c r="P441" s="311"/>
      <c r="Q441" s="149"/>
      <c r="R441" s="293"/>
      <c r="S441" s="345"/>
      <c r="T441" s="355"/>
      <c r="U441" s="134"/>
      <c r="V441" s="153"/>
      <c r="W441" s="133"/>
      <c r="X441" s="134"/>
      <c r="Y441" s="134"/>
      <c r="Z441" s="166"/>
      <c r="AA441" s="166"/>
      <c r="AB441" s="426"/>
      <c r="AC441" s="453"/>
      <c r="AD441" s="453"/>
      <c r="AE441" s="137"/>
      <c r="AF441" s="169"/>
      <c r="AG441" s="193"/>
      <c r="AH441" s="137"/>
      <c r="AJ441" s="188"/>
      <c r="AL441" s="833"/>
      <c r="AM441" s="833"/>
    </row>
    <row r="442" spans="2:241" s="30" customFormat="1" ht="20.25" x14ac:dyDescent="0.3">
      <c r="B442" s="27"/>
      <c r="D442" s="81"/>
      <c r="E442" s="45"/>
      <c r="F442" s="389"/>
      <c r="G442" s="49"/>
      <c r="H442" s="44"/>
      <c r="I442" s="311"/>
      <c r="J442" s="44"/>
      <c r="K442" s="311"/>
      <c r="L442" s="232"/>
      <c r="M442" s="225"/>
      <c r="N442" s="380"/>
      <c r="O442" s="45"/>
      <c r="P442" s="311"/>
      <c r="Q442" s="149"/>
      <c r="R442" s="293"/>
      <c r="S442" s="345"/>
      <c r="T442" s="355"/>
      <c r="U442" s="134"/>
      <c r="V442" s="153"/>
      <c r="W442" s="133"/>
      <c r="X442" s="134"/>
      <c r="Y442" s="540"/>
      <c r="Z442" s="166"/>
      <c r="AA442" s="166"/>
      <c r="AB442" s="426"/>
      <c r="AC442" s="453"/>
      <c r="AD442" s="453"/>
      <c r="AE442" s="137"/>
      <c r="AF442" s="169"/>
      <c r="AG442" s="193"/>
      <c r="AH442" s="137"/>
      <c r="AJ442" s="188"/>
      <c r="AL442" s="833"/>
      <c r="AM442" s="833"/>
    </row>
    <row r="443" spans="2:241" s="30" customFormat="1" ht="20.25" x14ac:dyDescent="0.3">
      <c r="B443" s="27"/>
      <c r="D443" s="81"/>
      <c r="E443" s="45"/>
      <c r="F443" s="389"/>
      <c r="G443" s="49"/>
      <c r="H443" s="44"/>
      <c r="I443" s="311"/>
      <c r="J443" s="44"/>
      <c r="K443" s="311"/>
      <c r="L443" s="232"/>
      <c r="M443" s="225"/>
      <c r="N443" s="380"/>
      <c r="O443" s="45"/>
      <c r="P443" s="311"/>
      <c r="Q443" s="149"/>
      <c r="R443" s="293"/>
      <c r="S443" s="345"/>
      <c r="T443" s="355"/>
      <c r="U443" s="134"/>
      <c r="V443" s="153"/>
      <c r="W443" s="133"/>
      <c r="X443" s="134"/>
      <c r="Y443" s="540"/>
      <c r="Z443" s="166"/>
      <c r="AA443" s="166"/>
      <c r="AB443" s="426"/>
      <c r="AC443" s="453"/>
      <c r="AD443" s="453"/>
      <c r="AE443" s="137"/>
      <c r="AF443" s="169"/>
      <c r="AG443" s="193"/>
      <c r="AH443" s="137"/>
      <c r="AJ443" s="188"/>
      <c r="AL443" s="833"/>
      <c r="AM443" s="833"/>
    </row>
    <row r="444" spans="2:241" s="30" customFormat="1" ht="20.25" x14ac:dyDescent="0.3">
      <c r="B444" s="27"/>
      <c r="D444" s="81"/>
      <c r="E444" s="45"/>
      <c r="F444" s="389"/>
      <c r="G444" s="49"/>
      <c r="H444" s="44"/>
      <c r="I444" s="311"/>
      <c r="J444" s="44"/>
      <c r="K444" s="311"/>
      <c r="L444" s="232"/>
      <c r="M444" s="225"/>
      <c r="N444" s="380"/>
      <c r="O444" s="45"/>
      <c r="P444" s="311"/>
      <c r="Q444" s="149"/>
      <c r="R444" s="293"/>
      <c r="S444" s="345"/>
      <c r="T444" s="355"/>
      <c r="U444" s="134"/>
      <c r="V444" s="153"/>
      <c r="W444" s="133"/>
      <c r="X444" s="134"/>
      <c r="Y444" s="540"/>
      <c r="Z444" s="166"/>
      <c r="AA444" s="166"/>
      <c r="AB444" s="426"/>
      <c r="AC444" s="453"/>
      <c r="AD444" s="453"/>
      <c r="AE444" s="137"/>
      <c r="AF444" s="169"/>
      <c r="AG444" s="193"/>
      <c r="AH444" s="137"/>
      <c r="AJ444" s="188"/>
      <c r="AL444" s="833"/>
      <c r="AM444" s="833"/>
    </row>
    <row r="445" spans="2:241" s="30" customFormat="1" ht="20.25" x14ac:dyDescent="0.3">
      <c r="B445" s="27"/>
      <c r="D445" s="81"/>
      <c r="E445" s="45"/>
      <c r="F445" s="389"/>
      <c r="G445" s="49"/>
      <c r="H445" s="44"/>
      <c r="I445" s="311"/>
      <c r="J445" s="44"/>
      <c r="K445" s="311"/>
      <c r="L445" s="232"/>
      <c r="M445" s="225"/>
      <c r="N445" s="380"/>
      <c r="O445" s="45"/>
      <c r="P445" s="311"/>
      <c r="Q445" s="149"/>
      <c r="R445" s="293"/>
      <c r="S445" s="345"/>
      <c r="T445" s="355"/>
      <c r="U445" s="134"/>
      <c r="V445" s="153"/>
      <c r="W445" s="133"/>
      <c r="X445" s="134"/>
      <c r="Y445" s="540"/>
      <c r="Z445" s="166"/>
      <c r="AA445" s="166"/>
      <c r="AB445" s="426"/>
      <c r="AC445" s="453"/>
      <c r="AD445" s="453"/>
      <c r="AE445" s="137"/>
      <c r="AF445" s="169"/>
      <c r="AG445" s="193"/>
      <c r="AH445" s="137"/>
      <c r="AJ445" s="188"/>
      <c r="AL445" s="833"/>
      <c r="AM445" s="833"/>
    </row>
    <row r="446" spans="2:241" s="30" customFormat="1" ht="20.25" x14ac:dyDescent="0.3">
      <c r="B446" s="27"/>
      <c r="D446" s="81"/>
      <c r="E446" s="45"/>
      <c r="F446" s="389"/>
      <c r="G446" s="49"/>
      <c r="H446" s="44"/>
      <c r="I446" s="311"/>
      <c r="J446" s="44"/>
      <c r="K446" s="311"/>
      <c r="L446" s="232"/>
      <c r="M446" s="225"/>
      <c r="N446" s="380"/>
      <c r="O446" s="45"/>
      <c r="P446" s="311"/>
      <c r="Q446" s="149"/>
      <c r="R446" s="293"/>
      <c r="S446" s="345"/>
      <c r="T446" s="355"/>
      <c r="U446" s="134"/>
      <c r="V446" s="153"/>
      <c r="W446" s="133"/>
      <c r="X446" s="134"/>
      <c r="Y446" s="540"/>
      <c r="Z446" s="166"/>
      <c r="AA446" s="166"/>
      <c r="AB446" s="426"/>
      <c r="AC446" s="453"/>
      <c r="AD446" s="453"/>
      <c r="AE446" s="137"/>
      <c r="AF446" s="169"/>
      <c r="AG446" s="193"/>
      <c r="AH446" s="137"/>
      <c r="AJ446" s="188"/>
      <c r="AL446" s="833"/>
      <c r="AM446" s="833"/>
    </row>
    <row r="447" spans="2:241" s="30" customFormat="1" x14ac:dyDescent="0.25">
      <c r="B447" s="27"/>
      <c r="D447" s="81"/>
      <c r="E447" s="45"/>
      <c r="F447" s="389"/>
      <c r="G447" s="49"/>
      <c r="H447" s="44"/>
      <c r="I447" s="311"/>
      <c r="J447" s="44"/>
      <c r="K447" s="311"/>
      <c r="L447" s="232"/>
      <c r="M447" s="225"/>
      <c r="N447" s="380"/>
      <c r="O447" s="45"/>
      <c r="P447" s="311"/>
      <c r="Q447" s="149"/>
      <c r="R447" s="293"/>
      <c r="S447" s="316"/>
      <c r="T447" s="349"/>
      <c r="U447" s="111"/>
      <c r="V447" s="111"/>
      <c r="X447" s="111"/>
      <c r="Y447" s="111"/>
      <c r="Z447" s="111"/>
      <c r="AA447" s="111"/>
      <c r="AB447" s="427"/>
      <c r="AC447" s="454"/>
      <c r="AD447" s="455"/>
      <c r="AE447" s="166"/>
      <c r="AF447" s="169"/>
      <c r="AG447" s="172"/>
      <c r="AH447" s="150"/>
      <c r="AI447" s="137"/>
      <c r="AJ447" s="188"/>
      <c r="AK447" s="137"/>
      <c r="AL447" s="833"/>
      <c r="AM447" s="833"/>
    </row>
    <row r="448" spans="2:241" s="30" customFormat="1" x14ac:dyDescent="0.25">
      <c r="B448" s="27"/>
      <c r="D448" s="81"/>
      <c r="E448" s="45"/>
      <c r="F448" s="389"/>
      <c r="G448" s="49"/>
      <c r="H448" s="44"/>
      <c r="I448" s="311"/>
      <c r="J448" s="44"/>
      <c r="K448" s="311"/>
      <c r="L448" s="232"/>
      <c r="M448" s="225"/>
      <c r="N448" s="380"/>
      <c r="O448" s="45"/>
      <c r="P448" s="311"/>
      <c r="Q448" s="149"/>
      <c r="R448" s="293"/>
      <c r="S448" s="316"/>
      <c r="T448" s="349"/>
      <c r="U448" s="111"/>
      <c r="V448" s="111"/>
      <c r="X448" s="111"/>
      <c r="Y448" s="111"/>
      <c r="Z448" s="111"/>
      <c r="AA448" s="111"/>
      <c r="AB448" s="427"/>
      <c r="AC448" s="454"/>
      <c r="AD448" s="455"/>
      <c r="AE448" s="166"/>
      <c r="AF448" s="169"/>
      <c r="AG448" s="172"/>
      <c r="AH448" s="150"/>
      <c r="AI448" s="137"/>
      <c r="AJ448" s="188"/>
      <c r="AK448" s="137"/>
      <c r="AL448" s="833"/>
      <c r="AM448" s="833"/>
    </row>
    <row r="449" spans="2:39" s="30" customFormat="1" x14ac:dyDescent="0.25">
      <c r="B449" s="27"/>
      <c r="D449" s="81"/>
      <c r="E449" s="45"/>
      <c r="F449" s="389"/>
      <c r="G449" s="49"/>
      <c r="H449" s="44"/>
      <c r="I449" s="311"/>
      <c r="J449" s="44"/>
      <c r="K449" s="311"/>
      <c r="L449" s="232"/>
      <c r="M449" s="225"/>
      <c r="N449" s="380"/>
      <c r="O449" s="45"/>
      <c r="P449" s="311"/>
      <c r="Q449" s="149"/>
      <c r="R449" s="293"/>
      <c r="S449" s="316"/>
      <c r="T449" s="355"/>
      <c r="U449" s="111"/>
      <c r="V449" s="111"/>
      <c r="X449" s="111"/>
      <c r="Y449" s="111"/>
      <c r="Z449" s="111"/>
      <c r="AA449" s="111"/>
      <c r="AB449" s="427"/>
      <c r="AC449" s="454"/>
      <c r="AD449" s="455"/>
      <c r="AE449" s="166"/>
      <c r="AF449" s="169"/>
      <c r="AG449" s="172"/>
      <c r="AH449" s="150"/>
      <c r="AI449" s="137"/>
      <c r="AJ449" s="188"/>
      <c r="AK449" s="137"/>
      <c r="AL449" s="833"/>
      <c r="AM449" s="833"/>
    </row>
    <row r="450" spans="2:39" s="30" customFormat="1" x14ac:dyDescent="0.25">
      <c r="B450" s="27"/>
      <c r="D450" s="81"/>
      <c r="E450" s="45"/>
      <c r="F450" s="389"/>
      <c r="G450" s="49"/>
      <c r="H450" s="44"/>
      <c r="I450" s="311"/>
      <c r="J450" s="44"/>
      <c r="K450" s="311"/>
      <c r="L450" s="232"/>
      <c r="M450" s="225"/>
      <c r="N450" s="380"/>
      <c r="O450" s="45"/>
      <c r="P450" s="311"/>
      <c r="Q450" s="149"/>
      <c r="R450" s="293"/>
      <c r="S450" s="316"/>
      <c r="T450" s="355"/>
      <c r="U450" s="111"/>
      <c r="V450" s="111"/>
      <c r="X450" s="111"/>
      <c r="Y450" s="111"/>
      <c r="Z450" s="111"/>
      <c r="AA450" s="111"/>
      <c r="AB450" s="427"/>
      <c r="AC450" s="454"/>
      <c r="AD450" s="455"/>
      <c r="AE450" s="166"/>
      <c r="AF450" s="169"/>
      <c r="AG450" s="172"/>
      <c r="AH450" s="150"/>
      <c r="AI450" s="137"/>
      <c r="AJ450" s="188"/>
      <c r="AK450" s="137"/>
      <c r="AL450" s="833"/>
      <c r="AM450" s="833"/>
    </row>
    <row r="451" spans="2:39" s="30" customFormat="1" x14ac:dyDescent="0.25">
      <c r="B451" s="27"/>
      <c r="D451" s="81"/>
      <c r="E451" s="45"/>
      <c r="F451" s="389"/>
      <c r="G451" s="49"/>
      <c r="H451" s="44"/>
      <c r="I451" s="311"/>
      <c r="J451" s="44"/>
      <c r="K451" s="311"/>
      <c r="L451" s="232"/>
      <c r="M451" s="225"/>
      <c r="N451" s="380"/>
      <c r="O451" s="45"/>
      <c r="P451" s="311"/>
      <c r="Q451" s="149"/>
      <c r="R451" s="293"/>
      <c r="S451" s="316"/>
      <c r="T451" s="355"/>
      <c r="U451" s="111"/>
      <c r="V451" s="111"/>
      <c r="X451" s="111"/>
      <c r="Y451" s="111"/>
      <c r="Z451" s="111"/>
      <c r="AA451" s="111"/>
      <c r="AB451" s="427"/>
      <c r="AC451" s="454"/>
      <c r="AD451" s="455"/>
      <c r="AE451" s="166"/>
      <c r="AF451" s="169"/>
      <c r="AG451" s="172"/>
      <c r="AH451" s="150"/>
      <c r="AI451" s="137"/>
      <c r="AJ451" s="188"/>
      <c r="AK451" s="137"/>
      <c r="AL451" s="833"/>
      <c r="AM451" s="833"/>
    </row>
    <row r="452" spans="2:39" s="30" customFormat="1" x14ac:dyDescent="0.25">
      <c r="B452" s="27"/>
      <c r="D452" s="81"/>
      <c r="E452" s="45"/>
      <c r="F452" s="389"/>
      <c r="G452" s="49"/>
      <c r="H452" s="44"/>
      <c r="I452" s="311"/>
      <c r="J452" s="44"/>
      <c r="K452" s="311"/>
      <c r="L452" s="232"/>
      <c r="M452" s="225"/>
      <c r="N452" s="380"/>
      <c r="O452" s="45"/>
      <c r="P452" s="311"/>
      <c r="Q452" s="149"/>
      <c r="R452" s="293"/>
      <c r="S452" s="316"/>
      <c r="T452" s="355"/>
      <c r="U452" s="111"/>
      <c r="V452" s="111"/>
      <c r="X452" s="111"/>
      <c r="Y452" s="111"/>
      <c r="Z452" s="111"/>
      <c r="AA452" s="111"/>
      <c r="AB452" s="427"/>
      <c r="AC452" s="454"/>
      <c r="AD452" s="455"/>
      <c r="AE452" s="166"/>
      <c r="AF452" s="169"/>
      <c r="AG452" s="172"/>
      <c r="AH452" s="150"/>
      <c r="AI452" s="137"/>
      <c r="AJ452" s="188"/>
      <c r="AK452" s="137"/>
      <c r="AL452" s="833"/>
      <c r="AM452" s="833"/>
    </row>
    <row r="453" spans="2:39" s="30" customFormat="1" x14ac:dyDescent="0.25">
      <c r="B453" s="27"/>
      <c r="D453" s="81"/>
      <c r="E453" s="45"/>
      <c r="F453" s="389"/>
      <c r="G453" s="49"/>
      <c r="H453" s="44"/>
      <c r="I453" s="311"/>
      <c r="J453" s="44"/>
      <c r="K453" s="311"/>
      <c r="L453" s="232"/>
      <c r="M453" s="225"/>
      <c r="N453" s="380"/>
      <c r="O453" s="45"/>
      <c r="P453" s="311"/>
      <c r="Q453" s="149"/>
      <c r="R453" s="293"/>
      <c r="S453" s="316"/>
      <c r="T453" s="355"/>
      <c r="U453" s="111"/>
      <c r="V453" s="111"/>
      <c r="X453" s="111"/>
      <c r="Y453" s="111"/>
      <c r="Z453" s="111"/>
      <c r="AA453" s="111"/>
      <c r="AB453" s="427"/>
      <c r="AC453" s="454"/>
      <c r="AD453" s="455"/>
      <c r="AE453" s="166"/>
      <c r="AF453" s="169"/>
      <c r="AG453" s="172"/>
      <c r="AH453" s="150"/>
      <c r="AI453" s="137"/>
      <c r="AJ453" s="188"/>
      <c r="AK453" s="137"/>
      <c r="AL453" s="833"/>
      <c r="AM453" s="833"/>
    </row>
    <row r="454" spans="2:39" s="30" customFormat="1" x14ac:dyDescent="0.25">
      <c r="B454" s="27"/>
      <c r="D454" s="81"/>
      <c r="E454" s="45"/>
      <c r="F454" s="389"/>
      <c r="G454" s="49"/>
      <c r="H454" s="44"/>
      <c r="I454" s="311"/>
      <c r="J454" s="44"/>
      <c r="K454" s="311"/>
      <c r="L454" s="232"/>
      <c r="M454" s="225"/>
      <c r="N454" s="380"/>
      <c r="O454" s="45"/>
      <c r="P454" s="311"/>
      <c r="Q454" s="149"/>
      <c r="R454" s="293"/>
      <c r="S454" s="316"/>
      <c r="T454" s="355"/>
      <c r="U454" s="111"/>
      <c r="V454" s="111"/>
      <c r="X454" s="111"/>
      <c r="Y454" s="111"/>
      <c r="Z454" s="111"/>
      <c r="AA454" s="111"/>
      <c r="AB454" s="427"/>
      <c r="AC454" s="454"/>
      <c r="AD454" s="455"/>
      <c r="AE454" s="166"/>
      <c r="AF454" s="169"/>
      <c r="AG454" s="172"/>
      <c r="AH454" s="150"/>
      <c r="AI454" s="137"/>
      <c r="AJ454" s="188"/>
      <c r="AK454" s="137"/>
      <c r="AL454" s="833"/>
      <c r="AM454" s="833"/>
    </row>
    <row r="455" spans="2:39" s="30" customFormat="1" x14ac:dyDescent="0.25">
      <c r="B455" s="27"/>
      <c r="D455" s="81"/>
      <c r="E455" s="45"/>
      <c r="F455" s="389"/>
      <c r="G455" s="49"/>
      <c r="H455" s="44"/>
      <c r="I455" s="311"/>
      <c r="J455" s="44"/>
      <c r="K455" s="311"/>
      <c r="L455" s="232"/>
      <c r="M455" s="225"/>
      <c r="N455" s="380"/>
      <c r="O455" s="45"/>
      <c r="P455" s="311"/>
      <c r="Q455" s="149"/>
      <c r="R455" s="293"/>
      <c r="S455" s="316"/>
      <c r="T455" s="355"/>
      <c r="U455" s="111"/>
      <c r="V455" s="111"/>
      <c r="X455" s="111"/>
      <c r="Y455" s="111"/>
      <c r="Z455" s="111"/>
      <c r="AA455" s="111"/>
      <c r="AB455" s="427"/>
      <c r="AC455" s="454"/>
      <c r="AD455" s="455"/>
      <c r="AE455" s="166"/>
      <c r="AF455" s="169"/>
      <c r="AG455" s="172"/>
      <c r="AH455" s="150"/>
      <c r="AI455" s="137"/>
      <c r="AJ455" s="188"/>
      <c r="AK455" s="137"/>
      <c r="AL455" s="833"/>
      <c r="AM455" s="833"/>
    </row>
    <row r="456" spans="2:39" s="30" customFormat="1" x14ac:dyDescent="0.25">
      <c r="B456" s="27"/>
      <c r="D456" s="81"/>
      <c r="E456" s="45"/>
      <c r="F456" s="389"/>
      <c r="G456" s="49"/>
      <c r="H456" s="44"/>
      <c r="I456" s="311"/>
      <c r="J456" s="44"/>
      <c r="K456" s="311"/>
      <c r="L456" s="232"/>
      <c r="M456" s="225"/>
      <c r="N456" s="380"/>
      <c r="O456" s="45"/>
      <c r="P456" s="311"/>
      <c r="Q456" s="149"/>
      <c r="R456" s="293"/>
      <c r="S456" s="316"/>
      <c r="T456" s="355"/>
      <c r="U456" s="111"/>
      <c r="V456" s="111"/>
      <c r="X456" s="111"/>
      <c r="Y456" s="111"/>
      <c r="Z456" s="111"/>
      <c r="AA456" s="111"/>
      <c r="AB456" s="427"/>
      <c r="AC456" s="454"/>
      <c r="AD456" s="455"/>
      <c r="AE456" s="166"/>
      <c r="AF456" s="169"/>
      <c r="AG456" s="172"/>
      <c r="AH456" s="150"/>
      <c r="AI456" s="137"/>
      <c r="AJ456" s="188"/>
      <c r="AK456" s="137"/>
      <c r="AL456" s="833"/>
      <c r="AM456" s="833"/>
    </row>
    <row r="457" spans="2:39" s="30" customFormat="1" x14ac:dyDescent="0.25">
      <c r="B457" s="27"/>
      <c r="D457" s="81"/>
      <c r="E457" s="45"/>
      <c r="F457" s="389"/>
      <c r="G457" s="49"/>
      <c r="H457" s="44"/>
      <c r="I457" s="311"/>
      <c r="J457" s="44"/>
      <c r="K457" s="311"/>
      <c r="L457" s="232"/>
      <c r="M457" s="225"/>
      <c r="N457" s="380"/>
      <c r="O457" s="45"/>
      <c r="P457" s="311"/>
      <c r="Q457" s="149"/>
      <c r="R457" s="293"/>
      <c r="S457" s="316"/>
      <c r="T457" s="355"/>
      <c r="U457" s="111"/>
      <c r="V457" s="111"/>
      <c r="X457" s="111"/>
      <c r="Y457" s="111"/>
      <c r="Z457" s="111"/>
      <c r="AA457" s="111"/>
      <c r="AB457" s="427"/>
      <c r="AC457" s="454"/>
      <c r="AD457" s="455"/>
      <c r="AE457" s="166"/>
      <c r="AF457" s="169"/>
      <c r="AG457" s="172"/>
      <c r="AH457" s="150"/>
      <c r="AI457" s="137"/>
      <c r="AJ457" s="188"/>
      <c r="AK457" s="137"/>
      <c r="AL457" s="833"/>
      <c r="AM457" s="833"/>
    </row>
    <row r="458" spans="2:39" s="30" customFormat="1" x14ac:dyDescent="0.25">
      <c r="B458" s="27"/>
      <c r="D458" s="81"/>
      <c r="E458" s="45"/>
      <c r="F458" s="389"/>
      <c r="G458" s="49"/>
      <c r="H458" s="44"/>
      <c r="I458" s="311"/>
      <c r="J458" s="44"/>
      <c r="K458" s="311"/>
      <c r="L458" s="232"/>
      <c r="M458" s="225"/>
      <c r="N458" s="380"/>
      <c r="O458" s="45"/>
      <c r="P458" s="311"/>
      <c r="Q458" s="149"/>
      <c r="R458" s="293"/>
      <c r="S458" s="316"/>
      <c r="T458" s="355"/>
      <c r="U458" s="111"/>
      <c r="V458" s="111"/>
      <c r="X458" s="111"/>
      <c r="Y458" s="111"/>
      <c r="Z458" s="111"/>
      <c r="AA458" s="111"/>
      <c r="AB458" s="427"/>
      <c r="AC458" s="454"/>
      <c r="AD458" s="455"/>
      <c r="AE458" s="166"/>
      <c r="AF458" s="169"/>
      <c r="AG458" s="172"/>
      <c r="AH458" s="150"/>
      <c r="AI458" s="137"/>
      <c r="AJ458" s="188"/>
      <c r="AK458" s="137"/>
      <c r="AL458" s="833"/>
      <c r="AM458" s="833"/>
    </row>
    <row r="459" spans="2:39" s="30" customFormat="1" x14ac:dyDescent="0.25">
      <c r="B459" s="27"/>
      <c r="D459" s="81"/>
      <c r="E459" s="45"/>
      <c r="F459" s="389"/>
      <c r="G459" s="49"/>
      <c r="H459" s="44"/>
      <c r="I459" s="311"/>
      <c r="J459" s="44"/>
      <c r="K459" s="311"/>
      <c r="L459" s="232"/>
      <c r="M459" s="225"/>
      <c r="N459" s="380"/>
      <c r="O459" s="45"/>
      <c r="P459" s="311"/>
      <c r="Q459" s="149"/>
      <c r="R459" s="293"/>
      <c r="S459" s="316"/>
      <c r="T459" s="355"/>
      <c r="U459" s="111"/>
      <c r="V459" s="111"/>
      <c r="X459" s="111"/>
      <c r="Y459" s="111"/>
      <c r="Z459" s="111"/>
      <c r="AA459" s="111"/>
      <c r="AB459" s="427"/>
      <c r="AC459" s="454"/>
      <c r="AD459" s="455"/>
      <c r="AE459" s="166"/>
      <c r="AF459" s="169"/>
      <c r="AG459" s="172"/>
      <c r="AH459" s="150"/>
      <c r="AI459" s="137"/>
      <c r="AJ459" s="188"/>
      <c r="AK459" s="137"/>
      <c r="AL459" s="833"/>
      <c r="AM459" s="833"/>
    </row>
    <row r="460" spans="2:39" s="30" customFormat="1" x14ac:dyDescent="0.25">
      <c r="B460" s="27"/>
      <c r="D460" s="81"/>
      <c r="E460" s="45"/>
      <c r="F460" s="389"/>
      <c r="G460" s="49"/>
      <c r="H460" s="44"/>
      <c r="I460" s="311"/>
      <c r="J460" s="44"/>
      <c r="K460" s="311"/>
      <c r="L460" s="232"/>
      <c r="M460" s="225"/>
      <c r="N460" s="380"/>
      <c r="O460" s="45"/>
      <c r="P460" s="311"/>
      <c r="Q460" s="149"/>
      <c r="R460" s="293"/>
      <c r="S460" s="316"/>
      <c r="T460" s="355"/>
      <c r="U460" s="111"/>
      <c r="V460" s="111"/>
      <c r="X460" s="111"/>
      <c r="Y460" s="111"/>
      <c r="Z460" s="111"/>
      <c r="AA460" s="111"/>
      <c r="AB460" s="427"/>
      <c r="AC460" s="454"/>
      <c r="AD460" s="455"/>
      <c r="AE460" s="166"/>
      <c r="AF460" s="169"/>
      <c r="AG460" s="172"/>
      <c r="AH460" s="150"/>
      <c r="AI460" s="137"/>
      <c r="AJ460" s="188"/>
      <c r="AK460" s="137"/>
      <c r="AL460" s="833"/>
      <c r="AM460" s="833"/>
    </row>
    <row r="461" spans="2:39" s="30" customFormat="1" x14ac:dyDescent="0.25">
      <c r="B461" s="27"/>
      <c r="D461" s="81"/>
      <c r="E461" s="45"/>
      <c r="F461" s="389"/>
      <c r="G461" s="49"/>
      <c r="H461" s="44"/>
      <c r="I461" s="311"/>
      <c r="J461" s="44"/>
      <c r="K461" s="311"/>
      <c r="L461" s="232"/>
      <c r="M461" s="225"/>
      <c r="N461" s="380"/>
      <c r="O461" s="45"/>
      <c r="P461" s="311"/>
      <c r="Q461" s="149"/>
      <c r="R461" s="293"/>
      <c r="S461" s="316"/>
      <c r="T461" s="355"/>
      <c r="U461" s="111"/>
      <c r="V461" s="111"/>
      <c r="X461" s="111"/>
      <c r="Y461" s="111"/>
      <c r="Z461" s="111"/>
      <c r="AA461" s="111"/>
      <c r="AB461" s="427"/>
      <c r="AC461" s="454"/>
      <c r="AD461" s="455"/>
      <c r="AE461" s="166"/>
      <c r="AF461" s="169"/>
      <c r="AG461" s="172"/>
      <c r="AH461" s="150"/>
      <c r="AI461" s="137"/>
      <c r="AJ461" s="188"/>
      <c r="AK461" s="137"/>
      <c r="AL461" s="833"/>
      <c r="AM461" s="833"/>
    </row>
    <row r="462" spans="2:39" s="30" customFormat="1" x14ac:dyDescent="0.25">
      <c r="B462" s="27"/>
      <c r="D462" s="81"/>
      <c r="E462" s="45"/>
      <c r="F462" s="389"/>
      <c r="G462" s="49"/>
      <c r="H462" s="44"/>
      <c r="I462" s="311"/>
      <c r="J462" s="44"/>
      <c r="K462" s="311"/>
      <c r="L462" s="232"/>
      <c r="M462" s="225"/>
      <c r="N462" s="380"/>
      <c r="O462" s="45"/>
      <c r="P462" s="311"/>
      <c r="Q462" s="149"/>
      <c r="R462" s="293"/>
      <c r="S462" s="316"/>
      <c r="T462" s="355"/>
      <c r="U462" s="111"/>
      <c r="V462" s="111"/>
      <c r="X462" s="111"/>
      <c r="Y462" s="111"/>
      <c r="Z462" s="111"/>
      <c r="AA462" s="111"/>
      <c r="AB462" s="427"/>
      <c r="AC462" s="454"/>
      <c r="AD462" s="455"/>
      <c r="AE462" s="166"/>
      <c r="AF462" s="169"/>
      <c r="AG462" s="172"/>
      <c r="AH462" s="150"/>
      <c r="AI462" s="137"/>
      <c r="AJ462" s="188"/>
      <c r="AK462" s="137"/>
      <c r="AL462" s="833"/>
      <c r="AM462" s="833"/>
    </row>
    <row r="463" spans="2:39" s="30" customFormat="1" x14ac:dyDescent="0.25">
      <c r="B463" s="27"/>
      <c r="D463" s="81"/>
      <c r="E463" s="45"/>
      <c r="F463" s="389"/>
      <c r="G463" s="49"/>
      <c r="H463" s="44"/>
      <c r="I463" s="311"/>
      <c r="J463" s="44"/>
      <c r="K463" s="311"/>
      <c r="L463" s="232"/>
      <c r="M463" s="225"/>
      <c r="N463" s="380"/>
      <c r="O463" s="45"/>
      <c r="P463" s="311"/>
      <c r="Q463" s="149"/>
      <c r="R463" s="293"/>
      <c r="S463" s="316"/>
      <c r="T463" s="355"/>
      <c r="U463" s="111"/>
      <c r="V463" s="111"/>
      <c r="X463" s="111"/>
      <c r="Y463" s="111"/>
      <c r="Z463" s="111"/>
      <c r="AA463" s="111"/>
      <c r="AB463" s="427"/>
      <c r="AC463" s="454"/>
      <c r="AD463" s="455"/>
      <c r="AE463" s="166"/>
      <c r="AF463" s="169"/>
      <c r="AG463" s="172"/>
      <c r="AH463" s="150"/>
      <c r="AI463" s="137"/>
      <c r="AJ463" s="188"/>
      <c r="AK463" s="137"/>
      <c r="AL463" s="833"/>
      <c r="AM463" s="833"/>
    </row>
    <row r="464" spans="2:39" s="30" customFormat="1" x14ac:dyDescent="0.25">
      <c r="B464" s="27"/>
      <c r="D464" s="81"/>
      <c r="E464" s="45"/>
      <c r="F464" s="389"/>
      <c r="G464" s="49"/>
      <c r="H464" s="44"/>
      <c r="I464" s="311"/>
      <c r="J464" s="44"/>
      <c r="K464" s="311"/>
      <c r="L464" s="232"/>
      <c r="M464" s="225"/>
      <c r="N464" s="380"/>
      <c r="O464" s="45"/>
      <c r="P464" s="311"/>
      <c r="Q464" s="149"/>
      <c r="R464" s="293"/>
      <c r="S464" s="316"/>
      <c r="T464" s="355"/>
      <c r="U464" s="111"/>
      <c r="V464" s="111"/>
      <c r="X464" s="111"/>
      <c r="Y464" s="111"/>
      <c r="Z464" s="111"/>
      <c r="AA464" s="111"/>
      <c r="AB464" s="427"/>
      <c r="AC464" s="454"/>
      <c r="AD464" s="455"/>
      <c r="AE464" s="166"/>
      <c r="AF464" s="169"/>
      <c r="AG464" s="172"/>
      <c r="AH464" s="150"/>
      <c r="AI464" s="137"/>
      <c r="AJ464" s="188"/>
      <c r="AK464" s="137"/>
      <c r="AL464" s="833"/>
      <c r="AM464" s="833"/>
    </row>
    <row r="465" spans="2:39" s="30" customFormat="1" x14ac:dyDescent="0.25">
      <c r="B465" s="27"/>
      <c r="D465" s="81"/>
      <c r="E465" s="45"/>
      <c r="F465" s="389"/>
      <c r="G465" s="49"/>
      <c r="H465" s="44"/>
      <c r="I465" s="311"/>
      <c r="J465" s="44"/>
      <c r="K465" s="311"/>
      <c r="L465" s="232"/>
      <c r="M465" s="225"/>
      <c r="N465" s="380"/>
      <c r="O465" s="45"/>
      <c r="P465" s="311"/>
      <c r="Q465" s="149"/>
      <c r="R465" s="293"/>
      <c r="S465" s="316"/>
      <c r="T465" s="355"/>
      <c r="U465" s="111"/>
      <c r="V465" s="111"/>
      <c r="X465" s="111"/>
      <c r="Y465" s="111"/>
      <c r="Z465" s="111"/>
      <c r="AA465" s="111"/>
      <c r="AB465" s="427"/>
      <c r="AC465" s="454"/>
      <c r="AD465" s="455"/>
      <c r="AE465" s="166"/>
      <c r="AF465" s="169"/>
      <c r="AG465" s="172"/>
      <c r="AH465" s="150"/>
      <c r="AI465" s="137"/>
      <c r="AJ465" s="188"/>
      <c r="AK465" s="137"/>
      <c r="AL465" s="833"/>
      <c r="AM465" s="833"/>
    </row>
    <row r="466" spans="2:39" s="30" customFormat="1" x14ac:dyDescent="0.25">
      <c r="B466" s="27"/>
      <c r="D466" s="81"/>
      <c r="E466" s="45"/>
      <c r="F466" s="389"/>
      <c r="G466" s="49"/>
      <c r="H466" s="44"/>
      <c r="I466" s="311"/>
      <c r="J466" s="44"/>
      <c r="K466" s="311"/>
      <c r="L466" s="232"/>
      <c r="M466" s="225"/>
      <c r="N466" s="380"/>
      <c r="O466" s="45"/>
      <c r="P466" s="311"/>
      <c r="Q466" s="149"/>
      <c r="R466" s="293"/>
      <c r="S466" s="316"/>
      <c r="T466" s="355"/>
      <c r="U466" s="111"/>
      <c r="V466" s="111"/>
      <c r="X466" s="111"/>
      <c r="Y466" s="111"/>
      <c r="Z466" s="111"/>
      <c r="AA466" s="111"/>
      <c r="AB466" s="427"/>
      <c r="AC466" s="454"/>
      <c r="AD466" s="455"/>
      <c r="AE466" s="166"/>
      <c r="AF466" s="169"/>
      <c r="AG466" s="172"/>
      <c r="AH466" s="150"/>
      <c r="AI466" s="137"/>
      <c r="AJ466" s="188"/>
      <c r="AK466" s="137"/>
      <c r="AL466" s="833"/>
      <c r="AM466" s="833"/>
    </row>
    <row r="467" spans="2:39" s="30" customFormat="1" x14ac:dyDescent="0.25">
      <c r="B467" s="27"/>
      <c r="D467" s="81"/>
      <c r="E467" s="45"/>
      <c r="F467" s="389"/>
      <c r="G467" s="49"/>
      <c r="H467" s="44"/>
      <c r="I467" s="311"/>
      <c r="J467" s="44"/>
      <c r="K467" s="311"/>
      <c r="L467" s="232"/>
      <c r="M467" s="225"/>
      <c r="N467" s="380"/>
      <c r="O467" s="45"/>
      <c r="P467" s="311"/>
      <c r="Q467" s="149"/>
      <c r="R467" s="293"/>
      <c r="S467" s="316"/>
      <c r="T467" s="355"/>
      <c r="U467" s="111"/>
      <c r="V467" s="111"/>
      <c r="X467" s="111"/>
      <c r="Y467" s="111"/>
      <c r="Z467" s="111"/>
      <c r="AA467" s="111"/>
      <c r="AB467" s="427"/>
      <c r="AC467" s="454"/>
      <c r="AD467" s="455"/>
      <c r="AE467" s="166"/>
      <c r="AF467" s="169"/>
      <c r="AG467" s="172"/>
      <c r="AH467" s="150"/>
      <c r="AI467" s="137"/>
      <c r="AJ467" s="188"/>
      <c r="AK467" s="137"/>
      <c r="AL467" s="833"/>
      <c r="AM467" s="833"/>
    </row>
    <row r="468" spans="2:39" s="30" customFormat="1" x14ac:dyDescent="0.25">
      <c r="B468" s="27"/>
      <c r="D468" s="81"/>
      <c r="E468" s="45"/>
      <c r="F468" s="389"/>
      <c r="G468" s="49"/>
      <c r="H468" s="44"/>
      <c r="I468" s="311"/>
      <c r="J468" s="44"/>
      <c r="K468" s="311"/>
      <c r="L468" s="232"/>
      <c r="M468" s="225"/>
      <c r="N468" s="380"/>
      <c r="O468" s="45"/>
      <c r="P468" s="311"/>
      <c r="Q468" s="149"/>
      <c r="R468" s="293"/>
      <c r="S468" s="316"/>
      <c r="T468" s="355"/>
      <c r="U468" s="111"/>
      <c r="V468" s="111"/>
      <c r="X468" s="111"/>
      <c r="Y468" s="111"/>
      <c r="Z468" s="111"/>
      <c r="AA468" s="111"/>
      <c r="AB468" s="427"/>
      <c r="AC468" s="454"/>
      <c r="AD468" s="455"/>
      <c r="AE468" s="166"/>
      <c r="AF468" s="169"/>
      <c r="AG468" s="172"/>
      <c r="AH468" s="150"/>
      <c r="AI468" s="137"/>
      <c r="AJ468" s="188"/>
      <c r="AK468" s="137"/>
      <c r="AL468" s="833"/>
      <c r="AM468" s="833"/>
    </row>
    <row r="469" spans="2:39" s="30" customFormat="1" x14ac:dyDescent="0.25">
      <c r="B469" s="27"/>
      <c r="D469" s="81"/>
      <c r="E469" s="45"/>
      <c r="F469" s="389"/>
      <c r="G469" s="49"/>
      <c r="H469" s="44"/>
      <c r="I469" s="311"/>
      <c r="J469" s="44"/>
      <c r="K469" s="311"/>
      <c r="L469" s="232"/>
      <c r="M469" s="225"/>
      <c r="N469" s="380"/>
      <c r="O469" s="45"/>
      <c r="P469" s="311"/>
      <c r="Q469" s="149"/>
      <c r="R469" s="293"/>
      <c r="S469" s="316"/>
      <c r="T469" s="355"/>
      <c r="U469" s="111"/>
      <c r="V469" s="111"/>
      <c r="X469" s="111"/>
      <c r="Y469" s="111"/>
      <c r="Z469" s="111"/>
      <c r="AA469" s="111"/>
      <c r="AB469" s="427"/>
      <c r="AC469" s="454"/>
      <c r="AD469" s="455"/>
      <c r="AE469" s="166"/>
      <c r="AF469" s="169"/>
      <c r="AG469" s="172"/>
      <c r="AH469" s="150"/>
      <c r="AI469" s="137"/>
      <c r="AJ469" s="188"/>
      <c r="AK469" s="137"/>
      <c r="AL469" s="833"/>
      <c r="AM469" s="833"/>
    </row>
    <row r="470" spans="2:39" s="30" customFormat="1" x14ac:dyDescent="0.25">
      <c r="B470" s="27"/>
      <c r="D470" s="81"/>
      <c r="E470" s="45"/>
      <c r="F470" s="389"/>
      <c r="G470" s="49"/>
      <c r="H470" s="44"/>
      <c r="I470" s="311"/>
      <c r="J470" s="44"/>
      <c r="K470" s="311"/>
      <c r="L470" s="232"/>
      <c r="M470" s="225"/>
      <c r="N470" s="380"/>
      <c r="O470" s="45"/>
      <c r="P470" s="311"/>
      <c r="Q470" s="149"/>
      <c r="R470" s="293"/>
      <c r="S470" s="316"/>
      <c r="T470" s="355"/>
      <c r="U470" s="111"/>
      <c r="V470" s="111"/>
      <c r="X470" s="111"/>
      <c r="Y470" s="111"/>
      <c r="Z470" s="111"/>
      <c r="AA470" s="111"/>
      <c r="AB470" s="427"/>
      <c r="AC470" s="454"/>
      <c r="AD470" s="455"/>
      <c r="AE470" s="166"/>
      <c r="AF470" s="169"/>
      <c r="AG470" s="172"/>
      <c r="AH470" s="150"/>
      <c r="AI470" s="137"/>
      <c r="AJ470" s="188"/>
      <c r="AK470" s="137"/>
      <c r="AL470" s="833"/>
      <c r="AM470" s="833"/>
    </row>
    <row r="471" spans="2:39" s="30" customFormat="1" x14ac:dyDescent="0.25">
      <c r="B471" s="27"/>
      <c r="D471" s="81"/>
      <c r="E471" s="45"/>
      <c r="F471" s="389"/>
      <c r="G471" s="49"/>
      <c r="H471" s="44"/>
      <c r="I471" s="311"/>
      <c r="J471" s="44"/>
      <c r="K471" s="311"/>
      <c r="L471" s="232"/>
      <c r="M471" s="225"/>
      <c r="N471" s="380"/>
      <c r="O471" s="45"/>
      <c r="P471" s="311"/>
      <c r="Q471" s="149"/>
      <c r="R471" s="293"/>
      <c r="S471" s="316"/>
      <c r="T471" s="355"/>
      <c r="U471" s="111"/>
      <c r="V471" s="111"/>
      <c r="X471" s="111"/>
      <c r="Y471" s="111"/>
      <c r="Z471" s="111"/>
      <c r="AA471" s="111"/>
      <c r="AB471" s="427"/>
      <c r="AC471" s="454"/>
      <c r="AD471" s="455"/>
      <c r="AE471" s="166"/>
      <c r="AF471" s="169"/>
      <c r="AG471" s="172"/>
      <c r="AH471" s="150"/>
      <c r="AI471" s="137"/>
      <c r="AJ471" s="188"/>
      <c r="AK471" s="137"/>
      <c r="AL471" s="833"/>
      <c r="AM471" s="833"/>
    </row>
    <row r="472" spans="2:39" s="30" customFormat="1" x14ac:dyDescent="0.25">
      <c r="B472" s="27"/>
      <c r="D472" s="81"/>
      <c r="E472" s="45"/>
      <c r="F472" s="389"/>
      <c r="G472" s="49"/>
      <c r="H472" s="44"/>
      <c r="I472" s="311"/>
      <c r="J472" s="44"/>
      <c r="K472" s="311"/>
      <c r="L472" s="232"/>
      <c r="M472" s="225"/>
      <c r="N472" s="380"/>
      <c r="O472" s="45"/>
      <c r="P472" s="311"/>
      <c r="Q472" s="149"/>
      <c r="R472" s="293"/>
      <c r="S472" s="316"/>
      <c r="T472" s="355"/>
      <c r="U472" s="111"/>
      <c r="V472" s="111"/>
      <c r="X472" s="111"/>
      <c r="Y472" s="111"/>
      <c r="Z472" s="111"/>
      <c r="AA472" s="111"/>
      <c r="AB472" s="427"/>
      <c r="AC472" s="454"/>
      <c r="AD472" s="455"/>
      <c r="AE472" s="166"/>
      <c r="AF472" s="169"/>
      <c r="AG472" s="172"/>
      <c r="AH472" s="150"/>
      <c r="AI472" s="137"/>
      <c r="AJ472" s="188"/>
      <c r="AK472" s="137"/>
      <c r="AL472" s="833"/>
      <c r="AM472" s="833"/>
    </row>
    <row r="473" spans="2:39" s="30" customFormat="1" x14ac:dyDescent="0.25">
      <c r="B473" s="27"/>
      <c r="D473" s="81"/>
      <c r="E473" s="45"/>
      <c r="F473" s="389"/>
      <c r="G473" s="49"/>
      <c r="H473" s="44"/>
      <c r="I473" s="311"/>
      <c r="J473" s="44"/>
      <c r="K473" s="311"/>
      <c r="L473" s="232"/>
      <c r="M473" s="225"/>
      <c r="N473" s="380"/>
      <c r="O473" s="45"/>
      <c r="P473" s="311"/>
      <c r="Q473" s="149"/>
      <c r="R473" s="293"/>
      <c r="S473" s="316"/>
      <c r="T473" s="355"/>
      <c r="U473" s="111"/>
      <c r="V473" s="111"/>
      <c r="X473" s="111"/>
      <c r="Y473" s="111"/>
      <c r="Z473" s="111"/>
      <c r="AA473" s="111"/>
      <c r="AB473" s="427"/>
      <c r="AC473" s="454"/>
      <c r="AD473" s="455"/>
      <c r="AE473" s="166"/>
      <c r="AF473" s="169"/>
      <c r="AG473" s="172"/>
      <c r="AH473" s="150"/>
      <c r="AI473" s="137"/>
      <c r="AJ473" s="188"/>
      <c r="AK473" s="137"/>
      <c r="AL473" s="833"/>
      <c r="AM473" s="833"/>
    </row>
    <row r="474" spans="2:39" s="30" customFormat="1" x14ac:dyDescent="0.25">
      <c r="B474" s="27"/>
      <c r="D474" s="81"/>
      <c r="E474" s="45"/>
      <c r="F474" s="389"/>
      <c r="G474" s="49"/>
      <c r="H474" s="44"/>
      <c r="I474" s="311"/>
      <c r="J474" s="44"/>
      <c r="K474" s="311"/>
      <c r="L474" s="232"/>
      <c r="M474" s="225"/>
      <c r="N474" s="380"/>
      <c r="O474" s="45"/>
      <c r="P474" s="311"/>
      <c r="Q474" s="149"/>
      <c r="R474" s="293"/>
      <c r="S474" s="316"/>
      <c r="T474" s="355"/>
      <c r="U474" s="111"/>
      <c r="V474" s="111"/>
      <c r="X474" s="111"/>
      <c r="Y474" s="111"/>
      <c r="Z474" s="111"/>
      <c r="AA474" s="111"/>
      <c r="AB474" s="427"/>
      <c r="AC474" s="454"/>
      <c r="AD474" s="455"/>
      <c r="AE474" s="166"/>
      <c r="AF474" s="169"/>
      <c r="AG474" s="172"/>
      <c r="AH474" s="150"/>
      <c r="AI474" s="137"/>
      <c r="AJ474" s="188"/>
      <c r="AK474" s="137"/>
      <c r="AL474" s="833"/>
      <c r="AM474" s="833"/>
    </row>
    <row r="475" spans="2:39" s="30" customFormat="1" x14ac:dyDescent="0.25">
      <c r="B475" s="27"/>
      <c r="D475" s="81"/>
      <c r="E475" s="45"/>
      <c r="F475" s="389"/>
      <c r="G475" s="49"/>
      <c r="H475" s="44"/>
      <c r="I475" s="311"/>
      <c r="J475" s="44"/>
      <c r="K475" s="311"/>
      <c r="L475" s="232"/>
      <c r="M475" s="225"/>
      <c r="N475" s="380"/>
      <c r="O475" s="45"/>
      <c r="P475" s="311"/>
      <c r="Q475" s="149"/>
      <c r="R475" s="293"/>
      <c r="S475" s="316"/>
      <c r="T475" s="355"/>
      <c r="U475" s="111"/>
      <c r="V475" s="111"/>
      <c r="X475" s="111"/>
      <c r="Y475" s="111"/>
      <c r="Z475" s="111"/>
      <c r="AA475" s="111"/>
      <c r="AB475" s="427"/>
      <c r="AC475" s="454"/>
      <c r="AD475" s="455"/>
      <c r="AE475" s="166"/>
      <c r="AF475" s="169"/>
      <c r="AG475" s="172"/>
      <c r="AH475" s="150"/>
      <c r="AI475" s="137"/>
      <c r="AJ475" s="188"/>
      <c r="AK475" s="137"/>
      <c r="AL475" s="833"/>
      <c r="AM475" s="833"/>
    </row>
    <row r="476" spans="2:39" s="30" customFormat="1" x14ac:dyDescent="0.25">
      <c r="B476" s="27"/>
      <c r="D476" s="81"/>
      <c r="E476" s="45"/>
      <c r="F476" s="389"/>
      <c r="G476" s="49"/>
      <c r="H476" s="44"/>
      <c r="I476" s="311"/>
      <c r="J476" s="44"/>
      <c r="K476" s="311"/>
      <c r="L476" s="232"/>
      <c r="M476" s="225"/>
      <c r="N476" s="380"/>
      <c r="O476" s="45"/>
      <c r="P476" s="311"/>
      <c r="Q476" s="149"/>
      <c r="R476" s="293"/>
      <c r="S476" s="316"/>
      <c r="T476" s="355"/>
      <c r="U476" s="111"/>
      <c r="V476" s="111"/>
      <c r="X476" s="111"/>
      <c r="Y476" s="111"/>
      <c r="Z476" s="111"/>
      <c r="AA476" s="111"/>
      <c r="AB476" s="427"/>
      <c r="AC476" s="454"/>
      <c r="AD476" s="455"/>
      <c r="AE476" s="166"/>
      <c r="AF476" s="169"/>
      <c r="AG476" s="172"/>
      <c r="AH476" s="150"/>
      <c r="AI476" s="137"/>
      <c r="AJ476" s="188"/>
      <c r="AK476" s="137"/>
      <c r="AL476" s="833"/>
      <c r="AM476" s="833"/>
    </row>
    <row r="477" spans="2:39" s="30" customFormat="1" x14ac:dyDescent="0.25">
      <c r="B477" s="27"/>
      <c r="D477" s="81"/>
      <c r="E477" s="45"/>
      <c r="F477" s="389"/>
      <c r="G477" s="49"/>
      <c r="H477" s="44"/>
      <c r="I477" s="311"/>
      <c r="J477" s="44"/>
      <c r="K477" s="311"/>
      <c r="L477" s="232"/>
      <c r="M477" s="225"/>
      <c r="N477" s="380"/>
      <c r="O477" s="45"/>
      <c r="P477" s="311"/>
      <c r="Q477" s="149"/>
      <c r="R477" s="293"/>
      <c r="S477" s="316"/>
      <c r="T477" s="355"/>
      <c r="U477" s="111"/>
      <c r="V477" s="111"/>
      <c r="X477" s="111"/>
      <c r="Y477" s="111"/>
      <c r="Z477" s="111"/>
      <c r="AA477" s="111"/>
      <c r="AB477" s="427"/>
      <c r="AC477" s="454"/>
      <c r="AD477" s="455"/>
      <c r="AE477" s="166"/>
      <c r="AF477" s="169"/>
      <c r="AG477" s="172"/>
      <c r="AH477" s="150"/>
      <c r="AI477" s="137"/>
      <c r="AJ477" s="188"/>
      <c r="AK477" s="137"/>
      <c r="AL477" s="833"/>
      <c r="AM477" s="833"/>
    </row>
    <row r="478" spans="2:39" s="30" customFormat="1" x14ac:dyDescent="0.25">
      <c r="B478" s="27"/>
      <c r="D478" s="81"/>
      <c r="E478" s="45"/>
      <c r="F478" s="389"/>
      <c r="G478" s="49"/>
      <c r="H478" s="44"/>
      <c r="I478" s="311"/>
      <c r="J478" s="44"/>
      <c r="K478" s="311"/>
      <c r="L478" s="232"/>
      <c r="M478" s="225"/>
      <c r="N478" s="380"/>
      <c r="O478" s="45"/>
      <c r="P478" s="311"/>
      <c r="Q478" s="149"/>
      <c r="R478" s="293"/>
      <c r="S478" s="316"/>
      <c r="T478" s="355"/>
      <c r="U478" s="111"/>
      <c r="V478" s="111"/>
      <c r="X478" s="111"/>
      <c r="Y478" s="111"/>
      <c r="Z478" s="111"/>
      <c r="AA478" s="111"/>
      <c r="AB478" s="427"/>
      <c r="AC478" s="454"/>
      <c r="AD478" s="455"/>
      <c r="AE478" s="166"/>
      <c r="AF478" s="169"/>
      <c r="AG478" s="172"/>
      <c r="AH478" s="150"/>
      <c r="AI478" s="137"/>
      <c r="AJ478" s="188"/>
      <c r="AK478" s="137"/>
      <c r="AL478" s="833"/>
      <c r="AM478" s="833"/>
    </row>
    <row r="479" spans="2:39" s="30" customFormat="1" x14ac:dyDescent="0.25">
      <c r="B479" s="27"/>
      <c r="D479" s="81"/>
      <c r="E479" s="45"/>
      <c r="F479" s="389"/>
      <c r="G479" s="49"/>
      <c r="H479" s="44"/>
      <c r="I479" s="311"/>
      <c r="J479" s="44"/>
      <c r="K479" s="311"/>
      <c r="L479" s="232"/>
      <c r="M479" s="225"/>
      <c r="N479" s="380"/>
      <c r="O479" s="45"/>
      <c r="P479" s="311"/>
      <c r="Q479" s="149"/>
      <c r="R479" s="293"/>
      <c r="S479" s="316"/>
      <c r="T479" s="355"/>
      <c r="U479" s="111"/>
      <c r="V479" s="111"/>
      <c r="X479" s="111"/>
      <c r="Y479" s="111"/>
      <c r="Z479" s="111"/>
      <c r="AA479" s="111"/>
      <c r="AB479" s="427"/>
      <c r="AC479" s="454"/>
      <c r="AD479" s="455"/>
      <c r="AE479" s="166"/>
      <c r="AF479" s="169"/>
      <c r="AG479" s="172"/>
      <c r="AH479" s="150"/>
      <c r="AI479" s="137"/>
      <c r="AJ479" s="188"/>
      <c r="AK479" s="137"/>
      <c r="AL479" s="833"/>
      <c r="AM479" s="833"/>
    </row>
    <row r="480" spans="2:39" s="30" customFormat="1" x14ac:dyDescent="0.25">
      <c r="B480" s="27"/>
      <c r="D480" s="81"/>
      <c r="E480" s="45"/>
      <c r="F480" s="389"/>
      <c r="G480" s="49"/>
      <c r="H480" s="44"/>
      <c r="I480" s="311"/>
      <c r="J480" s="44"/>
      <c r="K480" s="311"/>
      <c r="L480" s="232"/>
      <c r="M480" s="225"/>
      <c r="N480" s="380"/>
      <c r="O480" s="45"/>
      <c r="P480" s="311"/>
      <c r="Q480" s="149"/>
      <c r="R480" s="293"/>
      <c r="S480" s="316"/>
      <c r="T480" s="355"/>
      <c r="U480" s="111"/>
      <c r="V480" s="111"/>
      <c r="X480" s="111"/>
      <c r="Y480" s="111"/>
      <c r="Z480" s="111"/>
      <c r="AA480" s="111"/>
      <c r="AB480" s="427"/>
      <c r="AC480" s="454"/>
      <c r="AD480" s="455"/>
      <c r="AE480" s="166"/>
      <c r="AF480" s="169"/>
      <c r="AG480" s="172"/>
      <c r="AH480" s="150"/>
      <c r="AI480" s="137"/>
      <c r="AJ480" s="188"/>
      <c r="AK480" s="137"/>
      <c r="AL480" s="833"/>
      <c r="AM480" s="833"/>
    </row>
    <row r="481" spans="2:39" s="30" customFormat="1" x14ac:dyDescent="0.25">
      <c r="B481" s="27"/>
      <c r="D481" s="81"/>
      <c r="E481" s="45"/>
      <c r="F481" s="389"/>
      <c r="G481" s="49"/>
      <c r="H481" s="44"/>
      <c r="I481" s="311"/>
      <c r="J481" s="44"/>
      <c r="K481" s="311"/>
      <c r="L481" s="232"/>
      <c r="M481" s="225"/>
      <c r="N481" s="380"/>
      <c r="O481" s="45"/>
      <c r="P481" s="311"/>
      <c r="Q481" s="149"/>
      <c r="R481" s="293"/>
      <c r="S481" s="316"/>
      <c r="T481" s="355"/>
      <c r="U481" s="111"/>
      <c r="V481" s="111"/>
      <c r="X481" s="111"/>
      <c r="Y481" s="111"/>
      <c r="Z481" s="111"/>
      <c r="AA481" s="111"/>
      <c r="AB481" s="427"/>
      <c r="AC481" s="454"/>
      <c r="AD481" s="455"/>
      <c r="AE481" s="166"/>
      <c r="AF481" s="169"/>
      <c r="AG481" s="172"/>
      <c r="AH481" s="150"/>
      <c r="AI481" s="137"/>
      <c r="AJ481" s="188"/>
      <c r="AK481" s="137"/>
      <c r="AL481" s="833"/>
      <c r="AM481" s="833"/>
    </row>
    <row r="482" spans="2:39" s="30" customFormat="1" x14ac:dyDescent="0.25">
      <c r="B482" s="27"/>
      <c r="D482" s="81"/>
      <c r="E482" s="45"/>
      <c r="F482" s="389"/>
      <c r="G482" s="49"/>
      <c r="H482" s="44"/>
      <c r="I482" s="311"/>
      <c r="J482" s="44"/>
      <c r="K482" s="311"/>
      <c r="L482" s="232"/>
      <c r="M482" s="225"/>
      <c r="N482" s="380"/>
      <c r="O482" s="45"/>
      <c r="P482" s="311"/>
      <c r="Q482" s="149"/>
      <c r="R482" s="293"/>
      <c r="S482" s="316"/>
      <c r="T482" s="355"/>
      <c r="U482" s="111"/>
      <c r="V482" s="111"/>
      <c r="X482" s="111"/>
      <c r="Y482" s="111"/>
      <c r="Z482" s="111"/>
      <c r="AA482" s="111"/>
      <c r="AB482" s="427"/>
      <c r="AC482" s="454"/>
      <c r="AD482" s="455"/>
      <c r="AE482" s="166"/>
      <c r="AF482" s="169"/>
      <c r="AG482" s="172"/>
      <c r="AH482" s="150"/>
      <c r="AI482" s="137"/>
      <c r="AJ482" s="188"/>
      <c r="AK482" s="137"/>
      <c r="AL482" s="833"/>
      <c r="AM482" s="833"/>
    </row>
    <row r="483" spans="2:39" s="30" customFormat="1" x14ac:dyDescent="0.25">
      <c r="B483" s="27"/>
      <c r="D483" s="81"/>
      <c r="E483" s="45"/>
      <c r="F483" s="389"/>
      <c r="G483" s="49"/>
      <c r="H483" s="44"/>
      <c r="I483" s="311"/>
      <c r="J483" s="44"/>
      <c r="K483" s="311"/>
      <c r="L483" s="232"/>
      <c r="M483" s="225"/>
      <c r="N483" s="380"/>
      <c r="O483" s="45"/>
      <c r="P483" s="311"/>
      <c r="Q483" s="149"/>
      <c r="R483" s="293"/>
      <c r="S483" s="316"/>
      <c r="T483" s="355"/>
      <c r="U483" s="111"/>
      <c r="V483" s="111"/>
      <c r="X483" s="111"/>
      <c r="Y483" s="111"/>
      <c r="Z483" s="111"/>
      <c r="AA483" s="111"/>
      <c r="AB483" s="427"/>
      <c r="AC483" s="454"/>
      <c r="AD483" s="455"/>
      <c r="AE483" s="166"/>
      <c r="AF483" s="169"/>
      <c r="AG483" s="172"/>
      <c r="AH483" s="150"/>
      <c r="AI483" s="137"/>
      <c r="AJ483" s="188"/>
      <c r="AK483" s="137"/>
      <c r="AL483" s="833"/>
      <c r="AM483" s="833"/>
    </row>
    <row r="484" spans="2:39" s="30" customFormat="1" x14ac:dyDescent="0.25">
      <c r="B484" s="27"/>
      <c r="D484" s="81"/>
      <c r="E484" s="45"/>
      <c r="F484" s="389"/>
      <c r="G484" s="49"/>
      <c r="H484" s="44"/>
      <c r="I484" s="311"/>
      <c r="J484" s="44"/>
      <c r="K484" s="311"/>
      <c r="L484" s="232"/>
      <c r="M484" s="225"/>
      <c r="N484" s="380"/>
      <c r="O484" s="45"/>
      <c r="P484" s="311"/>
      <c r="Q484" s="149"/>
      <c r="R484" s="293"/>
      <c r="S484" s="316"/>
      <c r="T484" s="355"/>
      <c r="U484" s="111"/>
      <c r="V484" s="111"/>
      <c r="X484" s="111"/>
      <c r="Y484" s="111"/>
      <c r="Z484" s="111"/>
      <c r="AA484" s="111"/>
      <c r="AB484" s="427"/>
      <c r="AC484" s="454"/>
      <c r="AD484" s="455"/>
      <c r="AE484" s="166"/>
      <c r="AF484" s="169"/>
      <c r="AG484" s="172"/>
      <c r="AH484" s="150"/>
      <c r="AI484" s="137"/>
      <c r="AJ484" s="188"/>
      <c r="AK484" s="137"/>
      <c r="AL484" s="833"/>
      <c r="AM484" s="833"/>
    </row>
    <row r="485" spans="2:39" s="30" customFormat="1" x14ac:dyDescent="0.25">
      <c r="B485" s="27"/>
      <c r="D485" s="81"/>
      <c r="E485" s="45"/>
      <c r="F485" s="389"/>
      <c r="G485" s="49"/>
      <c r="H485" s="44"/>
      <c r="I485" s="311"/>
      <c r="J485" s="44"/>
      <c r="K485" s="311"/>
      <c r="L485" s="232"/>
      <c r="M485" s="225"/>
      <c r="N485" s="380"/>
      <c r="O485" s="45"/>
      <c r="P485" s="311"/>
      <c r="Q485" s="149"/>
      <c r="R485" s="293"/>
      <c r="S485" s="316"/>
      <c r="T485" s="355"/>
      <c r="U485" s="111"/>
      <c r="V485" s="111"/>
      <c r="X485" s="111"/>
      <c r="Y485" s="111"/>
      <c r="Z485" s="111"/>
      <c r="AA485" s="111"/>
      <c r="AB485" s="427"/>
      <c r="AC485" s="454"/>
      <c r="AD485" s="455"/>
      <c r="AE485" s="166"/>
      <c r="AF485" s="169"/>
      <c r="AG485" s="172"/>
      <c r="AH485" s="150"/>
      <c r="AI485" s="137"/>
      <c r="AJ485" s="188"/>
      <c r="AK485" s="137"/>
      <c r="AL485" s="833"/>
      <c r="AM485" s="833"/>
    </row>
    <row r="486" spans="2:39" s="30" customFormat="1" x14ac:dyDescent="0.25">
      <c r="B486" s="27"/>
      <c r="D486" s="81"/>
      <c r="E486" s="45"/>
      <c r="F486" s="389"/>
      <c r="G486" s="49"/>
      <c r="H486" s="44"/>
      <c r="I486" s="311"/>
      <c r="J486" s="44"/>
      <c r="K486" s="311"/>
      <c r="L486" s="232"/>
      <c r="M486" s="225"/>
      <c r="N486" s="380"/>
      <c r="O486" s="45"/>
      <c r="P486" s="311"/>
      <c r="Q486" s="149"/>
      <c r="R486" s="293"/>
      <c r="S486" s="316"/>
      <c r="T486" s="355"/>
      <c r="U486" s="111"/>
      <c r="V486" s="111"/>
      <c r="X486" s="111"/>
      <c r="Y486" s="111"/>
      <c r="Z486" s="111"/>
      <c r="AA486" s="111"/>
      <c r="AB486" s="427"/>
      <c r="AC486" s="454"/>
      <c r="AD486" s="455"/>
      <c r="AE486" s="166"/>
      <c r="AF486" s="169"/>
      <c r="AG486" s="172"/>
      <c r="AH486" s="150"/>
      <c r="AI486" s="137"/>
      <c r="AJ486" s="188"/>
      <c r="AK486" s="137"/>
      <c r="AL486" s="833"/>
      <c r="AM486" s="833"/>
    </row>
    <row r="487" spans="2:39" s="30" customFormat="1" x14ac:dyDescent="0.25">
      <c r="B487" s="27"/>
      <c r="D487" s="81"/>
      <c r="E487" s="45"/>
      <c r="F487" s="389"/>
      <c r="G487" s="49"/>
      <c r="H487" s="44"/>
      <c r="I487" s="311"/>
      <c r="J487" s="44"/>
      <c r="K487" s="311"/>
      <c r="L487" s="232"/>
      <c r="M487" s="225"/>
      <c r="N487" s="380"/>
      <c r="O487" s="45"/>
      <c r="P487" s="311"/>
      <c r="Q487" s="149"/>
      <c r="R487" s="293"/>
      <c r="S487" s="316"/>
      <c r="T487" s="355"/>
      <c r="U487" s="111"/>
      <c r="V487" s="111"/>
      <c r="X487" s="111"/>
      <c r="Y487" s="111"/>
      <c r="Z487" s="111"/>
      <c r="AA487" s="111"/>
      <c r="AB487" s="427"/>
      <c r="AC487" s="454"/>
      <c r="AD487" s="455"/>
      <c r="AE487" s="166"/>
      <c r="AF487" s="169"/>
      <c r="AG487" s="172"/>
      <c r="AH487" s="150"/>
      <c r="AI487" s="137"/>
      <c r="AJ487" s="188"/>
      <c r="AK487" s="137"/>
      <c r="AL487" s="833"/>
      <c r="AM487" s="833"/>
    </row>
    <row r="488" spans="2:39" s="30" customFormat="1" x14ac:dyDescent="0.25">
      <c r="B488" s="27"/>
      <c r="D488" s="81"/>
      <c r="E488" s="45"/>
      <c r="F488" s="389"/>
      <c r="G488" s="49"/>
      <c r="H488" s="44"/>
      <c r="I488" s="311"/>
      <c r="J488" s="44"/>
      <c r="K488" s="311"/>
      <c r="L488" s="232"/>
      <c r="M488" s="225"/>
      <c r="N488" s="380"/>
      <c r="O488" s="45"/>
      <c r="P488" s="311"/>
      <c r="Q488" s="149"/>
      <c r="R488" s="293"/>
      <c r="S488" s="316"/>
      <c r="T488" s="355"/>
      <c r="U488" s="111"/>
      <c r="V488" s="111"/>
      <c r="X488" s="111"/>
      <c r="Y488" s="111"/>
      <c r="Z488" s="111"/>
      <c r="AA488" s="111"/>
      <c r="AB488" s="427"/>
      <c r="AC488" s="454"/>
      <c r="AD488" s="455"/>
      <c r="AE488" s="166"/>
      <c r="AF488" s="169"/>
      <c r="AG488" s="172"/>
      <c r="AH488" s="150"/>
      <c r="AI488" s="137"/>
      <c r="AJ488" s="188"/>
      <c r="AK488" s="137"/>
      <c r="AL488" s="833"/>
      <c r="AM488" s="833"/>
    </row>
    <row r="489" spans="2:39" s="30" customFormat="1" x14ac:dyDescent="0.25">
      <c r="B489" s="27"/>
      <c r="D489" s="81"/>
      <c r="E489" s="45"/>
      <c r="F489" s="389"/>
      <c r="G489" s="49"/>
      <c r="H489" s="44"/>
      <c r="I489" s="311"/>
      <c r="J489" s="44"/>
      <c r="K489" s="311"/>
      <c r="L489" s="232"/>
      <c r="M489" s="225"/>
      <c r="N489" s="380"/>
      <c r="O489" s="45"/>
      <c r="P489" s="311"/>
      <c r="Q489" s="149"/>
      <c r="R489" s="293"/>
      <c r="S489" s="316"/>
      <c r="T489" s="355"/>
      <c r="U489" s="111"/>
      <c r="V489" s="111"/>
      <c r="X489" s="111"/>
      <c r="Y489" s="111"/>
      <c r="Z489" s="111"/>
      <c r="AA489" s="111"/>
      <c r="AB489" s="427"/>
      <c r="AC489" s="454"/>
      <c r="AD489" s="455"/>
      <c r="AE489" s="166"/>
      <c r="AF489" s="169"/>
      <c r="AG489" s="172"/>
      <c r="AH489" s="150"/>
      <c r="AI489" s="137"/>
      <c r="AJ489" s="188"/>
      <c r="AK489" s="137"/>
      <c r="AL489" s="833"/>
      <c r="AM489" s="833"/>
    </row>
    <row r="490" spans="2:39" s="30" customFormat="1" x14ac:dyDescent="0.25">
      <c r="B490" s="27"/>
      <c r="D490" s="81"/>
      <c r="E490" s="45"/>
      <c r="F490" s="389"/>
      <c r="G490" s="49"/>
      <c r="H490" s="44"/>
      <c r="I490" s="311"/>
      <c r="J490" s="44"/>
      <c r="K490" s="311"/>
      <c r="L490" s="232"/>
      <c r="M490" s="225"/>
      <c r="N490" s="380"/>
      <c r="O490" s="45"/>
      <c r="P490" s="311"/>
      <c r="Q490" s="149"/>
      <c r="R490" s="293"/>
      <c r="S490" s="316"/>
      <c r="T490" s="355"/>
      <c r="U490" s="111"/>
      <c r="V490" s="111"/>
      <c r="X490" s="111"/>
      <c r="Y490" s="111"/>
      <c r="Z490" s="111"/>
      <c r="AA490" s="111"/>
      <c r="AB490" s="427"/>
      <c r="AC490" s="454"/>
      <c r="AD490" s="455"/>
      <c r="AE490" s="166"/>
      <c r="AF490" s="169"/>
      <c r="AG490" s="172"/>
      <c r="AH490" s="150"/>
      <c r="AI490" s="137"/>
      <c r="AJ490" s="188"/>
      <c r="AK490" s="137"/>
      <c r="AL490" s="833"/>
      <c r="AM490" s="833"/>
    </row>
    <row r="491" spans="2:39" s="30" customFormat="1" x14ac:dyDescent="0.25">
      <c r="B491" s="27"/>
      <c r="D491" s="81"/>
      <c r="E491" s="45"/>
      <c r="F491" s="389"/>
      <c r="G491" s="49"/>
      <c r="H491" s="44"/>
      <c r="I491" s="311"/>
      <c r="J491" s="44"/>
      <c r="K491" s="311"/>
      <c r="L491" s="232"/>
      <c r="M491" s="225"/>
      <c r="N491" s="380"/>
      <c r="O491" s="45"/>
      <c r="P491" s="311"/>
      <c r="Q491" s="149"/>
      <c r="R491" s="293"/>
      <c r="S491" s="316"/>
      <c r="T491" s="355"/>
      <c r="U491" s="111"/>
      <c r="V491" s="111"/>
      <c r="X491" s="111"/>
      <c r="Y491" s="111"/>
      <c r="Z491" s="111"/>
      <c r="AA491" s="111"/>
      <c r="AB491" s="427"/>
      <c r="AC491" s="454"/>
      <c r="AD491" s="455"/>
      <c r="AE491" s="166"/>
      <c r="AF491" s="169"/>
      <c r="AG491" s="172"/>
      <c r="AH491" s="150"/>
      <c r="AI491" s="137"/>
      <c r="AJ491" s="188"/>
      <c r="AK491" s="137"/>
      <c r="AL491" s="833"/>
      <c r="AM491" s="833"/>
    </row>
    <row r="492" spans="2:39" s="30" customFormat="1" x14ac:dyDescent="0.25">
      <c r="B492" s="27"/>
      <c r="D492" s="81"/>
      <c r="E492" s="45"/>
      <c r="F492" s="389"/>
      <c r="G492" s="49"/>
      <c r="H492" s="44"/>
      <c r="I492" s="311"/>
      <c r="J492" s="44"/>
      <c r="K492" s="311"/>
      <c r="L492" s="232"/>
      <c r="M492" s="225"/>
      <c r="N492" s="380"/>
      <c r="O492" s="45"/>
      <c r="P492" s="311"/>
      <c r="Q492" s="149"/>
      <c r="R492" s="293"/>
      <c r="S492" s="316"/>
      <c r="T492" s="355"/>
      <c r="U492" s="111"/>
      <c r="V492" s="111"/>
      <c r="X492" s="111"/>
      <c r="Y492" s="111"/>
      <c r="Z492" s="111"/>
      <c r="AA492" s="111"/>
      <c r="AB492" s="427"/>
      <c r="AC492" s="454"/>
      <c r="AD492" s="455"/>
      <c r="AE492" s="166"/>
      <c r="AF492" s="169"/>
      <c r="AG492" s="172"/>
      <c r="AH492" s="150"/>
      <c r="AI492" s="137"/>
      <c r="AJ492" s="188"/>
      <c r="AK492" s="137"/>
      <c r="AL492" s="833"/>
      <c r="AM492" s="833"/>
    </row>
    <row r="493" spans="2:39" s="30" customFormat="1" x14ac:dyDescent="0.25">
      <c r="B493" s="27"/>
      <c r="D493" s="81"/>
      <c r="E493" s="45"/>
      <c r="F493" s="389"/>
      <c r="G493" s="49"/>
      <c r="H493" s="44"/>
      <c r="I493" s="311"/>
      <c r="J493" s="44"/>
      <c r="K493" s="311"/>
      <c r="L493" s="232"/>
      <c r="M493" s="225"/>
      <c r="N493" s="380"/>
      <c r="O493" s="45"/>
      <c r="P493" s="311"/>
      <c r="Q493" s="149"/>
      <c r="R493" s="293"/>
      <c r="S493" s="316"/>
      <c r="T493" s="355"/>
      <c r="U493" s="111"/>
      <c r="V493" s="111"/>
      <c r="X493" s="111"/>
      <c r="Y493" s="111"/>
      <c r="Z493" s="111"/>
      <c r="AA493" s="111"/>
      <c r="AB493" s="427"/>
      <c r="AC493" s="454"/>
      <c r="AD493" s="455"/>
      <c r="AE493" s="166"/>
      <c r="AF493" s="169"/>
      <c r="AG493" s="172"/>
      <c r="AH493" s="150"/>
      <c r="AI493" s="137"/>
      <c r="AJ493" s="188"/>
      <c r="AK493" s="137"/>
      <c r="AL493" s="833"/>
      <c r="AM493" s="833"/>
    </row>
    <row r="494" spans="2:39" s="30" customFormat="1" x14ac:dyDescent="0.25">
      <c r="B494" s="27"/>
      <c r="D494" s="81"/>
      <c r="E494" s="45"/>
      <c r="F494" s="389"/>
      <c r="G494" s="49"/>
      <c r="H494" s="44"/>
      <c r="I494" s="311"/>
      <c r="J494" s="44"/>
      <c r="K494" s="311"/>
      <c r="L494" s="232"/>
      <c r="M494" s="225"/>
      <c r="N494" s="380"/>
      <c r="O494" s="45"/>
      <c r="P494" s="311"/>
      <c r="Q494" s="149"/>
      <c r="R494" s="293"/>
      <c r="S494" s="316"/>
      <c r="T494" s="355"/>
      <c r="U494" s="111"/>
      <c r="V494" s="111"/>
      <c r="X494" s="111"/>
      <c r="Y494" s="111"/>
      <c r="Z494" s="111"/>
      <c r="AA494" s="111"/>
      <c r="AB494" s="427"/>
      <c r="AC494" s="454"/>
      <c r="AD494" s="455"/>
      <c r="AE494" s="166"/>
      <c r="AF494" s="169"/>
      <c r="AG494" s="172"/>
      <c r="AH494" s="150"/>
      <c r="AI494" s="137"/>
      <c r="AJ494" s="188"/>
      <c r="AK494" s="137"/>
      <c r="AL494" s="833"/>
      <c r="AM494" s="833"/>
    </row>
    <row r="495" spans="2:39" s="30" customFormat="1" x14ac:dyDescent="0.25">
      <c r="B495" s="27"/>
      <c r="D495" s="81"/>
      <c r="E495" s="45"/>
      <c r="F495" s="389"/>
      <c r="G495" s="49"/>
      <c r="H495" s="44"/>
      <c r="I495" s="311"/>
      <c r="J495" s="44"/>
      <c r="K495" s="311"/>
      <c r="L495" s="232"/>
      <c r="M495" s="225"/>
      <c r="N495" s="380"/>
      <c r="O495" s="45"/>
      <c r="P495" s="311"/>
      <c r="Q495" s="149"/>
      <c r="R495" s="293"/>
      <c r="S495" s="316"/>
      <c r="T495" s="355"/>
      <c r="U495" s="111"/>
      <c r="V495" s="111"/>
      <c r="X495" s="111"/>
      <c r="Y495" s="111"/>
      <c r="Z495" s="111"/>
      <c r="AA495" s="111"/>
      <c r="AB495" s="427"/>
      <c r="AC495" s="454"/>
      <c r="AD495" s="455"/>
      <c r="AE495" s="166"/>
      <c r="AF495" s="169"/>
      <c r="AG495" s="172"/>
      <c r="AH495" s="150"/>
      <c r="AI495" s="137"/>
      <c r="AJ495" s="188"/>
      <c r="AK495" s="137"/>
      <c r="AL495" s="833"/>
      <c r="AM495" s="833"/>
    </row>
    <row r="496" spans="2:39" s="30" customFormat="1" x14ac:dyDescent="0.25">
      <c r="B496" s="27"/>
      <c r="D496" s="81"/>
      <c r="E496" s="45"/>
      <c r="F496" s="389"/>
      <c r="G496" s="49"/>
      <c r="H496" s="44"/>
      <c r="I496" s="311"/>
      <c r="J496" s="44"/>
      <c r="K496" s="311"/>
      <c r="L496" s="232"/>
      <c r="M496" s="225"/>
      <c r="N496" s="380"/>
      <c r="O496" s="45"/>
      <c r="P496" s="311"/>
      <c r="Q496" s="149"/>
      <c r="R496" s="293"/>
      <c r="S496" s="316"/>
      <c r="T496" s="355"/>
      <c r="U496" s="111"/>
      <c r="V496" s="111"/>
      <c r="X496" s="111"/>
      <c r="Y496" s="111"/>
      <c r="Z496" s="111"/>
      <c r="AA496" s="111"/>
      <c r="AB496" s="427"/>
      <c r="AC496" s="454"/>
      <c r="AD496" s="455"/>
      <c r="AE496" s="166"/>
      <c r="AF496" s="169"/>
      <c r="AG496" s="172"/>
      <c r="AH496" s="150"/>
      <c r="AI496" s="137"/>
      <c r="AJ496" s="188"/>
      <c r="AK496" s="137"/>
      <c r="AL496" s="833"/>
      <c r="AM496" s="833"/>
    </row>
    <row r="497" spans="2:39" s="30" customFormat="1" x14ac:dyDescent="0.25">
      <c r="B497" s="27"/>
      <c r="D497" s="81"/>
      <c r="E497" s="45"/>
      <c r="F497" s="389"/>
      <c r="G497" s="49"/>
      <c r="H497" s="44"/>
      <c r="I497" s="311"/>
      <c r="J497" s="44"/>
      <c r="K497" s="311"/>
      <c r="L497" s="232"/>
      <c r="M497" s="225"/>
      <c r="N497" s="380"/>
      <c r="O497" s="45"/>
      <c r="P497" s="311"/>
      <c r="Q497" s="149"/>
      <c r="R497" s="293"/>
      <c r="S497" s="316"/>
      <c r="T497" s="355"/>
      <c r="U497" s="111"/>
      <c r="V497" s="111"/>
      <c r="X497" s="111"/>
      <c r="Y497" s="111"/>
      <c r="Z497" s="111"/>
      <c r="AA497" s="111"/>
      <c r="AB497" s="427"/>
      <c r="AC497" s="454"/>
      <c r="AD497" s="455"/>
      <c r="AE497" s="166"/>
      <c r="AF497" s="169"/>
      <c r="AG497" s="172"/>
      <c r="AH497" s="150"/>
      <c r="AI497" s="137"/>
      <c r="AJ497" s="188"/>
      <c r="AK497" s="137"/>
      <c r="AL497" s="833"/>
      <c r="AM497" s="833"/>
    </row>
    <row r="498" spans="2:39" s="30" customFormat="1" x14ac:dyDescent="0.25">
      <c r="B498" s="27"/>
      <c r="D498" s="81"/>
      <c r="E498" s="45"/>
      <c r="F498" s="389"/>
      <c r="G498" s="49"/>
      <c r="H498" s="44"/>
      <c r="I498" s="311"/>
      <c r="J498" s="44"/>
      <c r="K498" s="311"/>
      <c r="L498" s="232"/>
      <c r="M498" s="225"/>
      <c r="N498" s="380"/>
      <c r="O498" s="45"/>
      <c r="P498" s="311"/>
      <c r="Q498" s="149"/>
      <c r="R498" s="293"/>
      <c r="S498" s="316"/>
      <c r="T498" s="355"/>
      <c r="U498" s="111"/>
      <c r="V498" s="111"/>
      <c r="X498" s="111"/>
      <c r="Y498" s="111"/>
      <c r="Z498" s="111"/>
      <c r="AA498" s="111"/>
      <c r="AB498" s="427"/>
      <c r="AC498" s="454"/>
      <c r="AD498" s="455"/>
      <c r="AE498" s="166"/>
      <c r="AF498" s="169"/>
      <c r="AG498" s="172"/>
      <c r="AH498" s="150"/>
      <c r="AI498" s="137"/>
      <c r="AJ498" s="188"/>
      <c r="AK498" s="137"/>
      <c r="AL498" s="833"/>
      <c r="AM498" s="833"/>
    </row>
    <row r="499" spans="2:39" s="30" customFormat="1" x14ac:dyDescent="0.25">
      <c r="B499" s="27"/>
      <c r="D499" s="81"/>
      <c r="E499" s="45"/>
      <c r="F499" s="389"/>
      <c r="G499" s="49"/>
      <c r="H499" s="44"/>
      <c r="I499" s="311"/>
      <c r="J499" s="44"/>
      <c r="K499" s="311"/>
      <c r="L499" s="232"/>
      <c r="M499" s="225"/>
      <c r="N499" s="380"/>
      <c r="O499" s="45"/>
      <c r="P499" s="311"/>
      <c r="Q499" s="149"/>
      <c r="R499" s="293"/>
      <c r="S499" s="316"/>
      <c r="T499" s="355"/>
      <c r="U499" s="111"/>
      <c r="V499" s="111"/>
      <c r="X499" s="111"/>
      <c r="Y499" s="111"/>
      <c r="Z499" s="111"/>
      <c r="AA499" s="111"/>
      <c r="AB499" s="427"/>
      <c r="AC499" s="454"/>
      <c r="AD499" s="455"/>
      <c r="AE499" s="166"/>
      <c r="AF499" s="169"/>
      <c r="AG499" s="172"/>
      <c r="AH499" s="150"/>
      <c r="AI499" s="137"/>
      <c r="AJ499" s="188"/>
      <c r="AK499" s="137"/>
      <c r="AL499" s="833"/>
      <c r="AM499" s="833"/>
    </row>
    <row r="500" spans="2:39" s="30" customFormat="1" x14ac:dyDescent="0.25">
      <c r="B500" s="27"/>
      <c r="D500" s="81"/>
      <c r="E500" s="45"/>
      <c r="F500" s="389"/>
      <c r="G500" s="49"/>
      <c r="H500" s="44"/>
      <c r="I500" s="311"/>
      <c r="J500" s="44"/>
      <c r="K500" s="311"/>
      <c r="L500" s="232"/>
      <c r="M500" s="225"/>
      <c r="N500" s="380"/>
      <c r="O500" s="45"/>
      <c r="P500" s="311"/>
      <c r="Q500" s="149"/>
      <c r="R500" s="293"/>
      <c r="S500" s="316"/>
      <c r="T500" s="355"/>
      <c r="U500" s="111"/>
      <c r="V500" s="111"/>
      <c r="X500" s="111"/>
      <c r="Y500" s="111"/>
      <c r="Z500" s="111"/>
      <c r="AA500" s="111"/>
      <c r="AB500" s="427"/>
      <c r="AC500" s="454"/>
      <c r="AD500" s="455"/>
      <c r="AE500" s="166"/>
      <c r="AF500" s="169"/>
      <c r="AG500" s="172"/>
      <c r="AH500" s="150"/>
      <c r="AI500" s="137"/>
      <c r="AJ500" s="188"/>
      <c r="AK500" s="137"/>
      <c r="AL500" s="833"/>
      <c r="AM500" s="833"/>
    </row>
    <row r="501" spans="2:39" s="30" customFormat="1" x14ac:dyDescent="0.25">
      <c r="B501" s="27"/>
      <c r="D501" s="81"/>
      <c r="E501" s="45"/>
      <c r="F501" s="389"/>
      <c r="G501" s="49"/>
      <c r="H501" s="44"/>
      <c r="I501" s="311"/>
      <c r="J501" s="44"/>
      <c r="K501" s="311"/>
      <c r="L501" s="232"/>
      <c r="M501" s="225"/>
      <c r="N501" s="380"/>
      <c r="O501" s="45"/>
      <c r="P501" s="311"/>
      <c r="Q501" s="149"/>
      <c r="R501" s="293"/>
      <c r="S501" s="316"/>
      <c r="T501" s="355"/>
      <c r="U501" s="111"/>
      <c r="V501" s="111"/>
      <c r="X501" s="111"/>
      <c r="Y501" s="111"/>
      <c r="Z501" s="111"/>
      <c r="AA501" s="111"/>
      <c r="AB501" s="427"/>
      <c r="AC501" s="454"/>
      <c r="AD501" s="455"/>
      <c r="AE501" s="166"/>
      <c r="AF501" s="169"/>
      <c r="AG501" s="172"/>
      <c r="AH501" s="150"/>
      <c r="AI501" s="137"/>
      <c r="AJ501" s="188"/>
      <c r="AK501" s="137"/>
      <c r="AL501" s="833"/>
      <c r="AM501" s="833"/>
    </row>
    <row r="502" spans="2:39" s="30" customFormat="1" x14ac:dyDescent="0.25">
      <c r="B502" s="27"/>
      <c r="D502" s="81"/>
      <c r="E502" s="45"/>
      <c r="F502" s="389"/>
      <c r="G502" s="49"/>
      <c r="H502" s="44"/>
      <c r="I502" s="311"/>
      <c r="J502" s="44"/>
      <c r="K502" s="311"/>
      <c r="L502" s="232"/>
      <c r="M502" s="225"/>
      <c r="N502" s="380"/>
      <c r="O502" s="45"/>
      <c r="P502" s="311"/>
      <c r="Q502" s="149"/>
      <c r="R502" s="293"/>
      <c r="S502" s="316"/>
      <c r="T502" s="355"/>
      <c r="U502" s="111"/>
      <c r="V502" s="111"/>
      <c r="X502" s="111"/>
      <c r="Y502" s="111"/>
      <c r="Z502" s="111"/>
      <c r="AA502" s="111"/>
      <c r="AB502" s="427"/>
      <c r="AC502" s="454"/>
      <c r="AD502" s="455"/>
      <c r="AE502" s="166"/>
      <c r="AF502" s="169"/>
      <c r="AG502" s="172"/>
      <c r="AH502" s="150"/>
      <c r="AI502" s="137"/>
      <c r="AJ502" s="188"/>
      <c r="AK502" s="137"/>
      <c r="AL502" s="833"/>
      <c r="AM502" s="833"/>
    </row>
    <row r="503" spans="2:39" s="30" customFormat="1" x14ac:dyDescent="0.25">
      <c r="B503" s="27"/>
      <c r="D503" s="81"/>
      <c r="E503" s="45"/>
      <c r="F503" s="389"/>
      <c r="G503" s="49"/>
      <c r="H503" s="44"/>
      <c r="I503" s="311"/>
      <c r="J503" s="44"/>
      <c r="K503" s="311"/>
      <c r="L503" s="232"/>
      <c r="M503" s="225"/>
      <c r="N503" s="380"/>
      <c r="O503" s="45"/>
      <c r="P503" s="311"/>
      <c r="Q503" s="149"/>
      <c r="R503" s="293"/>
      <c r="S503" s="316"/>
      <c r="T503" s="355"/>
      <c r="U503" s="111"/>
      <c r="V503" s="111"/>
      <c r="X503" s="111"/>
      <c r="Y503" s="111"/>
      <c r="Z503" s="111"/>
      <c r="AA503" s="111"/>
      <c r="AB503" s="427"/>
      <c r="AC503" s="454"/>
      <c r="AD503" s="455"/>
      <c r="AE503" s="166"/>
      <c r="AF503" s="169"/>
      <c r="AG503" s="172"/>
      <c r="AH503" s="150"/>
      <c r="AI503" s="137"/>
      <c r="AJ503" s="188"/>
      <c r="AK503" s="137"/>
      <c r="AL503" s="833"/>
      <c r="AM503" s="833"/>
    </row>
    <row r="504" spans="2:39" s="30" customFormat="1" x14ac:dyDescent="0.25">
      <c r="B504" s="27"/>
      <c r="D504" s="81"/>
      <c r="E504" s="45"/>
      <c r="F504" s="389"/>
      <c r="G504" s="49"/>
      <c r="H504" s="44"/>
      <c r="I504" s="311"/>
      <c r="J504" s="44"/>
      <c r="K504" s="311"/>
      <c r="L504" s="232"/>
      <c r="M504" s="225"/>
      <c r="N504" s="380"/>
      <c r="O504" s="45"/>
      <c r="P504" s="311"/>
      <c r="Q504" s="149"/>
      <c r="R504" s="293"/>
      <c r="S504" s="316"/>
      <c r="T504" s="355"/>
      <c r="U504" s="111"/>
      <c r="V504" s="111"/>
      <c r="X504" s="111"/>
      <c r="Y504" s="111"/>
      <c r="Z504" s="111"/>
      <c r="AA504" s="111"/>
      <c r="AB504" s="427"/>
      <c r="AC504" s="454"/>
      <c r="AD504" s="455"/>
      <c r="AE504" s="166"/>
      <c r="AF504" s="169"/>
      <c r="AG504" s="172"/>
      <c r="AH504" s="150"/>
      <c r="AI504" s="137"/>
      <c r="AJ504" s="188"/>
      <c r="AK504" s="137"/>
      <c r="AL504" s="833"/>
      <c r="AM504" s="833"/>
    </row>
    <row r="505" spans="2:39" s="30" customFormat="1" x14ac:dyDescent="0.25">
      <c r="B505" s="27"/>
      <c r="D505" s="81"/>
      <c r="E505" s="45"/>
      <c r="F505" s="389"/>
      <c r="G505" s="49"/>
      <c r="H505" s="44"/>
      <c r="I505" s="311"/>
      <c r="J505" s="44"/>
      <c r="K505" s="311"/>
      <c r="L505" s="232"/>
      <c r="M505" s="225"/>
      <c r="N505" s="380"/>
      <c r="O505" s="45"/>
      <c r="P505" s="311"/>
      <c r="Q505" s="149"/>
      <c r="R505" s="293"/>
      <c r="S505" s="316"/>
      <c r="T505" s="355"/>
      <c r="U505" s="111"/>
      <c r="V505" s="111"/>
      <c r="X505" s="111"/>
      <c r="Y505" s="111"/>
      <c r="Z505" s="111"/>
      <c r="AA505" s="111"/>
      <c r="AB505" s="427"/>
      <c r="AC505" s="454"/>
      <c r="AD505" s="455"/>
      <c r="AE505" s="166"/>
      <c r="AF505" s="169"/>
      <c r="AG505" s="172"/>
      <c r="AH505" s="150"/>
      <c r="AI505" s="137"/>
      <c r="AJ505" s="188"/>
      <c r="AK505" s="137"/>
      <c r="AL505" s="833"/>
      <c r="AM505" s="833"/>
    </row>
    <row r="506" spans="2:39" s="30" customFormat="1" x14ac:dyDescent="0.25">
      <c r="B506" s="27"/>
      <c r="D506" s="81"/>
      <c r="E506" s="45"/>
      <c r="F506" s="389"/>
      <c r="G506" s="49"/>
      <c r="H506" s="44"/>
      <c r="I506" s="311"/>
      <c r="J506" s="44"/>
      <c r="K506" s="311"/>
      <c r="L506" s="232"/>
      <c r="M506" s="225"/>
      <c r="N506" s="380"/>
      <c r="O506" s="45"/>
      <c r="P506" s="311"/>
      <c r="Q506" s="149"/>
      <c r="R506" s="293"/>
      <c r="S506" s="316"/>
      <c r="T506" s="355"/>
      <c r="U506" s="111"/>
      <c r="V506" s="111"/>
      <c r="X506" s="111"/>
      <c r="Y506" s="111"/>
      <c r="Z506" s="111"/>
      <c r="AA506" s="111"/>
      <c r="AB506" s="427"/>
      <c r="AC506" s="454"/>
      <c r="AD506" s="455"/>
      <c r="AE506" s="166"/>
      <c r="AF506" s="169"/>
      <c r="AG506" s="172"/>
      <c r="AH506" s="150"/>
      <c r="AI506" s="137"/>
      <c r="AJ506" s="188"/>
      <c r="AK506" s="137"/>
      <c r="AL506" s="833"/>
      <c r="AM506" s="833"/>
    </row>
    <row r="507" spans="2:39" s="30" customFormat="1" x14ac:dyDescent="0.25">
      <c r="B507" s="27"/>
      <c r="D507" s="81"/>
      <c r="E507" s="45"/>
      <c r="F507" s="524"/>
      <c r="G507" s="49"/>
      <c r="H507" s="45"/>
      <c r="I507" s="314"/>
      <c r="J507" s="44"/>
      <c r="K507" s="311"/>
      <c r="L507" s="232"/>
      <c r="M507" s="225"/>
      <c r="N507" s="380"/>
      <c r="O507" s="45"/>
      <c r="P507" s="311"/>
      <c r="Q507" s="149"/>
      <c r="R507" s="293"/>
      <c r="S507" s="316"/>
      <c r="T507" s="355"/>
      <c r="V507" s="111"/>
      <c r="Y507" s="541"/>
      <c r="AB507" s="428"/>
      <c r="AC507" s="454"/>
      <c r="AD507" s="455"/>
      <c r="AE507" s="166"/>
      <c r="AF507" s="169"/>
      <c r="AG507" s="172"/>
      <c r="AH507" s="150"/>
      <c r="AI507" s="137"/>
      <c r="AJ507" s="188"/>
      <c r="AK507" s="137"/>
      <c r="AL507" s="833"/>
      <c r="AM507" s="833"/>
    </row>
    <row r="508" spans="2:39" s="30" customFormat="1" x14ac:dyDescent="0.25">
      <c r="B508" s="27"/>
      <c r="D508" s="81"/>
      <c r="E508" s="45"/>
      <c r="F508" s="524"/>
      <c r="G508" s="49"/>
      <c r="H508" s="45"/>
      <c r="I508" s="314"/>
      <c r="J508" s="44"/>
      <c r="K508" s="311"/>
      <c r="L508" s="232"/>
      <c r="M508" s="225"/>
      <c r="N508" s="380"/>
      <c r="O508" s="45"/>
      <c r="P508" s="311"/>
      <c r="Q508" s="149"/>
      <c r="R508" s="293"/>
      <c r="S508" s="316"/>
      <c r="T508" s="355"/>
      <c r="V508" s="111"/>
      <c r="Y508" s="541"/>
      <c r="AB508" s="428"/>
      <c r="AC508" s="454"/>
      <c r="AD508" s="455"/>
      <c r="AE508" s="166"/>
      <c r="AF508" s="169"/>
      <c r="AG508" s="172"/>
      <c r="AH508" s="150"/>
      <c r="AI508" s="137"/>
      <c r="AJ508" s="188"/>
      <c r="AK508" s="137"/>
      <c r="AL508" s="833"/>
      <c r="AM508" s="833"/>
    </row>
    <row r="509" spans="2:39" s="30" customFormat="1" x14ac:dyDescent="0.25">
      <c r="B509" s="27"/>
      <c r="D509" s="81"/>
      <c r="E509" s="45"/>
      <c r="F509" s="524"/>
      <c r="G509" s="49"/>
      <c r="H509" s="45"/>
      <c r="I509" s="314"/>
      <c r="J509" s="44"/>
      <c r="K509" s="311"/>
      <c r="L509" s="232"/>
      <c r="M509" s="225"/>
      <c r="N509" s="380"/>
      <c r="O509" s="45"/>
      <c r="P509" s="311"/>
      <c r="Q509" s="149"/>
      <c r="R509" s="293"/>
      <c r="S509" s="316"/>
      <c r="T509" s="355"/>
      <c r="V509" s="111"/>
      <c r="Y509" s="541"/>
      <c r="AB509" s="428"/>
      <c r="AC509" s="454"/>
      <c r="AD509" s="455"/>
      <c r="AE509" s="166"/>
      <c r="AF509" s="169"/>
      <c r="AG509" s="172"/>
      <c r="AH509" s="150"/>
      <c r="AI509" s="137"/>
      <c r="AJ509" s="188"/>
      <c r="AK509" s="137"/>
      <c r="AL509" s="833"/>
      <c r="AM509" s="833"/>
    </row>
    <row r="510" spans="2:39" s="30" customFormat="1" x14ac:dyDescent="0.25">
      <c r="B510" s="27"/>
      <c r="D510" s="81"/>
      <c r="E510" s="45"/>
      <c r="F510" s="524"/>
      <c r="G510" s="49"/>
      <c r="H510" s="45"/>
      <c r="I510" s="314"/>
      <c r="J510" s="44"/>
      <c r="K510" s="311"/>
      <c r="L510" s="232"/>
      <c r="M510" s="225"/>
      <c r="N510" s="380"/>
      <c r="O510" s="45"/>
      <c r="P510" s="311"/>
      <c r="Q510" s="149"/>
      <c r="R510" s="293"/>
      <c r="S510" s="316"/>
      <c r="T510" s="355"/>
      <c r="V510" s="111"/>
      <c r="Y510" s="541"/>
      <c r="AB510" s="428"/>
      <c r="AC510" s="454"/>
      <c r="AD510" s="455"/>
      <c r="AE510" s="166"/>
      <c r="AF510" s="169"/>
      <c r="AG510" s="172"/>
      <c r="AH510" s="150"/>
      <c r="AI510" s="137"/>
      <c r="AJ510" s="188"/>
      <c r="AK510" s="137"/>
      <c r="AL510" s="833"/>
      <c r="AM510" s="833"/>
    </row>
    <row r="511" spans="2:39" s="30" customFormat="1" x14ac:dyDescent="0.25">
      <c r="B511" s="27"/>
      <c r="D511" s="81"/>
      <c r="E511" s="45"/>
      <c r="F511" s="524"/>
      <c r="G511" s="49"/>
      <c r="H511" s="45"/>
      <c r="I511" s="314"/>
      <c r="J511" s="44"/>
      <c r="K511" s="311"/>
      <c r="L511" s="232"/>
      <c r="M511" s="225"/>
      <c r="N511" s="380"/>
      <c r="O511" s="45"/>
      <c r="P511" s="311"/>
      <c r="Q511" s="149"/>
      <c r="R511" s="293"/>
      <c r="S511" s="316"/>
      <c r="T511" s="355"/>
      <c r="V511" s="111"/>
      <c r="Y511" s="541"/>
      <c r="AB511" s="428"/>
      <c r="AC511" s="454"/>
      <c r="AD511" s="455"/>
      <c r="AE511" s="166"/>
      <c r="AF511" s="169"/>
      <c r="AG511" s="172"/>
      <c r="AH511" s="150"/>
      <c r="AI511" s="137"/>
      <c r="AJ511" s="188"/>
      <c r="AK511" s="137"/>
      <c r="AL511" s="833"/>
      <c r="AM511" s="833"/>
    </row>
    <row r="512" spans="2:39" s="30" customFormat="1" x14ac:dyDescent="0.25">
      <c r="B512" s="27"/>
      <c r="D512" s="81"/>
      <c r="E512" s="45"/>
      <c r="F512" s="524"/>
      <c r="G512" s="49"/>
      <c r="H512" s="45"/>
      <c r="I512" s="314"/>
      <c r="J512" s="44"/>
      <c r="K512" s="311"/>
      <c r="L512" s="232"/>
      <c r="M512" s="225"/>
      <c r="N512" s="380"/>
      <c r="O512" s="45"/>
      <c r="P512" s="311"/>
      <c r="Q512" s="149"/>
      <c r="R512" s="293"/>
      <c r="S512" s="316"/>
      <c r="T512" s="355"/>
      <c r="V512" s="111"/>
      <c r="Y512" s="541"/>
      <c r="AB512" s="428"/>
      <c r="AC512" s="454"/>
      <c r="AD512" s="455"/>
      <c r="AE512" s="166"/>
      <c r="AF512" s="169"/>
      <c r="AG512" s="172"/>
      <c r="AH512" s="150"/>
      <c r="AI512" s="137"/>
      <c r="AJ512" s="188"/>
      <c r="AK512" s="137"/>
      <c r="AL512" s="833"/>
      <c r="AM512" s="833"/>
    </row>
    <row r="513" spans="2:39" s="30" customFormat="1" x14ac:dyDescent="0.25">
      <c r="B513" s="27"/>
      <c r="D513" s="81"/>
      <c r="E513" s="45"/>
      <c r="F513" s="524"/>
      <c r="G513" s="49"/>
      <c r="H513" s="45"/>
      <c r="I513" s="314"/>
      <c r="J513" s="44"/>
      <c r="K513" s="311"/>
      <c r="L513" s="232"/>
      <c r="M513" s="225"/>
      <c r="N513" s="380"/>
      <c r="O513" s="45"/>
      <c r="P513" s="311"/>
      <c r="Q513" s="149"/>
      <c r="R513" s="293"/>
      <c r="S513" s="316"/>
      <c r="T513" s="355"/>
      <c r="V513" s="111"/>
      <c r="Y513" s="541"/>
      <c r="AB513" s="428"/>
      <c r="AC513" s="454"/>
      <c r="AD513" s="455"/>
      <c r="AE513" s="166"/>
      <c r="AF513" s="169"/>
      <c r="AG513" s="172"/>
      <c r="AH513" s="150"/>
      <c r="AI513" s="137"/>
      <c r="AJ513" s="188"/>
      <c r="AK513" s="137"/>
      <c r="AL513" s="833"/>
      <c r="AM513" s="833"/>
    </row>
    <row r="514" spans="2:39" s="30" customFormat="1" x14ac:dyDescent="0.25">
      <c r="B514" s="27"/>
      <c r="D514" s="81"/>
      <c r="E514" s="45"/>
      <c r="F514" s="524"/>
      <c r="G514" s="49"/>
      <c r="H514" s="44"/>
      <c r="I514" s="314"/>
      <c r="J514" s="44"/>
      <c r="K514" s="311"/>
      <c r="L514" s="232"/>
      <c r="M514" s="225"/>
      <c r="N514" s="380"/>
      <c r="O514" s="45"/>
      <c r="P514" s="311"/>
      <c r="Q514" s="149"/>
      <c r="R514" s="293"/>
      <c r="S514" s="316"/>
      <c r="T514" s="355"/>
      <c r="V514" s="111"/>
      <c r="Y514" s="541"/>
      <c r="AB514" s="428"/>
      <c r="AC514" s="454"/>
      <c r="AD514" s="455"/>
      <c r="AE514" s="166"/>
      <c r="AF514" s="169"/>
      <c r="AG514" s="172"/>
      <c r="AH514" s="150"/>
      <c r="AI514" s="137"/>
      <c r="AJ514" s="188"/>
      <c r="AK514" s="137"/>
      <c r="AL514" s="833"/>
      <c r="AM514" s="833"/>
    </row>
    <row r="515" spans="2:39" s="30" customFormat="1" x14ac:dyDescent="0.25">
      <c r="B515" s="27"/>
      <c r="D515" s="81"/>
      <c r="E515" s="45"/>
      <c r="F515" s="524"/>
      <c r="G515" s="151"/>
      <c r="H515" s="44"/>
      <c r="I515" s="314"/>
      <c r="J515" s="44"/>
      <c r="K515" s="311"/>
      <c r="L515" s="232"/>
      <c r="M515" s="225"/>
      <c r="N515" s="380"/>
      <c r="O515" s="45"/>
      <c r="P515" s="311"/>
      <c r="Q515" s="149"/>
      <c r="R515" s="293"/>
      <c r="S515" s="316"/>
      <c r="T515" s="355"/>
      <c r="V515" s="111"/>
      <c r="Y515" s="541"/>
      <c r="AB515" s="428"/>
      <c r="AC515" s="454"/>
      <c r="AD515" s="455"/>
      <c r="AE515" s="166"/>
      <c r="AF515" s="169"/>
      <c r="AG515" s="172"/>
      <c r="AH515" s="150"/>
      <c r="AI515" s="137"/>
      <c r="AJ515" s="188"/>
      <c r="AK515" s="137"/>
      <c r="AL515" s="833"/>
      <c r="AM515" s="833"/>
    </row>
    <row r="516" spans="2:39" s="30" customFormat="1" x14ac:dyDescent="0.25">
      <c r="B516" s="27"/>
      <c r="D516" s="81"/>
      <c r="E516" s="45"/>
      <c r="F516" s="524"/>
      <c r="G516" s="151"/>
      <c r="H516" s="44"/>
      <c r="I516" s="314"/>
      <c r="J516" s="44"/>
      <c r="K516" s="311"/>
      <c r="L516" s="232"/>
      <c r="M516" s="225"/>
      <c r="N516" s="380"/>
      <c r="O516" s="45"/>
      <c r="P516" s="311"/>
      <c r="Q516" s="149"/>
      <c r="R516" s="293"/>
      <c r="S516" s="316"/>
      <c r="T516" s="355"/>
      <c r="V516" s="111"/>
      <c r="Y516" s="541"/>
      <c r="AB516" s="428"/>
      <c r="AC516" s="454"/>
      <c r="AD516" s="455"/>
      <c r="AE516" s="166"/>
      <c r="AF516" s="169"/>
      <c r="AG516" s="172"/>
      <c r="AH516" s="150"/>
      <c r="AI516" s="137"/>
      <c r="AJ516" s="188"/>
      <c r="AK516" s="137"/>
      <c r="AL516" s="833"/>
      <c r="AM516" s="833"/>
    </row>
    <row r="517" spans="2:39" s="30" customFormat="1" x14ac:dyDescent="0.25">
      <c r="B517" s="27"/>
      <c r="D517" s="81"/>
      <c r="E517" s="45"/>
      <c r="F517" s="524"/>
      <c r="G517" s="49"/>
      <c r="H517" s="44"/>
      <c r="I517" s="314"/>
      <c r="J517" s="44"/>
      <c r="K517" s="311"/>
      <c r="L517" s="232"/>
      <c r="M517" s="225"/>
      <c r="N517" s="380"/>
      <c r="O517" s="45"/>
      <c r="P517" s="311"/>
      <c r="Q517" s="149"/>
      <c r="R517" s="293"/>
      <c r="S517" s="316"/>
      <c r="T517" s="355"/>
      <c r="V517" s="111"/>
      <c r="Y517" s="541"/>
      <c r="AB517" s="428"/>
      <c r="AC517" s="454"/>
      <c r="AD517" s="455"/>
      <c r="AE517" s="166"/>
      <c r="AF517" s="169"/>
      <c r="AG517" s="172"/>
      <c r="AH517" s="150"/>
      <c r="AI517" s="137"/>
      <c r="AJ517" s="188"/>
      <c r="AK517" s="137"/>
      <c r="AL517" s="833"/>
      <c r="AM517" s="833"/>
    </row>
    <row r="518" spans="2:39" s="30" customFormat="1" x14ac:dyDescent="0.25">
      <c r="B518" s="27"/>
      <c r="D518" s="81"/>
      <c r="E518" s="45"/>
      <c r="F518" s="524"/>
      <c r="G518" s="151"/>
      <c r="H518" s="44"/>
      <c r="I518" s="314"/>
      <c r="J518" s="44"/>
      <c r="K518" s="311"/>
      <c r="L518" s="232"/>
      <c r="M518" s="225"/>
      <c r="N518" s="380"/>
      <c r="O518" s="45"/>
      <c r="P518" s="311"/>
      <c r="Q518" s="149"/>
      <c r="R518" s="293"/>
      <c r="S518" s="316"/>
      <c r="T518" s="355"/>
      <c r="V518" s="111"/>
      <c r="Y518" s="541"/>
      <c r="AB518" s="428"/>
      <c r="AC518" s="454"/>
      <c r="AD518" s="455"/>
      <c r="AE518" s="166"/>
      <c r="AF518" s="169"/>
      <c r="AG518" s="172"/>
      <c r="AH518" s="150"/>
      <c r="AI518" s="137"/>
      <c r="AJ518" s="188"/>
      <c r="AK518" s="137"/>
      <c r="AL518" s="833"/>
      <c r="AM518" s="833"/>
    </row>
    <row r="519" spans="2:39" s="30" customFormat="1" x14ac:dyDescent="0.25">
      <c r="B519" s="27"/>
      <c r="D519" s="81"/>
      <c r="E519" s="45"/>
      <c r="F519" s="524"/>
      <c r="G519" s="151"/>
      <c r="H519" s="44"/>
      <c r="I519" s="314"/>
      <c r="J519" s="44"/>
      <c r="K519" s="311"/>
      <c r="L519" s="232"/>
      <c r="M519" s="225"/>
      <c r="N519" s="380"/>
      <c r="O519" s="45"/>
      <c r="P519" s="311"/>
      <c r="Q519" s="149"/>
      <c r="R519" s="293"/>
      <c r="S519" s="316"/>
      <c r="T519" s="355"/>
      <c r="V519" s="111"/>
      <c r="Y519" s="541"/>
      <c r="AB519" s="428"/>
      <c r="AC519" s="454"/>
      <c r="AD519" s="455"/>
      <c r="AE519" s="166"/>
      <c r="AF519" s="169"/>
      <c r="AG519" s="172"/>
      <c r="AH519" s="150"/>
      <c r="AI519" s="137"/>
      <c r="AJ519" s="188"/>
      <c r="AK519" s="137"/>
      <c r="AL519" s="833"/>
      <c r="AM519" s="833"/>
    </row>
    <row r="520" spans="2:39" s="30" customFormat="1" x14ac:dyDescent="0.25">
      <c r="B520" s="27"/>
      <c r="D520" s="81"/>
      <c r="E520" s="45"/>
      <c r="F520" s="524"/>
      <c r="G520" s="49"/>
      <c r="H520" s="44"/>
      <c r="I520" s="314"/>
      <c r="J520" s="44"/>
      <c r="K520" s="311"/>
      <c r="L520" s="232"/>
      <c r="M520" s="225"/>
      <c r="N520" s="380"/>
      <c r="O520" s="45"/>
      <c r="P520" s="311"/>
      <c r="Q520" s="149"/>
      <c r="R520" s="293"/>
      <c r="S520" s="316"/>
      <c r="T520" s="355"/>
      <c r="V520" s="111"/>
      <c r="Y520" s="541"/>
      <c r="AB520" s="428"/>
      <c r="AC520" s="454"/>
      <c r="AD520" s="455"/>
      <c r="AE520" s="166"/>
      <c r="AF520" s="169"/>
      <c r="AG520" s="172"/>
      <c r="AH520" s="150"/>
      <c r="AI520" s="137"/>
      <c r="AJ520" s="188"/>
      <c r="AK520" s="137"/>
      <c r="AL520" s="833"/>
      <c r="AM520" s="833"/>
    </row>
    <row r="521" spans="2:39" s="30" customFormat="1" x14ac:dyDescent="0.25">
      <c r="B521" s="27"/>
      <c r="D521" s="81"/>
      <c r="E521" s="45"/>
      <c r="F521" s="524"/>
      <c r="G521" s="49"/>
      <c r="H521" s="44"/>
      <c r="I521" s="314"/>
      <c r="J521" s="44"/>
      <c r="K521" s="311"/>
      <c r="L521" s="232"/>
      <c r="M521" s="225"/>
      <c r="N521" s="380"/>
      <c r="O521" s="45"/>
      <c r="P521" s="311"/>
      <c r="Q521" s="149"/>
      <c r="R521" s="293"/>
      <c r="S521" s="316"/>
      <c r="T521" s="355"/>
      <c r="V521" s="111"/>
      <c r="Y521" s="541"/>
      <c r="AB521" s="428"/>
      <c r="AC521" s="454"/>
      <c r="AD521" s="455"/>
      <c r="AE521" s="166"/>
      <c r="AF521" s="169"/>
      <c r="AG521" s="172"/>
      <c r="AH521" s="150"/>
      <c r="AI521" s="137"/>
      <c r="AJ521" s="188"/>
      <c r="AK521" s="137"/>
      <c r="AL521" s="833"/>
      <c r="AM521" s="833"/>
    </row>
    <row r="522" spans="2:39" s="30" customFormat="1" x14ac:dyDescent="0.25">
      <c r="B522" s="27"/>
      <c r="D522" s="81"/>
      <c r="E522" s="45"/>
      <c r="F522" s="524"/>
      <c r="G522" s="49"/>
      <c r="H522" s="44"/>
      <c r="I522" s="314"/>
      <c r="J522" s="44"/>
      <c r="K522" s="311"/>
      <c r="L522" s="232"/>
      <c r="M522" s="225"/>
      <c r="N522" s="380"/>
      <c r="O522" s="45"/>
      <c r="P522" s="311"/>
      <c r="Q522" s="149"/>
      <c r="R522" s="293"/>
      <c r="S522" s="316"/>
      <c r="T522" s="355"/>
      <c r="V522" s="111"/>
      <c r="Y522" s="541"/>
      <c r="AB522" s="428"/>
      <c r="AC522" s="454"/>
      <c r="AD522" s="455"/>
      <c r="AE522" s="166"/>
      <c r="AF522" s="169"/>
      <c r="AG522" s="172"/>
      <c r="AH522" s="150"/>
      <c r="AI522" s="137"/>
      <c r="AJ522" s="188"/>
      <c r="AK522" s="137"/>
      <c r="AL522" s="833"/>
      <c r="AM522" s="833"/>
    </row>
    <row r="523" spans="2:39" s="30" customFormat="1" x14ac:dyDescent="0.25">
      <c r="B523" s="27"/>
      <c r="D523" s="81"/>
      <c r="E523" s="45"/>
      <c r="F523" s="524"/>
      <c r="G523" s="151"/>
      <c r="H523" s="44"/>
      <c r="I523" s="314"/>
      <c r="J523" s="44"/>
      <c r="K523" s="311"/>
      <c r="L523" s="232"/>
      <c r="M523" s="225"/>
      <c r="N523" s="380"/>
      <c r="O523" s="45"/>
      <c r="P523" s="311"/>
      <c r="Q523" s="149"/>
      <c r="R523" s="293"/>
      <c r="S523" s="316"/>
      <c r="T523" s="355"/>
      <c r="V523" s="111"/>
      <c r="Y523" s="541"/>
      <c r="AB523" s="428"/>
      <c r="AC523" s="454"/>
      <c r="AD523" s="455"/>
      <c r="AE523" s="166"/>
      <c r="AF523" s="169"/>
      <c r="AG523" s="172"/>
      <c r="AH523" s="150"/>
      <c r="AI523" s="137"/>
      <c r="AJ523" s="188"/>
      <c r="AK523" s="137"/>
      <c r="AL523" s="833"/>
      <c r="AM523" s="833"/>
    </row>
    <row r="524" spans="2:39" s="30" customFormat="1" x14ac:dyDescent="0.25">
      <c r="B524" s="27"/>
      <c r="D524" s="81"/>
      <c r="E524" s="45"/>
      <c r="F524" s="524"/>
      <c r="G524" s="151"/>
      <c r="H524" s="44"/>
      <c r="I524" s="314"/>
      <c r="J524" s="44"/>
      <c r="K524" s="311"/>
      <c r="L524" s="232"/>
      <c r="M524" s="225"/>
      <c r="N524" s="380"/>
      <c r="O524" s="45"/>
      <c r="P524" s="311"/>
      <c r="Q524" s="149"/>
      <c r="R524" s="293"/>
      <c r="S524" s="316"/>
      <c r="T524" s="355"/>
      <c r="V524" s="111"/>
      <c r="Y524" s="541"/>
      <c r="AB524" s="428"/>
      <c r="AC524" s="454"/>
      <c r="AD524" s="455"/>
      <c r="AE524" s="166"/>
      <c r="AF524" s="169"/>
      <c r="AG524" s="172"/>
      <c r="AH524" s="150"/>
      <c r="AI524" s="137"/>
      <c r="AJ524" s="188"/>
      <c r="AK524" s="137"/>
      <c r="AL524" s="833"/>
      <c r="AM524" s="833"/>
    </row>
    <row r="525" spans="2:39" s="30" customFormat="1" x14ac:dyDescent="0.25">
      <c r="B525" s="27"/>
      <c r="D525" s="81"/>
      <c r="E525" s="45"/>
      <c r="F525" s="524"/>
      <c r="G525" s="151"/>
      <c r="H525" s="44"/>
      <c r="I525" s="314"/>
      <c r="J525" s="44"/>
      <c r="K525" s="311"/>
      <c r="L525" s="232"/>
      <c r="M525" s="225"/>
      <c r="N525" s="380"/>
      <c r="O525" s="45"/>
      <c r="P525" s="311"/>
      <c r="Q525" s="149"/>
      <c r="R525" s="293"/>
      <c r="S525" s="316"/>
      <c r="T525" s="355"/>
      <c r="V525" s="111"/>
      <c r="Y525" s="541"/>
      <c r="AB525" s="428"/>
      <c r="AC525" s="454"/>
      <c r="AD525" s="455"/>
      <c r="AE525" s="166"/>
      <c r="AF525" s="169"/>
      <c r="AG525" s="172"/>
      <c r="AH525" s="150"/>
      <c r="AI525" s="137"/>
      <c r="AJ525" s="188"/>
      <c r="AK525" s="137"/>
      <c r="AL525" s="833"/>
      <c r="AM525" s="833"/>
    </row>
    <row r="526" spans="2:39" s="30" customFormat="1" x14ac:dyDescent="0.25">
      <c r="B526" s="27"/>
      <c r="D526" s="81"/>
      <c r="E526" s="45"/>
      <c r="F526" s="524"/>
      <c r="G526" s="49"/>
      <c r="H526" s="44"/>
      <c r="I526" s="314"/>
      <c r="J526" s="44"/>
      <c r="K526" s="311"/>
      <c r="L526" s="232"/>
      <c r="M526" s="225"/>
      <c r="N526" s="380"/>
      <c r="O526" s="45"/>
      <c r="P526" s="311"/>
      <c r="Q526" s="149"/>
      <c r="R526" s="293"/>
      <c r="S526" s="316"/>
      <c r="T526" s="355"/>
      <c r="V526" s="111"/>
      <c r="Y526" s="541"/>
      <c r="AB526" s="428"/>
      <c r="AC526" s="454"/>
      <c r="AD526" s="455"/>
      <c r="AE526" s="166"/>
      <c r="AF526" s="169"/>
      <c r="AG526" s="172"/>
      <c r="AH526" s="150"/>
      <c r="AI526" s="137"/>
      <c r="AJ526" s="188"/>
      <c r="AK526" s="137"/>
      <c r="AL526" s="833"/>
      <c r="AM526" s="833"/>
    </row>
    <row r="527" spans="2:39" s="30" customFormat="1" x14ac:dyDescent="0.25">
      <c r="B527" s="27"/>
      <c r="D527" s="81"/>
      <c r="E527" s="45"/>
      <c r="F527" s="524"/>
      <c r="G527" s="151"/>
      <c r="H527" s="44"/>
      <c r="I527" s="314"/>
      <c r="J527" s="44"/>
      <c r="K527" s="311"/>
      <c r="L527" s="232"/>
      <c r="M527" s="225"/>
      <c r="N527" s="380"/>
      <c r="O527" s="45"/>
      <c r="P527" s="311"/>
      <c r="Q527" s="149"/>
      <c r="R527" s="293"/>
      <c r="S527" s="316"/>
      <c r="T527" s="355"/>
      <c r="V527" s="111"/>
      <c r="Y527" s="541"/>
      <c r="AB527" s="428"/>
      <c r="AC527" s="454"/>
      <c r="AD527" s="455"/>
      <c r="AE527" s="166"/>
      <c r="AF527" s="169"/>
      <c r="AG527" s="172"/>
      <c r="AH527" s="150"/>
      <c r="AI527" s="137"/>
      <c r="AJ527" s="188"/>
      <c r="AK527" s="137"/>
      <c r="AL527" s="833"/>
      <c r="AM527" s="833"/>
    </row>
    <row r="528" spans="2:39" s="30" customFormat="1" x14ac:dyDescent="0.25">
      <c r="B528" s="27"/>
      <c r="D528" s="81"/>
      <c r="E528" s="45"/>
      <c r="F528" s="524"/>
      <c r="G528" s="49"/>
      <c r="H528" s="44"/>
      <c r="I528" s="314"/>
      <c r="J528" s="44"/>
      <c r="K528" s="311"/>
      <c r="L528" s="232"/>
      <c r="M528" s="225"/>
      <c r="N528" s="380"/>
      <c r="O528" s="45"/>
      <c r="P528" s="311"/>
      <c r="Q528" s="149"/>
      <c r="R528" s="293"/>
      <c r="S528" s="316"/>
      <c r="T528" s="355"/>
      <c r="V528" s="111"/>
      <c r="Y528" s="541"/>
      <c r="AB528" s="428"/>
      <c r="AC528" s="454"/>
      <c r="AD528" s="455"/>
      <c r="AE528" s="166"/>
      <c r="AF528" s="169"/>
      <c r="AG528" s="172"/>
      <c r="AH528" s="150"/>
      <c r="AI528" s="137"/>
      <c r="AJ528" s="188"/>
      <c r="AK528" s="137"/>
      <c r="AL528" s="833"/>
      <c r="AM528" s="833"/>
    </row>
    <row r="529" spans="2:39" s="30" customFormat="1" x14ac:dyDescent="0.25">
      <c r="B529" s="27"/>
      <c r="D529" s="81"/>
      <c r="E529" s="45"/>
      <c r="F529" s="524"/>
      <c r="G529" s="49"/>
      <c r="H529" s="44"/>
      <c r="I529" s="314"/>
      <c r="J529" s="44"/>
      <c r="K529" s="311"/>
      <c r="L529" s="232"/>
      <c r="M529" s="225"/>
      <c r="N529" s="380"/>
      <c r="O529" s="45"/>
      <c r="P529" s="311"/>
      <c r="Q529" s="149"/>
      <c r="R529" s="293"/>
      <c r="S529" s="316"/>
      <c r="T529" s="355"/>
      <c r="V529" s="111"/>
      <c r="Y529" s="541"/>
      <c r="AB529" s="428"/>
      <c r="AC529" s="454"/>
      <c r="AD529" s="455"/>
      <c r="AE529" s="166"/>
      <c r="AF529" s="169"/>
      <c r="AG529" s="172"/>
      <c r="AH529" s="150"/>
      <c r="AI529" s="137"/>
      <c r="AJ529" s="188"/>
      <c r="AK529" s="137"/>
      <c r="AL529" s="833"/>
      <c r="AM529" s="833"/>
    </row>
    <row r="530" spans="2:39" s="30" customFormat="1" x14ac:dyDescent="0.25">
      <c r="B530" s="27"/>
      <c r="D530" s="81"/>
      <c r="E530" s="45"/>
      <c r="F530" s="524"/>
      <c r="G530" s="151"/>
      <c r="H530" s="44"/>
      <c r="I530" s="314"/>
      <c r="J530" s="44"/>
      <c r="K530" s="311"/>
      <c r="L530" s="232"/>
      <c r="M530" s="225"/>
      <c r="N530" s="380"/>
      <c r="O530" s="45"/>
      <c r="P530" s="311"/>
      <c r="Q530" s="149"/>
      <c r="R530" s="293"/>
      <c r="S530" s="316"/>
      <c r="T530" s="355"/>
      <c r="V530" s="111"/>
      <c r="Y530" s="541"/>
      <c r="AB530" s="428"/>
      <c r="AC530" s="454"/>
      <c r="AD530" s="455"/>
      <c r="AE530" s="166"/>
      <c r="AF530" s="169"/>
      <c r="AG530" s="172"/>
      <c r="AH530" s="150"/>
      <c r="AI530" s="137"/>
      <c r="AJ530" s="188"/>
      <c r="AK530" s="137"/>
      <c r="AL530" s="833"/>
      <c r="AM530" s="833"/>
    </row>
    <row r="531" spans="2:39" s="30" customFormat="1" x14ac:dyDescent="0.25">
      <c r="B531" s="27"/>
      <c r="D531" s="81"/>
      <c r="E531" s="45"/>
      <c r="F531" s="524"/>
      <c r="G531" s="49"/>
      <c r="H531" s="44"/>
      <c r="I531" s="314"/>
      <c r="J531" s="44"/>
      <c r="K531" s="311"/>
      <c r="L531" s="232"/>
      <c r="M531" s="225"/>
      <c r="N531" s="380"/>
      <c r="O531" s="45"/>
      <c r="P531" s="311"/>
      <c r="Q531" s="149"/>
      <c r="R531" s="293"/>
      <c r="S531" s="316"/>
      <c r="T531" s="355"/>
      <c r="V531" s="111"/>
      <c r="Y531" s="541"/>
      <c r="AB531" s="428"/>
      <c r="AC531" s="454"/>
      <c r="AD531" s="455"/>
      <c r="AE531" s="166"/>
      <c r="AF531" s="169"/>
      <c r="AG531" s="172"/>
      <c r="AH531" s="150"/>
      <c r="AI531" s="137"/>
      <c r="AJ531" s="188"/>
      <c r="AK531" s="137"/>
      <c r="AL531" s="833"/>
      <c r="AM531" s="833"/>
    </row>
    <row r="532" spans="2:39" s="30" customFormat="1" x14ac:dyDescent="0.25">
      <c r="B532" s="27"/>
      <c r="D532" s="81"/>
      <c r="E532" s="45"/>
      <c r="F532" s="524"/>
      <c r="G532" s="49"/>
      <c r="H532" s="44"/>
      <c r="I532" s="314"/>
      <c r="J532" s="44"/>
      <c r="K532" s="311"/>
      <c r="L532" s="232"/>
      <c r="M532" s="225"/>
      <c r="N532" s="380"/>
      <c r="O532" s="45"/>
      <c r="P532" s="311"/>
      <c r="Q532" s="149"/>
      <c r="R532" s="293"/>
      <c r="S532" s="316"/>
      <c r="T532" s="355"/>
      <c r="V532" s="111"/>
      <c r="Y532" s="541"/>
      <c r="AB532" s="428"/>
      <c r="AC532" s="454"/>
      <c r="AD532" s="455"/>
      <c r="AE532" s="166"/>
      <c r="AF532" s="169"/>
      <c r="AG532" s="172"/>
      <c r="AH532" s="150"/>
      <c r="AI532" s="137"/>
      <c r="AJ532" s="188"/>
      <c r="AK532" s="137"/>
      <c r="AL532" s="833"/>
      <c r="AM532" s="833"/>
    </row>
    <row r="533" spans="2:39" s="30" customFormat="1" x14ac:dyDescent="0.25">
      <c r="B533" s="27"/>
      <c r="D533" s="81"/>
      <c r="E533" s="45"/>
      <c r="F533" s="524"/>
      <c r="G533" s="151"/>
      <c r="H533" s="44"/>
      <c r="I533" s="314"/>
      <c r="J533" s="44"/>
      <c r="K533" s="311"/>
      <c r="L533" s="232"/>
      <c r="M533" s="225"/>
      <c r="N533" s="380"/>
      <c r="O533" s="45"/>
      <c r="P533" s="311"/>
      <c r="Q533" s="149"/>
      <c r="R533" s="293"/>
      <c r="S533" s="316"/>
      <c r="T533" s="355"/>
      <c r="V533" s="111"/>
      <c r="Y533" s="541"/>
      <c r="AB533" s="428"/>
      <c r="AC533" s="454"/>
      <c r="AD533" s="455"/>
      <c r="AE533" s="166"/>
      <c r="AF533" s="169"/>
      <c r="AG533" s="172"/>
      <c r="AH533" s="150"/>
      <c r="AI533" s="137"/>
      <c r="AJ533" s="188"/>
      <c r="AK533" s="137"/>
      <c r="AL533" s="833"/>
      <c r="AM533" s="833"/>
    </row>
    <row r="534" spans="2:39" s="30" customFormat="1" x14ac:dyDescent="0.25">
      <c r="B534" s="27"/>
      <c r="D534" s="81"/>
      <c r="E534" s="45"/>
      <c r="F534" s="524"/>
      <c r="G534" s="151"/>
      <c r="H534" s="44"/>
      <c r="I534" s="314"/>
      <c r="J534" s="44"/>
      <c r="K534" s="311"/>
      <c r="L534" s="232"/>
      <c r="M534" s="225"/>
      <c r="N534" s="380"/>
      <c r="O534" s="45"/>
      <c r="P534" s="311"/>
      <c r="Q534" s="149"/>
      <c r="R534" s="293"/>
      <c r="S534" s="316"/>
      <c r="T534" s="355"/>
      <c r="V534" s="111"/>
      <c r="Y534" s="541"/>
      <c r="AB534" s="428"/>
      <c r="AC534" s="454"/>
      <c r="AD534" s="455"/>
      <c r="AE534" s="166"/>
      <c r="AF534" s="169"/>
      <c r="AG534" s="172"/>
      <c r="AH534" s="150"/>
      <c r="AI534" s="137"/>
      <c r="AJ534" s="188"/>
      <c r="AK534" s="137"/>
      <c r="AL534" s="833"/>
      <c r="AM534" s="833"/>
    </row>
    <row r="535" spans="2:39" s="30" customFormat="1" x14ac:dyDescent="0.25">
      <c r="B535" s="27"/>
      <c r="D535" s="81"/>
      <c r="E535" s="45"/>
      <c r="F535" s="524"/>
      <c r="G535" s="49"/>
      <c r="H535" s="44"/>
      <c r="I535" s="314"/>
      <c r="J535" s="44"/>
      <c r="K535" s="311"/>
      <c r="L535" s="232"/>
      <c r="M535" s="225"/>
      <c r="N535" s="380"/>
      <c r="O535" s="45"/>
      <c r="P535" s="311"/>
      <c r="Q535" s="149"/>
      <c r="R535" s="293"/>
      <c r="S535" s="316"/>
      <c r="T535" s="355"/>
      <c r="V535" s="111"/>
      <c r="Y535" s="541"/>
      <c r="AB535" s="428"/>
      <c r="AC535" s="454"/>
      <c r="AD535" s="455"/>
      <c r="AE535" s="166"/>
      <c r="AF535" s="169"/>
      <c r="AG535" s="172"/>
      <c r="AH535" s="150"/>
      <c r="AI535" s="137"/>
      <c r="AJ535" s="188"/>
      <c r="AK535" s="137"/>
      <c r="AL535" s="833"/>
      <c r="AM535" s="833"/>
    </row>
    <row r="536" spans="2:39" s="30" customFormat="1" x14ac:dyDescent="0.25">
      <c r="B536" s="27"/>
      <c r="D536" s="81"/>
      <c r="E536" s="45"/>
      <c r="F536" s="524"/>
      <c r="G536" s="151"/>
      <c r="H536" s="44"/>
      <c r="I536" s="314"/>
      <c r="J536" s="44"/>
      <c r="K536" s="311"/>
      <c r="L536" s="232"/>
      <c r="M536" s="225"/>
      <c r="N536" s="380"/>
      <c r="O536" s="45"/>
      <c r="P536" s="311"/>
      <c r="Q536" s="149"/>
      <c r="R536" s="293"/>
      <c r="S536" s="316"/>
      <c r="T536" s="355"/>
      <c r="V536" s="111"/>
      <c r="Y536" s="541"/>
      <c r="AB536" s="428"/>
      <c r="AC536" s="454"/>
      <c r="AD536" s="455"/>
      <c r="AE536" s="166"/>
      <c r="AF536" s="169"/>
      <c r="AG536" s="172"/>
      <c r="AH536" s="150"/>
      <c r="AI536" s="137"/>
      <c r="AJ536" s="188"/>
      <c r="AK536" s="137"/>
      <c r="AL536" s="833"/>
      <c r="AM536" s="833"/>
    </row>
    <row r="537" spans="2:39" s="30" customFormat="1" x14ac:dyDescent="0.25">
      <c r="B537" s="27"/>
      <c r="D537" s="81"/>
      <c r="E537" s="45"/>
      <c r="F537" s="524"/>
      <c r="G537" s="151"/>
      <c r="H537" s="44"/>
      <c r="I537" s="314"/>
      <c r="J537" s="44"/>
      <c r="K537" s="311"/>
      <c r="L537" s="232"/>
      <c r="M537" s="225"/>
      <c r="N537" s="380"/>
      <c r="O537" s="45"/>
      <c r="P537" s="311"/>
      <c r="Q537" s="149"/>
      <c r="R537" s="293"/>
      <c r="S537" s="316"/>
      <c r="T537" s="355"/>
      <c r="V537" s="111"/>
      <c r="Y537" s="541"/>
      <c r="AB537" s="428"/>
      <c r="AC537" s="454"/>
      <c r="AD537" s="455"/>
      <c r="AE537" s="166"/>
      <c r="AF537" s="169"/>
      <c r="AG537" s="172"/>
      <c r="AH537" s="150"/>
      <c r="AI537" s="137"/>
      <c r="AJ537" s="188"/>
      <c r="AK537" s="137"/>
      <c r="AL537" s="833"/>
      <c r="AM537" s="833"/>
    </row>
    <row r="538" spans="2:39" s="30" customFormat="1" x14ac:dyDescent="0.25">
      <c r="B538" s="27"/>
      <c r="D538" s="81"/>
      <c r="E538" s="45"/>
      <c r="F538" s="524"/>
      <c r="G538" s="151"/>
      <c r="H538" s="44"/>
      <c r="I538" s="314"/>
      <c r="J538" s="44"/>
      <c r="K538" s="311"/>
      <c r="L538" s="232"/>
      <c r="M538" s="225"/>
      <c r="N538" s="380"/>
      <c r="O538" s="45"/>
      <c r="P538" s="311"/>
      <c r="Q538" s="149"/>
      <c r="R538" s="293"/>
      <c r="S538" s="316"/>
      <c r="T538" s="355"/>
      <c r="V538" s="111"/>
      <c r="Y538" s="541"/>
      <c r="AB538" s="428"/>
      <c r="AC538" s="454"/>
      <c r="AD538" s="455"/>
      <c r="AE538" s="166"/>
      <c r="AF538" s="169"/>
      <c r="AG538" s="172"/>
      <c r="AH538" s="150"/>
      <c r="AI538" s="137"/>
      <c r="AJ538" s="188"/>
      <c r="AK538" s="137"/>
      <c r="AL538" s="833"/>
      <c r="AM538" s="833"/>
    </row>
    <row r="539" spans="2:39" s="30" customFormat="1" x14ac:dyDescent="0.25">
      <c r="B539" s="27"/>
      <c r="D539" s="81"/>
      <c r="E539" s="45"/>
      <c r="F539" s="524"/>
      <c r="G539" s="151"/>
      <c r="H539" s="44"/>
      <c r="I539" s="314"/>
      <c r="J539" s="44"/>
      <c r="K539" s="311"/>
      <c r="L539" s="232"/>
      <c r="M539" s="225"/>
      <c r="N539" s="380"/>
      <c r="O539" s="45"/>
      <c r="P539" s="311"/>
      <c r="Q539" s="149"/>
      <c r="R539" s="293"/>
      <c r="S539" s="316"/>
      <c r="T539" s="355"/>
      <c r="V539" s="111"/>
      <c r="Y539" s="541"/>
      <c r="AB539" s="428"/>
      <c r="AC539" s="454"/>
      <c r="AD539" s="455"/>
      <c r="AE539" s="166"/>
      <c r="AF539" s="169"/>
      <c r="AG539" s="172"/>
      <c r="AH539" s="150"/>
      <c r="AI539" s="137"/>
      <c r="AJ539" s="188"/>
      <c r="AK539" s="137"/>
      <c r="AL539" s="833"/>
      <c r="AM539" s="833"/>
    </row>
    <row r="540" spans="2:39" s="30" customFormat="1" x14ac:dyDescent="0.25">
      <c r="B540" s="27"/>
      <c r="D540" s="81"/>
      <c r="E540" s="45"/>
      <c r="F540" s="524"/>
      <c r="G540" s="151"/>
      <c r="H540" s="44"/>
      <c r="I540" s="314"/>
      <c r="J540" s="44"/>
      <c r="K540" s="311"/>
      <c r="L540" s="232"/>
      <c r="M540" s="225"/>
      <c r="N540" s="380"/>
      <c r="O540" s="45"/>
      <c r="P540" s="311"/>
      <c r="Q540" s="149"/>
      <c r="R540" s="293"/>
      <c r="S540" s="316"/>
      <c r="T540" s="355"/>
      <c r="V540" s="111"/>
      <c r="Y540" s="541"/>
      <c r="AB540" s="428"/>
      <c r="AC540" s="454"/>
      <c r="AD540" s="455"/>
      <c r="AE540" s="166"/>
      <c r="AF540" s="169"/>
      <c r="AG540" s="172"/>
      <c r="AH540" s="150"/>
      <c r="AI540" s="137"/>
      <c r="AJ540" s="188"/>
      <c r="AK540" s="137"/>
      <c r="AL540" s="833"/>
      <c r="AM540" s="833"/>
    </row>
    <row r="541" spans="2:39" s="30" customFormat="1" x14ac:dyDescent="0.25">
      <c r="B541" s="27"/>
      <c r="D541" s="81"/>
      <c r="E541" s="45"/>
      <c r="F541" s="524"/>
      <c r="G541" s="151"/>
      <c r="H541" s="44"/>
      <c r="I541" s="314"/>
      <c r="J541" s="44"/>
      <c r="K541" s="311"/>
      <c r="L541" s="232"/>
      <c r="M541" s="225"/>
      <c r="N541" s="380"/>
      <c r="O541" s="45"/>
      <c r="P541" s="311"/>
      <c r="Q541" s="149"/>
      <c r="R541" s="293"/>
      <c r="S541" s="316"/>
      <c r="T541" s="355"/>
      <c r="V541" s="111"/>
      <c r="Y541" s="541"/>
      <c r="AB541" s="428"/>
      <c r="AC541" s="454"/>
      <c r="AD541" s="455"/>
      <c r="AE541" s="166"/>
      <c r="AF541" s="169"/>
      <c r="AG541" s="172"/>
      <c r="AH541" s="150"/>
      <c r="AI541" s="137"/>
      <c r="AJ541" s="188"/>
      <c r="AK541" s="137"/>
      <c r="AL541" s="833"/>
      <c r="AM541" s="833"/>
    </row>
    <row r="542" spans="2:39" s="30" customFormat="1" x14ac:dyDescent="0.25">
      <c r="B542" s="27"/>
      <c r="D542" s="81"/>
      <c r="E542" s="45"/>
      <c r="F542" s="524"/>
      <c r="G542" s="151"/>
      <c r="H542" s="44"/>
      <c r="I542" s="314"/>
      <c r="J542" s="44"/>
      <c r="K542" s="311"/>
      <c r="L542" s="232"/>
      <c r="M542" s="225"/>
      <c r="N542" s="380"/>
      <c r="O542" s="45"/>
      <c r="P542" s="311"/>
      <c r="Q542" s="149"/>
      <c r="R542" s="293"/>
      <c r="S542" s="316"/>
      <c r="T542" s="355"/>
      <c r="V542" s="111"/>
      <c r="Y542" s="541"/>
      <c r="AB542" s="428"/>
      <c r="AC542" s="454"/>
      <c r="AD542" s="455"/>
      <c r="AE542" s="166"/>
      <c r="AF542" s="169"/>
      <c r="AG542" s="172"/>
      <c r="AH542" s="150"/>
      <c r="AI542" s="137"/>
      <c r="AJ542" s="188"/>
      <c r="AK542" s="137"/>
      <c r="AL542" s="833"/>
      <c r="AM542" s="833"/>
    </row>
    <row r="543" spans="2:39" s="30" customFormat="1" x14ac:dyDescent="0.25">
      <c r="B543" s="27"/>
      <c r="D543" s="81"/>
      <c r="E543" s="45"/>
      <c r="F543" s="524"/>
      <c r="G543" s="151"/>
      <c r="H543" s="44"/>
      <c r="I543" s="314"/>
      <c r="J543" s="44"/>
      <c r="K543" s="311"/>
      <c r="L543" s="232"/>
      <c r="M543" s="225"/>
      <c r="N543" s="380"/>
      <c r="O543" s="45"/>
      <c r="P543" s="311"/>
      <c r="Q543" s="149"/>
      <c r="R543" s="293"/>
      <c r="S543" s="316"/>
      <c r="T543" s="355"/>
      <c r="V543" s="111"/>
      <c r="Y543" s="541"/>
      <c r="AB543" s="428"/>
      <c r="AC543" s="454"/>
      <c r="AD543" s="455"/>
      <c r="AE543" s="166"/>
      <c r="AF543" s="169"/>
      <c r="AG543" s="172"/>
      <c r="AH543" s="150"/>
      <c r="AI543" s="137"/>
      <c r="AJ543" s="188"/>
      <c r="AK543" s="137"/>
      <c r="AL543" s="833"/>
      <c r="AM543" s="833"/>
    </row>
    <row r="544" spans="2:39" s="30" customFormat="1" x14ac:dyDescent="0.25">
      <c r="B544" s="27"/>
      <c r="D544" s="81"/>
      <c r="E544" s="45"/>
      <c r="F544" s="524"/>
      <c r="G544" s="151"/>
      <c r="H544" s="44"/>
      <c r="I544" s="314"/>
      <c r="J544" s="44"/>
      <c r="K544" s="311"/>
      <c r="L544" s="232"/>
      <c r="M544" s="225"/>
      <c r="N544" s="380"/>
      <c r="O544" s="45"/>
      <c r="P544" s="311"/>
      <c r="Q544" s="149"/>
      <c r="R544" s="293"/>
      <c r="S544" s="316"/>
      <c r="T544" s="355"/>
      <c r="V544" s="111"/>
      <c r="Y544" s="541"/>
      <c r="AB544" s="428"/>
      <c r="AC544" s="454"/>
      <c r="AD544" s="455"/>
      <c r="AE544" s="166"/>
      <c r="AF544" s="169"/>
      <c r="AG544" s="172"/>
      <c r="AH544" s="150"/>
      <c r="AI544" s="137"/>
      <c r="AJ544" s="188"/>
      <c r="AK544" s="137"/>
      <c r="AL544" s="833"/>
      <c r="AM544" s="833"/>
    </row>
    <row r="545" spans="2:39" s="30" customFormat="1" x14ac:dyDescent="0.25">
      <c r="B545" s="27"/>
      <c r="D545" s="81"/>
      <c r="E545" s="45"/>
      <c r="F545" s="524"/>
      <c r="G545" s="151"/>
      <c r="H545" s="44"/>
      <c r="I545" s="314"/>
      <c r="J545" s="44"/>
      <c r="K545" s="311"/>
      <c r="L545" s="232"/>
      <c r="M545" s="225"/>
      <c r="N545" s="380"/>
      <c r="O545" s="45"/>
      <c r="P545" s="311"/>
      <c r="Q545" s="149"/>
      <c r="R545" s="293"/>
      <c r="S545" s="316"/>
      <c r="T545" s="355"/>
      <c r="V545" s="111"/>
      <c r="Y545" s="541"/>
      <c r="AB545" s="428"/>
      <c r="AC545" s="454"/>
      <c r="AD545" s="455"/>
      <c r="AE545" s="166"/>
      <c r="AF545" s="169"/>
      <c r="AG545" s="172"/>
      <c r="AH545" s="150"/>
      <c r="AI545" s="137"/>
      <c r="AJ545" s="188"/>
      <c r="AK545" s="137"/>
      <c r="AL545" s="833"/>
      <c r="AM545" s="833"/>
    </row>
    <row r="546" spans="2:39" s="30" customFormat="1" x14ac:dyDescent="0.25">
      <c r="B546" s="27"/>
      <c r="D546" s="81"/>
      <c r="E546" s="45"/>
      <c r="F546" s="524"/>
      <c r="G546" s="151"/>
      <c r="H546" s="44"/>
      <c r="I546" s="314"/>
      <c r="J546" s="44"/>
      <c r="K546" s="311"/>
      <c r="L546" s="232"/>
      <c r="M546" s="225"/>
      <c r="N546" s="380"/>
      <c r="O546" s="45"/>
      <c r="P546" s="311"/>
      <c r="Q546" s="149"/>
      <c r="R546" s="293"/>
      <c r="S546" s="316"/>
      <c r="T546" s="355"/>
      <c r="V546" s="111"/>
      <c r="Y546" s="541"/>
      <c r="AB546" s="428"/>
      <c r="AC546" s="454"/>
      <c r="AD546" s="455"/>
      <c r="AE546" s="166"/>
      <c r="AF546" s="169"/>
      <c r="AG546" s="172"/>
      <c r="AH546" s="150"/>
      <c r="AI546" s="137"/>
      <c r="AJ546" s="188"/>
      <c r="AK546" s="137"/>
      <c r="AL546" s="833"/>
      <c r="AM546" s="833"/>
    </row>
    <row r="547" spans="2:39" s="30" customFormat="1" x14ac:dyDescent="0.25">
      <c r="B547" s="27"/>
      <c r="D547" s="81"/>
      <c r="E547" s="45"/>
      <c r="F547" s="524"/>
      <c r="G547" s="151"/>
      <c r="H547" s="44"/>
      <c r="I547" s="314"/>
      <c r="J547" s="44"/>
      <c r="K547" s="311"/>
      <c r="L547" s="232"/>
      <c r="M547" s="225"/>
      <c r="N547" s="380"/>
      <c r="O547" s="45"/>
      <c r="P547" s="311"/>
      <c r="Q547" s="149"/>
      <c r="R547" s="293"/>
      <c r="S547" s="316"/>
      <c r="T547" s="355"/>
      <c r="V547" s="111"/>
      <c r="Y547" s="541"/>
      <c r="AB547" s="428"/>
      <c r="AC547" s="454"/>
      <c r="AD547" s="455"/>
      <c r="AE547" s="166"/>
      <c r="AF547" s="169"/>
      <c r="AG547" s="172"/>
      <c r="AH547" s="150"/>
      <c r="AI547" s="137"/>
      <c r="AJ547" s="188"/>
      <c r="AK547" s="137"/>
      <c r="AL547" s="833"/>
      <c r="AM547" s="833"/>
    </row>
    <row r="548" spans="2:39" s="30" customFormat="1" x14ac:dyDescent="0.25">
      <c r="B548" s="27"/>
      <c r="D548" s="81"/>
      <c r="E548" s="45"/>
      <c r="F548" s="524"/>
      <c r="G548" s="151"/>
      <c r="H548" s="44"/>
      <c r="I548" s="314"/>
      <c r="J548" s="44"/>
      <c r="K548" s="311"/>
      <c r="L548" s="232"/>
      <c r="M548" s="225"/>
      <c r="N548" s="380"/>
      <c r="O548" s="45"/>
      <c r="P548" s="311"/>
      <c r="Q548" s="149"/>
      <c r="R548" s="293"/>
      <c r="S548" s="316"/>
      <c r="T548" s="355"/>
      <c r="V548" s="111"/>
      <c r="Y548" s="541"/>
      <c r="AB548" s="428"/>
      <c r="AC548" s="454"/>
      <c r="AD548" s="455"/>
      <c r="AE548" s="166"/>
      <c r="AF548" s="169"/>
      <c r="AG548" s="172"/>
      <c r="AH548" s="150"/>
      <c r="AI548" s="137"/>
      <c r="AJ548" s="188"/>
      <c r="AK548" s="137"/>
      <c r="AL548" s="833"/>
      <c r="AM548" s="833"/>
    </row>
    <row r="549" spans="2:39" s="30" customFormat="1" x14ac:dyDescent="0.25">
      <c r="B549" s="27"/>
      <c r="D549" s="81"/>
      <c r="E549" s="45"/>
      <c r="F549" s="524"/>
      <c r="G549" s="151"/>
      <c r="H549" s="44"/>
      <c r="I549" s="314"/>
      <c r="J549" s="44"/>
      <c r="K549" s="311"/>
      <c r="L549" s="232"/>
      <c r="M549" s="225"/>
      <c r="N549" s="380"/>
      <c r="O549" s="45"/>
      <c r="P549" s="311"/>
      <c r="Q549" s="149"/>
      <c r="R549" s="293"/>
      <c r="S549" s="316"/>
      <c r="T549" s="355"/>
      <c r="V549" s="111"/>
      <c r="Y549" s="541"/>
      <c r="AB549" s="428"/>
      <c r="AC549" s="454"/>
      <c r="AD549" s="455"/>
      <c r="AE549" s="166"/>
      <c r="AF549" s="169"/>
      <c r="AG549" s="172"/>
      <c r="AH549" s="150"/>
      <c r="AI549" s="137"/>
      <c r="AJ549" s="188"/>
      <c r="AK549" s="137"/>
      <c r="AL549" s="833"/>
      <c r="AM549" s="833"/>
    </row>
    <row r="550" spans="2:39" s="30" customFormat="1" x14ac:dyDescent="0.25">
      <c r="B550" s="27"/>
      <c r="D550" s="81"/>
      <c r="E550" s="45"/>
      <c r="F550" s="524"/>
      <c r="G550" s="151"/>
      <c r="H550" s="44"/>
      <c r="I550" s="314"/>
      <c r="J550" s="44"/>
      <c r="K550" s="311"/>
      <c r="L550" s="232"/>
      <c r="M550" s="225"/>
      <c r="N550" s="380"/>
      <c r="O550" s="45"/>
      <c r="P550" s="311"/>
      <c r="Q550" s="149"/>
      <c r="R550" s="293"/>
      <c r="S550" s="316"/>
      <c r="T550" s="355"/>
      <c r="V550" s="111"/>
      <c r="Y550" s="541"/>
      <c r="AB550" s="428"/>
      <c r="AC550" s="454"/>
      <c r="AD550" s="455"/>
      <c r="AE550" s="166"/>
      <c r="AF550" s="169"/>
      <c r="AG550" s="172"/>
      <c r="AH550" s="150"/>
      <c r="AI550" s="137"/>
      <c r="AJ550" s="188"/>
      <c r="AK550" s="137"/>
      <c r="AL550" s="833"/>
      <c r="AM550" s="833"/>
    </row>
    <row r="551" spans="2:39" s="30" customFormat="1" x14ac:dyDescent="0.25">
      <c r="B551" s="27"/>
      <c r="D551" s="81"/>
      <c r="E551" s="45"/>
      <c r="F551" s="524"/>
      <c r="G551" s="151"/>
      <c r="H551" s="44"/>
      <c r="I551" s="314"/>
      <c r="J551" s="44"/>
      <c r="K551" s="311"/>
      <c r="L551" s="232"/>
      <c r="M551" s="225"/>
      <c r="N551" s="380"/>
      <c r="O551" s="45"/>
      <c r="P551" s="311"/>
      <c r="Q551" s="149"/>
      <c r="R551" s="293"/>
      <c r="S551" s="316"/>
      <c r="T551" s="355"/>
      <c r="V551" s="111"/>
      <c r="Y551" s="541"/>
      <c r="AB551" s="428"/>
      <c r="AC551" s="454"/>
      <c r="AD551" s="455"/>
      <c r="AE551" s="166"/>
      <c r="AF551" s="169"/>
      <c r="AG551" s="172"/>
      <c r="AH551" s="150"/>
      <c r="AI551" s="137"/>
      <c r="AJ551" s="188"/>
      <c r="AK551" s="137"/>
      <c r="AL551" s="833"/>
      <c r="AM551" s="833"/>
    </row>
    <row r="552" spans="2:39" s="30" customFormat="1" x14ac:dyDescent="0.25">
      <c r="B552" s="27"/>
      <c r="D552" s="81"/>
      <c r="E552" s="45"/>
      <c r="F552" s="524"/>
      <c r="G552" s="151"/>
      <c r="H552" s="44"/>
      <c r="I552" s="314"/>
      <c r="J552" s="44"/>
      <c r="K552" s="311"/>
      <c r="L552" s="232"/>
      <c r="M552" s="225"/>
      <c r="N552" s="380"/>
      <c r="O552" s="45"/>
      <c r="P552" s="311"/>
      <c r="Q552" s="149"/>
      <c r="R552" s="293"/>
      <c r="S552" s="316"/>
      <c r="T552" s="355"/>
      <c r="V552" s="111"/>
      <c r="Y552" s="541"/>
      <c r="AB552" s="428"/>
      <c r="AC552" s="454"/>
      <c r="AD552" s="455"/>
      <c r="AE552" s="166"/>
      <c r="AF552" s="169"/>
      <c r="AG552" s="172"/>
      <c r="AH552" s="150"/>
      <c r="AI552" s="137"/>
      <c r="AJ552" s="188"/>
      <c r="AK552" s="137"/>
      <c r="AL552" s="833"/>
      <c r="AM552" s="833"/>
    </row>
    <row r="553" spans="2:39" s="30" customFormat="1" x14ac:dyDescent="0.25">
      <c r="B553" s="27"/>
      <c r="D553" s="81"/>
      <c r="E553" s="45"/>
      <c r="F553" s="524"/>
      <c r="G553" s="49"/>
      <c r="H553" s="44"/>
      <c r="I553" s="314"/>
      <c r="J553" s="44"/>
      <c r="K553" s="311"/>
      <c r="L553" s="232"/>
      <c r="M553" s="225"/>
      <c r="N553" s="380"/>
      <c r="O553" s="45"/>
      <c r="P553" s="311"/>
      <c r="Q553" s="149"/>
      <c r="R553" s="293"/>
      <c r="S553" s="316"/>
      <c r="T553" s="355"/>
      <c r="V553" s="111"/>
      <c r="Y553" s="541"/>
      <c r="AB553" s="428"/>
      <c r="AC553" s="454"/>
      <c r="AD553" s="455"/>
      <c r="AE553" s="166"/>
      <c r="AF553" s="169"/>
      <c r="AG553" s="172"/>
      <c r="AH553" s="150"/>
      <c r="AI553" s="137"/>
      <c r="AJ553" s="188"/>
      <c r="AK553" s="137"/>
      <c r="AL553" s="833"/>
      <c r="AM553" s="833"/>
    </row>
    <row r="554" spans="2:39" s="30" customFormat="1" x14ac:dyDescent="0.25">
      <c r="B554" s="27"/>
      <c r="D554" s="81"/>
      <c r="E554" s="45"/>
      <c r="F554" s="524"/>
      <c r="G554" s="49"/>
      <c r="H554" s="44"/>
      <c r="I554" s="314"/>
      <c r="J554" s="44"/>
      <c r="K554" s="311"/>
      <c r="L554" s="232"/>
      <c r="M554" s="225"/>
      <c r="N554" s="380"/>
      <c r="O554" s="45"/>
      <c r="P554" s="311"/>
      <c r="Q554" s="149"/>
      <c r="R554" s="293"/>
      <c r="S554" s="316"/>
      <c r="T554" s="355"/>
      <c r="V554" s="111"/>
      <c r="Y554" s="541"/>
      <c r="AB554" s="428"/>
      <c r="AC554" s="454"/>
      <c r="AD554" s="455"/>
      <c r="AE554" s="166"/>
      <c r="AF554" s="169"/>
      <c r="AG554" s="172"/>
      <c r="AH554" s="150"/>
      <c r="AI554" s="137"/>
      <c r="AJ554" s="188"/>
      <c r="AK554" s="137"/>
      <c r="AL554" s="833"/>
      <c r="AM554" s="833"/>
    </row>
    <row r="555" spans="2:39" s="30" customFormat="1" x14ac:dyDescent="0.25">
      <c r="B555" s="27"/>
      <c r="D555" s="81"/>
      <c r="E555" s="45"/>
      <c r="F555" s="524"/>
      <c r="G555" s="49"/>
      <c r="H555" s="45"/>
      <c r="I555" s="314"/>
      <c r="J555" s="44"/>
      <c r="K555" s="311"/>
      <c r="L555" s="232"/>
      <c r="M555" s="225"/>
      <c r="N555" s="380"/>
      <c r="O555" s="45"/>
      <c r="P555" s="311"/>
      <c r="Q555" s="149"/>
      <c r="R555" s="293"/>
      <c r="S555" s="316"/>
      <c r="T555" s="355"/>
      <c r="V555" s="111"/>
      <c r="Y555" s="541"/>
      <c r="AB555" s="428"/>
      <c r="AC555" s="454"/>
      <c r="AD555" s="455"/>
      <c r="AE555" s="166"/>
      <c r="AF555" s="169"/>
      <c r="AG555" s="172"/>
      <c r="AH555" s="150"/>
      <c r="AI555" s="137"/>
      <c r="AJ555" s="188"/>
      <c r="AK555" s="137"/>
      <c r="AL555" s="833"/>
      <c r="AM555" s="833"/>
    </row>
    <row r="556" spans="2:39" s="30" customFormat="1" x14ac:dyDescent="0.25">
      <c r="B556" s="27"/>
      <c r="D556" s="81"/>
      <c r="E556" s="45"/>
      <c r="F556" s="524"/>
      <c r="G556" s="49"/>
      <c r="H556" s="45"/>
      <c r="I556" s="314"/>
      <c r="J556" s="44"/>
      <c r="K556" s="311"/>
      <c r="L556" s="232"/>
      <c r="M556" s="225"/>
      <c r="N556" s="380"/>
      <c r="O556" s="45"/>
      <c r="P556" s="311"/>
      <c r="Q556" s="149"/>
      <c r="R556" s="293"/>
      <c r="S556" s="316"/>
      <c r="T556" s="355"/>
      <c r="V556" s="111"/>
      <c r="Y556" s="541"/>
      <c r="AB556" s="428"/>
      <c r="AC556" s="454"/>
      <c r="AD556" s="455"/>
      <c r="AE556" s="166"/>
      <c r="AF556" s="169"/>
      <c r="AG556" s="172"/>
      <c r="AH556" s="150"/>
      <c r="AI556" s="137"/>
      <c r="AJ556" s="188"/>
      <c r="AK556" s="137"/>
      <c r="AL556" s="833"/>
      <c r="AM556" s="833"/>
    </row>
    <row r="557" spans="2:39" s="30" customFormat="1" x14ac:dyDescent="0.25">
      <c r="B557" s="27"/>
      <c r="D557" s="81"/>
      <c r="E557" s="45"/>
      <c r="F557" s="524"/>
      <c r="G557" s="49"/>
      <c r="H557" s="45"/>
      <c r="I557" s="314"/>
      <c r="J557" s="44"/>
      <c r="K557" s="311"/>
      <c r="L557" s="232"/>
      <c r="M557" s="225"/>
      <c r="N557" s="380"/>
      <c r="O557" s="45"/>
      <c r="P557" s="311"/>
      <c r="Q557" s="149"/>
      <c r="R557" s="293"/>
      <c r="S557" s="316"/>
      <c r="T557" s="355"/>
      <c r="V557" s="111"/>
      <c r="Y557" s="541"/>
      <c r="AB557" s="428"/>
      <c r="AC557" s="454"/>
      <c r="AD557" s="455"/>
      <c r="AE557" s="166"/>
      <c r="AF557" s="169"/>
      <c r="AG557" s="172"/>
      <c r="AH557" s="150"/>
      <c r="AI557" s="137"/>
      <c r="AJ557" s="188"/>
      <c r="AK557" s="137"/>
      <c r="AL557" s="833"/>
      <c r="AM557" s="833"/>
    </row>
    <row r="558" spans="2:39" s="30" customFormat="1" x14ac:dyDescent="0.25">
      <c r="B558" s="27"/>
      <c r="D558" s="81"/>
      <c r="E558" s="45"/>
      <c r="F558" s="524"/>
      <c r="G558" s="49"/>
      <c r="H558" s="45"/>
      <c r="I558" s="314"/>
      <c r="J558" s="44"/>
      <c r="K558" s="311"/>
      <c r="L558" s="232"/>
      <c r="M558" s="225"/>
      <c r="N558" s="380"/>
      <c r="O558" s="45"/>
      <c r="P558" s="311"/>
      <c r="Q558" s="149"/>
      <c r="R558" s="293"/>
      <c r="S558" s="316"/>
      <c r="T558" s="355"/>
      <c r="V558" s="111"/>
      <c r="Y558" s="541"/>
      <c r="AB558" s="428"/>
      <c r="AC558" s="454"/>
      <c r="AD558" s="455"/>
      <c r="AE558" s="166"/>
      <c r="AF558" s="169"/>
      <c r="AG558" s="172"/>
      <c r="AH558" s="150"/>
      <c r="AI558" s="137"/>
      <c r="AJ558" s="188"/>
      <c r="AK558" s="137"/>
      <c r="AL558" s="833"/>
      <c r="AM558" s="833"/>
    </row>
    <row r="559" spans="2:39" s="30" customFormat="1" x14ac:dyDescent="0.25">
      <c r="B559" s="27"/>
      <c r="D559" s="81"/>
      <c r="E559" s="45"/>
      <c r="F559" s="524"/>
      <c r="G559" s="49"/>
      <c r="H559" s="45"/>
      <c r="I559" s="314"/>
      <c r="J559" s="44"/>
      <c r="K559" s="311"/>
      <c r="L559" s="232"/>
      <c r="M559" s="225"/>
      <c r="N559" s="380"/>
      <c r="O559" s="45"/>
      <c r="P559" s="311"/>
      <c r="Q559" s="149"/>
      <c r="R559" s="293"/>
      <c r="S559" s="316"/>
      <c r="T559" s="355"/>
      <c r="V559" s="111"/>
      <c r="Y559" s="541"/>
      <c r="AB559" s="428"/>
      <c r="AC559" s="454"/>
      <c r="AD559" s="455"/>
      <c r="AE559" s="166"/>
      <c r="AF559" s="169"/>
      <c r="AG559" s="172"/>
      <c r="AH559" s="150"/>
      <c r="AI559" s="137"/>
      <c r="AJ559" s="188"/>
      <c r="AK559" s="137"/>
      <c r="AL559" s="833"/>
      <c r="AM559" s="833"/>
    </row>
    <row r="560" spans="2:39" s="30" customFormat="1" x14ac:dyDescent="0.25">
      <c r="B560" s="27"/>
      <c r="D560" s="81"/>
      <c r="E560" s="45"/>
      <c r="F560" s="524"/>
      <c r="G560" s="49"/>
      <c r="H560" s="45"/>
      <c r="I560" s="314"/>
      <c r="J560" s="44"/>
      <c r="K560" s="311"/>
      <c r="L560" s="232"/>
      <c r="M560" s="225"/>
      <c r="N560" s="380"/>
      <c r="O560" s="45"/>
      <c r="P560" s="311"/>
      <c r="Q560" s="149"/>
      <c r="R560" s="293"/>
      <c r="S560" s="316"/>
      <c r="T560" s="355"/>
      <c r="V560" s="111"/>
      <c r="Y560" s="541"/>
      <c r="AB560" s="428"/>
      <c r="AC560" s="454"/>
      <c r="AD560" s="455"/>
      <c r="AE560" s="166"/>
      <c r="AF560" s="169"/>
      <c r="AG560" s="172"/>
      <c r="AH560" s="150"/>
      <c r="AI560" s="137"/>
      <c r="AJ560" s="188"/>
      <c r="AK560" s="137"/>
      <c r="AL560" s="833"/>
      <c r="AM560" s="833"/>
    </row>
    <row r="561" spans="2:39" s="30" customFormat="1" x14ac:dyDescent="0.25">
      <c r="B561" s="27"/>
      <c r="D561" s="81"/>
      <c r="E561" s="45"/>
      <c r="F561" s="524"/>
      <c r="G561" s="49"/>
      <c r="H561" s="45"/>
      <c r="I561" s="314"/>
      <c r="J561" s="44"/>
      <c r="K561" s="311"/>
      <c r="L561" s="232"/>
      <c r="M561" s="225"/>
      <c r="N561" s="380"/>
      <c r="O561" s="45"/>
      <c r="P561" s="311"/>
      <c r="Q561" s="149"/>
      <c r="R561" s="293"/>
      <c r="S561" s="316"/>
      <c r="T561" s="355"/>
      <c r="V561" s="111"/>
      <c r="Y561" s="541"/>
      <c r="AB561" s="428"/>
      <c r="AC561" s="454"/>
      <c r="AD561" s="455"/>
      <c r="AE561" s="166"/>
      <c r="AF561" s="169"/>
      <c r="AG561" s="172"/>
      <c r="AH561" s="150"/>
      <c r="AI561" s="137"/>
      <c r="AJ561" s="188"/>
      <c r="AK561" s="137"/>
      <c r="AL561" s="833"/>
      <c r="AM561" s="833"/>
    </row>
    <row r="562" spans="2:39" s="30" customFormat="1" x14ac:dyDescent="0.25">
      <c r="B562" s="27"/>
      <c r="D562" s="81"/>
      <c r="E562" s="45"/>
      <c r="F562" s="524"/>
      <c r="G562" s="49"/>
      <c r="H562" s="45"/>
      <c r="I562" s="314"/>
      <c r="J562" s="44"/>
      <c r="K562" s="311"/>
      <c r="L562" s="232"/>
      <c r="M562" s="225"/>
      <c r="N562" s="380"/>
      <c r="O562" s="45"/>
      <c r="P562" s="311"/>
      <c r="Q562" s="149"/>
      <c r="R562" s="293"/>
      <c r="S562" s="316"/>
      <c r="T562" s="355"/>
      <c r="V562" s="111"/>
      <c r="Y562" s="541"/>
      <c r="AB562" s="428"/>
      <c r="AC562" s="454"/>
      <c r="AD562" s="455"/>
      <c r="AE562" s="166"/>
      <c r="AF562" s="169"/>
      <c r="AG562" s="172"/>
      <c r="AH562" s="150"/>
      <c r="AI562" s="137"/>
      <c r="AJ562" s="188"/>
      <c r="AK562" s="137"/>
      <c r="AL562" s="833"/>
      <c r="AM562" s="833"/>
    </row>
    <row r="563" spans="2:39" s="30" customFormat="1" x14ac:dyDescent="0.25">
      <c r="B563" s="27"/>
      <c r="D563" s="81"/>
      <c r="E563" s="45"/>
      <c r="F563" s="524"/>
      <c r="G563" s="49"/>
      <c r="H563" s="45"/>
      <c r="I563" s="314"/>
      <c r="J563" s="44"/>
      <c r="K563" s="311"/>
      <c r="L563" s="232"/>
      <c r="M563" s="225"/>
      <c r="N563" s="380"/>
      <c r="O563" s="45"/>
      <c r="P563" s="311"/>
      <c r="Q563" s="149"/>
      <c r="R563" s="293"/>
      <c r="S563" s="316"/>
      <c r="T563" s="355"/>
      <c r="V563" s="111"/>
      <c r="Y563" s="541"/>
      <c r="AB563" s="428"/>
      <c r="AC563" s="454"/>
      <c r="AD563" s="455"/>
      <c r="AE563" s="166"/>
      <c r="AF563" s="169"/>
      <c r="AG563" s="172"/>
      <c r="AH563" s="150"/>
      <c r="AI563" s="137"/>
      <c r="AJ563" s="188"/>
      <c r="AK563" s="137"/>
      <c r="AL563" s="833"/>
      <c r="AM563" s="833"/>
    </row>
    <row r="564" spans="2:39" s="30" customFormat="1" x14ac:dyDescent="0.25">
      <c r="B564" s="27"/>
      <c r="D564" s="81"/>
      <c r="E564" s="45"/>
      <c r="F564" s="524"/>
      <c r="G564" s="49"/>
      <c r="H564" s="45"/>
      <c r="I564" s="314"/>
      <c r="J564" s="44"/>
      <c r="K564" s="311"/>
      <c r="L564" s="232"/>
      <c r="M564" s="225"/>
      <c r="N564" s="380"/>
      <c r="O564" s="45"/>
      <c r="P564" s="311"/>
      <c r="Q564" s="149"/>
      <c r="R564" s="293"/>
      <c r="S564" s="316"/>
      <c r="T564" s="355"/>
      <c r="V564" s="111"/>
      <c r="Y564" s="541"/>
      <c r="AB564" s="428"/>
      <c r="AC564" s="454"/>
      <c r="AD564" s="455"/>
      <c r="AE564" s="166"/>
      <c r="AF564" s="169"/>
      <c r="AG564" s="172"/>
      <c r="AH564" s="150"/>
      <c r="AI564" s="137"/>
      <c r="AJ564" s="188"/>
      <c r="AK564" s="137"/>
      <c r="AL564" s="833"/>
      <c r="AM564" s="833"/>
    </row>
    <row r="565" spans="2:39" s="30" customFormat="1" x14ac:dyDescent="0.25">
      <c r="B565" s="27"/>
      <c r="D565" s="81"/>
      <c r="E565" s="45"/>
      <c r="F565" s="524"/>
      <c r="G565" s="49"/>
      <c r="H565" s="45"/>
      <c r="I565" s="314"/>
      <c r="J565" s="44"/>
      <c r="K565" s="311"/>
      <c r="L565" s="232"/>
      <c r="M565" s="225"/>
      <c r="N565" s="380"/>
      <c r="O565" s="45"/>
      <c r="P565" s="311"/>
      <c r="Q565" s="149"/>
      <c r="R565" s="293"/>
      <c r="S565" s="316"/>
      <c r="T565" s="355"/>
      <c r="V565" s="111"/>
      <c r="Y565" s="541"/>
      <c r="AB565" s="428"/>
      <c r="AC565" s="454"/>
      <c r="AD565" s="455"/>
      <c r="AE565" s="166"/>
      <c r="AF565" s="169"/>
      <c r="AG565" s="172"/>
      <c r="AH565" s="150"/>
      <c r="AI565" s="137"/>
      <c r="AJ565" s="188"/>
      <c r="AK565" s="137"/>
      <c r="AL565" s="833"/>
      <c r="AM565" s="833"/>
    </row>
    <row r="566" spans="2:39" s="30" customFormat="1" x14ac:dyDescent="0.25">
      <c r="B566" s="27"/>
      <c r="D566" s="81"/>
      <c r="E566" s="45"/>
      <c r="F566" s="524"/>
      <c r="G566" s="49"/>
      <c r="H566" s="45"/>
      <c r="I566" s="314"/>
      <c r="J566" s="44"/>
      <c r="K566" s="311"/>
      <c r="L566" s="232"/>
      <c r="M566" s="225"/>
      <c r="N566" s="380"/>
      <c r="O566" s="45"/>
      <c r="P566" s="311"/>
      <c r="Q566" s="149"/>
      <c r="R566" s="293"/>
      <c r="S566" s="316"/>
      <c r="T566" s="355"/>
      <c r="V566" s="111"/>
      <c r="Y566" s="541"/>
      <c r="AB566" s="428"/>
      <c r="AC566" s="454"/>
      <c r="AD566" s="455"/>
      <c r="AE566" s="166"/>
      <c r="AF566" s="169"/>
      <c r="AG566" s="172"/>
      <c r="AH566" s="150"/>
      <c r="AI566" s="137"/>
      <c r="AJ566" s="188"/>
      <c r="AK566" s="137"/>
      <c r="AL566" s="833"/>
      <c r="AM566" s="833"/>
    </row>
    <row r="567" spans="2:39" s="30" customFormat="1" x14ac:dyDescent="0.25">
      <c r="B567" s="27"/>
      <c r="D567" s="81"/>
      <c r="E567" s="45"/>
      <c r="F567" s="524"/>
      <c r="G567" s="49"/>
      <c r="H567" s="45"/>
      <c r="I567" s="314"/>
      <c r="J567" s="44"/>
      <c r="K567" s="311"/>
      <c r="L567" s="232"/>
      <c r="M567" s="225"/>
      <c r="N567" s="380"/>
      <c r="O567" s="45"/>
      <c r="P567" s="311"/>
      <c r="Q567" s="149"/>
      <c r="R567" s="293"/>
      <c r="S567" s="316"/>
      <c r="T567" s="355"/>
      <c r="V567" s="111"/>
      <c r="Y567" s="541"/>
      <c r="AB567" s="428"/>
      <c r="AC567" s="454"/>
      <c r="AD567" s="455"/>
      <c r="AE567" s="166"/>
      <c r="AF567" s="169"/>
      <c r="AG567" s="172"/>
      <c r="AH567" s="150"/>
      <c r="AI567" s="137"/>
      <c r="AJ567" s="188"/>
      <c r="AK567" s="137"/>
      <c r="AL567" s="833"/>
      <c r="AM567" s="833"/>
    </row>
    <row r="568" spans="2:39" s="30" customFormat="1" x14ac:dyDescent="0.25">
      <c r="B568" s="27"/>
      <c r="D568" s="81"/>
      <c r="E568" s="45"/>
      <c r="F568" s="524"/>
      <c r="G568" s="49"/>
      <c r="H568" s="45"/>
      <c r="I568" s="314"/>
      <c r="J568" s="44"/>
      <c r="K568" s="311"/>
      <c r="L568" s="232"/>
      <c r="M568" s="225"/>
      <c r="N568" s="380"/>
      <c r="O568" s="45"/>
      <c r="P568" s="311"/>
      <c r="Q568" s="149"/>
      <c r="R568" s="293"/>
      <c r="S568" s="316"/>
      <c r="T568" s="355"/>
      <c r="V568" s="111"/>
      <c r="Y568" s="541"/>
      <c r="AB568" s="428"/>
      <c r="AC568" s="454"/>
      <c r="AD568" s="455"/>
      <c r="AE568" s="166"/>
      <c r="AF568" s="169"/>
      <c r="AG568" s="172"/>
      <c r="AH568" s="150"/>
      <c r="AI568" s="137"/>
      <c r="AJ568" s="188"/>
      <c r="AK568" s="137"/>
      <c r="AL568" s="833"/>
      <c r="AM568" s="833"/>
    </row>
    <row r="569" spans="2:39" s="30" customFormat="1" x14ac:dyDescent="0.25">
      <c r="B569" s="27"/>
      <c r="D569" s="81"/>
      <c r="E569" s="45"/>
      <c r="F569" s="524"/>
      <c r="G569" s="49"/>
      <c r="H569" s="45"/>
      <c r="I569" s="314"/>
      <c r="J569" s="44"/>
      <c r="K569" s="311"/>
      <c r="L569" s="232"/>
      <c r="M569" s="225"/>
      <c r="N569" s="380"/>
      <c r="O569" s="45"/>
      <c r="P569" s="311"/>
      <c r="Q569" s="149"/>
      <c r="R569" s="293"/>
      <c r="S569" s="316"/>
      <c r="T569" s="355"/>
      <c r="V569" s="111"/>
      <c r="Y569" s="541"/>
      <c r="AB569" s="428"/>
      <c r="AC569" s="454"/>
      <c r="AD569" s="455"/>
      <c r="AE569" s="166"/>
      <c r="AF569" s="169"/>
      <c r="AG569" s="172"/>
      <c r="AH569" s="150"/>
      <c r="AI569" s="137"/>
      <c r="AJ569" s="188"/>
      <c r="AK569" s="137"/>
      <c r="AL569" s="833"/>
      <c r="AM569" s="833"/>
    </row>
    <row r="570" spans="2:39" s="30" customFormat="1" x14ac:dyDescent="0.25">
      <c r="B570" s="27"/>
      <c r="D570" s="81"/>
      <c r="E570" s="45"/>
      <c r="F570" s="524"/>
      <c r="G570" s="49"/>
      <c r="H570" s="45"/>
      <c r="I570" s="314"/>
      <c r="J570" s="44"/>
      <c r="K570" s="311"/>
      <c r="L570" s="232"/>
      <c r="M570" s="225"/>
      <c r="N570" s="380"/>
      <c r="O570" s="45"/>
      <c r="P570" s="311"/>
      <c r="Q570" s="149"/>
      <c r="R570" s="293"/>
      <c r="S570" s="316"/>
      <c r="T570" s="355"/>
      <c r="V570" s="111"/>
      <c r="Y570" s="541"/>
      <c r="AB570" s="428"/>
      <c r="AC570" s="454"/>
      <c r="AD570" s="455"/>
      <c r="AE570" s="166"/>
      <c r="AF570" s="169"/>
      <c r="AG570" s="172"/>
      <c r="AH570" s="150"/>
      <c r="AI570" s="137"/>
      <c r="AJ570" s="188"/>
      <c r="AK570" s="137"/>
      <c r="AL570" s="833"/>
      <c r="AM570" s="833"/>
    </row>
    <row r="571" spans="2:39" s="30" customFormat="1" x14ac:dyDescent="0.25">
      <c r="B571" s="27"/>
      <c r="D571" s="81"/>
      <c r="E571" s="45"/>
      <c r="F571" s="524"/>
      <c r="G571" s="49"/>
      <c r="H571" s="45"/>
      <c r="I571" s="314"/>
      <c r="J571" s="44"/>
      <c r="K571" s="311"/>
      <c r="L571" s="232"/>
      <c r="M571" s="225"/>
      <c r="N571" s="380"/>
      <c r="O571" s="45"/>
      <c r="P571" s="311"/>
      <c r="Q571" s="149"/>
      <c r="R571" s="293"/>
      <c r="S571" s="316"/>
      <c r="T571" s="355"/>
      <c r="V571" s="111"/>
      <c r="Y571" s="541"/>
      <c r="AB571" s="428"/>
      <c r="AC571" s="454"/>
      <c r="AD571" s="455"/>
      <c r="AE571" s="166"/>
      <c r="AF571" s="169"/>
      <c r="AG571" s="172"/>
      <c r="AH571" s="150"/>
      <c r="AI571" s="137"/>
      <c r="AJ571" s="188"/>
      <c r="AK571" s="137"/>
      <c r="AL571" s="833"/>
      <c r="AM571" s="833"/>
    </row>
    <row r="572" spans="2:39" s="30" customFormat="1" x14ac:dyDescent="0.25">
      <c r="B572" s="27"/>
      <c r="D572" s="81"/>
      <c r="E572" s="45"/>
      <c r="F572" s="524"/>
      <c r="G572" s="49"/>
      <c r="H572" s="45"/>
      <c r="I572" s="314"/>
      <c r="J572" s="44"/>
      <c r="K572" s="311"/>
      <c r="L572" s="232"/>
      <c r="M572" s="225"/>
      <c r="N572" s="380"/>
      <c r="O572" s="45"/>
      <c r="P572" s="311"/>
      <c r="Q572" s="149"/>
      <c r="R572" s="293"/>
      <c r="S572" s="316"/>
      <c r="T572" s="355"/>
      <c r="V572" s="111"/>
      <c r="Y572" s="541"/>
      <c r="AB572" s="428"/>
      <c r="AC572" s="454"/>
      <c r="AD572" s="455"/>
      <c r="AE572" s="166"/>
      <c r="AF572" s="169"/>
      <c r="AG572" s="172"/>
      <c r="AH572" s="150"/>
      <c r="AI572" s="137"/>
      <c r="AJ572" s="188"/>
      <c r="AK572" s="137"/>
      <c r="AL572" s="833"/>
      <c r="AM572" s="833"/>
    </row>
    <row r="573" spans="2:39" s="30" customFormat="1" x14ac:dyDescent="0.25">
      <c r="B573" s="27"/>
      <c r="D573" s="81"/>
      <c r="E573" s="45"/>
      <c r="F573" s="524"/>
      <c r="G573" s="49"/>
      <c r="H573" s="45"/>
      <c r="I573" s="314"/>
      <c r="J573" s="44"/>
      <c r="K573" s="311"/>
      <c r="L573" s="232"/>
      <c r="M573" s="225"/>
      <c r="N573" s="380"/>
      <c r="O573" s="45"/>
      <c r="P573" s="311"/>
      <c r="Q573" s="149"/>
      <c r="R573" s="293"/>
      <c r="S573" s="316"/>
      <c r="T573" s="355"/>
      <c r="V573" s="111"/>
      <c r="Y573" s="541"/>
      <c r="AB573" s="428"/>
      <c r="AC573" s="454"/>
      <c r="AD573" s="455"/>
      <c r="AE573" s="166"/>
      <c r="AF573" s="169"/>
      <c r="AG573" s="172"/>
      <c r="AH573" s="150"/>
      <c r="AI573" s="137"/>
      <c r="AJ573" s="188"/>
      <c r="AK573" s="137"/>
      <c r="AL573" s="833"/>
      <c r="AM573" s="833"/>
    </row>
    <row r="574" spans="2:39" s="30" customFormat="1" x14ac:dyDescent="0.25">
      <c r="B574" s="27"/>
      <c r="D574" s="81"/>
      <c r="E574" s="45"/>
      <c r="F574" s="524"/>
      <c r="G574" s="49"/>
      <c r="H574" s="45"/>
      <c r="I574" s="314"/>
      <c r="J574" s="44"/>
      <c r="K574" s="311"/>
      <c r="L574" s="232"/>
      <c r="M574" s="225"/>
      <c r="N574" s="380"/>
      <c r="O574" s="45"/>
      <c r="P574" s="311"/>
      <c r="Q574" s="149"/>
      <c r="R574" s="293"/>
      <c r="S574" s="316"/>
      <c r="T574" s="355"/>
      <c r="V574" s="111"/>
      <c r="Y574" s="541"/>
      <c r="AB574" s="428"/>
      <c r="AC574" s="454"/>
      <c r="AD574" s="455"/>
      <c r="AE574" s="166"/>
      <c r="AF574" s="169"/>
      <c r="AG574" s="172"/>
      <c r="AH574" s="150"/>
      <c r="AI574" s="137"/>
      <c r="AJ574" s="188"/>
      <c r="AK574" s="137"/>
      <c r="AL574" s="833"/>
      <c r="AM574" s="833"/>
    </row>
    <row r="575" spans="2:39" s="30" customFormat="1" x14ac:dyDescent="0.25">
      <c r="B575" s="27"/>
      <c r="D575" s="81"/>
      <c r="E575" s="45"/>
      <c r="F575" s="524"/>
      <c r="G575" s="49"/>
      <c r="H575" s="45"/>
      <c r="I575" s="314"/>
      <c r="J575" s="44"/>
      <c r="K575" s="311"/>
      <c r="L575" s="232"/>
      <c r="M575" s="225"/>
      <c r="N575" s="380"/>
      <c r="O575" s="45"/>
      <c r="P575" s="311"/>
      <c r="Q575" s="149"/>
      <c r="R575" s="293"/>
      <c r="S575" s="316"/>
      <c r="T575" s="355"/>
      <c r="V575" s="111"/>
      <c r="Y575" s="541"/>
      <c r="AB575" s="428"/>
      <c r="AC575" s="454"/>
      <c r="AD575" s="455"/>
      <c r="AE575" s="166"/>
      <c r="AF575" s="169"/>
      <c r="AG575" s="172"/>
      <c r="AH575" s="150"/>
      <c r="AI575" s="137"/>
      <c r="AJ575" s="188"/>
      <c r="AK575" s="137"/>
      <c r="AL575" s="833"/>
      <c r="AM575" s="833"/>
    </row>
    <row r="576" spans="2:39" s="30" customFormat="1" x14ac:dyDescent="0.25">
      <c r="B576" s="27"/>
      <c r="D576" s="81"/>
      <c r="E576" s="45"/>
      <c r="F576" s="524"/>
      <c r="G576" s="49"/>
      <c r="H576" s="45"/>
      <c r="I576" s="314"/>
      <c r="J576" s="44"/>
      <c r="K576" s="311"/>
      <c r="L576" s="232"/>
      <c r="M576" s="225"/>
      <c r="N576" s="380"/>
      <c r="O576" s="45"/>
      <c r="P576" s="311"/>
      <c r="Q576" s="149"/>
      <c r="R576" s="293"/>
      <c r="S576" s="316"/>
      <c r="T576" s="355"/>
      <c r="V576" s="111"/>
      <c r="Y576" s="541"/>
      <c r="AB576" s="428"/>
      <c r="AC576" s="454"/>
      <c r="AD576" s="455"/>
      <c r="AE576" s="166"/>
      <c r="AF576" s="169"/>
      <c r="AG576" s="172"/>
      <c r="AH576" s="150"/>
      <c r="AI576" s="137"/>
      <c r="AJ576" s="188"/>
      <c r="AK576" s="137"/>
      <c r="AL576" s="833"/>
      <c r="AM576" s="833"/>
    </row>
    <row r="577" spans="2:39" s="30" customFormat="1" x14ac:dyDescent="0.25">
      <c r="B577" s="27"/>
      <c r="D577" s="81"/>
      <c r="E577" s="45"/>
      <c r="F577" s="524"/>
      <c r="G577" s="49"/>
      <c r="H577" s="45"/>
      <c r="I577" s="314"/>
      <c r="J577" s="44"/>
      <c r="K577" s="311"/>
      <c r="L577" s="232"/>
      <c r="M577" s="225"/>
      <c r="N577" s="380"/>
      <c r="O577" s="45"/>
      <c r="P577" s="311"/>
      <c r="Q577" s="149"/>
      <c r="R577" s="293"/>
      <c r="S577" s="316"/>
      <c r="T577" s="355"/>
      <c r="V577" s="111"/>
      <c r="Y577" s="541"/>
      <c r="AB577" s="428"/>
      <c r="AC577" s="454"/>
      <c r="AD577" s="455"/>
      <c r="AE577" s="166"/>
      <c r="AF577" s="169"/>
      <c r="AG577" s="172"/>
      <c r="AH577" s="150"/>
      <c r="AI577" s="137"/>
      <c r="AJ577" s="188"/>
      <c r="AK577" s="137"/>
      <c r="AL577" s="833"/>
      <c r="AM577" s="833"/>
    </row>
    <row r="578" spans="2:39" s="30" customFormat="1" x14ac:dyDescent="0.25">
      <c r="B578" s="27"/>
      <c r="D578" s="81"/>
      <c r="E578" s="45"/>
      <c r="F578" s="524"/>
      <c r="G578" s="49"/>
      <c r="H578" s="45"/>
      <c r="I578" s="314"/>
      <c r="J578" s="44"/>
      <c r="K578" s="311"/>
      <c r="L578" s="232"/>
      <c r="M578" s="225"/>
      <c r="N578" s="380"/>
      <c r="O578" s="45"/>
      <c r="P578" s="311"/>
      <c r="Q578" s="149"/>
      <c r="R578" s="293"/>
      <c r="S578" s="316"/>
      <c r="T578" s="355"/>
      <c r="V578" s="111"/>
      <c r="Y578" s="541"/>
      <c r="AB578" s="428"/>
      <c r="AC578" s="454"/>
      <c r="AD578" s="455"/>
      <c r="AE578" s="166"/>
      <c r="AF578" s="169"/>
      <c r="AG578" s="172"/>
      <c r="AH578" s="150"/>
      <c r="AI578" s="137"/>
      <c r="AJ578" s="188"/>
      <c r="AK578" s="137"/>
      <c r="AL578" s="833"/>
      <c r="AM578" s="833"/>
    </row>
    <row r="579" spans="2:39" s="30" customFormat="1" x14ac:dyDescent="0.25">
      <c r="B579" s="27"/>
      <c r="D579" s="81"/>
      <c r="E579" s="45"/>
      <c r="F579" s="524"/>
      <c r="G579" s="49"/>
      <c r="H579" s="45"/>
      <c r="I579" s="314"/>
      <c r="J579" s="44"/>
      <c r="K579" s="311"/>
      <c r="L579" s="232"/>
      <c r="M579" s="225"/>
      <c r="N579" s="380"/>
      <c r="O579" s="45"/>
      <c r="P579" s="311"/>
      <c r="Q579" s="149"/>
      <c r="R579" s="293"/>
      <c r="S579" s="316"/>
      <c r="T579" s="355"/>
      <c r="V579" s="111"/>
      <c r="Y579" s="541"/>
      <c r="AB579" s="428"/>
      <c r="AC579" s="454"/>
      <c r="AD579" s="455"/>
      <c r="AE579" s="166"/>
      <c r="AF579" s="169"/>
      <c r="AG579" s="172"/>
      <c r="AH579" s="150"/>
      <c r="AI579" s="137"/>
      <c r="AJ579" s="188"/>
      <c r="AK579" s="137"/>
      <c r="AL579" s="833"/>
      <c r="AM579" s="833"/>
    </row>
    <row r="580" spans="2:39" s="30" customFormat="1" x14ac:dyDescent="0.25">
      <c r="B580" s="27"/>
      <c r="D580" s="81"/>
      <c r="E580" s="45"/>
      <c r="F580" s="524"/>
      <c r="G580" s="49"/>
      <c r="H580" s="45"/>
      <c r="I580" s="314"/>
      <c r="J580" s="44"/>
      <c r="K580" s="311"/>
      <c r="L580" s="232"/>
      <c r="M580" s="225"/>
      <c r="N580" s="380"/>
      <c r="O580" s="45"/>
      <c r="P580" s="311"/>
      <c r="Q580" s="149"/>
      <c r="R580" s="293"/>
      <c r="S580" s="316"/>
      <c r="T580" s="355"/>
      <c r="V580" s="111"/>
      <c r="Y580" s="541"/>
      <c r="AB580" s="428"/>
      <c r="AC580" s="454"/>
      <c r="AD580" s="455"/>
      <c r="AE580" s="166"/>
      <c r="AF580" s="169"/>
      <c r="AG580" s="172"/>
      <c r="AH580" s="150"/>
      <c r="AI580" s="137"/>
      <c r="AJ580" s="188"/>
      <c r="AK580" s="137"/>
      <c r="AL580" s="833"/>
      <c r="AM580" s="833"/>
    </row>
    <row r="581" spans="2:39" s="30" customFormat="1" x14ac:dyDescent="0.25">
      <c r="B581" s="27"/>
      <c r="D581" s="81"/>
      <c r="E581" s="45"/>
      <c r="F581" s="524"/>
      <c r="G581" s="49"/>
      <c r="H581" s="45"/>
      <c r="I581" s="314"/>
      <c r="J581" s="44"/>
      <c r="K581" s="311"/>
      <c r="L581" s="232"/>
      <c r="M581" s="225"/>
      <c r="N581" s="380"/>
      <c r="O581" s="45"/>
      <c r="P581" s="311"/>
      <c r="Q581" s="149"/>
      <c r="R581" s="293"/>
      <c r="S581" s="316"/>
      <c r="T581" s="355"/>
      <c r="V581" s="111"/>
      <c r="Y581" s="541"/>
      <c r="AB581" s="428"/>
      <c r="AC581" s="454"/>
      <c r="AD581" s="455"/>
      <c r="AE581" s="166"/>
      <c r="AF581" s="169"/>
      <c r="AG581" s="172"/>
      <c r="AH581" s="150"/>
      <c r="AI581" s="137"/>
      <c r="AJ581" s="188"/>
      <c r="AK581" s="137"/>
      <c r="AL581" s="833"/>
      <c r="AM581" s="833"/>
    </row>
    <row r="582" spans="2:39" s="30" customFormat="1" x14ac:dyDescent="0.25">
      <c r="B582" s="27"/>
      <c r="D582" s="81"/>
      <c r="E582" s="45"/>
      <c r="F582" s="524"/>
      <c r="G582" s="49"/>
      <c r="H582" s="45"/>
      <c r="I582" s="314"/>
      <c r="J582" s="44"/>
      <c r="K582" s="311"/>
      <c r="L582" s="232"/>
      <c r="M582" s="225"/>
      <c r="N582" s="380"/>
      <c r="O582" s="45"/>
      <c r="P582" s="311"/>
      <c r="Q582" s="149"/>
      <c r="R582" s="293"/>
      <c r="S582" s="316"/>
      <c r="T582" s="355"/>
      <c r="V582" s="111"/>
      <c r="Y582" s="541"/>
      <c r="AB582" s="428"/>
      <c r="AC582" s="454"/>
      <c r="AD582" s="455"/>
      <c r="AE582" s="166"/>
      <c r="AF582" s="169"/>
      <c r="AG582" s="172"/>
      <c r="AH582" s="150"/>
      <c r="AI582" s="137"/>
      <c r="AJ582" s="188"/>
      <c r="AK582" s="137"/>
      <c r="AL582" s="833"/>
      <c r="AM582" s="833"/>
    </row>
    <row r="583" spans="2:39" s="30" customFormat="1" x14ac:dyDescent="0.25">
      <c r="B583" s="27"/>
      <c r="D583" s="81"/>
      <c r="E583" s="45"/>
      <c r="F583" s="524"/>
      <c r="G583" s="49"/>
      <c r="H583" s="45"/>
      <c r="I583" s="314"/>
      <c r="J583" s="44"/>
      <c r="K583" s="311"/>
      <c r="L583" s="232"/>
      <c r="M583" s="225"/>
      <c r="N583" s="380"/>
      <c r="O583" s="45"/>
      <c r="P583" s="311"/>
      <c r="Q583" s="149"/>
      <c r="R583" s="293"/>
      <c r="S583" s="316"/>
      <c r="T583" s="355"/>
      <c r="V583" s="111"/>
      <c r="Y583" s="541"/>
      <c r="AB583" s="428"/>
      <c r="AC583" s="454"/>
      <c r="AD583" s="455"/>
      <c r="AE583" s="166"/>
      <c r="AF583" s="169"/>
      <c r="AG583" s="172"/>
      <c r="AH583" s="150"/>
      <c r="AI583" s="137"/>
      <c r="AJ583" s="188"/>
      <c r="AK583" s="137"/>
      <c r="AL583" s="833"/>
      <c r="AM583" s="833"/>
    </row>
    <row r="584" spans="2:39" s="30" customFormat="1" x14ac:dyDescent="0.25">
      <c r="B584" s="27"/>
      <c r="D584" s="81"/>
      <c r="E584" s="45"/>
      <c r="F584" s="524"/>
      <c r="G584" s="49"/>
      <c r="H584" s="45"/>
      <c r="I584" s="314"/>
      <c r="J584" s="44"/>
      <c r="K584" s="311"/>
      <c r="L584" s="232"/>
      <c r="M584" s="225"/>
      <c r="N584" s="380"/>
      <c r="O584" s="45"/>
      <c r="P584" s="311"/>
      <c r="Q584" s="149"/>
      <c r="R584" s="293"/>
      <c r="S584" s="316"/>
      <c r="T584" s="355"/>
      <c r="V584" s="111"/>
      <c r="Y584" s="541"/>
      <c r="AB584" s="428"/>
      <c r="AC584" s="454"/>
      <c r="AD584" s="455"/>
      <c r="AE584" s="166"/>
      <c r="AF584" s="169"/>
      <c r="AG584" s="172"/>
      <c r="AH584" s="150"/>
      <c r="AI584" s="137"/>
      <c r="AJ584" s="188"/>
      <c r="AK584" s="137"/>
      <c r="AL584" s="833"/>
      <c r="AM584" s="833"/>
    </row>
    <row r="585" spans="2:39" s="30" customFormat="1" x14ac:dyDescent="0.25">
      <c r="B585" s="27"/>
      <c r="D585" s="81"/>
      <c r="E585" s="45"/>
      <c r="F585" s="524"/>
      <c r="G585" s="49"/>
      <c r="H585" s="45"/>
      <c r="I585" s="314"/>
      <c r="J585" s="44"/>
      <c r="K585" s="311"/>
      <c r="L585" s="232"/>
      <c r="M585" s="225"/>
      <c r="N585" s="380"/>
      <c r="O585" s="45"/>
      <c r="P585" s="311"/>
      <c r="Q585" s="149"/>
      <c r="R585" s="293"/>
      <c r="S585" s="316"/>
      <c r="T585" s="355"/>
      <c r="V585" s="111"/>
      <c r="Y585" s="541"/>
      <c r="AB585" s="428"/>
      <c r="AC585" s="454"/>
      <c r="AD585" s="455"/>
      <c r="AE585" s="166"/>
      <c r="AF585" s="169"/>
      <c r="AG585" s="172"/>
      <c r="AH585" s="150"/>
      <c r="AI585" s="137"/>
      <c r="AJ585" s="188"/>
      <c r="AK585" s="137"/>
      <c r="AL585" s="833"/>
      <c r="AM585" s="833"/>
    </row>
    <row r="586" spans="2:39" s="30" customFormat="1" x14ac:dyDescent="0.25">
      <c r="B586" s="27"/>
      <c r="D586" s="81"/>
      <c r="E586" s="45"/>
      <c r="F586" s="524"/>
      <c r="G586" s="49"/>
      <c r="H586" s="45"/>
      <c r="I586" s="314"/>
      <c r="J586" s="44"/>
      <c r="K586" s="311"/>
      <c r="L586" s="232"/>
      <c r="M586" s="225"/>
      <c r="N586" s="380"/>
      <c r="O586" s="45"/>
      <c r="P586" s="311"/>
      <c r="Q586" s="149"/>
      <c r="R586" s="293"/>
      <c r="S586" s="316"/>
      <c r="T586" s="355"/>
      <c r="V586" s="111"/>
      <c r="Y586" s="541"/>
      <c r="AB586" s="428"/>
      <c r="AC586" s="454"/>
      <c r="AD586" s="455"/>
      <c r="AE586" s="166"/>
      <c r="AF586" s="169"/>
      <c r="AG586" s="172"/>
      <c r="AH586" s="150"/>
      <c r="AI586" s="137"/>
      <c r="AJ586" s="188"/>
      <c r="AK586" s="137"/>
      <c r="AL586" s="833"/>
      <c r="AM586" s="833"/>
    </row>
    <row r="587" spans="2:39" s="30" customFormat="1" x14ac:dyDescent="0.25">
      <c r="B587" s="27"/>
      <c r="D587" s="81"/>
      <c r="E587" s="45"/>
      <c r="F587" s="524"/>
      <c r="G587" s="49"/>
      <c r="H587" s="45"/>
      <c r="I587" s="314"/>
      <c r="J587" s="44"/>
      <c r="K587" s="311"/>
      <c r="L587" s="232"/>
      <c r="M587" s="225"/>
      <c r="N587" s="380"/>
      <c r="O587" s="45"/>
      <c r="P587" s="311"/>
      <c r="Q587" s="149"/>
      <c r="R587" s="293"/>
      <c r="S587" s="316"/>
      <c r="T587" s="355"/>
      <c r="V587" s="111"/>
      <c r="Y587" s="541"/>
      <c r="AB587" s="428"/>
      <c r="AC587" s="454"/>
      <c r="AD587" s="455"/>
      <c r="AE587" s="166"/>
      <c r="AF587" s="169"/>
      <c r="AG587" s="172"/>
      <c r="AH587" s="150"/>
      <c r="AI587" s="137"/>
      <c r="AJ587" s="188"/>
      <c r="AK587" s="137"/>
      <c r="AL587" s="833"/>
      <c r="AM587" s="833"/>
    </row>
    <row r="588" spans="2:39" s="30" customFormat="1" x14ac:dyDescent="0.25">
      <c r="B588" s="27"/>
      <c r="D588" s="81"/>
      <c r="E588" s="45"/>
      <c r="F588" s="524"/>
      <c r="G588" s="49"/>
      <c r="H588" s="45"/>
      <c r="I588" s="314"/>
      <c r="J588" s="44"/>
      <c r="K588" s="311"/>
      <c r="L588" s="232"/>
      <c r="M588" s="225"/>
      <c r="N588" s="380"/>
      <c r="O588" s="45"/>
      <c r="P588" s="311"/>
      <c r="Q588" s="149"/>
      <c r="R588" s="293"/>
      <c r="S588" s="316"/>
      <c r="T588" s="355"/>
      <c r="V588" s="111"/>
      <c r="Y588" s="541"/>
      <c r="AB588" s="428"/>
      <c r="AC588" s="454"/>
      <c r="AD588" s="455"/>
      <c r="AE588" s="166"/>
      <c r="AF588" s="169"/>
      <c r="AG588" s="172"/>
      <c r="AH588" s="150"/>
      <c r="AI588" s="137"/>
      <c r="AJ588" s="188"/>
      <c r="AK588" s="137"/>
      <c r="AL588" s="833"/>
      <c r="AM588" s="833"/>
    </row>
    <row r="589" spans="2:39" s="30" customFormat="1" x14ac:dyDescent="0.25">
      <c r="B589" s="27"/>
      <c r="D589" s="81"/>
      <c r="E589" s="45"/>
      <c r="F589" s="524"/>
      <c r="G589" s="49"/>
      <c r="H589" s="45"/>
      <c r="I589" s="314"/>
      <c r="J589" s="44"/>
      <c r="K589" s="311"/>
      <c r="L589" s="232"/>
      <c r="M589" s="225"/>
      <c r="N589" s="380"/>
      <c r="O589" s="45"/>
      <c r="P589" s="311"/>
      <c r="Q589" s="149"/>
      <c r="R589" s="293"/>
      <c r="S589" s="316"/>
      <c r="T589" s="355"/>
      <c r="V589" s="111"/>
      <c r="Y589" s="541"/>
      <c r="AB589" s="428"/>
      <c r="AC589" s="454"/>
      <c r="AD589" s="455"/>
      <c r="AE589" s="166"/>
      <c r="AF589" s="169"/>
      <c r="AG589" s="172"/>
      <c r="AH589" s="150"/>
      <c r="AI589" s="137"/>
      <c r="AJ589" s="188"/>
      <c r="AK589" s="137"/>
      <c r="AL589" s="833"/>
      <c r="AM589" s="833"/>
    </row>
    <row r="590" spans="2:39" s="30" customFormat="1" x14ac:dyDescent="0.25">
      <c r="B590" s="27"/>
      <c r="D590" s="81"/>
      <c r="E590" s="45"/>
      <c r="F590" s="524"/>
      <c r="G590" s="49"/>
      <c r="H590" s="45"/>
      <c r="I590" s="314"/>
      <c r="J590" s="44"/>
      <c r="K590" s="311"/>
      <c r="L590" s="232"/>
      <c r="M590" s="225"/>
      <c r="N590" s="380"/>
      <c r="O590" s="45"/>
      <c r="P590" s="311"/>
      <c r="Q590" s="149"/>
      <c r="R590" s="293"/>
      <c r="S590" s="316"/>
      <c r="T590" s="355"/>
      <c r="V590" s="111"/>
      <c r="Y590" s="541"/>
      <c r="AB590" s="428"/>
      <c r="AC590" s="454"/>
      <c r="AD590" s="455"/>
      <c r="AE590" s="166"/>
      <c r="AF590" s="169"/>
      <c r="AG590" s="172"/>
      <c r="AH590" s="150"/>
      <c r="AI590" s="137"/>
      <c r="AJ590" s="188"/>
      <c r="AK590" s="137"/>
      <c r="AL590" s="833"/>
      <c r="AM590" s="833"/>
    </row>
    <row r="591" spans="2:39" s="30" customFormat="1" x14ac:dyDescent="0.25">
      <c r="B591" s="27"/>
      <c r="D591" s="81"/>
      <c r="E591" s="45"/>
      <c r="F591" s="524"/>
      <c r="G591" s="49"/>
      <c r="H591" s="45"/>
      <c r="I591" s="314"/>
      <c r="J591" s="44"/>
      <c r="K591" s="311"/>
      <c r="L591" s="232"/>
      <c r="M591" s="225"/>
      <c r="N591" s="380"/>
      <c r="O591" s="45"/>
      <c r="P591" s="311"/>
      <c r="Q591" s="149"/>
      <c r="R591" s="293"/>
      <c r="S591" s="316"/>
      <c r="T591" s="355"/>
      <c r="V591" s="111"/>
      <c r="Y591" s="541"/>
      <c r="AB591" s="428"/>
      <c r="AC591" s="454"/>
      <c r="AD591" s="455"/>
      <c r="AE591" s="166"/>
      <c r="AF591" s="169"/>
      <c r="AG591" s="172"/>
      <c r="AH591" s="150"/>
      <c r="AI591" s="137"/>
      <c r="AJ591" s="188"/>
      <c r="AK591" s="137"/>
      <c r="AL591" s="833"/>
      <c r="AM591" s="833"/>
    </row>
    <row r="592" spans="2:39" s="30" customFormat="1" x14ac:dyDescent="0.25">
      <c r="B592" s="27"/>
      <c r="D592" s="81"/>
      <c r="E592" s="45"/>
      <c r="F592" s="524"/>
      <c r="G592" s="49"/>
      <c r="H592" s="45"/>
      <c r="I592" s="314"/>
      <c r="J592" s="44"/>
      <c r="K592" s="311"/>
      <c r="L592" s="232"/>
      <c r="M592" s="225"/>
      <c r="N592" s="380"/>
      <c r="O592" s="45"/>
      <c r="P592" s="311"/>
      <c r="Q592" s="149"/>
      <c r="R592" s="293"/>
      <c r="S592" s="316"/>
      <c r="T592" s="355"/>
      <c r="V592" s="111"/>
      <c r="Y592" s="541"/>
      <c r="AB592" s="428"/>
      <c r="AC592" s="454"/>
      <c r="AD592" s="455"/>
      <c r="AE592" s="166"/>
      <c r="AF592" s="169"/>
      <c r="AG592" s="172"/>
      <c r="AH592" s="150"/>
      <c r="AI592" s="137"/>
      <c r="AJ592" s="188"/>
      <c r="AK592" s="137"/>
      <c r="AL592" s="833"/>
      <c r="AM592" s="833"/>
    </row>
    <row r="593" spans="2:39" s="30" customFormat="1" x14ac:dyDescent="0.25">
      <c r="B593" s="27"/>
      <c r="D593" s="81"/>
      <c r="E593" s="45"/>
      <c r="F593" s="524"/>
      <c r="G593" s="49"/>
      <c r="H593" s="45"/>
      <c r="I593" s="314"/>
      <c r="J593" s="44"/>
      <c r="K593" s="311"/>
      <c r="L593" s="232"/>
      <c r="M593" s="225"/>
      <c r="N593" s="380"/>
      <c r="O593" s="45"/>
      <c r="P593" s="311"/>
      <c r="Q593" s="149"/>
      <c r="R593" s="293"/>
      <c r="S593" s="316"/>
      <c r="T593" s="355"/>
      <c r="V593" s="111"/>
      <c r="Y593" s="541"/>
      <c r="AB593" s="428"/>
      <c r="AC593" s="454"/>
      <c r="AD593" s="455"/>
      <c r="AE593" s="166"/>
      <c r="AF593" s="169"/>
      <c r="AG593" s="172"/>
      <c r="AH593" s="150"/>
      <c r="AI593" s="137"/>
      <c r="AJ593" s="188"/>
      <c r="AK593" s="137"/>
      <c r="AL593" s="833"/>
      <c r="AM593" s="833"/>
    </row>
    <row r="594" spans="2:39" s="30" customFormat="1" x14ac:dyDescent="0.25">
      <c r="B594" s="27"/>
      <c r="D594" s="81"/>
      <c r="E594" s="45"/>
      <c r="F594" s="524"/>
      <c r="G594" s="49"/>
      <c r="H594" s="45"/>
      <c r="I594" s="314"/>
      <c r="J594" s="44"/>
      <c r="K594" s="311"/>
      <c r="L594" s="232"/>
      <c r="M594" s="225"/>
      <c r="N594" s="380"/>
      <c r="O594" s="45"/>
      <c r="P594" s="311"/>
      <c r="Q594" s="149"/>
      <c r="R594" s="293"/>
      <c r="S594" s="316"/>
      <c r="T594" s="355"/>
      <c r="V594" s="111"/>
      <c r="Y594" s="541"/>
      <c r="AB594" s="428"/>
      <c r="AC594" s="454"/>
      <c r="AD594" s="455"/>
      <c r="AE594" s="166"/>
      <c r="AF594" s="169"/>
      <c r="AG594" s="172"/>
      <c r="AH594" s="150"/>
      <c r="AI594" s="137"/>
      <c r="AJ594" s="188"/>
      <c r="AK594" s="137"/>
      <c r="AL594" s="833"/>
      <c r="AM594" s="833"/>
    </row>
    <row r="595" spans="2:39" s="30" customFormat="1" x14ac:dyDescent="0.25">
      <c r="B595" s="27"/>
      <c r="D595" s="81"/>
      <c r="E595" s="45"/>
      <c r="F595" s="524"/>
      <c r="G595" s="49"/>
      <c r="H595" s="45"/>
      <c r="I595" s="314"/>
      <c r="J595" s="44"/>
      <c r="K595" s="311"/>
      <c r="L595" s="232"/>
      <c r="M595" s="225"/>
      <c r="N595" s="380"/>
      <c r="O595" s="45"/>
      <c r="P595" s="311"/>
      <c r="Q595" s="149"/>
      <c r="R595" s="293"/>
      <c r="S595" s="316"/>
      <c r="T595" s="355"/>
      <c r="V595" s="111"/>
      <c r="Y595" s="541"/>
      <c r="AB595" s="428"/>
      <c r="AC595" s="454"/>
      <c r="AD595" s="455"/>
      <c r="AE595" s="166"/>
      <c r="AF595" s="169"/>
      <c r="AG595" s="172"/>
      <c r="AH595" s="150"/>
      <c r="AI595" s="137"/>
      <c r="AJ595" s="188"/>
      <c r="AK595" s="137"/>
      <c r="AL595" s="833"/>
      <c r="AM595" s="833"/>
    </row>
    <row r="596" spans="2:39" s="30" customFormat="1" x14ac:dyDescent="0.25">
      <c r="B596" s="27"/>
      <c r="D596" s="81"/>
      <c r="E596" s="45"/>
      <c r="F596" s="524"/>
      <c r="G596" s="49"/>
      <c r="H596" s="45"/>
      <c r="I596" s="314"/>
      <c r="J596" s="44"/>
      <c r="K596" s="311"/>
      <c r="L596" s="232"/>
      <c r="M596" s="225"/>
      <c r="N596" s="380"/>
      <c r="O596" s="45"/>
      <c r="P596" s="311"/>
      <c r="Q596" s="149"/>
      <c r="R596" s="293"/>
      <c r="S596" s="316"/>
      <c r="T596" s="355"/>
      <c r="V596" s="111"/>
      <c r="Y596" s="541"/>
      <c r="AB596" s="428"/>
      <c r="AC596" s="454"/>
      <c r="AD596" s="455"/>
      <c r="AE596" s="166"/>
      <c r="AF596" s="169"/>
      <c r="AG596" s="172"/>
      <c r="AH596" s="150"/>
      <c r="AI596" s="137"/>
      <c r="AJ596" s="188"/>
      <c r="AK596" s="137"/>
      <c r="AL596" s="833"/>
      <c r="AM596" s="833"/>
    </row>
    <row r="597" spans="2:39" s="30" customFormat="1" x14ac:dyDescent="0.25">
      <c r="B597" s="27"/>
      <c r="D597" s="81"/>
      <c r="E597" s="45"/>
      <c r="F597" s="524"/>
      <c r="G597" s="49"/>
      <c r="H597" s="45"/>
      <c r="I597" s="314"/>
      <c r="J597" s="44"/>
      <c r="K597" s="311"/>
      <c r="L597" s="232"/>
      <c r="M597" s="225"/>
      <c r="N597" s="380"/>
      <c r="O597" s="45"/>
      <c r="P597" s="311"/>
      <c r="Q597" s="149"/>
      <c r="R597" s="293"/>
      <c r="S597" s="316"/>
      <c r="T597" s="355"/>
      <c r="V597" s="111"/>
      <c r="Y597" s="541"/>
      <c r="AB597" s="428"/>
      <c r="AC597" s="454"/>
      <c r="AD597" s="455"/>
      <c r="AE597" s="166"/>
      <c r="AF597" s="169"/>
      <c r="AG597" s="172"/>
      <c r="AH597" s="150"/>
      <c r="AI597" s="137"/>
      <c r="AJ597" s="188"/>
      <c r="AK597" s="137"/>
      <c r="AL597" s="833"/>
      <c r="AM597" s="833"/>
    </row>
    <row r="598" spans="2:39" s="30" customFormat="1" x14ac:dyDescent="0.25">
      <c r="B598" s="27"/>
      <c r="D598" s="81"/>
      <c r="E598" s="45"/>
      <c r="F598" s="524"/>
      <c r="G598" s="49"/>
      <c r="H598" s="45"/>
      <c r="I598" s="314"/>
      <c r="J598" s="44"/>
      <c r="K598" s="311"/>
      <c r="L598" s="232"/>
      <c r="M598" s="225"/>
      <c r="N598" s="380"/>
      <c r="O598" s="45"/>
      <c r="P598" s="311"/>
      <c r="Q598" s="149"/>
      <c r="R598" s="293"/>
      <c r="S598" s="316"/>
      <c r="T598" s="355"/>
      <c r="V598" s="111"/>
      <c r="Y598" s="541"/>
      <c r="AB598" s="428"/>
      <c r="AC598" s="454"/>
      <c r="AD598" s="455"/>
      <c r="AE598" s="166"/>
      <c r="AF598" s="169"/>
      <c r="AG598" s="172"/>
      <c r="AH598" s="150"/>
      <c r="AI598" s="137"/>
      <c r="AJ598" s="188"/>
      <c r="AK598" s="137"/>
      <c r="AL598" s="833"/>
      <c r="AM598" s="833"/>
    </row>
    <row r="599" spans="2:39" s="30" customFormat="1" x14ac:dyDescent="0.25">
      <c r="B599" s="27"/>
      <c r="D599" s="81"/>
      <c r="E599" s="45"/>
      <c r="F599" s="524"/>
      <c r="G599" s="49"/>
      <c r="H599" s="45"/>
      <c r="I599" s="314"/>
      <c r="J599" s="44"/>
      <c r="K599" s="311"/>
      <c r="L599" s="232"/>
      <c r="M599" s="225"/>
      <c r="N599" s="380"/>
      <c r="O599" s="45"/>
      <c r="P599" s="311"/>
      <c r="Q599" s="149"/>
      <c r="R599" s="293"/>
      <c r="S599" s="316"/>
      <c r="T599" s="355"/>
      <c r="V599" s="111"/>
      <c r="Y599" s="541"/>
      <c r="AB599" s="428"/>
      <c r="AC599" s="454"/>
      <c r="AD599" s="455"/>
      <c r="AE599" s="166"/>
      <c r="AF599" s="169"/>
      <c r="AG599" s="172"/>
      <c r="AH599" s="150"/>
      <c r="AI599" s="137"/>
      <c r="AJ599" s="188"/>
      <c r="AK599" s="137"/>
      <c r="AL599" s="833"/>
      <c r="AM599" s="833"/>
    </row>
    <row r="600" spans="2:39" s="30" customFormat="1" x14ac:dyDescent="0.25">
      <c r="B600" s="27"/>
      <c r="D600" s="81"/>
      <c r="E600" s="45"/>
      <c r="F600" s="524"/>
      <c r="G600" s="49"/>
      <c r="H600" s="45"/>
      <c r="I600" s="314"/>
      <c r="J600" s="44"/>
      <c r="K600" s="311"/>
      <c r="L600" s="232"/>
      <c r="M600" s="225"/>
      <c r="N600" s="380"/>
      <c r="O600" s="45"/>
      <c r="P600" s="311"/>
      <c r="Q600" s="149"/>
      <c r="R600" s="293"/>
      <c r="S600" s="316"/>
      <c r="T600" s="355"/>
      <c r="V600" s="111"/>
      <c r="Y600" s="541"/>
      <c r="AB600" s="428"/>
      <c r="AC600" s="454"/>
      <c r="AD600" s="455"/>
      <c r="AE600" s="166"/>
      <c r="AF600" s="169"/>
      <c r="AG600" s="172"/>
      <c r="AH600" s="150"/>
      <c r="AI600" s="137"/>
      <c r="AJ600" s="188"/>
      <c r="AK600" s="137"/>
      <c r="AL600" s="833"/>
      <c r="AM600" s="833"/>
    </row>
    <row r="601" spans="2:39" s="30" customFormat="1" x14ac:dyDescent="0.25">
      <c r="B601" s="27"/>
      <c r="D601" s="81"/>
      <c r="E601" s="45"/>
      <c r="F601" s="524"/>
      <c r="G601" s="49"/>
      <c r="H601" s="45"/>
      <c r="I601" s="314"/>
      <c r="J601" s="44"/>
      <c r="K601" s="311"/>
      <c r="L601" s="232"/>
      <c r="M601" s="225"/>
      <c r="N601" s="380"/>
      <c r="O601" s="45"/>
      <c r="P601" s="311"/>
      <c r="Q601" s="149"/>
      <c r="R601" s="293"/>
      <c r="S601" s="316"/>
      <c r="T601" s="355"/>
      <c r="V601" s="111"/>
      <c r="Y601" s="541"/>
      <c r="AB601" s="428"/>
      <c r="AC601" s="454"/>
      <c r="AD601" s="455"/>
      <c r="AE601" s="166"/>
      <c r="AF601" s="169"/>
      <c r="AG601" s="172"/>
      <c r="AH601" s="150"/>
      <c r="AI601" s="137"/>
      <c r="AJ601" s="188"/>
      <c r="AK601" s="137"/>
      <c r="AL601" s="833"/>
      <c r="AM601" s="833"/>
    </row>
    <row r="602" spans="2:39" s="30" customFormat="1" x14ac:dyDescent="0.25">
      <c r="B602" s="27"/>
      <c r="D602" s="81"/>
      <c r="E602" s="45"/>
      <c r="F602" s="524"/>
      <c r="G602" s="49"/>
      <c r="H602" s="45"/>
      <c r="I602" s="314"/>
      <c r="J602" s="44"/>
      <c r="K602" s="311"/>
      <c r="L602" s="232"/>
      <c r="M602" s="225"/>
      <c r="N602" s="380"/>
      <c r="O602" s="45"/>
      <c r="P602" s="311"/>
      <c r="Q602" s="149"/>
      <c r="R602" s="293"/>
      <c r="S602" s="316"/>
      <c r="T602" s="355"/>
      <c r="V602" s="111"/>
      <c r="Y602" s="541"/>
      <c r="AB602" s="428"/>
      <c r="AC602" s="454"/>
      <c r="AD602" s="455"/>
      <c r="AE602" s="166"/>
      <c r="AF602" s="169"/>
      <c r="AG602" s="172"/>
      <c r="AH602" s="150"/>
      <c r="AI602" s="137"/>
      <c r="AJ602" s="188"/>
      <c r="AK602" s="137"/>
      <c r="AL602" s="833"/>
      <c r="AM602" s="833"/>
    </row>
    <row r="603" spans="2:39" s="30" customFormat="1" x14ac:dyDescent="0.25">
      <c r="B603" s="27"/>
      <c r="D603" s="81"/>
      <c r="E603" s="45"/>
      <c r="F603" s="524"/>
      <c r="G603" s="49"/>
      <c r="H603" s="45"/>
      <c r="I603" s="314"/>
      <c r="J603" s="44"/>
      <c r="K603" s="311"/>
      <c r="L603" s="232"/>
      <c r="M603" s="225"/>
      <c r="N603" s="380"/>
      <c r="O603" s="45"/>
      <c r="P603" s="311"/>
      <c r="Q603" s="149"/>
      <c r="R603" s="293"/>
      <c r="S603" s="316"/>
      <c r="T603" s="355"/>
      <c r="V603" s="111"/>
      <c r="Y603" s="541"/>
      <c r="AB603" s="428"/>
      <c r="AC603" s="454"/>
      <c r="AD603" s="455"/>
      <c r="AE603" s="166"/>
      <c r="AF603" s="169"/>
      <c r="AG603" s="172"/>
      <c r="AH603" s="150"/>
      <c r="AI603" s="137"/>
      <c r="AJ603" s="188"/>
      <c r="AK603" s="137"/>
      <c r="AL603" s="833"/>
      <c r="AM603" s="833"/>
    </row>
    <row r="604" spans="2:39" s="30" customFormat="1" x14ac:dyDescent="0.25">
      <c r="B604" s="27"/>
      <c r="D604" s="81"/>
      <c r="E604" s="45"/>
      <c r="F604" s="524"/>
      <c r="G604" s="49"/>
      <c r="H604" s="45"/>
      <c r="I604" s="314"/>
      <c r="J604" s="44"/>
      <c r="K604" s="311"/>
      <c r="L604" s="232"/>
      <c r="M604" s="225"/>
      <c r="N604" s="380"/>
      <c r="O604" s="45"/>
      <c r="P604" s="311"/>
      <c r="Q604" s="149"/>
      <c r="R604" s="293"/>
      <c r="S604" s="316"/>
      <c r="T604" s="355"/>
      <c r="V604" s="111"/>
      <c r="Y604" s="541"/>
      <c r="AB604" s="428"/>
      <c r="AC604" s="454"/>
      <c r="AD604" s="455"/>
      <c r="AE604" s="166"/>
      <c r="AF604" s="169"/>
      <c r="AG604" s="172"/>
      <c r="AH604" s="150"/>
      <c r="AI604" s="137"/>
      <c r="AJ604" s="188"/>
      <c r="AK604" s="137"/>
      <c r="AL604" s="833"/>
      <c r="AM604" s="833"/>
    </row>
    <row r="605" spans="2:39" s="30" customFormat="1" x14ac:dyDescent="0.25">
      <c r="B605" s="27"/>
      <c r="D605" s="81"/>
      <c r="E605" s="45"/>
      <c r="F605" s="524"/>
      <c r="G605" s="49"/>
      <c r="H605" s="45"/>
      <c r="I605" s="314"/>
      <c r="J605" s="44"/>
      <c r="K605" s="311"/>
      <c r="L605" s="232"/>
      <c r="M605" s="225"/>
      <c r="N605" s="380"/>
      <c r="O605" s="45"/>
      <c r="P605" s="311"/>
      <c r="Q605" s="149"/>
      <c r="R605" s="293"/>
      <c r="S605" s="316"/>
      <c r="T605" s="355"/>
      <c r="V605" s="111"/>
      <c r="Y605" s="541"/>
      <c r="AB605" s="428"/>
      <c r="AC605" s="454"/>
      <c r="AD605" s="455"/>
      <c r="AE605" s="166"/>
      <c r="AF605" s="169"/>
      <c r="AG605" s="172"/>
      <c r="AH605" s="150"/>
      <c r="AI605" s="137"/>
      <c r="AJ605" s="188"/>
      <c r="AK605" s="137"/>
      <c r="AL605" s="833"/>
      <c r="AM605" s="833"/>
    </row>
    <row r="606" spans="2:39" s="30" customFormat="1" x14ac:dyDescent="0.25">
      <c r="B606" s="27"/>
      <c r="D606" s="81"/>
      <c r="E606" s="45"/>
      <c r="F606" s="524"/>
      <c r="G606" s="49"/>
      <c r="H606" s="45"/>
      <c r="I606" s="314"/>
      <c r="J606" s="44"/>
      <c r="K606" s="311"/>
      <c r="L606" s="232"/>
      <c r="M606" s="225"/>
      <c r="N606" s="380"/>
      <c r="O606" s="45"/>
      <c r="P606" s="311"/>
      <c r="Q606" s="149"/>
      <c r="R606" s="293"/>
      <c r="S606" s="316"/>
      <c r="T606" s="355"/>
      <c r="V606" s="111"/>
      <c r="Y606" s="541"/>
      <c r="AB606" s="428"/>
      <c r="AC606" s="454"/>
      <c r="AD606" s="455"/>
      <c r="AE606" s="166"/>
      <c r="AF606" s="169"/>
      <c r="AG606" s="172"/>
      <c r="AH606" s="150"/>
      <c r="AI606" s="137"/>
      <c r="AJ606" s="188"/>
      <c r="AK606" s="137"/>
      <c r="AL606" s="833"/>
      <c r="AM606" s="833"/>
    </row>
    <row r="607" spans="2:39" s="30" customFormat="1" x14ac:dyDescent="0.25">
      <c r="B607" s="27"/>
      <c r="D607" s="81"/>
      <c r="E607" s="45"/>
      <c r="F607" s="524"/>
      <c r="G607" s="49"/>
      <c r="H607" s="45"/>
      <c r="I607" s="314"/>
      <c r="J607" s="44"/>
      <c r="K607" s="311"/>
      <c r="L607" s="232"/>
      <c r="M607" s="225"/>
      <c r="N607" s="380"/>
      <c r="O607" s="45"/>
      <c r="P607" s="311"/>
      <c r="Q607" s="149"/>
      <c r="R607" s="293"/>
      <c r="S607" s="316"/>
      <c r="T607" s="355"/>
      <c r="V607" s="111"/>
      <c r="Y607" s="541"/>
      <c r="AB607" s="428"/>
      <c r="AC607" s="454"/>
      <c r="AD607" s="455"/>
      <c r="AE607" s="166"/>
      <c r="AF607" s="169"/>
      <c r="AG607" s="172"/>
      <c r="AH607" s="150"/>
      <c r="AI607" s="137"/>
      <c r="AJ607" s="188"/>
      <c r="AK607" s="137"/>
      <c r="AL607" s="833"/>
      <c r="AM607" s="833"/>
    </row>
    <row r="608" spans="2:39" s="30" customFormat="1" x14ac:dyDescent="0.25">
      <c r="B608" s="27"/>
      <c r="D608" s="81"/>
      <c r="E608" s="45"/>
      <c r="F608" s="524"/>
      <c r="G608" s="49"/>
      <c r="H608" s="45"/>
      <c r="I608" s="314"/>
      <c r="J608" s="44"/>
      <c r="K608" s="311"/>
      <c r="L608" s="232"/>
      <c r="M608" s="225"/>
      <c r="N608" s="380"/>
      <c r="O608" s="45"/>
      <c r="P608" s="311"/>
      <c r="Q608" s="149"/>
      <c r="R608" s="293"/>
      <c r="S608" s="316"/>
      <c r="T608" s="355"/>
      <c r="V608" s="111"/>
      <c r="Y608" s="541"/>
      <c r="AB608" s="428"/>
      <c r="AC608" s="454"/>
      <c r="AD608" s="455"/>
      <c r="AE608" s="166"/>
      <c r="AF608" s="169"/>
      <c r="AG608" s="172"/>
      <c r="AH608" s="150"/>
      <c r="AI608" s="137"/>
      <c r="AJ608" s="188"/>
      <c r="AK608" s="137"/>
      <c r="AL608" s="833"/>
      <c r="AM608" s="833"/>
    </row>
    <row r="609" spans="2:39" s="30" customFormat="1" x14ac:dyDescent="0.25">
      <c r="B609" s="27"/>
      <c r="D609" s="81"/>
      <c r="E609" s="45"/>
      <c r="F609" s="524"/>
      <c r="G609" s="49"/>
      <c r="H609" s="45"/>
      <c r="I609" s="314"/>
      <c r="J609" s="44"/>
      <c r="K609" s="311"/>
      <c r="L609" s="232"/>
      <c r="M609" s="225"/>
      <c r="N609" s="380"/>
      <c r="O609" s="45"/>
      <c r="P609" s="311"/>
      <c r="Q609" s="149"/>
      <c r="R609" s="293"/>
      <c r="S609" s="316"/>
      <c r="T609" s="355"/>
      <c r="V609" s="111"/>
      <c r="Y609" s="541"/>
      <c r="AB609" s="428"/>
      <c r="AC609" s="454"/>
      <c r="AD609" s="455"/>
      <c r="AE609" s="166"/>
      <c r="AF609" s="169"/>
      <c r="AG609" s="172"/>
      <c r="AH609" s="150"/>
      <c r="AI609" s="137"/>
      <c r="AJ609" s="188"/>
      <c r="AK609" s="137"/>
      <c r="AL609" s="833"/>
      <c r="AM609" s="833"/>
    </row>
    <row r="610" spans="2:39" s="30" customFormat="1" x14ac:dyDescent="0.25">
      <c r="B610" s="27"/>
      <c r="D610" s="81"/>
      <c r="E610" s="45"/>
      <c r="F610" s="524"/>
      <c r="G610" s="49"/>
      <c r="H610" s="45"/>
      <c r="I610" s="314"/>
      <c r="J610" s="44"/>
      <c r="K610" s="311"/>
      <c r="L610" s="232"/>
      <c r="M610" s="225"/>
      <c r="N610" s="380"/>
      <c r="O610" s="45"/>
      <c r="P610" s="311"/>
      <c r="Q610" s="149"/>
      <c r="R610" s="293"/>
      <c r="S610" s="316"/>
      <c r="T610" s="355"/>
      <c r="V610" s="111"/>
      <c r="Y610" s="541"/>
      <c r="AB610" s="428"/>
      <c r="AC610" s="454"/>
      <c r="AD610" s="455"/>
      <c r="AE610" s="166"/>
      <c r="AF610" s="169"/>
      <c r="AG610" s="172"/>
      <c r="AH610" s="150"/>
      <c r="AI610" s="137"/>
      <c r="AJ610" s="188"/>
      <c r="AK610" s="137"/>
      <c r="AL610" s="833"/>
      <c r="AM610" s="833"/>
    </row>
    <row r="611" spans="2:39" s="30" customFormat="1" x14ac:dyDescent="0.25">
      <c r="B611" s="27"/>
      <c r="D611" s="81"/>
      <c r="E611" s="45"/>
      <c r="F611" s="524"/>
      <c r="G611" s="49"/>
      <c r="H611" s="45"/>
      <c r="I611" s="314"/>
      <c r="J611" s="44"/>
      <c r="K611" s="311"/>
      <c r="L611" s="232"/>
      <c r="M611" s="225"/>
      <c r="N611" s="380"/>
      <c r="O611" s="45"/>
      <c r="P611" s="311"/>
      <c r="Q611" s="149"/>
      <c r="R611" s="293"/>
      <c r="S611" s="316"/>
      <c r="T611" s="355"/>
      <c r="V611" s="111"/>
      <c r="Y611" s="541"/>
      <c r="AB611" s="428"/>
      <c r="AC611" s="454"/>
      <c r="AD611" s="455"/>
      <c r="AE611" s="166"/>
      <c r="AF611" s="169"/>
      <c r="AG611" s="172"/>
      <c r="AH611" s="150"/>
      <c r="AI611" s="137"/>
      <c r="AJ611" s="188"/>
      <c r="AK611" s="137"/>
      <c r="AL611" s="833"/>
      <c r="AM611" s="833"/>
    </row>
    <row r="612" spans="2:39" s="30" customFormat="1" x14ac:dyDescent="0.25">
      <c r="B612" s="27"/>
      <c r="D612" s="81"/>
      <c r="E612" s="45"/>
      <c r="F612" s="524"/>
      <c r="G612" s="49"/>
      <c r="H612" s="45"/>
      <c r="I612" s="314"/>
      <c r="J612" s="44"/>
      <c r="K612" s="311"/>
      <c r="L612" s="232"/>
      <c r="M612" s="225"/>
      <c r="N612" s="380"/>
      <c r="O612" s="45"/>
      <c r="P612" s="311"/>
      <c r="Q612" s="149"/>
      <c r="R612" s="293"/>
      <c r="S612" s="316"/>
      <c r="T612" s="355"/>
      <c r="V612" s="111"/>
      <c r="Y612" s="541"/>
      <c r="AB612" s="428"/>
      <c r="AC612" s="454"/>
      <c r="AD612" s="455"/>
      <c r="AE612" s="166"/>
      <c r="AF612" s="169"/>
      <c r="AG612" s="172"/>
      <c r="AH612" s="150"/>
      <c r="AI612" s="137"/>
      <c r="AJ612" s="188"/>
      <c r="AK612" s="137"/>
      <c r="AL612" s="833"/>
      <c r="AM612" s="833"/>
    </row>
    <row r="613" spans="2:39" s="30" customFormat="1" x14ac:dyDescent="0.25">
      <c r="B613" s="27"/>
      <c r="D613" s="81"/>
      <c r="E613" s="45"/>
      <c r="F613" s="524"/>
      <c r="G613" s="49"/>
      <c r="H613" s="45"/>
      <c r="I613" s="314"/>
      <c r="J613" s="44"/>
      <c r="K613" s="311"/>
      <c r="L613" s="232"/>
      <c r="M613" s="225"/>
      <c r="N613" s="380"/>
      <c r="O613" s="45"/>
      <c r="P613" s="311"/>
      <c r="Q613" s="149"/>
      <c r="R613" s="293"/>
      <c r="S613" s="316"/>
      <c r="T613" s="355"/>
      <c r="V613" s="111"/>
      <c r="Y613" s="541"/>
      <c r="AB613" s="428"/>
      <c r="AC613" s="454"/>
      <c r="AD613" s="455"/>
      <c r="AE613" s="166"/>
      <c r="AF613" s="169"/>
      <c r="AG613" s="172"/>
      <c r="AH613" s="150"/>
      <c r="AI613" s="137"/>
      <c r="AJ613" s="188"/>
      <c r="AK613" s="137"/>
      <c r="AL613" s="833"/>
      <c r="AM613" s="833"/>
    </row>
    <row r="614" spans="2:39" s="30" customFormat="1" x14ac:dyDescent="0.25">
      <c r="B614" s="27"/>
      <c r="D614" s="81"/>
      <c r="E614" s="45"/>
      <c r="F614" s="524"/>
      <c r="G614" s="49"/>
      <c r="H614" s="45"/>
      <c r="I614" s="314"/>
      <c r="J614" s="44"/>
      <c r="K614" s="311"/>
      <c r="L614" s="232"/>
      <c r="M614" s="225"/>
      <c r="N614" s="380"/>
      <c r="O614" s="45"/>
      <c r="P614" s="311"/>
      <c r="Q614" s="149"/>
      <c r="R614" s="293"/>
      <c r="S614" s="316"/>
      <c r="T614" s="355"/>
      <c r="V614" s="111"/>
      <c r="Y614" s="541"/>
      <c r="AB614" s="428"/>
      <c r="AC614" s="454"/>
      <c r="AD614" s="455"/>
      <c r="AE614" s="166"/>
      <c r="AF614" s="169"/>
      <c r="AG614" s="172"/>
      <c r="AH614" s="150"/>
      <c r="AI614" s="137"/>
      <c r="AJ614" s="188"/>
      <c r="AK614" s="137"/>
      <c r="AL614" s="833"/>
      <c r="AM614" s="833"/>
    </row>
    <row r="615" spans="2:39" s="30" customFormat="1" x14ac:dyDescent="0.25">
      <c r="B615" s="27"/>
      <c r="D615" s="81"/>
      <c r="E615" s="45"/>
      <c r="F615" s="524"/>
      <c r="G615" s="49"/>
      <c r="H615" s="45"/>
      <c r="I615" s="314"/>
      <c r="J615" s="44"/>
      <c r="K615" s="311"/>
      <c r="L615" s="232"/>
      <c r="M615" s="225"/>
      <c r="N615" s="380"/>
      <c r="O615" s="45"/>
      <c r="P615" s="311"/>
      <c r="Q615" s="149"/>
      <c r="R615" s="293"/>
      <c r="S615" s="316"/>
      <c r="T615" s="355"/>
      <c r="V615" s="111"/>
      <c r="Y615" s="541"/>
      <c r="AB615" s="428"/>
      <c r="AC615" s="454"/>
      <c r="AD615" s="455"/>
      <c r="AE615" s="166"/>
      <c r="AF615" s="169"/>
      <c r="AG615" s="172"/>
      <c r="AH615" s="150"/>
      <c r="AI615" s="137"/>
      <c r="AJ615" s="188"/>
      <c r="AK615" s="137"/>
      <c r="AL615" s="833"/>
      <c r="AM615" s="833"/>
    </row>
    <row r="616" spans="2:39" s="30" customFormat="1" x14ac:dyDescent="0.25">
      <c r="B616" s="27"/>
      <c r="D616" s="81"/>
      <c r="E616" s="45"/>
      <c r="F616" s="524"/>
      <c r="G616" s="49"/>
      <c r="H616" s="45"/>
      <c r="I616" s="314"/>
      <c r="J616" s="44"/>
      <c r="K616" s="311"/>
      <c r="L616" s="232"/>
      <c r="M616" s="225"/>
      <c r="N616" s="380"/>
      <c r="O616" s="45"/>
      <c r="P616" s="311"/>
      <c r="Q616" s="149"/>
      <c r="R616" s="293"/>
      <c r="S616" s="316"/>
      <c r="T616" s="355"/>
      <c r="V616" s="111"/>
      <c r="Y616" s="541"/>
      <c r="AB616" s="428"/>
      <c r="AC616" s="454"/>
      <c r="AD616" s="455"/>
      <c r="AE616" s="166"/>
      <c r="AF616" s="169"/>
      <c r="AG616" s="172"/>
      <c r="AH616" s="150"/>
      <c r="AI616" s="137"/>
      <c r="AJ616" s="188"/>
      <c r="AK616" s="137"/>
      <c r="AL616" s="833"/>
      <c r="AM616" s="833"/>
    </row>
    <row r="617" spans="2:39" s="30" customFormat="1" x14ac:dyDescent="0.25">
      <c r="B617" s="27"/>
      <c r="D617" s="81"/>
      <c r="E617" s="45"/>
      <c r="F617" s="524"/>
      <c r="G617" s="49"/>
      <c r="H617" s="45"/>
      <c r="I617" s="314"/>
      <c r="J617" s="44"/>
      <c r="K617" s="311"/>
      <c r="L617" s="232"/>
      <c r="M617" s="225"/>
      <c r="N617" s="380"/>
      <c r="O617" s="45"/>
      <c r="P617" s="311"/>
      <c r="Q617" s="149"/>
      <c r="R617" s="293"/>
      <c r="S617" s="316"/>
      <c r="T617" s="355"/>
      <c r="V617" s="111"/>
      <c r="Y617" s="541"/>
      <c r="AB617" s="428"/>
      <c r="AC617" s="454"/>
      <c r="AD617" s="455"/>
      <c r="AE617" s="166"/>
      <c r="AF617" s="169"/>
      <c r="AG617" s="172"/>
      <c r="AH617" s="150"/>
      <c r="AI617" s="137"/>
      <c r="AJ617" s="188"/>
      <c r="AK617" s="137"/>
      <c r="AL617" s="833"/>
      <c r="AM617" s="833"/>
    </row>
    <row r="618" spans="2:39" s="30" customFormat="1" x14ac:dyDescent="0.25">
      <c r="B618" s="27"/>
      <c r="D618" s="81"/>
      <c r="E618" s="45"/>
      <c r="F618" s="524"/>
      <c r="G618" s="49"/>
      <c r="H618" s="45"/>
      <c r="I618" s="314"/>
      <c r="J618" s="44"/>
      <c r="K618" s="311"/>
      <c r="L618" s="232"/>
      <c r="M618" s="225"/>
      <c r="N618" s="380"/>
      <c r="O618" s="45"/>
      <c r="P618" s="311"/>
      <c r="Q618" s="149"/>
      <c r="R618" s="293"/>
      <c r="S618" s="316"/>
      <c r="T618" s="355"/>
      <c r="V618" s="111"/>
      <c r="Y618" s="541"/>
      <c r="AB618" s="428"/>
      <c r="AC618" s="454"/>
      <c r="AD618" s="455"/>
      <c r="AE618" s="166"/>
      <c r="AF618" s="169"/>
      <c r="AG618" s="172"/>
      <c r="AH618" s="150"/>
      <c r="AI618" s="137"/>
      <c r="AJ618" s="188"/>
      <c r="AK618" s="137"/>
      <c r="AL618" s="833"/>
      <c r="AM618" s="833"/>
    </row>
    <row r="619" spans="2:39" s="30" customFormat="1" x14ac:dyDescent="0.25">
      <c r="B619" s="27"/>
      <c r="D619" s="81"/>
      <c r="E619" s="45"/>
      <c r="F619" s="524"/>
      <c r="G619" s="49"/>
      <c r="H619" s="45"/>
      <c r="I619" s="314"/>
      <c r="J619" s="44"/>
      <c r="K619" s="311"/>
      <c r="L619" s="232"/>
      <c r="M619" s="225"/>
      <c r="N619" s="380"/>
      <c r="O619" s="45"/>
      <c r="P619" s="311"/>
      <c r="Q619" s="149"/>
      <c r="R619" s="293"/>
      <c r="S619" s="316"/>
      <c r="T619" s="355"/>
      <c r="V619" s="111"/>
      <c r="Y619" s="541"/>
      <c r="AB619" s="428"/>
      <c r="AC619" s="454"/>
      <c r="AD619" s="455"/>
      <c r="AE619" s="166"/>
      <c r="AF619" s="169"/>
      <c r="AG619" s="172"/>
      <c r="AH619" s="150"/>
      <c r="AI619" s="137"/>
      <c r="AJ619" s="188"/>
      <c r="AK619" s="137"/>
      <c r="AL619" s="833"/>
      <c r="AM619" s="833"/>
    </row>
    <row r="620" spans="2:39" s="30" customFormat="1" x14ac:dyDescent="0.25">
      <c r="B620" s="27"/>
      <c r="D620" s="81"/>
      <c r="E620" s="45"/>
      <c r="F620" s="524"/>
      <c r="G620" s="49"/>
      <c r="H620" s="45"/>
      <c r="I620" s="314"/>
      <c r="J620" s="44"/>
      <c r="K620" s="311"/>
      <c r="L620" s="232"/>
      <c r="M620" s="225"/>
      <c r="N620" s="380"/>
      <c r="O620" s="45"/>
      <c r="P620" s="311"/>
      <c r="Q620" s="149"/>
      <c r="R620" s="293"/>
      <c r="S620" s="316"/>
      <c r="T620" s="355"/>
      <c r="V620" s="111"/>
      <c r="Y620" s="541"/>
      <c r="AB620" s="428"/>
      <c r="AC620" s="454"/>
      <c r="AD620" s="455"/>
      <c r="AE620" s="166"/>
      <c r="AF620" s="169"/>
      <c r="AG620" s="172"/>
      <c r="AH620" s="150"/>
      <c r="AI620" s="137"/>
      <c r="AJ620" s="188"/>
      <c r="AK620" s="137"/>
      <c r="AL620" s="833"/>
      <c r="AM620" s="833"/>
    </row>
    <row r="621" spans="2:39" s="30" customFormat="1" x14ac:dyDescent="0.25">
      <c r="B621" s="27"/>
      <c r="D621" s="81"/>
      <c r="E621" s="45"/>
      <c r="F621" s="524"/>
      <c r="G621" s="49"/>
      <c r="H621" s="45"/>
      <c r="I621" s="314"/>
      <c r="J621" s="44"/>
      <c r="K621" s="311"/>
      <c r="L621" s="232"/>
      <c r="M621" s="225"/>
      <c r="N621" s="380"/>
      <c r="O621" s="45"/>
      <c r="P621" s="311"/>
      <c r="Q621" s="149"/>
      <c r="R621" s="293"/>
      <c r="S621" s="316"/>
      <c r="T621" s="355"/>
      <c r="V621" s="111"/>
      <c r="Y621" s="541"/>
      <c r="AB621" s="428"/>
      <c r="AC621" s="454"/>
      <c r="AD621" s="455"/>
      <c r="AE621" s="166"/>
      <c r="AF621" s="169"/>
      <c r="AG621" s="172"/>
      <c r="AH621" s="150"/>
      <c r="AI621" s="137"/>
      <c r="AJ621" s="188"/>
      <c r="AK621" s="137"/>
      <c r="AL621" s="833"/>
      <c r="AM621" s="833"/>
    </row>
    <row r="622" spans="2:39" s="30" customFormat="1" x14ac:dyDescent="0.25">
      <c r="B622" s="27"/>
      <c r="D622" s="81"/>
      <c r="E622" s="45"/>
      <c r="F622" s="524"/>
      <c r="G622" s="49"/>
      <c r="H622" s="45"/>
      <c r="I622" s="314"/>
      <c r="J622" s="44"/>
      <c r="K622" s="311"/>
      <c r="L622" s="232"/>
      <c r="M622" s="225"/>
      <c r="N622" s="380"/>
      <c r="O622" s="45"/>
      <c r="P622" s="311"/>
      <c r="Q622" s="149"/>
      <c r="R622" s="293"/>
      <c r="S622" s="316"/>
      <c r="T622" s="355"/>
      <c r="V622" s="111"/>
      <c r="Y622" s="541"/>
      <c r="AB622" s="428"/>
      <c r="AC622" s="454"/>
      <c r="AD622" s="455"/>
      <c r="AE622" s="166"/>
      <c r="AF622" s="169"/>
      <c r="AG622" s="172"/>
      <c r="AH622" s="150"/>
      <c r="AI622" s="137"/>
      <c r="AJ622" s="188"/>
      <c r="AK622" s="137"/>
      <c r="AL622" s="833"/>
      <c r="AM622" s="833"/>
    </row>
    <row r="623" spans="2:39" s="30" customFormat="1" x14ac:dyDescent="0.25">
      <c r="B623" s="27"/>
      <c r="D623" s="81"/>
      <c r="E623" s="45"/>
      <c r="F623" s="524"/>
      <c r="G623" s="49"/>
      <c r="H623" s="45"/>
      <c r="I623" s="314"/>
      <c r="J623" s="44"/>
      <c r="K623" s="311"/>
      <c r="L623" s="232"/>
      <c r="M623" s="225"/>
      <c r="N623" s="380"/>
      <c r="O623" s="45"/>
      <c r="P623" s="311"/>
      <c r="Q623" s="149"/>
      <c r="R623" s="293"/>
      <c r="S623" s="316"/>
      <c r="T623" s="355"/>
      <c r="V623" s="111"/>
      <c r="Y623" s="541"/>
      <c r="AB623" s="428"/>
      <c r="AC623" s="454"/>
      <c r="AD623" s="455"/>
      <c r="AE623" s="166"/>
      <c r="AF623" s="169"/>
      <c r="AG623" s="172"/>
      <c r="AH623" s="150"/>
      <c r="AI623" s="137"/>
      <c r="AJ623" s="188"/>
      <c r="AK623" s="137"/>
      <c r="AL623" s="833"/>
      <c r="AM623" s="833"/>
    </row>
    <row r="624" spans="2:39" s="30" customFormat="1" x14ac:dyDescent="0.25">
      <c r="B624" s="27"/>
      <c r="D624" s="81"/>
      <c r="E624" s="45"/>
      <c r="F624" s="524"/>
      <c r="G624" s="49"/>
      <c r="H624" s="45"/>
      <c r="I624" s="314"/>
      <c r="J624" s="44"/>
      <c r="K624" s="311"/>
      <c r="L624" s="232"/>
      <c r="M624" s="225"/>
      <c r="N624" s="380"/>
      <c r="O624" s="45"/>
      <c r="P624" s="311"/>
      <c r="Q624" s="149"/>
      <c r="R624" s="293"/>
      <c r="S624" s="316"/>
      <c r="T624" s="355"/>
      <c r="V624" s="111"/>
      <c r="Y624" s="541"/>
      <c r="AB624" s="428"/>
      <c r="AC624" s="454"/>
      <c r="AD624" s="455"/>
      <c r="AE624" s="166"/>
      <c r="AF624" s="169"/>
      <c r="AG624" s="172"/>
      <c r="AH624" s="150"/>
      <c r="AI624" s="137"/>
      <c r="AJ624" s="188"/>
      <c r="AK624" s="137"/>
      <c r="AL624" s="833"/>
      <c r="AM624" s="833"/>
    </row>
    <row r="625" spans="2:39" s="30" customFormat="1" x14ac:dyDescent="0.25">
      <c r="B625" s="27"/>
      <c r="D625" s="81"/>
      <c r="E625" s="45"/>
      <c r="F625" s="524"/>
      <c r="G625" s="49"/>
      <c r="H625" s="45"/>
      <c r="I625" s="314"/>
      <c r="J625" s="44"/>
      <c r="K625" s="311"/>
      <c r="L625" s="232"/>
      <c r="M625" s="225"/>
      <c r="N625" s="380"/>
      <c r="O625" s="45"/>
      <c r="P625" s="311"/>
      <c r="Q625" s="149"/>
      <c r="R625" s="293"/>
      <c r="S625" s="316"/>
      <c r="T625" s="355"/>
      <c r="V625" s="111"/>
      <c r="Y625" s="541"/>
      <c r="AB625" s="428"/>
      <c r="AC625" s="454"/>
      <c r="AD625" s="455"/>
      <c r="AE625" s="166"/>
      <c r="AF625" s="169"/>
      <c r="AG625" s="172"/>
      <c r="AH625" s="150"/>
      <c r="AI625" s="137"/>
      <c r="AJ625" s="188"/>
      <c r="AK625" s="137"/>
      <c r="AL625" s="833"/>
      <c r="AM625" s="833"/>
    </row>
    <row r="626" spans="2:39" s="30" customFormat="1" x14ac:dyDescent="0.25">
      <c r="B626" s="27"/>
      <c r="D626" s="81"/>
      <c r="E626" s="45"/>
      <c r="F626" s="524"/>
      <c r="G626" s="49"/>
      <c r="H626" s="45"/>
      <c r="I626" s="314"/>
      <c r="J626" s="44"/>
      <c r="K626" s="311"/>
      <c r="L626" s="232"/>
      <c r="M626" s="225"/>
      <c r="N626" s="380"/>
      <c r="O626" s="45"/>
      <c r="P626" s="311"/>
      <c r="Q626" s="149"/>
      <c r="R626" s="293"/>
      <c r="S626" s="316"/>
      <c r="T626" s="355"/>
      <c r="V626" s="111"/>
      <c r="Y626" s="541"/>
      <c r="AB626" s="428"/>
      <c r="AC626" s="454"/>
      <c r="AD626" s="455"/>
      <c r="AE626" s="166"/>
      <c r="AF626" s="169"/>
      <c r="AG626" s="172"/>
      <c r="AH626" s="150"/>
      <c r="AI626" s="137"/>
      <c r="AJ626" s="188"/>
      <c r="AK626" s="137"/>
      <c r="AL626" s="833"/>
      <c r="AM626" s="833"/>
    </row>
    <row r="627" spans="2:39" s="30" customFormat="1" x14ac:dyDescent="0.25">
      <c r="B627" s="27"/>
      <c r="D627" s="81"/>
      <c r="E627" s="45"/>
      <c r="F627" s="524"/>
      <c r="G627" s="49"/>
      <c r="H627" s="45"/>
      <c r="I627" s="314"/>
      <c r="J627" s="44"/>
      <c r="K627" s="311"/>
      <c r="L627" s="232"/>
      <c r="M627" s="225"/>
      <c r="N627" s="380"/>
      <c r="O627" s="45"/>
      <c r="P627" s="311"/>
      <c r="Q627" s="149"/>
      <c r="R627" s="293"/>
      <c r="S627" s="316"/>
      <c r="T627" s="355"/>
      <c r="V627" s="111"/>
      <c r="Y627" s="541"/>
      <c r="AB627" s="428"/>
      <c r="AC627" s="454"/>
      <c r="AD627" s="455"/>
      <c r="AE627" s="166"/>
      <c r="AF627" s="169"/>
      <c r="AG627" s="172"/>
      <c r="AH627" s="150"/>
      <c r="AI627" s="137"/>
      <c r="AJ627" s="188"/>
      <c r="AK627" s="137"/>
      <c r="AL627" s="833"/>
      <c r="AM627" s="833"/>
    </row>
    <row r="628" spans="2:39" s="30" customFormat="1" x14ac:dyDescent="0.25">
      <c r="B628" s="27"/>
      <c r="D628" s="81"/>
      <c r="E628" s="45"/>
      <c r="F628" s="524"/>
      <c r="G628" s="49"/>
      <c r="H628" s="45"/>
      <c r="I628" s="314"/>
      <c r="J628" s="44"/>
      <c r="K628" s="311"/>
      <c r="L628" s="232"/>
      <c r="M628" s="225"/>
      <c r="N628" s="380"/>
      <c r="O628" s="45"/>
      <c r="P628" s="311"/>
      <c r="Q628" s="149"/>
      <c r="R628" s="293"/>
      <c r="S628" s="316"/>
      <c r="T628" s="355"/>
      <c r="V628" s="111"/>
      <c r="Y628" s="541"/>
      <c r="AB628" s="428"/>
      <c r="AC628" s="454"/>
      <c r="AD628" s="455"/>
      <c r="AE628" s="166"/>
      <c r="AF628" s="169"/>
      <c r="AG628" s="172"/>
      <c r="AH628" s="150"/>
      <c r="AI628" s="137"/>
      <c r="AJ628" s="188"/>
      <c r="AK628" s="137"/>
      <c r="AL628" s="833"/>
      <c r="AM628" s="833"/>
    </row>
    <row r="629" spans="2:39" s="30" customFormat="1" x14ac:dyDescent="0.25">
      <c r="B629" s="27"/>
      <c r="D629" s="81"/>
      <c r="E629" s="45"/>
      <c r="F629" s="524"/>
      <c r="G629" s="49"/>
      <c r="H629" s="45"/>
      <c r="I629" s="314"/>
      <c r="J629" s="44"/>
      <c r="K629" s="311"/>
      <c r="L629" s="232"/>
      <c r="M629" s="225"/>
      <c r="N629" s="380"/>
      <c r="O629" s="45"/>
      <c r="P629" s="311"/>
      <c r="Q629" s="149"/>
      <c r="R629" s="293"/>
      <c r="S629" s="316"/>
      <c r="T629" s="355"/>
      <c r="V629" s="111"/>
      <c r="Y629" s="541"/>
      <c r="AB629" s="428"/>
      <c r="AC629" s="454"/>
      <c r="AD629" s="455"/>
      <c r="AE629" s="166"/>
      <c r="AF629" s="169"/>
      <c r="AG629" s="172"/>
      <c r="AH629" s="150"/>
      <c r="AI629" s="137"/>
      <c r="AJ629" s="188"/>
      <c r="AK629" s="137"/>
      <c r="AL629" s="833"/>
      <c r="AM629" s="833"/>
    </row>
    <row r="630" spans="2:39" s="30" customFormat="1" x14ac:dyDescent="0.25">
      <c r="B630" s="27"/>
      <c r="D630" s="81"/>
      <c r="E630" s="45"/>
      <c r="F630" s="524"/>
      <c r="G630" s="49"/>
      <c r="H630" s="45"/>
      <c r="I630" s="314"/>
      <c r="J630" s="44"/>
      <c r="K630" s="311"/>
      <c r="L630" s="232"/>
      <c r="M630" s="225"/>
      <c r="N630" s="380"/>
      <c r="O630" s="45"/>
      <c r="P630" s="311"/>
      <c r="Q630" s="149"/>
      <c r="R630" s="293"/>
      <c r="S630" s="316"/>
      <c r="T630" s="355"/>
      <c r="V630" s="111"/>
      <c r="Y630" s="541"/>
      <c r="AB630" s="428"/>
      <c r="AC630" s="454"/>
      <c r="AD630" s="455"/>
      <c r="AE630" s="166"/>
      <c r="AF630" s="169"/>
      <c r="AG630" s="172"/>
      <c r="AH630" s="150"/>
      <c r="AI630" s="137"/>
      <c r="AJ630" s="188"/>
      <c r="AK630" s="137"/>
      <c r="AL630" s="833"/>
      <c r="AM630" s="833"/>
    </row>
    <row r="631" spans="2:39" s="30" customFormat="1" x14ac:dyDescent="0.25">
      <c r="B631" s="27"/>
      <c r="D631" s="81"/>
      <c r="E631" s="45"/>
      <c r="F631" s="524"/>
      <c r="G631" s="49"/>
      <c r="H631" s="45"/>
      <c r="I631" s="314"/>
      <c r="J631" s="44"/>
      <c r="K631" s="311"/>
      <c r="L631" s="232"/>
      <c r="M631" s="225"/>
      <c r="N631" s="380"/>
      <c r="O631" s="45"/>
      <c r="P631" s="311"/>
      <c r="Q631" s="149"/>
      <c r="R631" s="293"/>
      <c r="S631" s="316"/>
      <c r="T631" s="355"/>
      <c r="V631" s="111"/>
      <c r="Y631" s="541"/>
      <c r="AB631" s="428"/>
      <c r="AC631" s="454"/>
      <c r="AD631" s="455"/>
      <c r="AE631" s="166"/>
      <c r="AF631" s="169"/>
      <c r="AG631" s="172"/>
      <c r="AH631" s="150"/>
      <c r="AI631" s="137"/>
      <c r="AJ631" s="188"/>
      <c r="AK631" s="137"/>
      <c r="AL631" s="833"/>
      <c r="AM631" s="833"/>
    </row>
    <row r="632" spans="2:39" s="30" customFormat="1" x14ac:dyDescent="0.25">
      <c r="B632" s="27"/>
      <c r="D632" s="81"/>
      <c r="E632" s="45"/>
      <c r="F632" s="524"/>
      <c r="G632" s="49"/>
      <c r="H632" s="45"/>
      <c r="I632" s="314"/>
      <c r="J632" s="44"/>
      <c r="K632" s="311"/>
      <c r="L632" s="232"/>
      <c r="M632" s="225"/>
      <c r="N632" s="380"/>
      <c r="O632" s="45"/>
      <c r="P632" s="311"/>
      <c r="Q632" s="149"/>
      <c r="R632" s="293"/>
      <c r="S632" s="316"/>
      <c r="T632" s="355"/>
      <c r="V632" s="111"/>
      <c r="Y632" s="541"/>
      <c r="AB632" s="428"/>
      <c r="AC632" s="454"/>
      <c r="AD632" s="455"/>
      <c r="AE632" s="166"/>
      <c r="AF632" s="169"/>
      <c r="AG632" s="172"/>
      <c r="AH632" s="150"/>
      <c r="AI632" s="137"/>
      <c r="AJ632" s="188"/>
      <c r="AK632" s="137"/>
      <c r="AL632" s="833"/>
      <c r="AM632" s="833"/>
    </row>
    <row r="633" spans="2:39" s="30" customFormat="1" x14ac:dyDescent="0.25">
      <c r="B633" s="27"/>
      <c r="D633" s="81"/>
      <c r="E633" s="45"/>
      <c r="F633" s="524"/>
      <c r="G633" s="49"/>
      <c r="H633" s="45"/>
      <c r="I633" s="314"/>
      <c r="J633" s="44"/>
      <c r="K633" s="311"/>
      <c r="L633" s="232"/>
      <c r="M633" s="225"/>
      <c r="N633" s="380"/>
      <c r="O633" s="45"/>
      <c r="P633" s="311"/>
      <c r="Q633" s="149"/>
      <c r="R633" s="293"/>
      <c r="S633" s="316"/>
      <c r="T633" s="355"/>
      <c r="V633" s="111"/>
      <c r="Y633" s="541"/>
      <c r="AB633" s="428"/>
      <c r="AC633" s="454"/>
      <c r="AD633" s="455"/>
      <c r="AE633" s="166"/>
      <c r="AF633" s="169"/>
      <c r="AG633" s="172"/>
      <c r="AH633" s="150"/>
      <c r="AI633" s="137"/>
      <c r="AJ633" s="188"/>
      <c r="AK633" s="137"/>
      <c r="AL633" s="833"/>
      <c r="AM633" s="833"/>
    </row>
    <row r="634" spans="2:39" s="30" customFormat="1" x14ac:dyDescent="0.25">
      <c r="B634" s="27"/>
      <c r="D634" s="81"/>
      <c r="E634" s="45"/>
      <c r="F634" s="524"/>
      <c r="G634" s="49"/>
      <c r="H634" s="45"/>
      <c r="I634" s="314"/>
      <c r="J634" s="44"/>
      <c r="K634" s="311"/>
      <c r="L634" s="232"/>
      <c r="M634" s="225"/>
      <c r="N634" s="380"/>
      <c r="O634" s="45"/>
      <c r="P634" s="311"/>
      <c r="Q634" s="149"/>
      <c r="R634" s="293"/>
      <c r="S634" s="316"/>
      <c r="T634" s="355"/>
      <c r="V634" s="111"/>
      <c r="Y634" s="541"/>
      <c r="AB634" s="428"/>
      <c r="AC634" s="454"/>
      <c r="AD634" s="455"/>
      <c r="AE634" s="166"/>
      <c r="AF634" s="169"/>
      <c r="AG634" s="172"/>
      <c r="AH634" s="150"/>
      <c r="AI634" s="137"/>
      <c r="AJ634" s="188"/>
      <c r="AK634" s="137"/>
      <c r="AL634" s="833"/>
      <c r="AM634" s="833"/>
    </row>
    <row r="635" spans="2:39" s="30" customFormat="1" x14ac:dyDescent="0.25">
      <c r="B635" s="27"/>
      <c r="D635" s="81"/>
      <c r="E635" s="45"/>
      <c r="F635" s="524"/>
      <c r="G635" s="49"/>
      <c r="H635" s="45"/>
      <c r="I635" s="314"/>
      <c r="J635" s="44"/>
      <c r="K635" s="311"/>
      <c r="L635" s="232"/>
      <c r="M635" s="225"/>
      <c r="N635" s="380"/>
      <c r="O635" s="45"/>
      <c r="P635" s="311"/>
      <c r="Q635" s="149"/>
      <c r="R635" s="293"/>
      <c r="S635" s="316"/>
      <c r="T635" s="355"/>
      <c r="V635" s="111"/>
      <c r="Y635" s="541"/>
      <c r="AB635" s="428"/>
      <c r="AC635" s="454"/>
      <c r="AD635" s="455"/>
      <c r="AE635" s="166"/>
      <c r="AF635" s="169"/>
      <c r="AG635" s="172"/>
      <c r="AH635" s="150"/>
      <c r="AI635" s="137"/>
      <c r="AJ635" s="188"/>
      <c r="AK635" s="137"/>
      <c r="AL635" s="833"/>
      <c r="AM635" s="833"/>
    </row>
    <row r="636" spans="2:39" s="30" customFormat="1" x14ac:dyDescent="0.25">
      <c r="B636" s="27"/>
      <c r="D636" s="81"/>
      <c r="E636" s="45"/>
      <c r="F636" s="524"/>
      <c r="G636" s="49"/>
      <c r="H636" s="45"/>
      <c r="I636" s="314"/>
      <c r="J636" s="44"/>
      <c r="K636" s="311"/>
      <c r="L636" s="232"/>
      <c r="M636" s="225"/>
      <c r="N636" s="380"/>
      <c r="O636" s="45"/>
      <c r="P636" s="311"/>
      <c r="Q636" s="149"/>
      <c r="R636" s="293"/>
      <c r="S636" s="316"/>
      <c r="T636" s="355"/>
      <c r="V636" s="111"/>
      <c r="Y636" s="541"/>
      <c r="AB636" s="428"/>
      <c r="AC636" s="454"/>
      <c r="AD636" s="455"/>
      <c r="AE636" s="166"/>
      <c r="AF636" s="169"/>
      <c r="AG636" s="172"/>
      <c r="AH636" s="150"/>
      <c r="AI636" s="137"/>
      <c r="AJ636" s="188"/>
      <c r="AK636" s="137"/>
      <c r="AL636" s="833"/>
      <c r="AM636" s="833"/>
    </row>
    <row r="637" spans="2:39" s="30" customFormat="1" x14ac:dyDescent="0.25">
      <c r="B637" s="27"/>
      <c r="D637" s="81"/>
      <c r="E637" s="45"/>
      <c r="F637" s="524"/>
      <c r="G637" s="49"/>
      <c r="H637" s="45"/>
      <c r="I637" s="314"/>
      <c r="J637" s="44"/>
      <c r="K637" s="311"/>
      <c r="L637" s="232"/>
      <c r="M637" s="225"/>
      <c r="N637" s="380"/>
      <c r="O637" s="45"/>
      <c r="P637" s="311"/>
      <c r="Q637" s="149"/>
      <c r="R637" s="293"/>
      <c r="S637" s="316"/>
      <c r="T637" s="355"/>
      <c r="V637" s="111"/>
      <c r="Y637" s="541"/>
      <c r="AB637" s="428"/>
      <c r="AC637" s="454"/>
      <c r="AD637" s="455"/>
      <c r="AE637" s="166"/>
      <c r="AF637" s="169"/>
      <c r="AG637" s="172"/>
      <c r="AH637" s="150"/>
      <c r="AI637" s="137"/>
      <c r="AJ637" s="188"/>
      <c r="AK637" s="137"/>
      <c r="AL637" s="833"/>
      <c r="AM637" s="833"/>
    </row>
    <row r="638" spans="2:39" s="30" customFormat="1" x14ac:dyDescent="0.25">
      <c r="B638" s="27"/>
      <c r="D638" s="81"/>
      <c r="E638" s="45"/>
      <c r="F638" s="524"/>
      <c r="G638" s="49"/>
      <c r="H638" s="45"/>
      <c r="I638" s="314"/>
      <c r="J638" s="44"/>
      <c r="K638" s="311"/>
      <c r="L638" s="232"/>
      <c r="M638" s="225"/>
      <c r="N638" s="380"/>
      <c r="O638" s="45"/>
      <c r="P638" s="311"/>
      <c r="Q638" s="149"/>
      <c r="R638" s="293"/>
      <c r="S638" s="316"/>
      <c r="T638" s="355"/>
      <c r="V638" s="111"/>
      <c r="Y638" s="541"/>
      <c r="AB638" s="428"/>
      <c r="AC638" s="454"/>
      <c r="AD638" s="455"/>
      <c r="AE638" s="166"/>
      <c r="AF638" s="169"/>
      <c r="AG638" s="172"/>
      <c r="AH638" s="150"/>
      <c r="AI638" s="137"/>
      <c r="AJ638" s="188"/>
      <c r="AK638" s="137"/>
      <c r="AL638" s="833"/>
      <c r="AM638" s="833"/>
    </row>
    <row r="639" spans="2:39" s="30" customFormat="1" x14ac:dyDescent="0.25">
      <c r="B639" s="27"/>
      <c r="D639" s="81"/>
      <c r="E639" s="45"/>
      <c r="F639" s="524"/>
      <c r="G639" s="49"/>
      <c r="H639" s="45"/>
      <c r="I639" s="314"/>
      <c r="J639" s="44"/>
      <c r="K639" s="311"/>
      <c r="L639" s="232"/>
      <c r="M639" s="225"/>
      <c r="N639" s="380"/>
      <c r="O639" s="45"/>
      <c r="P639" s="311"/>
      <c r="Q639" s="149"/>
      <c r="R639" s="293"/>
      <c r="S639" s="316"/>
      <c r="T639" s="355"/>
      <c r="V639" s="111"/>
      <c r="Y639" s="541"/>
      <c r="AB639" s="428"/>
      <c r="AC639" s="454"/>
      <c r="AD639" s="455"/>
      <c r="AE639" s="166"/>
      <c r="AF639" s="169"/>
      <c r="AG639" s="172"/>
      <c r="AH639" s="150"/>
      <c r="AI639" s="137"/>
      <c r="AJ639" s="188"/>
      <c r="AK639" s="137"/>
      <c r="AL639" s="833"/>
      <c r="AM639" s="833"/>
    </row>
    <row r="640" spans="2:39" s="30" customFormat="1" x14ac:dyDescent="0.25">
      <c r="B640" s="27"/>
      <c r="D640" s="81"/>
      <c r="E640" s="45"/>
      <c r="F640" s="524"/>
      <c r="G640" s="49"/>
      <c r="H640" s="45"/>
      <c r="I640" s="314"/>
      <c r="J640" s="44"/>
      <c r="K640" s="311"/>
      <c r="L640" s="232"/>
      <c r="M640" s="225"/>
      <c r="N640" s="380"/>
      <c r="O640" s="45"/>
      <c r="P640" s="311"/>
      <c r="Q640" s="149"/>
      <c r="R640" s="293"/>
      <c r="S640" s="316"/>
      <c r="T640" s="355"/>
      <c r="V640" s="111"/>
      <c r="Y640" s="541"/>
      <c r="AB640" s="428"/>
      <c r="AC640" s="454"/>
      <c r="AD640" s="455"/>
      <c r="AE640" s="166"/>
      <c r="AF640" s="169"/>
      <c r="AG640" s="172"/>
      <c r="AH640" s="150"/>
      <c r="AI640" s="137"/>
      <c r="AJ640" s="188"/>
      <c r="AK640" s="137"/>
      <c r="AL640" s="833"/>
      <c r="AM640" s="833"/>
    </row>
    <row r="641" spans="2:39" s="30" customFormat="1" x14ac:dyDescent="0.25">
      <c r="B641" s="27"/>
      <c r="D641" s="81"/>
      <c r="E641" s="45"/>
      <c r="F641" s="524"/>
      <c r="G641" s="49"/>
      <c r="H641" s="45"/>
      <c r="I641" s="314"/>
      <c r="J641" s="44"/>
      <c r="K641" s="311"/>
      <c r="L641" s="232"/>
      <c r="M641" s="225"/>
      <c r="N641" s="380"/>
      <c r="O641" s="45"/>
      <c r="P641" s="311"/>
      <c r="Q641" s="149"/>
      <c r="R641" s="293"/>
      <c r="S641" s="316"/>
      <c r="T641" s="355"/>
      <c r="V641" s="111"/>
      <c r="Y641" s="541"/>
      <c r="AB641" s="428"/>
      <c r="AC641" s="454"/>
      <c r="AD641" s="455"/>
      <c r="AE641" s="166"/>
      <c r="AF641" s="169"/>
      <c r="AG641" s="172"/>
      <c r="AH641" s="150"/>
      <c r="AI641" s="137"/>
      <c r="AJ641" s="188"/>
      <c r="AK641" s="137"/>
      <c r="AL641" s="833"/>
      <c r="AM641" s="833"/>
    </row>
    <row r="642" spans="2:39" s="30" customFormat="1" x14ac:dyDescent="0.25">
      <c r="B642" s="27"/>
      <c r="D642" s="81"/>
      <c r="E642" s="45"/>
      <c r="F642" s="524"/>
      <c r="G642" s="49"/>
      <c r="H642" s="45"/>
      <c r="I642" s="314"/>
      <c r="J642" s="44"/>
      <c r="K642" s="311"/>
      <c r="L642" s="232"/>
      <c r="M642" s="225"/>
      <c r="N642" s="380"/>
      <c r="O642" s="45"/>
      <c r="P642" s="311"/>
      <c r="Q642" s="149"/>
      <c r="R642" s="293"/>
      <c r="S642" s="316"/>
      <c r="T642" s="355"/>
      <c r="V642" s="111"/>
      <c r="Y642" s="541"/>
      <c r="AB642" s="428"/>
      <c r="AC642" s="454"/>
      <c r="AD642" s="455"/>
      <c r="AE642" s="166"/>
      <c r="AF642" s="169"/>
      <c r="AG642" s="172"/>
      <c r="AH642" s="150"/>
      <c r="AI642" s="137"/>
      <c r="AJ642" s="188"/>
      <c r="AK642" s="137"/>
      <c r="AL642" s="833"/>
      <c r="AM642" s="833"/>
    </row>
    <row r="643" spans="2:39" s="30" customFormat="1" x14ac:dyDescent="0.25">
      <c r="B643" s="27"/>
      <c r="D643" s="81"/>
      <c r="E643" s="45"/>
      <c r="F643" s="524"/>
      <c r="G643" s="49"/>
      <c r="H643" s="45"/>
      <c r="I643" s="314"/>
      <c r="J643" s="44"/>
      <c r="K643" s="311"/>
      <c r="L643" s="232"/>
      <c r="M643" s="225"/>
      <c r="N643" s="380"/>
      <c r="O643" s="45"/>
      <c r="P643" s="311"/>
      <c r="Q643" s="149"/>
      <c r="R643" s="293"/>
      <c r="S643" s="316"/>
      <c r="T643" s="355"/>
      <c r="V643" s="111"/>
      <c r="Y643" s="541"/>
      <c r="AB643" s="428"/>
      <c r="AC643" s="454"/>
      <c r="AD643" s="455"/>
      <c r="AE643" s="166"/>
      <c r="AF643" s="169"/>
      <c r="AG643" s="172"/>
      <c r="AH643" s="150"/>
      <c r="AI643" s="137"/>
      <c r="AJ643" s="188"/>
      <c r="AK643" s="137"/>
      <c r="AL643" s="833"/>
      <c r="AM643" s="833"/>
    </row>
    <row r="644" spans="2:39" s="30" customFormat="1" x14ac:dyDescent="0.25">
      <c r="B644" s="27"/>
      <c r="D644" s="81"/>
      <c r="E644" s="45"/>
      <c r="F644" s="524"/>
      <c r="G644" s="49"/>
      <c r="H644" s="45"/>
      <c r="I644" s="314"/>
      <c r="J644" s="44"/>
      <c r="K644" s="311"/>
      <c r="L644" s="232"/>
      <c r="M644" s="225"/>
      <c r="N644" s="380"/>
      <c r="O644" s="45"/>
      <c r="P644" s="311"/>
      <c r="Q644" s="149"/>
      <c r="R644" s="293"/>
      <c r="S644" s="316"/>
      <c r="T644" s="355"/>
      <c r="V644" s="111"/>
      <c r="Y644" s="541"/>
      <c r="AB644" s="428"/>
      <c r="AC644" s="454"/>
      <c r="AD644" s="455"/>
      <c r="AE644" s="166"/>
      <c r="AF644" s="169"/>
      <c r="AG644" s="172"/>
      <c r="AH644" s="150"/>
      <c r="AI644" s="137"/>
      <c r="AJ644" s="188"/>
      <c r="AK644" s="137"/>
      <c r="AL644" s="833"/>
      <c r="AM644" s="833"/>
    </row>
    <row r="645" spans="2:39" s="30" customFormat="1" x14ac:dyDescent="0.25">
      <c r="B645" s="27"/>
      <c r="D645" s="81"/>
      <c r="E645" s="45"/>
      <c r="F645" s="524"/>
      <c r="G645" s="49"/>
      <c r="H645" s="45"/>
      <c r="I645" s="314"/>
      <c r="J645" s="44"/>
      <c r="K645" s="311"/>
      <c r="L645" s="232"/>
      <c r="M645" s="225"/>
      <c r="N645" s="380"/>
      <c r="O645" s="45"/>
      <c r="P645" s="311"/>
      <c r="Q645" s="149"/>
      <c r="R645" s="293"/>
      <c r="S645" s="316"/>
      <c r="T645" s="355"/>
      <c r="V645" s="111"/>
      <c r="Y645" s="541"/>
      <c r="AB645" s="428"/>
      <c r="AC645" s="454"/>
      <c r="AD645" s="455"/>
      <c r="AE645" s="166"/>
      <c r="AF645" s="169"/>
      <c r="AG645" s="172"/>
      <c r="AH645" s="150"/>
      <c r="AI645" s="137"/>
      <c r="AJ645" s="188"/>
      <c r="AK645" s="137"/>
      <c r="AL645" s="833"/>
      <c r="AM645" s="833"/>
    </row>
    <row r="646" spans="2:39" s="30" customFormat="1" x14ac:dyDescent="0.25">
      <c r="B646" s="27"/>
      <c r="D646" s="81"/>
      <c r="E646" s="45"/>
      <c r="F646" s="524"/>
      <c r="G646" s="49"/>
      <c r="H646" s="45"/>
      <c r="I646" s="314"/>
      <c r="J646" s="44"/>
      <c r="K646" s="311"/>
      <c r="L646" s="232"/>
      <c r="M646" s="225"/>
      <c r="N646" s="380"/>
      <c r="O646" s="45"/>
      <c r="P646" s="311"/>
      <c r="Q646" s="149"/>
      <c r="R646" s="293"/>
      <c r="S646" s="316"/>
      <c r="T646" s="355"/>
      <c r="V646" s="111"/>
      <c r="Y646" s="541"/>
      <c r="AB646" s="428"/>
      <c r="AC646" s="454"/>
      <c r="AD646" s="455"/>
      <c r="AE646" s="166"/>
      <c r="AF646" s="169"/>
      <c r="AG646" s="172"/>
      <c r="AH646" s="150"/>
      <c r="AI646" s="137"/>
      <c r="AJ646" s="188"/>
      <c r="AK646" s="137"/>
      <c r="AL646" s="833"/>
      <c r="AM646" s="833"/>
    </row>
    <row r="647" spans="2:39" s="30" customFormat="1" x14ac:dyDescent="0.25">
      <c r="B647" s="27"/>
      <c r="D647" s="81"/>
      <c r="E647" s="45"/>
      <c r="F647" s="524"/>
      <c r="G647" s="49"/>
      <c r="H647" s="45"/>
      <c r="I647" s="314"/>
      <c r="J647" s="44"/>
      <c r="K647" s="311"/>
      <c r="L647" s="232"/>
      <c r="M647" s="225"/>
      <c r="N647" s="380"/>
      <c r="O647" s="45"/>
      <c r="P647" s="311"/>
      <c r="Q647" s="149"/>
      <c r="R647" s="293"/>
      <c r="S647" s="316"/>
      <c r="T647" s="355"/>
      <c r="V647" s="111"/>
      <c r="Y647" s="541"/>
      <c r="AB647" s="428"/>
      <c r="AC647" s="454"/>
      <c r="AD647" s="455"/>
      <c r="AE647" s="166"/>
      <c r="AF647" s="169"/>
      <c r="AG647" s="172"/>
      <c r="AH647" s="150"/>
      <c r="AI647" s="137"/>
      <c r="AJ647" s="188"/>
      <c r="AK647" s="137"/>
      <c r="AL647" s="833"/>
      <c r="AM647" s="833"/>
    </row>
    <row r="648" spans="2:39" s="30" customFormat="1" x14ac:dyDescent="0.25">
      <c r="B648" s="27"/>
      <c r="D648" s="81"/>
      <c r="E648" s="45"/>
      <c r="F648" s="524"/>
      <c r="G648" s="49"/>
      <c r="H648" s="45"/>
      <c r="I648" s="314"/>
      <c r="J648" s="44"/>
      <c r="K648" s="311"/>
      <c r="L648" s="232"/>
      <c r="M648" s="225"/>
      <c r="N648" s="380"/>
      <c r="O648" s="45"/>
      <c r="P648" s="311"/>
      <c r="Q648" s="149"/>
      <c r="R648" s="293"/>
      <c r="S648" s="316"/>
      <c r="T648" s="355"/>
      <c r="V648" s="111"/>
      <c r="Y648" s="541"/>
      <c r="AB648" s="428"/>
      <c r="AC648" s="454"/>
      <c r="AD648" s="455"/>
      <c r="AE648" s="166"/>
      <c r="AF648" s="169"/>
      <c r="AG648" s="172"/>
      <c r="AH648" s="150"/>
      <c r="AI648" s="137"/>
      <c r="AJ648" s="188"/>
      <c r="AK648" s="137"/>
      <c r="AL648" s="833"/>
      <c r="AM648" s="833"/>
    </row>
    <row r="649" spans="2:39" s="30" customFormat="1" x14ac:dyDescent="0.25">
      <c r="B649" s="27"/>
      <c r="D649" s="81"/>
      <c r="E649" s="45"/>
      <c r="F649" s="524"/>
      <c r="G649" s="49"/>
      <c r="H649" s="45"/>
      <c r="I649" s="314"/>
      <c r="J649" s="44"/>
      <c r="K649" s="311"/>
      <c r="L649" s="232"/>
      <c r="M649" s="225"/>
      <c r="N649" s="380"/>
      <c r="O649" s="45"/>
      <c r="P649" s="311"/>
      <c r="Q649" s="149"/>
      <c r="R649" s="293"/>
      <c r="S649" s="316"/>
      <c r="T649" s="355"/>
      <c r="V649" s="111"/>
      <c r="Y649" s="541"/>
      <c r="AB649" s="428"/>
      <c r="AC649" s="454"/>
      <c r="AD649" s="455"/>
      <c r="AE649" s="166"/>
      <c r="AF649" s="169"/>
      <c r="AG649" s="172"/>
      <c r="AH649" s="150"/>
      <c r="AI649" s="137"/>
      <c r="AJ649" s="188"/>
      <c r="AK649" s="137"/>
      <c r="AL649" s="833"/>
      <c r="AM649" s="833"/>
    </row>
    <row r="650" spans="2:39" s="30" customFormat="1" x14ac:dyDescent="0.25">
      <c r="B650" s="27"/>
      <c r="D650" s="81"/>
      <c r="E650" s="45"/>
      <c r="F650" s="524"/>
      <c r="G650" s="49"/>
      <c r="H650" s="45"/>
      <c r="I650" s="314"/>
      <c r="J650" s="44"/>
      <c r="K650" s="311"/>
      <c r="L650" s="232"/>
      <c r="M650" s="225"/>
      <c r="N650" s="380"/>
      <c r="O650" s="45"/>
      <c r="P650" s="311"/>
      <c r="Q650" s="149"/>
      <c r="R650" s="293"/>
      <c r="S650" s="316"/>
      <c r="T650" s="355"/>
      <c r="V650" s="111"/>
      <c r="Y650" s="541"/>
      <c r="AB650" s="428"/>
      <c r="AC650" s="454"/>
      <c r="AD650" s="455"/>
      <c r="AE650" s="166"/>
      <c r="AF650" s="169"/>
      <c r="AG650" s="172"/>
      <c r="AH650" s="150"/>
      <c r="AI650" s="137"/>
      <c r="AJ650" s="188"/>
      <c r="AK650" s="137"/>
      <c r="AL650" s="833"/>
      <c r="AM650" s="833"/>
    </row>
    <row r="651" spans="2:39" s="30" customFormat="1" x14ac:dyDescent="0.25">
      <c r="B651" s="27"/>
      <c r="D651" s="81"/>
      <c r="E651" s="45"/>
      <c r="F651" s="524"/>
      <c r="G651" s="49"/>
      <c r="H651" s="45"/>
      <c r="I651" s="314"/>
      <c r="J651" s="44"/>
      <c r="K651" s="311"/>
      <c r="L651" s="232"/>
      <c r="M651" s="225"/>
      <c r="N651" s="380"/>
      <c r="O651" s="45"/>
      <c r="P651" s="311"/>
      <c r="Q651" s="149"/>
      <c r="R651" s="293"/>
      <c r="S651" s="316"/>
      <c r="T651" s="355"/>
      <c r="V651" s="111"/>
      <c r="Y651" s="541"/>
      <c r="AB651" s="428"/>
      <c r="AC651" s="454"/>
      <c r="AD651" s="455"/>
      <c r="AE651" s="166"/>
      <c r="AF651" s="169"/>
      <c r="AG651" s="172"/>
      <c r="AH651" s="150"/>
      <c r="AI651" s="137"/>
      <c r="AJ651" s="188"/>
      <c r="AK651" s="137"/>
      <c r="AL651" s="833"/>
      <c r="AM651" s="833"/>
    </row>
    <row r="652" spans="2:39" s="30" customFormat="1" x14ac:dyDescent="0.25">
      <c r="B652" s="27"/>
      <c r="D652" s="81"/>
      <c r="E652" s="45"/>
      <c r="F652" s="524"/>
      <c r="G652" s="49"/>
      <c r="H652" s="45"/>
      <c r="I652" s="314"/>
      <c r="J652" s="44"/>
      <c r="K652" s="311"/>
      <c r="L652" s="232"/>
      <c r="M652" s="225"/>
      <c r="N652" s="380"/>
      <c r="O652" s="45"/>
      <c r="P652" s="311"/>
      <c r="Q652" s="149"/>
      <c r="R652" s="293"/>
      <c r="S652" s="316"/>
      <c r="T652" s="355"/>
      <c r="V652" s="111"/>
      <c r="Y652" s="541"/>
      <c r="AB652" s="428"/>
      <c r="AC652" s="454"/>
      <c r="AD652" s="455"/>
      <c r="AE652" s="166"/>
      <c r="AF652" s="169"/>
      <c r="AG652" s="172"/>
      <c r="AH652" s="150"/>
      <c r="AI652" s="137"/>
      <c r="AJ652" s="188"/>
      <c r="AK652" s="137"/>
      <c r="AL652" s="833"/>
      <c r="AM652" s="833"/>
    </row>
    <row r="653" spans="2:39" s="30" customFormat="1" x14ac:dyDescent="0.25">
      <c r="B653" s="27"/>
      <c r="D653" s="81"/>
      <c r="E653" s="45"/>
      <c r="F653" s="524"/>
      <c r="G653" s="49"/>
      <c r="H653" s="45"/>
      <c r="I653" s="314"/>
      <c r="J653" s="44"/>
      <c r="K653" s="311"/>
      <c r="L653" s="232"/>
      <c r="M653" s="225"/>
      <c r="N653" s="380"/>
      <c r="O653" s="45"/>
      <c r="P653" s="311"/>
      <c r="Q653" s="149"/>
      <c r="R653" s="293"/>
      <c r="S653" s="316"/>
      <c r="T653" s="355"/>
      <c r="V653" s="111"/>
      <c r="Y653" s="541"/>
      <c r="AB653" s="428"/>
      <c r="AC653" s="454"/>
      <c r="AD653" s="455"/>
      <c r="AE653" s="166"/>
      <c r="AF653" s="169"/>
      <c r="AG653" s="172"/>
      <c r="AH653" s="150"/>
      <c r="AI653" s="137"/>
      <c r="AJ653" s="188"/>
      <c r="AK653" s="137"/>
      <c r="AL653" s="833"/>
      <c r="AM653" s="833"/>
    </row>
    <row r="654" spans="2:39" s="30" customFormat="1" x14ac:dyDescent="0.25">
      <c r="B654" s="27"/>
      <c r="D654" s="81"/>
      <c r="E654" s="45"/>
      <c r="F654" s="524"/>
      <c r="G654" s="49"/>
      <c r="H654" s="45"/>
      <c r="I654" s="314"/>
      <c r="J654" s="44"/>
      <c r="K654" s="311"/>
      <c r="L654" s="232"/>
      <c r="M654" s="225"/>
      <c r="N654" s="380"/>
      <c r="O654" s="45"/>
      <c r="P654" s="311"/>
      <c r="Q654" s="149"/>
      <c r="R654" s="293"/>
      <c r="S654" s="316"/>
      <c r="T654" s="355"/>
      <c r="V654" s="111"/>
      <c r="Y654" s="541"/>
      <c r="AB654" s="428"/>
      <c r="AC654" s="454"/>
      <c r="AD654" s="455"/>
      <c r="AE654" s="166"/>
      <c r="AF654" s="169"/>
      <c r="AG654" s="172"/>
      <c r="AH654" s="150"/>
      <c r="AI654" s="137"/>
      <c r="AJ654" s="188"/>
      <c r="AK654" s="137"/>
      <c r="AL654" s="833"/>
      <c r="AM654" s="833"/>
    </row>
    <row r="655" spans="2:39" s="30" customFormat="1" x14ac:dyDescent="0.25">
      <c r="B655" s="27"/>
      <c r="D655" s="81"/>
      <c r="E655" s="45"/>
      <c r="F655" s="524"/>
      <c r="G655" s="49"/>
      <c r="H655" s="45"/>
      <c r="I655" s="314"/>
      <c r="J655" s="44"/>
      <c r="K655" s="311"/>
      <c r="L655" s="232"/>
      <c r="M655" s="225"/>
      <c r="N655" s="380"/>
      <c r="O655" s="45"/>
      <c r="P655" s="311"/>
      <c r="Q655" s="149"/>
      <c r="R655" s="293"/>
      <c r="S655" s="316"/>
      <c r="T655" s="355"/>
      <c r="V655" s="111"/>
      <c r="Y655" s="541"/>
      <c r="AB655" s="428"/>
      <c r="AC655" s="454"/>
      <c r="AD655" s="455"/>
      <c r="AE655" s="166"/>
      <c r="AF655" s="169"/>
      <c r="AG655" s="172"/>
      <c r="AH655" s="150"/>
      <c r="AI655" s="137"/>
      <c r="AJ655" s="188"/>
      <c r="AK655" s="137"/>
      <c r="AL655" s="833"/>
      <c r="AM655" s="833"/>
    </row>
    <row r="656" spans="2:39" s="30" customFormat="1" x14ac:dyDescent="0.25">
      <c r="B656" s="27"/>
      <c r="D656" s="81"/>
      <c r="E656" s="45"/>
      <c r="F656" s="524"/>
      <c r="G656" s="49"/>
      <c r="H656" s="45"/>
      <c r="I656" s="314"/>
      <c r="J656" s="44"/>
      <c r="K656" s="311"/>
      <c r="L656" s="232"/>
      <c r="M656" s="225"/>
      <c r="N656" s="380"/>
      <c r="O656" s="45"/>
      <c r="P656" s="311"/>
      <c r="Q656" s="149"/>
      <c r="R656" s="293"/>
      <c r="S656" s="316"/>
      <c r="T656" s="355"/>
      <c r="V656" s="111"/>
      <c r="Y656" s="541"/>
      <c r="AB656" s="428"/>
      <c r="AC656" s="454"/>
      <c r="AD656" s="455"/>
      <c r="AE656" s="166"/>
      <c r="AF656" s="169"/>
      <c r="AG656" s="172"/>
      <c r="AH656" s="150"/>
      <c r="AI656" s="137"/>
      <c r="AJ656" s="188"/>
      <c r="AK656" s="137"/>
      <c r="AL656" s="833"/>
      <c r="AM656" s="833"/>
    </row>
    <row r="657" spans="2:39" s="30" customFormat="1" x14ac:dyDescent="0.25">
      <c r="B657" s="27"/>
      <c r="D657" s="81"/>
      <c r="E657" s="45"/>
      <c r="F657" s="524"/>
      <c r="G657" s="49"/>
      <c r="H657" s="45"/>
      <c r="I657" s="314"/>
      <c r="J657" s="44"/>
      <c r="K657" s="311"/>
      <c r="L657" s="232"/>
      <c r="M657" s="225"/>
      <c r="N657" s="380"/>
      <c r="O657" s="45"/>
      <c r="P657" s="311"/>
      <c r="Q657" s="149"/>
      <c r="R657" s="293"/>
      <c r="S657" s="316"/>
      <c r="T657" s="355"/>
      <c r="V657" s="111"/>
      <c r="Y657" s="541"/>
      <c r="AB657" s="428"/>
      <c r="AC657" s="454"/>
      <c r="AD657" s="455"/>
      <c r="AE657" s="166"/>
      <c r="AF657" s="169"/>
      <c r="AG657" s="172"/>
      <c r="AH657" s="150"/>
      <c r="AI657" s="137"/>
      <c r="AJ657" s="188"/>
      <c r="AK657" s="137"/>
      <c r="AL657" s="833"/>
      <c r="AM657" s="833"/>
    </row>
    <row r="658" spans="2:39" s="30" customFormat="1" x14ac:dyDescent="0.25">
      <c r="B658" s="27"/>
      <c r="D658" s="81"/>
      <c r="E658" s="45"/>
      <c r="F658" s="524"/>
      <c r="G658" s="49"/>
      <c r="H658" s="45"/>
      <c r="I658" s="314"/>
      <c r="J658" s="44"/>
      <c r="K658" s="311"/>
      <c r="L658" s="232"/>
      <c r="M658" s="225"/>
      <c r="N658" s="380"/>
      <c r="O658" s="45"/>
      <c r="P658" s="311"/>
      <c r="Q658" s="149"/>
      <c r="R658" s="293"/>
      <c r="S658" s="316"/>
      <c r="T658" s="355"/>
      <c r="V658" s="111"/>
      <c r="Y658" s="541"/>
      <c r="AB658" s="428"/>
      <c r="AC658" s="454"/>
      <c r="AD658" s="455"/>
      <c r="AE658" s="166"/>
      <c r="AF658" s="169"/>
      <c r="AG658" s="172"/>
      <c r="AH658" s="150"/>
      <c r="AI658" s="137"/>
      <c r="AJ658" s="188"/>
      <c r="AK658" s="137"/>
      <c r="AL658" s="833"/>
      <c r="AM658" s="833"/>
    </row>
    <row r="659" spans="2:39" s="30" customFormat="1" x14ac:dyDescent="0.25">
      <c r="B659" s="27"/>
      <c r="D659" s="81"/>
      <c r="E659" s="45"/>
      <c r="F659" s="524"/>
      <c r="G659" s="49"/>
      <c r="H659" s="45"/>
      <c r="I659" s="314"/>
      <c r="J659" s="44"/>
      <c r="K659" s="311"/>
      <c r="L659" s="232"/>
      <c r="M659" s="225"/>
      <c r="N659" s="380"/>
      <c r="O659" s="45"/>
      <c r="P659" s="311"/>
      <c r="Q659" s="149"/>
      <c r="R659" s="293"/>
      <c r="S659" s="316"/>
      <c r="T659" s="355"/>
      <c r="V659" s="111"/>
      <c r="Y659" s="541"/>
      <c r="AB659" s="428"/>
      <c r="AC659" s="454"/>
      <c r="AD659" s="455"/>
      <c r="AE659" s="166"/>
      <c r="AF659" s="169"/>
      <c r="AG659" s="172"/>
      <c r="AH659" s="150"/>
      <c r="AI659" s="137"/>
      <c r="AJ659" s="188"/>
      <c r="AK659" s="137"/>
      <c r="AL659" s="833"/>
      <c r="AM659" s="833"/>
    </row>
    <row r="660" spans="2:39" s="30" customFormat="1" x14ac:dyDescent="0.25">
      <c r="B660" s="27"/>
      <c r="D660" s="81"/>
      <c r="E660" s="45"/>
      <c r="F660" s="524"/>
      <c r="G660" s="49"/>
      <c r="H660" s="45"/>
      <c r="I660" s="314"/>
      <c r="J660" s="44"/>
      <c r="K660" s="311"/>
      <c r="L660" s="232"/>
      <c r="M660" s="225"/>
      <c r="N660" s="380"/>
      <c r="O660" s="45"/>
      <c r="P660" s="311"/>
      <c r="Q660" s="149"/>
      <c r="R660" s="293"/>
      <c r="S660" s="316"/>
      <c r="T660" s="355"/>
      <c r="V660" s="111"/>
      <c r="Y660" s="541"/>
      <c r="AB660" s="428"/>
      <c r="AC660" s="454"/>
      <c r="AD660" s="455"/>
      <c r="AE660" s="166"/>
      <c r="AF660" s="169"/>
      <c r="AG660" s="172"/>
      <c r="AH660" s="150"/>
      <c r="AI660" s="137"/>
      <c r="AJ660" s="188"/>
      <c r="AK660" s="137"/>
      <c r="AL660" s="833"/>
      <c r="AM660" s="833"/>
    </row>
    <row r="661" spans="2:39" s="30" customFormat="1" x14ac:dyDescent="0.25">
      <c r="B661" s="27"/>
      <c r="D661" s="81"/>
      <c r="E661" s="45"/>
      <c r="F661" s="524"/>
      <c r="G661" s="49"/>
      <c r="H661" s="45"/>
      <c r="I661" s="314"/>
      <c r="J661" s="44"/>
      <c r="K661" s="311"/>
      <c r="L661" s="232"/>
      <c r="M661" s="225"/>
      <c r="N661" s="380"/>
      <c r="O661" s="45"/>
      <c r="P661" s="311"/>
      <c r="Q661" s="149"/>
      <c r="R661" s="293"/>
      <c r="S661" s="316"/>
      <c r="T661" s="355"/>
      <c r="V661" s="111"/>
      <c r="Y661" s="541"/>
      <c r="AB661" s="428"/>
      <c r="AC661" s="454"/>
      <c r="AD661" s="455"/>
      <c r="AE661" s="166"/>
      <c r="AF661" s="169"/>
      <c r="AG661" s="172"/>
      <c r="AH661" s="150"/>
      <c r="AI661" s="137"/>
      <c r="AJ661" s="188"/>
      <c r="AK661" s="137"/>
      <c r="AL661" s="833"/>
      <c r="AM661" s="833"/>
    </row>
    <row r="662" spans="2:39" s="30" customFormat="1" x14ac:dyDescent="0.25">
      <c r="B662" s="27"/>
      <c r="D662" s="81"/>
      <c r="E662" s="45"/>
      <c r="F662" s="524"/>
      <c r="G662" s="49"/>
      <c r="H662" s="45"/>
      <c r="I662" s="314"/>
      <c r="J662" s="44"/>
      <c r="K662" s="311"/>
      <c r="L662" s="232"/>
      <c r="M662" s="225"/>
      <c r="N662" s="380"/>
      <c r="O662" s="45"/>
      <c r="P662" s="311"/>
      <c r="Q662" s="149"/>
      <c r="R662" s="293"/>
      <c r="S662" s="316"/>
      <c r="T662" s="355"/>
      <c r="V662" s="111"/>
      <c r="Y662" s="541"/>
      <c r="AB662" s="428"/>
      <c r="AC662" s="454"/>
      <c r="AD662" s="455"/>
      <c r="AE662" s="166"/>
      <c r="AF662" s="169"/>
      <c r="AG662" s="172"/>
      <c r="AH662" s="150"/>
      <c r="AI662" s="137"/>
      <c r="AJ662" s="188"/>
      <c r="AK662" s="137"/>
      <c r="AL662" s="833"/>
      <c r="AM662" s="833"/>
    </row>
    <row r="663" spans="2:39" s="30" customFormat="1" x14ac:dyDescent="0.25">
      <c r="B663" s="27"/>
      <c r="D663" s="81"/>
      <c r="E663" s="45"/>
      <c r="F663" s="524"/>
      <c r="G663" s="49"/>
      <c r="H663" s="45"/>
      <c r="I663" s="314"/>
      <c r="J663" s="44"/>
      <c r="K663" s="311"/>
      <c r="L663" s="232"/>
      <c r="M663" s="225"/>
      <c r="N663" s="380"/>
      <c r="O663" s="45"/>
      <c r="P663" s="311"/>
      <c r="Q663" s="149"/>
      <c r="R663" s="293"/>
      <c r="S663" s="316"/>
      <c r="T663" s="355"/>
      <c r="V663" s="111"/>
      <c r="Y663" s="541"/>
      <c r="AB663" s="428"/>
      <c r="AC663" s="454"/>
      <c r="AD663" s="455"/>
      <c r="AE663" s="166"/>
      <c r="AF663" s="169"/>
      <c r="AG663" s="172"/>
      <c r="AH663" s="150"/>
      <c r="AI663" s="137"/>
      <c r="AJ663" s="188"/>
      <c r="AK663" s="137"/>
      <c r="AL663" s="833"/>
      <c r="AM663" s="833"/>
    </row>
    <row r="664" spans="2:39" s="30" customFormat="1" x14ac:dyDescent="0.25">
      <c r="B664" s="27"/>
      <c r="D664" s="81"/>
      <c r="E664" s="45"/>
      <c r="F664" s="524"/>
      <c r="G664" s="49"/>
      <c r="H664" s="45"/>
      <c r="I664" s="314"/>
      <c r="J664" s="44"/>
      <c r="K664" s="311"/>
      <c r="L664" s="232"/>
      <c r="M664" s="225"/>
      <c r="N664" s="380"/>
      <c r="O664" s="45"/>
      <c r="P664" s="311"/>
      <c r="Q664" s="149"/>
      <c r="R664" s="293"/>
      <c r="S664" s="316"/>
      <c r="T664" s="355"/>
      <c r="V664" s="111"/>
      <c r="Y664" s="541"/>
      <c r="AB664" s="428"/>
      <c r="AC664" s="454"/>
      <c r="AD664" s="455"/>
      <c r="AE664" s="166"/>
      <c r="AF664" s="169"/>
      <c r="AG664" s="172"/>
      <c r="AH664" s="150"/>
      <c r="AI664" s="137"/>
      <c r="AJ664" s="188"/>
      <c r="AK664" s="137"/>
      <c r="AL664" s="833"/>
      <c r="AM664" s="833"/>
    </row>
    <row r="665" spans="2:39" s="30" customFormat="1" x14ac:dyDescent="0.25">
      <c r="B665" s="27"/>
      <c r="D665" s="81"/>
      <c r="E665" s="45"/>
      <c r="F665" s="524"/>
      <c r="G665" s="49"/>
      <c r="H665" s="45"/>
      <c r="I665" s="314"/>
      <c r="J665" s="44"/>
      <c r="K665" s="311"/>
      <c r="L665" s="232"/>
      <c r="M665" s="225"/>
      <c r="N665" s="380"/>
      <c r="O665" s="45"/>
      <c r="P665" s="311"/>
      <c r="Q665" s="149"/>
      <c r="R665" s="293"/>
      <c r="S665" s="316"/>
      <c r="T665" s="355"/>
      <c r="V665" s="111"/>
      <c r="Y665" s="541"/>
      <c r="AB665" s="428"/>
      <c r="AC665" s="454"/>
      <c r="AD665" s="455"/>
      <c r="AE665" s="166"/>
      <c r="AF665" s="169"/>
      <c r="AG665" s="172"/>
      <c r="AH665" s="150"/>
      <c r="AI665" s="137"/>
      <c r="AJ665" s="188"/>
      <c r="AK665" s="137"/>
      <c r="AL665" s="833"/>
      <c r="AM665" s="833"/>
    </row>
    <row r="666" spans="2:39" s="30" customFormat="1" x14ac:dyDescent="0.25">
      <c r="B666" s="27"/>
      <c r="D666" s="81"/>
      <c r="E666" s="45"/>
      <c r="F666" s="524"/>
      <c r="G666" s="49"/>
      <c r="H666" s="45"/>
      <c r="I666" s="314"/>
      <c r="J666" s="44"/>
      <c r="K666" s="311"/>
      <c r="L666" s="232"/>
      <c r="M666" s="225"/>
      <c r="N666" s="380"/>
      <c r="O666" s="45"/>
      <c r="P666" s="311"/>
      <c r="Q666" s="149"/>
      <c r="R666" s="293"/>
      <c r="S666" s="316"/>
      <c r="T666" s="355"/>
      <c r="V666" s="111"/>
      <c r="Y666" s="541"/>
      <c r="AB666" s="428"/>
      <c r="AC666" s="454"/>
      <c r="AD666" s="455"/>
      <c r="AE666" s="166"/>
      <c r="AF666" s="169"/>
      <c r="AG666" s="172"/>
      <c r="AH666" s="150"/>
      <c r="AI666" s="137"/>
      <c r="AJ666" s="188"/>
      <c r="AK666" s="137"/>
      <c r="AL666" s="833"/>
      <c r="AM666" s="833"/>
    </row>
    <row r="667" spans="2:39" s="30" customFormat="1" x14ac:dyDescent="0.25">
      <c r="B667" s="27"/>
      <c r="D667" s="81"/>
      <c r="E667" s="45"/>
      <c r="F667" s="524"/>
      <c r="G667" s="49"/>
      <c r="H667" s="45"/>
      <c r="I667" s="314"/>
      <c r="J667" s="44"/>
      <c r="K667" s="311"/>
      <c r="L667" s="232"/>
      <c r="M667" s="225"/>
      <c r="N667" s="380"/>
      <c r="O667" s="45"/>
      <c r="P667" s="311"/>
      <c r="Q667" s="149"/>
      <c r="R667" s="293"/>
      <c r="S667" s="316"/>
      <c r="T667" s="355"/>
      <c r="V667" s="111"/>
      <c r="Y667" s="541"/>
      <c r="AB667" s="428"/>
      <c r="AC667" s="454"/>
      <c r="AD667" s="455"/>
      <c r="AE667" s="166"/>
      <c r="AF667" s="169"/>
      <c r="AG667" s="172"/>
      <c r="AH667" s="150"/>
      <c r="AI667" s="137"/>
      <c r="AJ667" s="188"/>
      <c r="AK667" s="137"/>
      <c r="AL667" s="833"/>
      <c r="AM667" s="833"/>
    </row>
    <row r="668" spans="2:39" s="30" customFormat="1" x14ac:dyDescent="0.25">
      <c r="B668" s="27"/>
      <c r="D668" s="81"/>
      <c r="E668" s="45"/>
      <c r="F668" s="524"/>
      <c r="G668" s="49"/>
      <c r="H668" s="45"/>
      <c r="I668" s="314"/>
      <c r="J668" s="44"/>
      <c r="K668" s="311"/>
      <c r="L668" s="232"/>
      <c r="M668" s="225"/>
      <c r="N668" s="380"/>
      <c r="O668" s="45"/>
      <c r="P668" s="311"/>
      <c r="Q668" s="149"/>
      <c r="R668" s="293"/>
      <c r="S668" s="316"/>
      <c r="T668" s="355"/>
      <c r="V668" s="111"/>
      <c r="Y668" s="541"/>
      <c r="AB668" s="428"/>
      <c r="AC668" s="454"/>
      <c r="AD668" s="455"/>
      <c r="AE668" s="166"/>
      <c r="AF668" s="169"/>
      <c r="AG668" s="172"/>
      <c r="AH668" s="150"/>
      <c r="AI668" s="137"/>
      <c r="AJ668" s="188"/>
      <c r="AK668" s="137"/>
      <c r="AL668" s="833"/>
      <c r="AM668" s="833"/>
    </row>
    <row r="669" spans="2:39" s="30" customFormat="1" x14ac:dyDescent="0.25">
      <c r="B669" s="27"/>
      <c r="D669" s="81"/>
      <c r="E669" s="45"/>
      <c r="F669" s="524"/>
      <c r="G669" s="49"/>
      <c r="H669" s="45"/>
      <c r="I669" s="314"/>
      <c r="J669" s="44"/>
      <c r="K669" s="311"/>
      <c r="L669" s="232"/>
      <c r="M669" s="225"/>
      <c r="N669" s="380"/>
      <c r="O669" s="45"/>
      <c r="P669" s="311"/>
      <c r="Q669" s="149"/>
      <c r="R669" s="293"/>
      <c r="S669" s="316"/>
      <c r="T669" s="355"/>
      <c r="V669" s="111"/>
      <c r="Y669" s="541"/>
      <c r="AB669" s="428"/>
      <c r="AC669" s="454"/>
      <c r="AD669" s="455"/>
      <c r="AE669" s="166"/>
      <c r="AF669" s="169"/>
      <c r="AG669" s="172"/>
      <c r="AH669" s="150"/>
      <c r="AI669" s="137"/>
      <c r="AJ669" s="188"/>
      <c r="AK669" s="137"/>
      <c r="AL669" s="833"/>
      <c r="AM669" s="833"/>
    </row>
    <row r="670" spans="2:39" s="30" customFormat="1" x14ac:dyDescent="0.25">
      <c r="B670" s="27"/>
      <c r="D670" s="81"/>
      <c r="E670" s="45"/>
      <c r="F670" s="524"/>
      <c r="G670" s="49"/>
      <c r="H670" s="45"/>
      <c r="I670" s="314"/>
      <c r="J670" s="44"/>
      <c r="K670" s="311"/>
      <c r="L670" s="232"/>
      <c r="M670" s="225"/>
      <c r="N670" s="380"/>
      <c r="O670" s="45"/>
      <c r="P670" s="311"/>
      <c r="Q670" s="149"/>
      <c r="R670" s="293"/>
      <c r="S670" s="316"/>
      <c r="T670" s="355"/>
      <c r="V670" s="111"/>
      <c r="Y670" s="541"/>
      <c r="AB670" s="428"/>
      <c r="AC670" s="454"/>
      <c r="AD670" s="455"/>
      <c r="AE670" s="166"/>
      <c r="AF670" s="169"/>
      <c r="AG670" s="172"/>
      <c r="AH670" s="150"/>
      <c r="AI670" s="137"/>
      <c r="AJ670" s="188"/>
      <c r="AK670" s="137"/>
      <c r="AL670" s="833"/>
      <c r="AM670" s="833"/>
    </row>
    <row r="671" spans="2:39" s="30" customFormat="1" x14ac:dyDescent="0.25">
      <c r="B671" s="27"/>
      <c r="D671" s="81"/>
      <c r="E671" s="45"/>
      <c r="F671" s="524"/>
      <c r="G671" s="49"/>
      <c r="H671" s="45"/>
      <c r="I671" s="314"/>
      <c r="J671" s="44"/>
      <c r="K671" s="311"/>
      <c r="L671" s="232"/>
      <c r="M671" s="225"/>
      <c r="N671" s="380"/>
      <c r="O671" s="45"/>
      <c r="P671" s="311"/>
      <c r="Q671" s="149"/>
      <c r="R671" s="293"/>
      <c r="S671" s="316"/>
      <c r="T671" s="355"/>
      <c r="V671" s="111"/>
      <c r="Y671" s="541"/>
      <c r="AB671" s="428"/>
      <c r="AC671" s="454"/>
      <c r="AD671" s="455"/>
      <c r="AE671" s="166"/>
      <c r="AF671" s="169"/>
      <c r="AG671" s="172"/>
      <c r="AH671" s="150"/>
      <c r="AI671" s="137"/>
      <c r="AJ671" s="188"/>
      <c r="AK671" s="137"/>
      <c r="AL671" s="833"/>
      <c r="AM671" s="833"/>
    </row>
    <row r="672" spans="2:39" s="30" customFormat="1" x14ac:dyDescent="0.25">
      <c r="B672" s="27"/>
      <c r="D672" s="81"/>
      <c r="E672" s="45"/>
      <c r="F672" s="524"/>
      <c r="G672" s="49"/>
      <c r="H672" s="45"/>
      <c r="I672" s="314"/>
      <c r="J672" s="44"/>
      <c r="K672" s="311"/>
      <c r="L672" s="232"/>
      <c r="M672" s="225"/>
      <c r="N672" s="380"/>
      <c r="O672" s="45"/>
      <c r="P672" s="311"/>
      <c r="Q672" s="149"/>
      <c r="R672" s="293"/>
      <c r="S672" s="316"/>
      <c r="T672" s="355"/>
      <c r="V672" s="111"/>
      <c r="Y672" s="541"/>
      <c r="AB672" s="428"/>
      <c r="AC672" s="454"/>
      <c r="AD672" s="455"/>
      <c r="AE672" s="166"/>
      <c r="AF672" s="169"/>
      <c r="AG672" s="172"/>
      <c r="AH672" s="150"/>
      <c r="AI672" s="137"/>
      <c r="AJ672" s="188"/>
      <c r="AK672" s="137"/>
      <c r="AL672" s="833"/>
      <c r="AM672" s="833"/>
    </row>
    <row r="673" spans="2:39" s="30" customFormat="1" x14ac:dyDescent="0.25">
      <c r="B673" s="27"/>
      <c r="D673" s="81"/>
      <c r="E673" s="45"/>
      <c r="F673" s="524"/>
      <c r="G673" s="49"/>
      <c r="H673" s="45"/>
      <c r="I673" s="314"/>
      <c r="J673" s="44"/>
      <c r="K673" s="311"/>
      <c r="L673" s="232"/>
      <c r="M673" s="225"/>
      <c r="N673" s="380"/>
      <c r="O673" s="45"/>
      <c r="P673" s="311"/>
      <c r="Q673" s="149"/>
      <c r="R673" s="293"/>
      <c r="S673" s="316"/>
      <c r="T673" s="355"/>
      <c r="V673" s="111"/>
      <c r="Y673" s="541"/>
      <c r="AB673" s="428"/>
      <c r="AC673" s="454"/>
      <c r="AD673" s="455"/>
      <c r="AE673" s="166"/>
      <c r="AF673" s="169"/>
      <c r="AG673" s="172"/>
      <c r="AH673" s="150"/>
      <c r="AI673" s="137"/>
      <c r="AJ673" s="188"/>
      <c r="AK673" s="137"/>
      <c r="AL673" s="833"/>
      <c r="AM673" s="833"/>
    </row>
    <row r="674" spans="2:39" s="30" customFormat="1" x14ac:dyDescent="0.25">
      <c r="B674" s="27"/>
      <c r="D674" s="81"/>
      <c r="E674" s="45"/>
      <c r="F674" s="524"/>
      <c r="G674" s="49"/>
      <c r="H674" s="45"/>
      <c r="I674" s="314"/>
      <c r="J674" s="44"/>
      <c r="K674" s="311"/>
      <c r="L674" s="232"/>
      <c r="M674" s="225"/>
      <c r="N674" s="380"/>
      <c r="O674" s="45"/>
      <c r="P674" s="311"/>
      <c r="Q674" s="149"/>
      <c r="R674" s="293"/>
      <c r="S674" s="316"/>
      <c r="T674" s="355"/>
      <c r="V674" s="111"/>
      <c r="Y674" s="541"/>
      <c r="AB674" s="428"/>
      <c r="AC674" s="454"/>
      <c r="AD674" s="455"/>
      <c r="AE674" s="166"/>
      <c r="AF674" s="169"/>
      <c r="AG674" s="172"/>
      <c r="AH674" s="150"/>
      <c r="AI674" s="137"/>
      <c r="AJ674" s="188"/>
      <c r="AK674" s="137"/>
      <c r="AL674" s="833"/>
      <c r="AM674" s="833"/>
    </row>
    <row r="675" spans="2:39" s="30" customFormat="1" x14ac:dyDescent="0.25">
      <c r="B675" s="27"/>
      <c r="D675" s="81"/>
      <c r="E675" s="45"/>
      <c r="F675" s="524"/>
      <c r="G675" s="49"/>
      <c r="H675" s="45"/>
      <c r="I675" s="314"/>
      <c r="J675" s="44"/>
      <c r="K675" s="311"/>
      <c r="L675" s="232"/>
      <c r="M675" s="225"/>
      <c r="N675" s="380"/>
      <c r="O675" s="45"/>
      <c r="P675" s="311"/>
      <c r="Q675" s="149"/>
      <c r="R675" s="293"/>
      <c r="S675" s="316"/>
      <c r="T675" s="355"/>
      <c r="V675" s="111"/>
      <c r="Y675" s="541"/>
      <c r="AB675" s="428"/>
      <c r="AC675" s="454"/>
      <c r="AD675" s="455"/>
      <c r="AE675" s="166"/>
      <c r="AF675" s="169"/>
      <c r="AG675" s="172"/>
      <c r="AH675" s="150"/>
      <c r="AI675" s="137"/>
      <c r="AJ675" s="188"/>
      <c r="AK675" s="137"/>
      <c r="AL675" s="833"/>
      <c r="AM675" s="833"/>
    </row>
    <row r="676" spans="2:39" s="30" customFormat="1" x14ac:dyDescent="0.25">
      <c r="B676" s="27"/>
      <c r="D676" s="81"/>
      <c r="E676" s="45"/>
      <c r="F676" s="524"/>
      <c r="G676" s="49"/>
      <c r="H676" s="45"/>
      <c r="I676" s="314"/>
      <c r="J676" s="44"/>
      <c r="K676" s="311"/>
      <c r="L676" s="232"/>
      <c r="M676" s="225"/>
      <c r="N676" s="380"/>
      <c r="O676" s="45"/>
      <c r="P676" s="311"/>
      <c r="Q676" s="149"/>
      <c r="R676" s="293"/>
      <c r="S676" s="316"/>
      <c r="T676" s="355"/>
      <c r="V676" s="111"/>
      <c r="Y676" s="541"/>
      <c r="AB676" s="428"/>
      <c r="AC676" s="454"/>
      <c r="AD676" s="455"/>
      <c r="AE676" s="166"/>
      <c r="AF676" s="169"/>
      <c r="AG676" s="172"/>
      <c r="AH676" s="150"/>
      <c r="AI676" s="137"/>
      <c r="AJ676" s="188"/>
      <c r="AK676" s="137"/>
      <c r="AL676" s="833"/>
      <c r="AM676" s="833"/>
    </row>
    <row r="677" spans="2:39" s="30" customFormat="1" x14ac:dyDescent="0.25">
      <c r="B677" s="27"/>
      <c r="D677" s="81"/>
      <c r="E677" s="45"/>
      <c r="F677" s="524"/>
      <c r="G677" s="49"/>
      <c r="H677" s="45"/>
      <c r="I677" s="314"/>
      <c r="J677" s="44"/>
      <c r="K677" s="311"/>
      <c r="L677" s="232"/>
      <c r="M677" s="225"/>
      <c r="N677" s="380"/>
      <c r="O677" s="45"/>
      <c r="P677" s="311"/>
      <c r="Q677" s="149"/>
      <c r="R677" s="293"/>
      <c r="S677" s="316"/>
      <c r="T677" s="355"/>
      <c r="V677" s="111"/>
      <c r="Y677" s="541"/>
      <c r="AB677" s="428"/>
      <c r="AC677" s="454"/>
      <c r="AD677" s="455"/>
      <c r="AE677" s="166"/>
      <c r="AF677" s="169"/>
      <c r="AG677" s="172"/>
      <c r="AH677" s="150"/>
      <c r="AI677" s="137"/>
      <c r="AJ677" s="188"/>
      <c r="AK677" s="137"/>
      <c r="AL677" s="833"/>
      <c r="AM677" s="833"/>
    </row>
    <row r="678" spans="2:39" s="30" customFormat="1" x14ac:dyDescent="0.25">
      <c r="B678" s="27"/>
      <c r="D678" s="81"/>
      <c r="E678" s="45"/>
      <c r="F678" s="524"/>
      <c r="G678" s="49"/>
      <c r="H678" s="45"/>
      <c r="I678" s="314"/>
      <c r="J678" s="44"/>
      <c r="K678" s="311"/>
      <c r="L678" s="232"/>
      <c r="M678" s="225"/>
      <c r="N678" s="380"/>
      <c r="O678" s="45"/>
      <c r="P678" s="311"/>
      <c r="Q678" s="149"/>
      <c r="R678" s="293"/>
      <c r="S678" s="316"/>
      <c r="T678" s="355"/>
      <c r="V678" s="111"/>
      <c r="Y678" s="541"/>
      <c r="AB678" s="428"/>
      <c r="AC678" s="454"/>
      <c r="AD678" s="455"/>
      <c r="AE678" s="166"/>
      <c r="AF678" s="169"/>
      <c r="AG678" s="172"/>
      <c r="AH678" s="150"/>
      <c r="AI678" s="137"/>
      <c r="AJ678" s="188"/>
      <c r="AK678" s="137"/>
      <c r="AL678" s="833"/>
      <c r="AM678" s="833"/>
    </row>
    <row r="679" spans="2:39" s="30" customFormat="1" x14ac:dyDescent="0.25">
      <c r="B679" s="27"/>
      <c r="D679" s="81"/>
      <c r="E679" s="45"/>
      <c r="F679" s="524"/>
      <c r="G679" s="49"/>
      <c r="H679" s="45"/>
      <c r="I679" s="314"/>
      <c r="J679" s="44"/>
      <c r="K679" s="311"/>
      <c r="L679" s="232"/>
      <c r="M679" s="225"/>
      <c r="N679" s="380"/>
      <c r="O679" s="45"/>
      <c r="P679" s="311"/>
      <c r="Q679" s="149"/>
      <c r="R679" s="293"/>
      <c r="S679" s="316"/>
      <c r="T679" s="355"/>
      <c r="V679" s="111"/>
      <c r="Y679" s="541"/>
      <c r="AB679" s="428"/>
      <c r="AC679" s="454"/>
      <c r="AD679" s="455"/>
      <c r="AE679" s="166"/>
      <c r="AF679" s="169"/>
      <c r="AG679" s="172"/>
      <c r="AH679" s="150"/>
      <c r="AI679" s="137"/>
      <c r="AJ679" s="188"/>
      <c r="AK679" s="137"/>
      <c r="AL679" s="833"/>
      <c r="AM679" s="833"/>
    </row>
    <row r="680" spans="2:39" s="30" customFormat="1" x14ac:dyDescent="0.25">
      <c r="B680" s="27"/>
      <c r="D680" s="81"/>
      <c r="E680" s="45"/>
      <c r="F680" s="524"/>
      <c r="G680" s="49"/>
      <c r="H680" s="45"/>
      <c r="I680" s="314"/>
      <c r="J680" s="44"/>
      <c r="K680" s="311"/>
      <c r="L680" s="232"/>
      <c r="M680" s="225"/>
      <c r="N680" s="380"/>
      <c r="O680" s="45"/>
      <c r="P680" s="311"/>
      <c r="Q680" s="149"/>
      <c r="R680" s="293"/>
      <c r="S680" s="316"/>
      <c r="T680" s="355"/>
      <c r="V680" s="111"/>
      <c r="Y680" s="541"/>
      <c r="AB680" s="428"/>
      <c r="AC680" s="454"/>
      <c r="AD680" s="455"/>
      <c r="AE680" s="166"/>
      <c r="AF680" s="169"/>
      <c r="AG680" s="172"/>
      <c r="AH680" s="150"/>
      <c r="AI680" s="137"/>
      <c r="AJ680" s="188"/>
      <c r="AK680" s="137"/>
      <c r="AL680" s="833"/>
      <c r="AM680" s="833"/>
    </row>
    <row r="681" spans="2:39" s="30" customFormat="1" x14ac:dyDescent="0.25">
      <c r="B681" s="27"/>
      <c r="D681" s="81"/>
      <c r="E681" s="45"/>
      <c r="F681" s="524"/>
      <c r="G681" s="49"/>
      <c r="H681" s="45"/>
      <c r="I681" s="314"/>
      <c r="J681" s="44"/>
      <c r="K681" s="311"/>
      <c r="L681" s="232"/>
      <c r="M681" s="225"/>
      <c r="N681" s="380"/>
      <c r="O681" s="45"/>
      <c r="P681" s="311"/>
      <c r="Q681" s="149"/>
      <c r="R681" s="293"/>
      <c r="S681" s="316"/>
      <c r="T681" s="355"/>
      <c r="V681" s="111"/>
      <c r="Y681" s="541"/>
      <c r="AB681" s="428"/>
      <c r="AC681" s="454"/>
      <c r="AD681" s="455"/>
      <c r="AE681" s="166"/>
      <c r="AF681" s="169"/>
      <c r="AG681" s="172"/>
      <c r="AH681" s="150"/>
      <c r="AI681" s="137"/>
      <c r="AJ681" s="188"/>
      <c r="AK681" s="137"/>
      <c r="AL681" s="833"/>
      <c r="AM681" s="833"/>
    </row>
    <row r="682" spans="2:39" s="30" customFormat="1" x14ac:dyDescent="0.25">
      <c r="B682" s="27"/>
      <c r="D682" s="81"/>
      <c r="E682" s="45"/>
      <c r="F682" s="524"/>
      <c r="G682" s="49"/>
      <c r="H682" s="45"/>
      <c r="I682" s="314"/>
      <c r="J682" s="44"/>
      <c r="K682" s="311"/>
      <c r="L682" s="232"/>
      <c r="M682" s="225"/>
      <c r="N682" s="380"/>
      <c r="O682" s="45"/>
      <c r="P682" s="311"/>
      <c r="Q682" s="149"/>
      <c r="R682" s="293"/>
      <c r="S682" s="316"/>
      <c r="T682" s="355"/>
      <c r="V682" s="111"/>
      <c r="Y682" s="541"/>
      <c r="AB682" s="428"/>
      <c r="AC682" s="454"/>
      <c r="AD682" s="455"/>
      <c r="AE682" s="166"/>
      <c r="AF682" s="169"/>
      <c r="AG682" s="172"/>
      <c r="AH682" s="150"/>
      <c r="AI682" s="137"/>
      <c r="AJ682" s="188"/>
      <c r="AK682" s="137"/>
      <c r="AL682" s="833"/>
      <c r="AM682" s="833"/>
    </row>
    <row r="683" spans="2:39" s="30" customFormat="1" x14ac:dyDescent="0.25">
      <c r="B683" s="27"/>
      <c r="D683" s="81"/>
      <c r="E683" s="45"/>
      <c r="F683" s="524"/>
      <c r="G683" s="49"/>
      <c r="H683" s="45"/>
      <c r="I683" s="314"/>
      <c r="J683" s="44"/>
      <c r="K683" s="311"/>
      <c r="L683" s="232"/>
      <c r="M683" s="225"/>
      <c r="N683" s="380"/>
      <c r="O683" s="45"/>
      <c r="P683" s="311"/>
      <c r="Q683" s="149"/>
      <c r="R683" s="293"/>
      <c r="S683" s="316"/>
      <c r="T683" s="355"/>
      <c r="V683" s="111"/>
      <c r="Y683" s="541"/>
      <c r="AB683" s="428"/>
      <c r="AC683" s="454"/>
      <c r="AD683" s="455"/>
      <c r="AE683" s="166"/>
      <c r="AF683" s="169"/>
      <c r="AG683" s="172"/>
      <c r="AH683" s="150"/>
      <c r="AI683" s="137"/>
      <c r="AJ683" s="188"/>
      <c r="AK683" s="137"/>
      <c r="AL683" s="833"/>
      <c r="AM683" s="833"/>
    </row>
    <row r="684" spans="2:39" s="30" customFormat="1" x14ac:dyDescent="0.25">
      <c r="B684" s="27"/>
      <c r="D684" s="81"/>
      <c r="E684" s="45"/>
      <c r="F684" s="524"/>
      <c r="G684" s="49"/>
      <c r="H684" s="45"/>
      <c r="I684" s="314"/>
      <c r="J684" s="44"/>
      <c r="K684" s="311"/>
      <c r="L684" s="232"/>
      <c r="M684" s="225"/>
      <c r="N684" s="380"/>
      <c r="O684" s="45"/>
      <c r="P684" s="311"/>
      <c r="Q684" s="149"/>
      <c r="R684" s="293"/>
      <c r="S684" s="316"/>
      <c r="T684" s="355"/>
      <c r="V684" s="111"/>
      <c r="Y684" s="541"/>
      <c r="AB684" s="428"/>
      <c r="AC684" s="454"/>
      <c r="AD684" s="455"/>
      <c r="AE684" s="166"/>
      <c r="AF684" s="169"/>
      <c r="AG684" s="172"/>
      <c r="AH684" s="150"/>
      <c r="AI684" s="137"/>
      <c r="AJ684" s="188"/>
      <c r="AK684" s="137"/>
      <c r="AL684" s="833"/>
      <c r="AM684" s="833"/>
    </row>
    <row r="685" spans="2:39" s="30" customFormat="1" x14ac:dyDescent="0.25">
      <c r="B685" s="27"/>
      <c r="D685" s="81"/>
      <c r="E685" s="45"/>
      <c r="F685" s="524"/>
      <c r="G685" s="49"/>
      <c r="H685" s="45"/>
      <c r="I685" s="314"/>
      <c r="J685" s="44"/>
      <c r="K685" s="311"/>
      <c r="L685" s="232"/>
      <c r="M685" s="225"/>
      <c r="N685" s="380"/>
      <c r="O685" s="45"/>
      <c r="P685" s="311"/>
      <c r="Q685" s="149"/>
      <c r="R685" s="293"/>
      <c r="S685" s="316"/>
      <c r="T685" s="355"/>
      <c r="V685" s="111"/>
      <c r="Y685" s="541"/>
      <c r="AB685" s="428"/>
      <c r="AC685" s="454"/>
      <c r="AD685" s="455"/>
      <c r="AE685" s="166"/>
      <c r="AF685" s="169"/>
      <c r="AG685" s="172"/>
      <c r="AH685" s="150"/>
      <c r="AI685" s="137"/>
      <c r="AJ685" s="188"/>
      <c r="AK685" s="137"/>
      <c r="AL685" s="833"/>
      <c r="AM685" s="833"/>
    </row>
    <row r="686" spans="2:39" s="30" customFormat="1" x14ac:dyDescent="0.25">
      <c r="B686" s="27"/>
      <c r="D686" s="81"/>
      <c r="E686" s="45"/>
      <c r="F686" s="524"/>
      <c r="G686" s="49"/>
      <c r="H686" s="45"/>
      <c r="I686" s="314"/>
      <c r="J686" s="44"/>
      <c r="K686" s="311"/>
      <c r="L686" s="232"/>
      <c r="M686" s="225"/>
      <c r="N686" s="380"/>
      <c r="O686" s="45"/>
      <c r="P686" s="311"/>
      <c r="Q686" s="149"/>
      <c r="R686" s="293"/>
      <c r="S686" s="316"/>
      <c r="T686" s="355"/>
      <c r="V686" s="111"/>
      <c r="Y686" s="541"/>
      <c r="AB686" s="428"/>
      <c r="AC686" s="454"/>
      <c r="AD686" s="455"/>
      <c r="AE686" s="166"/>
      <c r="AF686" s="169"/>
      <c r="AG686" s="172"/>
      <c r="AH686" s="150"/>
      <c r="AI686" s="137"/>
      <c r="AJ686" s="188"/>
      <c r="AK686" s="137"/>
      <c r="AL686" s="833"/>
      <c r="AM686" s="833"/>
    </row>
    <row r="687" spans="2:39" s="30" customFormat="1" x14ac:dyDescent="0.25">
      <c r="B687" s="27"/>
      <c r="D687" s="81"/>
      <c r="E687" s="45"/>
      <c r="F687" s="524"/>
      <c r="G687" s="49"/>
      <c r="H687" s="45"/>
      <c r="I687" s="314"/>
      <c r="J687" s="44"/>
      <c r="K687" s="311"/>
      <c r="L687" s="232"/>
      <c r="M687" s="225"/>
      <c r="N687" s="380"/>
      <c r="O687" s="45"/>
      <c r="P687" s="311"/>
      <c r="Q687" s="149"/>
      <c r="R687" s="293"/>
      <c r="S687" s="316"/>
      <c r="T687" s="355"/>
      <c r="V687" s="111"/>
      <c r="Y687" s="541"/>
      <c r="AB687" s="428"/>
      <c r="AC687" s="454"/>
      <c r="AD687" s="455"/>
      <c r="AE687" s="166"/>
      <c r="AF687" s="169"/>
      <c r="AG687" s="172"/>
      <c r="AH687" s="150"/>
      <c r="AI687" s="137"/>
      <c r="AJ687" s="188"/>
      <c r="AK687" s="137"/>
      <c r="AL687" s="833"/>
      <c r="AM687" s="833"/>
    </row>
    <row r="688" spans="2:39" s="30" customFormat="1" x14ac:dyDescent="0.25">
      <c r="B688" s="27"/>
      <c r="D688" s="81"/>
      <c r="E688" s="45"/>
      <c r="F688" s="524"/>
      <c r="G688" s="49"/>
      <c r="H688" s="45"/>
      <c r="I688" s="314"/>
      <c r="J688" s="44"/>
      <c r="K688" s="311"/>
      <c r="L688" s="232"/>
      <c r="M688" s="225"/>
      <c r="N688" s="380"/>
      <c r="O688" s="45"/>
      <c r="P688" s="311"/>
      <c r="Q688" s="149"/>
      <c r="R688" s="293"/>
      <c r="S688" s="316"/>
      <c r="T688" s="355"/>
      <c r="V688" s="111"/>
      <c r="Y688" s="541"/>
      <c r="AB688" s="428"/>
      <c r="AC688" s="454"/>
      <c r="AD688" s="455"/>
      <c r="AE688" s="166"/>
      <c r="AF688" s="169"/>
      <c r="AG688" s="172"/>
      <c r="AH688" s="150"/>
      <c r="AI688" s="137"/>
      <c r="AJ688" s="188"/>
      <c r="AK688" s="137"/>
      <c r="AL688" s="833"/>
      <c r="AM688" s="833"/>
    </row>
    <row r="689" spans="2:39" s="30" customFormat="1" x14ac:dyDescent="0.25">
      <c r="B689" s="27"/>
      <c r="D689" s="81"/>
      <c r="E689" s="45"/>
      <c r="F689" s="524"/>
      <c r="G689" s="49"/>
      <c r="H689" s="45"/>
      <c r="I689" s="314"/>
      <c r="J689" s="44"/>
      <c r="K689" s="311"/>
      <c r="L689" s="232"/>
      <c r="M689" s="225"/>
      <c r="N689" s="380"/>
      <c r="O689" s="45"/>
      <c r="P689" s="311"/>
      <c r="Q689" s="149"/>
      <c r="R689" s="293"/>
      <c r="S689" s="316"/>
      <c r="T689" s="355"/>
      <c r="V689" s="111"/>
      <c r="Y689" s="541"/>
      <c r="AB689" s="428"/>
      <c r="AC689" s="454"/>
      <c r="AD689" s="455"/>
      <c r="AE689" s="166"/>
      <c r="AF689" s="169"/>
      <c r="AG689" s="172"/>
      <c r="AH689" s="150"/>
      <c r="AI689" s="137"/>
      <c r="AJ689" s="188"/>
      <c r="AK689" s="137"/>
      <c r="AL689" s="833"/>
      <c r="AM689" s="833"/>
    </row>
    <row r="690" spans="2:39" s="30" customFormat="1" x14ac:dyDescent="0.25">
      <c r="B690" s="27"/>
      <c r="D690" s="81"/>
      <c r="E690" s="45"/>
      <c r="F690" s="524"/>
      <c r="G690" s="49"/>
      <c r="H690" s="45"/>
      <c r="I690" s="314"/>
      <c r="J690" s="44"/>
      <c r="K690" s="311"/>
      <c r="L690" s="232"/>
      <c r="M690" s="225"/>
      <c r="N690" s="380"/>
      <c r="O690" s="45"/>
      <c r="P690" s="311"/>
      <c r="Q690" s="149"/>
      <c r="R690" s="293"/>
      <c r="S690" s="316"/>
      <c r="T690" s="355"/>
      <c r="V690" s="111"/>
      <c r="Y690" s="541"/>
      <c r="AB690" s="428"/>
      <c r="AC690" s="454"/>
      <c r="AD690" s="455"/>
      <c r="AE690" s="166"/>
      <c r="AF690" s="169"/>
      <c r="AG690" s="172"/>
      <c r="AH690" s="150"/>
      <c r="AI690" s="137"/>
      <c r="AJ690" s="188"/>
      <c r="AK690" s="137"/>
      <c r="AL690" s="833"/>
      <c r="AM690" s="833"/>
    </row>
    <row r="691" spans="2:39" s="30" customFormat="1" x14ac:dyDescent="0.25">
      <c r="B691" s="27"/>
      <c r="D691" s="81"/>
      <c r="E691" s="45"/>
      <c r="F691" s="524"/>
      <c r="G691" s="49"/>
      <c r="H691" s="45"/>
      <c r="I691" s="314"/>
      <c r="J691" s="44"/>
      <c r="K691" s="311"/>
      <c r="L691" s="232"/>
      <c r="M691" s="225"/>
      <c r="N691" s="380"/>
      <c r="O691" s="45"/>
      <c r="P691" s="311"/>
      <c r="Q691" s="149"/>
      <c r="R691" s="293"/>
      <c r="S691" s="316"/>
      <c r="T691" s="355"/>
      <c r="V691" s="111"/>
      <c r="Y691" s="541"/>
      <c r="AB691" s="428"/>
      <c r="AC691" s="454"/>
      <c r="AD691" s="455"/>
      <c r="AE691" s="166"/>
      <c r="AF691" s="169"/>
      <c r="AG691" s="172"/>
      <c r="AH691" s="150"/>
      <c r="AI691" s="137"/>
      <c r="AJ691" s="188"/>
      <c r="AK691" s="137"/>
      <c r="AL691" s="833"/>
      <c r="AM691" s="833"/>
    </row>
    <row r="692" spans="2:39" s="30" customFormat="1" x14ac:dyDescent="0.25">
      <c r="B692" s="27"/>
      <c r="D692" s="81"/>
      <c r="E692" s="45"/>
      <c r="F692" s="524"/>
      <c r="G692" s="49"/>
      <c r="H692" s="45"/>
      <c r="I692" s="314"/>
      <c r="J692" s="44"/>
      <c r="K692" s="311"/>
      <c r="L692" s="232"/>
      <c r="M692" s="225"/>
      <c r="N692" s="380"/>
      <c r="O692" s="45"/>
      <c r="P692" s="311"/>
      <c r="Q692" s="149"/>
      <c r="R692" s="293"/>
      <c r="S692" s="316"/>
      <c r="T692" s="355"/>
      <c r="V692" s="111"/>
      <c r="Y692" s="541"/>
      <c r="AB692" s="428"/>
      <c r="AC692" s="454"/>
      <c r="AD692" s="455"/>
      <c r="AE692" s="166"/>
      <c r="AF692" s="169"/>
      <c r="AG692" s="172"/>
      <c r="AH692" s="150"/>
      <c r="AI692" s="137"/>
      <c r="AJ692" s="188"/>
      <c r="AK692" s="137"/>
      <c r="AL692" s="833"/>
      <c r="AM692" s="833"/>
    </row>
    <row r="693" spans="2:39" s="30" customFormat="1" x14ac:dyDescent="0.25">
      <c r="B693" s="27"/>
      <c r="D693" s="81"/>
      <c r="E693" s="45"/>
      <c r="F693" s="524"/>
      <c r="G693" s="49"/>
      <c r="H693" s="45"/>
      <c r="I693" s="314"/>
      <c r="J693" s="44"/>
      <c r="K693" s="311"/>
      <c r="L693" s="232"/>
      <c r="M693" s="225"/>
      <c r="N693" s="380"/>
      <c r="O693" s="45"/>
      <c r="P693" s="311"/>
      <c r="Q693" s="149"/>
      <c r="R693" s="293"/>
      <c r="S693" s="316"/>
      <c r="T693" s="355"/>
      <c r="V693" s="111"/>
      <c r="Y693" s="541"/>
      <c r="AB693" s="428"/>
      <c r="AC693" s="454"/>
      <c r="AD693" s="455"/>
      <c r="AE693" s="166"/>
      <c r="AF693" s="169"/>
      <c r="AG693" s="172"/>
      <c r="AH693" s="150"/>
      <c r="AI693" s="137"/>
      <c r="AJ693" s="188"/>
      <c r="AK693" s="137"/>
      <c r="AL693" s="833"/>
      <c r="AM693" s="833"/>
    </row>
    <row r="694" spans="2:39" s="30" customFormat="1" x14ac:dyDescent="0.25">
      <c r="B694" s="27"/>
      <c r="D694" s="81"/>
      <c r="E694" s="45"/>
      <c r="F694" s="524"/>
      <c r="G694" s="49"/>
      <c r="H694" s="45"/>
      <c r="I694" s="314"/>
      <c r="J694" s="44"/>
      <c r="K694" s="311"/>
      <c r="L694" s="232"/>
      <c r="M694" s="225"/>
      <c r="N694" s="380"/>
      <c r="O694" s="45"/>
      <c r="P694" s="311"/>
      <c r="Q694" s="149"/>
      <c r="R694" s="293"/>
      <c r="S694" s="316"/>
      <c r="T694" s="355"/>
      <c r="V694" s="111"/>
      <c r="Y694" s="541"/>
      <c r="AB694" s="428"/>
      <c r="AC694" s="454"/>
      <c r="AD694" s="455"/>
      <c r="AE694" s="166"/>
      <c r="AF694" s="169"/>
      <c r="AG694" s="172"/>
      <c r="AH694" s="150"/>
      <c r="AI694" s="137"/>
      <c r="AJ694" s="188"/>
      <c r="AK694" s="137"/>
      <c r="AL694" s="833"/>
      <c r="AM694" s="833"/>
    </row>
    <row r="695" spans="2:39" s="30" customFormat="1" x14ac:dyDescent="0.25">
      <c r="B695" s="27"/>
      <c r="D695" s="81"/>
      <c r="E695" s="45"/>
      <c r="F695" s="524"/>
      <c r="G695" s="49"/>
      <c r="H695" s="45"/>
      <c r="I695" s="314"/>
      <c r="J695" s="44"/>
      <c r="K695" s="311"/>
      <c r="L695" s="232"/>
      <c r="M695" s="225"/>
      <c r="N695" s="380"/>
      <c r="O695" s="45"/>
      <c r="P695" s="311"/>
      <c r="Q695" s="149"/>
      <c r="R695" s="293"/>
      <c r="S695" s="316"/>
      <c r="T695" s="355"/>
      <c r="V695" s="111"/>
      <c r="Y695" s="541"/>
      <c r="AB695" s="428"/>
      <c r="AC695" s="454"/>
      <c r="AD695" s="455"/>
      <c r="AE695" s="166"/>
      <c r="AF695" s="169"/>
      <c r="AG695" s="172"/>
      <c r="AH695" s="150"/>
      <c r="AI695" s="137"/>
      <c r="AJ695" s="188"/>
      <c r="AK695" s="137"/>
      <c r="AL695" s="833"/>
      <c r="AM695" s="833"/>
    </row>
    <row r="696" spans="2:39" s="30" customFormat="1" x14ac:dyDescent="0.25">
      <c r="B696" s="27"/>
      <c r="D696" s="81"/>
      <c r="E696" s="45"/>
      <c r="F696" s="524"/>
      <c r="G696" s="49"/>
      <c r="H696" s="45"/>
      <c r="I696" s="314"/>
      <c r="J696" s="44"/>
      <c r="K696" s="311"/>
      <c r="L696" s="232"/>
      <c r="M696" s="225"/>
      <c r="N696" s="380"/>
      <c r="O696" s="45"/>
      <c r="P696" s="311"/>
      <c r="Q696" s="149"/>
      <c r="R696" s="293"/>
      <c r="S696" s="316"/>
      <c r="T696" s="355"/>
      <c r="V696" s="111"/>
      <c r="Y696" s="541"/>
      <c r="AB696" s="428"/>
      <c r="AC696" s="454"/>
      <c r="AD696" s="455"/>
      <c r="AE696" s="166"/>
      <c r="AF696" s="169"/>
      <c r="AG696" s="172"/>
      <c r="AH696" s="150"/>
      <c r="AI696" s="137"/>
      <c r="AJ696" s="188"/>
      <c r="AK696" s="137"/>
      <c r="AL696" s="833"/>
      <c r="AM696" s="833"/>
    </row>
    <row r="697" spans="2:39" s="30" customFormat="1" x14ac:dyDescent="0.25">
      <c r="B697" s="27"/>
      <c r="D697" s="81"/>
      <c r="E697" s="45"/>
      <c r="F697" s="524"/>
      <c r="G697" s="49"/>
      <c r="H697" s="45"/>
      <c r="I697" s="314"/>
      <c r="J697" s="44"/>
      <c r="K697" s="311"/>
      <c r="L697" s="232"/>
      <c r="M697" s="225"/>
      <c r="N697" s="380"/>
      <c r="O697" s="45"/>
      <c r="P697" s="311"/>
      <c r="Q697" s="149"/>
      <c r="R697" s="293"/>
      <c r="S697" s="316"/>
      <c r="T697" s="355"/>
      <c r="V697" s="111"/>
      <c r="Y697" s="541"/>
      <c r="AB697" s="428"/>
      <c r="AC697" s="454"/>
      <c r="AD697" s="455"/>
      <c r="AE697" s="166"/>
      <c r="AF697" s="169"/>
      <c r="AG697" s="172"/>
      <c r="AH697" s="150"/>
      <c r="AI697" s="137"/>
      <c r="AJ697" s="188"/>
      <c r="AK697" s="137"/>
      <c r="AL697" s="833"/>
      <c r="AM697" s="833"/>
    </row>
    <row r="698" spans="2:39" s="30" customFormat="1" x14ac:dyDescent="0.25">
      <c r="B698" s="27"/>
      <c r="D698" s="81"/>
      <c r="E698" s="45"/>
      <c r="F698" s="524"/>
      <c r="G698" s="49"/>
      <c r="H698" s="45"/>
      <c r="I698" s="314"/>
      <c r="J698" s="44"/>
      <c r="K698" s="311"/>
      <c r="L698" s="232"/>
      <c r="M698" s="225"/>
      <c r="N698" s="380"/>
      <c r="O698" s="45"/>
      <c r="P698" s="311"/>
      <c r="Q698" s="149"/>
      <c r="R698" s="293"/>
      <c r="S698" s="316"/>
      <c r="T698" s="355"/>
      <c r="V698" s="111"/>
      <c r="Y698" s="541"/>
      <c r="AB698" s="428"/>
      <c r="AC698" s="454"/>
      <c r="AD698" s="455"/>
      <c r="AE698" s="166"/>
      <c r="AF698" s="169"/>
      <c r="AG698" s="172"/>
      <c r="AH698" s="150"/>
      <c r="AI698" s="137"/>
      <c r="AJ698" s="188"/>
      <c r="AK698" s="137"/>
      <c r="AL698" s="833"/>
      <c r="AM698" s="833"/>
    </row>
    <row r="699" spans="2:39" s="30" customFormat="1" x14ac:dyDescent="0.25">
      <c r="B699" s="27"/>
      <c r="D699" s="81"/>
      <c r="E699" s="45"/>
      <c r="F699" s="524"/>
      <c r="G699" s="49"/>
      <c r="H699" s="45"/>
      <c r="I699" s="314"/>
      <c r="J699" s="44"/>
      <c r="K699" s="311"/>
      <c r="L699" s="232"/>
      <c r="M699" s="225"/>
      <c r="N699" s="380"/>
      <c r="O699" s="45"/>
      <c r="P699" s="311"/>
      <c r="Q699" s="149"/>
      <c r="R699" s="293"/>
      <c r="S699" s="316"/>
      <c r="T699" s="355"/>
      <c r="V699" s="111"/>
      <c r="Y699" s="541"/>
      <c r="AB699" s="428"/>
      <c r="AC699" s="454"/>
      <c r="AD699" s="455"/>
      <c r="AE699" s="166"/>
      <c r="AF699" s="169"/>
      <c r="AG699" s="172"/>
      <c r="AH699" s="150"/>
      <c r="AI699" s="137"/>
      <c r="AJ699" s="188"/>
      <c r="AK699" s="137"/>
      <c r="AL699" s="833"/>
      <c r="AM699" s="833"/>
    </row>
    <row r="700" spans="2:39" s="30" customFormat="1" x14ac:dyDescent="0.25">
      <c r="B700" s="27"/>
      <c r="D700" s="81"/>
      <c r="E700" s="45"/>
      <c r="F700" s="524"/>
      <c r="G700" s="49"/>
      <c r="H700" s="45"/>
      <c r="I700" s="314"/>
      <c r="J700" s="44"/>
      <c r="K700" s="311"/>
      <c r="L700" s="232"/>
      <c r="M700" s="225"/>
      <c r="N700" s="380"/>
      <c r="O700" s="45"/>
      <c r="P700" s="311"/>
      <c r="Q700" s="149"/>
      <c r="R700" s="293"/>
      <c r="S700" s="316"/>
      <c r="T700" s="355"/>
      <c r="V700" s="111"/>
      <c r="Y700" s="541"/>
      <c r="AB700" s="428"/>
      <c r="AC700" s="454"/>
      <c r="AD700" s="455"/>
      <c r="AE700" s="166"/>
      <c r="AF700" s="169"/>
      <c r="AG700" s="172"/>
      <c r="AH700" s="150"/>
      <c r="AI700" s="137"/>
      <c r="AJ700" s="188"/>
      <c r="AK700" s="137"/>
      <c r="AL700" s="833"/>
      <c r="AM700" s="833"/>
    </row>
    <row r="701" spans="2:39" s="30" customFormat="1" x14ac:dyDescent="0.25">
      <c r="B701" s="27"/>
      <c r="D701" s="81"/>
      <c r="E701" s="45"/>
      <c r="F701" s="524"/>
      <c r="G701" s="49"/>
      <c r="H701" s="45"/>
      <c r="I701" s="314"/>
      <c r="J701" s="44"/>
      <c r="K701" s="311"/>
      <c r="L701" s="232"/>
      <c r="M701" s="225"/>
      <c r="N701" s="380"/>
      <c r="O701" s="45"/>
      <c r="P701" s="311"/>
      <c r="Q701" s="149"/>
      <c r="R701" s="293"/>
      <c r="S701" s="316"/>
      <c r="T701" s="355"/>
      <c r="V701" s="111"/>
      <c r="Y701" s="541"/>
      <c r="AB701" s="428"/>
      <c r="AC701" s="454"/>
      <c r="AD701" s="455"/>
      <c r="AE701" s="166"/>
      <c r="AF701" s="169"/>
      <c r="AG701" s="172"/>
      <c r="AH701" s="150"/>
      <c r="AI701" s="137"/>
      <c r="AJ701" s="188"/>
      <c r="AK701" s="137"/>
      <c r="AL701" s="833"/>
      <c r="AM701" s="833"/>
    </row>
    <row r="702" spans="2:39" s="30" customFormat="1" x14ac:dyDescent="0.25">
      <c r="B702" s="27"/>
      <c r="D702" s="81"/>
      <c r="E702" s="45"/>
      <c r="F702" s="524"/>
      <c r="G702" s="49"/>
      <c r="H702" s="45"/>
      <c r="I702" s="314"/>
      <c r="J702" s="44"/>
      <c r="K702" s="311"/>
      <c r="L702" s="232"/>
      <c r="M702" s="225"/>
      <c r="N702" s="380"/>
      <c r="O702" s="45"/>
      <c r="P702" s="311"/>
      <c r="Q702" s="149"/>
      <c r="R702" s="293"/>
      <c r="S702" s="316"/>
      <c r="T702" s="355"/>
      <c r="V702" s="111"/>
      <c r="Y702" s="541"/>
      <c r="AB702" s="428"/>
      <c r="AC702" s="454"/>
      <c r="AD702" s="455"/>
      <c r="AE702" s="166"/>
      <c r="AF702" s="169"/>
      <c r="AG702" s="172"/>
      <c r="AH702" s="150"/>
      <c r="AI702" s="137"/>
      <c r="AJ702" s="188"/>
      <c r="AK702" s="137"/>
      <c r="AL702" s="833"/>
      <c r="AM702" s="833"/>
    </row>
    <row r="703" spans="2:39" s="30" customFormat="1" x14ac:dyDescent="0.25">
      <c r="B703" s="27"/>
      <c r="D703" s="81"/>
      <c r="E703" s="45"/>
      <c r="F703" s="524"/>
      <c r="G703" s="49"/>
      <c r="H703" s="45"/>
      <c r="I703" s="314"/>
      <c r="J703" s="44"/>
      <c r="K703" s="311"/>
      <c r="L703" s="232"/>
      <c r="M703" s="225"/>
      <c r="N703" s="380"/>
      <c r="O703" s="45"/>
      <c r="P703" s="311"/>
      <c r="Q703" s="149"/>
      <c r="R703" s="293"/>
      <c r="S703" s="316"/>
      <c r="T703" s="355"/>
      <c r="V703" s="111"/>
      <c r="Y703" s="541"/>
      <c r="AB703" s="428"/>
      <c r="AC703" s="454"/>
      <c r="AD703" s="455"/>
      <c r="AE703" s="166"/>
      <c r="AF703" s="169"/>
      <c r="AG703" s="172"/>
      <c r="AH703" s="150"/>
      <c r="AI703" s="137"/>
      <c r="AJ703" s="188"/>
      <c r="AK703" s="137"/>
      <c r="AL703" s="833"/>
      <c r="AM703" s="833"/>
    </row>
    <row r="704" spans="2:39" s="30" customFormat="1" x14ac:dyDescent="0.25">
      <c r="B704" s="27"/>
      <c r="D704" s="81"/>
      <c r="E704" s="45"/>
      <c r="F704" s="524"/>
      <c r="G704" s="49"/>
      <c r="H704" s="45"/>
      <c r="I704" s="314"/>
      <c r="J704" s="44"/>
      <c r="K704" s="311"/>
      <c r="L704" s="232"/>
      <c r="M704" s="225"/>
      <c r="N704" s="380"/>
      <c r="O704" s="45"/>
      <c r="P704" s="311"/>
      <c r="Q704" s="149"/>
      <c r="R704" s="293"/>
      <c r="S704" s="316"/>
      <c r="T704" s="355"/>
      <c r="V704" s="111"/>
      <c r="Y704" s="541"/>
      <c r="AB704" s="428"/>
      <c r="AC704" s="454"/>
      <c r="AD704" s="455"/>
      <c r="AE704" s="166"/>
      <c r="AF704" s="169"/>
      <c r="AG704" s="172"/>
      <c r="AH704" s="150"/>
      <c r="AI704" s="137"/>
      <c r="AJ704" s="188"/>
      <c r="AK704" s="137"/>
      <c r="AL704" s="833"/>
      <c r="AM704" s="833"/>
    </row>
    <row r="705" spans="2:39" s="30" customFormat="1" x14ac:dyDescent="0.25">
      <c r="B705" s="27"/>
      <c r="D705" s="81"/>
      <c r="E705" s="45"/>
      <c r="F705" s="524"/>
      <c r="G705" s="49"/>
      <c r="H705" s="45"/>
      <c r="I705" s="314"/>
      <c r="J705" s="44"/>
      <c r="K705" s="311"/>
      <c r="L705" s="232"/>
      <c r="M705" s="225"/>
      <c r="N705" s="380"/>
      <c r="O705" s="45"/>
      <c r="P705" s="311"/>
      <c r="Q705" s="149"/>
      <c r="R705" s="293"/>
      <c r="S705" s="316"/>
      <c r="T705" s="355"/>
      <c r="V705" s="111"/>
      <c r="Y705" s="541"/>
      <c r="AB705" s="428"/>
      <c r="AC705" s="454"/>
      <c r="AD705" s="455"/>
      <c r="AE705" s="166"/>
      <c r="AF705" s="169"/>
      <c r="AG705" s="172"/>
      <c r="AH705" s="150"/>
      <c r="AI705" s="137"/>
      <c r="AJ705" s="188"/>
      <c r="AK705" s="137"/>
      <c r="AL705" s="833"/>
      <c r="AM705" s="833"/>
    </row>
    <row r="706" spans="2:39" s="30" customFormat="1" x14ac:dyDescent="0.25">
      <c r="B706" s="27"/>
      <c r="D706" s="81"/>
      <c r="E706" s="45"/>
      <c r="F706" s="524"/>
      <c r="G706" s="49"/>
      <c r="H706" s="45"/>
      <c r="I706" s="314"/>
      <c r="J706" s="44"/>
      <c r="K706" s="311"/>
      <c r="L706" s="232"/>
      <c r="M706" s="225"/>
      <c r="N706" s="380"/>
      <c r="O706" s="45"/>
      <c r="P706" s="311"/>
      <c r="Q706" s="149"/>
      <c r="R706" s="293"/>
      <c r="S706" s="316"/>
      <c r="T706" s="355"/>
      <c r="V706" s="111"/>
      <c r="Y706" s="541"/>
      <c r="AB706" s="428"/>
      <c r="AC706" s="454"/>
      <c r="AD706" s="455"/>
      <c r="AE706" s="166"/>
      <c r="AF706" s="169"/>
      <c r="AG706" s="172"/>
      <c r="AH706" s="150"/>
      <c r="AI706" s="137"/>
      <c r="AJ706" s="188"/>
      <c r="AK706" s="137"/>
      <c r="AL706" s="833"/>
      <c r="AM706" s="833"/>
    </row>
    <row r="707" spans="2:39" s="30" customFormat="1" x14ac:dyDescent="0.25">
      <c r="B707" s="27"/>
      <c r="D707" s="81"/>
      <c r="E707" s="45"/>
      <c r="F707" s="524"/>
      <c r="G707" s="49"/>
      <c r="H707" s="45"/>
      <c r="I707" s="314"/>
      <c r="J707" s="44"/>
      <c r="K707" s="311"/>
      <c r="L707" s="232"/>
      <c r="M707" s="225"/>
      <c r="N707" s="380"/>
      <c r="O707" s="45"/>
      <c r="P707" s="311"/>
      <c r="Q707" s="149"/>
      <c r="R707" s="293"/>
      <c r="S707" s="316"/>
      <c r="T707" s="355"/>
      <c r="V707" s="111"/>
      <c r="Y707" s="541"/>
      <c r="AB707" s="428"/>
      <c r="AC707" s="454"/>
      <c r="AD707" s="455"/>
      <c r="AE707" s="166"/>
      <c r="AF707" s="169"/>
      <c r="AG707" s="172"/>
      <c r="AH707" s="150"/>
      <c r="AI707" s="137"/>
      <c r="AJ707" s="188"/>
      <c r="AK707" s="137"/>
      <c r="AL707" s="833"/>
      <c r="AM707" s="833"/>
    </row>
    <row r="708" spans="2:39" s="30" customFormat="1" x14ac:dyDescent="0.25">
      <c r="B708" s="27"/>
      <c r="D708" s="81"/>
      <c r="E708" s="45"/>
      <c r="F708" s="524"/>
      <c r="G708" s="49"/>
      <c r="H708" s="45"/>
      <c r="I708" s="314"/>
      <c r="J708" s="44"/>
      <c r="K708" s="311"/>
      <c r="L708" s="232"/>
      <c r="M708" s="225"/>
      <c r="N708" s="380"/>
      <c r="O708" s="45"/>
      <c r="P708" s="311"/>
      <c r="Q708" s="149"/>
      <c r="R708" s="293"/>
      <c r="S708" s="316"/>
      <c r="T708" s="355"/>
      <c r="V708" s="111"/>
      <c r="Y708" s="541"/>
      <c r="AB708" s="428"/>
      <c r="AC708" s="454"/>
      <c r="AD708" s="455"/>
      <c r="AE708" s="166"/>
      <c r="AF708" s="169"/>
      <c r="AG708" s="172"/>
      <c r="AH708" s="150"/>
      <c r="AI708" s="137"/>
      <c r="AJ708" s="188"/>
      <c r="AK708" s="137"/>
      <c r="AL708" s="833"/>
      <c r="AM708" s="833"/>
    </row>
    <row r="709" spans="2:39" s="30" customFormat="1" x14ac:dyDescent="0.25">
      <c r="B709" s="27"/>
      <c r="D709" s="81"/>
      <c r="E709" s="45"/>
      <c r="F709" s="524"/>
      <c r="G709" s="49"/>
      <c r="H709" s="45"/>
      <c r="I709" s="314"/>
      <c r="J709" s="44"/>
      <c r="K709" s="311"/>
      <c r="L709" s="232"/>
      <c r="M709" s="225"/>
      <c r="N709" s="380"/>
      <c r="O709" s="45"/>
      <c r="P709" s="311"/>
      <c r="Q709" s="149"/>
      <c r="R709" s="293"/>
      <c r="S709" s="316"/>
      <c r="T709" s="355"/>
      <c r="V709" s="111"/>
      <c r="Y709" s="541"/>
      <c r="AB709" s="428"/>
      <c r="AC709" s="454"/>
      <c r="AD709" s="455"/>
      <c r="AE709" s="166"/>
      <c r="AF709" s="169"/>
      <c r="AG709" s="172"/>
      <c r="AH709" s="150"/>
      <c r="AI709" s="137"/>
      <c r="AJ709" s="188"/>
      <c r="AK709" s="137"/>
      <c r="AL709" s="833"/>
      <c r="AM709" s="833"/>
    </row>
    <row r="710" spans="2:39" s="30" customFormat="1" x14ac:dyDescent="0.25">
      <c r="B710" s="27"/>
      <c r="D710" s="81"/>
      <c r="E710" s="45"/>
      <c r="F710" s="524"/>
      <c r="G710" s="49"/>
      <c r="H710" s="45"/>
      <c r="I710" s="314"/>
      <c r="J710" s="44"/>
      <c r="K710" s="311"/>
      <c r="L710" s="232"/>
      <c r="M710" s="225"/>
      <c r="N710" s="380"/>
      <c r="O710" s="45"/>
      <c r="P710" s="311"/>
      <c r="Q710" s="149"/>
      <c r="R710" s="293"/>
      <c r="S710" s="316"/>
      <c r="T710" s="355"/>
      <c r="V710" s="111"/>
      <c r="Y710" s="541"/>
      <c r="AB710" s="428"/>
      <c r="AC710" s="454"/>
      <c r="AD710" s="455"/>
      <c r="AE710" s="166"/>
      <c r="AF710" s="169"/>
      <c r="AG710" s="172"/>
      <c r="AH710" s="150"/>
      <c r="AI710" s="137"/>
      <c r="AJ710" s="188"/>
      <c r="AK710" s="137"/>
      <c r="AL710" s="833"/>
      <c r="AM710" s="833"/>
    </row>
    <row r="711" spans="2:39" s="30" customFormat="1" x14ac:dyDescent="0.25">
      <c r="B711" s="27"/>
      <c r="D711" s="81"/>
      <c r="E711" s="45"/>
      <c r="F711" s="524"/>
      <c r="G711" s="49"/>
      <c r="H711" s="45"/>
      <c r="I711" s="314"/>
      <c r="J711" s="44"/>
      <c r="K711" s="311"/>
      <c r="L711" s="232"/>
      <c r="M711" s="225"/>
      <c r="N711" s="380"/>
      <c r="O711" s="45"/>
      <c r="P711" s="311"/>
      <c r="Q711" s="149"/>
      <c r="R711" s="293"/>
      <c r="S711" s="316"/>
      <c r="T711" s="355"/>
      <c r="V711" s="111"/>
      <c r="Y711" s="541"/>
      <c r="AB711" s="428"/>
      <c r="AC711" s="454"/>
      <c r="AD711" s="455"/>
      <c r="AE711" s="166"/>
      <c r="AF711" s="169"/>
      <c r="AG711" s="172"/>
      <c r="AH711" s="150"/>
      <c r="AI711" s="137"/>
      <c r="AJ711" s="188"/>
      <c r="AK711" s="137"/>
      <c r="AL711" s="833"/>
      <c r="AM711" s="833"/>
    </row>
    <row r="712" spans="2:39" s="30" customFormat="1" x14ac:dyDescent="0.25">
      <c r="B712" s="27"/>
      <c r="D712" s="81"/>
      <c r="E712" s="45"/>
      <c r="F712" s="524"/>
      <c r="G712" s="49"/>
      <c r="H712" s="45"/>
      <c r="I712" s="314"/>
      <c r="J712" s="44"/>
      <c r="K712" s="311"/>
      <c r="L712" s="232"/>
      <c r="M712" s="225"/>
      <c r="N712" s="380"/>
      <c r="O712" s="45"/>
      <c r="P712" s="311"/>
      <c r="Q712" s="149"/>
      <c r="R712" s="293"/>
      <c r="S712" s="316"/>
      <c r="T712" s="355"/>
      <c r="V712" s="111"/>
      <c r="Y712" s="541"/>
      <c r="AB712" s="428"/>
      <c r="AC712" s="454"/>
      <c r="AD712" s="455"/>
      <c r="AE712" s="166"/>
      <c r="AF712" s="169"/>
      <c r="AG712" s="172"/>
      <c r="AH712" s="150"/>
      <c r="AI712" s="137"/>
      <c r="AJ712" s="188"/>
      <c r="AK712" s="137"/>
      <c r="AL712" s="833"/>
      <c r="AM712" s="833"/>
    </row>
    <row r="713" spans="2:39" s="30" customFormat="1" x14ac:dyDescent="0.25">
      <c r="B713" s="27"/>
      <c r="D713" s="81"/>
      <c r="E713" s="45"/>
      <c r="F713" s="524"/>
      <c r="G713" s="49"/>
      <c r="H713" s="45"/>
      <c r="I713" s="314"/>
      <c r="J713" s="44"/>
      <c r="K713" s="311"/>
      <c r="L713" s="232"/>
      <c r="M713" s="225"/>
      <c r="N713" s="380"/>
      <c r="O713" s="45"/>
      <c r="P713" s="311"/>
      <c r="Q713" s="149"/>
      <c r="R713" s="293"/>
      <c r="S713" s="316"/>
      <c r="T713" s="355"/>
      <c r="V713" s="111"/>
      <c r="Y713" s="541"/>
      <c r="AB713" s="428"/>
      <c r="AC713" s="454"/>
      <c r="AD713" s="455"/>
      <c r="AE713" s="166"/>
      <c r="AF713" s="169"/>
      <c r="AG713" s="172"/>
      <c r="AH713" s="150"/>
      <c r="AI713" s="137"/>
      <c r="AJ713" s="188"/>
      <c r="AK713" s="137"/>
      <c r="AL713" s="833"/>
      <c r="AM713" s="833"/>
    </row>
    <row r="714" spans="2:39" s="30" customFormat="1" x14ac:dyDescent="0.25">
      <c r="B714" s="27"/>
      <c r="D714" s="81"/>
      <c r="E714" s="45"/>
      <c r="F714" s="524"/>
      <c r="G714" s="49"/>
      <c r="H714" s="45"/>
      <c r="I714" s="314"/>
      <c r="J714" s="44"/>
      <c r="K714" s="311"/>
      <c r="L714" s="232"/>
      <c r="M714" s="225"/>
      <c r="N714" s="380"/>
      <c r="O714" s="45"/>
      <c r="P714" s="311"/>
      <c r="Q714" s="149"/>
      <c r="R714" s="293"/>
      <c r="S714" s="316"/>
      <c r="T714" s="355"/>
      <c r="V714" s="111"/>
      <c r="Y714" s="541"/>
      <c r="AB714" s="428"/>
      <c r="AC714" s="454"/>
      <c r="AD714" s="455"/>
      <c r="AE714" s="166"/>
      <c r="AF714" s="169"/>
      <c r="AG714" s="172"/>
      <c r="AH714" s="150"/>
      <c r="AI714" s="137"/>
      <c r="AJ714" s="188"/>
      <c r="AK714" s="137"/>
      <c r="AL714" s="833"/>
      <c r="AM714" s="833"/>
    </row>
    <row r="715" spans="2:39" s="30" customFormat="1" x14ac:dyDescent="0.25">
      <c r="B715" s="27"/>
      <c r="D715" s="81"/>
      <c r="E715" s="45"/>
      <c r="F715" s="524"/>
      <c r="G715" s="49"/>
      <c r="H715" s="45"/>
      <c r="I715" s="314"/>
      <c r="J715" s="44"/>
      <c r="K715" s="311"/>
      <c r="L715" s="232"/>
      <c r="M715" s="225"/>
      <c r="N715" s="380"/>
      <c r="O715" s="45"/>
      <c r="P715" s="311"/>
      <c r="Q715" s="149"/>
      <c r="R715" s="293"/>
      <c r="S715" s="316"/>
      <c r="T715" s="355"/>
      <c r="V715" s="111"/>
      <c r="Y715" s="541"/>
      <c r="AB715" s="428"/>
      <c r="AC715" s="454"/>
      <c r="AD715" s="455"/>
      <c r="AE715" s="166"/>
      <c r="AF715" s="169"/>
      <c r="AG715" s="172"/>
      <c r="AH715" s="150"/>
      <c r="AI715" s="137"/>
      <c r="AJ715" s="188"/>
      <c r="AK715" s="137"/>
      <c r="AL715" s="833"/>
      <c r="AM715" s="833"/>
    </row>
    <row r="716" spans="2:39" s="30" customFormat="1" x14ac:dyDescent="0.25">
      <c r="B716" s="27"/>
      <c r="D716" s="81"/>
      <c r="E716" s="45"/>
      <c r="F716" s="524"/>
      <c r="G716" s="49"/>
      <c r="H716" s="45"/>
      <c r="I716" s="314"/>
      <c r="J716" s="44"/>
      <c r="K716" s="311"/>
      <c r="L716" s="232"/>
      <c r="M716" s="225"/>
      <c r="N716" s="380"/>
      <c r="O716" s="45"/>
      <c r="P716" s="311"/>
      <c r="Q716" s="149"/>
      <c r="R716" s="293"/>
      <c r="S716" s="316"/>
      <c r="T716" s="355"/>
      <c r="V716" s="111"/>
      <c r="Y716" s="541"/>
      <c r="AB716" s="428"/>
      <c r="AC716" s="454"/>
      <c r="AD716" s="455"/>
      <c r="AE716" s="166"/>
      <c r="AF716" s="169"/>
      <c r="AG716" s="172"/>
      <c r="AH716" s="150"/>
      <c r="AI716" s="137"/>
      <c r="AJ716" s="188"/>
      <c r="AK716" s="137"/>
      <c r="AL716" s="833"/>
      <c r="AM716" s="833"/>
    </row>
    <row r="717" spans="2:39" s="30" customFormat="1" x14ac:dyDescent="0.25">
      <c r="B717" s="27"/>
      <c r="D717" s="81"/>
      <c r="E717" s="45"/>
      <c r="F717" s="524"/>
      <c r="G717" s="49"/>
      <c r="H717" s="45"/>
      <c r="I717" s="314"/>
      <c r="J717" s="44"/>
      <c r="K717" s="311"/>
      <c r="L717" s="232"/>
      <c r="M717" s="225"/>
      <c r="N717" s="380"/>
      <c r="O717" s="45"/>
      <c r="P717" s="311"/>
      <c r="Q717" s="149"/>
      <c r="R717" s="293"/>
      <c r="S717" s="316"/>
      <c r="T717" s="355"/>
      <c r="V717" s="111"/>
      <c r="Y717" s="541"/>
      <c r="AB717" s="428"/>
      <c r="AC717" s="454"/>
      <c r="AD717" s="455"/>
      <c r="AE717" s="166"/>
      <c r="AF717" s="169"/>
      <c r="AG717" s="172"/>
      <c r="AH717" s="150"/>
      <c r="AI717" s="137"/>
      <c r="AJ717" s="188"/>
      <c r="AK717" s="137"/>
      <c r="AL717" s="833"/>
      <c r="AM717" s="833"/>
    </row>
    <row r="718" spans="2:39" s="30" customFormat="1" x14ac:dyDescent="0.25">
      <c r="B718" s="27"/>
      <c r="D718" s="81"/>
      <c r="E718" s="45"/>
      <c r="F718" s="524"/>
      <c r="G718" s="49"/>
      <c r="H718" s="45"/>
      <c r="I718" s="314"/>
      <c r="J718" s="44"/>
      <c r="K718" s="311"/>
      <c r="L718" s="232"/>
      <c r="M718" s="225"/>
      <c r="N718" s="380"/>
      <c r="O718" s="45"/>
      <c r="P718" s="311"/>
      <c r="Q718" s="149"/>
      <c r="R718" s="293"/>
      <c r="S718" s="316"/>
      <c r="T718" s="355"/>
      <c r="V718" s="111"/>
      <c r="Y718" s="541"/>
      <c r="AB718" s="428"/>
      <c r="AC718" s="454"/>
      <c r="AD718" s="455"/>
      <c r="AE718" s="166"/>
      <c r="AF718" s="169"/>
      <c r="AG718" s="172"/>
      <c r="AH718" s="150"/>
      <c r="AI718" s="137"/>
      <c r="AJ718" s="188"/>
      <c r="AK718" s="137"/>
      <c r="AL718" s="833"/>
      <c r="AM718" s="833"/>
    </row>
    <row r="719" spans="2:39" s="30" customFormat="1" x14ac:dyDescent="0.25">
      <c r="B719" s="27"/>
      <c r="D719" s="81"/>
      <c r="E719" s="45"/>
      <c r="F719" s="524"/>
      <c r="G719" s="49"/>
      <c r="H719" s="45"/>
      <c r="I719" s="314"/>
      <c r="J719" s="44"/>
      <c r="K719" s="311"/>
      <c r="L719" s="232"/>
      <c r="M719" s="225"/>
      <c r="N719" s="380"/>
      <c r="O719" s="45"/>
      <c r="P719" s="311"/>
      <c r="Q719" s="149"/>
      <c r="R719" s="293"/>
      <c r="S719" s="316"/>
      <c r="T719" s="355"/>
      <c r="V719" s="111"/>
      <c r="Y719" s="541"/>
      <c r="AB719" s="428"/>
      <c r="AC719" s="454"/>
      <c r="AD719" s="455"/>
      <c r="AE719" s="166"/>
      <c r="AF719" s="169"/>
      <c r="AG719" s="172"/>
      <c r="AH719" s="150"/>
      <c r="AI719" s="137"/>
      <c r="AJ719" s="188"/>
      <c r="AK719" s="137"/>
      <c r="AL719" s="833"/>
      <c r="AM719" s="833"/>
    </row>
    <row r="720" spans="2:39" s="30" customFormat="1" x14ac:dyDescent="0.25">
      <c r="B720" s="27"/>
      <c r="D720" s="81"/>
      <c r="E720" s="45"/>
      <c r="F720" s="524"/>
      <c r="G720" s="49"/>
      <c r="H720" s="45"/>
      <c r="I720" s="314"/>
      <c r="J720" s="44"/>
      <c r="K720" s="311"/>
      <c r="L720" s="232"/>
      <c r="M720" s="225"/>
      <c r="N720" s="380"/>
      <c r="O720" s="45"/>
      <c r="P720" s="311"/>
      <c r="Q720" s="149"/>
      <c r="R720" s="293"/>
      <c r="S720" s="316"/>
      <c r="T720" s="355"/>
      <c r="V720" s="111"/>
      <c r="Y720" s="541"/>
      <c r="AB720" s="428"/>
      <c r="AC720" s="454"/>
      <c r="AD720" s="455"/>
      <c r="AE720" s="166"/>
      <c r="AF720" s="169"/>
      <c r="AG720" s="172"/>
      <c r="AH720" s="150"/>
      <c r="AI720" s="137"/>
      <c r="AJ720" s="188"/>
      <c r="AK720" s="137"/>
      <c r="AL720" s="833"/>
      <c r="AM720" s="833"/>
    </row>
    <row r="721" spans="2:39" s="30" customFormat="1" x14ac:dyDescent="0.25">
      <c r="B721" s="27"/>
      <c r="D721" s="81"/>
      <c r="E721" s="45"/>
      <c r="F721" s="524"/>
      <c r="G721" s="49"/>
      <c r="H721" s="45"/>
      <c r="I721" s="314"/>
      <c r="J721" s="44"/>
      <c r="K721" s="311"/>
      <c r="L721" s="232"/>
      <c r="M721" s="225"/>
      <c r="N721" s="380"/>
      <c r="O721" s="45"/>
      <c r="P721" s="311"/>
      <c r="Q721" s="149"/>
      <c r="R721" s="293"/>
      <c r="S721" s="316"/>
      <c r="T721" s="355"/>
      <c r="V721" s="111"/>
      <c r="Y721" s="541"/>
      <c r="AB721" s="428"/>
      <c r="AC721" s="454"/>
      <c r="AD721" s="455"/>
      <c r="AE721" s="166"/>
      <c r="AF721" s="169"/>
      <c r="AG721" s="172"/>
      <c r="AH721" s="150"/>
      <c r="AI721" s="137"/>
      <c r="AJ721" s="188"/>
      <c r="AK721" s="137"/>
      <c r="AL721" s="833"/>
      <c r="AM721" s="833"/>
    </row>
    <row r="722" spans="2:39" s="30" customFormat="1" x14ac:dyDescent="0.25">
      <c r="B722" s="27"/>
      <c r="D722" s="81"/>
      <c r="E722" s="45"/>
      <c r="F722" s="524"/>
      <c r="G722" s="49"/>
      <c r="H722" s="45"/>
      <c r="I722" s="314"/>
      <c r="J722" s="44"/>
      <c r="K722" s="311"/>
      <c r="L722" s="232"/>
      <c r="M722" s="225"/>
      <c r="N722" s="380"/>
      <c r="O722" s="45"/>
      <c r="P722" s="311"/>
      <c r="Q722" s="149"/>
      <c r="R722" s="293"/>
      <c r="S722" s="316"/>
      <c r="T722" s="355"/>
      <c r="V722" s="152"/>
      <c r="Y722" s="541"/>
      <c r="AB722" s="428"/>
      <c r="AC722" s="454"/>
      <c r="AD722" s="455"/>
      <c r="AE722" s="166"/>
      <c r="AF722" s="169"/>
      <c r="AG722" s="172"/>
      <c r="AH722" s="150"/>
      <c r="AI722" s="137"/>
      <c r="AJ722" s="188"/>
      <c r="AK722" s="137"/>
      <c r="AL722" s="833"/>
      <c r="AM722" s="833"/>
    </row>
    <row r="723" spans="2:39" s="30" customFormat="1" x14ac:dyDescent="0.25">
      <c r="B723" s="27"/>
      <c r="D723" s="81"/>
      <c r="E723" s="45"/>
      <c r="F723" s="524"/>
      <c r="G723" s="49"/>
      <c r="H723" s="45"/>
      <c r="I723" s="314"/>
      <c r="J723" s="44"/>
      <c r="K723" s="311"/>
      <c r="L723" s="232"/>
      <c r="M723" s="225"/>
      <c r="N723" s="380"/>
      <c r="O723" s="45"/>
      <c r="P723" s="311"/>
      <c r="Q723" s="149"/>
      <c r="R723" s="293"/>
      <c r="S723" s="316"/>
      <c r="T723" s="355"/>
      <c r="Y723" s="541"/>
      <c r="AB723" s="428"/>
      <c r="AC723" s="454"/>
      <c r="AD723" s="455"/>
      <c r="AE723" s="166"/>
      <c r="AF723" s="169"/>
      <c r="AG723" s="172"/>
      <c r="AH723" s="150"/>
      <c r="AI723" s="137"/>
      <c r="AJ723" s="188"/>
      <c r="AK723" s="137"/>
      <c r="AL723" s="833"/>
      <c r="AM723" s="833"/>
    </row>
    <row r="724" spans="2:39" x14ac:dyDescent="0.25">
      <c r="I724" s="314"/>
      <c r="J724" s="44"/>
      <c r="N724" s="514"/>
      <c r="Q724" s="149"/>
      <c r="R724" s="293"/>
      <c r="S724" s="316"/>
      <c r="T724" s="355"/>
    </row>
    <row r="725" spans="2:39" x14ac:dyDescent="0.25">
      <c r="I725" s="314"/>
      <c r="J725" s="44"/>
      <c r="N725" s="514"/>
      <c r="R725" s="293"/>
      <c r="S725" s="316"/>
      <c r="T725" s="355"/>
    </row>
    <row r="726" spans="2:39" x14ac:dyDescent="0.25">
      <c r="I726" s="314"/>
      <c r="J726" s="44"/>
      <c r="N726" s="514"/>
      <c r="R726" s="293"/>
      <c r="S726" s="316"/>
      <c r="T726" s="355"/>
    </row>
    <row r="727" spans="2:39" x14ac:dyDescent="0.25">
      <c r="I727" s="314"/>
      <c r="J727" s="44"/>
      <c r="N727" s="514"/>
      <c r="R727" s="293"/>
      <c r="S727" s="316"/>
      <c r="T727" s="355"/>
    </row>
    <row r="728" spans="2:39" x14ac:dyDescent="0.25">
      <c r="I728" s="314"/>
      <c r="J728" s="44"/>
      <c r="N728" s="514"/>
      <c r="R728" s="293"/>
      <c r="S728" s="316"/>
      <c r="T728" s="355"/>
    </row>
    <row r="729" spans="2:39" x14ac:dyDescent="0.25">
      <c r="I729" s="314"/>
      <c r="J729" s="44"/>
      <c r="N729" s="514"/>
      <c r="R729" s="293"/>
      <c r="S729" s="316"/>
      <c r="T729" s="355"/>
    </row>
    <row r="730" spans="2:39" x14ac:dyDescent="0.25">
      <c r="I730" s="314"/>
      <c r="J730" s="44"/>
      <c r="N730" s="514"/>
      <c r="R730" s="293"/>
      <c r="S730" s="316"/>
      <c r="T730" s="355"/>
    </row>
    <row r="731" spans="2:39" x14ac:dyDescent="0.25">
      <c r="I731" s="314"/>
      <c r="J731" s="44"/>
      <c r="N731" s="514"/>
      <c r="R731" s="293"/>
      <c r="S731" s="316"/>
      <c r="T731" s="355"/>
    </row>
    <row r="732" spans="2:39" x14ac:dyDescent="0.25">
      <c r="I732" s="314"/>
      <c r="J732" s="44"/>
      <c r="N732" s="514"/>
      <c r="R732" s="293"/>
      <c r="S732" s="316"/>
      <c r="T732" s="355"/>
    </row>
    <row r="733" spans="2:39" x14ac:dyDescent="0.25">
      <c r="I733" s="314"/>
      <c r="J733" s="44"/>
      <c r="N733" s="514"/>
      <c r="R733" s="293"/>
      <c r="S733" s="316"/>
      <c r="T733" s="355"/>
    </row>
    <row r="734" spans="2:39" x14ac:dyDescent="0.25">
      <c r="I734" s="314"/>
      <c r="J734" s="44"/>
      <c r="N734" s="514"/>
      <c r="R734" s="293"/>
      <c r="S734" s="316"/>
      <c r="T734" s="355"/>
    </row>
    <row r="735" spans="2:39" x14ac:dyDescent="0.25">
      <c r="I735" s="314"/>
      <c r="J735" s="44"/>
      <c r="N735" s="514"/>
      <c r="R735" s="293"/>
      <c r="S735" s="316"/>
      <c r="T735" s="355"/>
    </row>
    <row r="736" spans="2:39" x14ac:dyDescent="0.25">
      <c r="I736" s="314"/>
      <c r="J736" s="44"/>
      <c r="N736" s="514"/>
      <c r="R736" s="293"/>
      <c r="S736" s="316"/>
      <c r="T736" s="355"/>
    </row>
    <row r="737" spans="9:20" x14ac:dyDescent="0.25">
      <c r="I737" s="314"/>
      <c r="J737" s="44"/>
      <c r="N737" s="514"/>
      <c r="R737" s="293"/>
      <c r="S737" s="316"/>
      <c r="T737" s="355"/>
    </row>
    <row r="738" spans="9:20" x14ac:dyDescent="0.25">
      <c r="I738" s="314"/>
      <c r="J738" s="44"/>
      <c r="N738" s="514"/>
      <c r="R738" s="293"/>
      <c r="S738" s="316"/>
      <c r="T738" s="355"/>
    </row>
    <row r="739" spans="9:20" x14ac:dyDescent="0.25">
      <c r="I739" s="314"/>
      <c r="J739" s="44"/>
      <c r="N739" s="514"/>
      <c r="R739" s="293"/>
      <c r="S739" s="316"/>
      <c r="T739" s="355"/>
    </row>
    <row r="740" spans="9:20" x14ac:dyDescent="0.25">
      <c r="I740" s="314"/>
      <c r="J740" s="44"/>
      <c r="N740" s="514"/>
      <c r="R740" s="293"/>
      <c r="S740" s="316"/>
      <c r="T740" s="355"/>
    </row>
    <row r="741" spans="9:20" x14ac:dyDescent="0.25">
      <c r="I741" s="314"/>
      <c r="J741" s="44"/>
      <c r="N741" s="514"/>
      <c r="R741" s="293"/>
      <c r="S741" s="316"/>
      <c r="T741" s="355"/>
    </row>
    <row r="742" spans="9:20" x14ac:dyDescent="0.25">
      <c r="I742" s="314"/>
      <c r="J742" s="44"/>
      <c r="N742" s="514"/>
      <c r="R742" s="293"/>
      <c r="S742" s="316"/>
      <c r="T742" s="355"/>
    </row>
    <row r="743" spans="9:20" x14ac:dyDescent="0.25">
      <c r="I743" s="314"/>
      <c r="J743" s="44"/>
      <c r="N743" s="514"/>
      <c r="R743" s="293"/>
      <c r="S743" s="316"/>
      <c r="T743" s="355"/>
    </row>
    <row r="744" spans="9:20" x14ac:dyDescent="0.25">
      <c r="I744" s="314"/>
      <c r="J744" s="44"/>
      <c r="N744" s="514"/>
      <c r="R744" s="293"/>
      <c r="S744" s="316"/>
      <c r="T744" s="355"/>
    </row>
    <row r="745" spans="9:20" x14ac:dyDescent="0.25">
      <c r="I745" s="314"/>
      <c r="J745" s="44"/>
      <c r="N745" s="514"/>
      <c r="R745" s="293"/>
      <c r="S745" s="316"/>
      <c r="T745" s="355"/>
    </row>
    <row r="746" spans="9:20" x14ac:dyDescent="0.25">
      <c r="I746" s="314"/>
      <c r="J746" s="44"/>
      <c r="N746" s="514"/>
      <c r="R746" s="293"/>
      <c r="S746" s="316"/>
      <c r="T746" s="355"/>
    </row>
    <row r="747" spans="9:20" x14ac:dyDescent="0.25">
      <c r="I747" s="314"/>
      <c r="J747" s="44"/>
      <c r="N747" s="514"/>
      <c r="R747" s="293"/>
      <c r="S747" s="316"/>
      <c r="T747" s="355"/>
    </row>
    <row r="748" spans="9:20" x14ac:dyDescent="0.25">
      <c r="I748" s="314"/>
      <c r="J748" s="44"/>
      <c r="N748" s="514"/>
      <c r="R748" s="293"/>
      <c r="S748" s="316"/>
      <c r="T748" s="355"/>
    </row>
    <row r="749" spans="9:20" x14ac:dyDescent="0.25">
      <c r="I749" s="314"/>
      <c r="J749" s="44"/>
      <c r="N749" s="514"/>
      <c r="R749" s="293"/>
      <c r="S749" s="316"/>
      <c r="T749" s="355"/>
    </row>
    <row r="750" spans="9:20" x14ac:dyDescent="0.25">
      <c r="I750" s="314"/>
      <c r="J750" s="44"/>
      <c r="N750" s="514"/>
      <c r="R750" s="293"/>
      <c r="S750" s="316"/>
      <c r="T750" s="355"/>
    </row>
    <row r="751" spans="9:20" x14ac:dyDescent="0.25">
      <c r="I751" s="314"/>
      <c r="J751" s="44"/>
      <c r="N751" s="514"/>
      <c r="R751" s="293"/>
      <c r="S751" s="316"/>
      <c r="T751" s="355"/>
    </row>
    <row r="752" spans="9:20" x14ac:dyDescent="0.25">
      <c r="I752" s="314"/>
      <c r="J752" s="44"/>
      <c r="N752" s="514"/>
      <c r="R752" s="293"/>
      <c r="S752" s="316"/>
      <c r="T752" s="355"/>
    </row>
    <row r="753" spans="9:20" x14ac:dyDescent="0.25">
      <c r="I753" s="314"/>
      <c r="J753" s="44"/>
      <c r="N753" s="514"/>
      <c r="R753" s="293"/>
      <c r="S753" s="316"/>
      <c r="T753" s="355"/>
    </row>
    <row r="754" spans="9:20" x14ac:dyDescent="0.25">
      <c r="I754" s="314"/>
      <c r="J754" s="44"/>
      <c r="N754" s="514"/>
      <c r="R754" s="293"/>
      <c r="S754" s="316"/>
      <c r="T754" s="355"/>
    </row>
    <row r="755" spans="9:20" x14ac:dyDescent="0.25">
      <c r="I755" s="314"/>
      <c r="J755" s="44"/>
      <c r="N755" s="514"/>
      <c r="R755" s="293"/>
      <c r="S755" s="316"/>
      <c r="T755" s="355"/>
    </row>
    <row r="756" spans="9:20" x14ac:dyDescent="0.25">
      <c r="I756" s="314"/>
      <c r="J756" s="44"/>
      <c r="N756" s="514"/>
      <c r="R756" s="293"/>
      <c r="S756" s="316"/>
      <c r="T756" s="355"/>
    </row>
    <row r="757" spans="9:20" x14ac:dyDescent="0.25">
      <c r="I757" s="314"/>
      <c r="J757" s="44"/>
      <c r="N757" s="514"/>
      <c r="R757" s="293"/>
      <c r="S757" s="316"/>
      <c r="T757" s="355"/>
    </row>
    <row r="758" spans="9:20" x14ac:dyDescent="0.25">
      <c r="I758" s="314"/>
      <c r="J758" s="44"/>
      <c r="N758" s="514"/>
      <c r="R758" s="293"/>
      <c r="S758" s="316"/>
      <c r="T758" s="355"/>
    </row>
    <row r="759" spans="9:20" x14ac:dyDescent="0.25">
      <c r="I759" s="314"/>
      <c r="J759" s="44"/>
      <c r="N759" s="514"/>
      <c r="R759" s="293"/>
      <c r="S759" s="316"/>
      <c r="T759" s="355"/>
    </row>
    <row r="760" spans="9:20" x14ac:dyDescent="0.25">
      <c r="I760" s="314"/>
      <c r="J760" s="44"/>
      <c r="N760" s="514"/>
      <c r="R760" s="293"/>
      <c r="S760" s="316"/>
      <c r="T760" s="355"/>
    </row>
    <row r="761" spans="9:20" x14ac:dyDescent="0.25">
      <c r="I761" s="314"/>
      <c r="J761" s="44"/>
      <c r="N761" s="514"/>
      <c r="R761" s="293"/>
      <c r="S761" s="316"/>
      <c r="T761" s="355"/>
    </row>
    <row r="762" spans="9:20" x14ac:dyDescent="0.25">
      <c r="I762" s="314"/>
      <c r="J762" s="44"/>
      <c r="N762" s="514"/>
      <c r="R762" s="293"/>
      <c r="S762" s="316"/>
      <c r="T762" s="355"/>
    </row>
    <row r="763" spans="9:20" x14ac:dyDescent="0.25">
      <c r="I763" s="314"/>
      <c r="J763" s="44"/>
      <c r="N763" s="514"/>
      <c r="R763" s="293"/>
      <c r="S763" s="316"/>
      <c r="T763" s="355"/>
    </row>
    <row r="764" spans="9:20" x14ac:dyDescent="0.25">
      <c r="I764" s="314"/>
      <c r="J764" s="44"/>
      <c r="N764" s="514"/>
      <c r="R764" s="293"/>
      <c r="S764" s="316"/>
      <c r="T764" s="355"/>
    </row>
    <row r="765" spans="9:20" x14ac:dyDescent="0.25">
      <c r="I765" s="314"/>
      <c r="J765" s="44"/>
      <c r="N765" s="514"/>
      <c r="R765" s="293"/>
      <c r="S765" s="316"/>
      <c r="T765" s="355"/>
    </row>
    <row r="766" spans="9:20" x14ac:dyDescent="0.25">
      <c r="I766" s="314"/>
      <c r="J766" s="44"/>
      <c r="N766" s="514"/>
      <c r="R766" s="293"/>
      <c r="S766" s="316"/>
      <c r="T766" s="355"/>
    </row>
    <row r="767" spans="9:20" x14ac:dyDescent="0.25">
      <c r="I767" s="314"/>
      <c r="J767" s="44"/>
      <c r="N767" s="514"/>
      <c r="R767" s="293"/>
      <c r="S767" s="316"/>
      <c r="T767" s="355"/>
    </row>
    <row r="768" spans="9:20" x14ac:dyDescent="0.25">
      <c r="I768" s="314"/>
      <c r="J768" s="44"/>
      <c r="N768" s="514"/>
      <c r="R768" s="293"/>
      <c r="S768" s="316"/>
      <c r="T768" s="355"/>
    </row>
    <row r="769" spans="9:20" x14ac:dyDescent="0.25">
      <c r="I769" s="314"/>
      <c r="J769" s="44"/>
      <c r="N769" s="514"/>
      <c r="R769" s="293"/>
      <c r="S769" s="316"/>
      <c r="T769" s="355"/>
    </row>
    <row r="770" spans="9:20" x14ac:dyDescent="0.25">
      <c r="I770" s="314"/>
      <c r="J770" s="44"/>
      <c r="N770" s="514"/>
      <c r="R770" s="293"/>
      <c r="S770" s="316"/>
      <c r="T770" s="355"/>
    </row>
    <row r="771" spans="9:20" x14ac:dyDescent="0.25">
      <c r="I771" s="314"/>
      <c r="J771" s="44"/>
      <c r="N771" s="514"/>
      <c r="R771" s="293"/>
      <c r="S771" s="316"/>
      <c r="T771" s="355"/>
    </row>
    <row r="772" spans="9:20" x14ac:dyDescent="0.25">
      <c r="I772" s="314"/>
      <c r="J772" s="44"/>
      <c r="N772" s="514"/>
      <c r="R772" s="293"/>
      <c r="S772" s="316"/>
      <c r="T772" s="355"/>
    </row>
    <row r="773" spans="9:20" x14ac:dyDescent="0.25">
      <c r="I773" s="314"/>
      <c r="J773" s="44"/>
      <c r="N773" s="514"/>
      <c r="R773" s="293"/>
      <c r="S773" s="316"/>
      <c r="T773" s="355"/>
    </row>
    <row r="774" spans="9:20" x14ac:dyDescent="0.25">
      <c r="I774" s="314"/>
      <c r="J774" s="44"/>
      <c r="N774" s="514"/>
      <c r="R774" s="293"/>
      <c r="S774" s="316"/>
      <c r="T774" s="355"/>
    </row>
    <row r="775" spans="9:20" x14ac:dyDescent="0.25">
      <c r="I775" s="314"/>
      <c r="J775" s="44"/>
      <c r="N775" s="514"/>
      <c r="R775" s="293"/>
      <c r="S775" s="316"/>
      <c r="T775" s="355"/>
    </row>
    <row r="776" spans="9:20" x14ac:dyDescent="0.25">
      <c r="I776" s="314"/>
      <c r="J776" s="44"/>
      <c r="N776" s="514"/>
      <c r="R776" s="293"/>
      <c r="S776" s="316"/>
      <c r="T776" s="355"/>
    </row>
    <row r="777" spans="9:20" x14ac:dyDescent="0.25">
      <c r="I777" s="314"/>
      <c r="J777" s="44"/>
      <c r="N777" s="514"/>
      <c r="R777" s="293"/>
      <c r="S777" s="316"/>
      <c r="T777" s="355"/>
    </row>
    <row r="778" spans="9:20" x14ac:dyDescent="0.25">
      <c r="I778" s="314"/>
      <c r="J778" s="44"/>
      <c r="N778" s="514"/>
      <c r="R778" s="293"/>
      <c r="S778" s="316"/>
      <c r="T778" s="355"/>
    </row>
    <row r="779" spans="9:20" x14ac:dyDescent="0.25">
      <c r="I779" s="314"/>
      <c r="J779" s="44"/>
      <c r="N779" s="514"/>
      <c r="R779" s="293"/>
      <c r="S779" s="316"/>
      <c r="T779" s="355"/>
    </row>
    <row r="780" spans="9:20" x14ac:dyDescent="0.25">
      <c r="I780" s="314"/>
      <c r="J780" s="44"/>
      <c r="N780" s="514"/>
      <c r="R780" s="293"/>
      <c r="S780" s="316"/>
      <c r="T780" s="355"/>
    </row>
    <row r="781" spans="9:20" x14ac:dyDescent="0.25">
      <c r="I781" s="314"/>
      <c r="J781" s="44"/>
      <c r="N781" s="514"/>
      <c r="R781" s="293"/>
      <c r="S781" s="316"/>
      <c r="T781" s="355"/>
    </row>
    <row r="782" spans="9:20" x14ac:dyDescent="0.25">
      <c r="I782" s="314"/>
      <c r="J782" s="44"/>
      <c r="N782" s="514"/>
      <c r="R782" s="293"/>
      <c r="S782" s="316"/>
      <c r="T782" s="355"/>
    </row>
    <row r="783" spans="9:20" x14ac:dyDescent="0.25">
      <c r="I783" s="314"/>
      <c r="J783" s="44"/>
      <c r="N783" s="514"/>
      <c r="R783" s="293"/>
      <c r="S783" s="316"/>
      <c r="T783" s="355"/>
    </row>
    <row r="784" spans="9:20" x14ac:dyDescent="0.25">
      <c r="I784" s="314"/>
      <c r="J784" s="44"/>
      <c r="N784" s="514"/>
      <c r="R784" s="293"/>
      <c r="S784" s="316"/>
      <c r="T784" s="355"/>
    </row>
    <row r="785" spans="9:20" x14ac:dyDescent="0.25">
      <c r="I785" s="314"/>
      <c r="J785" s="44"/>
      <c r="N785" s="514"/>
      <c r="R785" s="293"/>
      <c r="S785" s="316"/>
      <c r="T785" s="355"/>
    </row>
    <row r="786" spans="9:20" x14ac:dyDescent="0.25">
      <c r="I786" s="314"/>
      <c r="J786" s="44"/>
      <c r="N786" s="514"/>
      <c r="R786" s="293"/>
      <c r="S786" s="316"/>
      <c r="T786" s="355"/>
    </row>
    <row r="787" spans="9:20" x14ac:dyDescent="0.25">
      <c r="I787" s="314"/>
      <c r="J787" s="44"/>
      <c r="N787" s="514"/>
      <c r="R787" s="293"/>
      <c r="S787" s="316"/>
      <c r="T787" s="355"/>
    </row>
    <row r="788" spans="9:20" x14ac:dyDescent="0.25">
      <c r="I788" s="314"/>
      <c r="J788" s="44"/>
      <c r="N788" s="514"/>
      <c r="R788" s="293"/>
      <c r="S788" s="316"/>
      <c r="T788" s="355"/>
    </row>
    <row r="789" spans="9:20" x14ac:dyDescent="0.25">
      <c r="I789" s="314"/>
      <c r="J789" s="44"/>
      <c r="N789" s="514"/>
      <c r="R789" s="293"/>
      <c r="S789" s="316"/>
      <c r="T789" s="355"/>
    </row>
    <row r="790" spans="9:20" x14ac:dyDescent="0.25">
      <c r="I790" s="314"/>
      <c r="J790" s="44"/>
      <c r="N790" s="514"/>
      <c r="R790" s="293"/>
      <c r="S790" s="316"/>
      <c r="T790" s="355"/>
    </row>
    <row r="791" spans="9:20" x14ac:dyDescent="0.25">
      <c r="I791" s="314"/>
      <c r="J791" s="44"/>
      <c r="N791" s="514"/>
      <c r="R791" s="293"/>
      <c r="S791" s="316"/>
      <c r="T791" s="355"/>
    </row>
    <row r="792" spans="9:20" x14ac:dyDescent="0.25">
      <c r="I792" s="314"/>
      <c r="J792" s="44"/>
      <c r="N792" s="514"/>
      <c r="R792" s="293"/>
      <c r="S792" s="316"/>
      <c r="T792" s="355"/>
    </row>
    <row r="793" spans="9:20" x14ac:dyDescent="0.25">
      <c r="I793" s="314"/>
      <c r="J793" s="44"/>
      <c r="N793" s="514"/>
      <c r="R793" s="293"/>
      <c r="S793" s="316"/>
      <c r="T793" s="355"/>
    </row>
    <row r="794" spans="9:20" x14ac:dyDescent="0.25">
      <c r="I794" s="314"/>
      <c r="J794" s="45"/>
      <c r="N794" s="514"/>
      <c r="R794" s="293"/>
      <c r="S794" s="316"/>
      <c r="T794" s="355"/>
    </row>
    <row r="795" spans="9:20" x14ac:dyDescent="0.25">
      <c r="I795" s="314"/>
      <c r="J795" s="45"/>
      <c r="N795" s="514"/>
      <c r="R795" s="293"/>
      <c r="S795" s="316"/>
      <c r="T795" s="355"/>
    </row>
    <row r="796" spans="9:20" x14ac:dyDescent="0.25">
      <c r="I796" s="314"/>
      <c r="J796" s="45"/>
      <c r="N796" s="514"/>
      <c r="R796" s="293"/>
      <c r="S796" s="316"/>
      <c r="T796" s="355"/>
    </row>
    <row r="797" spans="9:20" x14ac:dyDescent="0.25">
      <c r="I797" s="314"/>
      <c r="J797" s="45"/>
      <c r="N797" s="514"/>
      <c r="R797" s="293"/>
      <c r="S797" s="316"/>
      <c r="T797" s="355"/>
    </row>
    <row r="798" spans="9:20" x14ac:dyDescent="0.25">
      <c r="I798" s="314"/>
      <c r="J798" s="45"/>
      <c r="N798" s="514"/>
      <c r="R798" s="293"/>
      <c r="S798" s="316"/>
      <c r="T798" s="355"/>
    </row>
    <row r="799" spans="9:20" x14ac:dyDescent="0.25">
      <c r="I799" s="314"/>
      <c r="J799" s="45"/>
      <c r="N799" s="514"/>
      <c r="R799" s="293"/>
      <c r="S799" s="316"/>
      <c r="T799" s="355"/>
    </row>
    <row r="800" spans="9:20" x14ac:dyDescent="0.25">
      <c r="I800" s="314"/>
      <c r="J800" s="45"/>
      <c r="N800" s="514"/>
      <c r="R800" s="293"/>
      <c r="S800" s="316"/>
      <c r="T800" s="355"/>
    </row>
    <row r="801" spans="9:20" x14ac:dyDescent="0.25">
      <c r="I801" s="314"/>
      <c r="J801" s="45"/>
      <c r="N801" s="514"/>
      <c r="R801" s="293"/>
      <c r="S801" s="316"/>
      <c r="T801" s="355"/>
    </row>
    <row r="802" spans="9:20" x14ac:dyDescent="0.25">
      <c r="I802" s="314"/>
      <c r="J802" s="45"/>
      <c r="N802" s="514"/>
      <c r="R802" s="293"/>
      <c r="S802" s="316"/>
      <c r="T802" s="355"/>
    </row>
    <row r="803" spans="9:20" x14ac:dyDescent="0.25">
      <c r="I803" s="314"/>
      <c r="J803" s="45"/>
      <c r="N803" s="514"/>
      <c r="R803" s="293"/>
      <c r="S803" s="316"/>
      <c r="T803" s="355"/>
    </row>
    <row r="804" spans="9:20" x14ac:dyDescent="0.25">
      <c r="I804" s="314"/>
      <c r="J804" s="45"/>
      <c r="N804" s="514"/>
      <c r="R804" s="293"/>
      <c r="S804" s="316"/>
      <c r="T804" s="355"/>
    </row>
    <row r="805" spans="9:20" x14ac:dyDescent="0.25">
      <c r="I805" s="314"/>
      <c r="J805" s="45"/>
      <c r="N805" s="514"/>
      <c r="R805" s="293"/>
      <c r="S805" s="316"/>
      <c r="T805" s="355"/>
    </row>
    <row r="806" spans="9:20" x14ac:dyDescent="0.25">
      <c r="I806" s="314"/>
      <c r="J806" s="45"/>
      <c r="N806" s="514"/>
      <c r="R806" s="293"/>
      <c r="S806" s="316"/>
      <c r="T806" s="355"/>
    </row>
    <row r="807" spans="9:20" x14ac:dyDescent="0.25">
      <c r="I807" s="314"/>
      <c r="J807" s="45"/>
      <c r="N807" s="514"/>
      <c r="R807" s="293"/>
      <c r="S807" s="316"/>
      <c r="T807" s="355"/>
    </row>
    <row r="808" spans="9:20" x14ac:dyDescent="0.25">
      <c r="I808" s="314"/>
      <c r="J808" s="45"/>
      <c r="N808" s="514"/>
      <c r="R808" s="293"/>
      <c r="S808" s="316"/>
      <c r="T808" s="355"/>
    </row>
    <row r="809" spans="9:20" x14ac:dyDescent="0.25">
      <c r="I809" s="314"/>
      <c r="J809" s="45"/>
      <c r="N809" s="514"/>
      <c r="R809" s="293"/>
      <c r="S809" s="316"/>
      <c r="T809" s="355"/>
    </row>
    <row r="810" spans="9:20" x14ac:dyDescent="0.25">
      <c r="I810" s="314"/>
      <c r="J810" s="45"/>
      <c r="N810" s="514"/>
      <c r="R810" s="293"/>
      <c r="S810" s="316"/>
      <c r="T810" s="355"/>
    </row>
    <row r="811" spans="9:20" x14ac:dyDescent="0.25">
      <c r="I811" s="314"/>
      <c r="J811" s="45"/>
      <c r="N811" s="514"/>
      <c r="R811" s="293"/>
      <c r="S811" s="316"/>
      <c r="T811" s="355"/>
    </row>
    <row r="812" spans="9:20" x14ac:dyDescent="0.25">
      <c r="I812" s="314"/>
      <c r="J812" s="45"/>
      <c r="N812" s="514"/>
      <c r="R812" s="293"/>
      <c r="S812" s="316"/>
      <c r="T812" s="355"/>
    </row>
    <row r="813" spans="9:20" x14ac:dyDescent="0.25">
      <c r="I813" s="314"/>
      <c r="J813" s="45"/>
      <c r="N813" s="514"/>
      <c r="R813" s="293"/>
      <c r="S813" s="316"/>
      <c r="T813" s="355"/>
    </row>
    <row r="814" spans="9:20" x14ac:dyDescent="0.25">
      <c r="I814" s="314"/>
      <c r="J814" s="45"/>
      <c r="N814" s="514"/>
      <c r="R814" s="293"/>
      <c r="S814" s="316"/>
      <c r="T814" s="355"/>
    </row>
    <row r="815" spans="9:20" x14ac:dyDescent="0.25">
      <c r="I815" s="314"/>
      <c r="J815" s="45"/>
      <c r="N815" s="514"/>
      <c r="R815" s="293"/>
      <c r="S815" s="316"/>
      <c r="T815" s="355"/>
    </row>
    <row r="816" spans="9:20" x14ac:dyDescent="0.25">
      <c r="I816" s="314"/>
      <c r="J816" s="45"/>
      <c r="N816" s="514"/>
      <c r="R816" s="293"/>
      <c r="S816" s="316"/>
      <c r="T816" s="355"/>
    </row>
    <row r="817" spans="9:20" x14ac:dyDescent="0.25">
      <c r="I817" s="314"/>
      <c r="J817" s="45"/>
      <c r="N817" s="514"/>
      <c r="R817" s="293"/>
      <c r="S817" s="316"/>
      <c r="T817" s="355"/>
    </row>
    <row r="818" spans="9:20" x14ac:dyDescent="0.25">
      <c r="I818" s="314"/>
      <c r="J818" s="45"/>
      <c r="N818" s="514"/>
      <c r="R818" s="293"/>
      <c r="S818" s="316"/>
      <c r="T818" s="355"/>
    </row>
    <row r="819" spans="9:20" x14ac:dyDescent="0.25">
      <c r="I819" s="314"/>
      <c r="J819" s="45"/>
      <c r="N819" s="514"/>
      <c r="R819" s="293"/>
      <c r="S819" s="316"/>
      <c r="T819" s="355"/>
    </row>
    <row r="820" spans="9:20" x14ac:dyDescent="0.25">
      <c r="I820" s="314"/>
      <c r="J820" s="45"/>
      <c r="N820" s="514"/>
      <c r="R820" s="293"/>
      <c r="S820" s="316"/>
      <c r="T820" s="355"/>
    </row>
    <row r="821" spans="9:20" x14ac:dyDescent="0.25">
      <c r="I821" s="314"/>
      <c r="J821" s="45"/>
      <c r="N821" s="514"/>
      <c r="R821" s="293"/>
      <c r="S821" s="316"/>
      <c r="T821" s="355"/>
    </row>
    <row r="822" spans="9:20" x14ac:dyDescent="0.25">
      <c r="I822" s="314"/>
      <c r="J822" s="45"/>
      <c r="N822" s="514"/>
      <c r="R822" s="293"/>
      <c r="S822" s="316"/>
      <c r="T822" s="355"/>
    </row>
    <row r="823" spans="9:20" x14ac:dyDescent="0.25">
      <c r="I823" s="314"/>
      <c r="J823" s="45"/>
      <c r="N823" s="514"/>
      <c r="R823" s="293"/>
      <c r="S823" s="316"/>
      <c r="T823" s="355"/>
    </row>
    <row r="824" spans="9:20" x14ac:dyDescent="0.25">
      <c r="I824" s="314"/>
      <c r="J824" s="45"/>
      <c r="N824" s="514"/>
      <c r="R824" s="293"/>
      <c r="S824" s="316"/>
      <c r="T824" s="355"/>
    </row>
    <row r="825" spans="9:20" x14ac:dyDescent="0.25">
      <c r="I825" s="314"/>
      <c r="J825" s="45"/>
      <c r="N825" s="514"/>
      <c r="R825" s="293"/>
      <c r="S825" s="316"/>
      <c r="T825" s="355"/>
    </row>
    <row r="826" spans="9:20" x14ac:dyDescent="0.25">
      <c r="I826" s="314"/>
      <c r="J826" s="45"/>
      <c r="N826" s="514"/>
      <c r="R826" s="293"/>
      <c r="S826" s="316"/>
      <c r="T826" s="355"/>
    </row>
    <row r="827" spans="9:20" x14ac:dyDescent="0.25">
      <c r="I827" s="314"/>
      <c r="J827" s="45"/>
      <c r="N827" s="514"/>
      <c r="R827" s="293"/>
      <c r="S827" s="316"/>
      <c r="T827" s="355"/>
    </row>
    <row r="828" spans="9:20" x14ac:dyDescent="0.25">
      <c r="I828" s="314"/>
      <c r="J828" s="45"/>
      <c r="N828" s="514"/>
      <c r="R828" s="293"/>
      <c r="S828" s="316"/>
      <c r="T828" s="355"/>
    </row>
    <row r="829" spans="9:20" x14ac:dyDescent="0.25">
      <c r="I829" s="314"/>
      <c r="J829" s="45"/>
      <c r="N829" s="514"/>
      <c r="R829" s="293"/>
      <c r="S829" s="316"/>
      <c r="T829" s="355"/>
    </row>
    <row r="830" spans="9:20" x14ac:dyDescent="0.25">
      <c r="I830" s="314"/>
      <c r="J830" s="45"/>
      <c r="N830" s="514"/>
      <c r="R830" s="293"/>
      <c r="S830" s="316"/>
      <c r="T830" s="355"/>
    </row>
    <row r="831" spans="9:20" x14ac:dyDescent="0.25">
      <c r="I831" s="314"/>
      <c r="J831" s="45"/>
      <c r="N831" s="514"/>
      <c r="R831" s="293"/>
      <c r="S831" s="316"/>
      <c r="T831" s="355"/>
    </row>
    <row r="832" spans="9:20" x14ac:dyDescent="0.25">
      <c r="I832" s="314"/>
      <c r="J832" s="45"/>
      <c r="N832" s="514"/>
      <c r="R832" s="293"/>
      <c r="S832" s="316"/>
      <c r="T832" s="355"/>
    </row>
    <row r="833" spans="9:20" x14ac:dyDescent="0.25">
      <c r="I833" s="314"/>
      <c r="J833" s="45"/>
      <c r="N833" s="514"/>
      <c r="R833" s="293"/>
      <c r="S833" s="316"/>
      <c r="T833" s="355"/>
    </row>
    <row r="834" spans="9:20" x14ac:dyDescent="0.25">
      <c r="I834" s="314"/>
      <c r="J834" s="45"/>
      <c r="N834" s="514"/>
      <c r="R834" s="293"/>
      <c r="S834" s="316"/>
      <c r="T834" s="355"/>
    </row>
    <row r="835" spans="9:20" x14ac:dyDescent="0.25">
      <c r="I835" s="314"/>
      <c r="J835" s="45"/>
      <c r="N835" s="514"/>
      <c r="R835" s="293"/>
      <c r="S835" s="316"/>
      <c r="T835" s="355"/>
    </row>
    <row r="836" spans="9:20" x14ac:dyDescent="0.25">
      <c r="I836" s="314"/>
      <c r="J836" s="45"/>
      <c r="N836" s="514"/>
      <c r="R836" s="293"/>
      <c r="S836" s="316"/>
      <c r="T836" s="355"/>
    </row>
    <row r="837" spans="9:20" x14ac:dyDescent="0.25">
      <c r="I837" s="314"/>
      <c r="J837" s="45"/>
      <c r="N837" s="514"/>
      <c r="R837" s="293"/>
      <c r="S837" s="316"/>
      <c r="T837" s="355"/>
    </row>
    <row r="838" spans="9:20" x14ac:dyDescent="0.25">
      <c r="I838" s="314"/>
      <c r="J838" s="45"/>
      <c r="N838" s="514"/>
      <c r="R838" s="293"/>
      <c r="S838" s="316"/>
      <c r="T838" s="355"/>
    </row>
    <row r="839" spans="9:20" x14ac:dyDescent="0.25">
      <c r="I839" s="314"/>
      <c r="J839" s="45"/>
      <c r="N839" s="514"/>
      <c r="R839" s="293"/>
      <c r="S839" s="316"/>
      <c r="T839" s="355"/>
    </row>
    <row r="840" spans="9:20" x14ac:dyDescent="0.25">
      <c r="I840" s="314"/>
      <c r="J840" s="45"/>
      <c r="N840" s="514"/>
      <c r="R840" s="293"/>
      <c r="S840" s="316"/>
      <c r="T840" s="355"/>
    </row>
    <row r="841" spans="9:20" x14ac:dyDescent="0.25">
      <c r="I841" s="314"/>
      <c r="J841" s="45"/>
      <c r="N841" s="514"/>
      <c r="R841" s="293"/>
      <c r="S841" s="316"/>
      <c r="T841" s="355"/>
    </row>
    <row r="842" spans="9:20" x14ac:dyDescent="0.25">
      <c r="I842" s="314"/>
      <c r="J842" s="45"/>
      <c r="N842" s="514"/>
      <c r="R842" s="293"/>
      <c r="S842" s="316"/>
      <c r="T842" s="355"/>
    </row>
    <row r="843" spans="9:20" x14ac:dyDescent="0.25">
      <c r="I843" s="314"/>
      <c r="J843" s="45"/>
      <c r="N843" s="514"/>
      <c r="R843" s="293"/>
      <c r="S843" s="316"/>
      <c r="T843" s="355"/>
    </row>
    <row r="844" spans="9:20" x14ac:dyDescent="0.25">
      <c r="I844" s="314"/>
      <c r="J844" s="45"/>
      <c r="N844" s="514"/>
      <c r="R844" s="293"/>
      <c r="S844" s="316"/>
      <c r="T844" s="355"/>
    </row>
    <row r="845" spans="9:20" x14ac:dyDescent="0.25">
      <c r="I845" s="314"/>
      <c r="J845" s="45"/>
      <c r="N845" s="514"/>
      <c r="R845" s="293"/>
      <c r="S845" s="316"/>
      <c r="T845" s="355"/>
    </row>
    <row r="846" spans="9:20" x14ac:dyDescent="0.25">
      <c r="I846" s="314"/>
      <c r="J846" s="45"/>
      <c r="N846" s="514"/>
      <c r="R846" s="293"/>
      <c r="S846" s="316"/>
      <c r="T846" s="355"/>
    </row>
    <row r="847" spans="9:20" x14ac:dyDescent="0.25">
      <c r="I847" s="314"/>
      <c r="J847" s="45"/>
      <c r="N847" s="514"/>
      <c r="R847" s="293"/>
      <c r="S847" s="316"/>
      <c r="T847" s="355"/>
    </row>
    <row r="848" spans="9:20" x14ac:dyDescent="0.25">
      <c r="I848" s="314"/>
      <c r="J848" s="45"/>
      <c r="N848" s="514"/>
      <c r="R848" s="293"/>
      <c r="S848" s="316"/>
      <c r="T848" s="355"/>
    </row>
    <row r="849" spans="9:20" x14ac:dyDescent="0.25">
      <c r="I849" s="314"/>
      <c r="J849" s="45"/>
      <c r="N849" s="514"/>
      <c r="R849" s="293"/>
      <c r="S849" s="316"/>
      <c r="T849" s="355"/>
    </row>
    <row r="850" spans="9:20" x14ac:dyDescent="0.25">
      <c r="I850" s="314"/>
      <c r="J850" s="45"/>
      <c r="N850" s="514"/>
      <c r="R850" s="293"/>
      <c r="S850" s="316"/>
      <c r="T850" s="355"/>
    </row>
    <row r="851" spans="9:20" x14ac:dyDescent="0.25">
      <c r="I851" s="314"/>
      <c r="J851" s="45"/>
      <c r="N851" s="514"/>
      <c r="R851" s="293"/>
      <c r="S851" s="316"/>
      <c r="T851" s="355"/>
    </row>
    <row r="852" spans="9:20" x14ac:dyDescent="0.25">
      <c r="I852" s="314"/>
      <c r="J852" s="45"/>
      <c r="N852" s="514"/>
      <c r="R852" s="293"/>
      <c r="S852" s="316"/>
      <c r="T852" s="355"/>
    </row>
    <row r="853" spans="9:20" x14ac:dyDescent="0.25">
      <c r="I853" s="314"/>
      <c r="J853" s="45"/>
      <c r="N853" s="514"/>
      <c r="R853" s="293"/>
      <c r="S853" s="316"/>
      <c r="T853" s="355"/>
    </row>
    <row r="854" spans="9:20" x14ac:dyDescent="0.25">
      <c r="I854" s="314"/>
      <c r="J854" s="45"/>
      <c r="N854" s="514"/>
      <c r="R854" s="293"/>
      <c r="S854" s="316"/>
      <c r="T854" s="355"/>
    </row>
    <row r="855" spans="9:20" x14ac:dyDescent="0.25">
      <c r="I855" s="314"/>
      <c r="J855" s="45"/>
      <c r="N855" s="514"/>
      <c r="R855" s="293"/>
      <c r="S855" s="316"/>
      <c r="T855" s="355"/>
    </row>
    <row r="856" spans="9:20" x14ac:dyDescent="0.25">
      <c r="I856" s="314"/>
      <c r="J856" s="45"/>
      <c r="N856" s="514"/>
      <c r="R856" s="293"/>
      <c r="S856" s="316"/>
      <c r="T856" s="355"/>
    </row>
    <row r="857" spans="9:20" x14ac:dyDescent="0.25">
      <c r="I857" s="314"/>
      <c r="J857" s="45"/>
      <c r="N857" s="514"/>
      <c r="R857" s="293"/>
      <c r="S857" s="316"/>
      <c r="T857" s="355"/>
    </row>
    <row r="858" spans="9:20" x14ac:dyDescent="0.25">
      <c r="I858" s="314"/>
      <c r="J858" s="45"/>
      <c r="N858" s="514"/>
      <c r="R858" s="293"/>
      <c r="S858" s="316"/>
      <c r="T858" s="355"/>
    </row>
    <row r="859" spans="9:20" x14ac:dyDescent="0.25">
      <c r="I859" s="314"/>
      <c r="J859" s="45"/>
      <c r="N859" s="514"/>
      <c r="R859" s="293"/>
      <c r="S859" s="316"/>
      <c r="T859" s="355"/>
    </row>
    <row r="860" spans="9:20" x14ac:dyDescent="0.25">
      <c r="I860" s="314"/>
      <c r="J860" s="45"/>
      <c r="N860" s="514"/>
      <c r="R860" s="293"/>
      <c r="S860" s="316"/>
      <c r="T860" s="355"/>
    </row>
    <row r="861" spans="9:20" x14ac:dyDescent="0.25">
      <c r="I861" s="314"/>
      <c r="J861" s="45"/>
      <c r="N861" s="514"/>
      <c r="R861" s="293"/>
      <c r="S861" s="316"/>
      <c r="T861" s="355"/>
    </row>
    <row r="862" spans="9:20" x14ac:dyDescent="0.25">
      <c r="I862" s="314"/>
      <c r="J862" s="45"/>
      <c r="N862" s="514"/>
      <c r="R862" s="293"/>
      <c r="S862" s="316"/>
      <c r="T862" s="355"/>
    </row>
    <row r="863" spans="9:20" x14ac:dyDescent="0.25">
      <c r="I863" s="314"/>
      <c r="J863" s="45"/>
      <c r="N863" s="514"/>
      <c r="R863" s="293"/>
      <c r="S863" s="316"/>
      <c r="T863" s="355"/>
    </row>
    <row r="864" spans="9:20" x14ac:dyDescent="0.25">
      <c r="I864" s="314"/>
      <c r="J864" s="45"/>
      <c r="N864" s="514"/>
      <c r="R864" s="293"/>
      <c r="S864" s="316"/>
      <c r="T864" s="355"/>
    </row>
    <row r="865" spans="9:20" x14ac:dyDescent="0.25">
      <c r="I865" s="314"/>
      <c r="J865" s="45"/>
      <c r="N865" s="514"/>
      <c r="R865" s="293"/>
      <c r="S865" s="316"/>
      <c r="T865" s="355"/>
    </row>
    <row r="866" spans="9:20" x14ac:dyDescent="0.25">
      <c r="I866" s="314"/>
      <c r="J866" s="45"/>
      <c r="N866" s="514"/>
      <c r="R866" s="293"/>
      <c r="S866" s="316"/>
      <c r="T866" s="355"/>
    </row>
    <row r="867" spans="9:20" x14ac:dyDescent="0.25">
      <c r="I867" s="314"/>
      <c r="J867" s="45"/>
      <c r="N867" s="514"/>
      <c r="R867" s="293"/>
      <c r="S867" s="316"/>
      <c r="T867" s="355"/>
    </row>
    <row r="868" spans="9:20" x14ac:dyDescent="0.25">
      <c r="I868" s="314"/>
      <c r="J868" s="45"/>
      <c r="N868" s="514"/>
      <c r="R868" s="293"/>
      <c r="S868" s="316"/>
      <c r="T868" s="355"/>
    </row>
    <row r="869" spans="9:20" x14ac:dyDescent="0.25">
      <c r="I869" s="314"/>
      <c r="J869" s="45"/>
      <c r="N869" s="514"/>
      <c r="R869" s="293"/>
      <c r="S869" s="316"/>
      <c r="T869" s="355"/>
    </row>
    <row r="870" spans="9:20" x14ac:dyDescent="0.25">
      <c r="I870" s="314"/>
      <c r="J870" s="45"/>
      <c r="N870" s="514"/>
      <c r="R870" s="293"/>
      <c r="S870" s="316"/>
      <c r="T870" s="355"/>
    </row>
    <row r="871" spans="9:20" x14ac:dyDescent="0.25">
      <c r="I871" s="314"/>
      <c r="J871" s="45"/>
      <c r="N871" s="514"/>
      <c r="R871" s="293"/>
      <c r="S871" s="316"/>
      <c r="T871" s="355"/>
    </row>
    <row r="872" spans="9:20" x14ac:dyDescent="0.25">
      <c r="I872" s="314"/>
      <c r="J872" s="45"/>
      <c r="N872" s="514"/>
      <c r="R872" s="293"/>
      <c r="S872" s="316"/>
      <c r="T872" s="355"/>
    </row>
    <row r="873" spans="9:20" x14ac:dyDescent="0.25">
      <c r="I873" s="314"/>
      <c r="J873" s="45"/>
      <c r="N873" s="514"/>
      <c r="R873" s="293"/>
      <c r="S873" s="316"/>
      <c r="T873" s="355"/>
    </row>
    <row r="874" spans="9:20" x14ac:dyDescent="0.25">
      <c r="I874" s="314"/>
      <c r="J874" s="45"/>
      <c r="N874" s="514"/>
      <c r="R874" s="293"/>
      <c r="S874" s="316"/>
      <c r="T874" s="355"/>
    </row>
    <row r="875" spans="9:20" x14ac:dyDescent="0.25">
      <c r="I875" s="314"/>
      <c r="J875" s="45"/>
      <c r="N875" s="514"/>
      <c r="R875" s="293"/>
      <c r="S875" s="316"/>
      <c r="T875" s="355"/>
    </row>
    <row r="876" spans="9:20" x14ac:dyDescent="0.25">
      <c r="I876" s="314"/>
      <c r="J876" s="45"/>
      <c r="N876" s="514"/>
      <c r="R876" s="293"/>
      <c r="S876" s="316"/>
      <c r="T876" s="355"/>
    </row>
    <row r="877" spans="9:20" x14ac:dyDescent="0.25">
      <c r="I877" s="314"/>
      <c r="J877" s="45"/>
      <c r="N877" s="514"/>
      <c r="R877" s="293"/>
      <c r="S877" s="316"/>
      <c r="T877" s="355"/>
    </row>
    <row r="878" spans="9:20" x14ac:dyDescent="0.25">
      <c r="I878" s="314"/>
      <c r="J878" s="45"/>
      <c r="N878" s="514"/>
      <c r="R878" s="293"/>
      <c r="S878" s="316"/>
      <c r="T878" s="355"/>
    </row>
    <row r="879" spans="9:20" x14ac:dyDescent="0.25">
      <c r="I879" s="314"/>
      <c r="J879" s="45"/>
      <c r="N879" s="514"/>
      <c r="R879" s="293"/>
      <c r="S879" s="316"/>
      <c r="T879" s="355"/>
    </row>
    <row r="880" spans="9:20" x14ac:dyDescent="0.25">
      <c r="I880" s="314"/>
      <c r="J880" s="45"/>
      <c r="N880" s="514"/>
      <c r="R880" s="293"/>
      <c r="S880" s="316"/>
      <c r="T880" s="355"/>
    </row>
    <row r="881" spans="9:20" x14ac:dyDescent="0.25">
      <c r="I881" s="314"/>
      <c r="J881" s="45"/>
      <c r="N881" s="514"/>
      <c r="R881" s="293"/>
      <c r="S881" s="316"/>
      <c r="T881" s="355"/>
    </row>
    <row r="882" spans="9:20" x14ac:dyDescent="0.25">
      <c r="I882" s="314"/>
      <c r="J882" s="45"/>
      <c r="N882" s="514"/>
      <c r="R882" s="293"/>
      <c r="S882" s="316"/>
      <c r="T882" s="355"/>
    </row>
    <row r="883" spans="9:20" x14ac:dyDescent="0.25">
      <c r="I883" s="314"/>
      <c r="J883" s="45"/>
      <c r="N883" s="514"/>
      <c r="R883" s="293"/>
      <c r="S883" s="316"/>
      <c r="T883" s="355"/>
    </row>
    <row r="884" spans="9:20" x14ac:dyDescent="0.25">
      <c r="I884" s="314"/>
      <c r="J884" s="45"/>
      <c r="N884" s="514"/>
      <c r="R884" s="293"/>
      <c r="S884" s="316"/>
      <c r="T884" s="355"/>
    </row>
    <row r="885" spans="9:20" x14ac:dyDescent="0.25">
      <c r="I885" s="314"/>
      <c r="J885" s="45"/>
      <c r="N885" s="514"/>
      <c r="R885" s="293"/>
      <c r="S885" s="316"/>
      <c r="T885" s="355"/>
    </row>
    <row r="886" spans="9:20" x14ac:dyDescent="0.25">
      <c r="I886" s="314"/>
      <c r="J886" s="45"/>
      <c r="N886" s="514"/>
      <c r="R886" s="293"/>
      <c r="S886" s="316"/>
      <c r="T886" s="355"/>
    </row>
    <row r="887" spans="9:20" x14ac:dyDescent="0.25">
      <c r="I887" s="314"/>
      <c r="J887" s="45"/>
      <c r="N887" s="514"/>
      <c r="R887" s="293"/>
      <c r="S887" s="316"/>
      <c r="T887" s="355"/>
    </row>
    <row r="888" spans="9:20" x14ac:dyDescent="0.25">
      <c r="I888" s="314"/>
      <c r="J888" s="45"/>
      <c r="N888" s="514"/>
      <c r="R888" s="293"/>
      <c r="S888" s="316"/>
      <c r="T888" s="355"/>
    </row>
    <row r="889" spans="9:20" x14ac:dyDescent="0.25">
      <c r="I889" s="314"/>
      <c r="J889" s="45"/>
      <c r="N889" s="514"/>
      <c r="R889" s="293"/>
      <c r="S889" s="316"/>
      <c r="T889" s="355"/>
    </row>
    <row r="890" spans="9:20" x14ac:dyDescent="0.25">
      <c r="I890" s="314"/>
      <c r="J890" s="45"/>
      <c r="N890" s="514"/>
      <c r="R890" s="293"/>
      <c r="S890" s="316"/>
      <c r="T890" s="355"/>
    </row>
    <row r="891" spans="9:20" x14ac:dyDescent="0.25">
      <c r="I891" s="314"/>
      <c r="J891" s="45"/>
      <c r="N891" s="514"/>
      <c r="R891" s="293"/>
      <c r="S891" s="316"/>
      <c r="T891" s="355"/>
    </row>
    <row r="892" spans="9:20" x14ac:dyDescent="0.25">
      <c r="I892" s="314"/>
      <c r="J892" s="45"/>
      <c r="N892" s="514"/>
      <c r="R892" s="293"/>
      <c r="S892" s="316"/>
      <c r="T892" s="355"/>
    </row>
    <row r="893" spans="9:20" x14ac:dyDescent="0.25">
      <c r="I893" s="314"/>
      <c r="J893" s="45"/>
      <c r="N893" s="514"/>
      <c r="R893" s="293"/>
      <c r="S893" s="316"/>
      <c r="T893" s="355"/>
    </row>
    <row r="894" spans="9:20" x14ac:dyDescent="0.25">
      <c r="I894" s="314"/>
      <c r="J894" s="45"/>
      <c r="N894" s="514"/>
      <c r="R894" s="293"/>
      <c r="S894" s="316"/>
      <c r="T894" s="355"/>
    </row>
    <row r="895" spans="9:20" x14ac:dyDescent="0.25">
      <c r="I895" s="314"/>
      <c r="J895" s="45"/>
      <c r="N895" s="514"/>
      <c r="R895" s="293"/>
      <c r="S895" s="316"/>
      <c r="T895" s="355"/>
    </row>
    <row r="896" spans="9:20" x14ac:dyDescent="0.25">
      <c r="I896" s="314"/>
      <c r="J896" s="45"/>
      <c r="N896" s="514"/>
      <c r="R896" s="293"/>
      <c r="S896" s="316"/>
      <c r="T896" s="355"/>
    </row>
    <row r="897" spans="9:20" x14ac:dyDescent="0.25">
      <c r="I897" s="314"/>
      <c r="J897" s="45"/>
      <c r="N897" s="514"/>
      <c r="R897" s="293"/>
      <c r="S897" s="316"/>
      <c r="T897" s="355"/>
    </row>
    <row r="898" spans="9:20" x14ac:dyDescent="0.25">
      <c r="I898" s="314"/>
      <c r="J898" s="45"/>
      <c r="N898" s="514"/>
      <c r="R898" s="293"/>
      <c r="S898" s="316"/>
      <c r="T898" s="355"/>
    </row>
    <row r="899" spans="9:20" x14ac:dyDescent="0.25">
      <c r="I899" s="314"/>
      <c r="J899" s="45"/>
      <c r="N899" s="514"/>
      <c r="R899" s="293"/>
      <c r="S899" s="316"/>
      <c r="T899" s="355"/>
    </row>
    <row r="900" spans="9:20" x14ac:dyDescent="0.25">
      <c r="I900" s="314"/>
      <c r="J900" s="45"/>
      <c r="N900" s="514"/>
      <c r="R900" s="293"/>
      <c r="S900" s="316"/>
      <c r="T900" s="355"/>
    </row>
    <row r="901" spans="9:20" x14ac:dyDescent="0.25">
      <c r="I901" s="314"/>
      <c r="J901" s="45"/>
      <c r="N901" s="514"/>
      <c r="R901" s="293"/>
      <c r="S901" s="316"/>
      <c r="T901" s="355"/>
    </row>
    <row r="902" spans="9:20" x14ac:dyDescent="0.25">
      <c r="I902" s="314"/>
      <c r="J902" s="45"/>
      <c r="N902" s="514"/>
      <c r="R902" s="293"/>
      <c r="S902" s="316"/>
      <c r="T902" s="355"/>
    </row>
    <row r="903" spans="9:20" x14ac:dyDescent="0.25">
      <c r="I903" s="314"/>
      <c r="J903" s="45"/>
      <c r="N903" s="514"/>
      <c r="R903" s="293"/>
      <c r="S903" s="316"/>
      <c r="T903" s="355"/>
    </row>
    <row r="904" spans="9:20" x14ac:dyDescent="0.25">
      <c r="I904" s="314"/>
      <c r="J904" s="45"/>
      <c r="N904" s="514"/>
      <c r="R904" s="293"/>
      <c r="S904" s="316"/>
      <c r="T904" s="355"/>
    </row>
    <row r="905" spans="9:20" x14ac:dyDescent="0.25">
      <c r="I905" s="314"/>
      <c r="J905" s="45"/>
      <c r="N905" s="514"/>
      <c r="R905" s="293"/>
      <c r="S905" s="316"/>
      <c r="T905" s="355"/>
    </row>
    <row r="906" spans="9:20" x14ac:dyDescent="0.25">
      <c r="I906" s="314"/>
      <c r="J906" s="45"/>
      <c r="N906" s="514"/>
      <c r="R906" s="293"/>
      <c r="S906" s="316"/>
      <c r="T906" s="355"/>
    </row>
    <row r="907" spans="9:20" x14ac:dyDescent="0.25">
      <c r="I907" s="314"/>
      <c r="J907" s="45"/>
      <c r="N907" s="514"/>
      <c r="R907" s="293"/>
      <c r="S907" s="316"/>
      <c r="T907" s="355"/>
    </row>
    <row r="908" spans="9:20" x14ac:dyDescent="0.25">
      <c r="I908" s="314"/>
      <c r="J908" s="45"/>
      <c r="N908" s="514"/>
      <c r="R908" s="293"/>
      <c r="S908" s="316"/>
      <c r="T908" s="355"/>
    </row>
    <row r="909" spans="9:20" x14ac:dyDescent="0.25">
      <c r="I909" s="314"/>
      <c r="J909" s="45"/>
      <c r="N909" s="514"/>
      <c r="R909" s="293"/>
      <c r="S909" s="316"/>
      <c r="T909" s="355"/>
    </row>
    <row r="910" spans="9:20" x14ac:dyDescent="0.25">
      <c r="I910" s="314"/>
      <c r="J910" s="45"/>
      <c r="N910" s="514"/>
      <c r="R910" s="293"/>
      <c r="S910" s="316"/>
      <c r="T910" s="355"/>
    </row>
    <row r="911" spans="9:20" x14ac:dyDescent="0.25">
      <c r="I911" s="314"/>
      <c r="J911" s="45"/>
      <c r="N911" s="514"/>
      <c r="R911" s="293"/>
      <c r="S911" s="316"/>
      <c r="T911" s="355"/>
    </row>
    <row r="912" spans="9:20" x14ac:dyDescent="0.25">
      <c r="I912" s="314"/>
      <c r="J912" s="45"/>
      <c r="N912" s="514"/>
      <c r="R912" s="293"/>
      <c r="S912" s="316"/>
      <c r="T912" s="355"/>
    </row>
    <row r="913" spans="9:20" x14ac:dyDescent="0.25">
      <c r="I913" s="314"/>
      <c r="J913" s="45"/>
      <c r="N913" s="514"/>
      <c r="R913" s="293"/>
      <c r="S913" s="316"/>
      <c r="T913" s="355"/>
    </row>
    <row r="914" spans="9:20" x14ac:dyDescent="0.25">
      <c r="I914" s="314"/>
      <c r="J914" s="45"/>
      <c r="N914" s="514"/>
      <c r="R914" s="293"/>
      <c r="S914" s="316"/>
      <c r="T914" s="355"/>
    </row>
    <row r="915" spans="9:20" x14ac:dyDescent="0.25">
      <c r="I915" s="314"/>
      <c r="J915" s="45"/>
      <c r="N915" s="514"/>
      <c r="R915" s="293"/>
      <c r="S915" s="316"/>
      <c r="T915" s="355"/>
    </row>
    <row r="916" spans="9:20" x14ac:dyDescent="0.25">
      <c r="I916" s="314"/>
      <c r="J916" s="45"/>
      <c r="N916" s="514"/>
      <c r="R916" s="293"/>
      <c r="S916" s="316"/>
      <c r="T916" s="355"/>
    </row>
    <row r="917" spans="9:20" x14ac:dyDescent="0.25">
      <c r="I917" s="314"/>
      <c r="J917" s="45"/>
      <c r="N917" s="514"/>
      <c r="R917" s="293"/>
      <c r="S917" s="316"/>
      <c r="T917" s="355"/>
    </row>
    <row r="918" spans="9:20" x14ac:dyDescent="0.25">
      <c r="I918" s="314"/>
      <c r="J918" s="45"/>
      <c r="N918" s="514"/>
      <c r="R918" s="293"/>
      <c r="S918" s="316"/>
      <c r="T918" s="355"/>
    </row>
    <row r="919" spans="9:20" x14ac:dyDescent="0.25">
      <c r="I919" s="314"/>
      <c r="J919" s="45"/>
      <c r="N919" s="514"/>
      <c r="R919" s="293"/>
      <c r="S919" s="316"/>
      <c r="T919" s="355"/>
    </row>
    <row r="920" spans="9:20" x14ac:dyDescent="0.25">
      <c r="I920" s="314"/>
      <c r="J920" s="45"/>
      <c r="N920" s="514"/>
      <c r="R920" s="293"/>
      <c r="S920" s="316"/>
      <c r="T920" s="355"/>
    </row>
    <row r="921" spans="9:20" x14ac:dyDescent="0.25">
      <c r="I921" s="314"/>
      <c r="J921" s="45"/>
      <c r="N921" s="514"/>
      <c r="R921" s="293"/>
      <c r="S921" s="316"/>
      <c r="T921" s="355"/>
    </row>
    <row r="922" spans="9:20" x14ac:dyDescent="0.25">
      <c r="I922" s="314"/>
      <c r="J922" s="45"/>
      <c r="N922" s="514"/>
      <c r="R922" s="293"/>
      <c r="S922" s="316"/>
      <c r="T922" s="355"/>
    </row>
    <row r="923" spans="9:20" x14ac:dyDescent="0.25">
      <c r="I923" s="314"/>
      <c r="J923" s="45"/>
      <c r="N923" s="514"/>
      <c r="R923" s="293"/>
      <c r="S923" s="316"/>
      <c r="T923" s="355"/>
    </row>
    <row r="924" spans="9:20" x14ac:dyDescent="0.25">
      <c r="I924" s="314"/>
      <c r="J924" s="45"/>
      <c r="N924" s="514"/>
      <c r="R924" s="293"/>
      <c r="S924" s="316"/>
      <c r="T924" s="355"/>
    </row>
    <row r="925" spans="9:20" x14ac:dyDescent="0.25">
      <c r="I925" s="314"/>
      <c r="J925" s="45"/>
      <c r="N925" s="514"/>
      <c r="R925" s="293"/>
      <c r="S925" s="316"/>
      <c r="T925" s="355"/>
    </row>
    <row r="926" spans="9:20" x14ac:dyDescent="0.25">
      <c r="I926" s="314"/>
      <c r="J926" s="45"/>
      <c r="N926" s="514"/>
      <c r="R926" s="293"/>
      <c r="S926" s="316"/>
      <c r="T926" s="355"/>
    </row>
    <row r="927" spans="9:20" x14ac:dyDescent="0.25">
      <c r="I927" s="314"/>
      <c r="J927" s="45"/>
      <c r="N927" s="514"/>
      <c r="R927" s="293"/>
      <c r="S927" s="316"/>
      <c r="T927" s="355"/>
    </row>
    <row r="928" spans="9:20" x14ac:dyDescent="0.25">
      <c r="I928" s="314"/>
      <c r="J928" s="45"/>
      <c r="N928" s="514"/>
      <c r="R928" s="293"/>
      <c r="S928" s="316"/>
      <c r="T928" s="355"/>
    </row>
    <row r="929" spans="9:20" x14ac:dyDescent="0.25">
      <c r="I929" s="314"/>
      <c r="J929" s="45"/>
      <c r="N929" s="514"/>
      <c r="R929" s="293"/>
      <c r="S929" s="316"/>
      <c r="T929" s="355"/>
    </row>
    <row r="930" spans="9:20" x14ac:dyDescent="0.25">
      <c r="I930" s="314"/>
      <c r="J930" s="45"/>
      <c r="N930" s="514"/>
      <c r="R930" s="293"/>
      <c r="S930" s="316"/>
      <c r="T930" s="355"/>
    </row>
    <row r="931" spans="9:20" x14ac:dyDescent="0.25">
      <c r="I931" s="314"/>
      <c r="J931" s="45"/>
      <c r="N931" s="514"/>
      <c r="R931" s="293"/>
      <c r="S931" s="316"/>
      <c r="T931" s="355"/>
    </row>
    <row r="932" spans="9:20" x14ac:dyDescent="0.25">
      <c r="I932" s="314"/>
      <c r="J932" s="45"/>
      <c r="N932" s="514"/>
      <c r="R932" s="293"/>
      <c r="S932" s="316"/>
      <c r="T932" s="355"/>
    </row>
    <row r="933" spans="9:20" x14ac:dyDescent="0.25">
      <c r="I933" s="314"/>
      <c r="J933" s="45"/>
      <c r="N933" s="514"/>
      <c r="R933" s="293"/>
      <c r="S933" s="316"/>
      <c r="T933" s="355"/>
    </row>
    <row r="934" spans="9:20" x14ac:dyDescent="0.25">
      <c r="I934" s="314"/>
      <c r="J934" s="45"/>
      <c r="N934" s="514"/>
      <c r="R934" s="293"/>
      <c r="S934" s="316"/>
      <c r="T934" s="355"/>
    </row>
    <row r="935" spans="9:20" x14ac:dyDescent="0.25">
      <c r="I935" s="314"/>
      <c r="J935" s="45"/>
      <c r="N935" s="514"/>
      <c r="R935" s="293"/>
      <c r="S935" s="316"/>
      <c r="T935" s="355"/>
    </row>
    <row r="936" spans="9:20" x14ac:dyDescent="0.25">
      <c r="I936" s="314"/>
      <c r="J936" s="45"/>
      <c r="N936" s="514"/>
      <c r="R936" s="293"/>
      <c r="S936" s="316"/>
      <c r="T936" s="355"/>
    </row>
    <row r="937" spans="9:20" x14ac:dyDescent="0.25">
      <c r="I937" s="314"/>
      <c r="J937" s="45"/>
      <c r="N937" s="514"/>
      <c r="R937" s="293"/>
      <c r="S937" s="316"/>
      <c r="T937" s="355"/>
    </row>
    <row r="938" spans="9:20" x14ac:dyDescent="0.25">
      <c r="I938" s="314"/>
      <c r="J938" s="45"/>
      <c r="N938" s="514"/>
      <c r="R938" s="293"/>
      <c r="S938" s="316"/>
      <c r="T938" s="355"/>
    </row>
    <row r="939" spans="9:20" x14ac:dyDescent="0.25">
      <c r="I939" s="314"/>
      <c r="J939" s="45"/>
      <c r="N939" s="514"/>
      <c r="R939" s="293"/>
      <c r="S939" s="316"/>
      <c r="T939" s="355"/>
    </row>
    <row r="940" spans="9:20" x14ac:dyDescent="0.25">
      <c r="I940" s="314"/>
      <c r="J940" s="45"/>
      <c r="N940" s="514"/>
      <c r="R940" s="293"/>
      <c r="S940" s="316"/>
      <c r="T940" s="355"/>
    </row>
    <row r="941" spans="9:20" x14ac:dyDescent="0.25">
      <c r="I941" s="314"/>
      <c r="J941" s="45"/>
      <c r="N941" s="514"/>
      <c r="R941" s="293"/>
      <c r="S941" s="316"/>
      <c r="T941" s="355"/>
    </row>
    <row r="942" spans="9:20" x14ac:dyDescent="0.25">
      <c r="I942" s="314"/>
      <c r="J942" s="45"/>
      <c r="N942" s="514"/>
      <c r="R942" s="293"/>
      <c r="S942" s="316"/>
      <c r="T942" s="355"/>
    </row>
    <row r="943" spans="9:20" x14ac:dyDescent="0.25">
      <c r="I943" s="314"/>
      <c r="J943" s="45"/>
      <c r="N943" s="514"/>
      <c r="R943" s="293"/>
      <c r="S943" s="316"/>
      <c r="T943" s="355"/>
    </row>
    <row r="944" spans="9:20" x14ac:dyDescent="0.25">
      <c r="I944" s="314"/>
      <c r="J944" s="45"/>
      <c r="N944" s="514"/>
      <c r="R944" s="293"/>
      <c r="S944" s="316"/>
      <c r="T944" s="355"/>
    </row>
    <row r="945" spans="9:20" x14ac:dyDescent="0.25">
      <c r="I945" s="314"/>
      <c r="J945" s="45"/>
      <c r="N945" s="514"/>
      <c r="R945" s="293"/>
      <c r="S945" s="316"/>
      <c r="T945" s="355"/>
    </row>
    <row r="946" spans="9:20" x14ac:dyDescent="0.25">
      <c r="I946" s="314"/>
      <c r="J946" s="45"/>
      <c r="N946" s="514"/>
      <c r="R946" s="293"/>
      <c r="S946" s="316"/>
      <c r="T946" s="355"/>
    </row>
    <row r="947" spans="9:20" x14ac:dyDescent="0.25">
      <c r="I947" s="314"/>
      <c r="J947" s="45"/>
      <c r="N947" s="514"/>
      <c r="R947" s="293"/>
      <c r="S947" s="316"/>
      <c r="T947" s="355"/>
    </row>
    <row r="948" spans="9:20" x14ac:dyDescent="0.25">
      <c r="I948" s="314"/>
      <c r="J948" s="45"/>
      <c r="N948" s="514"/>
      <c r="R948" s="293"/>
      <c r="S948" s="316"/>
      <c r="T948" s="355"/>
    </row>
    <row r="949" spans="9:20" x14ac:dyDescent="0.25">
      <c r="I949" s="314"/>
      <c r="J949" s="45"/>
      <c r="N949" s="514"/>
      <c r="R949" s="293"/>
      <c r="S949" s="316"/>
      <c r="T949" s="355"/>
    </row>
    <row r="950" spans="9:20" x14ac:dyDescent="0.25">
      <c r="I950" s="314"/>
      <c r="J950" s="45"/>
      <c r="N950" s="514"/>
      <c r="R950" s="293"/>
      <c r="S950" s="316"/>
      <c r="T950" s="355"/>
    </row>
    <row r="951" spans="9:20" x14ac:dyDescent="0.25">
      <c r="I951" s="314"/>
      <c r="J951" s="45"/>
      <c r="N951" s="514"/>
      <c r="R951" s="293"/>
      <c r="S951" s="316"/>
      <c r="T951" s="355"/>
    </row>
    <row r="952" spans="9:20" x14ac:dyDescent="0.25">
      <c r="I952" s="314"/>
      <c r="J952" s="45"/>
      <c r="N952" s="514"/>
      <c r="R952" s="293"/>
      <c r="S952" s="316"/>
      <c r="T952" s="355"/>
    </row>
    <row r="953" spans="9:20" x14ac:dyDescent="0.25">
      <c r="I953" s="314"/>
      <c r="J953" s="45"/>
      <c r="N953" s="514"/>
      <c r="R953" s="293"/>
      <c r="S953" s="316"/>
      <c r="T953" s="355"/>
    </row>
    <row r="954" spans="9:20" x14ac:dyDescent="0.25">
      <c r="I954" s="314"/>
      <c r="J954" s="45"/>
      <c r="N954" s="514"/>
      <c r="R954" s="293"/>
      <c r="S954" s="316"/>
      <c r="T954" s="355"/>
    </row>
    <row r="955" spans="9:20" x14ac:dyDescent="0.25">
      <c r="I955" s="314"/>
      <c r="J955" s="45"/>
      <c r="N955" s="514"/>
      <c r="R955" s="293"/>
      <c r="S955" s="316"/>
      <c r="T955" s="355"/>
    </row>
    <row r="956" spans="9:20" x14ac:dyDescent="0.25">
      <c r="I956" s="314"/>
      <c r="J956" s="45"/>
      <c r="N956" s="514"/>
      <c r="R956" s="293"/>
      <c r="S956" s="316"/>
      <c r="T956" s="355"/>
    </row>
    <row r="957" spans="9:20" x14ac:dyDescent="0.25">
      <c r="I957" s="314"/>
      <c r="J957" s="45"/>
      <c r="N957" s="514"/>
      <c r="R957" s="293"/>
      <c r="S957" s="316"/>
      <c r="T957" s="355"/>
    </row>
    <row r="958" spans="9:20" x14ac:dyDescent="0.25">
      <c r="I958" s="314"/>
      <c r="J958" s="45"/>
      <c r="N958" s="514"/>
      <c r="R958" s="293"/>
      <c r="S958" s="316"/>
      <c r="T958" s="355"/>
    </row>
    <row r="959" spans="9:20" x14ac:dyDescent="0.25">
      <c r="I959" s="314"/>
      <c r="J959" s="45"/>
      <c r="N959" s="514"/>
      <c r="R959" s="293"/>
      <c r="S959" s="316"/>
      <c r="T959" s="355"/>
    </row>
    <row r="960" spans="9:20" x14ac:dyDescent="0.25">
      <c r="I960" s="314"/>
      <c r="J960" s="45"/>
      <c r="N960" s="514"/>
      <c r="R960" s="293"/>
      <c r="S960" s="316"/>
      <c r="T960" s="355"/>
    </row>
    <row r="961" spans="9:20" x14ac:dyDescent="0.25">
      <c r="I961" s="314"/>
      <c r="J961" s="45"/>
      <c r="N961" s="514"/>
      <c r="R961" s="293"/>
      <c r="S961" s="316"/>
      <c r="T961" s="355"/>
    </row>
    <row r="962" spans="9:20" x14ac:dyDescent="0.25">
      <c r="I962" s="314"/>
      <c r="J962" s="45"/>
      <c r="N962" s="514"/>
      <c r="R962" s="293"/>
      <c r="S962" s="316"/>
      <c r="T962" s="355"/>
    </row>
    <row r="963" spans="9:20" x14ac:dyDescent="0.25">
      <c r="I963" s="314"/>
      <c r="J963" s="45"/>
      <c r="N963" s="514"/>
      <c r="R963" s="293"/>
      <c r="S963" s="316"/>
      <c r="T963" s="355"/>
    </row>
    <row r="964" spans="9:20" x14ac:dyDescent="0.25">
      <c r="I964" s="314"/>
      <c r="J964" s="45"/>
      <c r="N964" s="514"/>
      <c r="R964" s="293"/>
      <c r="S964" s="316"/>
      <c r="T964" s="355"/>
    </row>
    <row r="965" spans="9:20" x14ac:dyDescent="0.25">
      <c r="I965" s="314"/>
      <c r="J965" s="45"/>
      <c r="N965" s="514"/>
      <c r="R965" s="293"/>
      <c r="S965" s="316"/>
      <c r="T965" s="355"/>
    </row>
    <row r="966" spans="9:20" x14ac:dyDescent="0.25">
      <c r="J966" s="45"/>
      <c r="N966" s="514"/>
      <c r="R966" s="293"/>
      <c r="S966" s="316"/>
      <c r="T966" s="355"/>
    </row>
    <row r="967" spans="9:20" x14ac:dyDescent="0.25">
      <c r="J967" s="45"/>
      <c r="N967" s="514"/>
      <c r="R967" s="293"/>
      <c r="S967" s="316"/>
      <c r="T967" s="355"/>
    </row>
    <row r="968" spans="9:20" x14ac:dyDescent="0.25">
      <c r="J968" s="45"/>
      <c r="N968" s="514"/>
      <c r="R968" s="293"/>
      <c r="S968" s="316"/>
      <c r="T968" s="355"/>
    </row>
    <row r="969" spans="9:20" x14ac:dyDescent="0.25">
      <c r="J969" s="45"/>
      <c r="N969" s="514"/>
      <c r="R969" s="293"/>
      <c r="S969" s="316"/>
      <c r="T969" s="355"/>
    </row>
    <row r="970" spans="9:20" x14ac:dyDescent="0.25">
      <c r="J970" s="45"/>
      <c r="N970" s="514"/>
      <c r="R970" s="293"/>
      <c r="S970" s="316"/>
      <c r="T970" s="355"/>
    </row>
    <row r="971" spans="9:20" x14ac:dyDescent="0.25">
      <c r="J971" s="45"/>
      <c r="N971" s="514"/>
      <c r="R971" s="293"/>
      <c r="S971" s="316"/>
      <c r="T971" s="355"/>
    </row>
    <row r="972" spans="9:20" x14ac:dyDescent="0.25">
      <c r="J972" s="45"/>
      <c r="N972" s="514"/>
      <c r="R972" s="293"/>
      <c r="S972" s="316"/>
      <c r="T972" s="355"/>
    </row>
    <row r="973" spans="9:20" x14ac:dyDescent="0.25">
      <c r="J973" s="45"/>
      <c r="N973" s="514"/>
      <c r="R973" s="293"/>
      <c r="S973" s="316"/>
      <c r="T973" s="355"/>
    </row>
    <row r="974" spans="9:20" x14ac:dyDescent="0.25">
      <c r="J974" s="45"/>
      <c r="N974" s="514"/>
      <c r="R974" s="293"/>
      <c r="S974" s="316"/>
      <c r="T974" s="355"/>
    </row>
    <row r="975" spans="9:20" x14ac:dyDescent="0.25">
      <c r="J975" s="45"/>
      <c r="N975" s="514"/>
      <c r="R975" s="293"/>
      <c r="S975" s="316"/>
      <c r="T975" s="355"/>
    </row>
    <row r="976" spans="9:20" x14ac:dyDescent="0.25">
      <c r="J976" s="45"/>
      <c r="N976" s="514"/>
      <c r="R976" s="293"/>
      <c r="S976" s="316"/>
      <c r="T976" s="355"/>
    </row>
    <row r="977" spans="10:20" x14ac:dyDescent="0.25">
      <c r="J977" s="45"/>
      <c r="N977" s="514"/>
      <c r="R977" s="293"/>
      <c r="S977" s="316"/>
      <c r="T977" s="355"/>
    </row>
    <row r="978" spans="10:20" x14ac:dyDescent="0.25">
      <c r="J978" s="45"/>
      <c r="N978" s="514"/>
      <c r="R978" s="293"/>
      <c r="S978" s="316"/>
      <c r="T978" s="355"/>
    </row>
    <row r="979" spans="10:20" x14ac:dyDescent="0.25">
      <c r="J979" s="45"/>
      <c r="N979" s="514"/>
      <c r="R979" s="293"/>
      <c r="S979" s="316"/>
      <c r="T979" s="355"/>
    </row>
    <row r="980" spans="10:20" x14ac:dyDescent="0.25">
      <c r="J980" s="45"/>
      <c r="N980" s="514"/>
      <c r="R980" s="293"/>
      <c r="S980" s="316"/>
      <c r="T980" s="355"/>
    </row>
    <row r="981" spans="10:20" x14ac:dyDescent="0.25">
      <c r="J981" s="45"/>
      <c r="N981" s="514"/>
      <c r="R981" s="293"/>
      <c r="S981" s="316"/>
      <c r="T981" s="355"/>
    </row>
    <row r="982" spans="10:20" x14ac:dyDescent="0.25">
      <c r="J982" s="45"/>
      <c r="N982" s="514"/>
      <c r="R982" s="293"/>
      <c r="S982" s="316"/>
      <c r="T982" s="355"/>
    </row>
    <row r="983" spans="10:20" x14ac:dyDescent="0.25">
      <c r="J983" s="45"/>
      <c r="N983" s="514"/>
      <c r="R983" s="293"/>
      <c r="S983" s="316"/>
      <c r="T983" s="355"/>
    </row>
    <row r="984" spans="10:20" x14ac:dyDescent="0.25">
      <c r="J984" s="45"/>
      <c r="N984" s="514"/>
      <c r="R984" s="293"/>
      <c r="S984" s="316"/>
      <c r="T984" s="355"/>
    </row>
    <row r="985" spans="10:20" x14ac:dyDescent="0.25">
      <c r="J985" s="45"/>
      <c r="N985" s="514"/>
      <c r="R985" s="293"/>
      <c r="S985" s="316"/>
      <c r="T985" s="355"/>
    </row>
    <row r="986" spans="10:20" x14ac:dyDescent="0.25">
      <c r="J986" s="45"/>
      <c r="N986" s="514"/>
      <c r="R986" s="293"/>
      <c r="S986" s="316"/>
      <c r="T986" s="355"/>
    </row>
    <row r="987" spans="10:20" x14ac:dyDescent="0.25">
      <c r="J987" s="45"/>
      <c r="N987" s="514"/>
      <c r="R987" s="293"/>
      <c r="S987" s="316"/>
      <c r="T987" s="355"/>
    </row>
    <row r="988" spans="10:20" x14ac:dyDescent="0.25">
      <c r="J988" s="45"/>
      <c r="N988" s="514"/>
      <c r="R988" s="293"/>
      <c r="S988" s="316"/>
      <c r="T988" s="355"/>
    </row>
    <row r="989" spans="10:20" x14ac:dyDescent="0.25">
      <c r="J989" s="45"/>
      <c r="N989" s="514"/>
      <c r="R989" s="293"/>
      <c r="S989" s="316"/>
      <c r="T989" s="355"/>
    </row>
    <row r="990" spans="10:20" x14ac:dyDescent="0.25">
      <c r="J990" s="45"/>
      <c r="N990" s="514"/>
      <c r="R990" s="293"/>
      <c r="S990" s="316"/>
      <c r="T990" s="355"/>
    </row>
    <row r="991" spans="10:20" x14ac:dyDescent="0.25">
      <c r="J991" s="45"/>
      <c r="N991" s="514"/>
      <c r="R991" s="293"/>
      <c r="S991" s="316"/>
      <c r="T991" s="355"/>
    </row>
    <row r="992" spans="10:20" x14ac:dyDescent="0.25">
      <c r="J992" s="45"/>
      <c r="N992" s="514"/>
      <c r="R992" s="293"/>
      <c r="S992" s="316"/>
      <c r="T992" s="355"/>
    </row>
    <row r="993" spans="10:20" x14ac:dyDescent="0.25">
      <c r="J993" s="45"/>
      <c r="N993" s="514"/>
      <c r="R993" s="293"/>
      <c r="S993" s="316"/>
      <c r="T993" s="355"/>
    </row>
    <row r="994" spans="10:20" x14ac:dyDescent="0.25">
      <c r="J994" s="45"/>
      <c r="N994" s="514"/>
      <c r="R994" s="293"/>
      <c r="S994" s="316"/>
      <c r="T994" s="355"/>
    </row>
    <row r="995" spans="10:20" x14ac:dyDescent="0.25">
      <c r="J995" s="45"/>
      <c r="N995" s="514"/>
      <c r="R995" s="293"/>
      <c r="S995" s="316"/>
      <c r="T995" s="355"/>
    </row>
    <row r="996" spans="10:20" x14ac:dyDescent="0.25">
      <c r="J996" s="45"/>
      <c r="N996" s="514"/>
      <c r="R996" s="293"/>
      <c r="S996" s="316"/>
      <c r="T996" s="355"/>
    </row>
    <row r="997" spans="10:20" x14ac:dyDescent="0.25">
      <c r="J997" s="45"/>
      <c r="N997" s="514"/>
      <c r="R997" s="293"/>
      <c r="S997" s="316"/>
      <c r="T997" s="355"/>
    </row>
    <row r="998" spans="10:20" x14ac:dyDescent="0.25">
      <c r="J998" s="45"/>
      <c r="N998" s="514"/>
      <c r="R998" s="293"/>
      <c r="S998" s="316"/>
      <c r="T998" s="355"/>
    </row>
    <row r="999" spans="10:20" x14ac:dyDescent="0.25">
      <c r="J999" s="45"/>
      <c r="N999" s="514"/>
      <c r="R999" s="293"/>
      <c r="S999" s="316"/>
      <c r="T999" s="355"/>
    </row>
    <row r="1000" spans="10:20" x14ac:dyDescent="0.25">
      <c r="J1000" s="45"/>
      <c r="N1000" s="514"/>
      <c r="R1000" s="293"/>
      <c r="S1000" s="316"/>
      <c r="T1000" s="355"/>
    </row>
    <row r="1001" spans="10:20" x14ac:dyDescent="0.25">
      <c r="J1001" s="45"/>
      <c r="N1001" s="514"/>
      <c r="R1001" s="293"/>
      <c r="S1001" s="316"/>
      <c r="T1001" s="355"/>
    </row>
    <row r="1002" spans="10:20" x14ac:dyDescent="0.25">
      <c r="J1002" s="45"/>
      <c r="N1002" s="514"/>
      <c r="R1002" s="293"/>
      <c r="S1002" s="316"/>
      <c r="T1002" s="355"/>
    </row>
    <row r="1003" spans="10:20" x14ac:dyDescent="0.25">
      <c r="J1003" s="45"/>
      <c r="N1003" s="514"/>
      <c r="R1003" s="293"/>
      <c r="S1003" s="316"/>
      <c r="T1003" s="355"/>
    </row>
    <row r="1004" spans="10:20" x14ac:dyDescent="0.25">
      <c r="J1004" s="45"/>
      <c r="N1004" s="514"/>
      <c r="R1004" s="293"/>
      <c r="S1004" s="316"/>
      <c r="T1004" s="355"/>
    </row>
    <row r="1005" spans="10:20" x14ac:dyDescent="0.25">
      <c r="J1005" s="45"/>
      <c r="N1005" s="514"/>
      <c r="R1005" s="293"/>
      <c r="S1005" s="316"/>
      <c r="T1005" s="355"/>
    </row>
    <row r="1006" spans="10:20" x14ac:dyDescent="0.25">
      <c r="J1006" s="45"/>
      <c r="N1006" s="514"/>
      <c r="R1006" s="293"/>
      <c r="S1006" s="316"/>
      <c r="T1006" s="355"/>
    </row>
    <row r="1007" spans="10:20" x14ac:dyDescent="0.25">
      <c r="J1007" s="45"/>
      <c r="N1007" s="514"/>
      <c r="R1007" s="293"/>
      <c r="S1007" s="316"/>
      <c r="T1007" s="355"/>
    </row>
    <row r="1008" spans="10:20" x14ac:dyDescent="0.25">
      <c r="J1008" s="45"/>
      <c r="N1008" s="514"/>
      <c r="R1008" s="293"/>
      <c r="S1008" s="316"/>
      <c r="T1008" s="355"/>
    </row>
    <row r="1009" spans="10:20" x14ac:dyDescent="0.25">
      <c r="J1009" s="45"/>
      <c r="N1009" s="514"/>
      <c r="R1009" s="293"/>
      <c r="S1009" s="316"/>
      <c r="T1009" s="355"/>
    </row>
    <row r="1010" spans="10:20" x14ac:dyDescent="0.25">
      <c r="J1010" s="45"/>
      <c r="N1010" s="514"/>
      <c r="R1010" s="293"/>
      <c r="S1010" s="316"/>
      <c r="T1010" s="355"/>
    </row>
    <row r="1011" spans="10:20" x14ac:dyDescent="0.25">
      <c r="N1011" s="514"/>
      <c r="R1011" s="293"/>
      <c r="S1011" s="316"/>
      <c r="T1011" s="355"/>
    </row>
    <row r="1012" spans="10:20" x14ac:dyDescent="0.25">
      <c r="N1012" s="514"/>
      <c r="R1012" s="293"/>
      <c r="S1012" s="316"/>
      <c r="T1012" s="355"/>
    </row>
    <row r="1013" spans="10:20" x14ac:dyDescent="0.25">
      <c r="N1013" s="514"/>
      <c r="R1013" s="293"/>
      <c r="S1013" s="316"/>
      <c r="T1013" s="355"/>
    </row>
    <row r="1014" spans="10:20" x14ac:dyDescent="0.25">
      <c r="N1014" s="514"/>
      <c r="R1014" s="293"/>
      <c r="S1014" s="316"/>
      <c r="T1014" s="355"/>
    </row>
    <row r="1015" spans="10:20" x14ac:dyDescent="0.25">
      <c r="N1015" s="514"/>
      <c r="R1015" s="293"/>
      <c r="S1015" s="316"/>
      <c r="T1015" s="355"/>
    </row>
    <row r="1016" spans="10:20" x14ac:dyDescent="0.25">
      <c r="N1016" s="514"/>
      <c r="R1016" s="293"/>
      <c r="S1016" s="316"/>
      <c r="T1016" s="355"/>
    </row>
    <row r="1017" spans="10:20" x14ac:dyDescent="0.25">
      <c r="N1017" s="514"/>
      <c r="R1017" s="293"/>
      <c r="S1017" s="316"/>
      <c r="T1017" s="355"/>
    </row>
    <row r="1018" spans="10:20" x14ac:dyDescent="0.25">
      <c r="N1018" s="514"/>
      <c r="R1018" s="293"/>
      <c r="S1018" s="316"/>
      <c r="T1018" s="355"/>
    </row>
    <row r="1019" spans="10:20" x14ac:dyDescent="0.25">
      <c r="N1019" s="514"/>
      <c r="R1019" s="293"/>
      <c r="S1019" s="316"/>
      <c r="T1019" s="355"/>
    </row>
    <row r="1020" spans="10:20" x14ac:dyDescent="0.25">
      <c r="N1020" s="514"/>
      <c r="R1020" s="293"/>
      <c r="S1020" s="316"/>
      <c r="T1020" s="355"/>
    </row>
    <row r="1021" spans="10:20" x14ac:dyDescent="0.25">
      <c r="N1021" s="514"/>
      <c r="R1021" s="293"/>
      <c r="S1021" s="316"/>
      <c r="T1021" s="355"/>
    </row>
    <row r="1022" spans="10:20" x14ac:dyDescent="0.25">
      <c r="N1022" s="514"/>
      <c r="R1022" s="293"/>
      <c r="S1022" s="316"/>
      <c r="T1022" s="355"/>
    </row>
    <row r="1023" spans="10:20" x14ac:dyDescent="0.25">
      <c r="N1023" s="514"/>
      <c r="R1023" s="293"/>
      <c r="S1023" s="316"/>
      <c r="T1023" s="355"/>
    </row>
    <row r="1024" spans="10:20" x14ac:dyDescent="0.25">
      <c r="N1024" s="514"/>
      <c r="R1024" s="293"/>
      <c r="S1024" s="316"/>
      <c r="T1024" s="355"/>
    </row>
    <row r="1025" spans="14:20" x14ac:dyDescent="0.25">
      <c r="N1025" s="514"/>
      <c r="R1025" s="293"/>
      <c r="S1025" s="316"/>
      <c r="T1025" s="355"/>
    </row>
    <row r="1026" spans="14:20" x14ac:dyDescent="0.25">
      <c r="N1026" s="514"/>
      <c r="R1026" s="293"/>
      <c r="S1026" s="316"/>
      <c r="T1026" s="355"/>
    </row>
    <row r="1027" spans="14:20" x14ac:dyDescent="0.25">
      <c r="N1027" s="514"/>
      <c r="R1027" s="293"/>
      <c r="S1027" s="316"/>
      <c r="T1027" s="355"/>
    </row>
    <row r="1028" spans="14:20" x14ac:dyDescent="0.25">
      <c r="N1028" s="514"/>
      <c r="R1028" s="293"/>
      <c r="S1028" s="316"/>
      <c r="T1028" s="355"/>
    </row>
    <row r="1029" spans="14:20" x14ac:dyDescent="0.25">
      <c r="N1029" s="514"/>
      <c r="R1029" s="293"/>
      <c r="S1029" s="316"/>
      <c r="T1029" s="355"/>
    </row>
    <row r="1030" spans="14:20" x14ac:dyDescent="0.25">
      <c r="N1030" s="514"/>
      <c r="R1030" s="293"/>
      <c r="S1030" s="316"/>
      <c r="T1030" s="355"/>
    </row>
    <row r="1031" spans="14:20" x14ac:dyDescent="0.25">
      <c r="N1031" s="514"/>
      <c r="R1031" s="293"/>
      <c r="S1031" s="316"/>
      <c r="T1031" s="355"/>
    </row>
    <row r="1032" spans="14:20" x14ac:dyDescent="0.25">
      <c r="N1032" s="514"/>
      <c r="R1032" s="293"/>
      <c r="S1032" s="316"/>
      <c r="T1032" s="355"/>
    </row>
    <row r="1033" spans="14:20" x14ac:dyDescent="0.25">
      <c r="N1033" s="514"/>
      <c r="R1033" s="293"/>
      <c r="S1033" s="316"/>
      <c r="T1033" s="355"/>
    </row>
    <row r="1034" spans="14:20" x14ac:dyDescent="0.25">
      <c r="N1034" s="514"/>
      <c r="R1034" s="293"/>
      <c r="S1034" s="316"/>
      <c r="T1034" s="355"/>
    </row>
    <row r="1035" spans="14:20" x14ac:dyDescent="0.25">
      <c r="N1035" s="514"/>
      <c r="R1035" s="293"/>
      <c r="S1035" s="316"/>
      <c r="T1035" s="355"/>
    </row>
    <row r="1036" spans="14:20" x14ac:dyDescent="0.25">
      <c r="N1036" s="514"/>
      <c r="R1036" s="293"/>
      <c r="S1036" s="316"/>
      <c r="T1036" s="355"/>
    </row>
    <row r="1037" spans="14:20" x14ac:dyDescent="0.25">
      <c r="N1037" s="514"/>
      <c r="R1037" s="293"/>
      <c r="S1037" s="316"/>
      <c r="T1037" s="355"/>
    </row>
    <row r="1038" spans="14:20" x14ac:dyDescent="0.25">
      <c r="N1038" s="514"/>
      <c r="R1038" s="293"/>
      <c r="S1038" s="316"/>
      <c r="T1038" s="355"/>
    </row>
    <row r="1039" spans="14:20" x14ac:dyDescent="0.25">
      <c r="N1039" s="514"/>
      <c r="R1039" s="293"/>
      <c r="S1039" s="316"/>
      <c r="T1039" s="355"/>
    </row>
    <row r="1040" spans="14:20" x14ac:dyDescent="0.25">
      <c r="N1040" s="514"/>
      <c r="R1040" s="293"/>
      <c r="S1040" s="316"/>
      <c r="T1040" s="355"/>
    </row>
    <row r="1041" spans="14:20" x14ac:dyDescent="0.25">
      <c r="N1041" s="514"/>
      <c r="R1041" s="293"/>
      <c r="S1041" s="316"/>
      <c r="T1041" s="355"/>
    </row>
    <row r="1042" spans="14:20" x14ac:dyDescent="0.25">
      <c r="N1042" s="514"/>
      <c r="R1042" s="293"/>
      <c r="S1042" s="316"/>
      <c r="T1042" s="355"/>
    </row>
    <row r="1043" spans="14:20" x14ac:dyDescent="0.25">
      <c r="N1043" s="514"/>
      <c r="R1043" s="293"/>
      <c r="S1043" s="316"/>
      <c r="T1043" s="355"/>
    </row>
    <row r="1044" spans="14:20" x14ac:dyDescent="0.25">
      <c r="N1044" s="514"/>
      <c r="R1044" s="293"/>
      <c r="S1044" s="316"/>
      <c r="T1044" s="355"/>
    </row>
    <row r="1045" spans="14:20" x14ac:dyDescent="0.25">
      <c r="N1045" s="514"/>
      <c r="R1045" s="293"/>
      <c r="S1045" s="316"/>
      <c r="T1045" s="355"/>
    </row>
    <row r="1046" spans="14:20" x14ac:dyDescent="0.25">
      <c r="N1046" s="514"/>
      <c r="R1046" s="293"/>
      <c r="S1046" s="316"/>
      <c r="T1046" s="355"/>
    </row>
    <row r="1047" spans="14:20" x14ac:dyDescent="0.25">
      <c r="N1047" s="514"/>
      <c r="R1047" s="293"/>
      <c r="S1047" s="316"/>
      <c r="T1047" s="355"/>
    </row>
    <row r="1048" spans="14:20" x14ac:dyDescent="0.25">
      <c r="N1048" s="514"/>
      <c r="R1048" s="293"/>
      <c r="S1048" s="316"/>
      <c r="T1048" s="355"/>
    </row>
    <row r="1049" spans="14:20" x14ac:dyDescent="0.25">
      <c r="N1049" s="514"/>
      <c r="R1049" s="293"/>
      <c r="S1049" s="316"/>
      <c r="T1049" s="355"/>
    </row>
    <row r="1050" spans="14:20" x14ac:dyDescent="0.25">
      <c r="N1050" s="514"/>
      <c r="R1050" s="293"/>
      <c r="S1050" s="316"/>
      <c r="T1050" s="355"/>
    </row>
    <row r="1051" spans="14:20" x14ac:dyDescent="0.25">
      <c r="N1051" s="514"/>
      <c r="R1051" s="293"/>
      <c r="S1051" s="316"/>
      <c r="T1051" s="355"/>
    </row>
    <row r="1052" spans="14:20" x14ac:dyDescent="0.25">
      <c r="N1052" s="514"/>
      <c r="R1052" s="293"/>
      <c r="S1052" s="316"/>
      <c r="T1052" s="355"/>
    </row>
    <row r="1053" spans="14:20" x14ac:dyDescent="0.25">
      <c r="N1053" s="514"/>
      <c r="R1053" s="293"/>
      <c r="S1053" s="316"/>
      <c r="T1053" s="355"/>
    </row>
    <row r="1054" spans="14:20" x14ac:dyDescent="0.25">
      <c r="N1054" s="514"/>
      <c r="R1054" s="293"/>
      <c r="S1054" s="316"/>
      <c r="T1054" s="355"/>
    </row>
    <row r="1055" spans="14:20" x14ac:dyDescent="0.25">
      <c r="N1055" s="514"/>
      <c r="R1055" s="293"/>
      <c r="S1055" s="316"/>
      <c r="T1055" s="355"/>
    </row>
    <row r="1056" spans="14:20" x14ac:dyDescent="0.25">
      <c r="N1056" s="514"/>
      <c r="R1056" s="293"/>
      <c r="S1056" s="316"/>
      <c r="T1056" s="355"/>
    </row>
    <row r="1057" spans="14:20" x14ac:dyDescent="0.25">
      <c r="N1057" s="514"/>
      <c r="R1057" s="293"/>
      <c r="S1057" s="316"/>
      <c r="T1057" s="355"/>
    </row>
    <row r="1058" spans="14:20" x14ac:dyDescent="0.25">
      <c r="N1058" s="514"/>
      <c r="R1058" s="293"/>
      <c r="S1058" s="316"/>
      <c r="T1058" s="355"/>
    </row>
    <row r="1059" spans="14:20" x14ac:dyDescent="0.25">
      <c r="N1059" s="514"/>
      <c r="R1059" s="293"/>
      <c r="S1059" s="316"/>
      <c r="T1059" s="355"/>
    </row>
    <row r="1060" spans="14:20" x14ac:dyDescent="0.25">
      <c r="N1060" s="514"/>
      <c r="R1060" s="293"/>
      <c r="S1060" s="316"/>
      <c r="T1060" s="355"/>
    </row>
    <row r="1061" spans="14:20" x14ac:dyDescent="0.25">
      <c r="N1061" s="514"/>
      <c r="R1061" s="293"/>
      <c r="S1061" s="316"/>
      <c r="T1061" s="355"/>
    </row>
    <row r="1062" spans="14:20" x14ac:dyDescent="0.25">
      <c r="N1062" s="514"/>
      <c r="R1062" s="293"/>
      <c r="S1062" s="316"/>
      <c r="T1062" s="355"/>
    </row>
    <row r="1063" spans="14:20" x14ac:dyDescent="0.25">
      <c r="N1063" s="514"/>
      <c r="R1063" s="293"/>
      <c r="S1063" s="316"/>
      <c r="T1063" s="355"/>
    </row>
    <row r="1064" spans="14:20" x14ac:dyDescent="0.25">
      <c r="N1064" s="514"/>
      <c r="R1064" s="293"/>
      <c r="S1064" s="316"/>
      <c r="T1064" s="355"/>
    </row>
    <row r="1065" spans="14:20" x14ac:dyDescent="0.25">
      <c r="N1065" s="514"/>
      <c r="R1065" s="293"/>
      <c r="S1065" s="316"/>
      <c r="T1065" s="355"/>
    </row>
    <row r="1066" spans="14:20" x14ac:dyDescent="0.25">
      <c r="N1066" s="514"/>
      <c r="R1066" s="293"/>
      <c r="S1066" s="316"/>
      <c r="T1066" s="355"/>
    </row>
    <row r="1067" spans="14:20" x14ac:dyDescent="0.25">
      <c r="N1067" s="514"/>
      <c r="R1067" s="293"/>
      <c r="S1067" s="316"/>
      <c r="T1067" s="355"/>
    </row>
    <row r="1068" spans="14:20" x14ac:dyDescent="0.25">
      <c r="N1068" s="514"/>
      <c r="R1068" s="293"/>
      <c r="S1068" s="316"/>
      <c r="T1068" s="355"/>
    </row>
    <row r="1069" spans="14:20" x14ac:dyDescent="0.25">
      <c r="N1069" s="514"/>
      <c r="R1069" s="293"/>
      <c r="S1069" s="316"/>
      <c r="T1069" s="355"/>
    </row>
    <row r="1070" spans="14:20" x14ac:dyDescent="0.25">
      <c r="N1070" s="514"/>
      <c r="R1070" s="293"/>
      <c r="S1070" s="316"/>
      <c r="T1070" s="355"/>
    </row>
    <row r="1071" spans="14:20" x14ac:dyDescent="0.25">
      <c r="N1071" s="514"/>
      <c r="R1071" s="293"/>
      <c r="S1071" s="316"/>
      <c r="T1071" s="355"/>
    </row>
    <row r="1072" spans="14:20" x14ac:dyDescent="0.25">
      <c r="N1072" s="514"/>
      <c r="R1072" s="293"/>
      <c r="S1072" s="316"/>
      <c r="T1072" s="355"/>
    </row>
    <row r="1073" spans="14:20" x14ac:dyDescent="0.25">
      <c r="N1073" s="514"/>
      <c r="R1073" s="293"/>
      <c r="S1073" s="316"/>
      <c r="T1073" s="355"/>
    </row>
    <row r="1074" spans="14:20" x14ac:dyDescent="0.25">
      <c r="N1074" s="514"/>
      <c r="R1074" s="293"/>
      <c r="S1074" s="316"/>
      <c r="T1074" s="355"/>
    </row>
    <row r="1075" spans="14:20" x14ac:dyDescent="0.25">
      <c r="N1075" s="514"/>
      <c r="R1075" s="293"/>
      <c r="S1075" s="316"/>
      <c r="T1075" s="355"/>
    </row>
    <row r="1076" spans="14:20" x14ac:dyDescent="0.25">
      <c r="N1076" s="514"/>
      <c r="R1076" s="293"/>
      <c r="S1076" s="316"/>
      <c r="T1076" s="355"/>
    </row>
    <row r="1077" spans="14:20" x14ac:dyDescent="0.25">
      <c r="N1077" s="514"/>
      <c r="R1077" s="293"/>
      <c r="S1077" s="316"/>
      <c r="T1077" s="355"/>
    </row>
    <row r="1078" spans="14:20" x14ac:dyDescent="0.25">
      <c r="N1078" s="514"/>
      <c r="R1078" s="293"/>
      <c r="S1078" s="316"/>
      <c r="T1078" s="355"/>
    </row>
    <row r="1079" spans="14:20" x14ac:dyDescent="0.25">
      <c r="N1079" s="514"/>
      <c r="R1079" s="293"/>
      <c r="S1079" s="316"/>
      <c r="T1079" s="355"/>
    </row>
    <row r="1080" spans="14:20" x14ac:dyDescent="0.25">
      <c r="N1080" s="514"/>
      <c r="R1080" s="293"/>
      <c r="S1080" s="316"/>
      <c r="T1080" s="355"/>
    </row>
    <row r="1081" spans="14:20" x14ac:dyDescent="0.25">
      <c r="N1081" s="514"/>
      <c r="R1081" s="293"/>
      <c r="S1081" s="316"/>
      <c r="T1081" s="355"/>
    </row>
    <row r="1082" spans="14:20" x14ac:dyDescent="0.25">
      <c r="N1082" s="514"/>
      <c r="R1082" s="293"/>
      <c r="S1082" s="316"/>
      <c r="T1082" s="355"/>
    </row>
    <row r="1083" spans="14:20" x14ac:dyDescent="0.25">
      <c r="N1083" s="514"/>
      <c r="R1083" s="293"/>
      <c r="S1083" s="316"/>
      <c r="T1083" s="355"/>
    </row>
    <row r="1084" spans="14:20" x14ac:dyDescent="0.25">
      <c r="N1084" s="514"/>
      <c r="R1084" s="293"/>
      <c r="S1084" s="316"/>
      <c r="T1084" s="355"/>
    </row>
    <row r="1085" spans="14:20" x14ac:dyDescent="0.25">
      <c r="N1085" s="514"/>
      <c r="R1085" s="293"/>
      <c r="S1085" s="316"/>
      <c r="T1085" s="355"/>
    </row>
    <row r="1086" spans="14:20" x14ac:dyDescent="0.25">
      <c r="N1086" s="514"/>
      <c r="R1086" s="293"/>
      <c r="S1086" s="316"/>
      <c r="T1086" s="355"/>
    </row>
    <row r="1087" spans="14:20" x14ac:dyDescent="0.25">
      <c r="N1087" s="514"/>
      <c r="R1087" s="293"/>
      <c r="S1087" s="316"/>
      <c r="T1087" s="355"/>
    </row>
    <row r="1088" spans="14:20" x14ac:dyDescent="0.25">
      <c r="N1088" s="514"/>
      <c r="R1088" s="293"/>
      <c r="S1088" s="316"/>
      <c r="T1088" s="355"/>
    </row>
    <row r="1089" spans="14:20" x14ac:dyDescent="0.25">
      <c r="N1089" s="514"/>
      <c r="R1089" s="293"/>
      <c r="S1089" s="316"/>
      <c r="T1089" s="355"/>
    </row>
    <row r="1090" spans="14:20" x14ac:dyDescent="0.25">
      <c r="N1090" s="514"/>
      <c r="R1090" s="293"/>
      <c r="S1090" s="316"/>
      <c r="T1090" s="355"/>
    </row>
    <row r="1091" spans="14:20" x14ac:dyDescent="0.25">
      <c r="N1091" s="514"/>
      <c r="R1091" s="293"/>
      <c r="S1091" s="316"/>
      <c r="T1091" s="355"/>
    </row>
    <row r="1092" spans="14:20" x14ac:dyDescent="0.25">
      <c r="N1092" s="514"/>
      <c r="R1092" s="293"/>
      <c r="S1092" s="316"/>
      <c r="T1092" s="355"/>
    </row>
    <row r="1093" spans="14:20" x14ac:dyDescent="0.25">
      <c r="N1093" s="514"/>
      <c r="R1093" s="293"/>
      <c r="S1093" s="316"/>
      <c r="T1093" s="355"/>
    </row>
    <row r="1094" spans="14:20" x14ac:dyDescent="0.25">
      <c r="N1094" s="514"/>
      <c r="R1094" s="293"/>
      <c r="S1094" s="316"/>
      <c r="T1094" s="355"/>
    </row>
    <row r="1095" spans="14:20" x14ac:dyDescent="0.25">
      <c r="N1095" s="514"/>
      <c r="R1095" s="293"/>
      <c r="S1095" s="316"/>
      <c r="T1095" s="355"/>
    </row>
    <row r="1096" spans="14:20" x14ac:dyDescent="0.25">
      <c r="N1096" s="514"/>
      <c r="R1096" s="293"/>
      <c r="S1096" s="316"/>
      <c r="T1096" s="355"/>
    </row>
    <row r="1097" spans="14:20" x14ac:dyDescent="0.25">
      <c r="N1097" s="514"/>
      <c r="R1097" s="293"/>
      <c r="S1097" s="316"/>
      <c r="T1097" s="355"/>
    </row>
    <row r="1098" spans="14:20" x14ac:dyDescent="0.25">
      <c r="N1098" s="514"/>
      <c r="R1098" s="293"/>
      <c r="S1098" s="316"/>
      <c r="T1098" s="355"/>
    </row>
    <row r="1099" spans="14:20" x14ac:dyDescent="0.25">
      <c r="N1099" s="514"/>
      <c r="R1099" s="293"/>
      <c r="S1099" s="316"/>
      <c r="T1099" s="355"/>
    </row>
    <row r="1100" spans="14:20" x14ac:dyDescent="0.25">
      <c r="N1100" s="514"/>
      <c r="R1100" s="293"/>
      <c r="S1100" s="316"/>
      <c r="T1100" s="355"/>
    </row>
    <row r="1101" spans="14:20" x14ac:dyDescent="0.25">
      <c r="N1101" s="514"/>
      <c r="R1101" s="293"/>
      <c r="S1101" s="316"/>
      <c r="T1101" s="355"/>
    </row>
    <row r="1102" spans="14:20" x14ac:dyDescent="0.25">
      <c r="N1102" s="514"/>
      <c r="R1102" s="293"/>
      <c r="S1102" s="316"/>
      <c r="T1102" s="355"/>
    </row>
    <row r="1103" spans="14:20" x14ac:dyDescent="0.25">
      <c r="N1103" s="514"/>
      <c r="R1103" s="293"/>
      <c r="S1103" s="316"/>
      <c r="T1103" s="355"/>
    </row>
    <row r="1104" spans="14:20" x14ac:dyDescent="0.25">
      <c r="N1104" s="514"/>
      <c r="R1104" s="293"/>
      <c r="S1104" s="316"/>
      <c r="T1104" s="355"/>
    </row>
    <row r="1105" spans="14:20" x14ac:dyDescent="0.25">
      <c r="N1105" s="514"/>
      <c r="R1105" s="293"/>
      <c r="S1105" s="316"/>
      <c r="T1105" s="355"/>
    </row>
    <row r="1106" spans="14:20" x14ac:dyDescent="0.25">
      <c r="N1106" s="514"/>
      <c r="R1106" s="293"/>
      <c r="S1106" s="316"/>
      <c r="T1106" s="355"/>
    </row>
    <row r="1107" spans="14:20" x14ac:dyDescent="0.25">
      <c r="N1107" s="514"/>
      <c r="R1107" s="293"/>
      <c r="S1107" s="316"/>
      <c r="T1107" s="355"/>
    </row>
    <row r="1108" spans="14:20" x14ac:dyDescent="0.25">
      <c r="N1108" s="514"/>
      <c r="R1108" s="293"/>
      <c r="S1108" s="316"/>
      <c r="T1108" s="355"/>
    </row>
    <row r="1109" spans="14:20" x14ac:dyDescent="0.25">
      <c r="N1109" s="514"/>
      <c r="R1109" s="293"/>
      <c r="S1109" s="316"/>
      <c r="T1109" s="355"/>
    </row>
    <row r="1110" spans="14:20" x14ac:dyDescent="0.25">
      <c r="N1110" s="514"/>
      <c r="R1110" s="293"/>
      <c r="S1110" s="316"/>
      <c r="T1110" s="355"/>
    </row>
    <row r="1111" spans="14:20" x14ac:dyDescent="0.25">
      <c r="N1111" s="514"/>
      <c r="R1111" s="293"/>
      <c r="S1111" s="316"/>
      <c r="T1111" s="355"/>
    </row>
    <row r="1112" spans="14:20" x14ac:dyDescent="0.25">
      <c r="N1112" s="514"/>
      <c r="R1112" s="293"/>
      <c r="S1112" s="316"/>
      <c r="T1112" s="355"/>
    </row>
    <row r="1113" spans="14:20" x14ac:dyDescent="0.25">
      <c r="N1113" s="514"/>
      <c r="R1113" s="293"/>
      <c r="S1113" s="316"/>
      <c r="T1113" s="355"/>
    </row>
    <row r="1114" spans="14:20" x14ac:dyDescent="0.25">
      <c r="N1114" s="514"/>
      <c r="R1114" s="293"/>
      <c r="S1114" s="316"/>
      <c r="T1114" s="355"/>
    </row>
    <row r="1115" spans="14:20" x14ac:dyDescent="0.25">
      <c r="N1115" s="514"/>
      <c r="R1115" s="293"/>
      <c r="S1115" s="316"/>
      <c r="T1115" s="355"/>
    </row>
    <row r="1116" spans="14:20" x14ac:dyDescent="0.25">
      <c r="N1116" s="514"/>
      <c r="R1116" s="293"/>
      <c r="S1116" s="316"/>
      <c r="T1116" s="355"/>
    </row>
    <row r="1117" spans="14:20" x14ac:dyDescent="0.25">
      <c r="N1117" s="514"/>
      <c r="R1117" s="293"/>
      <c r="S1117" s="316"/>
      <c r="T1117" s="355"/>
    </row>
    <row r="1118" spans="14:20" x14ac:dyDescent="0.25">
      <c r="N1118" s="514"/>
      <c r="R1118" s="293"/>
      <c r="S1118" s="316"/>
      <c r="T1118" s="355"/>
    </row>
    <row r="1119" spans="14:20" x14ac:dyDescent="0.25">
      <c r="N1119" s="514"/>
      <c r="R1119" s="293"/>
      <c r="S1119" s="316"/>
      <c r="T1119" s="355"/>
    </row>
    <row r="1120" spans="14:20" x14ac:dyDescent="0.25">
      <c r="N1120" s="514"/>
      <c r="R1120" s="293"/>
      <c r="S1120" s="316"/>
      <c r="T1120" s="355"/>
    </row>
    <row r="1121" spans="14:20" x14ac:dyDescent="0.25">
      <c r="N1121" s="514"/>
      <c r="R1121" s="293"/>
      <c r="S1121" s="316"/>
      <c r="T1121" s="355"/>
    </row>
    <row r="1122" spans="14:20" x14ac:dyDescent="0.25">
      <c r="N1122" s="514"/>
      <c r="R1122" s="293"/>
      <c r="S1122" s="316"/>
      <c r="T1122" s="355"/>
    </row>
    <row r="1123" spans="14:20" x14ac:dyDescent="0.25">
      <c r="N1123" s="514"/>
      <c r="R1123" s="293"/>
      <c r="S1123" s="316"/>
      <c r="T1123" s="355"/>
    </row>
    <row r="1124" spans="14:20" x14ac:dyDescent="0.25">
      <c r="N1124" s="514"/>
      <c r="R1124" s="293"/>
      <c r="S1124" s="316"/>
      <c r="T1124" s="355"/>
    </row>
    <row r="1125" spans="14:20" x14ac:dyDescent="0.25">
      <c r="N1125" s="514"/>
      <c r="R1125" s="293"/>
      <c r="S1125" s="316"/>
      <c r="T1125" s="355"/>
    </row>
    <row r="1126" spans="14:20" x14ac:dyDescent="0.25">
      <c r="N1126" s="514"/>
      <c r="R1126" s="293"/>
      <c r="S1126" s="316"/>
      <c r="T1126" s="355"/>
    </row>
    <row r="1127" spans="14:20" x14ac:dyDescent="0.25">
      <c r="N1127" s="514"/>
      <c r="R1127" s="293"/>
      <c r="S1127" s="316"/>
      <c r="T1127" s="355"/>
    </row>
    <row r="1128" spans="14:20" x14ac:dyDescent="0.25">
      <c r="N1128" s="514"/>
      <c r="R1128" s="293"/>
      <c r="S1128" s="316"/>
      <c r="T1128" s="355"/>
    </row>
    <row r="1129" spans="14:20" x14ac:dyDescent="0.25">
      <c r="N1129" s="514"/>
      <c r="R1129" s="293"/>
      <c r="S1129" s="316"/>
      <c r="T1129" s="355"/>
    </row>
    <row r="1130" spans="14:20" x14ac:dyDescent="0.25">
      <c r="N1130" s="514"/>
      <c r="R1130" s="293"/>
      <c r="S1130" s="316"/>
      <c r="T1130" s="355"/>
    </row>
    <row r="1131" spans="14:20" x14ac:dyDescent="0.25">
      <c r="N1131" s="514"/>
      <c r="R1131" s="293"/>
      <c r="S1131" s="316"/>
      <c r="T1131" s="355"/>
    </row>
    <row r="1132" spans="14:20" x14ac:dyDescent="0.25">
      <c r="N1132" s="514"/>
      <c r="R1132" s="293"/>
      <c r="S1132" s="316"/>
      <c r="T1132" s="355"/>
    </row>
    <row r="1133" spans="14:20" x14ac:dyDescent="0.25">
      <c r="N1133" s="514"/>
      <c r="R1133" s="293"/>
      <c r="S1133" s="316"/>
      <c r="T1133" s="355"/>
    </row>
    <row r="1134" spans="14:20" x14ac:dyDescent="0.25">
      <c r="N1134" s="514"/>
      <c r="R1134" s="293"/>
      <c r="S1134" s="316"/>
      <c r="T1134" s="355"/>
    </row>
    <row r="1135" spans="14:20" x14ac:dyDescent="0.25">
      <c r="N1135" s="514"/>
      <c r="R1135" s="293"/>
      <c r="S1135" s="316"/>
      <c r="T1135" s="355"/>
    </row>
    <row r="1136" spans="14:20" x14ac:dyDescent="0.25">
      <c r="N1136" s="514"/>
      <c r="R1136" s="293"/>
      <c r="S1136" s="316"/>
      <c r="T1136" s="355"/>
    </row>
    <row r="1137" spans="14:20" x14ac:dyDescent="0.25">
      <c r="N1137" s="514"/>
      <c r="R1137" s="293"/>
      <c r="S1137" s="316"/>
      <c r="T1137" s="355"/>
    </row>
    <row r="1138" spans="14:20" x14ac:dyDescent="0.25">
      <c r="N1138" s="514"/>
      <c r="R1138" s="293"/>
      <c r="S1138" s="316"/>
      <c r="T1138" s="355"/>
    </row>
    <row r="1139" spans="14:20" x14ac:dyDescent="0.25">
      <c r="N1139" s="514"/>
      <c r="R1139" s="293"/>
      <c r="S1139" s="316"/>
      <c r="T1139" s="355"/>
    </row>
    <row r="1140" spans="14:20" x14ac:dyDescent="0.25">
      <c r="N1140" s="514"/>
      <c r="R1140" s="293"/>
      <c r="S1140" s="316"/>
      <c r="T1140" s="355"/>
    </row>
    <row r="1141" spans="14:20" x14ac:dyDescent="0.25">
      <c r="N1141" s="514"/>
      <c r="R1141" s="293"/>
      <c r="S1141" s="316"/>
      <c r="T1141" s="355"/>
    </row>
    <row r="1142" spans="14:20" x14ac:dyDescent="0.25">
      <c r="N1142" s="514"/>
      <c r="R1142" s="293"/>
      <c r="S1142" s="316"/>
      <c r="T1142" s="355"/>
    </row>
    <row r="1143" spans="14:20" x14ac:dyDescent="0.25">
      <c r="N1143" s="514"/>
      <c r="R1143" s="293"/>
      <c r="S1143" s="316"/>
      <c r="T1143" s="355"/>
    </row>
    <row r="1144" spans="14:20" x14ac:dyDescent="0.25">
      <c r="N1144" s="514"/>
      <c r="R1144" s="293"/>
      <c r="S1144" s="316"/>
      <c r="T1144" s="355"/>
    </row>
    <row r="1145" spans="14:20" x14ac:dyDescent="0.25">
      <c r="N1145" s="514"/>
      <c r="R1145" s="293"/>
      <c r="S1145" s="316"/>
      <c r="T1145" s="355"/>
    </row>
    <row r="1146" spans="14:20" x14ac:dyDescent="0.25">
      <c r="N1146" s="514"/>
      <c r="R1146" s="293"/>
      <c r="S1146" s="316"/>
      <c r="T1146" s="355"/>
    </row>
    <row r="1147" spans="14:20" x14ac:dyDescent="0.25">
      <c r="N1147" s="514"/>
      <c r="R1147" s="293"/>
      <c r="S1147" s="316"/>
      <c r="T1147" s="355"/>
    </row>
    <row r="1148" spans="14:20" x14ac:dyDescent="0.25">
      <c r="N1148" s="514"/>
      <c r="R1148" s="293"/>
      <c r="S1148" s="316"/>
      <c r="T1148" s="355"/>
    </row>
    <row r="1149" spans="14:20" x14ac:dyDescent="0.25">
      <c r="N1149" s="514"/>
      <c r="R1149" s="293"/>
      <c r="S1149" s="316"/>
      <c r="T1149" s="355"/>
    </row>
    <row r="1150" spans="14:20" x14ac:dyDescent="0.25">
      <c r="N1150" s="514"/>
      <c r="R1150" s="293"/>
      <c r="S1150" s="316"/>
      <c r="T1150" s="355"/>
    </row>
    <row r="1151" spans="14:20" x14ac:dyDescent="0.25">
      <c r="N1151" s="514"/>
      <c r="R1151" s="293"/>
      <c r="S1151" s="316"/>
      <c r="T1151" s="355"/>
    </row>
    <row r="1152" spans="14:20" x14ac:dyDescent="0.25">
      <c r="N1152" s="514"/>
      <c r="R1152" s="293"/>
      <c r="S1152" s="316"/>
      <c r="T1152" s="355"/>
    </row>
    <row r="1153" spans="14:20" x14ac:dyDescent="0.25">
      <c r="N1153" s="514"/>
      <c r="R1153" s="293"/>
      <c r="S1153" s="316"/>
      <c r="T1153" s="355"/>
    </row>
    <row r="1154" spans="14:20" x14ac:dyDescent="0.25">
      <c r="N1154" s="514"/>
      <c r="R1154" s="293"/>
      <c r="S1154" s="316"/>
      <c r="T1154" s="355"/>
    </row>
    <row r="1155" spans="14:20" x14ac:dyDescent="0.25">
      <c r="N1155" s="514"/>
      <c r="R1155" s="293"/>
      <c r="S1155" s="316"/>
      <c r="T1155" s="355"/>
    </row>
    <row r="1156" spans="14:20" x14ac:dyDescent="0.25">
      <c r="N1156" s="514"/>
      <c r="R1156" s="293"/>
      <c r="S1156" s="316"/>
      <c r="T1156" s="355"/>
    </row>
    <row r="1157" spans="14:20" x14ac:dyDescent="0.25">
      <c r="N1157" s="514"/>
      <c r="R1157" s="293"/>
      <c r="S1157" s="316"/>
      <c r="T1157" s="355"/>
    </row>
    <row r="1158" spans="14:20" x14ac:dyDescent="0.25">
      <c r="N1158" s="514"/>
      <c r="R1158" s="293"/>
      <c r="S1158" s="316"/>
      <c r="T1158" s="355"/>
    </row>
    <row r="1159" spans="14:20" x14ac:dyDescent="0.25">
      <c r="N1159" s="514"/>
      <c r="R1159" s="293"/>
      <c r="S1159" s="316"/>
      <c r="T1159" s="355"/>
    </row>
    <row r="1160" spans="14:20" x14ac:dyDescent="0.25">
      <c r="N1160" s="514"/>
      <c r="R1160" s="293"/>
      <c r="S1160" s="316"/>
      <c r="T1160" s="355"/>
    </row>
    <row r="1161" spans="14:20" x14ac:dyDescent="0.25">
      <c r="N1161" s="514"/>
      <c r="R1161" s="293"/>
      <c r="S1161" s="316"/>
      <c r="T1161" s="355"/>
    </row>
    <row r="1162" spans="14:20" x14ac:dyDescent="0.25">
      <c r="N1162" s="514"/>
      <c r="R1162" s="293"/>
      <c r="S1162" s="316"/>
      <c r="T1162" s="355"/>
    </row>
    <row r="1163" spans="14:20" x14ac:dyDescent="0.25">
      <c r="N1163" s="514"/>
      <c r="R1163" s="293"/>
      <c r="S1163" s="316"/>
      <c r="T1163" s="355"/>
    </row>
    <row r="1164" spans="14:20" x14ac:dyDescent="0.25">
      <c r="N1164" s="514"/>
      <c r="R1164" s="293"/>
      <c r="S1164" s="316"/>
      <c r="T1164" s="355"/>
    </row>
    <row r="1165" spans="14:20" x14ac:dyDescent="0.25">
      <c r="N1165" s="514"/>
      <c r="R1165" s="293"/>
      <c r="S1165" s="316"/>
      <c r="T1165" s="355"/>
    </row>
    <row r="1166" spans="14:20" x14ac:dyDescent="0.25">
      <c r="N1166" s="514"/>
      <c r="R1166" s="293"/>
      <c r="S1166" s="316"/>
      <c r="T1166" s="355"/>
    </row>
    <row r="1167" spans="14:20" x14ac:dyDescent="0.25">
      <c r="N1167" s="514"/>
      <c r="R1167" s="293"/>
      <c r="S1167" s="316"/>
      <c r="T1167" s="355"/>
    </row>
    <row r="1168" spans="14:20" x14ac:dyDescent="0.25">
      <c r="N1168" s="514"/>
      <c r="R1168" s="293"/>
      <c r="S1168" s="316"/>
      <c r="T1168" s="355"/>
    </row>
    <row r="1169" spans="14:20" x14ac:dyDescent="0.25">
      <c r="N1169" s="514"/>
      <c r="R1169" s="293"/>
      <c r="S1169" s="316"/>
      <c r="T1169" s="355"/>
    </row>
    <row r="1170" spans="14:20" x14ac:dyDescent="0.25">
      <c r="N1170" s="514"/>
      <c r="R1170" s="293"/>
      <c r="S1170" s="316"/>
      <c r="T1170" s="355"/>
    </row>
    <row r="1171" spans="14:20" x14ac:dyDescent="0.25">
      <c r="N1171" s="514"/>
      <c r="R1171" s="293"/>
      <c r="S1171" s="316"/>
      <c r="T1171" s="355"/>
    </row>
    <row r="1172" spans="14:20" x14ac:dyDescent="0.25">
      <c r="N1172" s="514"/>
      <c r="R1172" s="293"/>
      <c r="S1172" s="316"/>
      <c r="T1172" s="355"/>
    </row>
    <row r="1173" spans="14:20" x14ac:dyDescent="0.25">
      <c r="N1173" s="514"/>
      <c r="R1173" s="293"/>
      <c r="S1173" s="316"/>
      <c r="T1173" s="355"/>
    </row>
    <row r="1174" spans="14:20" x14ac:dyDescent="0.25">
      <c r="N1174" s="514"/>
      <c r="R1174" s="293"/>
      <c r="S1174" s="316"/>
      <c r="T1174" s="355"/>
    </row>
    <row r="1175" spans="14:20" x14ac:dyDescent="0.25">
      <c r="N1175" s="514"/>
      <c r="R1175" s="293"/>
      <c r="S1175" s="316"/>
      <c r="T1175" s="355"/>
    </row>
    <row r="1176" spans="14:20" x14ac:dyDescent="0.25">
      <c r="N1176" s="514"/>
      <c r="R1176" s="293"/>
      <c r="S1176" s="316"/>
      <c r="T1176" s="355"/>
    </row>
    <row r="1177" spans="14:20" x14ac:dyDescent="0.25">
      <c r="N1177" s="514"/>
      <c r="R1177" s="293"/>
      <c r="S1177" s="316"/>
      <c r="T1177" s="355"/>
    </row>
    <row r="1178" spans="14:20" x14ac:dyDescent="0.25">
      <c r="N1178" s="514"/>
      <c r="R1178" s="293"/>
      <c r="S1178" s="316"/>
      <c r="T1178" s="355"/>
    </row>
    <row r="1179" spans="14:20" x14ac:dyDescent="0.25">
      <c r="N1179" s="514"/>
      <c r="R1179" s="293"/>
      <c r="S1179" s="316"/>
      <c r="T1179" s="355"/>
    </row>
    <row r="1180" spans="14:20" x14ac:dyDescent="0.25">
      <c r="N1180" s="514"/>
      <c r="R1180" s="293"/>
      <c r="S1180" s="316"/>
      <c r="T1180" s="355"/>
    </row>
    <row r="1181" spans="14:20" x14ac:dyDescent="0.25">
      <c r="N1181" s="514"/>
      <c r="R1181" s="293"/>
      <c r="S1181" s="316"/>
      <c r="T1181" s="355"/>
    </row>
    <row r="1182" spans="14:20" x14ac:dyDescent="0.25">
      <c r="N1182" s="514"/>
      <c r="R1182" s="293"/>
      <c r="S1182" s="316"/>
      <c r="T1182" s="355"/>
    </row>
    <row r="1183" spans="14:20" x14ac:dyDescent="0.25">
      <c r="N1183" s="514"/>
      <c r="R1183" s="293"/>
      <c r="S1183" s="316"/>
      <c r="T1183" s="355"/>
    </row>
    <row r="1184" spans="14:20" x14ac:dyDescent="0.25">
      <c r="N1184" s="514"/>
      <c r="R1184" s="293"/>
      <c r="S1184" s="316"/>
      <c r="T1184" s="355"/>
    </row>
    <row r="1185" spans="14:20" x14ac:dyDescent="0.25">
      <c r="N1185" s="514"/>
      <c r="R1185" s="293"/>
      <c r="S1185" s="316"/>
      <c r="T1185" s="355"/>
    </row>
    <row r="1186" spans="14:20" x14ac:dyDescent="0.25">
      <c r="N1186" s="514"/>
      <c r="R1186" s="293"/>
      <c r="S1186" s="316"/>
      <c r="T1186" s="355"/>
    </row>
    <row r="1187" spans="14:20" x14ac:dyDescent="0.25">
      <c r="N1187" s="514"/>
      <c r="R1187" s="293"/>
      <c r="S1187" s="316"/>
      <c r="T1187" s="355"/>
    </row>
    <row r="1188" spans="14:20" x14ac:dyDescent="0.25">
      <c r="N1188" s="514"/>
      <c r="R1188" s="293"/>
      <c r="S1188" s="316"/>
      <c r="T1188" s="355"/>
    </row>
    <row r="1189" spans="14:20" x14ac:dyDescent="0.25">
      <c r="N1189" s="514"/>
      <c r="R1189" s="293"/>
      <c r="S1189" s="316"/>
      <c r="T1189" s="355"/>
    </row>
    <row r="1190" spans="14:20" x14ac:dyDescent="0.25">
      <c r="N1190" s="514"/>
      <c r="R1190" s="293"/>
      <c r="S1190" s="316"/>
      <c r="T1190" s="355"/>
    </row>
    <row r="1191" spans="14:20" x14ac:dyDescent="0.25">
      <c r="N1191" s="514"/>
      <c r="R1191" s="293"/>
      <c r="S1191" s="316"/>
      <c r="T1191" s="355"/>
    </row>
    <row r="1192" spans="14:20" x14ac:dyDescent="0.25">
      <c r="N1192" s="514"/>
      <c r="R1192" s="293"/>
      <c r="S1192" s="316"/>
      <c r="T1192" s="355"/>
    </row>
    <row r="1193" spans="14:20" x14ac:dyDescent="0.25">
      <c r="N1193" s="514"/>
      <c r="R1193" s="293"/>
      <c r="S1193" s="316"/>
      <c r="T1193" s="355"/>
    </row>
    <row r="1194" spans="14:20" x14ac:dyDescent="0.25">
      <c r="N1194" s="514"/>
      <c r="R1194" s="293"/>
      <c r="S1194" s="316"/>
      <c r="T1194" s="355"/>
    </row>
    <row r="1195" spans="14:20" x14ac:dyDescent="0.25">
      <c r="N1195" s="514"/>
      <c r="R1195" s="293"/>
      <c r="S1195" s="316"/>
      <c r="T1195" s="355"/>
    </row>
    <row r="1196" spans="14:20" x14ac:dyDescent="0.25">
      <c r="N1196" s="514"/>
      <c r="R1196" s="293"/>
      <c r="S1196" s="316"/>
      <c r="T1196" s="355"/>
    </row>
    <row r="1197" spans="14:20" x14ac:dyDescent="0.25">
      <c r="N1197" s="514"/>
      <c r="R1197" s="293"/>
      <c r="S1197" s="316"/>
      <c r="T1197" s="355"/>
    </row>
    <row r="1198" spans="14:20" x14ac:dyDescent="0.25">
      <c r="N1198" s="514"/>
      <c r="R1198" s="293"/>
      <c r="S1198" s="316"/>
      <c r="T1198" s="355"/>
    </row>
    <row r="1199" spans="14:20" x14ac:dyDescent="0.25">
      <c r="N1199" s="514"/>
      <c r="R1199" s="293"/>
      <c r="S1199" s="316"/>
      <c r="T1199" s="355"/>
    </row>
    <row r="1200" spans="14:20" x14ac:dyDescent="0.25">
      <c r="N1200" s="514"/>
      <c r="R1200" s="293"/>
      <c r="S1200" s="316"/>
      <c r="T1200" s="355"/>
    </row>
    <row r="1201" spans="14:20" x14ac:dyDescent="0.25">
      <c r="N1201" s="514"/>
      <c r="R1201" s="293"/>
      <c r="S1201" s="316"/>
      <c r="T1201" s="355"/>
    </row>
    <row r="1202" spans="14:20" x14ac:dyDescent="0.25">
      <c r="N1202" s="514"/>
      <c r="R1202" s="293"/>
      <c r="S1202" s="316"/>
      <c r="T1202" s="355"/>
    </row>
    <row r="1203" spans="14:20" x14ac:dyDescent="0.25">
      <c r="N1203" s="514"/>
      <c r="R1203" s="293"/>
      <c r="S1203" s="316"/>
      <c r="T1203" s="355"/>
    </row>
    <row r="1204" spans="14:20" x14ac:dyDescent="0.25">
      <c r="N1204" s="514"/>
      <c r="R1204" s="293"/>
      <c r="S1204" s="316"/>
      <c r="T1204" s="355"/>
    </row>
    <row r="1205" spans="14:20" x14ac:dyDescent="0.25">
      <c r="N1205" s="514"/>
      <c r="R1205" s="293"/>
      <c r="S1205" s="316"/>
      <c r="T1205" s="355"/>
    </row>
    <row r="1206" spans="14:20" x14ac:dyDescent="0.25">
      <c r="N1206" s="514"/>
      <c r="R1206" s="293"/>
      <c r="S1206" s="316"/>
      <c r="T1206" s="355"/>
    </row>
    <row r="1207" spans="14:20" x14ac:dyDescent="0.25">
      <c r="N1207" s="514"/>
      <c r="R1207" s="293"/>
      <c r="S1207" s="316"/>
      <c r="T1207" s="355"/>
    </row>
    <row r="1208" spans="14:20" x14ac:dyDescent="0.25">
      <c r="N1208" s="514"/>
      <c r="R1208" s="293"/>
      <c r="S1208" s="316"/>
      <c r="T1208" s="355"/>
    </row>
    <row r="1209" spans="14:20" x14ac:dyDescent="0.25">
      <c r="N1209" s="514"/>
      <c r="R1209" s="293"/>
      <c r="S1209" s="316"/>
      <c r="T1209" s="355"/>
    </row>
    <row r="1210" spans="14:20" x14ac:dyDescent="0.25">
      <c r="N1210" s="514"/>
      <c r="R1210" s="293"/>
      <c r="S1210" s="316"/>
      <c r="T1210" s="355"/>
    </row>
    <row r="1211" spans="14:20" x14ac:dyDescent="0.25">
      <c r="N1211" s="514"/>
      <c r="R1211" s="293"/>
      <c r="S1211" s="316"/>
      <c r="T1211" s="355"/>
    </row>
    <row r="1212" spans="14:20" x14ac:dyDescent="0.25">
      <c r="N1212" s="514"/>
      <c r="R1212" s="293"/>
      <c r="S1212" s="316"/>
      <c r="T1212" s="355"/>
    </row>
    <row r="1213" spans="14:20" x14ac:dyDescent="0.25">
      <c r="N1213" s="514"/>
      <c r="R1213" s="293"/>
      <c r="S1213" s="316"/>
      <c r="T1213" s="355"/>
    </row>
    <row r="1214" spans="14:20" x14ac:dyDescent="0.25">
      <c r="N1214" s="514"/>
      <c r="R1214" s="293"/>
      <c r="S1214" s="316"/>
      <c r="T1214" s="355"/>
    </row>
    <row r="1215" spans="14:20" x14ac:dyDescent="0.25">
      <c r="N1215" s="514"/>
      <c r="R1215" s="293"/>
      <c r="S1215" s="316"/>
      <c r="T1215" s="355"/>
    </row>
    <row r="1216" spans="14:20" x14ac:dyDescent="0.25">
      <c r="N1216" s="514"/>
      <c r="R1216" s="293"/>
      <c r="S1216" s="316"/>
      <c r="T1216" s="355"/>
    </row>
    <row r="1217" spans="14:20" x14ac:dyDescent="0.25">
      <c r="N1217" s="514"/>
      <c r="R1217" s="293"/>
      <c r="S1217" s="316"/>
      <c r="T1217" s="355"/>
    </row>
    <row r="1218" spans="14:20" x14ac:dyDescent="0.25">
      <c r="N1218" s="514"/>
      <c r="R1218" s="293"/>
      <c r="S1218" s="316"/>
      <c r="T1218" s="355"/>
    </row>
    <row r="1219" spans="14:20" x14ac:dyDescent="0.25">
      <c r="N1219" s="514"/>
      <c r="R1219" s="293"/>
      <c r="S1219" s="316"/>
      <c r="T1219" s="355"/>
    </row>
    <row r="1220" spans="14:20" x14ac:dyDescent="0.25">
      <c r="N1220" s="514"/>
      <c r="R1220" s="293"/>
      <c r="S1220" s="316"/>
      <c r="T1220" s="355"/>
    </row>
    <row r="1221" spans="14:20" x14ac:dyDescent="0.25">
      <c r="N1221" s="514"/>
      <c r="R1221" s="293"/>
      <c r="S1221" s="316"/>
      <c r="T1221" s="355"/>
    </row>
    <row r="1222" spans="14:20" x14ac:dyDescent="0.25">
      <c r="N1222" s="514"/>
      <c r="R1222" s="293"/>
      <c r="S1222" s="316"/>
      <c r="T1222" s="355"/>
    </row>
    <row r="1223" spans="14:20" x14ac:dyDescent="0.25">
      <c r="N1223" s="514"/>
      <c r="R1223" s="293"/>
      <c r="S1223" s="316"/>
      <c r="T1223" s="355"/>
    </row>
    <row r="1224" spans="14:20" x14ac:dyDescent="0.25">
      <c r="N1224" s="514"/>
      <c r="R1224" s="293"/>
      <c r="S1224" s="316"/>
      <c r="T1224" s="355"/>
    </row>
    <row r="1225" spans="14:20" x14ac:dyDescent="0.25">
      <c r="N1225" s="514"/>
      <c r="R1225" s="293"/>
      <c r="S1225" s="316"/>
      <c r="T1225" s="355"/>
    </row>
    <row r="1226" spans="14:20" x14ac:dyDescent="0.25">
      <c r="N1226" s="514"/>
      <c r="R1226" s="293"/>
      <c r="S1226" s="316"/>
      <c r="T1226" s="355"/>
    </row>
    <row r="1227" spans="14:20" x14ac:dyDescent="0.25">
      <c r="N1227" s="514"/>
      <c r="R1227" s="293"/>
      <c r="S1227" s="316"/>
      <c r="T1227" s="355"/>
    </row>
    <row r="1228" spans="14:20" x14ac:dyDescent="0.25">
      <c r="N1228" s="514"/>
      <c r="R1228" s="293"/>
      <c r="S1228" s="316"/>
      <c r="T1228" s="355"/>
    </row>
    <row r="1229" spans="14:20" x14ac:dyDescent="0.25">
      <c r="N1229" s="514"/>
      <c r="R1229" s="293"/>
      <c r="S1229" s="316"/>
      <c r="T1229" s="355"/>
    </row>
    <row r="1230" spans="14:20" x14ac:dyDescent="0.25">
      <c r="N1230" s="514"/>
      <c r="R1230" s="293"/>
      <c r="S1230" s="316"/>
      <c r="T1230" s="355"/>
    </row>
    <row r="1231" spans="14:20" x14ac:dyDescent="0.25">
      <c r="N1231" s="514"/>
      <c r="R1231" s="293"/>
      <c r="S1231" s="316"/>
      <c r="T1231" s="355"/>
    </row>
    <row r="1232" spans="14:20" x14ac:dyDescent="0.25">
      <c r="N1232" s="514"/>
      <c r="R1232" s="293"/>
      <c r="S1232" s="316"/>
      <c r="T1232" s="355"/>
    </row>
    <row r="1233" spans="14:20" x14ac:dyDescent="0.25">
      <c r="N1233" s="514"/>
      <c r="R1233" s="293"/>
      <c r="S1233" s="316"/>
      <c r="T1233" s="355"/>
    </row>
    <row r="1234" spans="14:20" x14ac:dyDescent="0.25">
      <c r="N1234" s="514"/>
      <c r="R1234" s="293"/>
      <c r="S1234" s="316"/>
      <c r="T1234" s="355"/>
    </row>
    <row r="1235" spans="14:20" x14ac:dyDescent="0.25">
      <c r="N1235" s="514"/>
      <c r="R1235" s="293"/>
      <c r="S1235" s="316"/>
      <c r="T1235" s="355"/>
    </row>
    <row r="1236" spans="14:20" x14ac:dyDescent="0.25">
      <c r="N1236" s="514"/>
      <c r="R1236" s="293"/>
      <c r="S1236" s="316"/>
      <c r="T1236" s="355"/>
    </row>
    <row r="1237" spans="14:20" x14ac:dyDescent="0.25">
      <c r="N1237" s="514"/>
      <c r="R1237" s="293"/>
      <c r="S1237" s="316"/>
      <c r="T1237" s="355"/>
    </row>
    <row r="1238" spans="14:20" x14ac:dyDescent="0.25">
      <c r="N1238" s="514"/>
      <c r="R1238" s="293"/>
      <c r="S1238" s="316"/>
      <c r="T1238" s="355"/>
    </row>
    <row r="1239" spans="14:20" x14ac:dyDescent="0.25">
      <c r="N1239" s="514"/>
      <c r="R1239" s="293"/>
      <c r="S1239" s="316"/>
      <c r="T1239" s="355"/>
    </row>
    <row r="1240" spans="14:20" x14ac:dyDescent="0.25">
      <c r="N1240" s="514"/>
      <c r="R1240" s="293"/>
      <c r="S1240" s="316"/>
      <c r="T1240" s="355"/>
    </row>
    <row r="1241" spans="14:20" x14ac:dyDescent="0.25">
      <c r="N1241" s="514"/>
      <c r="R1241" s="293"/>
      <c r="S1241" s="316"/>
      <c r="T1241" s="355"/>
    </row>
    <row r="1242" spans="14:20" x14ac:dyDescent="0.25">
      <c r="N1242" s="514"/>
      <c r="R1242" s="293"/>
      <c r="S1242" s="316"/>
      <c r="T1242" s="355"/>
    </row>
    <row r="1243" spans="14:20" x14ac:dyDescent="0.25">
      <c r="N1243" s="514"/>
      <c r="R1243" s="293"/>
      <c r="S1243" s="316"/>
      <c r="T1243" s="355"/>
    </row>
    <row r="1244" spans="14:20" x14ac:dyDescent="0.25">
      <c r="N1244" s="514"/>
      <c r="R1244" s="293"/>
      <c r="S1244" s="316"/>
      <c r="T1244" s="355"/>
    </row>
    <row r="1245" spans="14:20" x14ac:dyDescent="0.25">
      <c r="N1245" s="514"/>
      <c r="R1245" s="293"/>
      <c r="S1245" s="316"/>
      <c r="T1245" s="355"/>
    </row>
    <row r="1246" spans="14:20" x14ac:dyDescent="0.25">
      <c r="N1246" s="514"/>
      <c r="R1246" s="293"/>
      <c r="S1246" s="316"/>
      <c r="T1246" s="355"/>
    </row>
    <row r="1247" spans="14:20" x14ac:dyDescent="0.25">
      <c r="N1247" s="514"/>
      <c r="R1247" s="293"/>
      <c r="S1247" s="316"/>
      <c r="T1247" s="355"/>
    </row>
    <row r="1248" spans="14:20" x14ac:dyDescent="0.25">
      <c r="N1248" s="514"/>
      <c r="R1248" s="293"/>
      <c r="S1248" s="316"/>
      <c r="T1248" s="355"/>
    </row>
    <row r="1249" spans="14:20" x14ac:dyDescent="0.25">
      <c r="N1249" s="514"/>
      <c r="R1249" s="293"/>
      <c r="S1249" s="316"/>
      <c r="T1249" s="355"/>
    </row>
    <row r="1250" spans="14:20" x14ac:dyDescent="0.25">
      <c r="N1250" s="514"/>
      <c r="R1250" s="293"/>
      <c r="S1250" s="316"/>
      <c r="T1250" s="355"/>
    </row>
    <row r="1251" spans="14:20" x14ac:dyDescent="0.25">
      <c r="N1251" s="514"/>
      <c r="R1251" s="293"/>
      <c r="S1251" s="316"/>
      <c r="T1251" s="355"/>
    </row>
    <row r="1252" spans="14:20" x14ac:dyDescent="0.25">
      <c r="N1252" s="514"/>
      <c r="R1252" s="293"/>
      <c r="S1252" s="316"/>
      <c r="T1252" s="355"/>
    </row>
    <row r="1253" spans="14:20" x14ac:dyDescent="0.25">
      <c r="N1253" s="514"/>
      <c r="R1253" s="293"/>
      <c r="S1253" s="316"/>
      <c r="T1253" s="355"/>
    </row>
    <row r="1254" spans="14:20" x14ac:dyDescent="0.25">
      <c r="N1254" s="514"/>
      <c r="R1254" s="293"/>
      <c r="S1254" s="316"/>
      <c r="T1254" s="355"/>
    </row>
    <row r="1255" spans="14:20" x14ac:dyDescent="0.25">
      <c r="N1255" s="514"/>
      <c r="R1255" s="293"/>
      <c r="S1255" s="316"/>
      <c r="T1255" s="355"/>
    </row>
    <row r="1256" spans="14:20" x14ac:dyDescent="0.25">
      <c r="N1256" s="514"/>
      <c r="R1256" s="293"/>
      <c r="S1256" s="316"/>
      <c r="T1256" s="355"/>
    </row>
    <row r="1257" spans="14:20" x14ac:dyDescent="0.25">
      <c r="N1257" s="514"/>
      <c r="R1257" s="293"/>
      <c r="S1257" s="316"/>
      <c r="T1257" s="355"/>
    </row>
    <row r="1258" spans="14:20" x14ac:dyDescent="0.25">
      <c r="N1258" s="514"/>
      <c r="R1258" s="293"/>
      <c r="S1258" s="316"/>
      <c r="T1258" s="355"/>
    </row>
    <row r="1259" spans="14:20" x14ac:dyDescent="0.25">
      <c r="N1259" s="514"/>
      <c r="R1259" s="293"/>
      <c r="S1259" s="316"/>
      <c r="T1259" s="355"/>
    </row>
    <row r="1260" spans="14:20" x14ac:dyDescent="0.25">
      <c r="N1260" s="514"/>
      <c r="R1260" s="293"/>
      <c r="S1260" s="316"/>
      <c r="T1260" s="355"/>
    </row>
    <row r="1261" spans="14:20" x14ac:dyDescent="0.25">
      <c r="N1261" s="514"/>
      <c r="R1261" s="293"/>
      <c r="S1261" s="316"/>
      <c r="T1261" s="355"/>
    </row>
    <row r="1262" spans="14:20" x14ac:dyDescent="0.25">
      <c r="N1262" s="514"/>
      <c r="R1262" s="293"/>
      <c r="S1262" s="316"/>
      <c r="T1262" s="355"/>
    </row>
    <row r="1263" spans="14:20" x14ac:dyDescent="0.25">
      <c r="N1263" s="514"/>
      <c r="R1263" s="293"/>
      <c r="S1263" s="316"/>
      <c r="T1263" s="355"/>
    </row>
    <row r="1264" spans="14:20" x14ac:dyDescent="0.25">
      <c r="N1264" s="514"/>
      <c r="R1264" s="293"/>
      <c r="S1264" s="316"/>
      <c r="T1264" s="355"/>
    </row>
    <row r="1265" spans="14:20" x14ac:dyDescent="0.25">
      <c r="N1265" s="514"/>
      <c r="R1265" s="293"/>
      <c r="S1265" s="316"/>
      <c r="T1265" s="355"/>
    </row>
    <row r="1266" spans="14:20" x14ac:dyDescent="0.25">
      <c r="N1266" s="514"/>
      <c r="R1266" s="293"/>
      <c r="S1266" s="316"/>
      <c r="T1266" s="355"/>
    </row>
    <row r="1267" spans="14:20" x14ac:dyDescent="0.25">
      <c r="N1267" s="514"/>
      <c r="R1267" s="293"/>
      <c r="S1267" s="316"/>
      <c r="T1267" s="355"/>
    </row>
    <row r="1268" spans="14:20" x14ac:dyDescent="0.25">
      <c r="N1268" s="514"/>
      <c r="R1268" s="293"/>
      <c r="S1268" s="316"/>
      <c r="T1268" s="355"/>
    </row>
    <row r="1269" spans="14:20" x14ac:dyDescent="0.25">
      <c r="N1269" s="514"/>
      <c r="R1269" s="293"/>
      <c r="S1269" s="316"/>
      <c r="T1269" s="355"/>
    </row>
    <row r="1270" spans="14:20" x14ac:dyDescent="0.25">
      <c r="N1270" s="514"/>
      <c r="R1270" s="293"/>
      <c r="S1270" s="316"/>
      <c r="T1270" s="355"/>
    </row>
    <row r="1271" spans="14:20" x14ac:dyDescent="0.25">
      <c r="N1271" s="514"/>
      <c r="R1271" s="293"/>
      <c r="S1271" s="316"/>
      <c r="T1271" s="355"/>
    </row>
    <row r="1272" spans="14:20" x14ac:dyDescent="0.25">
      <c r="N1272" s="514"/>
      <c r="R1272" s="293"/>
      <c r="S1272" s="316"/>
      <c r="T1272" s="355"/>
    </row>
    <row r="1273" spans="14:20" x14ac:dyDescent="0.25">
      <c r="N1273" s="514"/>
      <c r="R1273" s="293"/>
      <c r="S1273" s="316"/>
      <c r="T1273" s="355"/>
    </row>
    <row r="1274" spans="14:20" x14ac:dyDescent="0.25">
      <c r="N1274" s="514"/>
      <c r="R1274" s="293"/>
      <c r="S1274" s="316"/>
      <c r="T1274" s="355"/>
    </row>
    <row r="1275" spans="14:20" x14ac:dyDescent="0.25">
      <c r="N1275" s="514"/>
      <c r="R1275" s="293"/>
      <c r="S1275" s="316"/>
      <c r="T1275" s="355"/>
    </row>
    <row r="1276" spans="14:20" x14ac:dyDescent="0.25">
      <c r="N1276" s="514"/>
      <c r="R1276" s="293"/>
      <c r="S1276" s="316"/>
      <c r="T1276" s="355"/>
    </row>
    <row r="1277" spans="14:20" x14ac:dyDescent="0.25">
      <c r="N1277" s="514"/>
      <c r="R1277" s="293"/>
      <c r="S1277" s="316"/>
      <c r="T1277" s="355"/>
    </row>
    <row r="1278" spans="14:20" x14ac:dyDescent="0.25">
      <c r="N1278" s="514"/>
      <c r="R1278" s="293"/>
      <c r="S1278" s="316"/>
      <c r="T1278" s="355"/>
    </row>
    <row r="1279" spans="14:20" x14ac:dyDescent="0.25">
      <c r="N1279" s="514"/>
      <c r="R1279" s="293"/>
      <c r="S1279" s="316"/>
      <c r="T1279" s="355"/>
    </row>
    <row r="1280" spans="14:20" x14ac:dyDescent="0.25">
      <c r="N1280" s="514"/>
      <c r="R1280" s="293"/>
      <c r="S1280" s="316"/>
      <c r="T1280" s="355"/>
    </row>
    <row r="1281" spans="14:20" x14ac:dyDescent="0.25">
      <c r="N1281" s="514"/>
      <c r="R1281" s="293"/>
      <c r="S1281" s="316"/>
      <c r="T1281" s="355"/>
    </row>
    <row r="1282" spans="14:20" x14ac:dyDescent="0.25">
      <c r="N1282" s="514"/>
      <c r="R1282" s="293"/>
      <c r="S1282" s="316"/>
      <c r="T1282" s="355"/>
    </row>
    <row r="1283" spans="14:20" x14ac:dyDescent="0.25">
      <c r="N1283" s="514"/>
      <c r="R1283" s="293"/>
      <c r="S1283" s="316"/>
      <c r="T1283" s="355"/>
    </row>
    <row r="1284" spans="14:20" x14ac:dyDescent="0.25">
      <c r="N1284" s="514"/>
      <c r="R1284" s="293"/>
      <c r="S1284" s="316"/>
      <c r="T1284" s="355"/>
    </row>
    <row r="1285" spans="14:20" x14ac:dyDescent="0.25">
      <c r="N1285" s="514"/>
      <c r="R1285" s="293"/>
      <c r="S1285" s="316"/>
      <c r="T1285" s="355"/>
    </row>
    <row r="1286" spans="14:20" x14ac:dyDescent="0.25">
      <c r="N1286" s="514"/>
      <c r="R1286" s="293"/>
      <c r="S1286" s="316"/>
      <c r="T1286" s="355"/>
    </row>
    <row r="1287" spans="14:20" x14ac:dyDescent="0.25">
      <c r="N1287" s="514"/>
      <c r="R1287" s="293"/>
      <c r="S1287" s="316"/>
      <c r="T1287" s="355"/>
    </row>
    <row r="1288" spans="14:20" x14ac:dyDescent="0.25">
      <c r="N1288" s="514"/>
      <c r="R1288" s="293"/>
      <c r="S1288" s="316"/>
      <c r="T1288" s="355"/>
    </row>
    <row r="1289" spans="14:20" x14ac:dyDescent="0.25">
      <c r="N1289" s="514"/>
      <c r="R1289" s="293"/>
      <c r="S1289" s="316"/>
      <c r="T1289" s="355"/>
    </row>
    <row r="1290" spans="14:20" x14ac:dyDescent="0.25">
      <c r="N1290" s="514"/>
      <c r="R1290" s="293"/>
      <c r="S1290" s="316"/>
      <c r="T1290" s="355"/>
    </row>
    <row r="1291" spans="14:20" x14ac:dyDescent="0.25">
      <c r="N1291" s="514"/>
      <c r="R1291" s="293"/>
      <c r="S1291" s="316"/>
      <c r="T1291" s="355"/>
    </row>
    <row r="1292" spans="14:20" x14ac:dyDescent="0.25">
      <c r="N1292" s="514"/>
      <c r="R1292" s="293"/>
      <c r="S1292" s="316"/>
      <c r="T1292" s="355"/>
    </row>
    <row r="1293" spans="14:20" x14ac:dyDescent="0.25">
      <c r="N1293" s="514"/>
      <c r="R1293" s="293"/>
      <c r="S1293" s="316"/>
      <c r="T1293" s="355"/>
    </row>
    <row r="1294" spans="14:20" x14ac:dyDescent="0.25">
      <c r="N1294" s="514"/>
      <c r="R1294" s="293"/>
      <c r="S1294" s="316"/>
      <c r="T1294" s="355"/>
    </row>
    <row r="1295" spans="14:20" x14ac:dyDescent="0.25">
      <c r="N1295" s="514"/>
      <c r="R1295" s="293"/>
      <c r="S1295" s="316"/>
      <c r="T1295" s="355"/>
    </row>
    <row r="1296" spans="14:20" x14ac:dyDescent="0.25">
      <c r="N1296" s="514"/>
      <c r="R1296" s="293"/>
      <c r="S1296" s="316"/>
      <c r="T1296" s="355"/>
    </row>
    <row r="1297" spans="14:20" x14ac:dyDescent="0.25">
      <c r="N1297" s="514"/>
      <c r="R1297" s="293"/>
      <c r="S1297" s="316"/>
      <c r="T1297" s="355"/>
    </row>
    <row r="1298" spans="14:20" x14ac:dyDescent="0.25">
      <c r="N1298" s="514"/>
      <c r="R1298" s="293"/>
      <c r="S1298" s="316"/>
      <c r="T1298" s="355"/>
    </row>
    <row r="1299" spans="14:20" x14ac:dyDescent="0.25">
      <c r="N1299" s="514"/>
      <c r="R1299" s="293"/>
      <c r="S1299" s="316"/>
      <c r="T1299" s="355"/>
    </row>
    <row r="1300" spans="14:20" x14ac:dyDescent="0.25">
      <c r="N1300" s="514"/>
      <c r="R1300" s="293"/>
      <c r="S1300" s="316"/>
      <c r="T1300" s="355"/>
    </row>
    <row r="1301" spans="14:20" x14ac:dyDescent="0.25">
      <c r="N1301" s="514"/>
      <c r="R1301" s="293"/>
      <c r="S1301" s="316"/>
      <c r="T1301" s="355"/>
    </row>
    <row r="1302" spans="14:20" x14ac:dyDescent="0.25">
      <c r="N1302" s="514"/>
      <c r="R1302" s="293"/>
      <c r="S1302" s="316"/>
      <c r="T1302" s="355"/>
    </row>
    <row r="1303" spans="14:20" x14ac:dyDescent="0.25">
      <c r="N1303" s="514"/>
      <c r="R1303" s="293"/>
      <c r="S1303" s="316"/>
      <c r="T1303" s="355"/>
    </row>
    <row r="1304" spans="14:20" x14ac:dyDescent="0.25">
      <c r="N1304" s="514"/>
      <c r="R1304" s="293"/>
      <c r="S1304" s="316"/>
      <c r="T1304" s="355"/>
    </row>
    <row r="1305" spans="14:20" x14ac:dyDescent="0.25">
      <c r="N1305" s="514"/>
      <c r="R1305" s="293"/>
      <c r="S1305" s="316"/>
      <c r="T1305" s="355"/>
    </row>
    <row r="1306" spans="14:20" x14ac:dyDescent="0.25">
      <c r="N1306" s="514"/>
      <c r="R1306" s="293"/>
      <c r="S1306" s="316"/>
      <c r="T1306" s="355"/>
    </row>
    <row r="1307" spans="14:20" x14ac:dyDescent="0.25">
      <c r="N1307" s="514"/>
      <c r="R1307" s="293"/>
      <c r="S1307" s="316"/>
      <c r="T1307" s="355"/>
    </row>
    <row r="1308" spans="14:20" x14ac:dyDescent="0.25">
      <c r="N1308" s="514"/>
      <c r="R1308" s="293"/>
      <c r="S1308" s="316"/>
      <c r="T1308" s="355"/>
    </row>
    <row r="1309" spans="14:20" x14ac:dyDescent="0.25">
      <c r="N1309" s="514"/>
      <c r="R1309" s="293"/>
      <c r="S1309" s="316"/>
      <c r="T1309" s="355"/>
    </row>
    <row r="1310" spans="14:20" x14ac:dyDescent="0.25">
      <c r="N1310" s="514"/>
      <c r="R1310" s="293"/>
      <c r="S1310" s="316"/>
      <c r="T1310" s="355"/>
    </row>
    <row r="1311" spans="14:20" x14ac:dyDescent="0.25">
      <c r="N1311" s="514"/>
      <c r="R1311" s="293"/>
      <c r="S1311" s="316"/>
      <c r="T1311" s="355"/>
    </row>
    <row r="1312" spans="14:20" x14ac:dyDescent="0.25">
      <c r="N1312" s="514"/>
      <c r="R1312" s="293"/>
      <c r="S1312" s="316"/>
      <c r="T1312" s="355"/>
    </row>
    <row r="1313" spans="14:20" x14ac:dyDescent="0.25">
      <c r="N1313" s="514"/>
      <c r="R1313" s="293"/>
      <c r="S1313" s="316"/>
      <c r="T1313" s="355"/>
    </row>
    <row r="1314" spans="14:20" x14ac:dyDescent="0.25">
      <c r="N1314" s="514"/>
      <c r="R1314" s="293"/>
      <c r="S1314" s="316"/>
      <c r="T1314" s="355"/>
    </row>
    <row r="1315" spans="14:20" x14ac:dyDescent="0.25">
      <c r="N1315" s="514"/>
      <c r="R1315" s="293"/>
      <c r="S1315" s="316"/>
      <c r="T1315" s="355"/>
    </row>
    <row r="1316" spans="14:20" x14ac:dyDescent="0.25">
      <c r="N1316" s="514"/>
      <c r="R1316" s="293"/>
      <c r="S1316" s="316"/>
      <c r="T1316" s="355"/>
    </row>
    <row r="1317" spans="14:20" x14ac:dyDescent="0.25">
      <c r="N1317" s="514"/>
      <c r="R1317" s="293"/>
      <c r="S1317" s="316"/>
      <c r="T1317" s="355"/>
    </row>
    <row r="1318" spans="14:20" x14ac:dyDescent="0.25">
      <c r="N1318" s="514"/>
      <c r="R1318" s="293"/>
      <c r="S1318" s="316"/>
      <c r="T1318" s="355"/>
    </row>
    <row r="1319" spans="14:20" x14ac:dyDescent="0.25">
      <c r="N1319" s="514"/>
      <c r="R1319" s="293"/>
      <c r="S1319" s="316"/>
      <c r="T1319" s="355"/>
    </row>
    <row r="1320" spans="14:20" x14ac:dyDescent="0.25">
      <c r="N1320" s="514"/>
      <c r="R1320" s="293"/>
      <c r="S1320" s="316"/>
      <c r="T1320" s="355"/>
    </row>
    <row r="1321" spans="14:20" x14ac:dyDescent="0.25">
      <c r="N1321" s="514"/>
      <c r="R1321" s="293"/>
      <c r="S1321" s="316"/>
      <c r="T1321" s="355"/>
    </row>
    <row r="1322" spans="14:20" x14ac:dyDescent="0.25">
      <c r="N1322" s="514"/>
      <c r="R1322" s="293"/>
      <c r="S1322" s="316"/>
      <c r="T1322" s="355"/>
    </row>
    <row r="1323" spans="14:20" x14ac:dyDescent="0.25">
      <c r="N1323" s="514"/>
      <c r="R1323" s="293"/>
      <c r="S1323" s="316"/>
      <c r="T1323" s="355"/>
    </row>
    <row r="1324" spans="14:20" x14ac:dyDescent="0.25">
      <c r="N1324" s="514"/>
      <c r="R1324" s="293"/>
      <c r="S1324" s="316"/>
      <c r="T1324" s="355"/>
    </row>
    <row r="1325" spans="14:20" x14ac:dyDescent="0.25">
      <c r="N1325" s="514"/>
      <c r="R1325" s="293"/>
      <c r="S1325" s="316"/>
      <c r="T1325" s="355"/>
    </row>
    <row r="1326" spans="14:20" x14ac:dyDescent="0.25">
      <c r="N1326" s="514"/>
      <c r="R1326" s="293"/>
      <c r="S1326" s="316"/>
      <c r="T1326" s="355"/>
    </row>
    <row r="1327" spans="14:20" x14ac:dyDescent="0.25">
      <c r="N1327" s="514"/>
      <c r="R1327" s="293"/>
      <c r="S1327" s="316"/>
      <c r="T1327" s="355"/>
    </row>
    <row r="1328" spans="14:20" x14ac:dyDescent="0.25">
      <c r="N1328" s="514"/>
      <c r="R1328" s="293"/>
      <c r="S1328" s="316"/>
      <c r="T1328" s="355"/>
    </row>
    <row r="1329" spans="14:20" x14ac:dyDescent="0.25">
      <c r="N1329" s="514"/>
      <c r="R1329" s="293"/>
      <c r="S1329" s="316"/>
      <c r="T1329" s="355"/>
    </row>
    <row r="1330" spans="14:20" x14ac:dyDescent="0.25">
      <c r="N1330" s="514"/>
      <c r="R1330" s="293"/>
      <c r="S1330" s="316"/>
      <c r="T1330" s="355"/>
    </row>
    <row r="1331" spans="14:20" x14ac:dyDescent="0.25">
      <c r="N1331" s="514"/>
      <c r="R1331" s="293"/>
      <c r="S1331" s="316"/>
      <c r="T1331" s="355"/>
    </row>
    <row r="1332" spans="14:20" x14ac:dyDescent="0.25">
      <c r="N1332" s="514"/>
      <c r="R1332" s="293"/>
      <c r="S1332" s="316"/>
      <c r="T1332" s="355"/>
    </row>
    <row r="1333" spans="14:20" x14ac:dyDescent="0.25">
      <c r="N1333" s="514"/>
      <c r="R1333" s="293"/>
      <c r="S1333" s="316"/>
      <c r="T1333" s="355"/>
    </row>
    <row r="1334" spans="14:20" x14ac:dyDescent="0.25">
      <c r="N1334" s="514"/>
      <c r="R1334" s="293"/>
      <c r="S1334" s="316"/>
      <c r="T1334" s="355"/>
    </row>
    <row r="1335" spans="14:20" x14ac:dyDescent="0.25">
      <c r="N1335" s="514"/>
      <c r="R1335" s="293"/>
      <c r="S1335" s="316"/>
      <c r="T1335" s="355"/>
    </row>
    <row r="1336" spans="14:20" x14ac:dyDescent="0.25">
      <c r="N1336" s="514"/>
      <c r="R1336" s="293"/>
      <c r="S1336" s="316"/>
      <c r="T1336" s="355"/>
    </row>
    <row r="1337" spans="14:20" x14ac:dyDescent="0.25">
      <c r="N1337" s="514"/>
      <c r="R1337" s="293"/>
      <c r="S1337" s="316"/>
      <c r="T1337" s="355"/>
    </row>
    <row r="1338" spans="14:20" x14ac:dyDescent="0.25">
      <c r="N1338" s="514"/>
      <c r="R1338" s="293"/>
      <c r="S1338" s="316"/>
      <c r="T1338" s="355"/>
    </row>
    <row r="1339" spans="14:20" x14ac:dyDescent="0.25">
      <c r="N1339" s="514"/>
      <c r="R1339" s="293"/>
      <c r="S1339" s="316"/>
      <c r="T1339" s="355"/>
    </row>
    <row r="1340" spans="14:20" x14ac:dyDescent="0.25">
      <c r="N1340" s="514"/>
      <c r="R1340" s="293"/>
      <c r="S1340" s="316"/>
      <c r="T1340" s="355"/>
    </row>
    <row r="1341" spans="14:20" x14ac:dyDescent="0.25">
      <c r="N1341" s="514"/>
      <c r="R1341" s="293"/>
      <c r="S1341" s="316"/>
      <c r="T1341" s="355"/>
    </row>
    <row r="1342" spans="14:20" x14ac:dyDescent="0.25">
      <c r="N1342" s="514"/>
      <c r="R1342" s="293"/>
      <c r="S1342" s="316"/>
      <c r="T1342" s="355"/>
    </row>
    <row r="1343" spans="14:20" x14ac:dyDescent="0.25">
      <c r="N1343" s="514"/>
      <c r="R1343" s="293"/>
      <c r="S1343" s="316"/>
      <c r="T1343" s="355"/>
    </row>
    <row r="1344" spans="14:20" x14ac:dyDescent="0.25">
      <c r="N1344" s="514"/>
      <c r="R1344" s="293"/>
      <c r="S1344" s="316"/>
      <c r="T1344" s="355"/>
    </row>
    <row r="1345" spans="14:20" x14ac:dyDescent="0.25">
      <c r="N1345" s="514"/>
      <c r="R1345" s="293"/>
      <c r="S1345" s="316"/>
      <c r="T1345" s="355"/>
    </row>
    <row r="1346" spans="14:20" x14ac:dyDescent="0.25">
      <c r="N1346" s="514"/>
      <c r="R1346" s="293"/>
      <c r="S1346" s="316"/>
      <c r="T1346" s="355"/>
    </row>
    <row r="1347" spans="14:20" x14ac:dyDescent="0.25">
      <c r="N1347" s="514"/>
      <c r="R1347" s="293"/>
      <c r="S1347" s="316"/>
      <c r="T1347" s="355"/>
    </row>
    <row r="1348" spans="14:20" x14ac:dyDescent="0.25">
      <c r="N1348" s="514"/>
      <c r="R1348" s="293"/>
      <c r="S1348" s="316"/>
      <c r="T1348" s="355"/>
    </row>
    <row r="1349" spans="14:20" x14ac:dyDescent="0.25">
      <c r="N1349" s="514"/>
      <c r="R1349" s="293"/>
      <c r="S1349" s="316"/>
      <c r="T1349" s="355"/>
    </row>
    <row r="1350" spans="14:20" x14ac:dyDescent="0.25">
      <c r="N1350" s="514"/>
      <c r="R1350" s="293"/>
      <c r="S1350" s="316"/>
      <c r="T1350" s="355"/>
    </row>
    <row r="1351" spans="14:20" x14ac:dyDescent="0.25">
      <c r="N1351" s="514"/>
      <c r="R1351" s="293"/>
      <c r="S1351" s="316"/>
      <c r="T1351" s="355"/>
    </row>
    <row r="1352" spans="14:20" x14ac:dyDescent="0.25">
      <c r="N1352" s="514"/>
      <c r="R1352" s="293"/>
      <c r="S1352" s="316"/>
      <c r="T1352" s="355"/>
    </row>
    <row r="1353" spans="14:20" x14ac:dyDescent="0.25">
      <c r="N1353" s="514"/>
      <c r="R1353" s="293"/>
      <c r="S1353" s="316"/>
      <c r="T1353" s="355"/>
    </row>
    <row r="1354" spans="14:20" x14ac:dyDescent="0.25">
      <c r="N1354" s="514"/>
      <c r="R1354" s="293"/>
      <c r="S1354" s="316"/>
      <c r="T1354" s="355"/>
    </row>
    <row r="1355" spans="14:20" x14ac:dyDescent="0.25">
      <c r="N1355" s="514"/>
      <c r="R1355" s="293"/>
      <c r="S1355" s="316"/>
      <c r="T1355" s="355"/>
    </row>
    <row r="1356" spans="14:20" x14ac:dyDescent="0.25">
      <c r="N1356" s="514"/>
      <c r="R1356" s="293"/>
      <c r="S1356" s="316"/>
      <c r="T1356" s="355"/>
    </row>
    <row r="1357" spans="14:20" x14ac:dyDescent="0.25">
      <c r="N1357" s="514"/>
      <c r="R1357" s="293"/>
      <c r="S1357" s="316"/>
      <c r="T1357" s="355"/>
    </row>
    <row r="1358" spans="14:20" x14ac:dyDescent="0.25">
      <c r="N1358" s="514"/>
      <c r="R1358" s="293"/>
      <c r="S1358" s="316"/>
      <c r="T1358" s="355"/>
    </row>
    <row r="1359" spans="14:20" x14ac:dyDescent="0.25">
      <c r="N1359" s="514"/>
      <c r="R1359" s="293"/>
      <c r="S1359" s="316"/>
      <c r="T1359" s="355"/>
    </row>
    <row r="1360" spans="14:20" x14ac:dyDescent="0.25">
      <c r="N1360" s="514"/>
      <c r="R1360" s="293"/>
      <c r="S1360" s="316"/>
      <c r="T1360" s="355"/>
    </row>
    <row r="1361" spans="14:20" x14ac:dyDescent="0.25">
      <c r="N1361" s="514"/>
      <c r="R1361" s="293"/>
      <c r="S1361" s="316"/>
      <c r="T1361" s="355"/>
    </row>
    <row r="1362" spans="14:20" x14ac:dyDescent="0.25">
      <c r="N1362" s="514"/>
      <c r="R1362" s="293"/>
      <c r="S1362" s="316"/>
      <c r="T1362" s="355"/>
    </row>
    <row r="1363" spans="14:20" x14ac:dyDescent="0.25">
      <c r="N1363" s="514"/>
      <c r="R1363" s="293"/>
      <c r="S1363" s="316"/>
      <c r="T1363" s="355"/>
    </row>
    <row r="1364" spans="14:20" x14ac:dyDescent="0.25">
      <c r="N1364" s="514"/>
      <c r="R1364" s="293"/>
      <c r="S1364" s="316"/>
      <c r="T1364" s="355"/>
    </row>
    <row r="1365" spans="14:20" x14ac:dyDescent="0.25">
      <c r="N1365" s="514"/>
      <c r="R1365" s="293"/>
      <c r="S1365" s="316"/>
      <c r="T1365" s="355"/>
    </row>
    <row r="1366" spans="14:20" x14ac:dyDescent="0.25">
      <c r="N1366" s="514"/>
      <c r="R1366" s="293"/>
      <c r="S1366" s="316"/>
      <c r="T1366" s="355"/>
    </row>
    <row r="1367" spans="14:20" x14ac:dyDescent="0.25">
      <c r="N1367" s="514"/>
      <c r="R1367" s="293"/>
      <c r="S1367" s="316"/>
      <c r="T1367" s="355"/>
    </row>
    <row r="1368" spans="14:20" x14ac:dyDescent="0.25">
      <c r="N1368" s="514"/>
      <c r="R1368" s="293"/>
      <c r="S1368" s="316"/>
      <c r="T1368" s="355"/>
    </row>
    <row r="1369" spans="14:20" x14ac:dyDescent="0.25">
      <c r="N1369" s="514"/>
      <c r="R1369" s="293"/>
      <c r="S1369" s="316"/>
      <c r="T1369" s="355"/>
    </row>
    <row r="1370" spans="14:20" x14ac:dyDescent="0.25">
      <c r="N1370" s="514"/>
      <c r="R1370" s="293"/>
      <c r="S1370" s="316"/>
      <c r="T1370" s="355"/>
    </row>
    <row r="1371" spans="14:20" x14ac:dyDescent="0.25">
      <c r="N1371" s="514"/>
      <c r="R1371" s="293"/>
      <c r="S1371" s="316"/>
      <c r="T1371" s="355"/>
    </row>
    <row r="1372" spans="14:20" x14ac:dyDescent="0.25">
      <c r="N1372" s="514"/>
      <c r="R1372" s="293"/>
      <c r="S1372" s="316"/>
      <c r="T1372" s="355"/>
    </row>
    <row r="1373" spans="14:20" x14ac:dyDescent="0.25">
      <c r="N1373" s="514"/>
      <c r="R1373" s="293"/>
      <c r="S1373" s="316"/>
      <c r="T1373" s="355"/>
    </row>
    <row r="1374" spans="14:20" x14ac:dyDescent="0.25">
      <c r="N1374" s="514"/>
      <c r="R1374" s="293"/>
      <c r="S1374" s="316"/>
      <c r="T1374" s="355"/>
    </row>
    <row r="1375" spans="14:20" x14ac:dyDescent="0.25">
      <c r="N1375" s="514"/>
      <c r="R1375" s="293"/>
      <c r="S1375" s="316"/>
      <c r="T1375" s="355"/>
    </row>
    <row r="1376" spans="14:20" x14ac:dyDescent="0.25">
      <c r="N1376" s="514"/>
      <c r="R1376" s="293"/>
      <c r="S1376" s="316"/>
      <c r="T1376" s="355"/>
    </row>
    <row r="1377" spans="14:20" x14ac:dyDescent="0.25">
      <c r="N1377" s="514"/>
      <c r="R1377" s="293"/>
      <c r="S1377" s="316"/>
      <c r="T1377" s="355"/>
    </row>
    <row r="1378" spans="14:20" x14ac:dyDescent="0.25">
      <c r="N1378" s="514"/>
      <c r="R1378" s="293"/>
      <c r="S1378" s="316"/>
      <c r="T1378" s="355"/>
    </row>
    <row r="1379" spans="14:20" x14ac:dyDescent="0.25">
      <c r="N1379" s="514"/>
      <c r="R1379" s="293"/>
      <c r="S1379" s="316"/>
      <c r="T1379" s="355"/>
    </row>
    <row r="1380" spans="14:20" x14ac:dyDescent="0.25">
      <c r="N1380" s="514"/>
      <c r="R1380" s="293"/>
      <c r="S1380" s="316"/>
      <c r="T1380" s="355"/>
    </row>
    <row r="1381" spans="14:20" x14ac:dyDescent="0.25">
      <c r="N1381" s="514"/>
      <c r="R1381" s="293"/>
      <c r="S1381" s="316"/>
      <c r="T1381" s="355"/>
    </row>
    <row r="1382" spans="14:20" x14ac:dyDescent="0.25">
      <c r="N1382" s="514"/>
      <c r="R1382" s="293"/>
      <c r="S1382" s="316"/>
      <c r="T1382" s="355"/>
    </row>
    <row r="1383" spans="14:20" x14ac:dyDescent="0.25">
      <c r="N1383" s="514"/>
      <c r="R1383" s="293"/>
      <c r="S1383" s="316"/>
      <c r="T1383" s="355"/>
    </row>
    <row r="1384" spans="14:20" x14ac:dyDescent="0.25">
      <c r="N1384" s="514"/>
      <c r="R1384" s="293"/>
      <c r="S1384" s="316"/>
      <c r="T1384" s="355"/>
    </row>
    <row r="1385" spans="14:20" x14ac:dyDescent="0.25">
      <c r="N1385" s="514"/>
      <c r="R1385" s="293"/>
      <c r="S1385" s="316"/>
      <c r="T1385" s="355"/>
    </row>
    <row r="1386" spans="14:20" x14ac:dyDescent="0.25">
      <c r="N1386" s="514"/>
      <c r="R1386" s="293"/>
      <c r="S1386" s="316"/>
      <c r="T1386" s="355"/>
    </row>
    <row r="1387" spans="14:20" x14ac:dyDescent="0.25">
      <c r="N1387" s="514"/>
      <c r="R1387" s="293"/>
      <c r="S1387" s="316"/>
      <c r="T1387" s="355"/>
    </row>
    <row r="1388" spans="14:20" x14ac:dyDescent="0.25">
      <c r="N1388" s="514"/>
      <c r="R1388" s="293"/>
      <c r="S1388" s="316"/>
      <c r="T1388" s="355"/>
    </row>
    <row r="1389" spans="14:20" x14ac:dyDescent="0.25">
      <c r="N1389" s="514"/>
      <c r="R1389" s="293"/>
      <c r="S1389" s="316"/>
      <c r="T1389" s="355"/>
    </row>
    <row r="1390" spans="14:20" x14ac:dyDescent="0.25">
      <c r="N1390" s="514"/>
      <c r="R1390" s="293"/>
      <c r="S1390" s="316"/>
      <c r="T1390" s="355"/>
    </row>
    <row r="1391" spans="14:20" x14ac:dyDescent="0.25">
      <c r="N1391" s="514"/>
      <c r="R1391" s="293"/>
      <c r="S1391" s="316"/>
      <c r="T1391" s="355"/>
    </row>
    <row r="1392" spans="14:20" x14ac:dyDescent="0.25">
      <c r="N1392" s="514"/>
      <c r="R1392" s="293"/>
      <c r="S1392" s="316"/>
      <c r="T1392" s="355"/>
    </row>
    <row r="1393" spans="14:20" x14ac:dyDescent="0.25">
      <c r="N1393" s="514"/>
      <c r="R1393" s="293"/>
      <c r="S1393" s="316"/>
      <c r="T1393" s="355"/>
    </row>
    <row r="1394" spans="14:20" x14ac:dyDescent="0.25">
      <c r="N1394" s="514"/>
      <c r="R1394" s="293"/>
      <c r="S1394" s="316"/>
      <c r="T1394" s="355"/>
    </row>
    <row r="1395" spans="14:20" x14ac:dyDescent="0.25">
      <c r="N1395" s="514"/>
      <c r="R1395" s="293"/>
      <c r="S1395" s="316"/>
      <c r="T1395" s="355"/>
    </row>
    <row r="1396" spans="14:20" x14ac:dyDescent="0.25">
      <c r="N1396" s="514"/>
      <c r="R1396" s="293"/>
      <c r="S1396" s="316"/>
      <c r="T1396" s="355"/>
    </row>
    <row r="1397" spans="14:20" x14ac:dyDescent="0.25">
      <c r="N1397" s="514"/>
      <c r="R1397" s="293"/>
      <c r="S1397" s="316"/>
      <c r="T1397" s="355"/>
    </row>
    <row r="1398" spans="14:20" x14ac:dyDescent="0.25">
      <c r="N1398" s="514"/>
      <c r="R1398" s="293"/>
      <c r="S1398" s="316"/>
      <c r="T1398" s="355"/>
    </row>
    <row r="1399" spans="14:20" x14ac:dyDescent="0.25">
      <c r="N1399" s="514"/>
      <c r="R1399" s="293"/>
      <c r="S1399" s="316"/>
      <c r="T1399" s="355"/>
    </row>
    <row r="1400" spans="14:20" x14ac:dyDescent="0.25">
      <c r="N1400" s="514"/>
      <c r="R1400" s="293"/>
      <c r="S1400" s="316"/>
      <c r="T1400" s="355"/>
    </row>
    <row r="1401" spans="14:20" x14ac:dyDescent="0.25">
      <c r="N1401" s="514"/>
      <c r="R1401" s="293"/>
      <c r="S1401" s="316"/>
      <c r="T1401" s="355"/>
    </row>
    <row r="1402" spans="14:20" x14ac:dyDescent="0.25">
      <c r="N1402" s="514"/>
      <c r="R1402" s="293"/>
      <c r="S1402" s="316"/>
      <c r="T1402" s="355"/>
    </row>
    <row r="1403" spans="14:20" x14ac:dyDescent="0.25">
      <c r="N1403" s="514"/>
      <c r="R1403" s="293"/>
      <c r="S1403" s="316"/>
      <c r="T1403" s="355"/>
    </row>
    <row r="1404" spans="14:20" x14ac:dyDescent="0.25">
      <c r="N1404" s="514"/>
      <c r="R1404" s="293"/>
      <c r="S1404" s="316"/>
      <c r="T1404" s="355"/>
    </row>
    <row r="1405" spans="14:20" x14ac:dyDescent="0.25">
      <c r="N1405" s="514"/>
      <c r="R1405" s="293"/>
      <c r="S1405" s="316"/>
      <c r="T1405" s="355"/>
    </row>
    <row r="1406" spans="14:20" x14ac:dyDescent="0.25">
      <c r="N1406" s="514"/>
      <c r="R1406" s="293"/>
      <c r="S1406" s="316"/>
      <c r="T1406" s="355"/>
    </row>
    <row r="1407" spans="14:20" x14ac:dyDescent="0.25">
      <c r="N1407" s="514"/>
      <c r="R1407" s="293"/>
      <c r="S1407" s="316"/>
      <c r="T1407" s="355"/>
    </row>
    <row r="1408" spans="14:20" x14ac:dyDescent="0.25">
      <c r="N1408" s="514"/>
      <c r="R1408" s="293"/>
      <c r="S1408" s="316"/>
      <c r="T1408" s="355"/>
    </row>
    <row r="1409" spans="14:20" x14ac:dyDescent="0.25">
      <c r="N1409" s="514"/>
      <c r="R1409" s="293"/>
      <c r="S1409" s="316"/>
      <c r="T1409" s="355"/>
    </row>
    <row r="1410" spans="14:20" x14ac:dyDescent="0.25">
      <c r="N1410" s="514"/>
      <c r="R1410" s="293"/>
      <c r="S1410" s="316"/>
      <c r="T1410" s="355"/>
    </row>
    <row r="1411" spans="14:20" x14ac:dyDescent="0.25">
      <c r="N1411" s="514"/>
      <c r="R1411" s="293"/>
      <c r="S1411" s="316"/>
      <c r="T1411" s="355"/>
    </row>
    <row r="1412" spans="14:20" x14ac:dyDescent="0.25">
      <c r="N1412" s="514"/>
      <c r="R1412" s="293"/>
      <c r="S1412" s="316"/>
      <c r="T1412" s="355"/>
    </row>
    <row r="1413" spans="14:20" x14ac:dyDescent="0.25">
      <c r="N1413" s="514"/>
      <c r="R1413" s="293"/>
      <c r="S1413" s="316"/>
      <c r="T1413" s="355"/>
    </row>
    <row r="1414" spans="14:20" x14ac:dyDescent="0.25">
      <c r="N1414" s="514"/>
      <c r="R1414" s="293"/>
      <c r="S1414" s="316"/>
      <c r="T1414" s="355"/>
    </row>
    <row r="1415" spans="14:20" x14ac:dyDescent="0.25">
      <c r="N1415" s="514"/>
      <c r="R1415" s="293"/>
      <c r="S1415" s="316"/>
      <c r="T1415" s="355"/>
    </row>
    <row r="1416" spans="14:20" x14ac:dyDescent="0.25">
      <c r="N1416" s="514"/>
      <c r="R1416" s="293"/>
      <c r="S1416" s="316"/>
      <c r="T1416" s="355"/>
    </row>
    <row r="1417" spans="14:20" x14ac:dyDescent="0.25">
      <c r="N1417" s="514"/>
      <c r="R1417" s="293"/>
      <c r="S1417" s="316"/>
      <c r="T1417" s="355"/>
    </row>
    <row r="1418" spans="14:20" x14ac:dyDescent="0.25">
      <c r="N1418" s="514"/>
      <c r="R1418" s="293"/>
      <c r="S1418" s="316"/>
      <c r="T1418" s="355"/>
    </row>
    <row r="1419" spans="14:20" x14ac:dyDescent="0.25">
      <c r="N1419" s="514"/>
      <c r="R1419" s="293"/>
      <c r="S1419" s="316"/>
      <c r="T1419" s="355"/>
    </row>
    <row r="1420" spans="14:20" x14ac:dyDescent="0.25">
      <c r="N1420" s="514"/>
      <c r="R1420" s="293"/>
      <c r="S1420" s="316"/>
      <c r="T1420" s="355"/>
    </row>
    <row r="1421" spans="14:20" x14ac:dyDescent="0.25">
      <c r="N1421" s="514"/>
      <c r="R1421" s="293"/>
      <c r="S1421" s="316"/>
      <c r="T1421" s="355"/>
    </row>
    <row r="1422" spans="14:20" x14ac:dyDescent="0.25">
      <c r="N1422" s="514"/>
      <c r="R1422" s="293"/>
      <c r="S1422" s="316"/>
      <c r="T1422" s="355"/>
    </row>
    <row r="1423" spans="14:20" x14ac:dyDescent="0.25">
      <c r="N1423" s="514"/>
      <c r="R1423" s="293"/>
      <c r="S1423" s="316"/>
      <c r="T1423" s="355"/>
    </row>
    <row r="1424" spans="14:20" x14ac:dyDescent="0.25">
      <c r="N1424" s="514"/>
      <c r="R1424" s="293"/>
      <c r="S1424" s="316"/>
      <c r="T1424" s="355"/>
    </row>
    <row r="1425" spans="14:20" x14ac:dyDescent="0.25">
      <c r="N1425" s="514"/>
      <c r="R1425" s="293"/>
      <c r="S1425" s="316"/>
      <c r="T1425" s="355"/>
    </row>
    <row r="1426" spans="14:20" x14ac:dyDescent="0.25">
      <c r="N1426" s="514"/>
      <c r="R1426" s="293"/>
      <c r="S1426" s="316"/>
      <c r="T1426" s="355"/>
    </row>
    <row r="1427" spans="14:20" x14ac:dyDescent="0.25">
      <c r="N1427" s="514"/>
      <c r="R1427" s="293"/>
      <c r="S1427" s="316"/>
      <c r="T1427" s="355"/>
    </row>
    <row r="1428" spans="14:20" x14ac:dyDescent="0.25">
      <c r="N1428" s="514"/>
      <c r="R1428" s="293"/>
      <c r="S1428" s="316"/>
      <c r="T1428" s="355"/>
    </row>
    <row r="1429" spans="14:20" x14ac:dyDescent="0.25">
      <c r="N1429" s="514"/>
      <c r="R1429" s="293"/>
      <c r="S1429" s="316"/>
      <c r="T1429" s="355"/>
    </row>
    <row r="1430" spans="14:20" x14ac:dyDescent="0.25">
      <c r="N1430" s="514"/>
      <c r="R1430" s="293"/>
      <c r="S1430" s="316"/>
      <c r="T1430" s="355"/>
    </row>
    <row r="1431" spans="14:20" x14ac:dyDescent="0.25">
      <c r="N1431" s="514"/>
      <c r="R1431" s="293"/>
      <c r="S1431" s="316"/>
      <c r="T1431" s="355"/>
    </row>
    <row r="1432" spans="14:20" x14ac:dyDescent="0.25">
      <c r="N1432" s="514"/>
      <c r="R1432" s="293"/>
      <c r="S1432" s="316"/>
      <c r="T1432" s="355"/>
    </row>
    <row r="1433" spans="14:20" x14ac:dyDescent="0.25">
      <c r="N1433" s="514"/>
      <c r="R1433" s="293"/>
      <c r="S1433" s="316"/>
      <c r="T1433" s="355"/>
    </row>
    <row r="1434" spans="14:20" x14ac:dyDescent="0.25">
      <c r="N1434" s="514"/>
      <c r="R1434" s="293"/>
      <c r="S1434" s="316"/>
      <c r="T1434" s="355"/>
    </row>
    <row r="1435" spans="14:20" x14ac:dyDescent="0.25">
      <c r="N1435" s="514"/>
      <c r="R1435" s="293"/>
      <c r="S1435" s="316"/>
      <c r="T1435" s="355"/>
    </row>
    <row r="1436" spans="14:20" x14ac:dyDescent="0.25">
      <c r="N1436" s="514"/>
      <c r="R1436" s="293"/>
      <c r="S1436" s="316"/>
      <c r="T1436" s="355"/>
    </row>
    <row r="1437" spans="14:20" x14ac:dyDescent="0.25">
      <c r="N1437" s="514"/>
      <c r="R1437" s="293"/>
      <c r="S1437" s="316"/>
      <c r="T1437" s="355"/>
    </row>
    <row r="1438" spans="14:20" x14ac:dyDescent="0.25">
      <c r="N1438" s="514"/>
      <c r="R1438" s="293"/>
      <c r="S1438" s="316"/>
      <c r="T1438" s="355"/>
    </row>
    <row r="1439" spans="14:20" x14ac:dyDescent="0.25">
      <c r="N1439" s="514"/>
      <c r="R1439" s="293"/>
      <c r="S1439" s="316"/>
      <c r="T1439" s="355"/>
    </row>
    <row r="1440" spans="14:20" x14ac:dyDescent="0.25">
      <c r="N1440" s="514"/>
      <c r="R1440" s="293"/>
      <c r="S1440" s="316"/>
      <c r="T1440" s="355"/>
    </row>
    <row r="1441" spans="14:20" x14ac:dyDescent="0.25">
      <c r="N1441" s="514"/>
      <c r="R1441" s="293"/>
      <c r="S1441" s="316"/>
      <c r="T1441" s="355"/>
    </row>
    <row r="1442" spans="14:20" x14ac:dyDescent="0.25">
      <c r="N1442" s="514"/>
      <c r="R1442" s="293"/>
      <c r="S1442" s="316"/>
      <c r="T1442" s="355"/>
    </row>
    <row r="1443" spans="14:20" x14ac:dyDescent="0.25">
      <c r="N1443" s="514"/>
      <c r="R1443" s="293"/>
      <c r="S1443" s="316"/>
      <c r="T1443" s="355"/>
    </row>
    <row r="1444" spans="14:20" x14ac:dyDescent="0.25">
      <c r="N1444" s="514"/>
      <c r="R1444" s="293"/>
      <c r="S1444" s="316"/>
      <c r="T1444" s="355"/>
    </row>
    <row r="1445" spans="14:20" x14ac:dyDescent="0.25">
      <c r="N1445" s="514"/>
      <c r="R1445" s="293"/>
      <c r="S1445" s="316"/>
      <c r="T1445" s="355"/>
    </row>
    <row r="1446" spans="14:20" x14ac:dyDescent="0.25">
      <c r="N1446" s="514"/>
      <c r="R1446" s="293"/>
      <c r="S1446" s="316"/>
      <c r="T1446" s="355"/>
    </row>
    <row r="1447" spans="14:20" x14ac:dyDescent="0.25">
      <c r="N1447" s="514"/>
      <c r="R1447" s="293"/>
      <c r="S1447" s="316"/>
      <c r="T1447" s="355"/>
    </row>
    <row r="1448" spans="14:20" x14ac:dyDescent="0.25">
      <c r="N1448" s="514"/>
      <c r="R1448" s="293"/>
      <c r="S1448" s="316"/>
      <c r="T1448" s="355"/>
    </row>
    <row r="1449" spans="14:20" x14ac:dyDescent="0.25">
      <c r="N1449" s="514"/>
      <c r="R1449" s="293"/>
      <c r="S1449" s="316"/>
      <c r="T1449" s="355"/>
    </row>
    <row r="1450" spans="14:20" x14ac:dyDescent="0.25">
      <c r="N1450" s="514"/>
      <c r="R1450" s="293"/>
      <c r="S1450" s="316"/>
      <c r="T1450" s="355"/>
    </row>
    <row r="1451" spans="14:20" x14ac:dyDescent="0.25">
      <c r="N1451" s="514"/>
      <c r="R1451" s="293"/>
      <c r="S1451" s="316"/>
      <c r="T1451" s="355"/>
    </row>
    <row r="1452" spans="14:20" x14ac:dyDescent="0.25">
      <c r="N1452" s="514"/>
      <c r="R1452" s="293"/>
      <c r="S1452" s="316"/>
      <c r="T1452" s="355"/>
    </row>
    <row r="1453" spans="14:20" x14ac:dyDescent="0.25">
      <c r="N1453" s="514"/>
      <c r="R1453" s="293"/>
      <c r="S1453" s="316"/>
      <c r="T1453" s="355"/>
    </row>
    <row r="1454" spans="14:20" x14ac:dyDescent="0.25">
      <c r="N1454" s="514"/>
      <c r="R1454" s="293"/>
      <c r="S1454" s="316"/>
      <c r="T1454" s="355"/>
    </row>
    <row r="1455" spans="14:20" x14ac:dyDescent="0.25">
      <c r="N1455" s="514"/>
      <c r="R1455" s="293"/>
      <c r="S1455" s="316"/>
      <c r="T1455" s="355"/>
    </row>
    <row r="1456" spans="14:20" x14ac:dyDescent="0.25">
      <c r="N1456" s="514"/>
      <c r="R1456" s="293"/>
      <c r="S1456" s="316"/>
      <c r="T1456" s="355"/>
    </row>
    <row r="1457" spans="14:20" x14ac:dyDescent="0.25">
      <c r="N1457" s="514"/>
      <c r="R1457" s="293"/>
      <c r="S1457" s="316"/>
      <c r="T1457" s="355"/>
    </row>
    <row r="1458" spans="14:20" x14ac:dyDescent="0.25">
      <c r="N1458" s="514"/>
      <c r="R1458" s="293"/>
      <c r="S1458" s="316"/>
      <c r="T1458" s="355"/>
    </row>
    <row r="1459" spans="14:20" x14ac:dyDescent="0.25">
      <c r="N1459" s="514"/>
      <c r="R1459" s="293"/>
      <c r="S1459" s="316"/>
      <c r="T1459" s="355"/>
    </row>
    <row r="1460" spans="14:20" x14ac:dyDescent="0.25">
      <c r="N1460" s="514"/>
      <c r="R1460" s="293"/>
      <c r="S1460" s="316"/>
      <c r="T1460" s="355"/>
    </row>
    <row r="1461" spans="14:20" x14ac:dyDescent="0.25">
      <c r="N1461" s="514"/>
      <c r="R1461" s="293"/>
      <c r="S1461" s="316"/>
      <c r="T1461" s="355"/>
    </row>
    <row r="1462" spans="14:20" x14ac:dyDescent="0.25">
      <c r="N1462" s="514"/>
      <c r="R1462" s="293"/>
      <c r="S1462" s="316"/>
      <c r="T1462" s="355"/>
    </row>
    <row r="1463" spans="14:20" x14ac:dyDescent="0.25">
      <c r="N1463" s="514"/>
      <c r="R1463" s="293"/>
      <c r="S1463" s="316"/>
      <c r="T1463" s="355"/>
    </row>
    <row r="1464" spans="14:20" x14ac:dyDescent="0.25">
      <c r="N1464" s="514"/>
      <c r="R1464" s="293"/>
      <c r="S1464" s="316"/>
      <c r="T1464" s="355"/>
    </row>
    <row r="1465" spans="14:20" x14ac:dyDescent="0.25">
      <c r="N1465" s="514"/>
      <c r="R1465" s="293"/>
      <c r="S1465" s="316"/>
      <c r="T1465" s="355"/>
    </row>
    <row r="1466" spans="14:20" x14ac:dyDescent="0.25">
      <c r="N1466" s="514"/>
      <c r="R1466" s="293"/>
      <c r="S1466" s="316"/>
      <c r="T1466" s="355"/>
    </row>
    <row r="1467" spans="14:20" x14ac:dyDescent="0.25">
      <c r="N1467" s="514"/>
      <c r="R1467" s="293"/>
      <c r="S1467" s="316"/>
      <c r="T1467" s="355"/>
    </row>
    <row r="1468" spans="14:20" x14ac:dyDescent="0.25">
      <c r="N1468" s="514"/>
      <c r="R1468" s="293"/>
      <c r="S1468" s="316"/>
      <c r="T1468" s="355"/>
    </row>
    <row r="1469" spans="14:20" x14ac:dyDescent="0.25">
      <c r="N1469" s="514"/>
      <c r="R1469" s="293"/>
      <c r="S1469" s="316"/>
      <c r="T1469" s="355"/>
    </row>
    <row r="1470" spans="14:20" x14ac:dyDescent="0.25">
      <c r="N1470" s="514"/>
      <c r="R1470" s="293"/>
      <c r="S1470" s="316"/>
      <c r="T1470" s="355"/>
    </row>
    <row r="1471" spans="14:20" x14ac:dyDescent="0.25">
      <c r="N1471" s="514"/>
      <c r="R1471" s="293"/>
      <c r="S1471" s="316"/>
      <c r="T1471" s="355"/>
    </row>
    <row r="1472" spans="14:20" x14ac:dyDescent="0.25">
      <c r="N1472" s="514"/>
      <c r="R1472" s="293"/>
      <c r="S1472" s="316"/>
      <c r="T1472" s="355"/>
    </row>
    <row r="1473" spans="14:20" x14ac:dyDescent="0.25">
      <c r="N1473" s="514"/>
      <c r="R1473" s="293"/>
      <c r="S1473" s="316"/>
      <c r="T1473" s="355"/>
    </row>
    <row r="1474" spans="14:20" x14ac:dyDescent="0.25">
      <c r="N1474" s="514"/>
      <c r="R1474" s="293"/>
      <c r="S1474" s="316"/>
      <c r="T1474" s="355"/>
    </row>
    <row r="1475" spans="14:20" x14ac:dyDescent="0.25">
      <c r="N1475" s="514"/>
      <c r="R1475" s="293"/>
      <c r="S1475" s="316"/>
      <c r="T1475" s="355"/>
    </row>
    <row r="1476" spans="14:20" x14ac:dyDescent="0.25">
      <c r="N1476" s="514"/>
      <c r="R1476" s="293"/>
      <c r="S1476" s="316"/>
      <c r="T1476" s="355"/>
    </row>
    <row r="1477" spans="14:20" x14ac:dyDescent="0.25">
      <c r="N1477" s="514"/>
      <c r="R1477" s="293"/>
      <c r="S1477" s="316"/>
      <c r="T1477" s="355"/>
    </row>
    <row r="1478" spans="14:20" x14ac:dyDescent="0.25">
      <c r="N1478" s="514"/>
      <c r="R1478" s="293"/>
      <c r="S1478" s="316"/>
      <c r="T1478" s="355"/>
    </row>
    <row r="1479" spans="14:20" x14ac:dyDescent="0.25">
      <c r="N1479" s="514"/>
      <c r="R1479" s="293"/>
      <c r="S1479" s="316"/>
      <c r="T1479" s="355"/>
    </row>
    <row r="1480" spans="14:20" x14ac:dyDescent="0.25">
      <c r="N1480" s="514"/>
      <c r="R1480" s="293"/>
      <c r="S1480" s="316"/>
      <c r="T1480" s="355"/>
    </row>
    <row r="1481" spans="14:20" x14ac:dyDescent="0.25">
      <c r="N1481" s="514"/>
      <c r="R1481" s="293"/>
      <c r="S1481" s="316"/>
      <c r="T1481" s="355"/>
    </row>
    <row r="1482" spans="14:20" x14ac:dyDescent="0.25">
      <c r="N1482" s="514"/>
      <c r="R1482" s="293"/>
      <c r="S1482" s="316"/>
      <c r="T1482" s="355"/>
    </row>
    <row r="1483" spans="14:20" x14ac:dyDescent="0.25">
      <c r="N1483" s="514"/>
      <c r="R1483" s="293"/>
      <c r="S1483" s="316"/>
      <c r="T1483" s="355"/>
    </row>
    <row r="1484" spans="14:20" x14ac:dyDescent="0.25">
      <c r="N1484" s="514"/>
      <c r="R1484" s="293"/>
      <c r="S1484" s="316"/>
      <c r="T1484" s="355"/>
    </row>
    <row r="1485" spans="14:20" x14ac:dyDescent="0.25">
      <c r="N1485" s="514"/>
      <c r="R1485" s="293"/>
      <c r="S1485" s="316"/>
      <c r="T1485" s="355"/>
    </row>
    <row r="1486" spans="14:20" x14ac:dyDescent="0.25">
      <c r="N1486" s="514"/>
      <c r="R1486" s="293"/>
      <c r="S1486" s="316"/>
      <c r="T1486" s="355"/>
    </row>
    <row r="1487" spans="14:20" x14ac:dyDescent="0.25">
      <c r="N1487" s="514"/>
      <c r="R1487" s="293"/>
      <c r="S1487" s="316"/>
      <c r="T1487" s="355"/>
    </row>
    <row r="1488" spans="14:20" x14ac:dyDescent="0.25">
      <c r="N1488" s="514"/>
      <c r="R1488" s="293"/>
      <c r="S1488" s="316"/>
      <c r="T1488" s="355"/>
    </row>
    <row r="1489" spans="14:20" x14ac:dyDescent="0.25">
      <c r="N1489" s="514"/>
      <c r="R1489" s="293"/>
      <c r="S1489" s="316"/>
      <c r="T1489" s="355"/>
    </row>
    <row r="1490" spans="14:20" x14ac:dyDescent="0.25">
      <c r="N1490" s="514"/>
      <c r="R1490" s="293"/>
      <c r="S1490" s="316"/>
      <c r="T1490" s="355"/>
    </row>
    <row r="1491" spans="14:20" x14ac:dyDescent="0.25">
      <c r="N1491" s="514"/>
      <c r="R1491" s="293"/>
      <c r="S1491" s="316"/>
      <c r="T1491" s="355"/>
    </row>
    <row r="1492" spans="14:20" x14ac:dyDescent="0.25">
      <c r="N1492" s="514"/>
      <c r="R1492" s="293"/>
      <c r="S1492" s="316"/>
      <c r="T1492" s="355"/>
    </row>
    <row r="1493" spans="14:20" x14ac:dyDescent="0.25">
      <c r="N1493" s="514"/>
      <c r="R1493" s="293"/>
      <c r="S1493" s="316"/>
      <c r="T1493" s="355"/>
    </row>
    <row r="1494" spans="14:20" x14ac:dyDescent="0.25">
      <c r="N1494" s="514"/>
      <c r="R1494" s="293"/>
      <c r="S1494" s="316"/>
      <c r="T1494" s="355"/>
    </row>
    <row r="1495" spans="14:20" x14ac:dyDescent="0.25">
      <c r="N1495" s="514"/>
      <c r="R1495" s="293"/>
      <c r="S1495" s="316"/>
      <c r="T1495" s="355"/>
    </row>
    <row r="1496" spans="14:20" x14ac:dyDescent="0.25">
      <c r="N1496" s="514"/>
      <c r="R1496" s="293"/>
      <c r="S1496" s="316"/>
      <c r="T1496" s="355"/>
    </row>
    <row r="1497" spans="14:20" x14ac:dyDescent="0.25">
      <c r="N1497" s="514"/>
      <c r="R1497" s="293"/>
      <c r="S1497" s="316"/>
      <c r="T1497" s="355"/>
    </row>
    <row r="1498" spans="14:20" x14ac:dyDescent="0.25">
      <c r="N1498" s="514"/>
      <c r="R1498" s="293"/>
      <c r="S1498" s="316"/>
      <c r="T1498" s="355"/>
    </row>
    <row r="1499" spans="14:20" x14ac:dyDescent="0.25">
      <c r="N1499" s="514"/>
      <c r="R1499" s="293"/>
      <c r="S1499" s="316"/>
      <c r="T1499" s="355"/>
    </row>
    <row r="1500" spans="14:20" x14ac:dyDescent="0.25">
      <c r="N1500" s="514"/>
      <c r="R1500" s="293"/>
      <c r="S1500" s="316"/>
      <c r="T1500" s="355"/>
    </row>
    <row r="1501" spans="14:20" x14ac:dyDescent="0.25">
      <c r="N1501" s="514"/>
      <c r="R1501" s="293"/>
      <c r="S1501" s="316"/>
      <c r="T1501" s="355"/>
    </row>
    <row r="1502" spans="14:20" x14ac:dyDescent="0.25">
      <c r="N1502" s="514"/>
      <c r="R1502" s="293"/>
      <c r="S1502" s="316"/>
      <c r="T1502" s="355"/>
    </row>
    <row r="1503" spans="14:20" x14ac:dyDescent="0.25">
      <c r="N1503" s="514"/>
      <c r="R1503" s="293"/>
      <c r="S1503" s="316"/>
      <c r="T1503" s="355"/>
    </row>
    <row r="1504" spans="14:20" x14ac:dyDescent="0.25">
      <c r="N1504" s="514"/>
      <c r="R1504" s="293"/>
      <c r="S1504" s="316"/>
      <c r="T1504" s="355"/>
    </row>
    <row r="1505" spans="14:20" x14ac:dyDescent="0.25">
      <c r="N1505" s="514"/>
      <c r="R1505" s="293"/>
      <c r="S1505" s="316"/>
      <c r="T1505" s="355"/>
    </row>
    <row r="1506" spans="14:20" x14ac:dyDescent="0.25">
      <c r="N1506" s="514"/>
      <c r="R1506" s="293"/>
      <c r="S1506" s="316"/>
      <c r="T1506" s="355"/>
    </row>
    <row r="1507" spans="14:20" x14ac:dyDescent="0.25">
      <c r="N1507" s="514"/>
      <c r="R1507" s="293"/>
      <c r="S1507" s="316"/>
      <c r="T1507" s="355"/>
    </row>
    <row r="1508" spans="14:20" x14ac:dyDescent="0.25">
      <c r="N1508" s="514"/>
      <c r="R1508" s="293"/>
      <c r="S1508" s="316"/>
      <c r="T1508" s="355"/>
    </row>
    <row r="1509" spans="14:20" x14ac:dyDescent="0.25">
      <c r="N1509" s="514"/>
      <c r="R1509" s="293"/>
      <c r="S1509" s="316"/>
      <c r="T1509" s="355"/>
    </row>
    <row r="1510" spans="14:20" x14ac:dyDescent="0.25">
      <c r="N1510" s="514"/>
      <c r="R1510" s="293"/>
      <c r="S1510" s="316"/>
      <c r="T1510" s="355"/>
    </row>
    <row r="1511" spans="14:20" x14ac:dyDescent="0.25">
      <c r="N1511" s="514"/>
      <c r="R1511" s="293"/>
      <c r="S1511" s="316"/>
      <c r="T1511" s="355"/>
    </row>
    <row r="1512" spans="14:20" x14ac:dyDescent="0.25">
      <c r="N1512" s="514"/>
      <c r="R1512" s="293"/>
      <c r="S1512" s="316"/>
      <c r="T1512" s="355"/>
    </row>
    <row r="1513" spans="14:20" x14ac:dyDescent="0.25">
      <c r="N1513" s="514"/>
      <c r="R1513" s="293"/>
      <c r="S1513" s="316"/>
      <c r="T1513" s="355"/>
    </row>
    <row r="1514" spans="14:20" x14ac:dyDescent="0.25">
      <c r="N1514" s="514"/>
      <c r="R1514" s="293"/>
      <c r="S1514" s="316"/>
      <c r="T1514" s="355"/>
    </row>
    <row r="1515" spans="14:20" x14ac:dyDescent="0.25">
      <c r="N1515" s="514"/>
      <c r="R1515" s="293"/>
      <c r="S1515" s="316"/>
      <c r="T1515" s="355"/>
    </row>
    <row r="1516" spans="14:20" x14ac:dyDescent="0.25">
      <c r="N1516" s="514"/>
      <c r="R1516" s="293"/>
      <c r="S1516" s="316"/>
      <c r="T1516" s="355"/>
    </row>
    <row r="1517" spans="14:20" x14ac:dyDescent="0.25">
      <c r="N1517" s="514"/>
      <c r="R1517" s="293"/>
      <c r="S1517" s="316"/>
      <c r="T1517" s="355"/>
    </row>
    <row r="1518" spans="14:20" x14ac:dyDescent="0.25">
      <c r="N1518" s="514"/>
      <c r="R1518" s="293"/>
      <c r="S1518" s="316"/>
      <c r="T1518" s="355"/>
    </row>
    <row r="1519" spans="14:20" x14ac:dyDescent="0.25">
      <c r="N1519" s="514"/>
      <c r="R1519" s="293"/>
      <c r="S1519" s="316"/>
      <c r="T1519" s="355"/>
    </row>
    <row r="1520" spans="14:20" x14ac:dyDescent="0.25">
      <c r="N1520" s="514"/>
      <c r="R1520" s="293"/>
      <c r="S1520" s="316"/>
      <c r="T1520" s="355"/>
    </row>
    <row r="1521" spans="14:20" x14ac:dyDescent="0.25">
      <c r="N1521" s="514"/>
      <c r="R1521" s="293"/>
      <c r="S1521" s="316"/>
      <c r="T1521" s="355"/>
    </row>
    <row r="1522" spans="14:20" x14ac:dyDescent="0.25">
      <c r="N1522" s="514"/>
      <c r="R1522" s="293"/>
      <c r="S1522" s="316"/>
      <c r="T1522" s="355"/>
    </row>
    <row r="1523" spans="14:20" x14ac:dyDescent="0.25">
      <c r="N1523" s="514"/>
      <c r="R1523" s="293"/>
      <c r="S1523" s="316"/>
      <c r="T1523" s="355"/>
    </row>
    <row r="1524" spans="14:20" x14ac:dyDescent="0.25">
      <c r="N1524" s="514"/>
      <c r="R1524" s="293"/>
      <c r="S1524" s="316"/>
      <c r="T1524" s="355"/>
    </row>
    <row r="1525" spans="14:20" x14ac:dyDescent="0.25">
      <c r="N1525" s="514"/>
      <c r="R1525" s="293"/>
      <c r="S1525" s="316"/>
      <c r="T1525" s="355"/>
    </row>
    <row r="1526" spans="14:20" x14ac:dyDescent="0.25">
      <c r="N1526" s="514"/>
      <c r="R1526" s="293"/>
      <c r="S1526" s="316"/>
      <c r="T1526" s="355"/>
    </row>
    <row r="1527" spans="14:20" x14ac:dyDescent="0.25">
      <c r="N1527" s="514"/>
      <c r="R1527" s="293"/>
      <c r="S1527" s="316"/>
      <c r="T1527" s="355"/>
    </row>
    <row r="1528" spans="14:20" x14ac:dyDescent="0.25">
      <c r="N1528" s="514"/>
      <c r="R1528" s="293"/>
      <c r="S1528" s="316"/>
      <c r="T1528" s="355"/>
    </row>
    <row r="1529" spans="14:20" x14ac:dyDescent="0.25">
      <c r="N1529" s="514"/>
      <c r="R1529" s="293"/>
      <c r="S1529" s="316"/>
      <c r="T1529" s="355"/>
    </row>
    <row r="1530" spans="14:20" x14ac:dyDescent="0.25">
      <c r="N1530" s="514"/>
      <c r="R1530" s="293"/>
      <c r="S1530" s="316"/>
      <c r="T1530" s="355"/>
    </row>
    <row r="1531" spans="14:20" x14ac:dyDescent="0.25">
      <c r="N1531" s="514"/>
      <c r="R1531" s="293"/>
      <c r="S1531" s="316"/>
      <c r="T1531" s="355"/>
    </row>
    <row r="1532" spans="14:20" x14ac:dyDescent="0.25">
      <c r="N1532" s="514"/>
      <c r="R1532" s="293"/>
      <c r="S1532" s="316"/>
      <c r="T1532" s="355"/>
    </row>
    <row r="1533" spans="14:20" x14ac:dyDescent="0.25">
      <c r="N1533" s="514"/>
      <c r="R1533" s="293"/>
      <c r="S1533" s="316"/>
      <c r="T1533" s="355"/>
    </row>
    <row r="1534" spans="14:20" x14ac:dyDescent="0.25">
      <c r="N1534" s="514"/>
      <c r="R1534" s="293"/>
      <c r="S1534" s="316"/>
      <c r="T1534" s="355"/>
    </row>
    <row r="1535" spans="14:20" x14ac:dyDescent="0.25">
      <c r="N1535" s="514"/>
      <c r="R1535" s="293"/>
      <c r="S1535" s="316"/>
      <c r="T1535" s="355"/>
    </row>
    <row r="1536" spans="14:20" x14ac:dyDescent="0.25">
      <c r="N1536" s="514"/>
      <c r="R1536" s="293"/>
      <c r="S1536" s="316"/>
      <c r="T1536" s="355"/>
    </row>
    <row r="1537" spans="14:20" x14ac:dyDescent="0.25">
      <c r="N1537" s="514"/>
      <c r="R1537" s="293"/>
      <c r="S1537" s="316"/>
      <c r="T1537" s="355"/>
    </row>
    <row r="1538" spans="14:20" x14ac:dyDescent="0.25">
      <c r="N1538" s="514"/>
      <c r="R1538" s="293"/>
      <c r="S1538" s="316"/>
      <c r="T1538" s="355"/>
    </row>
    <row r="1539" spans="14:20" x14ac:dyDescent="0.25">
      <c r="N1539" s="514"/>
      <c r="R1539" s="293"/>
      <c r="S1539" s="316"/>
      <c r="T1539" s="355"/>
    </row>
    <row r="1540" spans="14:20" x14ac:dyDescent="0.25">
      <c r="N1540" s="514"/>
      <c r="R1540" s="293"/>
      <c r="S1540" s="316"/>
      <c r="T1540" s="355"/>
    </row>
    <row r="1541" spans="14:20" x14ac:dyDescent="0.25">
      <c r="N1541" s="514"/>
      <c r="R1541" s="293"/>
      <c r="S1541" s="316"/>
      <c r="T1541" s="355"/>
    </row>
    <row r="1542" spans="14:20" x14ac:dyDescent="0.25">
      <c r="N1542" s="514"/>
      <c r="R1542" s="293"/>
      <c r="S1542" s="316"/>
      <c r="T1542" s="355"/>
    </row>
    <row r="1543" spans="14:20" x14ac:dyDescent="0.25">
      <c r="N1543" s="514"/>
      <c r="R1543" s="293"/>
      <c r="S1543" s="316"/>
      <c r="T1543" s="355"/>
    </row>
    <row r="1544" spans="14:20" x14ac:dyDescent="0.25">
      <c r="N1544" s="514"/>
      <c r="R1544" s="293"/>
      <c r="S1544" s="316"/>
      <c r="T1544" s="355"/>
    </row>
    <row r="1545" spans="14:20" x14ac:dyDescent="0.25">
      <c r="N1545" s="514"/>
      <c r="R1545" s="293"/>
      <c r="S1545" s="316"/>
      <c r="T1545" s="355"/>
    </row>
    <row r="1546" spans="14:20" x14ac:dyDescent="0.25">
      <c r="N1546" s="514"/>
      <c r="R1546" s="293"/>
      <c r="S1546" s="316"/>
      <c r="T1546" s="355"/>
    </row>
    <row r="1547" spans="14:20" x14ac:dyDescent="0.25">
      <c r="N1547" s="514"/>
      <c r="R1547" s="293"/>
      <c r="S1547" s="316"/>
      <c r="T1547" s="355"/>
    </row>
    <row r="1548" spans="14:20" x14ac:dyDescent="0.25">
      <c r="N1548" s="514"/>
      <c r="R1548" s="293"/>
      <c r="S1548" s="316"/>
      <c r="T1548" s="355"/>
    </row>
    <row r="1549" spans="14:20" x14ac:dyDescent="0.25">
      <c r="N1549" s="514"/>
      <c r="R1549" s="293"/>
      <c r="S1549" s="316"/>
      <c r="T1549" s="355"/>
    </row>
    <row r="1550" spans="14:20" x14ac:dyDescent="0.25">
      <c r="N1550" s="514"/>
      <c r="R1550" s="293"/>
      <c r="S1550" s="316"/>
      <c r="T1550" s="355"/>
    </row>
    <row r="1551" spans="14:20" x14ac:dyDescent="0.25">
      <c r="N1551" s="514"/>
      <c r="R1551" s="293"/>
      <c r="S1551" s="316"/>
      <c r="T1551" s="355"/>
    </row>
    <row r="1552" spans="14:20" x14ac:dyDescent="0.25">
      <c r="N1552" s="514"/>
      <c r="R1552" s="293"/>
      <c r="S1552" s="316"/>
      <c r="T1552" s="355"/>
    </row>
    <row r="1553" spans="14:20" x14ac:dyDescent="0.25">
      <c r="N1553" s="514"/>
      <c r="R1553" s="293"/>
      <c r="S1553" s="316"/>
      <c r="T1553" s="355"/>
    </row>
    <row r="1554" spans="14:20" x14ac:dyDescent="0.25">
      <c r="N1554" s="514"/>
      <c r="R1554" s="293"/>
      <c r="S1554" s="316"/>
      <c r="T1554" s="355"/>
    </row>
    <row r="1555" spans="14:20" x14ac:dyDescent="0.25">
      <c r="N1555" s="514"/>
      <c r="R1555" s="293"/>
      <c r="S1555" s="316"/>
      <c r="T1555" s="355"/>
    </row>
    <row r="1556" spans="14:20" x14ac:dyDescent="0.25">
      <c r="N1556" s="514"/>
      <c r="R1556" s="293"/>
      <c r="S1556" s="316"/>
      <c r="T1556" s="355"/>
    </row>
    <row r="1557" spans="14:20" x14ac:dyDescent="0.25">
      <c r="N1557" s="514"/>
      <c r="R1557" s="293"/>
      <c r="S1557" s="316"/>
      <c r="T1557" s="355"/>
    </row>
    <row r="1558" spans="14:20" x14ac:dyDescent="0.25">
      <c r="N1558" s="514"/>
      <c r="R1558" s="293"/>
      <c r="S1558" s="316"/>
      <c r="T1558" s="355"/>
    </row>
    <row r="1559" spans="14:20" x14ac:dyDescent="0.25">
      <c r="N1559" s="514"/>
      <c r="R1559" s="293"/>
      <c r="S1559" s="316"/>
      <c r="T1559" s="355"/>
    </row>
    <row r="1560" spans="14:20" x14ac:dyDescent="0.25">
      <c r="N1560" s="514"/>
      <c r="R1560" s="293"/>
      <c r="S1560" s="316"/>
      <c r="T1560" s="355"/>
    </row>
    <row r="1561" spans="14:20" x14ac:dyDescent="0.25">
      <c r="N1561" s="514"/>
      <c r="R1561" s="293"/>
      <c r="S1561" s="316"/>
      <c r="T1561" s="355"/>
    </row>
    <row r="1562" spans="14:20" x14ac:dyDescent="0.25">
      <c r="N1562" s="514"/>
      <c r="R1562" s="293"/>
      <c r="S1562" s="316"/>
      <c r="T1562" s="355"/>
    </row>
    <row r="1563" spans="14:20" x14ac:dyDescent="0.25">
      <c r="N1563" s="514"/>
      <c r="R1563" s="293"/>
      <c r="S1563" s="316"/>
      <c r="T1563" s="355"/>
    </row>
    <row r="1564" spans="14:20" x14ac:dyDescent="0.25">
      <c r="N1564" s="514"/>
      <c r="R1564" s="293"/>
      <c r="S1564" s="316"/>
      <c r="T1564" s="355"/>
    </row>
    <row r="1565" spans="14:20" x14ac:dyDescent="0.25">
      <c r="N1565" s="514"/>
      <c r="R1565" s="293"/>
      <c r="S1565" s="316"/>
      <c r="T1565" s="355"/>
    </row>
    <row r="1566" spans="14:20" x14ac:dyDescent="0.25">
      <c r="N1566" s="514"/>
      <c r="R1566" s="293"/>
      <c r="S1566" s="316"/>
      <c r="T1566" s="355"/>
    </row>
    <row r="1567" spans="14:20" x14ac:dyDescent="0.25">
      <c r="N1567" s="514"/>
      <c r="R1567" s="293"/>
      <c r="S1567" s="316"/>
      <c r="T1567" s="355"/>
    </row>
    <row r="1568" spans="14:20" x14ac:dyDescent="0.25">
      <c r="N1568" s="514"/>
      <c r="R1568" s="293"/>
      <c r="S1568" s="316"/>
      <c r="T1568" s="355"/>
    </row>
    <row r="1569" spans="14:20" x14ac:dyDescent="0.25">
      <c r="N1569" s="514"/>
      <c r="R1569" s="293"/>
      <c r="S1569" s="316"/>
      <c r="T1569" s="355"/>
    </row>
    <row r="1570" spans="14:20" x14ac:dyDescent="0.25">
      <c r="N1570" s="514"/>
      <c r="R1570" s="293"/>
      <c r="S1570" s="316"/>
      <c r="T1570" s="355"/>
    </row>
    <row r="1571" spans="14:20" x14ac:dyDescent="0.25">
      <c r="N1571" s="514"/>
      <c r="R1571" s="293"/>
      <c r="S1571" s="316"/>
      <c r="T1571" s="355"/>
    </row>
    <row r="1572" spans="14:20" x14ac:dyDescent="0.25">
      <c r="N1572" s="514"/>
      <c r="R1572" s="293"/>
      <c r="S1572" s="316"/>
      <c r="T1572" s="355"/>
    </row>
    <row r="1573" spans="14:20" x14ac:dyDescent="0.25">
      <c r="N1573" s="514"/>
      <c r="R1573" s="293"/>
      <c r="S1573" s="316"/>
      <c r="T1573" s="355"/>
    </row>
    <row r="1574" spans="14:20" x14ac:dyDescent="0.25">
      <c r="N1574" s="514"/>
      <c r="R1574" s="293"/>
      <c r="S1574" s="316"/>
      <c r="T1574" s="355"/>
    </row>
    <row r="1575" spans="14:20" x14ac:dyDescent="0.25">
      <c r="N1575" s="514"/>
      <c r="R1575" s="293"/>
      <c r="S1575" s="316"/>
      <c r="T1575" s="355"/>
    </row>
    <row r="1576" spans="14:20" x14ac:dyDescent="0.25">
      <c r="N1576" s="514"/>
      <c r="R1576" s="293"/>
      <c r="S1576" s="316"/>
      <c r="T1576" s="355"/>
    </row>
    <row r="1577" spans="14:20" x14ac:dyDescent="0.25">
      <c r="N1577" s="514"/>
      <c r="R1577" s="293"/>
      <c r="S1577" s="316"/>
      <c r="T1577" s="355"/>
    </row>
    <row r="1578" spans="14:20" x14ac:dyDescent="0.25">
      <c r="N1578" s="514"/>
      <c r="R1578" s="293"/>
      <c r="S1578" s="316"/>
      <c r="T1578" s="355"/>
    </row>
    <row r="1579" spans="14:20" x14ac:dyDescent="0.25">
      <c r="N1579" s="514"/>
      <c r="R1579" s="293"/>
      <c r="S1579" s="316"/>
      <c r="T1579" s="355"/>
    </row>
    <row r="1580" spans="14:20" x14ac:dyDescent="0.25">
      <c r="N1580" s="514"/>
      <c r="R1580" s="293"/>
      <c r="S1580" s="316"/>
      <c r="T1580" s="355"/>
    </row>
    <row r="1581" spans="14:20" x14ac:dyDescent="0.25">
      <c r="N1581" s="514"/>
      <c r="R1581" s="293"/>
      <c r="S1581" s="316"/>
      <c r="T1581" s="355"/>
    </row>
    <row r="1582" spans="14:20" x14ac:dyDescent="0.25">
      <c r="N1582" s="514"/>
      <c r="R1582" s="293"/>
      <c r="S1582" s="316"/>
      <c r="T1582" s="355"/>
    </row>
    <row r="1583" spans="14:20" x14ac:dyDescent="0.25">
      <c r="N1583" s="514"/>
      <c r="R1583" s="293"/>
      <c r="S1583" s="316"/>
      <c r="T1583" s="355"/>
    </row>
    <row r="1584" spans="14:20" x14ac:dyDescent="0.25">
      <c r="N1584" s="514"/>
      <c r="R1584" s="293"/>
      <c r="S1584" s="316"/>
      <c r="T1584" s="355"/>
    </row>
    <row r="1585" spans="14:20" x14ac:dyDescent="0.25">
      <c r="N1585" s="514"/>
      <c r="R1585" s="293"/>
      <c r="S1585" s="316"/>
      <c r="T1585" s="355"/>
    </row>
    <row r="1586" spans="14:20" x14ac:dyDescent="0.25">
      <c r="N1586" s="514"/>
      <c r="R1586" s="293"/>
      <c r="S1586" s="316"/>
      <c r="T1586" s="355"/>
    </row>
    <row r="1587" spans="14:20" x14ac:dyDescent="0.25">
      <c r="N1587" s="514"/>
      <c r="R1587" s="293"/>
      <c r="S1587" s="316"/>
      <c r="T1587" s="355"/>
    </row>
    <row r="1588" spans="14:20" x14ac:dyDescent="0.25">
      <c r="N1588" s="514"/>
      <c r="R1588" s="293"/>
      <c r="S1588" s="316"/>
      <c r="T1588" s="355"/>
    </row>
    <row r="1589" spans="14:20" x14ac:dyDescent="0.25">
      <c r="N1589" s="514"/>
      <c r="R1589" s="293"/>
      <c r="S1589" s="316"/>
      <c r="T1589" s="355"/>
    </row>
    <row r="1590" spans="14:20" x14ac:dyDescent="0.25">
      <c r="N1590" s="514"/>
      <c r="R1590" s="293"/>
      <c r="S1590" s="316"/>
      <c r="T1590" s="355"/>
    </row>
    <row r="1591" spans="14:20" x14ac:dyDescent="0.25">
      <c r="N1591" s="514"/>
      <c r="R1591" s="293"/>
      <c r="S1591" s="316"/>
      <c r="T1591" s="355"/>
    </row>
    <row r="1592" spans="14:20" x14ac:dyDescent="0.25">
      <c r="N1592" s="514"/>
      <c r="R1592" s="293"/>
      <c r="S1592" s="316"/>
      <c r="T1592" s="355"/>
    </row>
    <row r="1593" spans="14:20" x14ac:dyDescent="0.25">
      <c r="N1593" s="514"/>
      <c r="R1593" s="293"/>
      <c r="S1593" s="316"/>
      <c r="T1593" s="355"/>
    </row>
    <row r="1594" spans="14:20" x14ac:dyDescent="0.25">
      <c r="N1594" s="514"/>
      <c r="R1594" s="293"/>
      <c r="S1594" s="316"/>
      <c r="T1594" s="355"/>
    </row>
    <row r="1595" spans="14:20" x14ac:dyDescent="0.25">
      <c r="N1595" s="514"/>
      <c r="R1595" s="293"/>
      <c r="S1595" s="316"/>
      <c r="T1595" s="355"/>
    </row>
    <row r="1596" spans="14:20" x14ac:dyDescent="0.25">
      <c r="N1596" s="514"/>
      <c r="R1596" s="293"/>
      <c r="S1596" s="316"/>
      <c r="T1596" s="355"/>
    </row>
    <row r="1597" spans="14:20" x14ac:dyDescent="0.25">
      <c r="N1597" s="514"/>
      <c r="R1597" s="293"/>
      <c r="S1597" s="316"/>
      <c r="T1597" s="355"/>
    </row>
    <row r="1598" spans="14:20" x14ac:dyDescent="0.25">
      <c r="N1598" s="514"/>
      <c r="R1598" s="293"/>
      <c r="S1598" s="316"/>
      <c r="T1598" s="355"/>
    </row>
    <row r="1599" spans="14:20" x14ac:dyDescent="0.25">
      <c r="N1599" s="514"/>
      <c r="R1599" s="293"/>
      <c r="S1599" s="316"/>
      <c r="T1599" s="355"/>
    </row>
    <row r="1600" spans="14:20" x14ac:dyDescent="0.25">
      <c r="N1600" s="514"/>
      <c r="R1600" s="293"/>
      <c r="S1600" s="316"/>
      <c r="T1600" s="355"/>
    </row>
    <row r="1601" spans="14:20" x14ac:dyDescent="0.25">
      <c r="N1601" s="514"/>
      <c r="R1601" s="293"/>
      <c r="S1601" s="316"/>
      <c r="T1601" s="355"/>
    </row>
    <row r="1602" spans="14:20" x14ac:dyDescent="0.25">
      <c r="N1602" s="514"/>
      <c r="R1602" s="293"/>
      <c r="S1602" s="316"/>
      <c r="T1602" s="355"/>
    </row>
    <row r="1603" spans="14:20" x14ac:dyDescent="0.25">
      <c r="N1603" s="514"/>
      <c r="R1603" s="293"/>
      <c r="S1603" s="316"/>
      <c r="T1603" s="355"/>
    </row>
    <row r="1604" spans="14:20" x14ac:dyDescent="0.25">
      <c r="N1604" s="514"/>
      <c r="R1604" s="293"/>
      <c r="S1604" s="316"/>
      <c r="T1604" s="355"/>
    </row>
    <row r="1605" spans="14:20" x14ac:dyDescent="0.25">
      <c r="N1605" s="514"/>
      <c r="R1605" s="293"/>
      <c r="S1605" s="316"/>
      <c r="T1605" s="355"/>
    </row>
    <row r="1606" spans="14:20" x14ac:dyDescent="0.25">
      <c r="N1606" s="514"/>
      <c r="R1606" s="293"/>
      <c r="S1606" s="316"/>
      <c r="T1606" s="355"/>
    </row>
    <row r="1607" spans="14:20" x14ac:dyDescent="0.25">
      <c r="N1607" s="514"/>
      <c r="R1607" s="293"/>
      <c r="S1607" s="316"/>
      <c r="T1607" s="355"/>
    </row>
    <row r="1608" spans="14:20" x14ac:dyDescent="0.25">
      <c r="N1608" s="514"/>
      <c r="R1608" s="293"/>
      <c r="S1608" s="316"/>
      <c r="T1608" s="355"/>
    </row>
    <row r="1609" spans="14:20" x14ac:dyDescent="0.25">
      <c r="N1609" s="514"/>
      <c r="R1609" s="293"/>
      <c r="S1609" s="316"/>
      <c r="T1609" s="355"/>
    </row>
    <row r="1610" spans="14:20" x14ac:dyDescent="0.25">
      <c r="N1610" s="514"/>
      <c r="R1610" s="293"/>
      <c r="S1610" s="316"/>
      <c r="T1610" s="355"/>
    </row>
    <row r="1611" spans="14:20" x14ac:dyDescent="0.25">
      <c r="N1611" s="514"/>
      <c r="R1611" s="293"/>
      <c r="S1611" s="316"/>
      <c r="T1611" s="355"/>
    </row>
    <row r="1612" spans="14:20" x14ac:dyDescent="0.25">
      <c r="N1612" s="514"/>
      <c r="R1612" s="293"/>
      <c r="S1612" s="316"/>
      <c r="T1612" s="355"/>
    </row>
    <row r="1613" spans="14:20" x14ac:dyDescent="0.25">
      <c r="N1613" s="514"/>
      <c r="R1613" s="293"/>
      <c r="S1613" s="316"/>
      <c r="T1613" s="355"/>
    </row>
    <row r="1614" spans="14:20" x14ac:dyDescent="0.25">
      <c r="N1614" s="514"/>
      <c r="R1614" s="293"/>
      <c r="S1614" s="316"/>
      <c r="T1614" s="355"/>
    </row>
    <row r="1615" spans="14:20" x14ac:dyDescent="0.25">
      <c r="N1615" s="514"/>
      <c r="R1615" s="293"/>
      <c r="S1615" s="316"/>
      <c r="T1615" s="355"/>
    </row>
    <row r="1616" spans="14:20" x14ac:dyDescent="0.25">
      <c r="N1616" s="514"/>
      <c r="R1616" s="293"/>
      <c r="S1616" s="316"/>
      <c r="T1616" s="355"/>
    </row>
    <row r="1617" spans="14:20" x14ac:dyDescent="0.25">
      <c r="N1617" s="514"/>
      <c r="R1617" s="293"/>
      <c r="S1617" s="316"/>
      <c r="T1617" s="355"/>
    </row>
    <row r="1618" spans="14:20" x14ac:dyDescent="0.25">
      <c r="N1618" s="514"/>
      <c r="R1618" s="293"/>
      <c r="S1618" s="316"/>
      <c r="T1618" s="355"/>
    </row>
    <row r="1619" spans="14:20" x14ac:dyDescent="0.25">
      <c r="N1619" s="514"/>
      <c r="R1619" s="293"/>
      <c r="S1619" s="316"/>
      <c r="T1619" s="355"/>
    </row>
    <row r="1620" spans="14:20" x14ac:dyDescent="0.25">
      <c r="N1620" s="514"/>
      <c r="R1620" s="293"/>
      <c r="S1620" s="316"/>
      <c r="T1620" s="355"/>
    </row>
    <row r="1621" spans="14:20" x14ac:dyDescent="0.25">
      <c r="N1621" s="514"/>
      <c r="R1621" s="293"/>
      <c r="S1621" s="316"/>
      <c r="T1621" s="355"/>
    </row>
    <row r="1622" spans="14:20" x14ac:dyDescent="0.25">
      <c r="N1622" s="514"/>
      <c r="R1622" s="293"/>
      <c r="S1622" s="316"/>
      <c r="T1622" s="355"/>
    </row>
    <row r="1623" spans="14:20" x14ac:dyDescent="0.25">
      <c r="N1623" s="514"/>
      <c r="R1623" s="293"/>
      <c r="S1623" s="316"/>
      <c r="T1623" s="355"/>
    </row>
    <row r="1624" spans="14:20" x14ac:dyDescent="0.25">
      <c r="N1624" s="514"/>
      <c r="R1624" s="293"/>
      <c r="S1624" s="316"/>
      <c r="T1624" s="355"/>
    </row>
    <row r="1625" spans="14:20" x14ac:dyDescent="0.25">
      <c r="N1625" s="514"/>
      <c r="R1625" s="293"/>
      <c r="S1625" s="316"/>
      <c r="T1625" s="355"/>
    </row>
    <row r="1626" spans="14:20" x14ac:dyDescent="0.25">
      <c r="N1626" s="514"/>
      <c r="R1626" s="293"/>
      <c r="S1626" s="316"/>
      <c r="T1626" s="355"/>
    </row>
    <row r="1627" spans="14:20" x14ac:dyDescent="0.25">
      <c r="N1627" s="514"/>
      <c r="R1627" s="293"/>
      <c r="S1627" s="316"/>
      <c r="T1627" s="355"/>
    </row>
    <row r="1628" spans="14:20" x14ac:dyDescent="0.25">
      <c r="N1628" s="514"/>
      <c r="R1628" s="293"/>
      <c r="S1628" s="316"/>
      <c r="T1628" s="355"/>
    </row>
    <row r="1629" spans="14:20" x14ac:dyDescent="0.25">
      <c r="N1629" s="514"/>
      <c r="R1629" s="293"/>
      <c r="S1629" s="316"/>
      <c r="T1629" s="355"/>
    </row>
    <row r="1630" spans="14:20" x14ac:dyDescent="0.25">
      <c r="N1630" s="514"/>
      <c r="R1630" s="293"/>
      <c r="S1630" s="316"/>
      <c r="T1630" s="355"/>
    </row>
    <row r="1631" spans="14:20" x14ac:dyDescent="0.25">
      <c r="N1631" s="514"/>
      <c r="R1631" s="293"/>
      <c r="S1631" s="316"/>
      <c r="T1631" s="355"/>
    </row>
    <row r="1632" spans="14:20" x14ac:dyDescent="0.25">
      <c r="N1632" s="514"/>
      <c r="R1632" s="293"/>
      <c r="S1632" s="316"/>
      <c r="T1632" s="355"/>
    </row>
    <row r="1633" spans="14:20" x14ac:dyDescent="0.25">
      <c r="N1633" s="514"/>
      <c r="R1633" s="293"/>
      <c r="S1633" s="316"/>
      <c r="T1633" s="355"/>
    </row>
    <row r="1634" spans="14:20" x14ac:dyDescent="0.25">
      <c r="N1634" s="514"/>
      <c r="R1634" s="293"/>
      <c r="S1634" s="316"/>
      <c r="T1634" s="355"/>
    </row>
    <row r="1635" spans="14:20" x14ac:dyDescent="0.25">
      <c r="N1635" s="514"/>
      <c r="R1635" s="293"/>
      <c r="S1635" s="316"/>
      <c r="T1635" s="355"/>
    </row>
    <row r="1636" spans="14:20" x14ac:dyDescent="0.25">
      <c r="N1636" s="514"/>
      <c r="R1636" s="293"/>
      <c r="S1636" s="316"/>
      <c r="T1636" s="355"/>
    </row>
    <row r="1637" spans="14:20" x14ac:dyDescent="0.25">
      <c r="N1637" s="514"/>
      <c r="R1637" s="293"/>
      <c r="S1637" s="316"/>
      <c r="T1637" s="355"/>
    </row>
    <row r="1638" spans="14:20" x14ac:dyDescent="0.25">
      <c r="N1638" s="514"/>
      <c r="R1638" s="293"/>
      <c r="S1638" s="316"/>
      <c r="T1638" s="355"/>
    </row>
    <row r="1639" spans="14:20" x14ac:dyDescent="0.25">
      <c r="N1639" s="514"/>
      <c r="R1639" s="293"/>
      <c r="S1639" s="316"/>
      <c r="T1639" s="355"/>
    </row>
    <row r="1640" spans="14:20" x14ac:dyDescent="0.25">
      <c r="N1640" s="514"/>
      <c r="R1640" s="293"/>
      <c r="S1640" s="316"/>
      <c r="T1640" s="355"/>
    </row>
    <row r="1641" spans="14:20" x14ac:dyDescent="0.25">
      <c r="N1641" s="514"/>
      <c r="R1641" s="293"/>
      <c r="S1641" s="316"/>
      <c r="T1641" s="355"/>
    </row>
    <row r="1642" spans="14:20" x14ac:dyDescent="0.25">
      <c r="N1642" s="514"/>
      <c r="R1642" s="293"/>
      <c r="S1642" s="316"/>
      <c r="T1642" s="355"/>
    </row>
    <row r="1643" spans="14:20" x14ac:dyDescent="0.25">
      <c r="N1643" s="514"/>
      <c r="R1643" s="293"/>
      <c r="S1643" s="316"/>
      <c r="T1643" s="355"/>
    </row>
    <row r="1644" spans="14:20" x14ac:dyDescent="0.25">
      <c r="N1644" s="514"/>
      <c r="R1644" s="293"/>
      <c r="S1644" s="316"/>
      <c r="T1644" s="355"/>
    </row>
    <row r="1645" spans="14:20" x14ac:dyDescent="0.25">
      <c r="N1645" s="514"/>
      <c r="R1645" s="293"/>
      <c r="S1645" s="316"/>
      <c r="T1645" s="355"/>
    </row>
    <row r="1646" spans="14:20" x14ac:dyDescent="0.25">
      <c r="N1646" s="514"/>
      <c r="R1646" s="293"/>
      <c r="S1646" s="316"/>
      <c r="T1646" s="355"/>
    </row>
    <row r="1647" spans="14:20" x14ac:dyDescent="0.25">
      <c r="N1647" s="514"/>
      <c r="R1647" s="293"/>
      <c r="S1647" s="316"/>
      <c r="T1647" s="355"/>
    </row>
    <row r="1648" spans="14:20" x14ac:dyDescent="0.25">
      <c r="N1648" s="514"/>
      <c r="R1648" s="293"/>
      <c r="S1648" s="316"/>
      <c r="T1648" s="355"/>
    </row>
    <row r="1649" spans="14:20" x14ac:dyDescent="0.25">
      <c r="N1649" s="514"/>
      <c r="R1649" s="293"/>
      <c r="S1649" s="316"/>
      <c r="T1649" s="355"/>
    </row>
    <row r="1650" spans="14:20" x14ac:dyDescent="0.25">
      <c r="N1650" s="514"/>
      <c r="R1650" s="293"/>
      <c r="S1650" s="316"/>
      <c r="T1650" s="355"/>
    </row>
    <row r="1651" spans="14:20" x14ac:dyDescent="0.25">
      <c r="N1651" s="514"/>
      <c r="R1651" s="293"/>
      <c r="S1651" s="316"/>
      <c r="T1651" s="355"/>
    </row>
    <row r="1652" spans="14:20" x14ac:dyDescent="0.25">
      <c r="N1652" s="514"/>
      <c r="R1652" s="293"/>
      <c r="S1652" s="316"/>
      <c r="T1652" s="355"/>
    </row>
    <row r="1653" spans="14:20" x14ac:dyDescent="0.25">
      <c r="N1653" s="514"/>
      <c r="R1653" s="293"/>
      <c r="S1653" s="316"/>
      <c r="T1653" s="355"/>
    </row>
    <row r="1654" spans="14:20" x14ac:dyDescent="0.25">
      <c r="N1654" s="514"/>
      <c r="R1654" s="293"/>
      <c r="S1654" s="316"/>
      <c r="T1654" s="355"/>
    </row>
    <row r="1655" spans="14:20" x14ac:dyDescent="0.25">
      <c r="N1655" s="514"/>
      <c r="R1655" s="293"/>
      <c r="S1655" s="316"/>
      <c r="T1655" s="355"/>
    </row>
    <row r="1656" spans="14:20" x14ac:dyDescent="0.25">
      <c r="N1656" s="514"/>
      <c r="R1656" s="293"/>
      <c r="S1656" s="316"/>
      <c r="T1656" s="355"/>
    </row>
    <row r="1657" spans="14:20" x14ac:dyDescent="0.25">
      <c r="N1657" s="514"/>
      <c r="R1657" s="293"/>
      <c r="S1657" s="316"/>
      <c r="T1657" s="355"/>
    </row>
    <row r="1658" spans="14:20" x14ac:dyDescent="0.25">
      <c r="N1658" s="514"/>
      <c r="R1658" s="293"/>
      <c r="S1658" s="316"/>
      <c r="T1658" s="355"/>
    </row>
    <row r="1659" spans="14:20" x14ac:dyDescent="0.25">
      <c r="N1659" s="514"/>
      <c r="R1659" s="293"/>
      <c r="S1659" s="316"/>
      <c r="T1659" s="355"/>
    </row>
    <row r="1660" spans="14:20" x14ac:dyDescent="0.25">
      <c r="N1660" s="514"/>
      <c r="R1660" s="293"/>
      <c r="S1660" s="316"/>
      <c r="T1660" s="355"/>
    </row>
    <row r="1661" spans="14:20" x14ac:dyDescent="0.25">
      <c r="N1661" s="514"/>
      <c r="R1661" s="293"/>
      <c r="S1661" s="316"/>
      <c r="T1661" s="355"/>
    </row>
    <row r="1662" spans="14:20" x14ac:dyDescent="0.25">
      <c r="N1662" s="514"/>
      <c r="R1662" s="293"/>
      <c r="S1662" s="316"/>
      <c r="T1662" s="355"/>
    </row>
    <row r="1663" spans="14:20" x14ac:dyDescent="0.25">
      <c r="N1663" s="514"/>
      <c r="R1663" s="293"/>
      <c r="S1663" s="316"/>
      <c r="T1663" s="355"/>
    </row>
    <row r="1664" spans="14:20" x14ac:dyDescent="0.25">
      <c r="N1664" s="514"/>
      <c r="R1664" s="293"/>
      <c r="S1664" s="316"/>
      <c r="T1664" s="355"/>
    </row>
    <row r="1665" spans="14:20" x14ac:dyDescent="0.25">
      <c r="N1665" s="514"/>
      <c r="R1665" s="293"/>
      <c r="S1665" s="316"/>
      <c r="T1665" s="355"/>
    </row>
    <row r="1666" spans="14:20" x14ac:dyDescent="0.25">
      <c r="N1666" s="514"/>
      <c r="R1666" s="293"/>
      <c r="S1666" s="316"/>
      <c r="T1666" s="355"/>
    </row>
    <row r="1667" spans="14:20" x14ac:dyDescent="0.25">
      <c r="N1667" s="514"/>
      <c r="R1667" s="293"/>
      <c r="S1667" s="316"/>
      <c r="T1667" s="355"/>
    </row>
    <row r="1668" spans="14:20" x14ac:dyDescent="0.25">
      <c r="N1668" s="514"/>
      <c r="R1668" s="293"/>
      <c r="S1668" s="316"/>
      <c r="T1668" s="355"/>
    </row>
    <row r="1669" spans="14:20" x14ac:dyDescent="0.25">
      <c r="N1669" s="514"/>
      <c r="R1669" s="293"/>
      <c r="S1669" s="316"/>
      <c r="T1669" s="355"/>
    </row>
    <row r="1670" spans="14:20" x14ac:dyDescent="0.25">
      <c r="N1670" s="514"/>
      <c r="R1670" s="293"/>
      <c r="S1670" s="316"/>
      <c r="T1670" s="355"/>
    </row>
    <row r="1671" spans="14:20" x14ac:dyDescent="0.25">
      <c r="N1671" s="514"/>
      <c r="R1671" s="293"/>
      <c r="S1671" s="316"/>
      <c r="T1671" s="355"/>
    </row>
    <row r="1672" spans="14:20" x14ac:dyDescent="0.25">
      <c r="N1672" s="514"/>
      <c r="R1672" s="293"/>
      <c r="S1672" s="316"/>
      <c r="T1672" s="355"/>
    </row>
    <row r="1673" spans="14:20" x14ac:dyDescent="0.25">
      <c r="N1673" s="514"/>
      <c r="R1673" s="293"/>
      <c r="S1673" s="316"/>
      <c r="T1673" s="355"/>
    </row>
    <row r="1674" spans="14:20" x14ac:dyDescent="0.25">
      <c r="N1674" s="514"/>
      <c r="R1674" s="293"/>
      <c r="S1674" s="316"/>
      <c r="T1674" s="355"/>
    </row>
    <row r="1675" spans="14:20" x14ac:dyDescent="0.25">
      <c r="N1675" s="514"/>
      <c r="R1675" s="293"/>
      <c r="S1675" s="316"/>
      <c r="T1675" s="355"/>
    </row>
    <row r="1676" spans="14:20" x14ac:dyDescent="0.25">
      <c r="N1676" s="514"/>
      <c r="R1676" s="293"/>
      <c r="S1676" s="316"/>
      <c r="T1676" s="355"/>
    </row>
    <row r="1677" spans="14:20" x14ac:dyDescent="0.25">
      <c r="N1677" s="514"/>
      <c r="R1677" s="293"/>
      <c r="S1677" s="316"/>
      <c r="T1677" s="355"/>
    </row>
    <row r="1678" spans="14:20" x14ac:dyDescent="0.25">
      <c r="N1678" s="514"/>
      <c r="R1678" s="293"/>
      <c r="S1678" s="316"/>
      <c r="T1678" s="355"/>
    </row>
    <row r="1679" spans="14:20" x14ac:dyDescent="0.25">
      <c r="N1679" s="514"/>
      <c r="R1679" s="293"/>
      <c r="S1679" s="316"/>
      <c r="T1679" s="355"/>
    </row>
    <row r="1680" spans="14:20" x14ac:dyDescent="0.25">
      <c r="N1680" s="514"/>
      <c r="R1680" s="293"/>
      <c r="S1680" s="316"/>
      <c r="T1680" s="355"/>
    </row>
    <row r="1681" spans="14:20" x14ac:dyDescent="0.25">
      <c r="N1681" s="514"/>
      <c r="R1681" s="293"/>
      <c r="S1681" s="316"/>
      <c r="T1681" s="355"/>
    </row>
    <row r="1682" spans="14:20" x14ac:dyDescent="0.25">
      <c r="N1682" s="514"/>
      <c r="R1682" s="293"/>
      <c r="S1682" s="316"/>
      <c r="T1682" s="355"/>
    </row>
    <row r="1683" spans="14:20" x14ac:dyDescent="0.25">
      <c r="N1683" s="514"/>
      <c r="R1683" s="293"/>
      <c r="S1683" s="316"/>
      <c r="T1683" s="355"/>
    </row>
    <row r="1684" spans="14:20" x14ac:dyDescent="0.25">
      <c r="N1684" s="514"/>
      <c r="R1684" s="293"/>
      <c r="S1684" s="316"/>
      <c r="T1684" s="355"/>
    </row>
    <row r="1685" spans="14:20" x14ac:dyDescent="0.25">
      <c r="N1685" s="514"/>
      <c r="R1685" s="293"/>
      <c r="S1685" s="316"/>
      <c r="T1685" s="355"/>
    </row>
    <row r="1686" spans="14:20" x14ac:dyDescent="0.25">
      <c r="N1686" s="514"/>
      <c r="R1686" s="293"/>
      <c r="S1686" s="316"/>
      <c r="T1686" s="355"/>
    </row>
    <row r="1687" spans="14:20" x14ac:dyDescent="0.25">
      <c r="N1687" s="514"/>
      <c r="R1687" s="293"/>
      <c r="S1687" s="316"/>
      <c r="T1687" s="355"/>
    </row>
    <row r="1688" spans="14:20" x14ac:dyDescent="0.25">
      <c r="N1688" s="514"/>
      <c r="R1688" s="293"/>
      <c r="S1688" s="316"/>
      <c r="T1688" s="355"/>
    </row>
    <row r="1689" spans="14:20" x14ac:dyDescent="0.25">
      <c r="N1689" s="514"/>
      <c r="R1689" s="293"/>
      <c r="S1689" s="316"/>
      <c r="T1689" s="355"/>
    </row>
    <row r="1690" spans="14:20" x14ac:dyDescent="0.25">
      <c r="N1690" s="514"/>
      <c r="R1690" s="293"/>
      <c r="S1690" s="316"/>
      <c r="T1690" s="355"/>
    </row>
    <row r="1691" spans="14:20" x14ac:dyDescent="0.25">
      <c r="N1691" s="514"/>
      <c r="R1691" s="293"/>
      <c r="S1691" s="316"/>
      <c r="T1691" s="355"/>
    </row>
    <row r="1692" spans="14:20" x14ac:dyDescent="0.25">
      <c r="N1692" s="514"/>
      <c r="R1692" s="293"/>
      <c r="S1692" s="316"/>
      <c r="T1692" s="355"/>
    </row>
    <row r="1693" spans="14:20" x14ac:dyDescent="0.25">
      <c r="N1693" s="514"/>
      <c r="R1693" s="293"/>
      <c r="S1693" s="316"/>
      <c r="T1693" s="355"/>
    </row>
    <row r="1694" spans="14:20" x14ac:dyDescent="0.25">
      <c r="N1694" s="514"/>
      <c r="R1694" s="293"/>
      <c r="S1694" s="316"/>
      <c r="T1694" s="355"/>
    </row>
    <row r="1695" spans="14:20" x14ac:dyDescent="0.25">
      <c r="N1695" s="514"/>
      <c r="R1695" s="293"/>
      <c r="S1695" s="316"/>
      <c r="T1695" s="355"/>
    </row>
    <row r="1696" spans="14:20" x14ac:dyDescent="0.25">
      <c r="N1696" s="514"/>
      <c r="R1696" s="293"/>
      <c r="S1696" s="316"/>
      <c r="T1696" s="355"/>
    </row>
    <row r="1697" spans="14:20" x14ac:dyDescent="0.25">
      <c r="N1697" s="514"/>
      <c r="R1697" s="293"/>
      <c r="S1697" s="316"/>
      <c r="T1697" s="355"/>
    </row>
    <row r="1698" spans="14:20" x14ac:dyDescent="0.25">
      <c r="N1698" s="514"/>
      <c r="R1698" s="293"/>
      <c r="S1698" s="316"/>
      <c r="T1698" s="355"/>
    </row>
    <row r="1699" spans="14:20" x14ac:dyDescent="0.25">
      <c r="N1699" s="514"/>
      <c r="R1699" s="293"/>
      <c r="S1699" s="316"/>
      <c r="T1699" s="355"/>
    </row>
    <row r="1700" spans="14:20" x14ac:dyDescent="0.25">
      <c r="N1700" s="514"/>
      <c r="R1700" s="293"/>
      <c r="S1700" s="316"/>
      <c r="T1700" s="355"/>
    </row>
    <row r="1701" spans="14:20" x14ac:dyDescent="0.25">
      <c r="N1701" s="514"/>
      <c r="R1701" s="293"/>
      <c r="S1701" s="316"/>
      <c r="T1701" s="355"/>
    </row>
    <row r="1702" spans="14:20" x14ac:dyDescent="0.25">
      <c r="N1702" s="514"/>
      <c r="R1702" s="293"/>
      <c r="S1702" s="316"/>
      <c r="T1702" s="355"/>
    </row>
    <row r="1703" spans="14:20" x14ac:dyDescent="0.25">
      <c r="N1703" s="514"/>
      <c r="R1703" s="293"/>
      <c r="S1703" s="316"/>
      <c r="T1703" s="355"/>
    </row>
    <row r="1704" spans="14:20" x14ac:dyDescent="0.25">
      <c r="N1704" s="514"/>
      <c r="R1704" s="293"/>
      <c r="S1704" s="316"/>
      <c r="T1704" s="355"/>
    </row>
    <row r="1705" spans="14:20" x14ac:dyDescent="0.25">
      <c r="N1705" s="514"/>
      <c r="R1705" s="293"/>
      <c r="S1705" s="316"/>
      <c r="T1705" s="355"/>
    </row>
    <row r="1706" spans="14:20" x14ac:dyDescent="0.25">
      <c r="N1706" s="514"/>
      <c r="R1706" s="293"/>
      <c r="S1706" s="316"/>
      <c r="T1706" s="355"/>
    </row>
    <row r="1707" spans="14:20" x14ac:dyDescent="0.25">
      <c r="N1707" s="514"/>
      <c r="R1707" s="293"/>
      <c r="S1707" s="316"/>
      <c r="T1707" s="355"/>
    </row>
    <row r="1708" spans="14:20" x14ac:dyDescent="0.25">
      <c r="N1708" s="514"/>
      <c r="R1708" s="293"/>
      <c r="S1708" s="316"/>
      <c r="T1708" s="355"/>
    </row>
    <row r="1709" spans="14:20" x14ac:dyDescent="0.25">
      <c r="N1709" s="514"/>
      <c r="R1709" s="293"/>
      <c r="S1709" s="316"/>
      <c r="T1709" s="355"/>
    </row>
    <row r="1710" spans="14:20" x14ac:dyDescent="0.25">
      <c r="N1710" s="514"/>
      <c r="R1710" s="293"/>
      <c r="S1710" s="316"/>
      <c r="T1710" s="355"/>
    </row>
    <row r="1711" spans="14:20" x14ac:dyDescent="0.25">
      <c r="N1711" s="514"/>
      <c r="R1711" s="293"/>
      <c r="S1711" s="316"/>
      <c r="T1711" s="355"/>
    </row>
    <row r="1712" spans="14:20" x14ac:dyDescent="0.25">
      <c r="N1712" s="514"/>
      <c r="R1712" s="293"/>
      <c r="S1712" s="316"/>
      <c r="T1712" s="355"/>
    </row>
    <row r="1713" spans="14:20" x14ac:dyDescent="0.25">
      <c r="N1713" s="514"/>
      <c r="R1713" s="293"/>
      <c r="S1713" s="316"/>
      <c r="T1713" s="355"/>
    </row>
    <row r="1714" spans="14:20" x14ac:dyDescent="0.25">
      <c r="N1714" s="514"/>
      <c r="R1714" s="293"/>
      <c r="S1714" s="316"/>
      <c r="T1714" s="355"/>
    </row>
    <row r="1715" spans="14:20" x14ac:dyDescent="0.25">
      <c r="N1715" s="514"/>
      <c r="R1715" s="293"/>
      <c r="S1715" s="316"/>
      <c r="T1715" s="355"/>
    </row>
    <row r="1716" spans="14:20" x14ac:dyDescent="0.25">
      <c r="N1716" s="514"/>
      <c r="R1716" s="293"/>
      <c r="S1716" s="316"/>
      <c r="T1716" s="355"/>
    </row>
    <row r="1717" spans="14:20" x14ac:dyDescent="0.25">
      <c r="N1717" s="514"/>
      <c r="R1717" s="293"/>
      <c r="S1717" s="316"/>
      <c r="T1717" s="355"/>
    </row>
    <row r="1718" spans="14:20" x14ac:dyDescent="0.25">
      <c r="N1718" s="514"/>
      <c r="R1718" s="293"/>
      <c r="S1718" s="316"/>
      <c r="T1718" s="355"/>
    </row>
    <row r="1719" spans="14:20" x14ac:dyDescent="0.25">
      <c r="N1719" s="514"/>
      <c r="R1719" s="293"/>
      <c r="S1719" s="316"/>
      <c r="T1719" s="355"/>
    </row>
    <row r="1720" spans="14:20" x14ac:dyDescent="0.25">
      <c r="N1720" s="514"/>
      <c r="R1720" s="293"/>
      <c r="S1720" s="316"/>
      <c r="T1720" s="355"/>
    </row>
    <row r="1721" spans="14:20" x14ac:dyDescent="0.25">
      <c r="N1721" s="514"/>
      <c r="R1721" s="293"/>
      <c r="S1721" s="316"/>
      <c r="T1721" s="355"/>
    </row>
    <row r="1722" spans="14:20" x14ac:dyDescent="0.25">
      <c r="N1722" s="514"/>
      <c r="R1722" s="293"/>
      <c r="S1722" s="316"/>
      <c r="T1722" s="355"/>
    </row>
    <row r="1723" spans="14:20" x14ac:dyDescent="0.25">
      <c r="N1723" s="514"/>
      <c r="R1723" s="293"/>
      <c r="S1723" s="316"/>
      <c r="T1723" s="355"/>
    </row>
    <row r="1724" spans="14:20" x14ac:dyDescent="0.25">
      <c r="N1724" s="514"/>
      <c r="R1724" s="293"/>
      <c r="S1724" s="316"/>
      <c r="T1724" s="355"/>
    </row>
    <row r="1725" spans="14:20" x14ac:dyDescent="0.25">
      <c r="N1725" s="514"/>
      <c r="R1725" s="293"/>
      <c r="S1725" s="316"/>
      <c r="T1725" s="355"/>
    </row>
    <row r="1726" spans="14:20" x14ac:dyDescent="0.25">
      <c r="N1726" s="514"/>
      <c r="R1726" s="293"/>
      <c r="S1726" s="316"/>
      <c r="T1726" s="355"/>
    </row>
    <row r="1727" spans="14:20" x14ac:dyDescent="0.25">
      <c r="N1727" s="514"/>
      <c r="R1727" s="293"/>
      <c r="S1727" s="316"/>
      <c r="T1727" s="355"/>
    </row>
    <row r="1728" spans="14:20" x14ac:dyDescent="0.25">
      <c r="N1728" s="514"/>
      <c r="R1728" s="293"/>
      <c r="S1728" s="316"/>
      <c r="T1728" s="355"/>
    </row>
    <row r="1729" spans="14:20" x14ac:dyDescent="0.25">
      <c r="N1729" s="514"/>
      <c r="R1729" s="293"/>
      <c r="S1729" s="316"/>
      <c r="T1729" s="355"/>
    </row>
    <row r="1730" spans="14:20" x14ac:dyDescent="0.25">
      <c r="N1730" s="514"/>
      <c r="R1730" s="293"/>
      <c r="S1730" s="316"/>
      <c r="T1730" s="355"/>
    </row>
    <row r="1731" spans="14:20" x14ac:dyDescent="0.25">
      <c r="N1731" s="514"/>
      <c r="R1731" s="293"/>
      <c r="S1731" s="316"/>
      <c r="T1731" s="355"/>
    </row>
    <row r="1732" spans="14:20" x14ac:dyDescent="0.25">
      <c r="N1732" s="514"/>
      <c r="R1732" s="293"/>
      <c r="S1732" s="316"/>
      <c r="T1732" s="355"/>
    </row>
    <row r="1733" spans="14:20" x14ac:dyDescent="0.25">
      <c r="N1733" s="514"/>
      <c r="R1733" s="293"/>
      <c r="S1733" s="316"/>
      <c r="T1733" s="355"/>
    </row>
    <row r="1734" spans="14:20" x14ac:dyDescent="0.25">
      <c r="N1734" s="514"/>
      <c r="R1734" s="293"/>
      <c r="S1734" s="316"/>
      <c r="T1734" s="355"/>
    </row>
    <row r="1735" spans="14:20" x14ac:dyDescent="0.25">
      <c r="N1735" s="514"/>
      <c r="R1735" s="293"/>
      <c r="S1735" s="316"/>
      <c r="T1735" s="355"/>
    </row>
    <row r="1736" spans="14:20" x14ac:dyDescent="0.25">
      <c r="N1736" s="514"/>
      <c r="R1736" s="293"/>
      <c r="S1736" s="316"/>
      <c r="T1736" s="355"/>
    </row>
    <row r="1737" spans="14:20" x14ac:dyDescent="0.25">
      <c r="N1737" s="514"/>
      <c r="R1737" s="293"/>
      <c r="S1737" s="316"/>
      <c r="T1737" s="355"/>
    </row>
    <row r="1738" spans="14:20" x14ac:dyDescent="0.25">
      <c r="N1738" s="514"/>
      <c r="R1738" s="293"/>
      <c r="S1738" s="316"/>
      <c r="T1738" s="355"/>
    </row>
    <row r="1739" spans="14:20" x14ac:dyDescent="0.25">
      <c r="N1739" s="514"/>
      <c r="R1739" s="293"/>
      <c r="S1739" s="316"/>
      <c r="T1739" s="355"/>
    </row>
    <row r="1740" spans="14:20" x14ac:dyDescent="0.25">
      <c r="N1740" s="514"/>
      <c r="R1740" s="293"/>
      <c r="S1740" s="316"/>
      <c r="T1740" s="355"/>
    </row>
    <row r="1741" spans="14:20" x14ac:dyDescent="0.25">
      <c r="N1741" s="514"/>
      <c r="R1741" s="293"/>
      <c r="S1741" s="316"/>
      <c r="T1741" s="355"/>
    </row>
    <row r="1742" spans="14:20" x14ac:dyDescent="0.25">
      <c r="N1742" s="514"/>
      <c r="R1742" s="293"/>
      <c r="S1742" s="316"/>
      <c r="T1742" s="355"/>
    </row>
    <row r="1743" spans="14:20" x14ac:dyDescent="0.25">
      <c r="N1743" s="514"/>
      <c r="R1743" s="293"/>
      <c r="S1743" s="316"/>
      <c r="T1743" s="355"/>
    </row>
    <row r="1744" spans="14:20" x14ac:dyDescent="0.25">
      <c r="N1744" s="514"/>
      <c r="R1744" s="293"/>
      <c r="S1744" s="316"/>
      <c r="T1744" s="355"/>
    </row>
    <row r="1745" spans="14:20" x14ac:dyDescent="0.25">
      <c r="N1745" s="514"/>
      <c r="R1745" s="293"/>
      <c r="S1745" s="316"/>
      <c r="T1745" s="355"/>
    </row>
    <row r="1746" spans="14:20" x14ac:dyDescent="0.25">
      <c r="N1746" s="514"/>
      <c r="R1746" s="293"/>
      <c r="S1746" s="316"/>
      <c r="T1746" s="355"/>
    </row>
    <row r="1747" spans="14:20" x14ac:dyDescent="0.25">
      <c r="N1747" s="514"/>
      <c r="R1747" s="293"/>
      <c r="S1747" s="316"/>
      <c r="T1747" s="355"/>
    </row>
    <row r="1748" spans="14:20" x14ac:dyDescent="0.25">
      <c r="N1748" s="514"/>
      <c r="R1748" s="293"/>
      <c r="S1748" s="316"/>
      <c r="T1748" s="355"/>
    </row>
    <row r="1749" spans="14:20" x14ac:dyDescent="0.25">
      <c r="N1749" s="514"/>
      <c r="R1749" s="293"/>
      <c r="S1749" s="316"/>
      <c r="T1749" s="355"/>
    </row>
    <row r="1750" spans="14:20" x14ac:dyDescent="0.25">
      <c r="N1750" s="514"/>
      <c r="R1750" s="293"/>
      <c r="S1750" s="316"/>
      <c r="T1750" s="355"/>
    </row>
    <row r="1751" spans="14:20" x14ac:dyDescent="0.25">
      <c r="N1751" s="514"/>
      <c r="R1751" s="293"/>
      <c r="S1751" s="316"/>
      <c r="T1751" s="355"/>
    </row>
    <row r="1752" spans="14:20" x14ac:dyDescent="0.25">
      <c r="N1752" s="514"/>
      <c r="R1752" s="293"/>
      <c r="S1752" s="316"/>
      <c r="T1752" s="355"/>
    </row>
    <row r="1753" spans="14:20" x14ac:dyDescent="0.25">
      <c r="N1753" s="514"/>
      <c r="R1753" s="293"/>
      <c r="S1753" s="316"/>
      <c r="T1753" s="355"/>
    </row>
    <row r="1754" spans="14:20" x14ac:dyDescent="0.25">
      <c r="N1754" s="514"/>
      <c r="R1754" s="293"/>
      <c r="S1754" s="316"/>
      <c r="T1754" s="355"/>
    </row>
    <row r="1755" spans="14:20" x14ac:dyDescent="0.25">
      <c r="N1755" s="514"/>
      <c r="R1755" s="293"/>
      <c r="S1755" s="316"/>
      <c r="T1755" s="355"/>
    </row>
    <row r="1756" spans="14:20" x14ac:dyDescent="0.25">
      <c r="N1756" s="514"/>
      <c r="R1756" s="293"/>
      <c r="S1756" s="316"/>
      <c r="T1756" s="355"/>
    </row>
    <row r="1757" spans="14:20" x14ac:dyDescent="0.25">
      <c r="N1757" s="514"/>
      <c r="R1757" s="293"/>
      <c r="S1757" s="316"/>
      <c r="T1757" s="355"/>
    </row>
    <row r="1758" spans="14:20" x14ac:dyDescent="0.25">
      <c r="N1758" s="514"/>
      <c r="R1758" s="293"/>
      <c r="S1758" s="316"/>
      <c r="T1758" s="355"/>
    </row>
    <row r="1759" spans="14:20" x14ac:dyDescent="0.25">
      <c r="N1759" s="514"/>
      <c r="R1759" s="293"/>
      <c r="S1759" s="316"/>
      <c r="T1759" s="355"/>
    </row>
    <row r="1760" spans="14:20" x14ac:dyDescent="0.25">
      <c r="N1760" s="514"/>
      <c r="R1760" s="293"/>
      <c r="S1760" s="316"/>
      <c r="T1760" s="355"/>
    </row>
    <row r="1761" spans="14:20" x14ac:dyDescent="0.25">
      <c r="N1761" s="514"/>
      <c r="R1761" s="293"/>
      <c r="S1761" s="316"/>
      <c r="T1761" s="355"/>
    </row>
    <row r="1762" spans="14:20" x14ac:dyDescent="0.25">
      <c r="N1762" s="514"/>
      <c r="R1762" s="293"/>
      <c r="S1762" s="316"/>
      <c r="T1762" s="355"/>
    </row>
    <row r="1763" spans="14:20" x14ac:dyDescent="0.25">
      <c r="N1763" s="514"/>
      <c r="R1763" s="293"/>
      <c r="S1763" s="316"/>
      <c r="T1763" s="355"/>
    </row>
    <row r="1764" spans="14:20" x14ac:dyDescent="0.25">
      <c r="N1764" s="514"/>
      <c r="R1764" s="293"/>
      <c r="S1764" s="316"/>
      <c r="T1764" s="355"/>
    </row>
    <row r="1765" spans="14:20" x14ac:dyDescent="0.25">
      <c r="N1765" s="514"/>
      <c r="R1765" s="293"/>
      <c r="S1765" s="316"/>
      <c r="T1765" s="355"/>
    </row>
    <row r="1766" spans="14:20" x14ac:dyDescent="0.25">
      <c r="N1766" s="514"/>
      <c r="R1766" s="293"/>
      <c r="S1766" s="316"/>
      <c r="T1766" s="355"/>
    </row>
    <row r="1767" spans="14:20" x14ac:dyDescent="0.25">
      <c r="N1767" s="514"/>
      <c r="R1767" s="293"/>
      <c r="S1767" s="316"/>
      <c r="T1767" s="355"/>
    </row>
    <row r="1768" spans="14:20" x14ac:dyDescent="0.25">
      <c r="N1768" s="514"/>
      <c r="R1768" s="293"/>
      <c r="S1768" s="316"/>
      <c r="T1768" s="355"/>
    </row>
    <row r="1769" spans="14:20" x14ac:dyDescent="0.25">
      <c r="N1769" s="514"/>
      <c r="R1769" s="293"/>
      <c r="S1769" s="316"/>
      <c r="T1769" s="355"/>
    </row>
    <row r="1770" spans="14:20" x14ac:dyDescent="0.25">
      <c r="N1770" s="514"/>
      <c r="R1770" s="293"/>
      <c r="S1770" s="316"/>
      <c r="T1770" s="355"/>
    </row>
    <row r="1771" spans="14:20" x14ac:dyDescent="0.25">
      <c r="N1771" s="514"/>
      <c r="R1771" s="293"/>
      <c r="S1771" s="316"/>
      <c r="T1771" s="355"/>
    </row>
    <row r="1772" spans="14:20" x14ac:dyDescent="0.25">
      <c r="N1772" s="514"/>
      <c r="R1772" s="293"/>
      <c r="S1772" s="316"/>
      <c r="T1772" s="355"/>
    </row>
    <row r="1773" spans="14:20" x14ac:dyDescent="0.25">
      <c r="N1773" s="514"/>
      <c r="R1773" s="293"/>
      <c r="S1773" s="316"/>
      <c r="T1773" s="355"/>
    </row>
    <row r="1774" spans="14:20" x14ac:dyDescent="0.25">
      <c r="N1774" s="514"/>
      <c r="R1774" s="293"/>
      <c r="S1774" s="316"/>
      <c r="T1774" s="355"/>
    </row>
    <row r="1775" spans="14:20" x14ac:dyDescent="0.25">
      <c r="N1775" s="514"/>
      <c r="R1775" s="293"/>
      <c r="S1775" s="316"/>
      <c r="T1775" s="355"/>
    </row>
    <row r="1776" spans="14:20" x14ac:dyDescent="0.25">
      <c r="N1776" s="514"/>
      <c r="R1776" s="293"/>
      <c r="S1776" s="316"/>
      <c r="T1776" s="355"/>
    </row>
    <row r="1777" spans="14:20" x14ac:dyDescent="0.25">
      <c r="N1777" s="514"/>
      <c r="R1777" s="293"/>
      <c r="S1777" s="316"/>
      <c r="T1777" s="355"/>
    </row>
    <row r="1778" spans="14:20" x14ac:dyDescent="0.25">
      <c r="N1778" s="514"/>
      <c r="R1778" s="293"/>
      <c r="S1778" s="316"/>
      <c r="T1778" s="355"/>
    </row>
    <row r="1779" spans="14:20" x14ac:dyDescent="0.25">
      <c r="N1779" s="514"/>
      <c r="R1779" s="293"/>
      <c r="S1779" s="316"/>
      <c r="T1779" s="355"/>
    </row>
    <row r="1780" spans="14:20" x14ac:dyDescent="0.25">
      <c r="N1780" s="514"/>
      <c r="R1780" s="293"/>
      <c r="S1780" s="316"/>
      <c r="T1780" s="355"/>
    </row>
    <row r="1781" spans="14:20" x14ac:dyDescent="0.25">
      <c r="N1781" s="514"/>
      <c r="R1781" s="293"/>
      <c r="S1781" s="316"/>
      <c r="T1781" s="355"/>
    </row>
    <row r="1782" spans="14:20" x14ac:dyDescent="0.25">
      <c r="N1782" s="514"/>
      <c r="R1782" s="293"/>
      <c r="S1782" s="316"/>
      <c r="T1782" s="355"/>
    </row>
    <row r="1783" spans="14:20" x14ac:dyDescent="0.25">
      <c r="N1783" s="514"/>
      <c r="R1783" s="293"/>
      <c r="S1783" s="316"/>
      <c r="T1783" s="355"/>
    </row>
    <row r="1784" spans="14:20" x14ac:dyDescent="0.25">
      <c r="N1784" s="514"/>
      <c r="R1784" s="293"/>
      <c r="S1784" s="316"/>
      <c r="T1784" s="355"/>
    </row>
    <row r="1785" spans="14:20" x14ac:dyDescent="0.25">
      <c r="N1785" s="514"/>
      <c r="R1785" s="293"/>
      <c r="S1785" s="316"/>
      <c r="T1785" s="355"/>
    </row>
    <row r="1786" spans="14:20" x14ac:dyDescent="0.25">
      <c r="N1786" s="514"/>
      <c r="R1786" s="293"/>
      <c r="S1786" s="316"/>
      <c r="T1786" s="355"/>
    </row>
    <row r="1787" spans="14:20" x14ac:dyDescent="0.25">
      <c r="N1787" s="514"/>
      <c r="R1787" s="293"/>
      <c r="S1787" s="316"/>
      <c r="T1787" s="355"/>
    </row>
    <row r="1788" spans="14:20" x14ac:dyDescent="0.25">
      <c r="N1788" s="514"/>
      <c r="R1788" s="293"/>
      <c r="S1788" s="316"/>
      <c r="T1788" s="355"/>
    </row>
    <row r="1789" spans="14:20" x14ac:dyDescent="0.25">
      <c r="N1789" s="514"/>
      <c r="R1789" s="293"/>
      <c r="S1789" s="316"/>
      <c r="T1789" s="355"/>
    </row>
    <row r="1790" spans="14:20" x14ac:dyDescent="0.25">
      <c r="N1790" s="514"/>
      <c r="R1790" s="293"/>
      <c r="S1790" s="316"/>
      <c r="T1790" s="355"/>
    </row>
    <row r="1791" spans="14:20" x14ac:dyDescent="0.25">
      <c r="N1791" s="514"/>
      <c r="R1791" s="293"/>
      <c r="S1791" s="316"/>
      <c r="T1791" s="355"/>
    </row>
    <row r="1792" spans="14:20" x14ac:dyDescent="0.25">
      <c r="N1792" s="514"/>
      <c r="R1792" s="293"/>
      <c r="S1792" s="316"/>
      <c r="T1792" s="355"/>
    </row>
    <row r="1793" spans="14:20" x14ac:dyDescent="0.25">
      <c r="N1793" s="514"/>
      <c r="R1793" s="293"/>
      <c r="S1793" s="316"/>
      <c r="T1793" s="355"/>
    </row>
    <row r="1794" spans="14:20" x14ac:dyDescent="0.25">
      <c r="N1794" s="514"/>
      <c r="R1794" s="293"/>
      <c r="S1794" s="316"/>
      <c r="T1794" s="355"/>
    </row>
    <row r="1795" spans="14:20" x14ac:dyDescent="0.25">
      <c r="N1795" s="514"/>
      <c r="R1795" s="293"/>
      <c r="S1795" s="316"/>
      <c r="T1795" s="355"/>
    </row>
    <row r="1796" spans="14:20" x14ac:dyDescent="0.25">
      <c r="N1796" s="514"/>
      <c r="R1796" s="293"/>
      <c r="S1796" s="316"/>
      <c r="T1796" s="355"/>
    </row>
    <row r="1797" spans="14:20" x14ac:dyDescent="0.25">
      <c r="N1797" s="514"/>
      <c r="R1797" s="293"/>
      <c r="S1797" s="316"/>
      <c r="T1797" s="355"/>
    </row>
    <row r="1798" spans="14:20" x14ac:dyDescent="0.25">
      <c r="N1798" s="514"/>
      <c r="R1798" s="293"/>
      <c r="S1798" s="316"/>
      <c r="T1798" s="355"/>
    </row>
    <row r="1799" spans="14:20" x14ac:dyDescent="0.25">
      <c r="N1799" s="514"/>
      <c r="R1799" s="293"/>
      <c r="S1799" s="316"/>
      <c r="T1799" s="355"/>
    </row>
    <row r="1800" spans="14:20" x14ac:dyDescent="0.25">
      <c r="N1800" s="514"/>
      <c r="R1800" s="293"/>
      <c r="S1800" s="316"/>
      <c r="T1800" s="355"/>
    </row>
    <row r="1801" spans="14:20" x14ac:dyDescent="0.25">
      <c r="N1801" s="514"/>
      <c r="R1801" s="293"/>
      <c r="S1801" s="316"/>
      <c r="T1801" s="355"/>
    </row>
    <row r="1802" spans="14:20" x14ac:dyDescent="0.25">
      <c r="N1802" s="514"/>
      <c r="R1802" s="293"/>
      <c r="S1802" s="316"/>
      <c r="T1802" s="355"/>
    </row>
    <row r="1803" spans="14:20" x14ac:dyDescent="0.25">
      <c r="N1803" s="514"/>
      <c r="R1803" s="293"/>
      <c r="S1803" s="316"/>
      <c r="T1803" s="355"/>
    </row>
    <row r="1804" spans="14:20" x14ac:dyDescent="0.25">
      <c r="N1804" s="514"/>
      <c r="R1804" s="293"/>
      <c r="S1804" s="316"/>
      <c r="T1804" s="355"/>
    </row>
    <row r="1805" spans="14:20" x14ac:dyDescent="0.25">
      <c r="N1805" s="514"/>
      <c r="R1805" s="293"/>
      <c r="S1805" s="316"/>
      <c r="T1805" s="355"/>
    </row>
    <row r="1806" spans="14:20" x14ac:dyDescent="0.25">
      <c r="N1806" s="514"/>
      <c r="R1806" s="293"/>
      <c r="S1806" s="316"/>
      <c r="T1806" s="355"/>
    </row>
    <row r="1807" spans="14:20" x14ac:dyDescent="0.25">
      <c r="N1807" s="514"/>
      <c r="R1807" s="293"/>
      <c r="S1807" s="316"/>
      <c r="T1807" s="355"/>
    </row>
    <row r="1808" spans="14:20" x14ac:dyDescent="0.25">
      <c r="N1808" s="514"/>
      <c r="R1808" s="293"/>
      <c r="S1808" s="316"/>
      <c r="T1808" s="355"/>
    </row>
    <row r="1809" spans="14:20" x14ac:dyDescent="0.25">
      <c r="N1809" s="514"/>
      <c r="R1809" s="293"/>
      <c r="S1809" s="316"/>
      <c r="T1809" s="355"/>
    </row>
    <row r="1810" spans="14:20" x14ac:dyDescent="0.25">
      <c r="N1810" s="514"/>
      <c r="R1810" s="293"/>
      <c r="S1810" s="316"/>
      <c r="T1810" s="355"/>
    </row>
    <row r="1811" spans="14:20" x14ac:dyDescent="0.25">
      <c r="N1811" s="514"/>
      <c r="R1811" s="293"/>
      <c r="S1811" s="316"/>
      <c r="T1811" s="355"/>
    </row>
    <row r="1812" spans="14:20" x14ac:dyDescent="0.25">
      <c r="N1812" s="514"/>
      <c r="R1812" s="293"/>
      <c r="S1812" s="316"/>
      <c r="T1812" s="355"/>
    </row>
    <row r="1813" spans="14:20" x14ac:dyDescent="0.25">
      <c r="N1813" s="514"/>
      <c r="R1813" s="293"/>
      <c r="S1813" s="316"/>
      <c r="T1813" s="355"/>
    </row>
    <row r="1814" spans="14:20" x14ac:dyDescent="0.25">
      <c r="N1814" s="514"/>
      <c r="R1814" s="293"/>
      <c r="S1814" s="316"/>
      <c r="T1814" s="355"/>
    </row>
    <row r="1815" spans="14:20" x14ac:dyDescent="0.25">
      <c r="N1815" s="514"/>
      <c r="R1815" s="293"/>
      <c r="S1815" s="316"/>
      <c r="T1815" s="355"/>
    </row>
    <row r="1816" spans="14:20" x14ac:dyDescent="0.25">
      <c r="N1816" s="514"/>
      <c r="R1816" s="293"/>
      <c r="S1816" s="316"/>
      <c r="T1816" s="355"/>
    </row>
    <row r="1817" spans="14:20" x14ac:dyDescent="0.25">
      <c r="N1817" s="514"/>
      <c r="R1817" s="293"/>
      <c r="S1817" s="316"/>
      <c r="T1817" s="355"/>
    </row>
    <row r="1818" spans="14:20" x14ac:dyDescent="0.25">
      <c r="N1818" s="514"/>
      <c r="R1818" s="293"/>
      <c r="S1818" s="316"/>
      <c r="T1818" s="355"/>
    </row>
    <row r="1819" spans="14:20" x14ac:dyDescent="0.25">
      <c r="N1819" s="514"/>
      <c r="R1819" s="293"/>
      <c r="S1819" s="316"/>
      <c r="T1819" s="355"/>
    </row>
    <row r="1820" spans="14:20" x14ac:dyDescent="0.25">
      <c r="N1820" s="514"/>
      <c r="R1820" s="293"/>
      <c r="S1820" s="316"/>
      <c r="T1820" s="355"/>
    </row>
    <row r="1821" spans="14:20" x14ac:dyDescent="0.25">
      <c r="N1821" s="514"/>
      <c r="R1821" s="293"/>
      <c r="S1821" s="316"/>
      <c r="T1821" s="355"/>
    </row>
    <row r="1822" spans="14:20" x14ac:dyDescent="0.25">
      <c r="N1822" s="514"/>
      <c r="R1822" s="293"/>
      <c r="S1822" s="316"/>
      <c r="T1822" s="355"/>
    </row>
    <row r="1823" spans="14:20" x14ac:dyDescent="0.25">
      <c r="N1823" s="514"/>
      <c r="R1823" s="293"/>
      <c r="S1823" s="316"/>
      <c r="T1823" s="355"/>
    </row>
    <row r="1824" spans="14:20" x14ac:dyDescent="0.25">
      <c r="N1824" s="514"/>
      <c r="R1824" s="293"/>
      <c r="S1824" s="316"/>
      <c r="T1824" s="355"/>
    </row>
    <row r="1825" spans="14:20" x14ac:dyDescent="0.25">
      <c r="N1825" s="514"/>
      <c r="R1825" s="293"/>
      <c r="S1825" s="316"/>
      <c r="T1825" s="355"/>
    </row>
    <row r="1826" spans="14:20" x14ac:dyDescent="0.25">
      <c r="N1826" s="514"/>
      <c r="R1826" s="293"/>
      <c r="S1826" s="316"/>
      <c r="T1826" s="355"/>
    </row>
    <row r="1827" spans="14:20" x14ac:dyDescent="0.25">
      <c r="N1827" s="514"/>
      <c r="R1827" s="293"/>
      <c r="S1827" s="316"/>
      <c r="T1827" s="355"/>
    </row>
    <row r="1828" spans="14:20" x14ac:dyDescent="0.25">
      <c r="N1828" s="514"/>
      <c r="R1828" s="293"/>
      <c r="S1828" s="316"/>
      <c r="T1828" s="355"/>
    </row>
    <row r="1829" spans="14:20" x14ac:dyDescent="0.25">
      <c r="N1829" s="514"/>
      <c r="R1829" s="293"/>
      <c r="S1829" s="316"/>
      <c r="T1829" s="355"/>
    </row>
    <row r="1830" spans="14:20" x14ac:dyDescent="0.25">
      <c r="N1830" s="514"/>
      <c r="R1830" s="293"/>
      <c r="S1830" s="316"/>
      <c r="T1830" s="355"/>
    </row>
    <row r="1831" spans="14:20" x14ac:dyDescent="0.25">
      <c r="N1831" s="514"/>
      <c r="R1831" s="293"/>
      <c r="S1831" s="316"/>
      <c r="T1831" s="355"/>
    </row>
    <row r="1832" spans="14:20" x14ac:dyDescent="0.25">
      <c r="N1832" s="514"/>
      <c r="R1832" s="293"/>
      <c r="S1832" s="316"/>
      <c r="T1832" s="355"/>
    </row>
    <row r="1833" spans="14:20" x14ac:dyDescent="0.25">
      <c r="N1833" s="514"/>
      <c r="R1833" s="293"/>
      <c r="S1833" s="316"/>
      <c r="T1833" s="355"/>
    </row>
    <row r="1834" spans="14:20" x14ac:dyDescent="0.25">
      <c r="N1834" s="514"/>
      <c r="R1834" s="293"/>
      <c r="S1834" s="316"/>
      <c r="T1834" s="355"/>
    </row>
    <row r="1835" spans="14:20" x14ac:dyDescent="0.25">
      <c r="N1835" s="514"/>
      <c r="R1835" s="293"/>
      <c r="S1835" s="316"/>
      <c r="T1835" s="355"/>
    </row>
    <row r="1836" spans="14:20" x14ac:dyDescent="0.25">
      <c r="N1836" s="514"/>
      <c r="R1836" s="293"/>
      <c r="S1836" s="316"/>
      <c r="T1836" s="355"/>
    </row>
    <row r="1837" spans="14:20" x14ac:dyDescent="0.25">
      <c r="N1837" s="514"/>
      <c r="R1837" s="293"/>
      <c r="S1837" s="316"/>
      <c r="T1837" s="355"/>
    </row>
    <row r="1838" spans="14:20" x14ac:dyDescent="0.25">
      <c r="N1838" s="514"/>
      <c r="R1838" s="293"/>
      <c r="S1838" s="316"/>
      <c r="T1838" s="355"/>
    </row>
    <row r="1839" spans="14:20" x14ac:dyDescent="0.25">
      <c r="N1839" s="514"/>
      <c r="R1839" s="293"/>
      <c r="S1839" s="316"/>
      <c r="T1839" s="355"/>
    </row>
    <row r="1840" spans="14:20" x14ac:dyDescent="0.25">
      <c r="N1840" s="514"/>
      <c r="R1840" s="293"/>
      <c r="S1840" s="316"/>
      <c r="T1840" s="355"/>
    </row>
    <row r="1841" spans="14:20" x14ac:dyDescent="0.25">
      <c r="N1841" s="514"/>
      <c r="R1841" s="293"/>
      <c r="S1841" s="316"/>
      <c r="T1841" s="355"/>
    </row>
    <row r="1842" spans="14:20" x14ac:dyDescent="0.25">
      <c r="N1842" s="514"/>
      <c r="R1842" s="293"/>
      <c r="S1842" s="316"/>
      <c r="T1842" s="355"/>
    </row>
    <row r="1843" spans="14:20" x14ac:dyDescent="0.25">
      <c r="N1843" s="514"/>
      <c r="R1843" s="293"/>
      <c r="S1843" s="316"/>
      <c r="T1843" s="355"/>
    </row>
    <row r="1844" spans="14:20" x14ac:dyDescent="0.25">
      <c r="N1844" s="514"/>
      <c r="R1844" s="293"/>
      <c r="S1844" s="316"/>
      <c r="T1844" s="355"/>
    </row>
    <row r="1845" spans="14:20" x14ac:dyDescent="0.25">
      <c r="N1845" s="514"/>
      <c r="R1845" s="293"/>
      <c r="S1845" s="316"/>
      <c r="T1845" s="355"/>
    </row>
    <row r="1846" spans="14:20" x14ac:dyDescent="0.25">
      <c r="N1846" s="514"/>
      <c r="R1846" s="293"/>
      <c r="S1846" s="316"/>
      <c r="T1846" s="355"/>
    </row>
    <row r="1847" spans="14:20" x14ac:dyDescent="0.25">
      <c r="N1847" s="514"/>
      <c r="R1847" s="293"/>
      <c r="S1847" s="316"/>
      <c r="T1847" s="355"/>
    </row>
    <row r="1848" spans="14:20" x14ac:dyDescent="0.25">
      <c r="N1848" s="514"/>
      <c r="R1848" s="293"/>
      <c r="S1848" s="316"/>
      <c r="T1848" s="355"/>
    </row>
    <row r="1849" spans="14:20" x14ac:dyDescent="0.25">
      <c r="N1849" s="514"/>
      <c r="R1849" s="293"/>
      <c r="S1849" s="316"/>
      <c r="T1849" s="355"/>
    </row>
    <row r="1850" spans="14:20" x14ac:dyDescent="0.25">
      <c r="N1850" s="514"/>
      <c r="R1850" s="293"/>
      <c r="S1850" s="316"/>
      <c r="T1850" s="355"/>
    </row>
    <row r="1851" spans="14:20" x14ac:dyDescent="0.25">
      <c r="N1851" s="514"/>
      <c r="R1851" s="293"/>
      <c r="S1851" s="316"/>
      <c r="T1851" s="355"/>
    </row>
    <row r="1852" spans="14:20" x14ac:dyDescent="0.25">
      <c r="N1852" s="514"/>
      <c r="R1852" s="293"/>
      <c r="S1852" s="316"/>
      <c r="T1852" s="355"/>
    </row>
    <row r="1853" spans="14:20" x14ac:dyDescent="0.25">
      <c r="N1853" s="514"/>
      <c r="R1853" s="293"/>
      <c r="S1853" s="316"/>
      <c r="T1853" s="355"/>
    </row>
    <row r="1854" spans="14:20" x14ac:dyDescent="0.25">
      <c r="N1854" s="514"/>
      <c r="R1854" s="293"/>
      <c r="S1854" s="316"/>
      <c r="T1854" s="355"/>
    </row>
    <row r="1855" spans="14:20" x14ac:dyDescent="0.25">
      <c r="N1855" s="514"/>
      <c r="R1855" s="293"/>
      <c r="S1855" s="316"/>
      <c r="T1855" s="355"/>
    </row>
    <row r="1856" spans="14:20" x14ac:dyDescent="0.25">
      <c r="N1856" s="514"/>
      <c r="R1856" s="293"/>
      <c r="S1856" s="316"/>
      <c r="T1856" s="355"/>
    </row>
    <row r="1857" spans="14:20" x14ac:dyDescent="0.25">
      <c r="N1857" s="514"/>
      <c r="R1857" s="293"/>
      <c r="S1857" s="316"/>
      <c r="T1857" s="355"/>
    </row>
    <row r="1858" spans="14:20" x14ac:dyDescent="0.25">
      <c r="N1858" s="514"/>
      <c r="R1858" s="293"/>
      <c r="S1858" s="316"/>
      <c r="T1858" s="355"/>
    </row>
    <row r="1859" spans="14:20" x14ac:dyDescent="0.25">
      <c r="N1859" s="514"/>
      <c r="R1859" s="293"/>
      <c r="S1859" s="316"/>
      <c r="T1859" s="355"/>
    </row>
    <row r="1860" spans="14:20" x14ac:dyDescent="0.25">
      <c r="N1860" s="514"/>
      <c r="R1860" s="293"/>
      <c r="S1860" s="316"/>
      <c r="T1860" s="355"/>
    </row>
    <row r="1861" spans="14:20" x14ac:dyDescent="0.25">
      <c r="N1861" s="514"/>
      <c r="R1861" s="293"/>
      <c r="S1861" s="316"/>
      <c r="T1861" s="355"/>
    </row>
    <row r="1862" spans="14:20" x14ac:dyDescent="0.25">
      <c r="N1862" s="514"/>
      <c r="R1862" s="293"/>
      <c r="S1862" s="316"/>
      <c r="T1862" s="355"/>
    </row>
    <row r="1863" spans="14:20" x14ac:dyDescent="0.25">
      <c r="N1863" s="514"/>
      <c r="R1863" s="293"/>
      <c r="S1863" s="316"/>
      <c r="T1863" s="355"/>
    </row>
    <row r="1864" spans="14:20" x14ac:dyDescent="0.25">
      <c r="N1864" s="514"/>
      <c r="R1864" s="293"/>
      <c r="S1864" s="316"/>
      <c r="T1864" s="355"/>
    </row>
    <row r="1865" spans="14:20" x14ac:dyDescent="0.25">
      <c r="N1865" s="514"/>
      <c r="R1865" s="293"/>
      <c r="S1865" s="316"/>
      <c r="T1865" s="355"/>
    </row>
    <row r="1866" spans="14:20" x14ac:dyDescent="0.25">
      <c r="N1866" s="514"/>
      <c r="R1866" s="293"/>
      <c r="S1866" s="316"/>
      <c r="T1866" s="355"/>
    </row>
    <row r="1867" spans="14:20" x14ac:dyDescent="0.25">
      <c r="N1867" s="514"/>
      <c r="R1867" s="293"/>
      <c r="S1867" s="316"/>
      <c r="T1867" s="355"/>
    </row>
    <row r="1868" spans="14:20" x14ac:dyDescent="0.25">
      <c r="N1868" s="514"/>
      <c r="R1868" s="293"/>
      <c r="S1868" s="316"/>
      <c r="T1868" s="355"/>
    </row>
    <row r="1869" spans="14:20" x14ac:dyDescent="0.25">
      <c r="N1869" s="514"/>
      <c r="R1869" s="293"/>
      <c r="S1869" s="316"/>
      <c r="T1869" s="355"/>
    </row>
    <row r="1870" spans="14:20" x14ac:dyDescent="0.25">
      <c r="N1870" s="514"/>
      <c r="R1870" s="293"/>
      <c r="S1870" s="316"/>
      <c r="T1870" s="355"/>
    </row>
    <row r="1871" spans="14:20" x14ac:dyDescent="0.25">
      <c r="N1871" s="514"/>
      <c r="R1871" s="293"/>
      <c r="S1871" s="316"/>
      <c r="T1871" s="355"/>
    </row>
    <row r="1872" spans="14:20" x14ac:dyDescent="0.25">
      <c r="N1872" s="514"/>
      <c r="R1872" s="293"/>
      <c r="S1872" s="316"/>
      <c r="T1872" s="355"/>
    </row>
    <row r="1873" spans="14:20" x14ac:dyDescent="0.25">
      <c r="N1873" s="514"/>
      <c r="R1873" s="293"/>
      <c r="S1873" s="316"/>
      <c r="T1873" s="355"/>
    </row>
    <row r="1874" spans="14:20" x14ac:dyDescent="0.25">
      <c r="N1874" s="514"/>
      <c r="R1874" s="293"/>
      <c r="S1874" s="316"/>
      <c r="T1874" s="355"/>
    </row>
    <row r="1875" spans="14:20" x14ac:dyDescent="0.25">
      <c r="N1875" s="514"/>
      <c r="R1875" s="293"/>
      <c r="S1875" s="316"/>
      <c r="T1875" s="355"/>
    </row>
    <row r="1876" spans="14:20" x14ac:dyDescent="0.25">
      <c r="N1876" s="514"/>
      <c r="R1876" s="293"/>
      <c r="S1876" s="316"/>
      <c r="T1876" s="355"/>
    </row>
    <row r="1877" spans="14:20" x14ac:dyDescent="0.25">
      <c r="N1877" s="514"/>
      <c r="R1877" s="293"/>
      <c r="S1877" s="316"/>
      <c r="T1877" s="355"/>
    </row>
    <row r="1878" spans="14:20" x14ac:dyDescent="0.25">
      <c r="N1878" s="514"/>
      <c r="R1878" s="293"/>
      <c r="S1878" s="316"/>
      <c r="T1878" s="355"/>
    </row>
    <row r="1879" spans="14:20" x14ac:dyDescent="0.25">
      <c r="N1879" s="514"/>
      <c r="R1879" s="293"/>
      <c r="S1879" s="316"/>
      <c r="T1879" s="355"/>
    </row>
    <row r="1880" spans="14:20" x14ac:dyDescent="0.25">
      <c r="N1880" s="514"/>
      <c r="R1880" s="293"/>
      <c r="S1880" s="316"/>
      <c r="T1880" s="355"/>
    </row>
    <row r="1881" spans="14:20" x14ac:dyDescent="0.25">
      <c r="N1881" s="514"/>
      <c r="R1881" s="293"/>
      <c r="S1881" s="316"/>
      <c r="T1881" s="355"/>
    </row>
    <row r="1882" spans="14:20" x14ac:dyDescent="0.25">
      <c r="N1882" s="514"/>
      <c r="R1882" s="293"/>
      <c r="S1882" s="316"/>
      <c r="T1882" s="355"/>
    </row>
    <row r="1883" spans="14:20" x14ac:dyDescent="0.25">
      <c r="N1883" s="514"/>
      <c r="R1883" s="293"/>
      <c r="S1883" s="316"/>
      <c r="T1883" s="355"/>
    </row>
    <row r="1884" spans="14:20" x14ac:dyDescent="0.25">
      <c r="N1884" s="514"/>
      <c r="R1884" s="293"/>
      <c r="S1884" s="316"/>
      <c r="T1884" s="355"/>
    </row>
    <row r="1885" spans="14:20" x14ac:dyDescent="0.25">
      <c r="N1885" s="514"/>
      <c r="R1885" s="293"/>
      <c r="S1885" s="316"/>
      <c r="T1885" s="355"/>
    </row>
    <row r="1886" spans="14:20" x14ac:dyDescent="0.25">
      <c r="N1886" s="514"/>
      <c r="R1886" s="293"/>
      <c r="S1886" s="316"/>
      <c r="T1886" s="355"/>
    </row>
    <row r="1887" spans="14:20" x14ac:dyDescent="0.25">
      <c r="N1887" s="514"/>
      <c r="R1887" s="293"/>
      <c r="S1887" s="316"/>
      <c r="T1887" s="355"/>
    </row>
    <row r="1888" spans="14:20" x14ac:dyDescent="0.25">
      <c r="N1888" s="514"/>
      <c r="R1888" s="293"/>
      <c r="S1888" s="316"/>
      <c r="T1888" s="355"/>
    </row>
    <row r="1889" spans="14:20" x14ac:dyDescent="0.25">
      <c r="N1889" s="514"/>
      <c r="R1889" s="293"/>
      <c r="S1889" s="316"/>
      <c r="T1889" s="355"/>
    </row>
    <row r="1890" spans="14:20" x14ac:dyDescent="0.25">
      <c r="N1890" s="514"/>
      <c r="R1890" s="293"/>
      <c r="S1890" s="316"/>
      <c r="T1890" s="355"/>
    </row>
    <row r="1891" spans="14:20" x14ac:dyDescent="0.25">
      <c r="N1891" s="514"/>
      <c r="R1891" s="293"/>
      <c r="S1891" s="316"/>
      <c r="T1891" s="355"/>
    </row>
    <row r="1892" spans="14:20" x14ac:dyDescent="0.25">
      <c r="N1892" s="514"/>
      <c r="R1892" s="293"/>
      <c r="S1892" s="316"/>
      <c r="T1892" s="355"/>
    </row>
    <row r="1893" spans="14:20" x14ac:dyDescent="0.25">
      <c r="N1893" s="514"/>
      <c r="R1893" s="293"/>
      <c r="S1893" s="316"/>
      <c r="T1893" s="355"/>
    </row>
    <row r="1894" spans="14:20" x14ac:dyDescent="0.25">
      <c r="N1894" s="514"/>
      <c r="R1894" s="293"/>
      <c r="S1894" s="316"/>
      <c r="T1894" s="355"/>
    </row>
    <row r="1895" spans="14:20" x14ac:dyDescent="0.25">
      <c r="N1895" s="514"/>
      <c r="R1895" s="293"/>
      <c r="S1895" s="316"/>
      <c r="T1895" s="355"/>
    </row>
    <row r="1896" spans="14:20" x14ac:dyDescent="0.25">
      <c r="N1896" s="514"/>
      <c r="R1896" s="293"/>
      <c r="S1896" s="316"/>
      <c r="T1896" s="355"/>
    </row>
    <row r="1897" spans="14:20" x14ac:dyDescent="0.25">
      <c r="N1897" s="514"/>
      <c r="R1897" s="293"/>
      <c r="S1897" s="316"/>
      <c r="T1897" s="355"/>
    </row>
    <row r="1898" spans="14:20" x14ac:dyDescent="0.25">
      <c r="N1898" s="514"/>
      <c r="R1898" s="293"/>
      <c r="S1898" s="316"/>
      <c r="T1898" s="355"/>
    </row>
    <row r="1899" spans="14:20" x14ac:dyDescent="0.25">
      <c r="N1899" s="514"/>
      <c r="R1899" s="293"/>
      <c r="S1899" s="316"/>
      <c r="T1899" s="355"/>
    </row>
    <row r="1900" spans="14:20" x14ac:dyDescent="0.25">
      <c r="N1900" s="514"/>
      <c r="R1900" s="293"/>
      <c r="S1900" s="316"/>
      <c r="T1900" s="355"/>
    </row>
    <row r="1901" spans="14:20" x14ac:dyDescent="0.25">
      <c r="N1901" s="514"/>
      <c r="R1901" s="293"/>
      <c r="S1901" s="316"/>
      <c r="T1901" s="355"/>
    </row>
    <row r="1902" spans="14:20" x14ac:dyDescent="0.25">
      <c r="N1902" s="514"/>
      <c r="R1902" s="293"/>
      <c r="S1902" s="316"/>
      <c r="T1902" s="355"/>
    </row>
    <row r="1903" spans="14:20" x14ac:dyDescent="0.25">
      <c r="N1903" s="514"/>
      <c r="R1903" s="293"/>
      <c r="S1903" s="316"/>
      <c r="T1903" s="355"/>
    </row>
    <row r="1904" spans="14:20" x14ac:dyDescent="0.25">
      <c r="N1904" s="514"/>
      <c r="R1904" s="293"/>
      <c r="S1904" s="316"/>
      <c r="T1904" s="355"/>
    </row>
    <row r="1905" spans="14:20" x14ac:dyDescent="0.25">
      <c r="N1905" s="514"/>
      <c r="R1905" s="293"/>
      <c r="S1905" s="316"/>
      <c r="T1905" s="355"/>
    </row>
    <row r="1906" spans="14:20" x14ac:dyDescent="0.25">
      <c r="N1906" s="514"/>
      <c r="R1906" s="293"/>
      <c r="S1906" s="316"/>
      <c r="T1906" s="355"/>
    </row>
    <row r="1907" spans="14:20" x14ac:dyDescent="0.25">
      <c r="N1907" s="514"/>
      <c r="R1907" s="293"/>
      <c r="S1907" s="316"/>
      <c r="T1907" s="355"/>
    </row>
    <row r="1908" spans="14:20" x14ac:dyDescent="0.25">
      <c r="N1908" s="514"/>
      <c r="R1908" s="293"/>
      <c r="S1908" s="316"/>
      <c r="T1908" s="355"/>
    </row>
    <row r="1909" spans="14:20" x14ac:dyDescent="0.25">
      <c r="N1909" s="514"/>
      <c r="R1909" s="293"/>
      <c r="S1909" s="316"/>
      <c r="T1909" s="355"/>
    </row>
    <row r="1910" spans="14:20" x14ac:dyDescent="0.25">
      <c r="N1910" s="514"/>
      <c r="R1910" s="293"/>
      <c r="S1910" s="316"/>
      <c r="T1910" s="355"/>
    </row>
    <row r="1911" spans="14:20" x14ac:dyDescent="0.25">
      <c r="N1911" s="514"/>
      <c r="R1911" s="293"/>
      <c r="S1911" s="316"/>
      <c r="T1911" s="355"/>
    </row>
    <row r="1912" spans="14:20" x14ac:dyDescent="0.25">
      <c r="N1912" s="514"/>
      <c r="R1912" s="293"/>
      <c r="S1912" s="316"/>
      <c r="T1912" s="355"/>
    </row>
    <row r="1913" spans="14:20" x14ac:dyDescent="0.25">
      <c r="N1913" s="514"/>
      <c r="R1913" s="293"/>
      <c r="S1913" s="316"/>
      <c r="T1913" s="355"/>
    </row>
    <row r="1914" spans="14:20" x14ac:dyDescent="0.25">
      <c r="N1914" s="514"/>
      <c r="R1914" s="293"/>
      <c r="S1914" s="316"/>
      <c r="T1914" s="355"/>
    </row>
    <row r="1915" spans="14:20" x14ac:dyDescent="0.25">
      <c r="N1915" s="514"/>
      <c r="R1915" s="293"/>
      <c r="S1915" s="316"/>
      <c r="T1915" s="355"/>
    </row>
    <row r="1916" spans="14:20" x14ac:dyDescent="0.25">
      <c r="N1916" s="514"/>
      <c r="R1916" s="293"/>
      <c r="S1916" s="316"/>
      <c r="T1916" s="355"/>
    </row>
    <row r="1917" spans="14:20" x14ac:dyDescent="0.25">
      <c r="N1917" s="514"/>
      <c r="R1917" s="293"/>
      <c r="S1917" s="316"/>
      <c r="T1917" s="355"/>
    </row>
    <row r="1918" spans="14:20" x14ac:dyDescent="0.25">
      <c r="N1918" s="514"/>
      <c r="R1918" s="293"/>
      <c r="S1918" s="316"/>
      <c r="T1918" s="355"/>
    </row>
    <row r="1919" spans="14:20" x14ac:dyDescent="0.25">
      <c r="N1919" s="514"/>
      <c r="R1919" s="293"/>
      <c r="S1919" s="316"/>
      <c r="T1919" s="355"/>
    </row>
    <row r="1920" spans="14:20" x14ac:dyDescent="0.25">
      <c r="N1920" s="514"/>
      <c r="R1920" s="293"/>
      <c r="S1920" s="316"/>
      <c r="T1920" s="355"/>
    </row>
    <row r="1921" spans="14:20" x14ac:dyDescent="0.25">
      <c r="N1921" s="514"/>
      <c r="R1921" s="293"/>
      <c r="S1921" s="316"/>
      <c r="T1921" s="355"/>
    </row>
    <row r="1922" spans="14:20" x14ac:dyDescent="0.25">
      <c r="N1922" s="514"/>
      <c r="R1922" s="293"/>
      <c r="S1922" s="316"/>
      <c r="T1922" s="355"/>
    </row>
    <row r="1923" spans="14:20" x14ac:dyDescent="0.25">
      <c r="N1923" s="514"/>
      <c r="R1923" s="293"/>
      <c r="S1923" s="316"/>
      <c r="T1923" s="355"/>
    </row>
    <row r="1924" spans="14:20" x14ac:dyDescent="0.25">
      <c r="N1924" s="514"/>
      <c r="R1924" s="293"/>
      <c r="S1924" s="316"/>
      <c r="T1924" s="355"/>
    </row>
    <row r="1925" spans="14:20" x14ac:dyDescent="0.25">
      <c r="N1925" s="514"/>
      <c r="R1925" s="293"/>
      <c r="S1925" s="316"/>
      <c r="T1925" s="355"/>
    </row>
    <row r="1926" spans="14:20" x14ac:dyDescent="0.25">
      <c r="N1926" s="514"/>
      <c r="R1926" s="293"/>
      <c r="S1926" s="316"/>
      <c r="T1926" s="355"/>
    </row>
    <row r="1927" spans="14:20" x14ac:dyDescent="0.25">
      <c r="N1927" s="514"/>
      <c r="R1927" s="293"/>
      <c r="S1927" s="316"/>
      <c r="T1927" s="355"/>
    </row>
    <row r="1928" spans="14:20" x14ac:dyDescent="0.25">
      <c r="N1928" s="514"/>
      <c r="R1928" s="293"/>
      <c r="S1928" s="316"/>
      <c r="T1928" s="355"/>
    </row>
    <row r="1929" spans="14:20" x14ac:dyDescent="0.25">
      <c r="N1929" s="514"/>
      <c r="R1929" s="293"/>
      <c r="S1929" s="316"/>
      <c r="T1929" s="355"/>
    </row>
    <row r="1930" spans="14:20" x14ac:dyDescent="0.25">
      <c r="N1930" s="514"/>
      <c r="R1930" s="293"/>
      <c r="S1930" s="316"/>
      <c r="T1930" s="355"/>
    </row>
    <row r="1931" spans="14:20" x14ac:dyDescent="0.25">
      <c r="N1931" s="514"/>
      <c r="R1931" s="293"/>
      <c r="S1931" s="316"/>
      <c r="T1931" s="355"/>
    </row>
    <row r="1932" spans="14:20" x14ac:dyDescent="0.25">
      <c r="N1932" s="514"/>
      <c r="R1932" s="293"/>
      <c r="S1932" s="316"/>
      <c r="T1932" s="355"/>
    </row>
    <row r="1933" spans="14:20" x14ac:dyDescent="0.25">
      <c r="N1933" s="514"/>
      <c r="R1933" s="293"/>
      <c r="S1933" s="316"/>
      <c r="T1933" s="355"/>
    </row>
    <row r="1934" spans="14:20" x14ac:dyDescent="0.25">
      <c r="N1934" s="514"/>
      <c r="R1934" s="293"/>
      <c r="S1934" s="316"/>
      <c r="T1934" s="355"/>
    </row>
    <row r="1935" spans="14:20" x14ac:dyDescent="0.25">
      <c r="N1935" s="514"/>
      <c r="R1935" s="293"/>
      <c r="S1935" s="316"/>
      <c r="T1935" s="355"/>
    </row>
    <row r="1936" spans="14:20" x14ac:dyDescent="0.25">
      <c r="N1936" s="514"/>
      <c r="R1936" s="293"/>
      <c r="S1936" s="316"/>
      <c r="T1936" s="355"/>
    </row>
    <row r="1937" spans="14:20" x14ac:dyDescent="0.25">
      <c r="N1937" s="514"/>
      <c r="R1937" s="293"/>
      <c r="S1937" s="316"/>
      <c r="T1937" s="355"/>
    </row>
    <row r="1938" spans="14:20" x14ac:dyDescent="0.25">
      <c r="N1938" s="514"/>
      <c r="R1938" s="293"/>
      <c r="S1938" s="316"/>
      <c r="T1938" s="355"/>
    </row>
    <row r="1939" spans="14:20" x14ac:dyDescent="0.25">
      <c r="N1939" s="514"/>
      <c r="R1939" s="293"/>
      <c r="S1939" s="316"/>
      <c r="T1939" s="355"/>
    </row>
    <row r="1940" spans="14:20" x14ac:dyDescent="0.25">
      <c r="N1940" s="514"/>
      <c r="R1940" s="293"/>
      <c r="S1940" s="316"/>
      <c r="T1940" s="355"/>
    </row>
    <row r="1941" spans="14:20" x14ac:dyDescent="0.25">
      <c r="N1941" s="514"/>
      <c r="R1941" s="293"/>
      <c r="S1941" s="316"/>
      <c r="T1941" s="355"/>
    </row>
    <row r="1942" spans="14:20" x14ac:dyDescent="0.25">
      <c r="N1942" s="514"/>
      <c r="R1942" s="293"/>
      <c r="S1942" s="316"/>
      <c r="T1942" s="355"/>
    </row>
    <row r="1943" spans="14:20" x14ac:dyDescent="0.25">
      <c r="N1943" s="514"/>
      <c r="R1943" s="293"/>
      <c r="S1943" s="316"/>
      <c r="T1943" s="355"/>
    </row>
    <row r="1944" spans="14:20" x14ac:dyDescent="0.25">
      <c r="N1944" s="514"/>
      <c r="R1944" s="293"/>
      <c r="S1944" s="316"/>
      <c r="T1944" s="355"/>
    </row>
    <row r="1945" spans="14:20" x14ac:dyDescent="0.25">
      <c r="N1945" s="514"/>
      <c r="R1945" s="293"/>
      <c r="S1945" s="316"/>
      <c r="T1945" s="355"/>
    </row>
    <row r="1946" spans="14:20" x14ac:dyDescent="0.25">
      <c r="N1946" s="514"/>
      <c r="R1946" s="293"/>
      <c r="S1946" s="316"/>
      <c r="T1946" s="355"/>
    </row>
    <row r="1947" spans="14:20" x14ac:dyDescent="0.25">
      <c r="N1947" s="514"/>
      <c r="R1947" s="293"/>
      <c r="S1947" s="316"/>
      <c r="T1947" s="355"/>
    </row>
    <row r="1948" spans="14:20" x14ac:dyDescent="0.25">
      <c r="N1948" s="514"/>
      <c r="R1948" s="293"/>
      <c r="S1948" s="316"/>
      <c r="T1948" s="355"/>
    </row>
    <row r="1949" spans="14:20" x14ac:dyDescent="0.25">
      <c r="N1949" s="514"/>
      <c r="R1949" s="293"/>
      <c r="S1949" s="316"/>
      <c r="T1949" s="355"/>
    </row>
    <row r="1950" spans="14:20" x14ac:dyDescent="0.25">
      <c r="N1950" s="514"/>
      <c r="R1950" s="293"/>
      <c r="S1950" s="316"/>
      <c r="T1950" s="355"/>
    </row>
    <row r="1951" spans="14:20" x14ac:dyDescent="0.25">
      <c r="N1951" s="514"/>
      <c r="R1951" s="293"/>
      <c r="S1951" s="316"/>
      <c r="T1951" s="355"/>
    </row>
    <row r="1952" spans="14:20" x14ac:dyDescent="0.25">
      <c r="N1952" s="514"/>
      <c r="R1952" s="293"/>
      <c r="S1952" s="316"/>
      <c r="T1952" s="355"/>
    </row>
    <row r="1953" spans="14:20" x14ac:dyDescent="0.25">
      <c r="N1953" s="514"/>
      <c r="R1953" s="293"/>
      <c r="S1953" s="316"/>
      <c r="T1953" s="355"/>
    </row>
    <row r="1954" spans="14:20" x14ac:dyDescent="0.25">
      <c r="N1954" s="514"/>
      <c r="R1954" s="293"/>
      <c r="S1954" s="316"/>
      <c r="T1954" s="355"/>
    </row>
    <row r="1955" spans="14:20" x14ac:dyDescent="0.25">
      <c r="N1955" s="514"/>
      <c r="R1955" s="293"/>
      <c r="S1955" s="316"/>
      <c r="T1955" s="355"/>
    </row>
    <row r="1956" spans="14:20" x14ac:dyDescent="0.25">
      <c r="N1956" s="514"/>
      <c r="R1956" s="293"/>
      <c r="S1956" s="316"/>
      <c r="T1956" s="355"/>
    </row>
    <row r="1957" spans="14:20" x14ac:dyDescent="0.25">
      <c r="N1957" s="514"/>
      <c r="R1957" s="293"/>
      <c r="S1957" s="316"/>
      <c r="T1957" s="355"/>
    </row>
    <row r="1958" spans="14:20" x14ac:dyDescent="0.25">
      <c r="N1958" s="514"/>
      <c r="R1958" s="293"/>
      <c r="S1958" s="316"/>
      <c r="T1958" s="355"/>
    </row>
    <row r="1959" spans="14:20" x14ac:dyDescent="0.25">
      <c r="N1959" s="514"/>
      <c r="R1959" s="293"/>
      <c r="S1959" s="316"/>
      <c r="T1959" s="355"/>
    </row>
    <row r="1960" spans="14:20" x14ac:dyDescent="0.25">
      <c r="N1960" s="514"/>
      <c r="R1960" s="293"/>
      <c r="S1960" s="316"/>
      <c r="T1960" s="355"/>
    </row>
    <row r="1961" spans="14:20" x14ac:dyDescent="0.25">
      <c r="N1961" s="514"/>
      <c r="R1961" s="293"/>
      <c r="S1961" s="316"/>
      <c r="T1961" s="355"/>
    </row>
    <row r="1962" spans="14:20" x14ac:dyDescent="0.25">
      <c r="N1962" s="514"/>
      <c r="R1962" s="293"/>
      <c r="S1962" s="316"/>
      <c r="T1962" s="355"/>
    </row>
    <row r="1963" spans="14:20" x14ac:dyDescent="0.25">
      <c r="N1963" s="514"/>
      <c r="R1963" s="293"/>
      <c r="S1963" s="316"/>
      <c r="T1963" s="355"/>
    </row>
    <row r="1964" spans="14:20" x14ac:dyDescent="0.25">
      <c r="N1964" s="514"/>
      <c r="R1964" s="293"/>
      <c r="S1964" s="316"/>
      <c r="T1964" s="355"/>
    </row>
    <row r="1965" spans="14:20" x14ac:dyDescent="0.25">
      <c r="N1965" s="514"/>
      <c r="R1965" s="293"/>
      <c r="S1965" s="316"/>
      <c r="T1965" s="355"/>
    </row>
    <row r="1966" spans="14:20" x14ac:dyDescent="0.25">
      <c r="N1966" s="514"/>
      <c r="R1966" s="293"/>
      <c r="S1966" s="316"/>
      <c r="T1966" s="355"/>
    </row>
    <row r="1967" spans="14:20" x14ac:dyDescent="0.25">
      <c r="N1967" s="514"/>
      <c r="R1967" s="293"/>
      <c r="S1967" s="316"/>
      <c r="T1967" s="355"/>
    </row>
    <row r="1968" spans="14:20" x14ac:dyDescent="0.25">
      <c r="N1968" s="514"/>
      <c r="R1968" s="293"/>
      <c r="S1968" s="316"/>
      <c r="T1968" s="355"/>
    </row>
    <row r="1969" spans="14:20" x14ac:dyDescent="0.25">
      <c r="N1969" s="514"/>
      <c r="R1969" s="293"/>
      <c r="S1969" s="316"/>
      <c r="T1969" s="355"/>
    </row>
    <row r="1970" spans="14:20" x14ac:dyDescent="0.25">
      <c r="N1970" s="514"/>
      <c r="R1970" s="293"/>
      <c r="S1970" s="316"/>
      <c r="T1970" s="355"/>
    </row>
    <row r="1971" spans="14:20" x14ac:dyDescent="0.25">
      <c r="N1971" s="514"/>
      <c r="R1971" s="293"/>
      <c r="S1971" s="316"/>
      <c r="T1971" s="355"/>
    </row>
    <row r="1972" spans="14:20" x14ac:dyDescent="0.25">
      <c r="N1972" s="514"/>
      <c r="R1972" s="293"/>
      <c r="S1972" s="316"/>
      <c r="T1972" s="355"/>
    </row>
    <row r="1973" spans="14:20" x14ac:dyDescent="0.25">
      <c r="N1973" s="514"/>
      <c r="R1973" s="293"/>
      <c r="S1973" s="316"/>
      <c r="T1973" s="355"/>
    </row>
    <row r="1974" spans="14:20" x14ac:dyDescent="0.25">
      <c r="N1974" s="514"/>
      <c r="R1974" s="293"/>
      <c r="S1974" s="316"/>
      <c r="T1974" s="355"/>
    </row>
    <row r="1975" spans="14:20" x14ac:dyDescent="0.25">
      <c r="N1975" s="514"/>
      <c r="R1975" s="293"/>
      <c r="S1975" s="316"/>
      <c r="T1975" s="355"/>
    </row>
    <row r="1976" spans="14:20" x14ac:dyDescent="0.25">
      <c r="N1976" s="514"/>
      <c r="R1976" s="293"/>
      <c r="S1976" s="316"/>
      <c r="T1976" s="355"/>
    </row>
    <row r="1977" spans="14:20" x14ac:dyDescent="0.25">
      <c r="N1977" s="514"/>
      <c r="R1977" s="293"/>
      <c r="S1977" s="316"/>
      <c r="T1977" s="355"/>
    </row>
    <row r="1978" spans="14:20" x14ac:dyDescent="0.25">
      <c r="N1978" s="514"/>
      <c r="R1978" s="293"/>
      <c r="S1978" s="316"/>
      <c r="T1978" s="355"/>
    </row>
    <row r="1979" spans="14:20" x14ac:dyDescent="0.25">
      <c r="N1979" s="514"/>
      <c r="R1979" s="293"/>
      <c r="S1979" s="316"/>
      <c r="T1979" s="355"/>
    </row>
    <row r="1980" spans="14:20" x14ac:dyDescent="0.25">
      <c r="N1980" s="514"/>
      <c r="R1980" s="293"/>
      <c r="S1980" s="316"/>
      <c r="T1980" s="355"/>
    </row>
    <row r="1981" spans="14:20" x14ac:dyDescent="0.25">
      <c r="N1981" s="514"/>
      <c r="R1981" s="293"/>
      <c r="S1981" s="316"/>
      <c r="T1981" s="355"/>
    </row>
    <row r="1982" spans="14:20" x14ac:dyDescent="0.25">
      <c r="N1982" s="514"/>
      <c r="R1982" s="293"/>
      <c r="S1982" s="316"/>
      <c r="T1982" s="355"/>
    </row>
    <row r="1983" spans="14:20" x14ac:dyDescent="0.25">
      <c r="N1983" s="514"/>
      <c r="R1983" s="293"/>
      <c r="S1983" s="316"/>
      <c r="T1983" s="355"/>
    </row>
    <row r="1984" spans="14:20" x14ac:dyDescent="0.25">
      <c r="N1984" s="514"/>
      <c r="R1984" s="293"/>
      <c r="S1984" s="316"/>
      <c r="T1984" s="355"/>
    </row>
    <row r="1985" spans="14:20" x14ac:dyDescent="0.25">
      <c r="N1985" s="514"/>
      <c r="R1985" s="293"/>
      <c r="S1985" s="316"/>
      <c r="T1985" s="355"/>
    </row>
    <row r="1986" spans="14:20" x14ac:dyDescent="0.25">
      <c r="N1986" s="514"/>
      <c r="R1986" s="293"/>
      <c r="S1986" s="316"/>
      <c r="T1986" s="355"/>
    </row>
    <row r="1987" spans="14:20" x14ac:dyDescent="0.25">
      <c r="N1987" s="514"/>
      <c r="R1987" s="293"/>
      <c r="S1987" s="316"/>
      <c r="T1987" s="355"/>
    </row>
    <row r="1988" spans="14:20" x14ac:dyDescent="0.25">
      <c r="N1988" s="514"/>
      <c r="R1988" s="293"/>
      <c r="S1988" s="316"/>
      <c r="T1988" s="355"/>
    </row>
    <row r="1989" spans="14:20" x14ac:dyDescent="0.25">
      <c r="N1989" s="514"/>
      <c r="R1989" s="293"/>
      <c r="S1989" s="316"/>
      <c r="T1989" s="355"/>
    </row>
    <row r="1990" spans="14:20" x14ac:dyDescent="0.25">
      <c r="N1990" s="514"/>
      <c r="R1990" s="293"/>
      <c r="S1990" s="316"/>
      <c r="T1990" s="355"/>
    </row>
    <row r="1991" spans="14:20" x14ac:dyDescent="0.25">
      <c r="N1991" s="514"/>
      <c r="R1991" s="293"/>
      <c r="S1991" s="316"/>
      <c r="T1991" s="355"/>
    </row>
    <row r="1992" spans="14:20" x14ac:dyDescent="0.25">
      <c r="N1992" s="514"/>
      <c r="R1992" s="293"/>
      <c r="S1992" s="316"/>
      <c r="T1992" s="355"/>
    </row>
    <row r="1993" spans="14:20" x14ac:dyDescent="0.25">
      <c r="N1993" s="514"/>
      <c r="R1993" s="293"/>
      <c r="S1993" s="316"/>
      <c r="T1993" s="355"/>
    </row>
    <row r="1994" spans="14:20" x14ac:dyDescent="0.25">
      <c r="N1994" s="514"/>
      <c r="R1994" s="293"/>
      <c r="S1994" s="316"/>
      <c r="T1994" s="355"/>
    </row>
    <row r="1995" spans="14:20" x14ac:dyDescent="0.25">
      <c r="N1995" s="514"/>
      <c r="R1995" s="293"/>
      <c r="S1995" s="316"/>
      <c r="T1995" s="355"/>
    </row>
    <row r="1996" spans="14:20" x14ac:dyDescent="0.25">
      <c r="N1996" s="514"/>
      <c r="R1996" s="293"/>
      <c r="S1996" s="316"/>
      <c r="T1996" s="355"/>
    </row>
    <row r="1997" spans="14:20" x14ac:dyDescent="0.25">
      <c r="N1997" s="514"/>
      <c r="R1997" s="293"/>
      <c r="S1997" s="316"/>
      <c r="T1997" s="355"/>
    </row>
    <row r="1998" spans="14:20" x14ac:dyDescent="0.25">
      <c r="N1998" s="514"/>
      <c r="R1998" s="293"/>
      <c r="S1998" s="316"/>
      <c r="T1998" s="355"/>
    </row>
    <row r="1999" spans="14:20" x14ac:dyDescent="0.25">
      <c r="N1999" s="514"/>
      <c r="R1999" s="293"/>
      <c r="S1999" s="316"/>
      <c r="T1999" s="355"/>
    </row>
    <row r="2000" spans="14:20" x14ac:dyDescent="0.25">
      <c r="N2000" s="514"/>
      <c r="R2000" s="293"/>
      <c r="S2000" s="316"/>
      <c r="T2000" s="355"/>
    </row>
    <row r="2001" spans="14:20" x14ac:dyDescent="0.25">
      <c r="N2001" s="514"/>
      <c r="R2001" s="293"/>
      <c r="S2001" s="316"/>
      <c r="T2001" s="355"/>
    </row>
    <row r="2002" spans="14:20" x14ac:dyDescent="0.25">
      <c r="N2002" s="514"/>
      <c r="R2002" s="293"/>
      <c r="S2002" s="316"/>
      <c r="T2002" s="355"/>
    </row>
    <row r="2003" spans="14:20" x14ac:dyDescent="0.25">
      <c r="N2003" s="514"/>
      <c r="R2003" s="293"/>
      <c r="S2003" s="316"/>
      <c r="T2003" s="355"/>
    </row>
    <row r="2004" spans="14:20" x14ac:dyDescent="0.25">
      <c r="N2004" s="514"/>
      <c r="R2004" s="293"/>
      <c r="S2004" s="316"/>
      <c r="T2004" s="355"/>
    </row>
    <row r="2005" spans="14:20" x14ac:dyDescent="0.25">
      <c r="N2005" s="514"/>
      <c r="R2005" s="293"/>
      <c r="S2005" s="316"/>
      <c r="T2005" s="355"/>
    </row>
    <row r="2006" spans="14:20" x14ac:dyDescent="0.25">
      <c r="N2006" s="514"/>
      <c r="R2006" s="293"/>
      <c r="S2006" s="316"/>
      <c r="T2006" s="355"/>
    </row>
    <row r="2007" spans="14:20" x14ac:dyDescent="0.25">
      <c r="N2007" s="514"/>
      <c r="R2007" s="293"/>
      <c r="S2007" s="316"/>
      <c r="T2007" s="355"/>
    </row>
    <row r="2008" spans="14:20" x14ac:dyDescent="0.25">
      <c r="N2008" s="514"/>
      <c r="R2008" s="293"/>
      <c r="S2008" s="316"/>
      <c r="T2008" s="355"/>
    </row>
    <row r="2009" spans="14:20" x14ac:dyDescent="0.25">
      <c r="N2009" s="514"/>
      <c r="R2009" s="293"/>
      <c r="S2009" s="316"/>
      <c r="T2009" s="355"/>
    </row>
    <row r="2010" spans="14:20" x14ac:dyDescent="0.25">
      <c r="N2010" s="514"/>
      <c r="R2010" s="293"/>
      <c r="S2010" s="316"/>
      <c r="T2010" s="355"/>
    </row>
    <row r="2011" spans="14:20" x14ac:dyDescent="0.25">
      <c r="N2011" s="514"/>
      <c r="R2011" s="293"/>
      <c r="S2011" s="316"/>
      <c r="T2011" s="355"/>
    </row>
    <row r="2012" spans="14:20" x14ac:dyDescent="0.25">
      <c r="N2012" s="514"/>
      <c r="R2012" s="293"/>
      <c r="S2012" s="316"/>
      <c r="T2012" s="355"/>
    </row>
    <row r="2013" spans="14:20" x14ac:dyDescent="0.25">
      <c r="N2013" s="514"/>
      <c r="R2013" s="293"/>
      <c r="S2013" s="316"/>
      <c r="T2013" s="355"/>
    </row>
    <row r="2014" spans="14:20" x14ac:dyDescent="0.25">
      <c r="N2014" s="514"/>
      <c r="R2014" s="293"/>
      <c r="S2014" s="316"/>
      <c r="T2014" s="355"/>
    </row>
    <row r="2015" spans="14:20" x14ac:dyDescent="0.25">
      <c r="N2015" s="514"/>
      <c r="R2015" s="293"/>
      <c r="S2015" s="316"/>
      <c r="T2015" s="355"/>
    </row>
    <row r="2016" spans="14:20" x14ac:dyDescent="0.25">
      <c r="N2016" s="514"/>
      <c r="R2016" s="293"/>
      <c r="S2016" s="316"/>
      <c r="T2016" s="355"/>
    </row>
    <row r="2017" spans="14:20" x14ac:dyDescent="0.25">
      <c r="N2017" s="514"/>
      <c r="R2017" s="293"/>
      <c r="S2017" s="316"/>
      <c r="T2017" s="355"/>
    </row>
    <row r="2018" spans="14:20" x14ac:dyDescent="0.25">
      <c r="N2018" s="514"/>
      <c r="R2018" s="293"/>
      <c r="S2018" s="316"/>
      <c r="T2018" s="355"/>
    </row>
    <row r="2019" spans="14:20" x14ac:dyDescent="0.25">
      <c r="N2019" s="514"/>
      <c r="R2019" s="293"/>
      <c r="S2019" s="316"/>
      <c r="T2019" s="355"/>
    </row>
    <row r="2020" spans="14:20" x14ac:dyDescent="0.25">
      <c r="N2020" s="514"/>
      <c r="R2020" s="293"/>
      <c r="S2020" s="316"/>
      <c r="T2020" s="355"/>
    </row>
    <row r="2021" spans="14:20" x14ac:dyDescent="0.25">
      <c r="N2021" s="514"/>
      <c r="R2021" s="293"/>
      <c r="S2021" s="316"/>
      <c r="T2021" s="355"/>
    </row>
    <row r="2022" spans="14:20" x14ac:dyDescent="0.25">
      <c r="N2022" s="514"/>
      <c r="R2022" s="293"/>
      <c r="S2022" s="316"/>
      <c r="T2022" s="355"/>
    </row>
    <row r="2023" spans="14:20" x14ac:dyDescent="0.25">
      <c r="N2023" s="514"/>
      <c r="R2023" s="293"/>
      <c r="S2023" s="316"/>
      <c r="T2023" s="355"/>
    </row>
    <row r="2024" spans="14:20" x14ac:dyDescent="0.25">
      <c r="N2024" s="514"/>
      <c r="R2024" s="293"/>
      <c r="S2024" s="316"/>
      <c r="T2024" s="355"/>
    </row>
    <row r="2025" spans="14:20" x14ac:dyDescent="0.25">
      <c r="N2025" s="514"/>
      <c r="R2025" s="293"/>
      <c r="S2025" s="316"/>
      <c r="T2025" s="355"/>
    </row>
    <row r="2026" spans="14:20" x14ac:dyDescent="0.25">
      <c r="N2026" s="514"/>
      <c r="R2026" s="293"/>
      <c r="S2026" s="316"/>
      <c r="T2026" s="355"/>
    </row>
    <row r="2027" spans="14:20" x14ac:dyDescent="0.25">
      <c r="N2027" s="514"/>
      <c r="R2027" s="293"/>
      <c r="S2027" s="316"/>
      <c r="T2027" s="355"/>
    </row>
    <row r="2028" spans="14:20" x14ac:dyDescent="0.25">
      <c r="N2028" s="514"/>
      <c r="R2028" s="293"/>
      <c r="S2028" s="316"/>
      <c r="T2028" s="355"/>
    </row>
    <row r="2029" spans="14:20" x14ac:dyDescent="0.25">
      <c r="N2029" s="514"/>
      <c r="R2029" s="293"/>
      <c r="S2029" s="316"/>
      <c r="T2029" s="355"/>
    </row>
    <row r="2030" spans="14:20" x14ac:dyDescent="0.25">
      <c r="N2030" s="514"/>
      <c r="R2030" s="293"/>
      <c r="S2030" s="316"/>
      <c r="T2030" s="355"/>
    </row>
    <row r="2031" spans="14:20" x14ac:dyDescent="0.25">
      <c r="N2031" s="514"/>
      <c r="R2031" s="293"/>
      <c r="S2031" s="316"/>
      <c r="T2031" s="355"/>
    </row>
    <row r="2032" spans="14:20" x14ac:dyDescent="0.25">
      <c r="N2032" s="514"/>
      <c r="R2032" s="293"/>
      <c r="S2032" s="316"/>
      <c r="T2032" s="355"/>
    </row>
    <row r="2033" spans="14:20" x14ac:dyDescent="0.25">
      <c r="N2033" s="514"/>
      <c r="R2033" s="293"/>
      <c r="S2033" s="316"/>
      <c r="T2033" s="355"/>
    </row>
    <row r="2034" spans="14:20" x14ac:dyDescent="0.25">
      <c r="N2034" s="514"/>
      <c r="R2034" s="293"/>
      <c r="S2034" s="316"/>
      <c r="T2034" s="355"/>
    </row>
    <row r="2035" spans="14:20" x14ac:dyDescent="0.25">
      <c r="N2035" s="514"/>
      <c r="R2035" s="293"/>
      <c r="S2035" s="316"/>
      <c r="T2035" s="355"/>
    </row>
    <row r="2036" spans="14:20" x14ac:dyDescent="0.25">
      <c r="N2036" s="514"/>
      <c r="R2036" s="293"/>
      <c r="S2036" s="316"/>
      <c r="T2036" s="355"/>
    </row>
    <row r="2037" spans="14:20" x14ac:dyDescent="0.25">
      <c r="N2037" s="514"/>
      <c r="R2037" s="293"/>
      <c r="S2037" s="316"/>
      <c r="T2037" s="355"/>
    </row>
    <row r="2038" spans="14:20" x14ac:dyDescent="0.25">
      <c r="N2038" s="514"/>
      <c r="R2038" s="293"/>
      <c r="S2038" s="316"/>
      <c r="T2038" s="355"/>
    </row>
    <row r="2039" spans="14:20" x14ac:dyDescent="0.25">
      <c r="N2039" s="514"/>
      <c r="R2039" s="293"/>
      <c r="S2039" s="316"/>
      <c r="T2039" s="355"/>
    </row>
    <row r="2040" spans="14:20" x14ac:dyDescent="0.25">
      <c r="N2040" s="514"/>
      <c r="R2040" s="293"/>
      <c r="S2040" s="316"/>
      <c r="T2040" s="355"/>
    </row>
    <row r="2041" spans="14:20" x14ac:dyDescent="0.25">
      <c r="N2041" s="514"/>
      <c r="R2041" s="293"/>
      <c r="S2041" s="316"/>
      <c r="T2041" s="355"/>
    </row>
    <row r="2042" spans="14:20" x14ac:dyDescent="0.25">
      <c r="N2042" s="514"/>
      <c r="R2042" s="293"/>
      <c r="S2042" s="316"/>
      <c r="T2042" s="355"/>
    </row>
    <row r="2043" spans="14:20" x14ac:dyDescent="0.25">
      <c r="N2043" s="514"/>
      <c r="R2043" s="293"/>
      <c r="S2043" s="316"/>
      <c r="T2043" s="355"/>
    </row>
    <row r="2044" spans="14:20" x14ac:dyDescent="0.25">
      <c r="N2044" s="514"/>
      <c r="R2044" s="293"/>
      <c r="S2044" s="316"/>
      <c r="T2044" s="355"/>
    </row>
    <row r="2045" spans="14:20" x14ac:dyDescent="0.25">
      <c r="N2045" s="514"/>
      <c r="R2045" s="293"/>
      <c r="S2045" s="316"/>
      <c r="T2045" s="355"/>
    </row>
    <row r="2046" spans="14:20" x14ac:dyDescent="0.25">
      <c r="N2046" s="514"/>
      <c r="R2046" s="293"/>
      <c r="S2046" s="316"/>
      <c r="T2046" s="355"/>
    </row>
    <row r="2047" spans="14:20" x14ac:dyDescent="0.25">
      <c r="N2047" s="514"/>
      <c r="R2047" s="293"/>
      <c r="S2047" s="316"/>
      <c r="T2047" s="355"/>
    </row>
    <row r="2048" spans="14:20" x14ac:dyDescent="0.25">
      <c r="N2048" s="514"/>
      <c r="R2048" s="293"/>
      <c r="S2048" s="316"/>
      <c r="T2048" s="355"/>
    </row>
    <row r="2049" spans="14:20" x14ac:dyDescent="0.25">
      <c r="N2049" s="514"/>
      <c r="R2049" s="293"/>
      <c r="S2049" s="316"/>
      <c r="T2049" s="355"/>
    </row>
    <row r="2050" spans="14:20" x14ac:dyDescent="0.25">
      <c r="N2050" s="514"/>
      <c r="R2050" s="293"/>
      <c r="S2050" s="316"/>
      <c r="T2050" s="355"/>
    </row>
    <row r="2051" spans="14:20" x14ac:dyDescent="0.25">
      <c r="N2051" s="514"/>
      <c r="R2051" s="293"/>
      <c r="S2051" s="316"/>
      <c r="T2051" s="355"/>
    </row>
    <row r="2052" spans="14:20" x14ac:dyDescent="0.25">
      <c r="N2052" s="514"/>
      <c r="R2052" s="293"/>
      <c r="S2052" s="316"/>
      <c r="T2052" s="355"/>
    </row>
    <row r="2053" spans="14:20" x14ac:dyDescent="0.25">
      <c r="N2053" s="514"/>
      <c r="R2053" s="293"/>
      <c r="S2053" s="316"/>
      <c r="T2053" s="355"/>
    </row>
    <row r="2054" spans="14:20" x14ac:dyDescent="0.25">
      <c r="N2054" s="514"/>
      <c r="R2054" s="293"/>
      <c r="S2054" s="316"/>
      <c r="T2054" s="355"/>
    </row>
    <row r="2055" spans="14:20" x14ac:dyDescent="0.25">
      <c r="N2055" s="514"/>
      <c r="R2055" s="293"/>
      <c r="S2055" s="316"/>
      <c r="T2055" s="355"/>
    </row>
    <row r="2056" spans="14:20" x14ac:dyDescent="0.25">
      <c r="N2056" s="514"/>
      <c r="R2056" s="293"/>
      <c r="S2056" s="316"/>
      <c r="T2056" s="355"/>
    </row>
    <row r="2057" spans="14:20" x14ac:dyDescent="0.25">
      <c r="N2057" s="514"/>
      <c r="R2057" s="293"/>
      <c r="S2057" s="316"/>
      <c r="T2057" s="355"/>
    </row>
    <row r="2058" spans="14:20" x14ac:dyDescent="0.25">
      <c r="N2058" s="514"/>
      <c r="R2058" s="293"/>
      <c r="S2058" s="316"/>
      <c r="T2058" s="355"/>
    </row>
    <row r="2059" spans="14:20" x14ac:dyDescent="0.25">
      <c r="N2059" s="514"/>
      <c r="R2059" s="293"/>
      <c r="S2059" s="316"/>
      <c r="T2059" s="355"/>
    </row>
    <row r="2060" spans="14:20" x14ac:dyDescent="0.25">
      <c r="N2060" s="514"/>
      <c r="R2060" s="293"/>
      <c r="S2060" s="316"/>
      <c r="T2060" s="355"/>
    </row>
    <row r="2061" spans="14:20" x14ac:dyDescent="0.25">
      <c r="N2061" s="514"/>
      <c r="R2061" s="293"/>
      <c r="S2061" s="316"/>
      <c r="T2061" s="355"/>
    </row>
    <row r="2062" spans="14:20" x14ac:dyDescent="0.25">
      <c r="N2062" s="514"/>
      <c r="R2062" s="293"/>
      <c r="S2062" s="316"/>
      <c r="T2062" s="355"/>
    </row>
    <row r="2063" spans="14:20" x14ac:dyDescent="0.25">
      <c r="N2063" s="514"/>
      <c r="R2063" s="293"/>
      <c r="S2063" s="316"/>
      <c r="T2063" s="355"/>
    </row>
    <row r="2064" spans="14:20" x14ac:dyDescent="0.25">
      <c r="N2064" s="514"/>
      <c r="R2064" s="293"/>
      <c r="S2064" s="316"/>
      <c r="T2064" s="355"/>
    </row>
    <row r="2065" spans="14:20" x14ac:dyDescent="0.25">
      <c r="N2065" s="514"/>
      <c r="R2065" s="293"/>
      <c r="S2065" s="316"/>
      <c r="T2065" s="355"/>
    </row>
    <row r="2066" spans="14:20" x14ac:dyDescent="0.25">
      <c r="N2066" s="514"/>
      <c r="R2066" s="293"/>
      <c r="S2066" s="316"/>
      <c r="T2066" s="355"/>
    </row>
    <row r="2067" spans="14:20" x14ac:dyDescent="0.25">
      <c r="N2067" s="514"/>
      <c r="R2067" s="293"/>
      <c r="S2067" s="316"/>
      <c r="T2067" s="355"/>
    </row>
    <row r="2068" spans="14:20" x14ac:dyDescent="0.25">
      <c r="N2068" s="514"/>
      <c r="R2068" s="293"/>
      <c r="S2068" s="316"/>
      <c r="T2068" s="355"/>
    </row>
    <row r="2069" spans="14:20" x14ac:dyDescent="0.25">
      <c r="N2069" s="514"/>
      <c r="R2069" s="293"/>
      <c r="S2069" s="316"/>
      <c r="T2069" s="355"/>
    </row>
    <row r="2070" spans="14:20" x14ac:dyDescent="0.25">
      <c r="N2070" s="514"/>
      <c r="R2070" s="293"/>
      <c r="S2070" s="316"/>
      <c r="T2070" s="355"/>
    </row>
    <row r="2071" spans="14:20" x14ac:dyDescent="0.25">
      <c r="N2071" s="514"/>
      <c r="R2071" s="293"/>
      <c r="S2071" s="316"/>
      <c r="T2071" s="355"/>
    </row>
    <row r="2072" spans="14:20" x14ac:dyDescent="0.25">
      <c r="N2072" s="514"/>
      <c r="R2072" s="293"/>
      <c r="S2072" s="316"/>
      <c r="T2072" s="355"/>
    </row>
    <row r="2073" spans="14:20" x14ac:dyDescent="0.25">
      <c r="N2073" s="514"/>
      <c r="R2073" s="293"/>
      <c r="S2073" s="316"/>
      <c r="T2073" s="355"/>
    </row>
    <row r="2074" spans="14:20" x14ac:dyDescent="0.25">
      <c r="N2074" s="514"/>
      <c r="R2074" s="293"/>
      <c r="S2074" s="316"/>
      <c r="T2074" s="355"/>
    </row>
    <row r="2075" spans="14:20" x14ac:dyDescent="0.25">
      <c r="N2075" s="514"/>
      <c r="R2075" s="293"/>
      <c r="S2075" s="316"/>
      <c r="T2075" s="355"/>
    </row>
    <row r="2076" spans="14:20" x14ac:dyDescent="0.25">
      <c r="N2076" s="514"/>
      <c r="R2076" s="293"/>
      <c r="S2076" s="316"/>
      <c r="T2076" s="355"/>
    </row>
    <row r="2077" spans="14:20" x14ac:dyDescent="0.25">
      <c r="N2077" s="514"/>
      <c r="R2077" s="293"/>
      <c r="S2077" s="316"/>
      <c r="T2077" s="355"/>
    </row>
    <row r="2078" spans="14:20" x14ac:dyDescent="0.25">
      <c r="N2078" s="514"/>
      <c r="R2078" s="293"/>
      <c r="S2078" s="316"/>
      <c r="T2078" s="355"/>
    </row>
    <row r="2079" spans="14:20" x14ac:dyDescent="0.25">
      <c r="N2079" s="514"/>
      <c r="R2079" s="293"/>
      <c r="S2079" s="316"/>
      <c r="T2079" s="355"/>
    </row>
    <row r="2080" spans="14:20" x14ac:dyDescent="0.25">
      <c r="N2080" s="514"/>
      <c r="R2080" s="293"/>
      <c r="S2080" s="316"/>
      <c r="T2080" s="355"/>
    </row>
    <row r="2081" spans="14:20" x14ac:dyDescent="0.25">
      <c r="N2081" s="514"/>
      <c r="R2081" s="293"/>
      <c r="S2081" s="316"/>
      <c r="T2081" s="355"/>
    </row>
    <row r="2082" spans="14:20" x14ac:dyDescent="0.25">
      <c r="N2082" s="514"/>
      <c r="R2082" s="293"/>
      <c r="S2082" s="316"/>
      <c r="T2082" s="355"/>
    </row>
    <row r="2083" spans="14:20" x14ac:dyDescent="0.25">
      <c r="N2083" s="514"/>
      <c r="R2083" s="293"/>
      <c r="S2083" s="316"/>
      <c r="T2083" s="355"/>
    </row>
    <row r="2084" spans="14:20" x14ac:dyDescent="0.25">
      <c r="N2084" s="514"/>
      <c r="R2084" s="293"/>
      <c r="S2084" s="316"/>
      <c r="T2084" s="355"/>
    </row>
    <row r="2085" spans="14:20" x14ac:dyDescent="0.25">
      <c r="N2085" s="514"/>
      <c r="R2085" s="293"/>
      <c r="S2085" s="316"/>
      <c r="T2085" s="355"/>
    </row>
    <row r="2086" spans="14:20" x14ac:dyDescent="0.25">
      <c r="N2086" s="514"/>
      <c r="R2086" s="293"/>
      <c r="S2086" s="316"/>
      <c r="T2086" s="355"/>
    </row>
    <row r="2087" spans="14:20" x14ac:dyDescent="0.25">
      <c r="N2087" s="514"/>
      <c r="R2087" s="293"/>
      <c r="S2087" s="316"/>
      <c r="T2087" s="355"/>
    </row>
    <row r="2088" spans="14:20" x14ac:dyDescent="0.25">
      <c r="N2088" s="514"/>
      <c r="R2088" s="293"/>
      <c r="S2088" s="316"/>
      <c r="T2088" s="355"/>
    </row>
    <row r="2089" spans="14:20" x14ac:dyDescent="0.25">
      <c r="N2089" s="514"/>
      <c r="R2089" s="293"/>
      <c r="S2089" s="316"/>
      <c r="T2089" s="355"/>
    </row>
    <row r="2090" spans="14:20" x14ac:dyDescent="0.25">
      <c r="N2090" s="514"/>
      <c r="R2090" s="293"/>
      <c r="S2090" s="316"/>
      <c r="T2090" s="355"/>
    </row>
    <row r="2091" spans="14:20" x14ac:dyDescent="0.25">
      <c r="N2091" s="514"/>
      <c r="R2091" s="293"/>
      <c r="S2091" s="316"/>
      <c r="T2091" s="355"/>
    </row>
    <row r="2092" spans="14:20" x14ac:dyDescent="0.25">
      <c r="N2092" s="514"/>
      <c r="R2092" s="293"/>
      <c r="S2092" s="316"/>
      <c r="T2092" s="355"/>
    </row>
    <row r="2093" spans="14:20" x14ac:dyDescent="0.25">
      <c r="N2093" s="514"/>
      <c r="R2093" s="293"/>
      <c r="S2093" s="316"/>
      <c r="T2093" s="355"/>
    </row>
    <row r="2094" spans="14:20" x14ac:dyDescent="0.25">
      <c r="N2094" s="514"/>
      <c r="R2094" s="293"/>
      <c r="S2094" s="316"/>
      <c r="T2094" s="355"/>
    </row>
    <row r="2095" spans="14:20" x14ac:dyDescent="0.25">
      <c r="N2095" s="514"/>
      <c r="R2095" s="293"/>
      <c r="S2095" s="316"/>
      <c r="T2095" s="355"/>
    </row>
    <row r="2096" spans="14:20" x14ac:dyDescent="0.25">
      <c r="N2096" s="514"/>
      <c r="R2096" s="293"/>
      <c r="S2096" s="316"/>
      <c r="T2096" s="355"/>
    </row>
    <row r="2097" spans="14:20" x14ac:dyDescent="0.25">
      <c r="N2097" s="514"/>
      <c r="R2097" s="293"/>
      <c r="S2097" s="316"/>
      <c r="T2097" s="355"/>
    </row>
    <row r="2098" spans="14:20" x14ac:dyDescent="0.25">
      <c r="N2098" s="514"/>
      <c r="R2098" s="293"/>
      <c r="S2098" s="316"/>
      <c r="T2098" s="355"/>
    </row>
    <row r="2099" spans="14:20" x14ac:dyDescent="0.25">
      <c r="N2099" s="514"/>
      <c r="R2099" s="293"/>
      <c r="S2099" s="316"/>
      <c r="T2099" s="355"/>
    </row>
    <row r="2100" spans="14:20" x14ac:dyDescent="0.25">
      <c r="N2100" s="514"/>
      <c r="R2100" s="293"/>
      <c r="S2100" s="316"/>
      <c r="T2100" s="355"/>
    </row>
    <row r="2101" spans="14:20" x14ac:dyDescent="0.25">
      <c r="N2101" s="514"/>
      <c r="R2101" s="293"/>
      <c r="S2101" s="316"/>
      <c r="T2101" s="355"/>
    </row>
    <row r="2102" spans="14:20" x14ac:dyDescent="0.25">
      <c r="N2102" s="514"/>
      <c r="R2102" s="293"/>
      <c r="S2102" s="316"/>
      <c r="T2102" s="355"/>
    </row>
    <row r="2103" spans="14:20" x14ac:dyDescent="0.25">
      <c r="N2103" s="514"/>
      <c r="R2103" s="293"/>
      <c r="S2103" s="316"/>
      <c r="T2103" s="355"/>
    </row>
    <row r="2104" spans="14:20" x14ac:dyDescent="0.25">
      <c r="N2104" s="514"/>
      <c r="R2104" s="293"/>
      <c r="S2104" s="316"/>
      <c r="T2104" s="355"/>
    </row>
    <row r="2105" spans="14:20" x14ac:dyDescent="0.25">
      <c r="N2105" s="514"/>
      <c r="R2105" s="293"/>
      <c r="S2105" s="316"/>
      <c r="T2105" s="355"/>
    </row>
    <row r="2106" spans="14:20" x14ac:dyDescent="0.25">
      <c r="N2106" s="514"/>
      <c r="R2106" s="293"/>
      <c r="S2106" s="316"/>
      <c r="T2106" s="355"/>
    </row>
    <row r="2107" spans="14:20" x14ac:dyDescent="0.25">
      <c r="N2107" s="514"/>
      <c r="R2107" s="293"/>
      <c r="S2107" s="316"/>
      <c r="T2107" s="355"/>
    </row>
    <row r="2108" spans="14:20" x14ac:dyDescent="0.25">
      <c r="N2108" s="514"/>
      <c r="R2108" s="293"/>
      <c r="S2108" s="316"/>
      <c r="T2108" s="355"/>
    </row>
    <row r="2109" spans="14:20" x14ac:dyDescent="0.25">
      <c r="N2109" s="514"/>
      <c r="R2109" s="293"/>
      <c r="S2109" s="316"/>
      <c r="T2109" s="355"/>
    </row>
    <row r="2110" spans="14:20" x14ac:dyDescent="0.25">
      <c r="N2110" s="514"/>
      <c r="R2110" s="293"/>
      <c r="S2110" s="316"/>
      <c r="T2110" s="355"/>
    </row>
    <row r="2111" spans="14:20" x14ac:dyDescent="0.25">
      <c r="N2111" s="514"/>
      <c r="R2111" s="293"/>
      <c r="S2111" s="316"/>
      <c r="T2111" s="355"/>
    </row>
    <row r="2112" spans="14:20" x14ac:dyDescent="0.25">
      <c r="N2112" s="514"/>
      <c r="R2112" s="293"/>
      <c r="S2112" s="316"/>
      <c r="T2112" s="355"/>
    </row>
    <row r="2113" spans="14:20" x14ac:dyDescent="0.25">
      <c r="N2113" s="514"/>
      <c r="R2113" s="293"/>
      <c r="S2113" s="316"/>
      <c r="T2113" s="355"/>
    </row>
    <row r="2114" spans="14:20" x14ac:dyDescent="0.25">
      <c r="N2114" s="514"/>
      <c r="R2114" s="293"/>
      <c r="S2114" s="316"/>
      <c r="T2114" s="355"/>
    </row>
    <row r="2115" spans="14:20" x14ac:dyDescent="0.25">
      <c r="N2115" s="514"/>
      <c r="R2115" s="293"/>
      <c r="S2115" s="316"/>
      <c r="T2115" s="355"/>
    </row>
    <row r="2116" spans="14:20" x14ac:dyDescent="0.25">
      <c r="N2116" s="514"/>
      <c r="R2116" s="293"/>
      <c r="S2116" s="316"/>
      <c r="T2116" s="355"/>
    </row>
    <row r="2117" spans="14:20" x14ac:dyDescent="0.25">
      <c r="N2117" s="514"/>
      <c r="R2117" s="293"/>
      <c r="S2117" s="316"/>
      <c r="T2117" s="355"/>
    </row>
    <row r="2118" spans="14:20" x14ac:dyDescent="0.25">
      <c r="N2118" s="514"/>
      <c r="R2118" s="293"/>
      <c r="S2118" s="316"/>
      <c r="T2118" s="355"/>
    </row>
    <row r="2119" spans="14:20" x14ac:dyDescent="0.25">
      <c r="N2119" s="514"/>
      <c r="R2119" s="293"/>
      <c r="S2119" s="316"/>
      <c r="T2119" s="355"/>
    </row>
    <row r="2120" spans="14:20" x14ac:dyDescent="0.25">
      <c r="N2120" s="514"/>
      <c r="R2120" s="293"/>
      <c r="S2120" s="316"/>
      <c r="T2120" s="355"/>
    </row>
    <row r="2121" spans="14:20" x14ac:dyDescent="0.25">
      <c r="N2121" s="514"/>
      <c r="R2121" s="293"/>
      <c r="S2121" s="316"/>
      <c r="T2121" s="355"/>
    </row>
    <row r="2122" spans="14:20" x14ac:dyDescent="0.25">
      <c r="N2122" s="514"/>
      <c r="R2122" s="293"/>
      <c r="S2122" s="316"/>
      <c r="T2122" s="355"/>
    </row>
    <row r="2123" spans="14:20" x14ac:dyDescent="0.25">
      <c r="N2123" s="514"/>
      <c r="R2123" s="293"/>
      <c r="S2123" s="316"/>
      <c r="T2123" s="355"/>
    </row>
    <row r="2124" spans="14:20" x14ac:dyDescent="0.25">
      <c r="N2124" s="514"/>
      <c r="R2124" s="293"/>
      <c r="S2124" s="316"/>
      <c r="T2124" s="355"/>
    </row>
    <row r="2125" spans="14:20" x14ac:dyDescent="0.25">
      <c r="N2125" s="514"/>
      <c r="R2125" s="293"/>
      <c r="S2125" s="316"/>
      <c r="T2125" s="355"/>
    </row>
    <row r="2126" spans="14:20" x14ac:dyDescent="0.25">
      <c r="N2126" s="514"/>
      <c r="R2126" s="293"/>
      <c r="S2126" s="316"/>
      <c r="T2126" s="355"/>
    </row>
    <row r="2127" spans="14:20" x14ac:dyDescent="0.25">
      <c r="N2127" s="514"/>
      <c r="R2127" s="293"/>
      <c r="S2127" s="316"/>
      <c r="T2127" s="355"/>
    </row>
    <row r="2128" spans="14:20" x14ac:dyDescent="0.25">
      <c r="N2128" s="514"/>
      <c r="R2128" s="293"/>
      <c r="S2128" s="316"/>
      <c r="T2128" s="355"/>
    </row>
    <row r="2129" spans="14:20" x14ac:dyDescent="0.25">
      <c r="N2129" s="514"/>
      <c r="R2129" s="293"/>
      <c r="S2129" s="316"/>
      <c r="T2129" s="355"/>
    </row>
    <row r="2130" spans="14:20" x14ac:dyDescent="0.25">
      <c r="N2130" s="514"/>
      <c r="R2130" s="293"/>
      <c r="S2130" s="316"/>
      <c r="T2130" s="355"/>
    </row>
    <row r="2131" spans="14:20" x14ac:dyDescent="0.25">
      <c r="N2131" s="514"/>
      <c r="R2131" s="293"/>
      <c r="S2131" s="316"/>
      <c r="T2131" s="355"/>
    </row>
    <row r="2132" spans="14:20" x14ac:dyDescent="0.25">
      <c r="N2132" s="514"/>
      <c r="R2132" s="293"/>
      <c r="S2132" s="316"/>
      <c r="T2132" s="355"/>
    </row>
    <row r="2133" spans="14:20" x14ac:dyDescent="0.25">
      <c r="N2133" s="514"/>
      <c r="R2133" s="293"/>
      <c r="S2133" s="316"/>
      <c r="T2133" s="355"/>
    </row>
    <row r="2134" spans="14:20" x14ac:dyDescent="0.25">
      <c r="N2134" s="514"/>
      <c r="R2134" s="293"/>
      <c r="S2134" s="316"/>
      <c r="T2134" s="355"/>
    </row>
    <row r="2135" spans="14:20" x14ac:dyDescent="0.25">
      <c r="N2135" s="514"/>
      <c r="R2135" s="293"/>
      <c r="S2135" s="316"/>
      <c r="T2135" s="355"/>
    </row>
    <row r="2136" spans="14:20" x14ac:dyDescent="0.25">
      <c r="N2136" s="514"/>
      <c r="R2136" s="293"/>
      <c r="S2136" s="316"/>
      <c r="T2136" s="355"/>
    </row>
    <row r="2137" spans="14:20" x14ac:dyDescent="0.25">
      <c r="N2137" s="514"/>
      <c r="R2137" s="293"/>
      <c r="S2137" s="316"/>
      <c r="T2137" s="355"/>
    </row>
    <row r="2138" spans="14:20" x14ac:dyDescent="0.25">
      <c r="N2138" s="514"/>
      <c r="R2138" s="293"/>
      <c r="S2138" s="316"/>
      <c r="T2138" s="355"/>
    </row>
    <row r="2139" spans="14:20" x14ac:dyDescent="0.25">
      <c r="N2139" s="514"/>
      <c r="R2139" s="293"/>
      <c r="S2139" s="316"/>
      <c r="T2139" s="355"/>
    </row>
    <row r="2140" spans="14:20" x14ac:dyDescent="0.25">
      <c r="N2140" s="514"/>
      <c r="R2140" s="293"/>
      <c r="S2140" s="316"/>
      <c r="T2140" s="355"/>
    </row>
    <row r="2141" spans="14:20" x14ac:dyDescent="0.25">
      <c r="N2141" s="514"/>
      <c r="R2141" s="293"/>
      <c r="S2141" s="316"/>
      <c r="T2141" s="355"/>
    </row>
    <row r="2142" spans="14:20" x14ac:dyDescent="0.25">
      <c r="N2142" s="514"/>
      <c r="R2142" s="293"/>
      <c r="S2142" s="316"/>
      <c r="T2142" s="355"/>
    </row>
    <row r="2143" spans="14:20" x14ac:dyDescent="0.25">
      <c r="N2143" s="514"/>
      <c r="R2143" s="293"/>
      <c r="S2143" s="316"/>
      <c r="T2143" s="355"/>
    </row>
    <row r="2144" spans="14:20" x14ac:dyDescent="0.25">
      <c r="N2144" s="514"/>
      <c r="R2144" s="293"/>
      <c r="S2144" s="316"/>
      <c r="T2144" s="355"/>
    </row>
    <row r="2145" spans="14:20" x14ac:dyDescent="0.25">
      <c r="N2145" s="514"/>
      <c r="R2145" s="293"/>
      <c r="S2145" s="316"/>
      <c r="T2145" s="355"/>
    </row>
    <row r="2146" spans="14:20" x14ac:dyDescent="0.25">
      <c r="N2146" s="514"/>
      <c r="R2146" s="293"/>
      <c r="S2146" s="316"/>
      <c r="T2146" s="355"/>
    </row>
    <row r="2147" spans="14:20" x14ac:dyDescent="0.25">
      <c r="N2147" s="514"/>
      <c r="R2147" s="293"/>
      <c r="S2147" s="316"/>
      <c r="T2147" s="355"/>
    </row>
    <row r="2148" spans="14:20" x14ac:dyDescent="0.25">
      <c r="N2148" s="514"/>
      <c r="R2148" s="293"/>
      <c r="S2148" s="316"/>
      <c r="T2148" s="355"/>
    </row>
    <row r="2149" spans="14:20" x14ac:dyDescent="0.25">
      <c r="N2149" s="514"/>
      <c r="R2149" s="293"/>
      <c r="S2149" s="316"/>
      <c r="T2149" s="355"/>
    </row>
    <row r="2150" spans="14:20" x14ac:dyDescent="0.25">
      <c r="N2150" s="514"/>
      <c r="R2150" s="293"/>
      <c r="S2150" s="316"/>
      <c r="T2150" s="355"/>
    </row>
    <row r="2151" spans="14:20" x14ac:dyDescent="0.25">
      <c r="N2151" s="514"/>
      <c r="R2151" s="293"/>
      <c r="S2151" s="316"/>
      <c r="T2151" s="355"/>
    </row>
    <row r="2152" spans="14:20" x14ac:dyDescent="0.25">
      <c r="N2152" s="514"/>
      <c r="R2152" s="293"/>
      <c r="S2152" s="316"/>
      <c r="T2152" s="355"/>
    </row>
    <row r="2153" spans="14:20" x14ac:dyDescent="0.25">
      <c r="N2153" s="514"/>
      <c r="R2153" s="293"/>
      <c r="S2153" s="316"/>
      <c r="T2153" s="355"/>
    </row>
    <row r="2154" spans="14:20" x14ac:dyDescent="0.25">
      <c r="N2154" s="514"/>
      <c r="R2154" s="293"/>
      <c r="S2154" s="316"/>
      <c r="T2154" s="355"/>
    </row>
    <row r="2155" spans="14:20" x14ac:dyDescent="0.25">
      <c r="N2155" s="514"/>
      <c r="R2155" s="293"/>
      <c r="S2155" s="316"/>
      <c r="T2155" s="355"/>
    </row>
    <row r="2156" spans="14:20" x14ac:dyDescent="0.25">
      <c r="N2156" s="514"/>
      <c r="R2156" s="293"/>
      <c r="S2156" s="316"/>
      <c r="T2156" s="355"/>
    </row>
    <row r="2157" spans="14:20" x14ac:dyDescent="0.25">
      <c r="N2157" s="514"/>
      <c r="R2157" s="293"/>
      <c r="S2157" s="316"/>
      <c r="T2157" s="355"/>
    </row>
    <row r="2158" spans="14:20" x14ac:dyDescent="0.25">
      <c r="N2158" s="514"/>
      <c r="R2158" s="293"/>
      <c r="S2158" s="316"/>
      <c r="T2158" s="355"/>
    </row>
    <row r="2159" spans="14:20" x14ac:dyDescent="0.25">
      <c r="N2159" s="514"/>
      <c r="R2159" s="293"/>
      <c r="S2159" s="316"/>
      <c r="T2159" s="355"/>
    </row>
    <row r="2160" spans="14:20" x14ac:dyDescent="0.25">
      <c r="N2160" s="514"/>
      <c r="R2160" s="293"/>
      <c r="S2160" s="316"/>
      <c r="T2160" s="355"/>
    </row>
    <row r="2161" spans="14:20" x14ac:dyDescent="0.25">
      <c r="N2161" s="514"/>
      <c r="R2161" s="293"/>
      <c r="S2161" s="316"/>
      <c r="T2161" s="355"/>
    </row>
    <row r="2162" spans="14:20" x14ac:dyDescent="0.25">
      <c r="N2162" s="514"/>
      <c r="R2162" s="293"/>
      <c r="S2162" s="316"/>
      <c r="T2162" s="355"/>
    </row>
    <row r="2163" spans="14:20" x14ac:dyDescent="0.25">
      <c r="N2163" s="514"/>
      <c r="R2163" s="293"/>
      <c r="S2163" s="316"/>
      <c r="T2163" s="355"/>
    </row>
    <row r="2164" spans="14:20" x14ac:dyDescent="0.25">
      <c r="N2164" s="514"/>
      <c r="R2164" s="293"/>
      <c r="S2164" s="316"/>
      <c r="T2164" s="355"/>
    </row>
    <row r="2165" spans="14:20" x14ac:dyDescent="0.25">
      <c r="N2165" s="514"/>
      <c r="R2165" s="293"/>
      <c r="S2165" s="316"/>
      <c r="T2165" s="355"/>
    </row>
    <row r="2166" spans="14:20" x14ac:dyDescent="0.25">
      <c r="N2166" s="514"/>
      <c r="R2166" s="293"/>
      <c r="S2166" s="316"/>
      <c r="T2166" s="355"/>
    </row>
    <row r="2167" spans="14:20" x14ac:dyDescent="0.25">
      <c r="N2167" s="514"/>
      <c r="R2167" s="293"/>
      <c r="S2167" s="316"/>
      <c r="T2167" s="355"/>
    </row>
    <row r="2168" spans="14:20" x14ac:dyDescent="0.25">
      <c r="N2168" s="514"/>
      <c r="R2168" s="293"/>
      <c r="S2168" s="316"/>
      <c r="T2168" s="355"/>
    </row>
    <row r="2169" spans="14:20" x14ac:dyDescent="0.25">
      <c r="N2169" s="514"/>
      <c r="R2169" s="293"/>
      <c r="S2169" s="316"/>
      <c r="T2169" s="355"/>
    </row>
    <row r="2170" spans="14:20" x14ac:dyDescent="0.25">
      <c r="N2170" s="514"/>
      <c r="R2170" s="293"/>
      <c r="S2170" s="316"/>
      <c r="T2170" s="355"/>
    </row>
    <row r="2171" spans="14:20" x14ac:dyDescent="0.25">
      <c r="N2171" s="514"/>
      <c r="R2171" s="293"/>
      <c r="S2171" s="316"/>
      <c r="T2171" s="355"/>
    </row>
    <row r="2172" spans="14:20" x14ac:dyDescent="0.25">
      <c r="N2172" s="514"/>
      <c r="R2172" s="293"/>
      <c r="S2172" s="316"/>
      <c r="T2172" s="355"/>
    </row>
    <row r="2173" spans="14:20" x14ac:dyDescent="0.25">
      <c r="N2173" s="514"/>
      <c r="R2173" s="293"/>
      <c r="S2173" s="316"/>
      <c r="T2173" s="355"/>
    </row>
    <row r="2174" spans="14:20" x14ac:dyDescent="0.25">
      <c r="N2174" s="514"/>
      <c r="R2174" s="293"/>
      <c r="S2174" s="316"/>
      <c r="T2174" s="355"/>
    </row>
    <row r="2175" spans="14:20" x14ac:dyDescent="0.25">
      <c r="N2175" s="514"/>
      <c r="R2175" s="293"/>
      <c r="S2175" s="316"/>
      <c r="T2175" s="355"/>
    </row>
    <row r="2176" spans="14:20" x14ac:dyDescent="0.25">
      <c r="N2176" s="514"/>
      <c r="R2176" s="293"/>
      <c r="S2176" s="316"/>
      <c r="T2176" s="355"/>
    </row>
    <row r="2177" spans="14:20" x14ac:dyDescent="0.25">
      <c r="N2177" s="514"/>
      <c r="R2177" s="293"/>
      <c r="S2177" s="316"/>
      <c r="T2177" s="355"/>
    </row>
    <row r="2178" spans="14:20" x14ac:dyDescent="0.25">
      <c r="N2178" s="514"/>
      <c r="R2178" s="293"/>
      <c r="S2178" s="316"/>
      <c r="T2178" s="355"/>
    </row>
    <row r="2179" spans="14:20" x14ac:dyDescent="0.25">
      <c r="N2179" s="514"/>
      <c r="R2179" s="293"/>
      <c r="S2179" s="316"/>
      <c r="T2179" s="355"/>
    </row>
    <row r="2180" spans="14:20" x14ac:dyDescent="0.25">
      <c r="N2180" s="514"/>
      <c r="R2180" s="293"/>
      <c r="S2180" s="316"/>
      <c r="T2180" s="355"/>
    </row>
    <row r="2181" spans="14:20" x14ac:dyDescent="0.25">
      <c r="N2181" s="514"/>
      <c r="R2181" s="293"/>
      <c r="S2181" s="316"/>
      <c r="T2181" s="355"/>
    </row>
    <row r="2182" spans="14:20" x14ac:dyDescent="0.25">
      <c r="N2182" s="514"/>
      <c r="R2182" s="293"/>
      <c r="S2182" s="316"/>
      <c r="T2182" s="355"/>
    </row>
    <row r="2183" spans="14:20" x14ac:dyDescent="0.25">
      <c r="N2183" s="514"/>
      <c r="R2183" s="293"/>
      <c r="S2183" s="316"/>
      <c r="T2183" s="355"/>
    </row>
    <row r="2184" spans="14:20" x14ac:dyDescent="0.25">
      <c r="N2184" s="514"/>
      <c r="R2184" s="293"/>
      <c r="S2184" s="316"/>
      <c r="T2184" s="355"/>
    </row>
    <row r="2185" spans="14:20" x14ac:dyDescent="0.25">
      <c r="N2185" s="514"/>
      <c r="R2185" s="293"/>
      <c r="S2185" s="316"/>
      <c r="T2185" s="355"/>
    </row>
    <row r="2186" spans="14:20" x14ac:dyDescent="0.25">
      <c r="N2186" s="514"/>
      <c r="R2186" s="293"/>
      <c r="S2186" s="316"/>
      <c r="T2186" s="355"/>
    </row>
    <row r="2187" spans="14:20" x14ac:dyDescent="0.25">
      <c r="N2187" s="514"/>
      <c r="R2187" s="293"/>
      <c r="S2187" s="316"/>
      <c r="T2187" s="355"/>
    </row>
    <row r="2188" spans="14:20" x14ac:dyDescent="0.25">
      <c r="N2188" s="514"/>
      <c r="R2188" s="293"/>
      <c r="S2188" s="316"/>
      <c r="T2188" s="355"/>
    </row>
    <row r="2189" spans="14:20" x14ac:dyDescent="0.25">
      <c r="N2189" s="514"/>
      <c r="R2189" s="293"/>
      <c r="S2189" s="316"/>
      <c r="T2189" s="355"/>
    </row>
    <row r="2190" spans="14:20" x14ac:dyDescent="0.25">
      <c r="N2190" s="514"/>
      <c r="R2190" s="293"/>
      <c r="S2190" s="316"/>
      <c r="T2190" s="355"/>
    </row>
    <row r="2191" spans="14:20" x14ac:dyDescent="0.25">
      <c r="N2191" s="514"/>
      <c r="R2191" s="293"/>
      <c r="S2191" s="316"/>
      <c r="T2191" s="355"/>
    </row>
    <row r="2192" spans="14:20" x14ac:dyDescent="0.25">
      <c r="N2192" s="514"/>
      <c r="R2192" s="293"/>
      <c r="S2192" s="316"/>
      <c r="T2192" s="355"/>
    </row>
    <row r="2193" spans="14:20" x14ac:dyDescent="0.25">
      <c r="N2193" s="514"/>
      <c r="R2193" s="293"/>
      <c r="S2193" s="316"/>
      <c r="T2193" s="355"/>
    </row>
    <row r="2194" spans="14:20" x14ac:dyDescent="0.25">
      <c r="N2194" s="514"/>
      <c r="R2194" s="293"/>
      <c r="S2194" s="316"/>
      <c r="T2194" s="355"/>
    </row>
    <row r="2195" spans="14:20" x14ac:dyDescent="0.25">
      <c r="N2195" s="514"/>
      <c r="R2195" s="293"/>
      <c r="S2195" s="316"/>
      <c r="T2195" s="355"/>
    </row>
    <row r="2196" spans="14:20" x14ac:dyDescent="0.25">
      <c r="N2196" s="514"/>
      <c r="R2196" s="293"/>
      <c r="S2196" s="316"/>
      <c r="T2196" s="355"/>
    </row>
    <row r="2197" spans="14:20" x14ac:dyDescent="0.25">
      <c r="N2197" s="514"/>
      <c r="R2197" s="293"/>
      <c r="S2197" s="316"/>
      <c r="T2197" s="355"/>
    </row>
    <row r="2198" spans="14:20" x14ac:dyDescent="0.25">
      <c r="N2198" s="514"/>
      <c r="R2198" s="293"/>
      <c r="S2198" s="316"/>
      <c r="T2198" s="355"/>
    </row>
    <row r="2199" spans="14:20" x14ac:dyDescent="0.25">
      <c r="N2199" s="514"/>
      <c r="R2199" s="293"/>
      <c r="S2199" s="316"/>
      <c r="T2199" s="355"/>
    </row>
    <row r="2200" spans="14:20" x14ac:dyDescent="0.25">
      <c r="N2200" s="514"/>
      <c r="R2200" s="293"/>
      <c r="S2200" s="316"/>
      <c r="T2200" s="355"/>
    </row>
    <row r="2201" spans="14:20" x14ac:dyDescent="0.25">
      <c r="N2201" s="514"/>
      <c r="R2201" s="293"/>
      <c r="S2201" s="316"/>
      <c r="T2201" s="355"/>
    </row>
    <row r="2202" spans="14:20" x14ac:dyDescent="0.25">
      <c r="N2202" s="514"/>
      <c r="R2202" s="293"/>
      <c r="S2202" s="316"/>
      <c r="T2202" s="355"/>
    </row>
    <row r="2203" spans="14:20" x14ac:dyDescent="0.25">
      <c r="N2203" s="514"/>
      <c r="R2203" s="293"/>
      <c r="S2203" s="316"/>
      <c r="T2203" s="355"/>
    </row>
    <row r="2204" spans="14:20" x14ac:dyDescent="0.25">
      <c r="N2204" s="514"/>
      <c r="R2204" s="293"/>
      <c r="S2204" s="316"/>
      <c r="T2204" s="355"/>
    </row>
    <row r="2205" spans="14:20" x14ac:dyDescent="0.25">
      <c r="N2205" s="514"/>
      <c r="R2205" s="293"/>
      <c r="S2205" s="316"/>
      <c r="T2205" s="355"/>
    </row>
    <row r="2206" spans="14:20" x14ac:dyDescent="0.25">
      <c r="N2206" s="514"/>
      <c r="R2206" s="293"/>
      <c r="S2206" s="316"/>
      <c r="T2206" s="355"/>
    </row>
    <row r="2207" spans="14:20" x14ac:dyDescent="0.25">
      <c r="N2207" s="514"/>
      <c r="R2207" s="293"/>
      <c r="S2207" s="316"/>
      <c r="T2207" s="355"/>
    </row>
    <row r="2208" spans="14:20" x14ac:dyDescent="0.25">
      <c r="N2208" s="514"/>
      <c r="R2208" s="293"/>
      <c r="S2208" s="316"/>
      <c r="T2208" s="355"/>
    </row>
    <row r="2209" spans="14:20" x14ac:dyDescent="0.25">
      <c r="N2209" s="514"/>
      <c r="R2209" s="293"/>
      <c r="S2209" s="316"/>
      <c r="T2209" s="355"/>
    </row>
    <row r="2210" spans="14:20" x14ac:dyDescent="0.25">
      <c r="N2210" s="514"/>
      <c r="R2210" s="293"/>
      <c r="S2210" s="316"/>
      <c r="T2210" s="355"/>
    </row>
    <row r="2211" spans="14:20" x14ac:dyDescent="0.25">
      <c r="N2211" s="514"/>
      <c r="R2211" s="293"/>
      <c r="S2211" s="316"/>
      <c r="T2211" s="355"/>
    </row>
    <row r="2212" spans="14:20" x14ac:dyDescent="0.25">
      <c r="N2212" s="514"/>
      <c r="R2212" s="293"/>
      <c r="S2212" s="316"/>
      <c r="T2212" s="355"/>
    </row>
    <row r="2213" spans="14:20" x14ac:dyDescent="0.25">
      <c r="N2213" s="514"/>
      <c r="R2213" s="293"/>
      <c r="S2213" s="316"/>
      <c r="T2213" s="355"/>
    </row>
    <row r="2214" spans="14:20" x14ac:dyDescent="0.25">
      <c r="N2214" s="514"/>
      <c r="R2214" s="293"/>
      <c r="S2214" s="316"/>
      <c r="T2214" s="355"/>
    </row>
    <row r="2215" spans="14:20" x14ac:dyDescent="0.25">
      <c r="N2215" s="514"/>
      <c r="R2215" s="293"/>
      <c r="S2215" s="316"/>
      <c r="T2215" s="355"/>
    </row>
    <row r="2216" spans="14:20" x14ac:dyDescent="0.25">
      <c r="N2216" s="514"/>
      <c r="R2216" s="293"/>
      <c r="S2216" s="316"/>
      <c r="T2216" s="355"/>
    </row>
    <row r="2217" spans="14:20" x14ac:dyDescent="0.25">
      <c r="N2217" s="514"/>
      <c r="R2217" s="293"/>
      <c r="S2217" s="316"/>
      <c r="T2217" s="355"/>
    </row>
    <row r="2218" spans="14:20" x14ac:dyDescent="0.25">
      <c r="N2218" s="514"/>
      <c r="R2218" s="293"/>
      <c r="S2218" s="316"/>
      <c r="T2218" s="355"/>
    </row>
    <row r="2219" spans="14:20" x14ac:dyDescent="0.25">
      <c r="N2219" s="514"/>
      <c r="R2219" s="293"/>
      <c r="S2219" s="316"/>
      <c r="T2219" s="355"/>
    </row>
    <row r="2220" spans="14:20" x14ac:dyDescent="0.25">
      <c r="N2220" s="514"/>
      <c r="R2220" s="293"/>
      <c r="S2220" s="316"/>
      <c r="T2220" s="355"/>
    </row>
    <row r="2221" spans="14:20" x14ac:dyDescent="0.25">
      <c r="N2221" s="514"/>
      <c r="R2221" s="293"/>
      <c r="S2221" s="316"/>
      <c r="T2221" s="355"/>
    </row>
    <row r="2222" spans="14:20" x14ac:dyDescent="0.25">
      <c r="N2222" s="514"/>
      <c r="R2222" s="293"/>
      <c r="S2222" s="316"/>
      <c r="T2222" s="355"/>
    </row>
    <row r="2223" spans="14:20" x14ac:dyDescent="0.25">
      <c r="N2223" s="514"/>
      <c r="R2223" s="293"/>
      <c r="S2223" s="316"/>
      <c r="T2223" s="355"/>
    </row>
    <row r="2224" spans="14:20" x14ac:dyDescent="0.25">
      <c r="N2224" s="514"/>
      <c r="R2224" s="293"/>
      <c r="S2224" s="316"/>
      <c r="T2224" s="355"/>
    </row>
    <row r="2225" spans="14:20" x14ac:dyDescent="0.25">
      <c r="N2225" s="514"/>
      <c r="R2225" s="293"/>
      <c r="S2225" s="316"/>
      <c r="T2225" s="355"/>
    </row>
    <row r="2226" spans="14:20" x14ac:dyDescent="0.25">
      <c r="N2226" s="514"/>
      <c r="R2226" s="293"/>
      <c r="S2226" s="316"/>
      <c r="T2226" s="355"/>
    </row>
    <row r="2227" spans="14:20" x14ac:dyDescent="0.25">
      <c r="N2227" s="514"/>
      <c r="R2227" s="293"/>
      <c r="S2227" s="316"/>
      <c r="T2227" s="355"/>
    </row>
    <row r="2228" spans="14:20" x14ac:dyDescent="0.25">
      <c r="N2228" s="514"/>
      <c r="R2228" s="293"/>
      <c r="S2228" s="316"/>
      <c r="T2228" s="355"/>
    </row>
    <row r="2229" spans="14:20" x14ac:dyDescent="0.25">
      <c r="N2229" s="514"/>
      <c r="R2229" s="293"/>
      <c r="S2229" s="316"/>
      <c r="T2229" s="355"/>
    </row>
    <row r="2230" spans="14:20" x14ac:dyDescent="0.25">
      <c r="N2230" s="514"/>
      <c r="R2230" s="293"/>
      <c r="S2230" s="316"/>
      <c r="T2230" s="355"/>
    </row>
    <row r="2231" spans="14:20" x14ac:dyDescent="0.25">
      <c r="N2231" s="514"/>
      <c r="R2231" s="293"/>
      <c r="S2231" s="316"/>
      <c r="T2231" s="355"/>
    </row>
    <row r="2232" spans="14:20" x14ac:dyDescent="0.25">
      <c r="N2232" s="514"/>
      <c r="R2232" s="293"/>
      <c r="S2232" s="316"/>
      <c r="T2232" s="355"/>
    </row>
    <row r="2233" spans="14:20" x14ac:dyDescent="0.25">
      <c r="N2233" s="514"/>
      <c r="R2233" s="293"/>
      <c r="S2233" s="316"/>
      <c r="T2233" s="355"/>
    </row>
    <row r="2234" spans="14:20" x14ac:dyDescent="0.25">
      <c r="N2234" s="514"/>
      <c r="R2234" s="293"/>
      <c r="S2234" s="316"/>
      <c r="T2234" s="355"/>
    </row>
    <row r="2235" spans="14:20" x14ac:dyDescent="0.25">
      <c r="N2235" s="514"/>
      <c r="R2235" s="293"/>
      <c r="S2235" s="316"/>
      <c r="T2235" s="355"/>
    </row>
    <row r="2236" spans="14:20" x14ac:dyDescent="0.25">
      <c r="N2236" s="514"/>
      <c r="R2236" s="293"/>
      <c r="S2236" s="316"/>
      <c r="T2236" s="355"/>
    </row>
    <row r="2237" spans="14:20" x14ac:dyDescent="0.25">
      <c r="N2237" s="514"/>
      <c r="R2237" s="293"/>
      <c r="S2237" s="316"/>
      <c r="T2237" s="355"/>
    </row>
    <row r="2238" spans="14:20" x14ac:dyDescent="0.25">
      <c r="N2238" s="514"/>
      <c r="R2238" s="293"/>
      <c r="S2238" s="316"/>
      <c r="T2238" s="355"/>
    </row>
    <row r="2239" spans="14:20" x14ac:dyDescent="0.25">
      <c r="N2239" s="514"/>
      <c r="R2239" s="293"/>
      <c r="S2239" s="316"/>
      <c r="T2239" s="355"/>
    </row>
    <row r="2240" spans="14:20" x14ac:dyDescent="0.25">
      <c r="N2240" s="514"/>
      <c r="R2240" s="293"/>
      <c r="S2240" s="316"/>
      <c r="T2240" s="355"/>
    </row>
    <row r="2241" spans="14:20" x14ac:dyDescent="0.25">
      <c r="N2241" s="514"/>
      <c r="R2241" s="293"/>
      <c r="S2241" s="316"/>
      <c r="T2241" s="355"/>
    </row>
    <row r="2242" spans="14:20" x14ac:dyDescent="0.25">
      <c r="N2242" s="514"/>
      <c r="R2242" s="293"/>
      <c r="S2242" s="316"/>
      <c r="T2242" s="355"/>
    </row>
    <row r="2243" spans="14:20" x14ac:dyDescent="0.25">
      <c r="N2243" s="514"/>
      <c r="R2243" s="293"/>
      <c r="S2243" s="316"/>
      <c r="T2243" s="355"/>
    </row>
    <row r="2244" spans="14:20" x14ac:dyDescent="0.25">
      <c r="N2244" s="514"/>
      <c r="R2244" s="293"/>
      <c r="S2244" s="316"/>
      <c r="T2244" s="355"/>
    </row>
    <row r="2245" spans="14:20" x14ac:dyDescent="0.25">
      <c r="N2245" s="514"/>
      <c r="R2245" s="293"/>
      <c r="S2245" s="316"/>
      <c r="T2245" s="355"/>
    </row>
    <row r="2246" spans="14:20" x14ac:dyDescent="0.25">
      <c r="N2246" s="514"/>
      <c r="R2246" s="293"/>
      <c r="S2246" s="316"/>
      <c r="T2246" s="355"/>
    </row>
    <row r="2247" spans="14:20" x14ac:dyDescent="0.25">
      <c r="N2247" s="514"/>
      <c r="R2247" s="293"/>
      <c r="S2247" s="316"/>
      <c r="T2247" s="355"/>
    </row>
    <row r="2248" spans="14:20" x14ac:dyDescent="0.25">
      <c r="N2248" s="514"/>
      <c r="R2248" s="293"/>
      <c r="S2248" s="316"/>
      <c r="T2248" s="355"/>
    </row>
    <row r="2249" spans="14:20" x14ac:dyDescent="0.25">
      <c r="N2249" s="514"/>
      <c r="R2249" s="293"/>
      <c r="S2249" s="316"/>
      <c r="T2249" s="355"/>
    </row>
    <row r="2250" spans="14:20" x14ac:dyDescent="0.25">
      <c r="N2250" s="514"/>
      <c r="R2250" s="293"/>
      <c r="S2250" s="316"/>
      <c r="T2250" s="355"/>
    </row>
    <row r="2251" spans="14:20" x14ac:dyDescent="0.25">
      <c r="N2251" s="514"/>
      <c r="R2251" s="293"/>
      <c r="S2251" s="316"/>
      <c r="T2251" s="355"/>
    </row>
    <row r="2252" spans="14:20" x14ac:dyDescent="0.25">
      <c r="N2252" s="514"/>
      <c r="R2252" s="293"/>
      <c r="S2252" s="316"/>
      <c r="T2252" s="355"/>
    </row>
    <row r="2253" spans="14:20" x14ac:dyDescent="0.25">
      <c r="N2253" s="514"/>
      <c r="R2253" s="293"/>
      <c r="S2253" s="316"/>
      <c r="T2253" s="355"/>
    </row>
    <row r="2254" spans="14:20" x14ac:dyDescent="0.25">
      <c r="N2254" s="514"/>
      <c r="R2254" s="293"/>
      <c r="S2254" s="316"/>
      <c r="T2254" s="355"/>
    </row>
    <row r="2255" spans="14:20" x14ac:dyDescent="0.25">
      <c r="N2255" s="514"/>
      <c r="R2255" s="293"/>
      <c r="S2255" s="316"/>
      <c r="T2255" s="355"/>
    </row>
    <row r="2256" spans="14:20" x14ac:dyDescent="0.25">
      <c r="N2256" s="514"/>
      <c r="R2256" s="293"/>
      <c r="S2256" s="316"/>
      <c r="T2256" s="355"/>
    </row>
    <row r="2257" spans="14:20" x14ac:dyDescent="0.25">
      <c r="N2257" s="514"/>
      <c r="R2257" s="293"/>
      <c r="S2257" s="316"/>
      <c r="T2257" s="355"/>
    </row>
    <row r="2258" spans="14:20" x14ac:dyDescent="0.25">
      <c r="N2258" s="514"/>
      <c r="R2258" s="293"/>
      <c r="S2258" s="316"/>
      <c r="T2258" s="355"/>
    </row>
    <row r="2259" spans="14:20" x14ac:dyDescent="0.25">
      <c r="N2259" s="514"/>
      <c r="R2259" s="293"/>
      <c r="S2259" s="316"/>
      <c r="T2259" s="355"/>
    </row>
    <row r="2260" spans="14:20" x14ac:dyDescent="0.25">
      <c r="N2260" s="514"/>
      <c r="R2260" s="293"/>
      <c r="S2260" s="316"/>
      <c r="T2260" s="355"/>
    </row>
    <row r="2261" spans="14:20" x14ac:dyDescent="0.25">
      <c r="N2261" s="514"/>
      <c r="R2261" s="293"/>
      <c r="S2261" s="316"/>
      <c r="T2261" s="355"/>
    </row>
    <row r="2262" spans="14:20" x14ac:dyDescent="0.25">
      <c r="N2262" s="514"/>
      <c r="R2262" s="293"/>
      <c r="S2262" s="316"/>
      <c r="T2262" s="355"/>
    </row>
    <row r="2263" spans="14:20" x14ac:dyDescent="0.25">
      <c r="N2263" s="514"/>
      <c r="R2263" s="293"/>
      <c r="S2263" s="316"/>
      <c r="T2263" s="355"/>
    </row>
    <row r="2264" spans="14:20" x14ac:dyDescent="0.25">
      <c r="N2264" s="514"/>
      <c r="R2264" s="293"/>
      <c r="S2264" s="316"/>
      <c r="T2264" s="355"/>
    </row>
    <row r="2265" spans="14:20" x14ac:dyDescent="0.25">
      <c r="N2265" s="514"/>
      <c r="R2265" s="293"/>
      <c r="S2265" s="316"/>
      <c r="T2265" s="355"/>
    </row>
    <row r="2266" spans="14:20" x14ac:dyDescent="0.25">
      <c r="N2266" s="514"/>
      <c r="R2266" s="293"/>
      <c r="S2266" s="316"/>
      <c r="T2266" s="355"/>
    </row>
    <row r="2267" spans="14:20" x14ac:dyDescent="0.25">
      <c r="N2267" s="514"/>
      <c r="R2267" s="293"/>
      <c r="S2267" s="316"/>
      <c r="T2267" s="355"/>
    </row>
    <row r="2268" spans="14:20" x14ac:dyDescent="0.25">
      <c r="N2268" s="514"/>
      <c r="R2268" s="293"/>
      <c r="S2268" s="316"/>
      <c r="T2268" s="355"/>
    </row>
    <row r="2269" spans="14:20" x14ac:dyDescent="0.25">
      <c r="N2269" s="514"/>
      <c r="R2269" s="293"/>
      <c r="S2269" s="316"/>
      <c r="T2269" s="355"/>
    </row>
    <row r="2270" spans="14:20" x14ac:dyDescent="0.25">
      <c r="N2270" s="514"/>
      <c r="R2270" s="293"/>
      <c r="S2270" s="316"/>
      <c r="T2270" s="355"/>
    </row>
    <row r="2271" spans="14:20" x14ac:dyDescent="0.25">
      <c r="N2271" s="514"/>
      <c r="R2271" s="293"/>
      <c r="S2271" s="316"/>
      <c r="T2271" s="355"/>
    </row>
    <row r="2272" spans="14:20" x14ac:dyDescent="0.25">
      <c r="N2272" s="514"/>
      <c r="R2272" s="293"/>
      <c r="S2272" s="316"/>
      <c r="T2272" s="355"/>
    </row>
    <row r="2273" spans="14:20" x14ac:dyDescent="0.25">
      <c r="N2273" s="514"/>
      <c r="R2273" s="293"/>
      <c r="S2273" s="316"/>
      <c r="T2273" s="355"/>
    </row>
    <row r="2274" spans="14:20" x14ac:dyDescent="0.25">
      <c r="N2274" s="514"/>
      <c r="R2274" s="293"/>
      <c r="S2274" s="316"/>
      <c r="T2274" s="355"/>
    </row>
    <row r="2275" spans="14:20" x14ac:dyDescent="0.25">
      <c r="N2275" s="514"/>
      <c r="R2275" s="293"/>
      <c r="S2275" s="316"/>
      <c r="T2275" s="355"/>
    </row>
    <row r="2276" spans="14:20" x14ac:dyDescent="0.25">
      <c r="N2276" s="514"/>
      <c r="R2276" s="293"/>
      <c r="S2276" s="316"/>
      <c r="T2276" s="355"/>
    </row>
    <row r="2277" spans="14:20" x14ac:dyDescent="0.25">
      <c r="N2277" s="514"/>
      <c r="R2277" s="293"/>
      <c r="S2277" s="316"/>
      <c r="T2277" s="355"/>
    </row>
    <row r="2278" spans="14:20" x14ac:dyDescent="0.25">
      <c r="N2278" s="514"/>
      <c r="R2278" s="293"/>
      <c r="S2278" s="316"/>
      <c r="T2278" s="355"/>
    </row>
    <row r="2279" spans="14:20" x14ac:dyDescent="0.25">
      <c r="N2279" s="514"/>
      <c r="R2279" s="293"/>
      <c r="S2279" s="316"/>
      <c r="T2279" s="355"/>
    </row>
    <row r="2280" spans="14:20" x14ac:dyDescent="0.25">
      <c r="N2280" s="514"/>
      <c r="R2280" s="293"/>
      <c r="S2280" s="316"/>
      <c r="T2280" s="355"/>
    </row>
    <row r="2281" spans="14:20" x14ac:dyDescent="0.25">
      <c r="N2281" s="514"/>
      <c r="R2281" s="293"/>
      <c r="S2281" s="316"/>
      <c r="T2281" s="355"/>
    </row>
    <row r="2282" spans="14:20" x14ac:dyDescent="0.25">
      <c r="N2282" s="514"/>
      <c r="R2282" s="293"/>
      <c r="S2282" s="316"/>
      <c r="T2282" s="355"/>
    </row>
    <row r="2283" spans="14:20" x14ac:dyDescent="0.25">
      <c r="N2283" s="514"/>
      <c r="R2283" s="293"/>
      <c r="S2283" s="316"/>
      <c r="T2283" s="355"/>
    </row>
    <row r="2284" spans="14:20" x14ac:dyDescent="0.25">
      <c r="N2284" s="514"/>
      <c r="R2284" s="293"/>
      <c r="S2284" s="316"/>
      <c r="T2284" s="355"/>
    </row>
    <row r="2285" spans="14:20" x14ac:dyDescent="0.25">
      <c r="N2285" s="514"/>
      <c r="R2285" s="293"/>
      <c r="S2285" s="316"/>
      <c r="T2285" s="355"/>
    </row>
    <row r="2286" spans="14:20" x14ac:dyDescent="0.25">
      <c r="N2286" s="514"/>
      <c r="R2286" s="293"/>
      <c r="S2286" s="316"/>
      <c r="T2286" s="355"/>
    </row>
    <row r="2287" spans="14:20" x14ac:dyDescent="0.25">
      <c r="N2287" s="514"/>
      <c r="R2287" s="293"/>
      <c r="S2287" s="316"/>
      <c r="T2287" s="355"/>
    </row>
    <row r="2288" spans="14:20" x14ac:dyDescent="0.25">
      <c r="N2288" s="514"/>
      <c r="R2288" s="293"/>
      <c r="S2288" s="316"/>
      <c r="T2288" s="355"/>
    </row>
    <row r="2289" spans="14:20" x14ac:dyDescent="0.25">
      <c r="N2289" s="514"/>
      <c r="R2289" s="293"/>
      <c r="S2289" s="316"/>
      <c r="T2289" s="355"/>
    </row>
    <row r="2290" spans="14:20" x14ac:dyDescent="0.25">
      <c r="N2290" s="514"/>
      <c r="R2290" s="293"/>
      <c r="S2290" s="316"/>
      <c r="T2290" s="355"/>
    </row>
    <row r="2291" spans="14:20" x14ac:dyDescent="0.25">
      <c r="N2291" s="514"/>
      <c r="R2291" s="293"/>
      <c r="S2291" s="316"/>
      <c r="T2291" s="355"/>
    </row>
    <row r="2292" spans="14:20" x14ac:dyDescent="0.25">
      <c r="N2292" s="514"/>
      <c r="R2292" s="293"/>
      <c r="S2292" s="316"/>
      <c r="T2292" s="355"/>
    </row>
    <row r="2293" spans="14:20" x14ac:dyDescent="0.25">
      <c r="N2293" s="514"/>
      <c r="R2293" s="293"/>
      <c r="S2293" s="316"/>
      <c r="T2293" s="355"/>
    </row>
    <row r="2294" spans="14:20" x14ac:dyDescent="0.25">
      <c r="N2294" s="514"/>
      <c r="R2294" s="293"/>
      <c r="S2294" s="316"/>
      <c r="T2294" s="355"/>
    </row>
    <row r="2295" spans="14:20" x14ac:dyDescent="0.25">
      <c r="N2295" s="514"/>
      <c r="R2295" s="293"/>
      <c r="S2295" s="316"/>
      <c r="T2295" s="355"/>
    </row>
    <row r="2296" spans="14:20" x14ac:dyDescent="0.25">
      <c r="N2296" s="514"/>
      <c r="R2296" s="293"/>
      <c r="S2296" s="316"/>
      <c r="T2296" s="355"/>
    </row>
    <row r="2297" spans="14:20" x14ac:dyDescent="0.25">
      <c r="N2297" s="514"/>
      <c r="R2297" s="293"/>
      <c r="S2297" s="316"/>
      <c r="T2297" s="355"/>
    </row>
    <row r="2298" spans="14:20" x14ac:dyDescent="0.25">
      <c r="N2298" s="514"/>
      <c r="R2298" s="293"/>
      <c r="S2298" s="316"/>
      <c r="T2298" s="355"/>
    </row>
    <row r="2299" spans="14:20" x14ac:dyDescent="0.25">
      <c r="N2299" s="514"/>
      <c r="R2299" s="293"/>
      <c r="S2299" s="316"/>
      <c r="T2299" s="355"/>
    </row>
    <row r="2300" spans="14:20" x14ac:dyDescent="0.25">
      <c r="N2300" s="514"/>
      <c r="R2300" s="293"/>
      <c r="S2300" s="316"/>
      <c r="T2300" s="355"/>
    </row>
    <row r="2301" spans="14:20" x14ac:dyDescent="0.25">
      <c r="N2301" s="514"/>
      <c r="R2301" s="293"/>
      <c r="S2301" s="316"/>
      <c r="T2301" s="355"/>
    </row>
    <row r="2302" spans="14:20" x14ac:dyDescent="0.25">
      <c r="N2302" s="514"/>
      <c r="R2302" s="293"/>
      <c r="S2302" s="316"/>
      <c r="T2302" s="355"/>
    </row>
    <row r="2303" spans="14:20" x14ac:dyDescent="0.25">
      <c r="N2303" s="514"/>
      <c r="R2303" s="293"/>
      <c r="S2303" s="316"/>
      <c r="T2303" s="355"/>
    </row>
    <row r="2304" spans="14:20" x14ac:dyDescent="0.25">
      <c r="N2304" s="514"/>
      <c r="R2304" s="293"/>
      <c r="S2304" s="316"/>
      <c r="T2304" s="355"/>
    </row>
    <row r="2305" spans="14:20" x14ac:dyDescent="0.25">
      <c r="N2305" s="514"/>
      <c r="R2305" s="293"/>
      <c r="S2305" s="316"/>
      <c r="T2305" s="355"/>
    </row>
    <row r="2306" spans="14:20" x14ac:dyDescent="0.25">
      <c r="N2306" s="514"/>
      <c r="R2306" s="293"/>
      <c r="S2306" s="316"/>
      <c r="T2306" s="355"/>
    </row>
    <row r="2307" spans="14:20" x14ac:dyDescent="0.25">
      <c r="N2307" s="514"/>
      <c r="R2307" s="293"/>
      <c r="S2307" s="316"/>
      <c r="T2307" s="355"/>
    </row>
    <row r="2308" spans="14:20" x14ac:dyDescent="0.25">
      <c r="N2308" s="514"/>
      <c r="R2308" s="293"/>
      <c r="S2308" s="316"/>
      <c r="T2308" s="355"/>
    </row>
    <row r="2309" spans="14:20" x14ac:dyDescent="0.25">
      <c r="N2309" s="514"/>
      <c r="R2309" s="293"/>
      <c r="S2309" s="316"/>
      <c r="T2309" s="355"/>
    </row>
    <row r="2310" spans="14:20" x14ac:dyDescent="0.25">
      <c r="N2310" s="514"/>
      <c r="R2310" s="293"/>
      <c r="S2310" s="316"/>
      <c r="T2310" s="355"/>
    </row>
    <row r="2311" spans="14:20" x14ac:dyDescent="0.25">
      <c r="N2311" s="514"/>
      <c r="R2311" s="293"/>
      <c r="S2311" s="316"/>
      <c r="T2311" s="355"/>
    </row>
    <row r="2312" spans="14:20" x14ac:dyDescent="0.25">
      <c r="N2312" s="514"/>
      <c r="R2312" s="293"/>
      <c r="S2312" s="316"/>
      <c r="T2312" s="355"/>
    </row>
    <row r="2313" spans="14:20" x14ac:dyDescent="0.25">
      <c r="N2313" s="514"/>
      <c r="R2313" s="293"/>
      <c r="S2313" s="316"/>
      <c r="T2313" s="355"/>
    </row>
    <row r="2314" spans="14:20" x14ac:dyDescent="0.25">
      <c r="N2314" s="514"/>
      <c r="R2314" s="293"/>
      <c r="S2314" s="316"/>
      <c r="T2314" s="355"/>
    </row>
    <row r="2315" spans="14:20" x14ac:dyDescent="0.25">
      <c r="N2315" s="514"/>
      <c r="R2315" s="293"/>
      <c r="S2315" s="316"/>
      <c r="T2315" s="355"/>
    </row>
    <row r="2316" spans="14:20" x14ac:dyDescent="0.25">
      <c r="N2316" s="514"/>
      <c r="R2316" s="293"/>
      <c r="S2316" s="316"/>
      <c r="T2316" s="355"/>
    </row>
    <row r="2317" spans="14:20" x14ac:dyDescent="0.25">
      <c r="N2317" s="514"/>
      <c r="R2317" s="293"/>
      <c r="S2317" s="316"/>
      <c r="T2317" s="355"/>
    </row>
    <row r="2318" spans="14:20" x14ac:dyDescent="0.25">
      <c r="N2318" s="514"/>
      <c r="R2318" s="293"/>
      <c r="S2318" s="316"/>
      <c r="T2318" s="355"/>
    </row>
    <row r="2319" spans="14:20" x14ac:dyDescent="0.25">
      <c r="N2319" s="514"/>
      <c r="R2319" s="293"/>
      <c r="S2319" s="316"/>
      <c r="T2319" s="355"/>
    </row>
    <row r="2320" spans="14:20" x14ac:dyDescent="0.25">
      <c r="N2320" s="514"/>
      <c r="R2320" s="293"/>
      <c r="S2320" s="316"/>
      <c r="T2320" s="355"/>
    </row>
    <row r="2321" spans="14:20" x14ac:dyDescent="0.25">
      <c r="N2321" s="514"/>
      <c r="R2321" s="293"/>
      <c r="S2321" s="316"/>
      <c r="T2321" s="355"/>
    </row>
    <row r="2322" spans="14:20" x14ac:dyDescent="0.25">
      <c r="N2322" s="514"/>
      <c r="R2322" s="293"/>
      <c r="S2322" s="316"/>
      <c r="T2322" s="355"/>
    </row>
    <row r="2323" spans="14:20" x14ac:dyDescent="0.25">
      <c r="N2323" s="514"/>
      <c r="R2323" s="293"/>
      <c r="S2323" s="316"/>
      <c r="T2323" s="355"/>
    </row>
    <row r="2324" spans="14:20" x14ac:dyDescent="0.25">
      <c r="N2324" s="514"/>
      <c r="R2324" s="293"/>
      <c r="S2324" s="316"/>
      <c r="T2324" s="355"/>
    </row>
    <row r="2325" spans="14:20" x14ac:dyDescent="0.25">
      <c r="N2325" s="514"/>
      <c r="R2325" s="293"/>
      <c r="S2325" s="316"/>
      <c r="T2325" s="355"/>
    </row>
    <row r="2326" spans="14:20" x14ac:dyDescent="0.25">
      <c r="N2326" s="514"/>
      <c r="R2326" s="293"/>
      <c r="S2326" s="316"/>
      <c r="T2326" s="355"/>
    </row>
    <row r="2327" spans="14:20" x14ac:dyDescent="0.25">
      <c r="N2327" s="514"/>
      <c r="R2327" s="293"/>
      <c r="S2327" s="316"/>
      <c r="T2327" s="355"/>
    </row>
    <row r="2328" spans="14:20" x14ac:dyDescent="0.25">
      <c r="N2328" s="514"/>
      <c r="R2328" s="293"/>
      <c r="S2328" s="316"/>
      <c r="T2328" s="355"/>
    </row>
    <row r="2329" spans="14:20" x14ac:dyDescent="0.25">
      <c r="N2329" s="514"/>
      <c r="R2329" s="293"/>
      <c r="S2329" s="316"/>
      <c r="T2329" s="355"/>
    </row>
    <row r="2330" spans="14:20" x14ac:dyDescent="0.25">
      <c r="N2330" s="514"/>
      <c r="R2330" s="293"/>
      <c r="S2330" s="316"/>
      <c r="T2330" s="355"/>
    </row>
    <row r="2331" spans="14:20" x14ac:dyDescent="0.25">
      <c r="N2331" s="514"/>
      <c r="R2331" s="293"/>
      <c r="S2331" s="316"/>
      <c r="T2331" s="355"/>
    </row>
    <row r="2332" spans="14:20" x14ac:dyDescent="0.25">
      <c r="N2332" s="514"/>
      <c r="R2332" s="293"/>
      <c r="S2332" s="316"/>
      <c r="T2332" s="355"/>
    </row>
    <row r="2333" spans="14:20" x14ac:dyDescent="0.25">
      <c r="N2333" s="514"/>
      <c r="R2333" s="293"/>
      <c r="S2333" s="316"/>
      <c r="T2333" s="355"/>
    </row>
    <row r="2334" spans="14:20" x14ac:dyDescent="0.25">
      <c r="N2334" s="514"/>
      <c r="R2334" s="293"/>
      <c r="S2334" s="316"/>
      <c r="T2334" s="355"/>
    </row>
    <row r="2335" spans="14:20" x14ac:dyDescent="0.25">
      <c r="N2335" s="514"/>
      <c r="R2335" s="293"/>
      <c r="S2335" s="316"/>
      <c r="T2335" s="355"/>
    </row>
    <row r="2336" spans="14:20" x14ac:dyDescent="0.25">
      <c r="N2336" s="514"/>
      <c r="R2336" s="293"/>
      <c r="S2336" s="316"/>
      <c r="T2336" s="355"/>
    </row>
    <row r="2337" spans="14:20" x14ac:dyDescent="0.25">
      <c r="N2337" s="514"/>
      <c r="R2337" s="293"/>
      <c r="S2337" s="316"/>
      <c r="T2337" s="355"/>
    </row>
    <row r="2338" spans="14:20" x14ac:dyDescent="0.25">
      <c r="N2338" s="514"/>
      <c r="R2338" s="293"/>
      <c r="S2338" s="316"/>
      <c r="T2338" s="355"/>
    </row>
    <row r="2339" spans="14:20" x14ac:dyDescent="0.25">
      <c r="N2339" s="514"/>
      <c r="R2339" s="293"/>
      <c r="S2339" s="316"/>
      <c r="T2339" s="355"/>
    </row>
    <row r="2340" spans="14:20" x14ac:dyDescent="0.25">
      <c r="N2340" s="514"/>
      <c r="R2340" s="293"/>
      <c r="S2340" s="316"/>
      <c r="T2340" s="355"/>
    </row>
    <row r="2341" spans="14:20" x14ac:dyDescent="0.25">
      <c r="N2341" s="514"/>
      <c r="R2341" s="293"/>
      <c r="S2341" s="316"/>
      <c r="T2341" s="355"/>
    </row>
    <row r="2342" spans="14:20" x14ac:dyDescent="0.25">
      <c r="N2342" s="514"/>
      <c r="R2342" s="293"/>
      <c r="S2342" s="316"/>
      <c r="T2342" s="355"/>
    </row>
    <row r="2343" spans="14:20" x14ac:dyDescent="0.25">
      <c r="N2343" s="514"/>
      <c r="R2343" s="293"/>
      <c r="S2343" s="316"/>
      <c r="T2343" s="355"/>
    </row>
    <row r="2344" spans="14:20" x14ac:dyDescent="0.25">
      <c r="N2344" s="514"/>
      <c r="R2344" s="293"/>
      <c r="S2344" s="316"/>
      <c r="T2344" s="355"/>
    </row>
    <row r="2345" spans="14:20" x14ac:dyDescent="0.25">
      <c r="N2345" s="514"/>
      <c r="R2345" s="293"/>
      <c r="S2345" s="316"/>
      <c r="T2345" s="355"/>
    </row>
    <row r="2346" spans="14:20" x14ac:dyDescent="0.25">
      <c r="N2346" s="514"/>
      <c r="R2346" s="293"/>
      <c r="S2346" s="316"/>
      <c r="T2346" s="355"/>
    </row>
    <row r="2347" spans="14:20" x14ac:dyDescent="0.25">
      <c r="N2347" s="514"/>
      <c r="R2347" s="293"/>
      <c r="S2347" s="316"/>
      <c r="T2347" s="355"/>
    </row>
    <row r="2348" spans="14:20" x14ac:dyDescent="0.25">
      <c r="N2348" s="514"/>
      <c r="R2348" s="293"/>
      <c r="S2348" s="316"/>
      <c r="T2348" s="355"/>
    </row>
    <row r="2349" spans="14:20" x14ac:dyDescent="0.25">
      <c r="N2349" s="514"/>
      <c r="R2349" s="293"/>
      <c r="S2349" s="316"/>
      <c r="T2349" s="355"/>
    </row>
    <row r="2350" spans="14:20" x14ac:dyDescent="0.25">
      <c r="N2350" s="514"/>
      <c r="R2350" s="293"/>
      <c r="S2350" s="316"/>
      <c r="T2350" s="355"/>
    </row>
    <row r="2351" spans="14:20" x14ac:dyDescent="0.25">
      <c r="N2351" s="514"/>
      <c r="R2351" s="293"/>
      <c r="S2351" s="316"/>
      <c r="T2351" s="355"/>
    </row>
    <row r="2352" spans="14:20" x14ac:dyDescent="0.25">
      <c r="N2352" s="514"/>
      <c r="R2352" s="293"/>
      <c r="S2352" s="316"/>
      <c r="T2352" s="355"/>
    </row>
    <row r="2353" spans="14:20" x14ac:dyDescent="0.25">
      <c r="N2353" s="514"/>
      <c r="R2353" s="293"/>
      <c r="S2353" s="316"/>
      <c r="T2353" s="355"/>
    </row>
    <row r="2354" spans="14:20" x14ac:dyDescent="0.25">
      <c r="N2354" s="514"/>
      <c r="R2354" s="293"/>
      <c r="S2354" s="316"/>
      <c r="T2354" s="355"/>
    </row>
    <row r="2355" spans="14:20" x14ac:dyDescent="0.25">
      <c r="N2355" s="514"/>
      <c r="R2355" s="293"/>
      <c r="S2355" s="316"/>
      <c r="T2355" s="355"/>
    </row>
    <row r="2356" spans="14:20" x14ac:dyDescent="0.25">
      <c r="N2356" s="514"/>
      <c r="R2356" s="293"/>
      <c r="S2356" s="316"/>
      <c r="T2356" s="355"/>
    </row>
    <row r="2357" spans="14:20" x14ac:dyDescent="0.25">
      <c r="N2357" s="514"/>
      <c r="R2357" s="293"/>
      <c r="S2357" s="316"/>
      <c r="T2357" s="355"/>
    </row>
    <row r="2358" spans="14:20" x14ac:dyDescent="0.25">
      <c r="N2358" s="514"/>
      <c r="R2358" s="293"/>
      <c r="S2358" s="316"/>
      <c r="T2358" s="355"/>
    </row>
    <row r="2359" spans="14:20" x14ac:dyDescent="0.25">
      <c r="N2359" s="514"/>
      <c r="R2359" s="293"/>
      <c r="S2359" s="316"/>
      <c r="T2359" s="355"/>
    </row>
    <row r="2360" spans="14:20" x14ac:dyDescent="0.25">
      <c r="N2360" s="514"/>
      <c r="R2360" s="293"/>
      <c r="S2360" s="316"/>
      <c r="T2360" s="355"/>
    </row>
    <row r="2361" spans="14:20" x14ac:dyDescent="0.25">
      <c r="N2361" s="514"/>
      <c r="R2361" s="293"/>
      <c r="S2361" s="316"/>
      <c r="T2361" s="355"/>
    </row>
    <row r="2362" spans="14:20" x14ac:dyDescent="0.25">
      <c r="N2362" s="514"/>
      <c r="R2362" s="293"/>
      <c r="S2362" s="316"/>
      <c r="T2362" s="355"/>
    </row>
    <row r="2363" spans="14:20" x14ac:dyDescent="0.25">
      <c r="N2363" s="514"/>
      <c r="R2363" s="293"/>
      <c r="S2363" s="316"/>
      <c r="T2363" s="355"/>
    </row>
    <row r="2364" spans="14:20" x14ac:dyDescent="0.25">
      <c r="N2364" s="514"/>
      <c r="R2364" s="293"/>
      <c r="S2364" s="316"/>
      <c r="T2364" s="355"/>
    </row>
    <row r="2365" spans="14:20" x14ac:dyDescent="0.25">
      <c r="N2365" s="514"/>
      <c r="R2365" s="293"/>
      <c r="S2365" s="316"/>
      <c r="T2365" s="355"/>
    </row>
    <row r="2366" spans="14:20" x14ac:dyDescent="0.25">
      <c r="N2366" s="514"/>
      <c r="R2366" s="293"/>
      <c r="S2366" s="316"/>
      <c r="T2366" s="355"/>
    </row>
    <row r="2367" spans="14:20" x14ac:dyDescent="0.25">
      <c r="N2367" s="514"/>
      <c r="R2367" s="293"/>
      <c r="S2367" s="316"/>
      <c r="T2367" s="355"/>
    </row>
    <row r="2368" spans="14:20" x14ac:dyDescent="0.25">
      <c r="N2368" s="514"/>
      <c r="R2368" s="293"/>
      <c r="S2368" s="316"/>
      <c r="T2368" s="355"/>
    </row>
    <row r="2369" spans="14:20" x14ac:dyDescent="0.25">
      <c r="N2369" s="514"/>
      <c r="R2369" s="293"/>
      <c r="S2369" s="316"/>
      <c r="T2369" s="355"/>
    </row>
    <row r="2370" spans="14:20" x14ac:dyDescent="0.25">
      <c r="N2370" s="514"/>
      <c r="R2370" s="293"/>
      <c r="S2370" s="316"/>
      <c r="T2370" s="355"/>
    </row>
    <row r="2371" spans="14:20" x14ac:dyDescent="0.25">
      <c r="N2371" s="514"/>
      <c r="R2371" s="293"/>
      <c r="S2371" s="316"/>
      <c r="T2371" s="355"/>
    </row>
    <row r="2372" spans="14:20" x14ac:dyDescent="0.25">
      <c r="N2372" s="514"/>
      <c r="R2372" s="293"/>
      <c r="S2372" s="316"/>
      <c r="T2372" s="355"/>
    </row>
    <row r="2373" spans="14:20" x14ac:dyDescent="0.25">
      <c r="N2373" s="514"/>
      <c r="R2373" s="293"/>
      <c r="S2373" s="316"/>
      <c r="T2373" s="355"/>
    </row>
    <row r="2374" spans="14:20" x14ac:dyDescent="0.25">
      <c r="N2374" s="514"/>
      <c r="R2374" s="293"/>
      <c r="S2374" s="316"/>
      <c r="T2374" s="355"/>
    </row>
    <row r="2375" spans="14:20" x14ac:dyDescent="0.25">
      <c r="N2375" s="514"/>
      <c r="R2375" s="293"/>
      <c r="S2375" s="316"/>
      <c r="T2375" s="355"/>
    </row>
    <row r="2376" spans="14:20" x14ac:dyDescent="0.25">
      <c r="N2376" s="514"/>
      <c r="R2376" s="293"/>
      <c r="S2376" s="316"/>
      <c r="T2376" s="355"/>
    </row>
    <row r="2377" spans="14:20" x14ac:dyDescent="0.25">
      <c r="N2377" s="514"/>
      <c r="R2377" s="293"/>
      <c r="S2377" s="316"/>
      <c r="T2377" s="355"/>
    </row>
    <row r="2378" spans="14:20" x14ac:dyDescent="0.25">
      <c r="N2378" s="514"/>
      <c r="R2378" s="293"/>
      <c r="S2378" s="316"/>
      <c r="T2378" s="355"/>
    </row>
    <row r="2379" spans="14:20" x14ac:dyDescent="0.25">
      <c r="N2379" s="514"/>
      <c r="R2379" s="293"/>
      <c r="S2379" s="316"/>
      <c r="T2379" s="355"/>
    </row>
    <row r="2380" spans="14:20" x14ac:dyDescent="0.25">
      <c r="N2380" s="514"/>
      <c r="R2380" s="293"/>
      <c r="S2380" s="316"/>
      <c r="T2380" s="355"/>
    </row>
    <row r="2381" spans="14:20" x14ac:dyDescent="0.25">
      <c r="N2381" s="514"/>
      <c r="R2381" s="293"/>
      <c r="S2381" s="316"/>
      <c r="T2381" s="355"/>
    </row>
    <row r="2382" spans="14:20" x14ac:dyDescent="0.25">
      <c r="N2382" s="514"/>
      <c r="R2382" s="293"/>
      <c r="S2382" s="316"/>
      <c r="T2382" s="355"/>
    </row>
    <row r="2383" spans="14:20" x14ac:dyDescent="0.25">
      <c r="N2383" s="514"/>
      <c r="R2383" s="293"/>
      <c r="S2383" s="316"/>
      <c r="T2383" s="355"/>
    </row>
    <row r="2384" spans="14:20" x14ac:dyDescent="0.25">
      <c r="N2384" s="514"/>
      <c r="R2384" s="293"/>
      <c r="S2384" s="316"/>
      <c r="T2384" s="355"/>
    </row>
    <row r="2385" spans="14:20" x14ac:dyDescent="0.25">
      <c r="N2385" s="514"/>
      <c r="R2385" s="293"/>
      <c r="S2385" s="316"/>
      <c r="T2385" s="355"/>
    </row>
    <row r="2386" spans="14:20" x14ac:dyDescent="0.25">
      <c r="N2386" s="514"/>
      <c r="R2386" s="293"/>
      <c r="S2386" s="316"/>
      <c r="T2386" s="355"/>
    </row>
    <row r="2387" spans="14:20" x14ac:dyDescent="0.25">
      <c r="N2387" s="514"/>
      <c r="R2387" s="293"/>
      <c r="S2387" s="316"/>
      <c r="T2387" s="355"/>
    </row>
    <row r="2388" spans="14:20" x14ac:dyDescent="0.25">
      <c r="N2388" s="514"/>
      <c r="R2388" s="293"/>
      <c r="S2388" s="316"/>
      <c r="T2388" s="355"/>
    </row>
    <row r="2389" spans="14:20" x14ac:dyDescent="0.25">
      <c r="N2389" s="514"/>
      <c r="R2389" s="293"/>
      <c r="S2389" s="316"/>
      <c r="T2389" s="355"/>
    </row>
    <row r="2390" spans="14:20" x14ac:dyDescent="0.25">
      <c r="N2390" s="514"/>
      <c r="R2390" s="293"/>
      <c r="S2390" s="316"/>
      <c r="T2390" s="355"/>
    </row>
    <row r="2391" spans="14:20" x14ac:dyDescent="0.25">
      <c r="N2391" s="514"/>
      <c r="R2391" s="293"/>
      <c r="S2391" s="316"/>
      <c r="T2391" s="355"/>
    </row>
    <row r="2392" spans="14:20" x14ac:dyDescent="0.25">
      <c r="N2392" s="514"/>
      <c r="R2392" s="293"/>
      <c r="S2392" s="316"/>
      <c r="T2392" s="355"/>
    </row>
    <row r="2393" spans="14:20" x14ac:dyDescent="0.25">
      <c r="N2393" s="514"/>
      <c r="R2393" s="293"/>
      <c r="S2393" s="316"/>
      <c r="T2393" s="355"/>
    </row>
    <row r="2394" spans="14:20" x14ac:dyDescent="0.25">
      <c r="N2394" s="514"/>
      <c r="R2394" s="293"/>
      <c r="S2394" s="316"/>
      <c r="T2394" s="355"/>
    </row>
    <row r="2395" spans="14:20" x14ac:dyDescent="0.25">
      <c r="N2395" s="514"/>
      <c r="R2395" s="293"/>
      <c r="S2395" s="316"/>
      <c r="T2395" s="355"/>
    </row>
    <row r="2396" spans="14:20" x14ac:dyDescent="0.25">
      <c r="N2396" s="514"/>
      <c r="R2396" s="293"/>
      <c r="S2396" s="316"/>
      <c r="T2396" s="355"/>
    </row>
    <row r="2397" spans="14:20" x14ac:dyDescent="0.25">
      <c r="N2397" s="514"/>
      <c r="R2397" s="293"/>
      <c r="S2397" s="316"/>
      <c r="T2397" s="355"/>
    </row>
    <row r="2398" spans="14:20" x14ac:dyDescent="0.25">
      <c r="N2398" s="514"/>
      <c r="R2398" s="293"/>
      <c r="S2398" s="316"/>
      <c r="T2398" s="355"/>
    </row>
    <row r="2399" spans="14:20" x14ac:dyDescent="0.25">
      <c r="N2399" s="514"/>
      <c r="R2399" s="293"/>
      <c r="S2399" s="316"/>
      <c r="T2399" s="355"/>
    </row>
    <row r="2400" spans="14:20" x14ac:dyDescent="0.25">
      <c r="N2400" s="514"/>
      <c r="R2400" s="293"/>
      <c r="S2400" s="316"/>
      <c r="T2400" s="355"/>
    </row>
    <row r="2401" spans="14:20" x14ac:dyDescent="0.25">
      <c r="N2401" s="514"/>
      <c r="R2401" s="293"/>
      <c r="S2401" s="316"/>
      <c r="T2401" s="355"/>
    </row>
    <row r="2402" spans="14:20" x14ac:dyDescent="0.25">
      <c r="N2402" s="514"/>
      <c r="R2402" s="293"/>
      <c r="S2402" s="316"/>
      <c r="T2402" s="355"/>
    </row>
    <row r="2403" spans="14:20" x14ac:dyDescent="0.25">
      <c r="N2403" s="514"/>
      <c r="R2403" s="293"/>
      <c r="S2403" s="316"/>
      <c r="T2403" s="355"/>
    </row>
    <row r="2404" spans="14:20" x14ac:dyDescent="0.25">
      <c r="N2404" s="514"/>
      <c r="R2404" s="293"/>
      <c r="S2404" s="316"/>
      <c r="T2404" s="355"/>
    </row>
    <row r="2405" spans="14:20" x14ac:dyDescent="0.25">
      <c r="N2405" s="514"/>
      <c r="R2405" s="293"/>
      <c r="S2405" s="316"/>
      <c r="T2405" s="355"/>
    </row>
    <row r="2406" spans="14:20" x14ac:dyDescent="0.25">
      <c r="N2406" s="514"/>
      <c r="R2406" s="293"/>
      <c r="S2406" s="316"/>
      <c r="T2406" s="355"/>
    </row>
    <row r="2407" spans="14:20" x14ac:dyDescent="0.25">
      <c r="N2407" s="514"/>
      <c r="R2407" s="293"/>
      <c r="S2407" s="316"/>
      <c r="T2407" s="355"/>
    </row>
    <row r="2408" spans="14:20" x14ac:dyDescent="0.25">
      <c r="N2408" s="514"/>
      <c r="R2408" s="293"/>
      <c r="S2408" s="316"/>
      <c r="T2408" s="355"/>
    </row>
    <row r="2409" spans="14:20" x14ac:dyDescent="0.25">
      <c r="N2409" s="514"/>
      <c r="R2409" s="293"/>
      <c r="S2409" s="316"/>
      <c r="T2409" s="355"/>
    </row>
    <row r="2410" spans="14:20" x14ac:dyDescent="0.25">
      <c r="N2410" s="514"/>
      <c r="R2410" s="293"/>
      <c r="S2410" s="316"/>
      <c r="T2410" s="355"/>
    </row>
    <row r="2411" spans="14:20" x14ac:dyDescent="0.25">
      <c r="N2411" s="514"/>
      <c r="R2411" s="293"/>
      <c r="S2411" s="316"/>
      <c r="T2411" s="355"/>
    </row>
    <row r="2412" spans="14:20" x14ac:dyDescent="0.25">
      <c r="N2412" s="514"/>
      <c r="R2412" s="293"/>
      <c r="S2412" s="316"/>
      <c r="T2412" s="355"/>
    </row>
    <row r="2413" spans="14:20" x14ac:dyDescent="0.25">
      <c r="N2413" s="514"/>
      <c r="R2413" s="293"/>
      <c r="S2413" s="316"/>
      <c r="T2413" s="355"/>
    </row>
    <row r="2414" spans="14:20" x14ac:dyDescent="0.25">
      <c r="N2414" s="514"/>
      <c r="R2414" s="293"/>
      <c r="S2414" s="316"/>
      <c r="T2414" s="355"/>
    </row>
    <row r="2415" spans="14:20" x14ac:dyDescent="0.25">
      <c r="N2415" s="514"/>
      <c r="R2415" s="293"/>
      <c r="S2415" s="316"/>
      <c r="T2415" s="355"/>
    </row>
    <row r="2416" spans="14:20" x14ac:dyDescent="0.25">
      <c r="N2416" s="514"/>
      <c r="R2416" s="293"/>
      <c r="S2416" s="316"/>
      <c r="T2416" s="355"/>
    </row>
    <row r="2417" spans="14:20" x14ac:dyDescent="0.25">
      <c r="N2417" s="514"/>
      <c r="R2417" s="293"/>
      <c r="S2417" s="316"/>
      <c r="T2417" s="355"/>
    </row>
    <row r="2418" spans="14:20" x14ac:dyDescent="0.25">
      <c r="N2418" s="514"/>
      <c r="R2418" s="293"/>
      <c r="S2418" s="316"/>
      <c r="T2418" s="355"/>
    </row>
    <row r="2419" spans="14:20" x14ac:dyDescent="0.25">
      <c r="N2419" s="514"/>
      <c r="R2419" s="293"/>
      <c r="S2419" s="316"/>
      <c r="T2419" s="355"/>
    </row>
    <row r="2420" spans="14:20" x14ac:dyDescent="0.25">
      <c r="N2420" s="514"/>
      <c r="R2420" s="293"/>
      <c r="S2420" s="316"/>
      <c r="T2420" s="355"/>
    </row>
    <row r="2421" spans="14:20" x14ac:dyDescent="0.25">
      <c r="N2421" s="514"/>
      <c r="R2421" s="293"/>
      <c r="S2421" s="316"/>
      <c r="T2421" s="355"/>
    </row>
    <row r="2422" spans="14:20" x14ac:dyDescent="0.25">
      <c r="N2422" s="514"/>
      <c r="R2422" s="293"/>
      <c r="S2422" s="316"/>
      <c r="T2422" s="355"/>
    </row>
    <row r="2423" spans="14:20" x14ac:dyDescent="0.25">
      <c r="N2423" s="514"/>
      <c r="R2423" s="293"/>
      <c r="S2423" s="316"/>
      <c r="T2423" s="355"/>
    </row>
    <row r="2424" spans="14:20" x14ac:dyDescent="0.25">
      <c r="N2424" s="514"/>
      <c r="R2424" s="293"/>
      <c r="S2424" s="316"/>
      <c r="T2424" s="355"/>
    </row>
    <row r="2425" spans="14:20" x14ac:dyDescent="0.25">
      <c r="N2425" s="514"/>
      <c r="R2425" s="293"/>
      <c r="S2425" s="316"/>
      <c r="T2425" s="355"/>
    </row>
    <row r="2426" spans="14:20" x14ac:dyDescent="0.25">
      <c r="N2426" s="514"/>
      <c r="R2426" s="293"/>
      <c r="S2426" s="316"/>
      <c r="T2426" s="355"/>
    </row>
    <row r="2427" spans="14:20" x14ac:dyDescent="0.25">
      <c r="N2427" s="514"/>
      <c r="R2427" s="293"/>
      <c r="S2427" s="316"/>
      <c r="T2427" s="355"/>
    </row>
    <row r="2428" spans="14:20" x14ac:dyDescent="0.25">
      <c r="N2428" s="514"/>
      <c r="R2428" s="293"/>
      <c r="S2428" s="316"/>
      <c r="T2428" s="355"/>
    </row>
    <row r="2429" spans="14:20" x14ac:dyDescent="0.25">
      <c r="N2429" s="514"/>
      <c r="R2429" s="293"/>
      <c r="S2429" s="316"/>
      <c r="T2429" s="355"/>
    </row>
    <row r="2430" spans="14:20" x14ac:dyDescent="0.25">
      <c r="N2430" s="514"/>
      <c r="R2430" s="293"/>
      <c r="S2430" s="316"/>
      <c r="T2430" s="355"/>
    </row>
    <row r="2431" spans="14:20" x14ac:dyDescent="0.25">
      <c r="N2431" s="514"/>
      <c r="R2431" s="293"/>
      <c r="S2431" s="316"/>
      <c r="T2431" s="355"/>
    </row>
    <row r="2432" spans="14:20" x14ac:dyDescent="0.25">
      <c r="N2432" s="514"/>
      <c r="R2432" s="293"/>
      <c r="S2432" s="316"/>
      <c r="T2432" s="355"/>
    </row>
    <row r="2433" spans="14:20" x14ac:dyDescent="0.25">
      <c r="N2433" s="514"/>
      <c r="R2433" s="293"/>
      <c r="S2433" s="316"/>
      <c r="T2433" s="355"/>
    </row>
    <row r="2434" spans="14:20" x14ac:dyDescent="0.25">
      <c r="N2434" s="514"/>
      <c r="R2434" s="293"/>
      <c r="S2434" s="316"/>
      <c r="T2434" s="355"/>
    </row>
    <row r="2435" spans="14:20" x14ac:dyDescent="0.25">
      <c r="N2435" s="514"/>
      <c r="R2435" s="293"/>
      <c r="S2435" s="316"/>
      <c r="T2435" s="355"/>
    </row>
    <row r="2436" spans="14:20" x14ac:dyDescent="0.25">
      <c r="N2436" s="514"/>
      <c r="R2436" s="293"/>
      <c r="S2436" s="316"/>
      <c r="T2436" s="355"/>
    </row>
    <row r="2437" spans="14:20" x14ac:dyDescent="0.25">
      <c r="N2437" s="514"/>
      <c r="R2437" s="293"/>
      <c r="S2437" s="316"/>
      <c r="T2437" s="355"/>
    </row>
    <row r="2438" spans="14:20" x14ac:dyDescent="0.25">
      <c r="N2438" s="514"/>
      <c r="R2438" s="293"/>
      <c r="S2438" s="316"/>
      <c r="T2438" s="355"/>
    </row>
    <row r="2439" spans="14:20" x14ac:dyDescent="0.25">
      <c r="N2439" s="514"/>
      <c r="R2439" s="293"/>
      <c r="S2439" s="316"/>
      <c r="T2439" s="355"/>
    </row>
    <row r="2440" spans="14:20" x14ac:dyDescent="0.25">
      <c r="N2440" s="514"/>
      <c r="R2440" s="293"/>
      <c r="S2440" s="316"/>
      <c r="T2440" s="355"/>
    </row>
    <row r="2441" spans="14:20" x14ac:dyDescent="0.25">
      <c r="N2441" s="514"/>
      <c r="R2441" s="293"/>
      <c r="S2441" s="316"/>
      <c r="T2441" s="355"/>
    </row>
    <row r="2442" spans="14:20" x14ac:dyDescent="0.25">
      <c r="N2442" s="514"/>
      <c r="R2442" s="293"/>
      <c r="S2442" s="316"/>
      <c r="T2442" s="355"/>
    </row>
    <row r="2443" spans="14:20" x14ac:dyDescent="0.25">
      <c r="N2443" s="514"/>
      <c r="R2443" s="293"/>
      <c r="S2443" s="316"/>
      <c r="T2443" s="355"/>
    </row>
    <row r="2444" spans="14:20" x14ac:dyDescent="0.25">
      <c r="N2444" s="514"/>
      <c r="R2444" s="293"/>
      <c r="S2444" s="316"/>
      <c r="T2444" s="355"/>
    </row>
    <row r="2445" spans="14:20" x14ac:dyDescent="0.25">
      <c r="N2445" s="514"/>
      <c r="R2445" s="293"/>
      <c r="S2445" s="316"/>
      <c r="T2445" s="355"/>
    </row>
    <row r="2446" spans="14:20" x14ac:dyDescent="0.25">
      <c r="N2446" s="514"/>
      <c r="R2446" s="293"/>
      <c r="S2446" s="316"/>
      <c r="T2446" s="355"/>
    </row>
    <row r="2447" spans="14:20" x14ac:dyDescent="0.25">
      <c r="N2447" s="514"/>
      <c r="R2447" s="293"/>
      <c r="S2447" s="316"/>
      <c r="T2447" s="355"/>
    </row>
    <row r="2448" spans="14:20" x14ac:dyDescent="0.25">
      <c r="N2448" s="514"/>
      <c r="R2448" s="293"/>
      <c r="S2448" s="316"/>
      <c r="T2448" s="355"/>
    </row>
    <row r="2449" spans="14:20" x14ac:dyDescent="0.25">
      <c r="N2449" s="514"/>
      <c r="R2449" s="293"/>
      <c r="S2449" s="316"/>
      <c r="T2449" s="355"/>
    </row>
    <row r="2450" spans="14:20" x14ac:dyDescent="0.25">
      <c r="N2450" s="514"/>
      <c r="R2450" s="293"/>
      <c r="S2450" s="316"/>
      <c r="T2450" s="355"/>
    </row>
    <row r="2451" spans="14:20" x14ac:dyDescent="0.25">
      <c r="N2451" s="514"/>
      <c r="R2451" s="293"/>
      <c r="S2451" s="316"/>
      <c r="T2451" s="355"/>
    </row>
    <row r="2452" spans="14:20" x14ac:dyDescent="0.25">
      <c r="N2452" s="514"/>
      <c r="R2452" s="293"/>
      <c r="S2452" s="316"/>
      <c r="T2452" s="355"/>
    </row>
    <row r="2453" spans="14:20" x14ac:dyDescent="0.25">
      <c r="N2453" s="514"/>
      <c r="R2453" s="293"/>
      <c r="S2453" s="316"/>
      <c r="T2453" s="355"/>
    </row>
    <row r="2454" spans="14:20" x14ac:dyDescent="0.25">
      <c r="N2454" s="514"/>
      <c r="R2454" s="293"/>
      <c r="S2454" s="316"/>
      <c r="T2454" s="355"/>
    </row>
    <row r="2455" spans="14:20" x14ac:dyDescent="0.25">
      <c r="N2455" s="514"/>
      <c r="R2455" s="293"/>
      <c r="S2455" s="316"/>
      <c r="T2455" s="355"/>
    </row>
    <row r="2456" spans="14:20" x14ac:dyDescent="0.25">
      <c r="N2456" s="514"/>
      <c r="R2456" s="293"/>
      <c r="S2456" s="316"/>
      <c r="T2456" s="355"/>
    </row>
    <row r="2457" spans="14:20" x14ac:dyDescent="0.25">
      <c r="N2457" s="514"/>
      <c r="R2457" s="293"/>
      <c r="S2457" s="316"/>
      <c r="T2457" s="355"/>
    </row>
    <row r="2458" spans="14:20" x14ac:dyDescent="0.25">
      <c r="N2458" s="514"/>
      <c r="R2458" s="293"/>
      <c r="S2458" s="316"/>
      <c r="T2458" s="355"/>
    </row>
    <row r="2459" spans="14:20" x14ac:dyDescent="0.25">
      <c r="N2459" s="514"/>
      <c r="R2459" s="293"/>
      <c r="S2459" s="316"/>
      <c r="T2459" s="355"/>
    </row>
    <row r="2460" spans="14:20" x14ac:dyDescent="0.25">
      <c r="N2460" s="514"/>
      <c r="R2460" s="293"/>
      <c r="S2460" s="316"/>
      <c r="T2460" s="355"/>
    </row>
    <row r="2461" spans="14:20" x14ac:dyDescent="0.25">
      <c r="N2461" s="514"/>
      <c r="R2461" s="293"/>
      <c r="S2461" s="316"/>
      <c r="T2461" s="355"/>
    </row>
    <row r="2462" spans="14:20" x14ac:dyDescent="0.25">
      <c r="N2462" s="514"/>
      <c r="R2462" s="293"/>
      <c r="S2462" s="316"/>
      <c r="T2462" s="355"/>
    </row>
    <row r="2463" spans="14:20" x14ac:dyDescent="0.25">
      <c r="N2463" s="514"/>
      <c r="R2463" s="293"/>
      <c r="S2463" s="316"/>
      <c r="T2463" s="355"/>
    </row>
    <row r="2464" spans="14:20" x14ac:dyDescent="0.25">
      <c r="N2464" s="514"/>
      <c r="R2464" s="293"/>
      <c r="S2464" s="316"/>
      <c r="T2464" s="355"/>
    </row>
    <row r="2465" spans="14:20" x14ac:dyDescent="0.25">
      <c r="N2465" s="514"/>
      <c r="R2465" s="293"/>
      <c r="S2465" s="316"/>
      <c r="T2465" s="355"/>
    </row>
    <row r="2466" spans="14:20" x14ac:dyDescent="0.25">
      <c r="N2466" s="514"/>
      <c r="R2466" s="293"/>
      <c r="S2466" s="316"/>
      <c r="T2466" s="355"/>
    </row>
    <row r="2467" spans="14:20" x14ac:dyDescent="0.25">
      <c r="N2467" s="514"/>
      <c r="R2467" s="293"/>
      <c r="S2467" s="316"/>
      <c r="T2467" s="355"/>
    </row>
    <row r="2468" spans="14:20" x14ac:dyDescent="0.25">
      <c r="N2468" s="514"/>
      <c r="R2468" s="293"/>
      <c r="S2468" s="316"/>
      <c r="T2468" s="355"/>
    </row>
    <row r="2469" spans="14:20" x14ac:dyDescent="0.25">
      <c r="N2469" s="514"/>
      <c r="R2469" s="293"/>
      <c r="S2469" s="316"/>
      <c r="T2469" s="355"/>
    </row>
    <row r="2470" spans="14:20" x14ac:dyDescent="0.25">
      <c r="N2470" s="514"/>
      <c r="R2470" s="293"/>
      <c r="S2470" s="316"/>
      <c r="T2470" s="355"/>
    </row>
    <row r="2471" spans="14:20" x14ac:dyDescent="0.25">
      <c r="N2471" s="514"/>
      <c r="R2471" s="293"/>
      <c r="S2471" s="316"/>
      <c r="T2471" s="355"/>
    </row>
    <row r="2472" spans="14:20" x14ac:dyDescent="0.25">
      <c r="N2472" s="514"/>
      <c r="R2472" s="293"/>
      <c r="S2472" s="316"/>
      <c r="T2472" s="355"/>
    </row>
    <row r="2473" spans="14:20" x14ac:dyDescent="0.25">
      <c r="N2473" s="514"/>
      <c r="R2473" s="293"/>
      <c r="S2473" s="316"/>
      <c r="T2473" s="355"/>
    </row>
    <row r="2474" spans="14:20" x14ac:dyDescent="0.25">
      <c r="N2474" s="514"/>
      <c r="R2474" s="293"/>
      <c r="S2474" s="316"/>
      <c r="T2474" s="355"/>
    </row>
    <row r="2475" spans="14:20" x14ac:dyDescent="0.25">
      <c r="N2475" s="514"/>
      <c r="R2475" s="293"/>
      <c r="S2475" s="316"/>
      <c r="T2475" s="355"/>
    </row>
    <row r="2476" spans="14:20" x14ac:dyDescent="0.25">
      <c r="N2476" s="514"/>
      <c r="R2476" s="293"/>
      <c r="S2476" s="316"/>
      <c r="T2476" s="355"/>
    </row>
    <row r="2477" spans="14:20" x14ac:dyDescent="0.25">
      <c r="N2477" s="514"/>
      <c r="R2477" s="293"/>
      <c r="S2477" s="316"/>
      <c r="T2477" s="355"/>
    </row>
    <row r="2478" spans="14:20" x14ac:dyDescent="0.25">
      <c r="N2478" s="514"/>
      <c r="R2478" s="293"/>
      <c r="S2478" s="316"/>
      <c r="T2478" s="355"/>
    </row>
    <row r="2479" spans="14:20" x14ac:dyDescent="0.25">
      <c r="N2479" s="514"/>
      <c r="R2479" s="293"/>
      <c r="S2479" s="316"/>
      <c r="T2479" s="355"/>
    </row>
    <row r="2480" spans="14:20" x14ac:dyDescent="0.25">
      <c r="N2480" s="514"/>
      <c r="R2480" s="293"/>
      <c r="S2480" s="316"/>
      <c r="T2480" s="355"/>
    </row>
    <row r="2481" spans="14:20" x14ac:dyDescent="0.25">
      <c r="N2481" s="514"/>
      <c r="R2481" s="293"/>
      <c r="S2481" s="316"/>
      <c r="T2481" s="355"/>
    </row>
    <row r="2482" spans="14:20" x14ac:dyDescent="0.25">
      <c r="N2482" s="514"/>
      <c r="R2482" s="293"/>
      <c r="S2482" s="316"/>
      <c r="T2482" s="355"/>
    </row>
    <row r="2483" spans="14:20" x14ac:dyDescent="0.25">
      <c r="N2483" s="514"/>
      <c r="R2483" s="293"/>
      <c r="S2483" s="316"/>
      <c r="T2483" s="355"/>
    </row>
    <row r="2484" spans="14:20" x14ac:dyDescent="0.25">
      <c r="N2484" s="514"/>
      <c r="R2484" s="293"/>
      <c r="S2484" s="316"/>
      <c r="T2484" s="355"/>
    </row>
    <row r="2485" spans="14:20" x14ac:dyDescent="0.25">
      <c r="N2485" s="514"/>
      <c r="R2485" s="293"/>
      <c r="S2485" s="316"/>
      <c r="T2485" s="355"/>
    </row>
    <row r="2486" spans="14:20" x14ac:dyDescent="0.25">
      <c r="N2486" s="514"/>
      <c r="R2486" s="293"/>
      <c r="S2486" s="316"/>
      <c r="T2486" s="355"/>
    </row>
    <row r="2487" spans="14:20" x14ac:dyDescent="0.25">
      <c r="N2487" s="514"/>
      <c r="R2487" s="293"/>
      <c r="S2487" s="316"/>
      <c r="T2487" s="355"/>
    </row>
    <row r="2488" spans="14:20" x14ac:dyDescent="0.25">
      <c r="N2488" s="514"/>
      <c r="R2488" s="293"/>
      <c r="S2488" s="316"/>
      <c r="T2488" s="355"/>
    </row>
    <row r="2489" spans="14:20" x14ac:dyDescent="0.25">
      <c r="N2489" s="514"/>
      <c r="R2489" s="293"/>
      <c r="S2489" s="316"/>
      <c r="T2489" s="355"/>
    </row>
    <row r="2490" spans="14:20" x14ac:dyDescent="0.25">
      <c r="N2490" s="514"/>
      <c r="R2490" s="293"/>
      <c r="S2490" s="316"/>
      <c r="T2490" s="355"/>
    </row>
    <row r="2491" spans="14:20" x14ac:dyDescent="0.25">
      <c r="N2491" s="514"/>
      <c r="R2491" s="293"/>
      <c r="S2491" s="316"/>
      <c r="T2491" s="355"/>
    </row>
    <row r="2492" spans="14:20" x14ac:dyDescent="0.25">
      <c r="N2492" s="514"/>
      <c r="R2492" s="293"/>
      <c r="S2492" s="316"/>
      <c r="T2492" s="355"/>
    </row>
    <row r="2493" spans="14:20" x14ac:dyDescent="0.25">
      <c r="N2493" s="514"/>
      <c r="R2493" s="293"/>
      <c r="S2493" s="316"/>
      <c r="T2493" s="355"/>
    </row>
    <row r="2494" spans="14:20" x14ac:dyDescent="0.25">
      <c r="N2494" s="514"/>
      <c r="R2494" s="293"/>
      <c r="S2494" s="316"/>
      <c r="T2494" s="355"/>
    </row>
    <row r="2495" spans="14:20" x14ac:dyDescent="0.25">
      <c r="N2495" s="514"/>
      <c r="R2495" s="293"/>
      <c r="S2495" s="316"/>
      <c r="T2495" s="355"/>
    </row>
    <row r="2496" spans="14:20" x14ac:dyDescent="0.25">
      <c r="N2496" s="514"/>
      <c r="R2496" s="293"/>
      <c r="S2496" s="316"/>
      <c r="T2496" s="355"/>
    </row>
    <row r="2497" spans="14:20" x14ac:dyDescent="0.25">
      <c r="N2497" s="514"/>
      <c r="R2497" s="293"/>
      <c r="S2497" s="316"/>
      <c r="T2497" s="355"/>
    </row>
    <row r="2498" spans="14:20" x14ac:dyDescent="0.25">
      <c r="N2498" s="514"/>
      <c r="R2498" s="293"/>
      <c r="S2498" s="316"/>
      <c r="T2498" s="355"/>
    </row>
    <row r="2499" spans="14:20" x14ac:dyDescent="0.25">
      <c r="N2499" s="514"/>
      <c r="R2499" s="293"/>
      <c r="S2499" s="316"/>
      <c r="T2499" s="355"/>
    </row>
    <row r="2500" spans="14:20" x14ac:dyDescent="0.25">
      <c r="N2500" s="514"/>
      <c r="R2500" s="293"/>
      <c r="S2500" s="316"/>
      <c r="T2500" s="355"/>
    </row>
    <row r="2501" spans="14:20" x14ac:dyDescent="0.25">
      <c r="N2501" s="514"/>
      <c r="R2501" s="293"/>
      <c r="S2501" s="316"/>
      <c r="T2501" s="355"/>
    </row>
    <row r="2502" spans="14:20" x14ac:dyDescent="0.25">
      <c r="N2502" s="514"/>
      <c r="R2502" s="293"/>
      <c r="S2502" s="316"/>
      <c r="T2502" s="355"/>
    </row>
    <row r="2503" spans="14:20" x14ac:dyDescent="0.25">
      <c r="N2503" s="514"/>
      <c r="R2503" s="293"/>
      <c r="S2503" s="316"/>
      <c r="T2503" s="355"/>
    </row>
    <row r="2504" spans="14:20" x14ac:dyDescent="0.25">
      <c r="N2504" s="514"/>
      <c r="R2504" s="293"/>
      <c r="S2504" s="316"/>
      <c r="T2504" s="355"/>
    </row>
    <row r="2505" spans="14:20" x14ac:dyDescent="0.25">
      <c r="N2505" s="514"/>
      <c r="R2505" s="293"/>
      <c r="S2505" s="316"/>
      <c r="T2505" s="355"/>
    </row>
    <row r="2506" spans="14:20" x14ac:dyDescent="0.25">
      <c r="N2506" s="514"/>
      <c r="R2506" s="293"/>
      <c r="S2506" s="316"/>
      <c r="T2506" s="355"/>
    </row>
    <row r="2507" spans="14:20" x14ac:dyDescent="0.25">
      <c r="N2507" s="514"/>
      <c r="R2507" s="293"/>
      <c r="S2507" s="316"/>
      <c r="T2507" s="355"/>
    </row>
    <row r="2508" spans="14:20" x14ac:dyDescent="0.25">
      <c r="N2508" s="514"/>
      <c r="R2508" s="293"/>
      <c r="S2508" s="316"/>
      <c r="T2508" s="355"/>
    </row>
    <row r="2509" spans="14:20" x14ac:dyDescent="0.25">
      <c r="N2509" s="514"/>
      <c r="R2509" s="293"/>
      <c r="S2509" s="316"/>
      <c r="T2509" s="355"/>
    </row>
    <row r="2510" spans="14:20" x14ac:dyDescent="0.25">
      <c r="N2510" s="514"/>
      <c r="R2510" s="293"/>
      <c r="S2510" s="316"/>
      <c r="T2510" s="355"/>
    </row>
    <row r="2511" spans="14:20" x14ac:dyDescent="0.25">
      <c r="N2511" s="514"/>
      <c r="R2511" s="293"/>
      <c r="S2511" s="316"/>
      <c r="T2511" s="355"/>
    </row>
    <row r="2512" spans="14:20" x14ac:dyDescent="0.25">
      <c r="N2512" s="514"/>
      <c r="R2512" s="293"/>
      <c r="S2512" s="316"/>
      <c r="T2512" s="355"/>
    </row>
    <row r="2513" spans="14:20" x14ac:dyDescent="0.25">
      <c r="N2513" s="514"/>
      <c r="R2513" s="293"/>
      <c r="S2513" s="316"/>
      <c r="T2513" s="355"/>
    </row>
    <row r="2514" spans="14:20" x14ac:dyDescent="0.25">
      <c r="N2514" s="514"/>
      <c r="R2514" s="293"/>
      <c r="S2514" s="316"/>
      <c r="T2514" s="355"/>
    </row>
    <row r="2515" spans="14:20" x14ac:dyDescent="0.25">
      <c r="N2515" s="514"/>
      <c r="R2515" s="293"/>
      <c r="S2515" s="316"/>
      <c r="T2515" s="355"/>
    </row>
    <row r="2516" spans="14:20" x14ac:dyDescent="0.25">
      <c r="N2516" s="514"/>
      <c r="R2516" s="293"/>
      <c r="S2516" s="316"/>
      <c r="T2516" s="355"/>
    </row>
    <row r="2517" spans="14:20" x14ac:dyDescent="0.25">
      <c r="N2517" s="514"/>
      <c r="R2517" s="293"/>
      <c r="S2517" s="316"/>
      <c r="T2517" s="355"/>
    </row>
    <row r="2518" spans="14:20" x14ac:dyDescent="0.25">
      <c r="N2518" s="514"/>
      <c r="R2518" s="293"/>
      <c r="S2518" s="316"/>
      <c r="T2518" s="355"/>
    </row>
    <row r="2519" spans="14:20" x14ac:dyDescent="0.25">
      <c r="N2519" s="514"/>
      <c r="R2519" s="293"/>
      <c r="S2519" s="316"/>
      <c r="T2519" s="355"/>
    </row>
    <row r="2520" spans="14:20" x14ac:dyDescent="0.25">
      <c r="N2520" s="514"/>
      <c r="R2520" s="293"/>
      <c r="S2520" s="316"/>
      <c r="T2520" s="355"/>
    </row>
    <row r="2521" spans="14:20" x14ac:dyDescent="0.25">
      <c r="N2521" s="514"/>
      <c r="R2521" s="293"/>
      <c r="S2521" s="316"/>
      <c r="T2521" s="355"/>
    </row>
    <row r="2522" spans="14:20" x14ac:dyDescent="0.25">
      <c r="N2522" s="514"/>
      <c r="R2522" s="293"/>
      <c r="S2522" s="316"/>
      <c r="T2522" s="355"/>
    </row>
    <row r="2523" spans="14:20" x14ac:dyDescent="0.25">
      <c r="N2523" s="514"/>
      <c r="R2523" s="293"/>
      <c r="S2523" s="316"/>
      <c r="T2523" s="355"/>
    </row>
    <row r="2524" spans="14:20" x14ac:dyDescent="0.25">
      <c r="N2524" s="514"/>
      <c r="R2524" s="293"/>
      <c r="S2524" s="316"/>
      <c r="T2524" s="355"/>
    </row>
    <row r="2525" spans="14:20" x14ac:dyDescent="0.25">
      <c r="N2525" s="514"/>
      <c r="R2525" s="293"/>
      <c r="S2525" s="316"/>
      <c r="T2525" s="355"/>
    </row>
    <row r="2526" spans="14:20" x14ac:dyDescent="0.25">
      <c r="N2526" s="514"/>
      <c r="R2526" s="293"/>
      <c r="S2526" s="316"/>
      <c r="T2526" s="355"/>
    </row>
    <row r="2527" spans="14:20" x14ac:dyDescent="0.25">
      <c r="N2527" s="514"/>
      <c r="R2527" s="293"/>
      <c r="S2527" s="316"/>
      <c r="T2527" s="355"/>
    </row>
    <row r="2528" spans="14:20" x14ac:dyDescent="0.25">
      <c r="N2528" s="514"/>
      <c r="R2528" s="293"/>
      <c r="S2528" s="316"/>
      <c r="T2528" s="355"/>
    </row>
    <row r="2529" spans="14:20" x14ac:dyDescent="0.25">
      <c r="N2529" s="514"/>
      <c r="R2529" s="293"/>
      <c r="S2529" s="316"/>
      <c r="T2529" s="355"/>
    </row>
    <row r="2530" spans="14:20" x14ac:dyDescent="0.25">
      <c r="N2530" s="514"/>
      <c r="R2530" s="293"/>
      <c r="S2530" s="316"/>
      <c r="T2530" s="355"/>
    </row>
    <row r="2531" spans="14:20" x14ac:dyDescent="0.25">
      <c r="N2531" s="514"/>
      <c r="R2531" s="293"/>
      <c r="S2531" s="316"/>
      <c r="T2531" s="355"/>
    </row>
    <row r="2532" spans="14:20" x14ac:dyDescent="0.25">
      <c r="N2532" s="514"/>
      <c r="R2532" s="293"/>
      <c r="S2532" s="316"/>
      <c r="T2532" s="355"/>
    </row>
    <row r="2533" spans="14:20" x14ac:dyDescent="0.25">
      <c r="N2533" s="514"/>
      <c r="R2533" s="293"/>
      <c r="S2533" s="316"/>
      <c r="T2533" s="355"/>
    </row>
    <row r="2534" spans="14:20" x14ac:dyDescent="0.25">
      <c r="N2534" s="514"/>
      <c r="R2534" s="293"/>
      <c r="S2534" s="316"/>
      <c r="T2534" s="355"/>
    </row>
    <row r="2535" spans="14:20" x14ac:dyDescent="0.25">
      <c r="N2535" s="514"/>
      <c r="R2535" s="293"/>
      <c r="S2535" s="316"/>
      <c r="T2535" s="355"/>
    </row>
    <row r="2536" spans="14:20" x14ac:dyDescent="0.25">
      <c r="N2536" s="514"/>
      <c r="R2536" s="293"/>
      <c r="S2536" s="316"/>
      <c r="T2536" s="355"/>
    </row>
    <row r="2537" spans="14:20" x14ac:dyDescent="0.25">
      <c r="N2537" s="514"/>
      <c r="R2537" s="293"/>
      <c r="S2537" s="316"/>
      <c r="T2537" s="355"/>
    </row>
    <row r="2538" spans="14:20" x14ac:dyDescent="0.25">
      <c r="N2538" s="514"/>
      <c r="R2538" s="293"/>
      <c r="S2538" s="316"/>
      <c r="T2538" s="355"/>
    </row>
    <row r="2539" spans="14:20" x14ac:dyDescent="0.25">
      <c r="N2539" s="514"/>
      <c r="R2539" s="293"/>
      <c r="S2539" s="316"/>
      <c r="T2539" s="355"/>
    </row>
    <row r="2540" spans="14:20" x14ac:dyDescent="0.25">
      <c r="N2540" s="514"/>
      <c r="R2540" s="293"/>
      <c r="S2540" s="316"/>
      <c r="T2540" s="355"/>
    </row>
    <row r="2541" spans="14:20" x14ac:dyDescent="0.25">
      <c r="N2541" s="514"/>
      <c r="R2541" s="293"/>
      <c r="S2541" s="316"/>
      <c r="T2541" s="355"/>
    </row>
    <row r="2542" spans="14:20" x14ac:dyDescent="0.25">
      <c r="N2542" s="514"/>
      <c r="R2542" s="293"/>
      <c r="S2542" s="316"/>
      <c r="T2542" s="355"/>
    </row>
    <row r="2543" spans="14:20" x14ac:dyDescent="0.25">
      <c r="N2543" s="514"/>
      <c r="R2543" s="293"/>
      <c r="S2543" s="316"/>
      <c r="T2543" s="355"/>
    </row>
    <row r="2544" spans="14:20" x14ac:dyDescent="0.25">
      <c r="N2544" s="514"/>
      <c r="R2544" s="293"/>
      <c r="S2544" s="316"/>
      <c r="T2544" s="355"/>
    </row>
    <row r="2545" spans="14:20" x14ac:dyDescent="0.25">
      <c r="N2545" s="514"/>
      <c r="R2545" s="293"/>
      <c r="S2545" s="316"/>
      <c r="T2545" s="355"/>
    </row>
    <row r="2546" spans="14:20" x14ac:dyDescent="0.25">
      <c r="N2546" s="514"/>
      <c r="R2546" s="293"/>
      <c r="S2546" s="316"/>
      <c r="T2546" s="355"/>
    </row>
    <row r="2547" spans="14:20" x14ac:dyDescent="0.25">
      <c r="N2547" s="514"/>
      <c r="R2547" s="293"/>
      <c r="S2547" s="316"/>
      <c r="T2547" s="355"/>
    </row>
    <row r="2548" spans="14:20" x14ac:dyDescent="0.25">
      <c r="N2548" s="514"/>
      <c r="R2548" s="293"/>
      <c r="S2548" s="316"/>
      <c r="T2548" s="355"/>
    </row>
    <row r="2549" spans="14:20" x14ac:dyDescent="0.25">
      <c r="N2549" s="514"/>
      <c r="R2549" s="293"/>
      <c r="S2549" s="316"/>
      <c r="T2549" s="355"/>
    </row>
    <row r="2550" spans="14:20" x14ac:dyDescent="0.25">
      <c r="N2550" s="514"/>
      <c r="R2550" s="293"/>
      <c r="S2550" s="316"/>
      <c r="T2550" s="355"/>
    </row>
    <row r="2551" spans="14:20" x14ac:dyDescent="0.25">
      <c r="N2551" s="514"/>
      <c r="R2551" s="293"/>
      <c r="S2551" s="316"/>
      <c r="T2551" s="355"/>
    </row>
    <row r="2552" spans="14:20" x14ac:dyDescent="0.25">
      <c r="N2552" s="514"/>
      <c r="R2552" s="293"/>
      <c r="S2552" s="316"/>
      <c r="T2552" s="355"/>
    </row>
    <row r="2553" spans="14:20" x14ac:dyDescent="0.25">
      <c r="N2553" s="514"/>
      <c r="R2553" s="293"/>
      <c r="S2553" s="316"/>
      <c r="T2553" s="355"/>
    </row>
    <row r="2554" spans="14:20" x14ac:dyDescent="0.25">
      <c r="N2554" s="514"/>
      <c r="R2554" s="293"/>
      <c r="S2554" s="316"/>
      <c r="T2554" s="355"/>
    </row>
    <row r="2555" spans="14:20" x14ac:dyDescent="0.25">
      <c r="N2555" s="514"/>
      <c r="R2555" s="293"/>
      <c r="S2555" s="316"/>
      <c r="T2555" s="355"/>
    </row>
    <row r="2556" spans="14:20" x14ac:dyDescent="0.25">
      <c r="N2556" s="514"/>
      <c r="R2556" s="293"/>
      <c r="S2556" s="316"/>
      <c r="T2556" s="355"/>
    </row>
    <row r="2557" spans="14:20" x14ac:dyDescent="0.25">
      <c r="N2557" s="514"/>
      <c r="R2557" s="293"/>
      <c r="S2557" s="316"/>
      <c r="T2557" s="355"/>
    </row>
    <row r="2558" spans="14:20" x14ac:dyDescent="0.25">
      <c r="N2558" s="514"/>
      <c r="R2558" s="293"/>
      <c r="S2558" s="316"/>
      <c r="T2558" s="355"/>
    </row>
    <row r="2559" spans="14:20" x14ac:dyDescent="0.25">
      <c r="N2559" s="514"/>
      <c r="R2559" s="293"/>
      <c r="S2559" s="316"/>
      <c r="T2559" s="355"/>
    </row>
    <row r="2560" spans="14:20" x14ac:dyDescent="0.25">
      <c r="N2560" s="514"/>
      <c r="R2560" s="293"/>
      <c r="S2560" s="316"/>
      <c r="T2560" s="355"/>
    </row>
    <row r="2561" spans="14:20" x14ac:dyDescent="0.25">
      <c r="N2561" s="514"/>
      <c r="R2561" s="293"/>
      <c r="S2561" s="316"/>
      <c r="T2561" s="355"/>
    </row>
    <row r="2562" spans="14:20" x14ac:dyDescent="0.25">
      <c r="N2562" s="514"/>
      <c r="R2562" s="293"/>
      <c r="S2562" s="316"/>
      <c r="T2562" s="355"/>
    </row>
    <row r="2563" spans="14:20" x14ac:dyDescent="0.25">
      <c r="N2563" s="514"/>
      <c r="R2563" s="293"/>
      <c r="S2563" s="316"/>
      <c r="T2563" s="355"/>
    </row>
    <row r="2564" spans="14:20" x14ac:dyDescent="0.25">
      <c r="N2564" s="514"/>
      <c r="R2564" s="293"/>
      <c r="S2564" s="316"/>
      <c r="T2564" s="355"/>
    </row>
    <row r="2565" spans="14:20" x14ac:dyDescent="0.25">
      <c r="N2565" s="514"/>
      <c r="R2565" s="293"/>
      <c r="S2565" s="316"/>
      <c r="T2565" s="355"/>
    </row>
    <row r="2566" spans="14:20" x14ac:dyDescent="0.25">
      <c r="N2566" s="514"/>
      <c r="R2566" s="293"/>
      <c r="S2566" s="316"/>
      <c r="T2566" s="355"/>
    </row>
    <row r="2567" spans="14:20" x14ac:dyDescent="0.25">
      <c r="N2567" s="514"/>
      <c r="R2567" s="293"/>
      <c r="S2567" s="316"/>
      <c r="T2567" s="355"/>
    </row>
    <row r="2568" spans="14:20" x14ac:dyDescent="0.25">
      <c r="N2568" s="514"/>
      <c r="R2568" s="293"/>
      <c r="S2568" s="316"/>
      <c r="T2568" s="355"/>
    </row>
    <row r="2569" spans="14:20" x14ac:dyDescent="0.25">
      <c r="N2569" s="514"/>
      <c r="R2569" s="293"/>
      <c r="S2569" s="316"/>
      <c r="T2569" s="355"/>
    </row>
    <row r="2570" spans="14:20" x14ac:dyDescent="0.25">
      <c r="N2570" s="514"/>
      <c r="R2570" s="293"/>
      <c r="S2570" s="316"/>
      <c r="T2570" s="355"/>
    </row>
    <row r="2571" spans="14:20" x14ac:dyDescent="0.25">
      <c r="N2571" s="514"/>
      <c r="R2571" s="293"/>
      <c r="S2571" s="316"/>
      <c r="T2571" s="355"/>
    </row>
    <row r="2572" spans="14:20" x14ac:dyDescent="0.25">
      <c r="N2572" s="514"/>
      <c r="R2572" s="293"/>
      <c r="S2572" s="316"/>
      <c r="T2572" s="355"/>
    </row>
    <row r="2573" spans="14:20" x14ac:dyDescent="0.25">
      <c r="N2573" s="514"/>
      <c r="R2573" s="293"/>
      <c r="S2573" s="316"/>
      <c r="T2573" s="355"/>
    </row>
    <row r="2574" spans="14:20" x14ac:dyDescent="0.25">
      <c r="N2574" s="514"/>
      <c r="R2574" s="293"/>
      <c r="S2574" s="316"/>
      <c r="T2574" s="355"/>
    </row>
    <row r="2575" spans="14:20" x14ac:dyDescent="0.25">
      <c r="N2575" s="514"/>
      <c r="R2575" s="293"/>
      <c r="S2575" s="316"/>
      <c r="T2575" s="355"/>
    </row>
    <row r="2576" spans="14:20" x14ac:dyDescent="0.25">
      <c r="N2576" s="514"/>
      <c r="R2576" s="293"/>
      <c r="S2576" s="316"/>
      <c r="T2576" s="355"/>
    </row>
    <row r="2577" spans="14:20" x14ac:dyDescent="0.25">
      <c r="N2577" s="514"/>
      <c r="R2577" s="293"/>
      <c r="S2577" s="316"/>
      <c r="T2577" s="355"/>
    </row>
    <row r="2578" spans="14:20" x14ac:dyDescent="0.25">
      <c r="N2578" s="514"/>
      <c r="R2578" s="293"/>
      <c r="S2578" s="316"/>
      <c r="T2578" s="355"/>
    </row>
    <row r="2579" spans="14:20" x14ac:dyDescent="0.25">
      <c r="N2579" s="514"/>
      <c r="R2579" s="293"/>
      <c r="S2579" s="316"/>
      <c r="T2579" s="355"/>
    </row>
    <row r="2580" spans="14:20" x14ac:dyDescent="0.25">
      <c r="N2580" s="514"/>
      <c r="R2580" s="293"/>
      <c r="S2580" s="316"/>
      <c r="T2580" s="355"/>
    </row>
    <row r="2581" spans="14:20" x14ac:dyDescent="0.25">
      <c r="N2581" s="514"/>
      <c r="R2581" s="293"/>
      <c r="S2581" s="316"/>
      <c r="T2581" s="355"/>
    </row>
    <row r="2582" spans="14:20" x14ac:dyDescent="0.25">
      <c r="N2582" s="514"/>
      <c r="R2582" s="293"/>
      <c r="S2582" s="316"/>
      <c r="T2582" s="355"/>
    </row>
    <row r="2583" spans="14:20" x14ac:dyDescent="0.25">
      <c r="N2583" s="514"/>
      <c r="R2583" s="293"/>
      <c r="S2583" s="316"/>
      <c r="T2583" s="355"/>
    </row>
    <row r="2584" spans="14:20" x14ac:dyDescent="0.25">
      <c r="N2584" s="514"/>
      <c r="R2584" s="293"/>
      <c r="S2584" s="316"/>
      <c r="T2584" s="355"/>
    </row>
    <row r="2585" spans="14:20" x14ac:dyDescent="0.25">
      <c r="N2585" s="514"/>
      <c r="R2585" s="293"/>
      <c r="S2585" s="316"/>
      <c r="T2585" s="355"/>
    </row>
    <row r="2586" spans="14:20" x14ac:dyDescent="0.25">
      <c r="N2586" s="514"/>
      <c r="R2586" s="293"/>
      <c r="S2586" s="316"/>
      <c r="T2586" s="355"/>
    </row>
    <row r="2587" spans="14:20" x14ac:dyDescent="0.25">
      <c r="N2587" s="514"/>
      <c r="R2587" s="293"/>
      <c r="S2587" s="316"/>
      <c r="T2587" s="355"/>
    </row>
    <row r="2588" spans="14:20" x14ac:dyDescent="0.25">
      <c r="N2588" s="514"/>
      <c r="R2588" s="293"/>
      <c r="S2588" s="316"/>
      <c r="T2588" s="355"/>
    </row>
    <row r="2589" spans="14:20" x14ac:dyDescent="0.25">
      <c r="N2589" s="514"/>
      <c r="R2589" s="293"/>
      <c r="S2589" s="316"/>
      <c r="T2589" s="355"/>
    </row>
    <row r="2590" spans="14:20" x14ac:dyDescent="0.25">
      <c r="N2590" s="514"/>
      <c r="R2590" s="293"/>
      <c r="S2590" s="316"/>
      <c r="T2590" s="355"/>
    </row>
    <row r="2591" spans="14:20" x14ac:dyDescent="0.25">
      <c r="N2591" s="514"/>
      <c r="R2591" s="293"/>
      <c r="S2591" s="316"/>
      <c r="T2591" s="355"/>
    </row>
    <row r="2592" spans="14:20" x14ac:dyDescent="0.25">
      <c r="N2592" s="514"/>
      <c r="R2592" s="293"/>
      <c r="S2592" s="316"/>
      <c r="T2592" s="355"/>
    </row>
    <row r="2593" spans="14:20" x14ac:dyDescent="0.25">
      <c r="N2593" s="514"/>
      <c r="R2593" s="293"/>
      <c r="S2593" s="316"/>
      <c r="T2593" s="355"/>
    </row>
    <row r="2594" spans="14:20" x14ac:dyDescent="0.25">
      <c r="N2594" s="514"/>
      <c r="R2594" s="293"/>
      <c r="S2594" s="316"/>
      <c r="T2594" s="355"/>
    </row>
    <row r="2595" spans="14:20" x14ac:dyDescent="0.25">
      <c r="N2595" s="514"/>
      <c r="R2595" s="293"/>
      <c r="S2595" s="316"/>
      <c r="T2595" s="355"/>
    </row>
    <row r="2596" spans="14:20" x14ac:dyDescent="0.25">
      <c r="N2596" s="514"/>
      <c r="R2596" s="293"/>
      <c r="S2596" s="316"/>
      <c r="T2596" s="355"/>
    </row>
    <row r="2597" spans="14:20" x14ac:dyDescent="0.25">
      <c r="N2597" s="514"/>
      <c r="R2597" s="293"/>
      <c r="S2597" s="316"/>
      <c r="T2597" s="355"/>
    </row>
    <row r="2598" spans="14:20" x14ac:dyDescent="0.25">
      <c r="N2598" s="514"/>
      <c r="R2598" s="293"/>
      <c r="S2598" s="316"/>
      <c r="T2598" s="355"/>
    </row>
    <row r="2599" spans="14:20" x14ac:dyDescent="0.25">
      <c r="N2599" s="514"/>
      <c r="R2599" s="293"/>
      <c r="S2599" s="316"/>
      <c r="T2599" s="355"/>
    </row>
    <row r="2600" spans="14:20" x14ac:dyDescent="0.25">
      <c r="N2600" s="514"/>
      <c r="R2600" s="293"/>
      <c r="S2600" s="316"/>
      <c r="T2600" s="355"/>
    </row>
    <row r="2601" spans="14:20" x14ac:dyDescent="0.25">
      <c r="N2601" s="514"/>
      <c r="R2601" s="293"/>
      <c r="S2601" s="316"/>
      <c r="T2601" s="355"/>
    </row>
    <row r="2602" spans="14:20" x14ac:dyDescent="0.25">
      <c r="N2602" s="514"/>
      <c r="R2602" s="293"/>
      <c r="S2602" s="316"/>
      <c r="T2602" s="355"/>
    </row>
    <row r="2603" spans="14:20" x14ac:dyDescent="0.25">
      <c r="N2603" s="514"/>
      <c r="R2603" s="293"/>
      <c r="S2603" s="316"/>
      <c r="T2603" s="355"/>
    </row>
    <row r="2604" spans="14:20" x14ac:dyDescent="0.25">
      <c r="N2604" s="514"/>
      <c r="R2604" s="293"/>
      <c r="S2604" s="316"/>
      <c r="T2604" s="355"/>
    </row>
    <row r="2605" spans="14:20" x14ac:dyDescent="0.25">
      <c r="N2605" s="514"/>
      <c r="R2605" s="293"/>
      <c r="S2605" s="316"/>
      <c r="T2605" s="355"/>
    </row>
    <row r="2606" spans="14:20" x14ac:dyDescent="0.25">
      <c r="N2606" s="514"/>
      <c r="R2606" s="293"/>
      <c r="S2606" s="316"/>
      <c r="T2606" s="355"/>
    </row>
    <row r="2607" spans="14:20" x14ac:dyDescent="0.25">
      <c r="N2607" s="514"/>
      <c r="R2607" s="293"/>
      <c r="S2607" s="316"/>
      <c r="T2607" s="355"/>
    </row>
    <row r="2608" spans="14:20" x14ac:dyDescent="0.25">
      <c r="N2608" s="514"/>
      <c r="R2608" s="293"/>
      <c r="S2608" s="316"/>
      <c r="T2608" s="355"/>
    </row>
    <row r="2609" spans="14:20" x14ac:dyDescent="0.25">
      <c r="N2609" s="514"/>
      <c r="R2609" s="293"/>
      <c r="S2609" s="316"/>
      <c r="T2609" s="355"/>
    </row>
    <row r="2610" spans="14:20" x14ac:dyDescent="0.25">
      <c r="N2610" s="514"/>
      <c r="R2610" s="293"/>
      <c r="S2610" s="316"/>
      <c r="T2610" s="355"/>
    </row>
    <row r="2611" spans="14:20" x14ac:dyDescent="0.25">
      <c r="N2611" s="514"/>
      <c r="R2611" s="293"/>
      <c r="S2611" s="316"/>
      <c r="T2611" s="355"/>
    </row>
    <row r="2612" spans="14:20" x14ac:dyDescent="0.25">
      <c r="N2612" s="514"/>
      <c r="R2612" s="293"/>
      <c r="S2612" s="316"/>
      <c r="T2612" s="355"/>
    </row>
    <row r="2613" spans="14:20" x14ac:dyDescent="0.25">
      <c r="N2613" s="514"/>
      <c r="R2613" s="293"/>
      <c r="S2613" s="316"/>
      <c r="T2613" s="355"/>
    </row>
    <row r="2614" spans="14:20" x14ac:dyDescent="0.25">
      <c r="N2614" s="514"/>
      <c r="R2614" s="293"/>
      <c r="S2614" s="316"/>
      <c r="T2614" s="355"/>
    </row>
    <row r="2615" spans="14:20" x14ac:dyDescent="0.25">
      <c r="N2615" s="514"/>
      <c r="R2615" s="293"/>
      <c r="S2615" s="316"/>
      <c r="T2615" s="355"/>
    </row>
    <row r="2616" spans="14:20" x14ac:dyDescent="0.25">
      <c r="N2616" s="514"/>
      <c r="R2616" s="293"/>
      <c r="S2616" s="316"/>
      <c r="T2616" s="355"/>
    </row>
    <row r="2617" spans="14:20" x14ac:dyDescent="0.25">
      <c r="N2617" s="514"/>
      <c r="R2617" s="293"/>
      <c r="S2617" s="316"/>
      <c r="T2617" s="355"/>
    </row>
    <row r="2618" spans="14:20" x14ac:dyDescent="0.25">
      <c r="N2618" s="514"/>
      <c r="R2618" s="293"/>
      <c r="S2618" s="316"/>
      <c r="T2618" s="355"/>
    </row>
    <row r="2619" spans="14:20" x14ac:dyDescent="0.25">
      <c r="N2619" s="514"/>
      <c r="R2619" s="293"/>
      <c r="S2619" s="316"/>
      <c r="T2619" s="355"/>
    </row>
    <row r="2620" spans="14:20" x14ac:dyDescent="0.25">
      <c r="N2620" s="514"/>
      <c r="R2620" s="293"/>
      <c r="S2620" s="316"/>
      <c r="T2620" s="355"/>
    </row>
    <row r="2621" spans="14:20" x14ac:dyDescent="0.25">
      <c r="N2621" s="514"/>
      <c r="R2621" s="293"/>
      <c r="S2621" s="316"/>
      <c r="T2621" s="355"/>
    </row>
    <row r="2622" spans="14:20" x14ac:dyDescent="0.25">
      <c r="N2622" s="514"/>
      <c r="R2622" s="293"/>
      <c r="S2622" s="316"/>
      <c r="T2622" s="355"/>
    </row>
    <row r="2623" spans="14:20" x14ac:dyDescent="0.25">
      <c r="N2623" s="514"/>
      <c r="R2623" s="293"/>
      <c r="S2623" s="316"/>
      <c r="T2623" s="355"/>
    </row>
    <row r="2624" spans="14:20" x14ac:dyDescent="0.25">
      <c r="N2624" s="514"/>
      <c r="R2624" s="293"/>
      <c r="S2624" s="316"/>
      <c r="T2624" s="355"/>
    </row>
    <row r="2625" spans="14:20" x14ac:dyDescent="0.25">
      <c r="N2625" s="514"/>
      <c r="R2625" s="293"/>
      <c r="S2625" s="316"/>
      <c r="T2625" s="355"/>
    </row>
    <row r="2626" spans="14:20" x14ac:dyDescent="0.25">
      <c r="N2626" s="514"/>
      <c r="R2626" s="293"/>
      <c r="S2626" s="316"/>
      <c r="T2626" s="355"/>
    </row>
    <row r="2627" spans="14:20" x14ac:dyDescent="0.25">
      <c r="N2627" s="514"/>
      <c r="R2627" s="293"/>
      <c r="S2627" s="316"/>
      <c r="T2627" s="355"/>
    </row>
    <row r="2628" spans="14:20" x14ac:dyDescent="0.25">
      <c r="N2628" s="514"/>
      <c r="R2628" s="293"/>
      <c r="S2628" s="316"/>
      <c r="T2628" s="355"/>
    </row>
    <row r="2629" spans="14:20" x14ac:dyDescent="0.25">
      <c r="N2629" s="514"/>
      <c r="R2629" s="293"/>
      <c r="S2629" s="316"/>
      <c r="T2629" s="355"/>
    </row>
    <row r="2630" spans="14:20" x14ac:dyDescent="0.25">
      <c r="N2630" s="514"/>
      <c r="R2630" s="293"/>
      <c r="S2630" s="316"/>
      <c r="T2630" s="355"/>
    </row>
    <row r="2631" spans="14:20" x14ac:dyDescent="0.25">
      <c r="N2631" s="514"/>
      <c r="R2631" s="293"/>
      <c r="S2631" s="316"/>
      <c r="T2631" s="355"/>
    </row>
    <row r="2632" spans="14:20" x14ac:dyDescent="0.25">
      <c r="N2632" s="514"/>
      <c r="R2632" s="293"/>
      <c r="S2632" s="316"/>
      <c r="T2632" s="355"/>
    </row>
    <row r="2633" spans="14:20" x14ac:dyDescent="0.25">
      <c r="N2633" s="514"/>
      <c r="R2633" s="293"/>
      <c r="S2633" s="316"/>
      <c r="T2633" s="355"/>
    </row>
    <row r="2634" spans="14:20" x14ac:dyDescent="0.25">
      <c r="N2634" s="514"/>
      <c r="R2634" s="293"/>
      <c r="S2634" s="316"/>
      <c r="T2634" s="355"/>
    </row>
    <row r="2635" spans="14:20" x14ac:dyDescent="0.25">
      <c r="N2635" s="514"/>
      <c r="R2635" s="293"/>
      <c r="S2635" s="316"/>
      <c r="T2635" s="355"/>
    </row>
    <row r="2636" spans="14:20" x14ac:dyDescent="0.25">
      <c r="N2636" s="514"/>
      <c r="R2636" s="293"/>
      <c r="S2636" s="316"/>
      <c r="T2636" s="355"/>
    </row>
    <row r="2637" spans="14:20" x14ac:dyDescent="0.25">
      <c r="N2637" s="514"/>
      <c r="R2637" s="293"/>
      <c r="S2637" s="316"/>
      <c r="T2637" s="355"/>
    </row>
    <row r="2638" spans="14:20" x14ac:dyDescent="0.25">
      <c r="N2638" s="514"/>
      <c r="R2638" s="293"/>
      <c r="S2638" s="316"/>
      <c r="T2638" s="355"/>
    </row>
    <row r="2639" spans="14:20" x14ac:dyDescent="0.25">
      <c r="N2639" s="514"/>
      <c r="R2639" s="293"/>
      <c r="S2639" s="316"/>
      <c r="T2639" s="355"/>
    </row>
    <row r="2640" spans="14:20" x14ac:dyDescent="0.25">
      <c r="N2640" s="514"/>
      <c r="R2640" s="293"/>
      <c r="S2640" s="316"/>
      <c r="T2640" s="355"/>
    </row>
    <row r="2641" spans="14:20" x14ac:dyDescent="0.25">
      <c r="N2641" s="514"/>
      <c r="R2641" s="293"/>
      <c r="S2641" s="316"/>
      <c r="T2641" s="355"/>
    </row>
    <row r="2642" spans="14:20" x14ac:dyDescent="0.25">
      <c r="N2642" s="514"/>
      <c r="R2642" s="293"/>
      <c r="S2642" s="316"/>
      <c r="T2642" s="355"/>
    </row>
    <row r="2643" spans="14:20" x14ac:dyDescent="0.25">
      <c r="N2643" s="514"/>
      <c r="R2643" s="293"/>
      <c r="S2643" s="316"/>
      <c r="T2643" s="355"/>
    </row>
    <row r="2644" spans="14:20" x14ac:dyDescent="0.25">
      <c r="N2644" s="514"/>
      <c r="R2644" s="293"/>
      <c r="S2644" s="316"/>
      <c r="T2644" s="355"/>
    </row>
    <row r="2645" spans="14:20" x14ac:dyDescent="0.25">
      <c r="N2645" s="514"/>
      <c r="R2645" s="293"/>
      <c r="S2645" s="316"/>
      <c r="T2645" s="355"/>
    </row>
    <row r="2646" spans="14:20" x14ac:dyDescent="0.25">
      <c r="N2646" s="514"/>
      <c r="R2646" s="293"/>
      <c r="S2646" s="316"/>
      <c r="T2646" s="355"/>
    </row>
    <row r="2647" spans="14:20" x14ac:dyDescent="0.25">
      <c r="N2647" s="514"/>
      <c r="R2647" s="293"/>
      <c r="S2647" s="316"/>
      <c r="T2647" s="355"/>
    </row>
    <row r="2648" spans="14:20" x14ac:dyDescent="0.25">
      <c r="N2648" s="514"/>
      <c r="R2648" s="293"/>
      <c r="S2648" s="316"/>
      <c r="T2648" s="355"/>
    </row>
    <row r="2649" spans="14:20" x14ac:dyDescent="0.25">
      <c r="N2649" s="514"/>
      <c r="R2649" s="293"/>
      <c r="S2649" s="316"/>
      <c r="T2649" s="355"/>
    </row>
    <row r="2650" spans="14:20" x14ac:dyDescent="0.25">
      <c r="N2650" s="514"/>
      <c r="R2650" s="293"/>
      <c r="S2650" s="316"/>
      <c r="T2650" s="355"/>
    </row>
    <row r="2651" spans="14:20" x14ac:dyDescent="0.25">
      <c r="N2651" s="514"/>
      <c r="R2651" s="293"/>
      <c r="S2651" s="316"/>
      <c r="T2651" s="355"/>
    </row>
    <row r="2652" spans="14:20" x14ac:dyDescent="0.25">
      <c r="N2652" s="514"/>
      <c r="R2652" s="293"/>
      <c r="S2652" s="316"/>
      <c r="T2652" s="355"/>
    </row>
    <row r="2653" spans="14:20" x14ac:dyDescent="0.25">
      <c r="N2653" s="514"/>
      <c r="R2653" s="293"/>
      <c r="S2653" s="316"/>
      <c r="T2653" s="355"/>
    </row>
    <row r="2654" spans="14:20" x14ac:dyDescent="0.25">
      <c r="N2654" s="514"/>
      <c r="R2654" s="293"/>
      <c r="S2654" s="316"/>
      <c r="T2654" s="355"/>
    </row>
    <row r="2655" spans="14:20" x14ac:dyDescent="0.25">
      <c r="N2655" s="514"/>
      <c r="R2655" s="293"/>
      <c r="S2655" s="316"/>
      <c r="T2655" s="355"/>
    </row>
    <row r="2656" spans="14:20" x14ac:dyDescent="0.25">
      <c r="N2656" s="514"/>
      <c r="R2656" s="293"/>
      <c r="S2656" s="316"/>
      <c r="T2656" s="355"/>
    </row>
    <row r="2657" spans="14:20" x14ac:dyDescent="0.25">
      <c r="N2657" s="514"/>
      <c r="R2657" s="293"/>
      <c r="S2657" s="316"/>
      <c r="T2657" s="355"/>
    </row>
    <row r="2658" spans="14:20" x14ac:dyDescent="0.25">
      <c r="N2658" s="514"/>
      <c r="R2658" s="293"/>
      <c r="S2658" s="316"/>
      <c r="T2658" s="355"/>
    </row>
    <row r="2659" spans="14:20" x14ac:dyDescent="0.25">
      <c r="N2659" s="514"/>
      <c r="R2659" s="293"/>
      <c r="S2659" s="316"/>
      <c r="T2659" s="355"/>
    </row>
    <row r="2660" spans="14:20" x14ac:dyDescent="0.25">
      <c r="N2660" s="514"/>
      <c r="R2660" s="293"/>
      <c r="S2660" s="316"/>
      <c r="T2660" s="355"/>
    </row>
    <row r="2661" spans="14:20" x14ac:dyDescent="0.25">
      <c r="N2661" s="514"/>
      <c r="R2661" s="293"/>
      <c r="S2661" s="316"/>
      <c r="T2661" s="355"/>
    </row>
    <row r="2662" spans="14:20" x14ac:dyDescent="0.25">
      <c r="N2662" s="514"/>
      <c r="R2662" s="293"/>
      <c r="S2662" s="316"/>
      <c r="T2662" s="355"/>
    </row>
    <row r="2663" spans="14:20" x14ac:dyDescent="0.25">
      <c r="N2663" s="514"/>
      <c r="R2663" s="293"/>
      <c r="S2663" s="316"/>
      <c r="T2663" s="355"/>
    </row>
    <row r="2664" spans="14:20" x14ac:dyDescent="0.25">
      <c r="N2664" s="514"/>
      <c r="R2664" s="293"/>
      <c r="S2664" s="316"/>
      <c r="T2664" s="355"/>
    </row>
    <row r="2665" spans="14:20" x14ac:dyDescent="0.25">
      <c r="N2665" s="514"/>
      <c r="R2665" s="293"/>
      <c r="S2665" s="316"/>
      <c r="T2665" s="355"/>
    </row>
    <row r="2666" spans="14:20" x14ac:dyDescent="0.25">
      <c r="N2666" s="514"/>
      <c r="R2666" s="293"/>
      <c r="S2666" s="316"/>
      <c r="T2666" s="355"/>
    </row>
    <row r="2667" spans="14:20" x14ac:dyDescent="0.25">
      <c r="N2667" s="514"/>
      <c r="R2667" s="293"/>
      <c r="S2667" s="316"/>
      <c r="T2667" s="355"/>
    </row>
    <row r="2668" spans="14:20" x14ac:dyDescent="0.25">
      <c r="N2668" s="514"/>
      <c r="R2668" s="293"/>
      <c r="S2668" s="316"/>
      <c r="T2668" s="355"/>
    </row>
    <row r="2669" spans="14:20" x14ac:dyDescent="0.25">
      <c r="N2669" s="514"/>
      <c r="R2669" s="293"/>
      <c r="S2669" s="316"/>
      <c r="T2669" s="355"/>
    </row>
    <row r="2670" spans="14:20" x14ac:dyDescent="0.25">
      <c r="N2670" s="514"/>
      <c r="R2670" s="293"/>
      <c r="S2670" s="316"/>
      <c r="T2670" s="355"/>
    </row>
    <row r="2671" spans="14:20" x14ac:dyDescent="0.25">
      <c r="N2671" s="514"/>
      <c r="R2671" s="293"/>
      <c r="S2671" s="316"/>
      <c r="T2671" s="355"/>
    </row>
    <row r="2672" spans="14:20" x14ac:dyDescent="0.25">
      <c r="N2672" s="514"/>
      <c r="R2672" s="293"/>
      <c r="S2672" s="316"/>
      <c r="T2672" s="355"/>
    </row>
    <row r="2673" spans="14:20" x14ac:dyDescent="0.25">
      <c r="N2673" s="514"/>
      <c r="R2673" s="293"/>
      <c r="S2673" s="316"/>
      <c r="T2673" s="355"/>
    </row>
    <row r="2674" spans="14:20" x14ac:dyDescent="0.25">
      <c r="N2674" s="514"/>
      <c r="R2674" s="293"/>
      <c r="S2674" s="316"/>
      <c r="T2674" s="355"/>
    </row>
    <row r="2675" spans="14:20" x14ac:dyDescent="0.25">
      <c r="N2675" s="514"/>
      <c r="R2675" s="293"/>
      <c r="S2675" s="316"/>
      <c r="T2675" s="355"/>
    </row>
    <row r="2676" spans="14:20" x14ac:dyDescent="0.25">
      <c r="N2676" s="514"/>
      <c r="R2676" s="293"/>
      <c r="S2676" s="316"/>
      <c r="T2676" s="355"/>
    </row>
    <row r="2677" spans="14:20" x14ac:dyDescent="0.25">
      <c r="N2677" s="514"/>
      <c r="R2677" s="293"/>
      <c r="S2677" s="316"/>
      <c r="T2677" s="355"/>
    </row>
    <row r="2678" spans="14:20" x14ac:dyDescent="0.25">
      <c r="N2678" s="514"/>
      <c r="R2678" s="293"/>
      <c r="S2678" s="316"/>
      <c r="T2678" s="355"/>
    </row>
    <row r="2679" spans="14:20" x14ac:dyDescent="0.25">
      <c r="N2679" s="514"/>
      <c r="R2679" s="293"/>
      <c r="S2679" s="316"/>
      <c r="T2679" s="355"/>
    </row>
    <row r="2680" spans="14:20" x14ac:dyDescent="0.25">
      <c r="N2680" s="514"/>
      <c r="R2680" s="293"/>
      <c r="S2680" s="316"/>
      <c r="T2680" s="355"/>
    </row>
    <row r="2681" spans="14:20" x14ac:dyDescent="0.25">
      <c r="N2681" s="514"/>
      <c r="R2681" s="293"/>
      <c r="S2681" s="316"/>
      <c r="T2681" s="355"/>
    </row>
    <row r="2682" spans="14:20" x14ac:dyDescent="0.25">
      <c r="N2682" s="514"/>
      <c r="R2682" s="293"/>
      <c r="S2682" s="316"/>
      <c r="T2682" s="355"/>
    </row>
    <row r="2683" spans="14:20" x14ac:dyDescent="0.25">
      <c r="N2683" s="514"/>
      <c r="R2683" s="293"/>
      <c r="S2683" s="316"/>
      <c r="T2683" s="355"/>
    </row>
    <row r="2684" spans="14:20" x14ac:dyDescent="0.25">
      <c r="N2684" s="514"/>
      <c r="R2684" s="293"/>
      <c r="S2684" s="316"/>
      <c r="T2684" s="355"/>
    </row>
    <row r="2685" spans="14:20" x14ac:dyDescent="0.25">
      <c r="N2685" s="514"/>
      <c r="R2685" s="293"/>
      <c r="S2685" s="316"/>
      <c r="T2685" s="355"/>
    </row>
    <row r="2686" spans="14:20" x14ac:dyDescent="0.25">
      <c r="N2686" s="514"/>
      <c r="R2686" s="293"/>
      <c r="S2686" s="316"/>
      <c r="T2686" s="355"/>
    </row>
    <row r="2687" spans="14:20" x14ac:dyDescent="0.25">
      <c r="N2687" s="514"/>
      <c r="R2687" s="293"/>
      <c r="S2687" s="316"/>
      <c r="T2687" s="355"/>
    </row>
    <row r="2688" spans="14:20" x14ac:dyDescent="0.25">
      <c r="N2688" s="514"/>
      <c r="R2688" s="293"/>
      <c r="S2688" s="316"/>
      <c r="T2688" s="355"/>
    </row>
    <row r="2689" spans="14:20" x14ac:dyDescent="0.25">
      <c r="N2689" s="514"/>
      <c r="R2689" s="293"/>
      <c r="S2689" s="316"/>
      <c r="T2689" s="355"/>
    </row>
    <row r="2690" spans="14:20" x14ac:dyDescent="0.25">
      <c r="N2690" s="514"/>
      <c r="R2690" s="293"/>
      <c r="S2690" s="316"/>
      <c r="T2690" s="355"/>
    </row>
    <row r="2691" spans="14:20" x14ac:dyDescent="0.25">
      <c r="N2691" s="514"/>
      <c r="R2691" s="293"/>
      <c r="S2691" s="316"/>
      <c r="T2691" s="355"/>
    </row>
    <row r="2692" spans="14:20" x14ac:dyDescent="0.25">
      <c r="N2692" s="514"/>
      <c r="R2692" s="293"/>
      <c r="S2692" s="316"/>
      <c r="T2692" s="355"/>
    </row>
    <row r="2693" spans="14:20" x14ac:dyDescent="0.25">
      <c r="N2693" s="514"/>
      <c r="R2693" s="293"/>
      <c r="S2693" s="316"/>
      <c r="T2693" s="355"/>
    </row>
    <row r="2694" spans="14:20" x14ac:dyDescent="0.25">
      <c r="N2694" s="514"/>
      <c r="R2694" s="293"/>
      <c r="S2694" s="316"/>
      <c r="T2694" s="355"/>
    </row>
    <row r="2695" spans="14:20" x14ac:dyDescent="0.25">
      <c r="N2695" s="514"/>
      <c r="R2695" s="293"/>
      <c r="S2695" s="316"/>
      <c r="T2695" s="355"/>
    </row>
    <row r="2696" spans="14:20" x14ac:dyDescent="0.25">
      <c r="N2696" s="514"/>
      <c r="R2696" s="293"/>
      <c r="S2696" s="316"/>
      <c r="T2696" s="355"/>
    </row>
    <row r="2697" spans="14:20" x14ac:dyDescent="0.25">
      <c r="N2697" s="514"/>
      <c r="R2697" s="293"/>
      <c r="S2697" s="316"/>
      <c r="T2697" s="355"/>
    </row>
    <row r="2698" spans="14:20" x14ac:dyDescent="0.25">
      <c r="N2698" s="514"/>
      <c r="R2698" s="293"/>
      <c r="S2698" s="316"/>
      <c r="T2698" s="355"/>
    </row>
    <row r="2699" spans="14:20" x14ac:dyDescent="0.25">
      <c r="N2699" s="514"/>
      <c r="R2699" s="293"/>
      <c r="S2699" s="316"/>
      <c r="T2699" s="355"/>
    </row>
    <row r="2700" spans="14:20" x14ac:dyDescent="0.25">
      <c r="N2700" s="514"/>
      <c r="R2700" s="293"/>
      <c r="S2700" s="316"/>
      <c r="T2700" s="355"/>
    </row>
    <row r="2701" spans="14:20" x14ac:dyDescent="0.25">
      <c r="N2701" s="514"/>
      <c r="R2701" s="293"/>
      <c r="S2701" s="316"/>
      <c r="T2701" s="355"/>
    </row>
    <row r="2702" spans="14:20" x14ac:dyDescent="0.25">
      <c r="N2702" s="514"/>
      <c r="R2702" s="293"/>
      <c r="S2702" s="316"/>
      <c r="T2702" s="355"/>
    </row>
    <row r="2703" spans="14:20" x14ac:dyDescent="0.25">
      <c r="N2703" s="514"/>
      <c r="R2703" s="293"/>
      <c r="S2703" s="316"/>
      <c r="T2703" s="355"/>
    </row>
    <row r="2704" spans="14:20" x14ac:dyDescent="0.25">
      <c r="N2704" s="514"/>
      <c r="R2704" s="293"/>
      <c r="S2704" s="316"/>
      <c r="T2704" s="355"/>
    </row>
    <row r="2705" spans="14:20" x14ac:dyDescent="0.25">
      <c r="N2705" s="514"/>
      <c r="R2705" s="293"/>
      <c r="S2705" s="316"/>
      <c r="T2705" s="355"/>
    </row>
    <row r="2706" spans="14:20" x14ac:dyDescent="0.25">
      <c r="N2706" s="514"/>
      <c r="R2706" s="293"/>
      <c r="S2706" s="316"/>
      <c r="T2706" s="355"/>
    </row>
    <row r="2707" spans="14:20" x14ac:dyDescent="0.25">
      <c r="N2707" s="514"/>
      <c r="R2707" s="293"/>
      <c r="S2707" s="316"/>
      <c r="T2707" s="355"/>
    </row>
    <row r="2708" spans="14:20" x14ac:dyDescent="0.25">
      <c r="N2708" s="514"/>
      <c r="R2708" s="293"/>
      <c r="S2708" s="316"/>
      <c r="T2708" s="355"/>
    </row>
    <row r="2709" spans="14:20" x14ac:dyDescent="0.25">
      <c r="N2709" s="514"/>
      <c r="R2709" s="293"/>
      <c r="S2709" s="316"/>
      <c r="T2709" s="355"/>
    </row>
    <row r="2710" spans="14:20" x14ac:dyDescent="0.25">
      <c r="N2710" s="514"/>
      <c r="R2710" s="293"/>
      <c r="S2710" s="316"/>
      <c r="T2710" s="355"/>
    </row>
    <row r="2711" spans="14:20" x14ac:dyDescent="0.25">
      <c r="N2711" s="514"/>
      <c r="R2711" s="293"/>
      <c r="S2711" s="316"/>
      <c r="T2711" s="355"/>
    </row>
    <row r="2712" spans="14:20" x14ac:dyDescent="0.25">
      <c r="N2712" s="514"/>
      <c r="R2712" s="293"/>
      <c r="S2712" s="316"/>
      <c r="T2712" s="355"/>
    </row>
    <row r="2713" spans="14:20" x14ac:dyDescent="0.25">
      <c r="N2713" s="514"/>
      <c r="R2713" s="293"/>
      <c r="S2713" s="316"/>
      <c r="T2713" s="355"/>
    </row>
    <row r="2714" spans="14:20" x14ac:dyDescent="0.25">
      <c r="N2714" s="514"/>
      <c r="R2714" s="293"/>
      <c r="S2714" s="316"/>
      <c r="T2714" s="355"/>
    </row>
    <row r="2715" spans="14:20" x14ac:dyDescent="0.25">
      <c r="N2715" s="514"/>
      <c r="R2715" s="293"/>
      <c r="S2715" s="316"/>
      <c r="T2715" s="355"/>
    </row>
    <row r="2716" spans="14:20" x14ac:dyDescent="0.25">
      <c r="N2716" s="514"/>
      <c r="R2716" s="293"/>
      <c r="S2716" s="316"/>
      <c r="T2716" s="355"/>
    </row>
    <row r="2717" spans="14:20" x14ac:dyDescent="0.25">
      <c r="N2717" s="514"/>
      <c r="R2717" s="293"/>
      <c r="S2717" s="316"/>
      <c r="T2717" s="355"/>
    </row>
    <row r="2718" spans="14:20" x14ac:dyDescent="0.25">
      <c r="N2718" s="514"/>
      <c r="R2718" s="293"/>
      <c r="S2718" s="316"/>
      <c r="T2718" s="355"/>
    </row>
    <row r="2719" spans="14:20" x14ac:dyDescent="0.25">
      <c r="N2719" s="514"/>
      <c r="R2719" s="293"/>
      <c r="S2719" s="316"/>
      <c r="T2719" s="355"/>
    </row>
    <row r="2720" spans="14:20" x14ac:dyDescent="0.25">
      <c r="N2720" s="514"/>
      <c r="R2720" s="293"/>
      <c r="S2720" s="316"/>
      <c r="T2720" s="355"/>
    </row>
    <row r="2721" spans="14:20" x14ac:dyDescent="0.25">
      <c r="N2721" s="514"/>
      <c r="R2721" s="293"/>
      <c r="S2721" s="316"/>
      <c r="T2721" s="355"/>
    </row>
    <row r="2722" spans="14:20" x14ac:dyDescent="0.25">
      <c r="N2722" s="514"/>
      <c r="R2722" s="293"/>
      <c r="S2722" s="316"/>
      <c r="T2722" s="355"/>
    </row>
    <row r="2723" spans="14:20" x14ac:dyDescent="0.25">
      <c r="N2723" s="514"/>
      <c r="R2723" s="293"/>
      <c r="S2723" s="316"/>
      <c r="T2723" s="355"/>
    </row>
    <row r="2724" spans="14:20" x14ac:dyDescent="0.25">
      <c r="N2724" s="514"/>
      <c r="R2724" s="293"/>
      <c r="S2724" s="316"/>
      <c r="T2724" s="355"/>
    </row>
    <row r="2725" spans="14:20" x14ac:dyDescent="0.25">
      <c r="N2725" s="514"/>
      <c r="R2725" s="293"/>
      <c r="S2725" s="316"/>
      <c r="T2725" s="355"/>
    </row>
    <row r="2726" spans="14:20" x14ac:dyDescent="0.25">
      <c r="N2726" s="514"/>
      <c r="R2726" s="293"/>
      <c r="S2726" s="316"/>
      <c r="T2726" s="355"/>
    </row>
    <row r="2727" spans="14:20" x14ac:dyDescent="0.25">
      <c r="N2727" s="514"/>
      <c r="R2727" s="293"/>
      <c r="S2727" s="316"/>
      <c r="T2727" s="355"/>
    </row>
    <row r="2728" spans="14:20" x14ac:dyDescent="0.25">
      <c r="N2728" s="514"/>
      <c r="R2728" s="293"/>
      <c r="S2728" s="316"/>
      <c r="T2728" s="355"/>
    </row>
    <row r="2729" spans="14:20" x14ac:dyDescent="0.25">
      <c r="N2729" s="514"/>
      <c r="R2729" s="293"/>
      <c r="S2729" s="316"/>
      <c r="T2729" s="355"/>
    </row>
    <row r="2730" spans="14:20" x14ac:dyDescent="0.25">
      <c r="N2730" s="514"/>
      <c r="R2730" s="293"/>
      <c r="S2730" s="316"/>
      <c r="T2730" s="355"/>
    </row>
    <row r="2731" spans="14:20" x14ac:dyDescent="0.25">
      <c r="N2731" s="514"/>
      <c r="R2731" s="293"/>
      <c r="S2731" s="316"/>
      <c r="T2731" s="355"/>
    </row>
    <row r="2732" spans="14:20" x14ac:dyDescent="0.25">
      <c r="N2732" s="514"/>
      <c r="R2732" s="293"/>
      <c r="S2732" s="316"/>
      <c r="T2732" s="355"/>
    </row>
    <row r="2733" spans="14:20" x14ac:dyDescent="0.25">
      <c r="N2733" s="514"/>
      <c r="R2733" s="293"/>
      <c r="S2733" s="316"/>
      <c r="T2733" s="355"/>
    </row>
    <row r="2734" spans="14:20" x14ac:dyDescent="0.25">
      <c r="N2734" s="514"/>
      <c r="R2734" s="293"/>
      <c r="S2734" s="316"/>
      <c r="T2734" s="355"/>
    </row>
    <row r="2735" spans="14:20" x14ac:dyDescent="0.25">
      <c r="N2735" s="514"/>
      <c r="R2735" s="293"/>
      <c r="S2735" s="316"/>
      <c r="T2735" s="355"/>
    </row>
    <row r="2736" spans="14:20" x14ac:dyDescent="0.25">
      <c r="N2736" s="514"/>
      <c r="R2736" s="293"/>
      <c r="S2736" s="316"/>
      <c r="T2736" s="355"/>
    </row>
    <row r="2737" spans="14:20" x14ac:dyDescent="0.25">
      <c r="N2737" s="514"/>
      <c r="R2737" s="293"/>
      <c r="S2737" s="316"/>
      <c r="T2737" s="355"/>
    </row>
    <row r="2738" spans="14:20" x14ac:dyDescent="0.25">
      <c r="N2738" s="514"/>
      <c r="R2738" s="293"/>
      <c r="S2738" s="316"/>
      <c r="T2738" s="355"/>
    </row>
    <row r="2739" spans="14:20" x14ac:dyDescent="0.25">
      <c r="N2739" s="514"/>
      <c r="R2739" s="293"/>
      <c r="S2739" s="316"/>
      <c r="T2739" s="355"/>
    </row>
    <row r="2740" spans="14:20" x14ac:dyDescent="0.25">
      <c r="N2740" s="514"/>
      <c r="R2740" s="293"/>
      <c r="S2740" s="316"/>
      <c r="T2740" s="355"/>
    </row>
    <row r="2741" spans="14:20" x14ac:dyDescent="0.25">
      <c r="N2741" s="514"/>
      <c r="R2741" s="293"/>
      <c r="S2741" s="316"/>
      <c r="T2741" s="355"/>
    </row>
    <row r="2742" spans="14:20" x14ac:dyDescent="0.25">
      <c r="N2742" s="514"/>
      <c r="R2742" s="293"/>
      <c r="S2742" s="316"/>
      <c r="T2742" s="355"/>
    </row>
    <row r="2743" spans="14:20" x14ac:dyDescent="0.25">
      <c r="N2743" s="514"/>
      <c r="R2743" s="293"/>
      <c r="S2743" s="316"/>
      <c r="T2743" s="355"/>
    </row>
    <row r="2744" spans="14:20" x14ac:dyDescent="0.25">
      <c r="N2744" s="514"/>
      <c r="R2744" s="293"/>
      <c r="S2744" s="316"/>
      <c r="T2744" s="355"/>
    </row>
    <row r="2745" spans="14:20" x14ac:dyDescent="0.25">
      <c r="N2745" s="514"/>
      <c r="R2745" s="293"/>
      <c r="S2745" s="316"/>
      <c r="T2745" s="355"/>
    </row>
    <row r="2746" spans="14:20" x14ac:dyDescent="0.25">
      <c r="N2746" s="514"/>
      <c r="R2746" s="293"/>
      <c r="S2746" s="316"/>
      <c r="T2746" s="355"/>
    </row>
    <row r="2747" spans="14:20" x14ac:dyDescent="0.25">
      <c r="N2747" s="514"/>
      <c r="R2747" s="293"/>
      <c r="S2747" s="316"/>
      <c r="T2747" s="355"/>
    </row>
    <row r="2748" spans="14:20" x14ac:dyDescent="0.25">
      <c r="N2748" s="514"/>
      <c r="R2748" s="293"/>
      <c r="S2748" s="316"/>
      <c r="T2748" s="355"/>
    </row>
    <row r="2749" spans="14:20" x14ac:dyDescent="0.25">
      <c r="N2749" s="514"/>
      <c r="R2749" s="293"/>
      <c r="S2749" s="316"/>
      <c r="T2749" s="355"/>
    </row>
    <row r="2750" spans="14:20" x14ac:dyDescent="0.25">
      <c r="N2750" s="514"/>
      <c r="R2750" s="293"/>
      <c r="S2750" s="316"/>
      <c r="T2750" s="355"/>
    </row>
    <row r="2751" spans="14:20" x14ac:dyDescent="0.25">
      <c r="N2751" s="514"/>
      <c r="R2751" s="293"/>
      <c r="S2751" s="316"/>
      <c r="T2751" s="355"/>
    </row>
    <row r="2752" spans="14:20" x14ac:dyDescent="0.25">
      <c r="N2752" s="514"/>
      <c r="R2752" s="293"/>
      <c r="S2752" s="316"/>
      <c r="T2752" s="355"/>
    </row>
    <row r="2753" spans="14:20" x14ac:dyDescent="0.25">
      <c r="N2753" s="514"/>
      <c r="R2753" s="293"/>
      <c r="S2753" s="316"/>
      <c r="T2753" s="355"/>
    </row>
    <row r="2754" spans="14:20" x14ac:dyDescent="0.25">
      <c r="N2754" s="514"/>
      <c r="R2754" s="293"/>
      <c r="S2754" s="316"/>
      <c r="T2754" s="355"/>
    </row>
    <row r="2755" spans="14:20" x14ac:dyDescent="0.25">
      <c r="N2755" s="514"/>
      <c r="R2755" s="293"/>
      <c r="S2755" s="316"/>
      <c r="T2755" s="355"/>
    </row>
    <row r="2756" spans="14:20" x14ac:dyDescent="0.25">
      <c r="N2756" s="514"/>
      <c r="R2756" s="293"/>
      <c r="S2756" s="316"/>
      <c r="T2756" s="355"/>
    </row>
    <row r="2757" spans="14:20" x14ac:dyDescent="0.25">
      <c r="N2757" s="514"/>
      <c r="R2757" s="293"/>
      <c r="S2757" s="316"/>
      <c r="T2757" s="355"/>
    </row>
    <row r="2758" spans="14:20" x14ac:dyDescent="0.25">
      <c r="N2758" s="514"/>
      <c r="R2758" s="293"/>
      <c r="S2758" s="316"/>
      <c r="T2758" s="355"/>
    </row>
    <row r="2759" spans="14:20" x14ac:dyDescent="0.25">
      <c r="N2759" s="514"/>
      <c r="R2759" s="293"/>
      <c r="S2759" s="316"/>
      <c r="T2759" s="355"/>
    </row>
    <row r="2760" spans="14:20" x14ac:dyDescent="0.25">
      <c r="N2760" s="514"/>
      <c r="R2760" s="293"/>
      <c r="S2760" s="316"/>
      <c r="T2760" s="355"/>
    </row>
    <row r="2761" spans="14:20" x14ac:dyDescent="0.25">
      <c r="N2761" s="514"/>
      <c r="R2761" s="293"/>
      <c r="S2761" s="316"/>
      <c r="T2761" s="355"/>
    </row>
    <row r="2762" spans="14:20" x14ac:dyDescent="0.25">
      <c r="N2762" s="514"/>
      <c r="R2762" s="293"/>
      <c r="S2762" s="316"/>
      <c r="T2762" s="355"/>
    </row>
    <row r="2763" spans="14:20" x14ac:dyDescent="0.25">
      <c r="N2763" s="514"/>
      <c r="R2763" s="293"/>
      <c r="S2763" s="316"/>
      <c r="T2763" s="355"/>
    </row>
    <row r="2764" spans="14:20" x14ac:dyDescent="0.25">
      <c r="N2764" s="514"/>
      <c r="R2764" s="293"/>
      <c r="S2764" s="316"/>
      <c r="T2764" s="355"/>
    </row>
    <row r="2765" spans="14:20" x14ac:dyDescent="0.25">
      <c r="N2765" s="514"/>
      <c r="R2765" s="293"/>
      <c r="S2765" s="316"/>
      <c r="T2765" s="355"/>
    </row>
    <row r="2766" spans="14:20" x14ac:dyDescent="0.25">
      <c r="N2766" s="514"/>
      <c r="R2766" s="293"/>
      <c r="S2766" s="316"/>
      <c r="T2766" s="355"/>
    </row>
    <row r="2767" spans="14:20" x14ac:dyDescent="0.25">
      <c r="N2767" s="514"/>
      <c r="R2767" s="293"/>
      <c r="S2767" s="316"/>
      <c r="T2767" s="355"/>
    </row>
    <row r="2768" spans="14:20" x14ac:dyDescent="0.25">
      <c r="N2768" s="514"/>
      <c r="R2768" s="293"/>
      <c r="S2768" s="316"/>
      <c r="T2768" s="355"/>
    </row>
    <row r="2769" spans="14:20" x14ac:dyDescent="0.25">
      <c r="N2769" s="514"/>
      <c r="R2769" s="293"/>
      <c r="S2769" s="316"/>
      <c r="T2769" s="355"/>
    </row>
    <row r="2770" spans="14:20" x14ac:dyDescent="0.25">
      <c r="N2770" s="514"/>
      <c r="R2770" s="293"/>
      <c r="S2770" s="316"/>
      <c r="T2770" s="355"/>
    </row>
    <row r="2771" spans="14:20" x14ac:dyDescent="0.25">
      <c r="N2771" s="514"/>
      <c r="R2771" s="293"/>
      <c r="S2771" s="316"/>
      <c r="T2771" s="355"/>
    </row>
    <row r="2772" spans="14:20" x14ac:dyDescent="0.25">
      <c r="N2772" s="514"/>
      <c r="R2772" s="293"/>
      <c r="S2772" s="316"/>
      <c r="T2772" s="355"/>
    </row>
    <row r="2773" spans="14:20" x14ac:dyDescent="0.25">
      <c r="N2773" s="514"/>
      <c r="R2773" s="293"/>
      <c r="S2773" s="316"/>
      <c r="T2773" s="355"/>
    </row>
    <row r="2774" spans="14:20" x14ac:dyDescent="0.25">
      <c r="N2774" s="514"/>
      <c r="R2774" s="293"/>
      <c r="S2774" s="316"/>
      <c r="T2774" s="355"/>
    </row>
    <row r="2775" spans="14:20" x14ac:dyDescent="0.25">
      <c r="N2775" s="514"/>
      <c r="R2775" s="293"/>
      <c r="S2775" s="316"/>
      <c r="T2775" s="355"/>
    </row>
    <row r="2776" spans="14:20" x14ac:dyDescent="0.25">
      <c r="N2776" s="514"/>
      <c r="R2776" s="293"/>
      <c r="S2776" s="316"/>
      <c r="T2776" s="355"/>
    </row>
    <row r="2777" spans="14:20" x14ac:dyDescent="0.25">
      <c r="N2777" s="514"/>
      <c r="R2777" s="293"/>
      <c r="S2777" s="316"/>
      <c r="T2777" s="355"/>
    </row>
    <row r="2778" spans="14:20" x14ac:dyDescent="0.25">
      <c r="N2778" s="514"/>
      <c r="R2778" s="293"/>
      <c r="S2778" s="316"/>
      <c r="T2778" s="355"/>
    </row>
    <row r="2779" spans="14:20" x14ac:dyDescent="0.25">
      <c r="N2779" s="514"/>
      <c r="R2779" s="293"/>
      <c r="S2779" s="316"/>
      <c r="T2779" s="355"/>
    </row>
    <row r="2780" spans="14:20" x14ac:dyDescent="0.25">
      <c r="N2780" s="514"/>
      <c r="R2780" s="293"/>
      <c r="S2780" s="316"/>
      <c r="T2780" s="355"/>
    </row>
    <row r="2781" spans="14:20" x14ac:dyDescent="0.25">
      <c r="N2781" s="514"/>
      <c r="R2781" s="293"/>
      <c r="S2781" s="316"/>
      <c r="T2781" s="355"/>
    </row>
    <row r="2782" spans="14:20" x14ac:dyDescent="0.25">
      <c r="N2782" s="514"/>
      <c r="R2782" s="293"/>
      <c r="S2782" s="316"/>
      <c r="T2782" s="355"/>
    </row>
    <row r="2783" spans="14:20" x14ac:dyDescent="0.25">
      <c r="N2783" s="514"/>
      <c r="R2783" s="293"/>
      <c r="S2783" s="316"/>
      <c r="T2783" s="355"/>
    </row>
    <row r="2784" spans="14:20" x14ac:dyDescent="0.25">
      <c r="N2784" s="514"/>
      <c r="R2784" s="293"/>
      <c r="S2784" s="316"/>
      <c r="T2784" s="355"/>
    </row>
    <row r="2785" spans="14:20" x14ac:dyDescent="0.25">
      <c r="N2785" s="514"/>
      <c r="R2785" s="293"/>
      <c r="S2785" s="316"/>
      <c r="T2785" s="355"/>
    </row>
    <row r="2786" spans="14:20" x14ac:dyDescent="0.25">
      <c r="N2786" s="514"/>
      <c r="R2786" s="293"/>
      <c r="S2786" s="316"/>
      <c r="T2786" s="355"/>
    </row>
    <row r="2787" spans="14:20" x14ac:dyDescent="0.25">
      <c r="N2787" s="514"/>
      <c r="R2787" s="293"/>
      <c r="S2787" s="316"/>
      <c r="T2787" s="355"/>
    </row>
    <row r="2788" spans="14:20" x14ac:dyDescent="0.25">
      <c r="N2788" s="514"/>
      <c r="R2788" s="293"/>
      <c r="S2788" s="316"/>
      <c r="T2788" s="355"/>
    </row>
    <row r="2789" spans="14:20" x14ac:dyDescent="0.25">
      <c r="N2789" s="514"/>
      <c r="R2789" s="293"/>
      <c r="S2789" s="316"/>
      <c r="T2789" s="355"/>
    </row>
    <row r="2790" spans="14:20" x14ac:dyDescent="0.25">
      <c r="N2790" s="514"/>
      <c r="R2790" s="293"/>
      <c r="S2790" s="316"/>
      <c r="T2790" s="355"/>
    </row>
    <row r="2791" spans="14:20" x14ac:dyDescent="0.25">
      <c r="N2791" s="514"/>
      <c r="R2791" s="293"/>
      <c r="S2791" s="316"/>
      <c r="T2791" s="355"/>
    </row>
    <row r="2792" spans="14:20" x14ac:dyDescent="0.25">
      <c r="N2792" s="514"/>
      <c r="R2792" s="293"/>
      <c r="S2792" s="316"/>
      <c r="T2792" s="355"/>
    </row>
    <row r="2793" spans="14:20" x14ac:dyDescent="0.25">
      <c r="N2793" s="514"/>
      <c r="R2793" s="293"/>
      <c r="S2793" s="316"/>
      <c r="T2793" s="355"/>
    </row>
    <row r="2794" spans="14:20" x14ac:dyDescent="0.25">
      <c r="N2794" s="514"/>
      <c r="R2794" s="293"/>
      <c r="S2794" s="316"/>
      <c r="T2794" s="355"/>
    </row>
    <row r="2795" spans="14:20" x14ac:dyDescent="0.25">
      <c r="N2795" s="514"/>
      <c r="R2795" s="293"/>
      <c r="S2795" s="316"/>
      <c r="T2795" s="355"/>
    </row>
    <row r="2796" spans="14:20" x14ac:dyDescent="0.25">
      <c r="N2796" s="514"/>
      <c r="R2796" s="293"/>
      <c r="S2796" s="316"/>
      <c r="T2796" s="355"/>
    </row>
    <row r="2797" spans="14:20" x14ac:dyDescent="0.25">
      <c r="N2797" s="514"/>
      <c r="R2797" s="293"/>
      <c r="S2797" s="316"/>
      <c r="T2797" s="355"/>
    </row>
    <row r="2798" spans="14:20" x14ac:dyDescent="0.25">
      <c r="N2798" s="514"/>
      <c r="R2798" s="293"/>
      <c r="S2798" s="316"/>
      <c r="T2798" s="355"/>
    </row>
    <row r="2799" spans="14:20" x14ac:dyDescent="0.25">
      <c r="N2799" s="514"/>
      <c r="R2799" s="293"/>
      <c r="S2799" s="316"/>
      <c r="T2799" s="355"/>
    </row>
    <row r="2800" spans="14:20" x14ac:dyDescent="0.25">
      <c r="N2800" s="514"/>
      <c r="R2800" s="293"/>
      <c r="S2800" s="316"/>
      <c r="T2800" s="355"/>
    </row>
    <row r="2801" spans="14:20" x14ac:dyDescent="0.25">
      <c r="N2801" s="514"/>
      <c r="R2801" s="293"/>
      <c r="S2801" s="316"/>
      <c r="T2801" s="355"/>
    </row>
    <row r="2802" spans="14:20" x14ac:dyDescent="0.25">
      <c r="N2802" s="514"/>
      <c r="R2802" s="293"/>
      <c r="S2802" s="316"/>
      <c r="T2802" s="355"/>
    </row>
    <row r="2803" spans="14:20" x14ac:dyDescent="0.25">
      <c r="N2803" s="514"/>
      <c r="R2803" s="293"/>
      <c r="S2803" s="316"/>
      <c r="T2803" s="355"/>
    </row>
    <row r="2804" spans="14:20" x14ac:dyDescent="0.25">
      <c r="N2804" s="514"/>
      <c r="R2804" s="293"/>
      <c r="S2804" s="316"/>
      <c r="T2804" s="355"/>
    </row>
    <row r="2805" spans="14:20" x14ac:dyDescent="0.25">
      <c r="N2805" s="514"/>
      <c r="R2805" s="293"/>
      <c r="S2805" s="316"/>
      <c r="T2805" s="355"/>
    </row>
    <row r="2806" spans="14:20" x14ac:dyDescent="0.25">
      <c r="N2806" s="514"/>
      <c r="R2806" s="293"/>
      <c r="S2806" s="316"/>
      <c r="T2806" s="355"/>
    </row>
    <row r="2807" spans="14:20" x14ac:dyDescent="0.25">
      <c r="N2807" s="514"/>
      <c r="R2807" s="293"/>
      <c r="S2807" s="316"/>
      <c r="T2807" s="355"/>
    </row>
    <row r="2808" spans="14:20" x14ac:dyDescent="0.25">
      <c r="N2808" s="514"/>
      <c r="R2808" s="293"/>
      <c r="S2808" s="316"/>
      <c r="T2808" s="355"/>
    </row>
    <row r="2809" spans="14:20" x14ac:dyDescent="0.25">
      <c r="N2809" s="514"/>
      <c r="R2809" s="293"/>
      <c r="S2809" s="316"/>
      <c r="T2809" s="355"/>
    </row>
    <row r="2810" spans="14:20" x14ac:dyDescent="0.25">
      <c r="N2810" s="514"/>
      <c r="R2810" s="293"/>
      <c r="S2810" s="316"/>
      <c r="T2810" s="355"/>
    </row>
    <row r="2811" spans="14:20" x14ac:dyDescent="0.25">
      <c r="N2811" s="514"/>
      <c r="R2811" s="293"/>
      <c r="S2811" s="316"/>
      <c r="T2811" s="355"/>
    </row>
    <row r="2812" spans="14:20" x14ac:dyDescent="0.25">
      <c r="N2812" s="514"/>
      <c r="R2812" s="293"/>
      <c r="S2812" s="316"/>
      <c r="T2812" s="355"/>
    </row>
    <row r="2813" spans="14:20" x14ac:dyDescent="0.25">
      <c r="N2813" s="514"/>
      <c r="R2813" s="293"/>
      <c r="S2813" s="316"/>
      <c r="T2813" s="355"/>
    </row>
    <row r="2814" spans="14:20" x14ac:dyDescent="0.25">
      <c r="N2814" s="514"/>
      <c r="R2814" s="293"/>
      <c r="S2814" s="316"/>
      <c r="T2814" s="355"/>
    </row>
    <row r="2815" spans="14:20" x14ac:dyDescent="0.25">
      <c r="N2815" s="514"/>
      <c r="R2815" s="293"/>
      <c r="S2815" s="316"/>
      <c r="T2815" s="355"/>
    </row>
    <row r="2816" spans="14:20" x14ac:dyDescent="0.25">
      <c r="N2816" s="514"/>
      <c r="R2816" s="293"/>
      <c r="S2816" s="316"/>
      <c r="T2816" s="355"/>
    </row>
    <row r="2817" spans="14:20" x14ac:dyDescent="0.25">
      <c r="N2817" s="514"/>
      <c r="R2817" s="293"/>
      <c r="S2817" s="316"/>
      <c r="T2817" s="355"/>
    </row>
    <row r="2818" spans="14:20" x14ac:dyDescent="0.25">
      <c r="N2818" s="514"/>
      <c r="R2818" s="293"/>
      <c r="S2818" s="316"/>
      <c r="T2818" s="355"/>
    </row>
    <row r="2819" spans="14:20" x14ac:dyDescent="0.25">
      <c r="N2819" s="514"/>
      <c r="R2819" s="293"/>
      <c r="S2819" s="316"/>
      <c r="T2819" s="355"/>
    </row>
    <row r="2820" spans="14:20" x14ac:dyDescent="0.25">
      <c r="N2820" s="514"/>
      <c r="R2820" s="293"/>
      <c r="S2820" s="316"/>
      <c r="T2820" s="355"/>
    </row>
    <row r="2821" spans="14:20" x14ac:dyDescent="0.25">
      <c r="N2821" s="514"/>
      <c r="R2821" s="293"/>
      <c r="S2821" s="316"/>
      <c r="T2821" s="355"/>
    </row>
    <row r="2822" spans="14:20" x14ac:dyDescent="0.25">
      <c r="N2822" s="514"/>
      <c r="R2822" s="293"/>
      <c r="S2822" s="316"/>
      <c r="T2822" s="355"/>
    </row>
    <row r="2823" spans="14:20" x14ac:dyDescent="0.25">
      <c r="N2823" s="514"/>
      <c r="R2823" s="293"/>
      <c r="S2823" s="316"/>
      <c r="T2823" s="355"/>
    </row>
    <row r="2824" spans="14:20" x14ac:dyDescent="0.25">
      <c r="N2824" s="514"/>
      <c r="R2824" s="293"/>
      <c r="S2824" s="316"/>
      <c r="T2824" s="355"/>
    </row>
    <row r="2825" spans="14:20" x14ac:dyDescent="0.25">
      <c r="N2825" s="514"/>
      <c r="R2825" s="293"/>
      <c r="S2825" s="316"/>
      <c r="T2825" s="355"/>
    </row>
    <row r="2826" spans="14:20" x14ac:dyDescent="0.25">
      <c r="N2826" s="514"/>
      <c r="R2826" s="293"/>
      <c r="S2826" s="316"/>
      <c r="T2826" s="355"/>
    </row>
    <row r="2827" spans="14:20" x14ac:dyDescent="0.25">
      <c r="N2827" s="514"/>
      <c r="R2827" s="293"/>
      <c r="S2827" s="316"/>
      <c r="T2827" s="355"/>
    </row>
    <row r="2828" spans="14:20" x14ac:dyDescent="0.25">
      <c r="N2828" s="514"/>
      <c r="R2828" s="293"/>
      <c r="S2828" s="316"/>
      <c r="T2828" s="355"/>
    </row>
    <row r="2829" spans="14:20" x14ac:dyDescent="0.25">
      <c r="N2829" s="514"/>
      <c r="R2829" s="293"/>
      <c r="S2829" s="316"/>
      <c r="T2829" s="355"/>
    </row>
    <row r="2830" spans="14:20" x14ac:dyDescent="0.25">
      <c r="N2830" s="514"/>
      <c r="R2830" s="293"/>
      <c r="S2830" s="316"/>
      <c r="T2830" s="355"/>
    </row>
    <row r="2831" spans="14:20" x14ac:dyDescent="0.25">
      <c r="N2831" s="514"/>
      <c r="R2831" s="293"/>
      <c r="S2831" s="316"/>
      <c r="T2831" s="355"/>
    </row>
    <row r="2832" spans="14:20" x14ac:dyDescent="0.25">
      <c r="N2832" s="514"/>
      <c r="R2832" s="293"/>
      <c r="S2832" s="316"/>
      <c r="T2832" s="355"/>
    </row>
    <row r="2833" spans="14:20" x14ac:dyDescent="0.25">
      <c r="N2833" s="514"/>
      <c r="R2833" s="293"/>
      <c r="S2833" s="316"/>
      <c r="T2833" s="355"/>
    </row>
    <row r="2834" spans="14:20" x14ac:dyDescent="0.25">
      <c r="N2834" s="514"/>
      <c r="R2834" s="293"/>
      <c r="S2834" s="316"/>
      <c r="T2834" s="355"/>
    </row>
    <row r="2835" spans="14:20" x14ac:dyDescent="0.25">
      <c r="N2835" s="514"/>
      <c r="R2835" s="293"/>
      <c r="S2835" s="316"/>
      <c r="T2835" s="355"/>
    </row>
    <row r="2836" spans="14:20" x14ac:dyDescent="0.25">
      <c r="N2836" s="514"/>
      <c r="R2836" s="293"/>
      <c r="S2836" s="316"/>
      <c r="T2836" s="355"/>
    </row>
    <row r="2837" spans="14:20" x14ac:dyDescent="0.25">
      <c r="N2837" s="514"/>
      <c r="R2837" s="293"/>
      <c r="S2837" s="316"/>
      <c r="T2837" s="355"/>
    </row>
    <row r="2838" spans="14:20" x14ac:dyDescent="0.25">
      <c r="N2838" s="514"/>
      <c r="R2838" s="293"/>
      <c r="S2838" s="316"/>
      <c r="T2838" s="355"/>
    </row>
    <row r="2839" spans="14:20" x14ac:dyDescent="0.25">
      <c r="N2839" s="514"/>
      <c r="R2839" s="293"/>
      <c r="S2839" s="316"/>
      <c r="T2839" s="355"/>
    </row>
    <row r="2840" spans="14:20" x14ac:dyDescent="0.25">
      <c r="N2840" s="514"/>
      <c r="R2840" s="293"/>
      <c r="S2840" s="316"/>
      <c r="T2840" s="355"/>
    </row>
    <row r="2841" spans="14:20" x14ac:dyDescent="0.25">
      <c r="N2841" s="514"/>
      <c r="R2841" s="293"/>
      <c r="S2841" s="316"/>
      <c r="T2841" s="355"/>
    </row>
    <row r="2842" spans="14:20" x14ac:dyDescent="0.25">
      <c r="N2842" s="514"/>
      <c r="R2842" s="293"/>
      <c r="S2842" s="316"/>
      <c r="T2842" s="355"/>
    </row>
    <row r="2843" spans="14:20" x14ac:dyDescent="0.25">
      <c r="N2843" s="514"/>
      <c r="R2843" s="293"/>
      <c r="S2843" s="316"/>
      <c r="T2843" s="355"/>
    </row>
    <row r="2844" spans="14:20" x14ac:dyDescent="0.25">
      <c r="N2844" s="514"/>
      <c r="R2844" s="293"/>
      <c r="S2844" s="316"/>
      <c r="T2844" s="355"/>
    </row>
    <row r="2845" spans="14:20" x14ac:dyDescent="0.25">
      <c r="N2845" s="514"/>
      <c r="R2845" s="293"/>
      <c r="S2845" s="316"/>
      <c r="T2845" s="355"/>
    </row>
    <row r="2846" spans="14:20" x14ac:dyDescent="0.25">
      <c r="N2846" s="514"/>
      <c r="R2846" s="293"/>
      <c r="S2846" s="316"/>
      <c r="T2846" s="355"/>
    </row>
    <row r="2847" spans="14:20" x14ac:dyDescent="0.25">
      <c r="N2847" s="514"/>
      <c r="R2847" s="293"/>
      <c r="S2847" s="316"/>
      <c r="T2847" s="355"/>
    </row>
    <row r="2848" spans="14:20" x14ac:dyDescent="0.25">
      <c r="N2848" s="514"/>
      <c r="R2848" s="293"/>
      <c r="S2848" s="316"/>
      <c r="T2848" s="355"/>
    </row>
    <row r="2849" spans="14:20" x14ac:dyDescent="0.25">
      <c r="N2849" s="514"/>
      <c r="R2849" s="293"/>
      <c r="S2849" s="316"/>
      <c r="T2849" s="355"/>
    </row>
    <row r="2850" spans="14:20" x14ac:dyDescent="0.25">
      <c r="N2850" s="514"/>
      <c r="R2850" s="293"/>
      <c r="S2850" s="316"/>
      <c r="T2850" s="355"/>
    </row>
    <row r="2851" spans="14:20" x14ac:dyDescent="0.25">
      <c r="N2851" s="514"/>
      <c r="R2851" s="293"/>
      <c r="S2851" s="316"/>
      <c r="T2851" s="355"/>
    </row>
    <row r="2852" spans="14:20" x14ac:dyDescent="0.25">
      <c r="N2852" s="514"/>
      <c r="R2852" s="293"/>
      <c r="S2852" s="316"/>
      <c r="T2852" s="355"/>
    </row>
    <row r="2853" spans="14:20" x14ac:dyDescent="0.25">
      <c r="N2853" s="514"/>
      <c r="R2853" s="293"/>
      <c r="S2853" s="316"/>
      <c r="T2853" s="355"/>
    </row>
    <row r="2854" spans="14:20" x14ac:dyDescent="0.25">
      <c r="N2854" s="514"/>
      <c r="R2854" s="293"/>
      <c r="S2854" s="316"/>
      <c r="T2854" s="355"/>
    </row>
    <row r="2855" spans="14:20" x14ac:dyDescent="0.25">
      <c r="N2855" s="514"/>
      <c r="R2855" s="293"/>
      <c r="S2855" s="316"/>
      <c r="T2855" s="355"/>
    </row>
    <row r="2856" spans="14:20" x14ac:dyDescent="0.25">
      <c r="N2856" s="514"/>
      <c r="R2856" s="293"/>
      <c r="S2856" s="316"/>
      <c r="T2856" s="355"/>
    </row>
    <row r="2857" spans="14:20" x14ac:dyDescent="0.25">
      <c r="N2857" s="514"/>
      <c r="R2857" s="293"/>
      <c r="S2857" s="316"/>
      <c r="T2857" s="355"/>
    </row>
    <row r="2858" spans="14:20" x14ac:dyDescent="0.25">
      <c r="N2858" s="514"/>
      <c r="R2858" s="293"/>
      <c r="S2858" s="316"/>
      <c r="T2858" s="355"/>
    </row>
    <row r="2859" spans="14:20" x14ac:dyDescent="0.25">
      <c r="N2859" s="514"/>
      <c r="R2859" s="293"/>
      <c r="S2859" s="316"/>
      <c r="T2859" s="355"/>
    </row>
    <row r="2860" spans="14:20" x14ac:dyDescent="0.25">
      <c r="N2860" s="514"/>
      <c r="R2860" s="293"/>
      <c r="S2860" s="316"/>
      <c r="T2860" s="355"/>
    </row>
    <row r="2861" spans="14:20" x14ac:dyDescent="0.25">
      <c r="N2861" s="514"/>
      <c r="R2861" s="293"/>
      <c r="S2861" s="316"/>
      <c r="T2861" s="355"/>
    </row>
    <row r="2862" spans="14:20" x14ac:dyDescent="0.25">
      <c r="N2862" s="514"/>
      <c r="R2862" s="293"/>
      <c r="S2862" s="316"/>
      <c r="T2862" s="355"/>
    </row>
    <row r="2863" spans="14:20" x14ac:dyDescent="0.25">
      <c r="N2863" s="514"/>
      <c r="R2863" s="293"/>
      <c r="S2863" s="316"/>
      <c r="T2863" s="355"/>
    </row>
    <row r="2864" spans="14:20" x14ac:dyDescent="0.25">
      <c r="N2864" s="514"/>
      <c r="R2864" s="293"/>
      <c r="S2864" s="316"/>
      <c r="T2864" s="355"/>
    </row>
    <row r="2865" spans="14:20" x14ac:dyDescent="0.25">
      <c r="N2865" s="514"/>
      <c r="R2865" s="293"/>
      <c r="S2865" s="316"/>
      <c r="T2865" s="355"/>
    </row>
    <row r="2866" spans="14:20" x14ac:dyDescent="0.25">
      <c r="N2866" s="514"/>
      <c r="R2866" s="293"/>
      <c r="S2866" s="316"/>
      <c r="T2866" s="355"/>
    </row>
    <row r="2867" spans="14:20" x14ac:dyDescent="0.25">
      <c r="N2867" s="514"/>
      <c r="R2867" s="293"/>
      <c r="S2867" s="316"/>
      <c r="T2867" s="355"/>
    </row>
    <row r="2868" spans="14:20" x14ac:dyDescent="0.25">
      <c r="N2868" s="514"/>
      <c r="R2868" s="293"/>
      <c r="S2868" s="316"/>
      <c r="T2868" s="355"/>
    </row>
    <row r="2869" spans="14:20" x14ac:dyDescent="0.25">
      <c r="N2869" s="514"/>
      <c r="R2869" s="293"/>
      <c r="S2869" s="316"/>
      <c r="T2869" s="355"/>
    </row>
    <row r="2870" spans="14:20" x14ac:dyDescent="0.25">
      <c r="N2870" s="514"/>
      <c r="R2870" s="293"/>
      <c r="S2870" s="316"/>
      <c r="T2870" s="355"/>
    </row>
    <row r="2871" spans="14:20" x14ac:dyDescent="0.25">
      <c r="N2871" s="514"/>
      <c r="R2871" s="293"/>
      <c r="S2871" s="316"/>
      <c r="T2871" s="355"/>
    </row>
    <row r="2872" spans="14:20" x14ac:dyDescent="0.25">
      <c r="N2872" s="514"/>
      <c r="R2872" s="293"/>
      <c r="S2872" s="316"/>
      <c r="T2872" s="355"/>
    </row>
    <row r="2873" spans="14:20" x14ac:dyDescent="0.25">
      <c r="N2873" s="514"/>
      <c r="R2873" s="293"/>
      <c r="S2873" s="316"/>
      <c r="T2873" s="355"/>
    </row>
    <row r="2874" spans="14:20" x14ac:dyDescent="0.25">
      <c r="N2874" s="514"/>
      <c r="R2874" s="293"/>
      <c r="S2874" s="316"/>
      <c r="T2874" s="355"/>
    </row>
    <row r="2875" spans="14:20" x14ac:dyDescent="0.25">
      <c r="N2875" s="514"/>
      <c r="R2875" s="293"/>
      <c r="S2875" s="316"/>
      <c r="T2875" s="355"/>
    </row>
    <row r="2876" spans="14:20" x14ac:dyDescent="0.25">
      <c r="N2876" s="514"/>
      <c r="R2876" s="293"/>
      <c r="S2876" s="316"/>
      <c r="T2876" s="355"/>
    </row>
    <row r="2877" spans="14:20" x14ac:dyDescent="0.25">
      <c r="N2877" s="514"/>
      <c r="R2877" s="293"/>
      <c r="S2877" s="316"/>
      <c r="T2877" s="355"/>
    </row>
    <row r="2878" spans="14:20" x14ac:dyDescent="0.25">
      <c r="N2878" s="514"/>
      <c r="R2878" s="293"/>
      <c r="S2878" s="316"/>
      <c r="T2878" s="355"/>
    </row>
    <row r="2879" spans="14:20" x14ac:dyDescent="0.25">
      <c r="N2879" s="514"/>
      <c r="R2879" s="293"/>
      <c r="S2879" s="316"/>
      <c r="T2879" s="355"/>
    </row>
    <row r="2880" spans="14:20" x14ac:dyDescent="0.25">
      <c r="N2880" s="514"/>
      <c r="R2880" s="293"/>
      <c r="S2880" s="316"/>
      <c r="T2880" s="355"/>
    </row>
    <row r="2881" spans="14:20" x14ac:dyDescent="0.25">
      <c r="N2881" s="514"/>
      <c r="R2881" s="293"/>
      <c r="S2881" s="316"/>
      <c r="T2881" s="355"/>
    </row>
    <row r="2882" spans="14:20" x14ac:dyDescent="0.25">
      <c r="N2882" s="514"/>
      <c r="R2882" s="293"/>
      <c r="S2882" s="316"/>
      <c r="T2882" s="355"/>
    </row>
    <row r="2883" spans="14:20" x14ac:dyDescent="0.25">
      <c r="N2883" s="514"/>
      <c r="R2883" s="293"/>
      <c r="S2883" s="316"/>
      <c r="T2883" s="355"/>
    </row>
    <row r="2884" spans="14:20" x14ac:dyDescent="0.25">
      <c r="N2884" s="514"/>
      <c r="R2884" s="293"/>
      <c r="S2884" s="316"/>
      <c r="T2884" s="355"/>
    </row>
    <row r="2885" spans="14:20" x14ac:dyDescent="0.25">
      <c r="N2885" s="514"/>
      <c r="R2885" s="293"/>
      <c r="S2885" s="316"/>
      <c r="T2885" s="355"/>
    </row>
    <row r="2886" spans="14:20" x14ac:dyDescent="0.25">
      <c r="N2886" s="514"/>
      <c r="R2886" s="293"/>
      <c r="S2886" s="316"/>
      <c r="T2886" s="355"/>
    </row>
    <row r="2887" spans="14:20" x14ac:dyDescent="0.25">
      <c r="N2887" s="514"/>
      <c r="R2887" s="293"/>
      <c r="S2887" s="316"/>
      <c r="T2887" s="355"/>
    </row>
    <row r="2888" spans="14:20" x14ac:dyDescent="0.25">
      <c r="N2888" s="514"/>
      <c r="R2888" s="293"/>
      <c r="S2888" s="316"/>
      <c r="T2888" s="355"/>
    </row>
    <row r="2889" spans="14:20" x14ac:dyDescent="0.25">
      <c r="N2889" s="514"/>
      <c r="R2889" s="293"/>
      <c r="S2889" s="316"/>
      <c r="T2889" s="355"/>
    </row>
    <row r="2890" spans="14:20" x14ac:dyDescent="0.25">
      <c r="N2890" s="514"/>
      <c r="R2890" s="293"/>
      <c r="S2890" s="316"/>
      <c r="T2890" s="355"/>
    </row>
    <row r="2891" spans="14:20" x14ac:dyDescent="0.25">
      <c r="N2891" s="514"/>
      <c r="R2891" s="293"/>
      <c r="S2891" s="316"/>
      <c r="T2891" s="355"/>
    </row>
    <row r="2892" spans="14:20" x14ac:dyDescent="0.25">
      <c r="N2892" s="514"/>
      <c r="R2892" s="293"/>
      <c r="S2892" s="316"/>
      <c r="T2892" s="355"/>
    </row>
    <row r="2893" spans="14:20" x14ac:dyDescent="0.25">
      <c r="N2893" s="514"/>
      <c r="R2893" s="293"/>
      <c r="S2893" s="316"/>
      <c r="T2893" s="355"/>
    </row>
    <row r="2894" spans="14:20" x14ac:dyDescent="0.25">
      <c r="N2894" s="514"/>
      <c r="R2894" s="293"/>
      <c r="S2894" s="316"/>
      <c r="T2894" s="355"/>
    </row>
    <row r="2895" spans="14:20" x14ac:dyDescent="0.25">
      <c r="N2895" s="514"/>
      <c r="R2895" s="293"/>
      <c r="S2895" s="316"/>
      <c r="T2895" s="355"/>
    </row>
    <row r="2896" spans="14:20" x14ac:dyDescent="0.25">
      <c r="N2896" s="514"/>
      <c r="R2896" s="293"/>
      <c r="S2896" s="316"/>
      <c r="T2896" s="355"/>
    </row>
    <row r="2897" spans="14:20" x14ac:dyDescent="0.25">
      <c r="N2897" s="514"/>
      <c r="R2897" s="293"/>
      <c r="S2897" s="316"/>
      <c r="T2897" s="355"/>
    </row>
    <row r="2898" spans="14:20" x14ac:dyDescent="0.25">
      <c r="N2898" s="514"/>
      <c r="R2898" s="293"/>
      <c r="S2898" s="316"/>
      <c r="T2898" s="355"/>
    </row>
    <row r="2899" spans="14:20" x14ac:dyDescent="0.25">
      <c r="N2899" s="514"/>
      <c r="R2899" s="293"/>
      <c r="S2899" s="316"/>
      <c r="T2899" s="355"/>
    </row>
    <row r="2900" spans="14:20" x14ac:dyDescent="0.25">
      <c r="N2900" s="514"/>
      <c r="R2900" s="293"/>
      <c r="S2900" s="316"/>
      <c r="T2900" s="355"/>
    </row>
    <row r="2901" spans="14:20" x14ac:dyDescent="0.25">
      <c r="N2901" s="514"/>
      <c r="R2901" s="293"/>
      <c r="S2901" s="316"/>
      <c r="T2901" s="355"/>
    </row>
    <row r="2902" spans="14:20" x14ac:dyDescent="0.25">
      <c r="N2902" s="514"/>
      <c r="R2902" s="293"/>
      <c r="S2902" s="316"/>
      <c r="T2902" s="355"/>
    </row>
    <row r="2903" spans="14:20" x14ac:dyDescent="0.25">
      <c r="N2903" s="514"/>
      <c r="R2903" s="293"/>
      <c r="S2903" s="316"/>
      <c r="T2903" s="355"/>
    </row>
    <row r="2904" spans="14:20" x14ac:dyDescent="0.25">
      <c r="N2904" s="514"/>
      <c r="R2904" s="293"/>
      <c r="S2904" s="316"/>
      <c r="T2904" s="355"/>
    </row>
    <row r="2905" spans="14:20" x14ac:dyDescent="0.25">
      <c r="N2905" s="514"/>
      <c r="R2905" s="293"/>
      <c r="S2905" s="316"/>
      <c r="T2905" s="355"/>
    </row>
    <row r="2906" spans="14:20" x14ac:dyDescent="0.25">
      <c r="N2906" s="514"/>
      <c r="R2906" s="293"/>
      <c r="S2906" s="316"/>
      <c r="T2906" s="355"/>
    </row>
    <row r="2907" spans="14:20" x14ac:dyDescent="0.25">
      <c r="N2907" s="514"/>
      <c r="R2907" s="293"/>
      <c r="S2907" s="316"/>
      <c r="T2907" s="355"/>
    </row>
    <row r="2908" spans="14:20" x14ac:dyDescent="0.25">
      <c r="N2908" s="514"/>
      <c r="R2908" s="293"/>
      <c r="S2908" s="316"/>
      <c r="T2908" s="355"/>
    </row>
    <row r="2909" spans="14:20" x14ac:dyDescent="0.25">
      <c r="N2909" s="514"/>
      <c r="R2909" s="293"/>
      <c r="S2909" s="316"/>
      <c r="T2909" s="355"/>
    </row>
    <row r="2910" spans="14:20" x14ac:dyDescent="0.25">
      <c r="N2910" s="514"/>
      <c r="R2910" s="293"/>
      <c r="S2910" s="316"/>
      <c r="T2910" s="355"/>
    </row>
    <row r="2911" spans="14:20" x14ac:dyDescent="0.25">
      <c r="N2911" s="514"/>
      <c r="R2911" s="293"/>
      <c r="S2911" s="316"/>
      <c r="T2911" s="355"/>
    </row>
    <row r="2912" spans="14:20" x14ac:dyDescent="0.25">
      <c r="N2912" s="514"/>
      <c r="R2912" s="293"/>
      <c r="S2912" s="316"/>
      <c r="T2912" s="355"/>
    </row>
    <row r="2913" spans="14:20" x14ac:dyDescent="0.25">
      <c r="N2913" s="514"/>
      <c r="R2913" s="293"/>
      <c r="S2913" s="316"/>
      <c r="T2913" s="355"/>
    </row>
    <row r="2914" spans="14:20" x14ac:dyDescent="0.25">
      <c r="N2914" s="514"/>
      <c r="R2914" s="293"/>
      <c r="S2914" s="316"/>
      <c r="T2914" s="355"/>
    </row>
    <row r="2915" spans="14:20" x14ac:dyDescent="0.25">
      <c r="N2915" s="514"/>
      <c r="R2915" s="293"/>
      <c r="S2915" s="316"/>
      <c r="T2915" s="355"/>
    </row>
    <row r="2916" spans="14:20" x14ac:dyDescent="0.25">
      <c r="N2916" s="514"/>
      <c r="R2916" s="293"/>
      <c r="S2916" s="316"/>
      <c r="T2916" s="355"/>
    </row>
    <row r="2917" spans="14:20" x14ac:dyDescent="0.25">
      <c r="N2917" s="514"/>
      <c r="R2917" s="293"/>
      <c r="S2917" s="316"/>
      <c r="T2917" s="355"/>
    </row>
    <row r="2918" spans="14:20" x14ac:dyDescent="0.25">
      <c r="N2918" s="514"/>
      <c r="R2918" s="293"/>
      <c r="S2918" s="316"/>
      <c r="T2918" s="355"/>
    </row>
    <row r="2919" spans="14:20" x14ac:dyDescent="0.25">
      <c r="N2919" s="514"/>
      <c r="R2919" s="293"/>
      <c r="S2919" s="316"/>
      <c r="T2919" s="355"/>
    </row>
    <row r="2920" spans="14:20" x14ac:dyDescent="0.25">
      <c r="N2920" s="514"/>
      <c r="R2920" s="293"/>
      <c r="S2920" s="316"/>
      <c r="T2920" s="355"/>
    </row>
    <row r="2921" spans="14:20" x14ac:dyDescent="0.25">
      <c r="N2921" s="514"/>
      <c r="R2921" s="293"/>
      <c r="S2921" s="316"/>
      <c r="T2921" s="355"/>
    </row>
    <row r="2922" spans="14:20" x14ac:dyDescent="0.25">
      <c r="N2922" s="514"/>
      <c r="R2922" s="293"/>
      <c r="S2922" s="316"/>
      <c r="T2922" s="355"/>
    </row>
    <row r="2923" spans="14:20" x14ac:dyDescent="0.25">
      <c r="N2923" s="514"/>
      <c r="R2923" s="293"/>
      <c r="S2923" s="316"/>
      <c r="T2923" s="355"/>
    </row>
    <row r="2924" spans="14:20" x14ac:dyDescent="0.25">
      <c r="N2924" s="514"/>
      <c r="R2924" s="293"/>
      <c r="S2924" s="316"/>
      <c r="T2924" s="355"/>
    </row>
    <row r="2925" spans="14:20" x14ac:dyDescent="0.25">
      <c r="N2925" s="514"/>
      <c r="R2925" s="293"/>
      <c r="S2925" s="316"/>
      <c r="T2925" s="355"/>
    </row>
    <row r="2926" spans="14:20" x14ac:dyDescent="0.25">
      <c r="N2926" s="514"/>
      <c r="R2926" s="293"/>
      <c r="S2926" s="316"/>
      <c r="T2926" s="355"/>
    </row>
    <row r="2927" spans="14:20" x14ac:dyDescent="0.25">
      <c r="N2927" s="514"/>
      <c r="R2927" s="293"/>
      <c r="S2927" s="316"/>
      <c r="T2927" s="355"/>
    </row>
    <row r="2928" spans="14:20" x14ac:dyDescent="0.25">
      <c r="N2928" s="514"/>
      <c r="R2928" s="293"/>
      <c r="S2928" s="316"/>
      <c r="T2928" s="355"/>
    </row>
    <row r="2929" spans="14:20" x14ac:dyDescent="0.25">
      <c r="N2929" s="514"/>
      <c r="R2929" s="293"/>
      <c r="S2929" s="316"/>
      <c r="T2929" s="355"/>
    </row>
    <row r="2930" spans="14:20" x14ac:dyDescent="0.25">
      <c r="N2930" s="514"/>
      <c r="R2930" s="293"/>
      <c r="S2930" s="316"/>
      <c r="T2930" s="355"/>
    </row>
    <row r="2931" spans="14:20" x14ac:dyDescent="0.25">
      <c r="N2931" s="514"/>
      <c r="R2931" s="293"/>
      <c r="S2931" s="316"/>
      <c r="T2931" s="355"/>
    </row>
    <row r="2932" spans="14:20" x14ac:dyDescent="0.25">
      <c r="N2932" s="514"/>
      <c r="R2932" s="293"/>
      <c r="S2932" s="316"/>
      <c r="T2932" s="355"/>
    </row>
    <row r="2933" spans="14:20" x14ac:dyDescent="0.25">
      <c r="N2933" s="514"/>
      <c r="R2933" s="293"/>
      <c r="S2933" s="316"/>
      <c r="T2933" s="355"/>
    </row>
    <row r="2934" spans="14:20" x14ac:dyDescent="0.25">
      <c r="N2934" s="514"/>
      <c r="R2934" s="293"/>
      <c r="S2934" s="316"/>
      <c r="T2934" s="355"/>
    </row>
    <row r="2935" spans="14:20" x14ac:dyDescent="0.25">
      <c r="N2935" s="514"/>
      <c r="R2935" s="293"/>
      <c r="S2935" s="316"/>
      <c r="T2935" s="355"/>
    </row>
    <row r="2936" spans="14:20" x14ac:dyDescent="0.25">
      <c r="N2936" s="514"/>
      <c r="R2936" s="293"/>
      <c r="S2936" s="316"/>
      <c r="T2936" s="355"/>
    </row>
    <row r="2937" spans="14:20" x14ac:dyDescent="0.25">
      <c r="N2937" s="514"/>
      <c r="R2937" s="293"/>
      <c r="S2937" s="316"/>
      <c r="T2937" s="355"/>
    </row>
    <row r="2938" spans="14:20" x14ac:dyDescent="0.25">
      <c r="N2938" s="514"/>
      <c r="R2938" s="293"/>
      <c r="S2938" s="316"/>
      <c r="T2938" s="355"/>
    </row>
    <row r="2939" spans="14:20" x14ac:dyDescent="0.25">
      <c r="N2939" s="514"/>
      <c r="R2939" s="293"/>
      <c r="S2939" s="316"/>
      <c r="T2939" s="355"/>
    </row>
    <row r="2940" spans="14:20" x14ac:dyDescent="0.25">
      <c r="N2940" s="514"/>
      <c r="R2940" s="293"/>
      <c r="S2940" s="316"/>
      <c r="T2940" s="355"/>
    </row>
    <row r="2941" spans="14:20" x14ac:dyDescent="0.25">
      <c r="N2941" s="514"/>
      <c r="R2941" s="293"/>
      <c r="S2941" s="316"/>
      <c r="T2941" s="355"/>
    </row>
    <row r="2942" spans="14:20" x14ac:dyDescent="0.25">
      <c r="N2942" s="514"/>
      <c r="R2942" s="293"/>
      <c r="S2942" s="316"/>
      <c r="T2942" s="355"/>
    </row>
    <row r="2943" spans="14:20" x14ac:dyDescent="0.25">
      <c r="N2943" s="514"/>
      <c r="R2943" s="293"/>
      <c r="S2943" s="316"/>
      <c r="T2943" s="355"/>
    </row>
    <row r="2944" spans="14:20" x14ac:dyDescent="0.25">
      <c r="N2944" s="514"/>
      <c r="R2944" s="293"/>
      <c r="S2944" s="316"/>
      <c r="T2944" s="355"/>
    </row>
    <row r="2945" spans="14:20" x14ac:dyDescent="0.25">
      <c r="N2945" s="514"/>
      <c r="R2945" s="293"/>
      <c r="S2945" s="316"/>
      <c r="T2945" s="355"/>
    </row>
    <row r="2946" spans="14:20" x14ac:dyDescent="0.25">
      <c r="N2946" s="514"/>
      <c r="R2946" s="293"/>
      <c r="S2946" s="316"/>
      <c r="T2946" s="355"/>
    </row>
    <row r="2947" spans="14:20" x14ac:dyDescent="0.25">
      <c r="N2947" s="514"/>
      <c r="R2947" s="293"/>
      <c r="S2947" s="316"/>
      <c r="T2947" s="355"/>
    </row>
    <row r="2948" spans="14:20" x14ac:dyDescent="0.25">
      <c r="N2948" s="514"/>
      <c r="R2948" s="293"/>
      <c r="S2948" s="316"/>
      <c r="T2948" s="355"/>
    </row>
    <row r="2949" spans="14:20" x14ac:dyDescent="0.25">
      <c r="N2949" s="514"/>
      <c r="R2949" s="293"/>
      <c r="S2949" s="316"/>
      <c r="T2949" s="355"/>
    </row>
    <row r="2950" spans="14:20" x14ac:dyDescent="0.25">
      <c r="N2950" s="514"/>
      <c r="R2950" s="293"/>
      <c r="S2950" s="316"/>
      <c r="T2950" s="355"/>
    </row>
    <row r="2951" spans="14:20" x14ac:dyDescent="0.25">
      <c r="N2951" s="514"/>
      <c r="R2951" s="293"/>
      <c r="S2951" s="316"/>
      <c r="T2951" s="355"/>
    </row>
    <row r="2952" spans="14:20" x14ac:dyDescent="0.25">
      <c r="N2952" s="514"/>
      <c r="R2952" s="293"/>
      <c r="S2952" s="316"/>
      <c r="T2952" s="355"/>
    </row>
    <row r="2953" spans="14:20" x14ac:dyDescent="0.25">
      <c r="N2953" s="514"/>
      <c r="R2953" s="293"/>
      <c r="S2953" s="316"/>
      <c r="T2953" s="355"/>
    </row>
    <row r="2954" spans="14:20" x14ac:dyDescent="0.25">
      <c r="N2954" s="514"/>
      <c r="R2954" s="293"/>
      <c r="S2954" s="316"/>
      <c r="T2954" s="355"/>
    </row>
    <row r="2955" spans="14:20" x14ac:dyDescent="0.25">
      <c r="N2955" s="514"/>
      <c r="R2955" s="293"/>
      <c r="S2955" s="316"/>
      <c r="T2955" s="355"/>
    </row>
    <row r="2956" spans="14:20" x14ac:dyDescent="0.25">
      <c r="N2956" s="514"/>
      <c r="R2956" s="293"/>
      <c r="S2956" s="316"/>
      <c r="T2956" s="355"/>
    </row>
    <row r="2957" spans="14:20" x14ac:dyDescent="0.25">
      <c r="N2957" s="514"/>
      <c r="R2957" s="293"/>
      <c r="S2957" s="316"/>
      <c r="T2957" s="355"/>
    </row>
    <row r="2958" spans="14:20" x14ac:dyDescent="0.25">
      <c r="N2958" s="514"/>
      <c r="R2958" s="293"/>
      <c r="S2958" s="316"/>
      <c r="T2958" s="355"/>
    </row>
    <row r="2959" spans="14:20" x14ac:dyDescent="0.25">
      <c r="N2959" s="514"/>
      <c r="R2959" s="293"/>
      <c r="S2959" s="316"/>
      <c r="T2959" s="355"/>
    </row>
    <row r="2960" spans="14:20" x14ac:dyDescent="0.25">
      <c r="N2960" s="514"/>
      <c r="R2960" s="293"/>
      <c r="S2960" s="316"/>
      <c r="T2960" s="355"/>
    </row>
    <row r="2961" spans="14:20" x14ac:dyDescent="0.25">
      <c r="N2961" s="514"/>
      <c r="R2961" s="293"/>
      <c r="S2961" s="316"/>
      <c r="T2961" s="355"/>
    </row>
    <row r="2962" spans="14:20" x14ac:dyDescent="0.25">
      <c r="N2962" s="514"/>
      <c r="R2962" s="293"/>
      <c r="S2962" s="316"/>
      <c r="T2962" s="355"/>
    </row>
    <row r="2963" spans="14:20" x14ac:dyDescent="0.25">
      <c r="N2963" s="514"/>
      <c r="R2963" s="293"/>
      <c r="S2963" s="316"/>
      <c r="T2963" s="355"/>
    </row>
    <row r="2964" spans="14:20" x14ac:dyDescent="0.25">
      <c r="N2964" s="514"/>
      <c r="R2964" s="293"/>
      <c r="S2964" s="316"/>
      <c r="T2964" s="355"/>
    </row>
    <row r="2965" spans="14:20" x14ac:dyDescent="0.25">
      <c r="N2965" s="514"/>
      <c r="R2965" s="293"/>
      <c r="S2965" s="316"/>
      <c r="T2965" s="355"/>
    </row>
    <row r="2966" spans="14:20" x14ac:dyDescent="0.25">
      <c r="N2966" s="514"/>
      <c r="R2966" s="293"/>
      <c r="S2966" s="316"/>
      <c r="T2966" s="355"/>
    </row>
    <row r="2967" spans="14:20" x14ac:dyDescent="0.25">
      <c r="N2967" s="514"/>
      <c r="R2967" s="293"/>
      <c r="S2967" s="316"/>
      <c r="T2967" s="355"/>
    </row>
    <row r="2968" spans="14:20" x14ac:dyDescent="0.25">
      <c r="N2968" s="514"/>
      <c r="R2968" s="293"/>
      <c r="S2968" s="316"/>
      <c r="T2968" s="355"/>
    </row>
    <row r="2969" spans="14:20" x14ac:dyDescent="0.25">
      <c r="N2969" s="514"/>
      <c r="R2969" s="293"/>
      <c r="S2969" s="316"/>
      <c r="T2969" s="355"/>
    </row>
    <row r="2970" spans="14:20" x14ac:dyDescent="0.25">
      <c r="N2970" s="514"/>
      <c r="R2970" s="293"/>
      <c r="S2970" s="316"/>
      <c r="T2970" s="355"/>
    </row>
    <row r="2971" spans="14:20" x14ac:dyDescent="0.25">
      <c r="N2971" s="514"/>
      <c r="R2971" s="293"/>
      <c r="S2971" s="316"/>
      <c r="T2971" s="355"/>
    </row>
    <row r="2972" spans="14:20" x14ac:dyDescent="0.25">
      <c r="N2972" s="514"/>
      <c r="R2972" s="293"/>
      <c r="S2972" s="316"/>
      <c r="T2972" s="355"/>
    </row>
    <row r="2973" spans="14:20" x14ac:dyDescent="0.25">
      <c r="N2973" s="514"/>
      <c r="R2973" s="293"/>
      <c r="S2973" s="316"/>
      <c r="T2973" s="355"/>
    </row>
    <row r="2974" spans="14:20" x14ac:dyDescent="0.25">
      <c r="N2974" s="514"/>
      <c r="R2974" s="293"/>
      <c r="S2974" s="316"/>
      <c r="T2974" s="355"/>
    </row>
    <row r="2975" spans="14:20" x14ac:dyDescent="0.25">
      <c r="N2975" s="514"/>
      <c r="R2975" s="293"/>
      <c r="S2975" s="316"/>
      <c r="T2975" s="355"/>
    </row>
    <row r="2976" spans="14:20" x14ac:dyDescent="0.25">
      <c r="N2976" s="514"/>
      <c r="R2976" s="293"/>
      <c r="S2976" s="316"/>
      <c r="T2976" s="355"/>
    </row>
    <row r="2977" spans="14:20" x14ac:dyDescent="0.25">
      <c r="N2977" s="514"/>
      <c r="R2977" s="293"/>
      <c r="S2977" s="316"/>
      <c r="T2977" s="355"/>
    </row>
    <row r="2978" spans="14:20" x14ac:dyDescent="0.25">
      <c r="N2978" s="514"/>
      <c r="R2978" s="293"/>
      <c r="S2978" s="316"/>
      <c r="T2978" s="355"/>
    </row>
    <row r="2979" spans="14:20" x14ac:dyDescent="0.25">
      <c r="N2979" s="514"/>
      <c r="R2979" s="293"/>
      <c r="S2979" s="316"/>
      <c r="T2979" s="355"/>
    </row>
    <row r="2980" spans="14:20" x14ac:dyDescent="0.25">
      <c r="N2980" s="514"/>
      <c r="R2980" s="293"/>
      <c r="S2980" s="316"/>
      <c r="T2980" s="355"/>
    </row>
    <row r="2981" spans="14:20" x14ac:dyDescent="0.25">
      <c r="N2981" s="514"/>
      <c r="R2981" s="293"/>
      <c r="S2981" s="316"/>
      <c r="T2981" s="355"/>
    </row>
    <row r="2982" spans="14:20" x14ac:dyDescent="0.25">
      <c r="N2982" s="514"/>
      <c r="R2982" s="293"/>
      <c r="S2982" s="316"/>
      <c r="T2982" s="355"/>
    </row>
    <row r="2983" spans="14:20" x14ac:dyDescent="0.25">
      <c r="N2983" s="514"/>
      <c r="R2983" s="293"/>
      <c r="S2983" s="316"/>
      <c r="T2983" s="355"/>
    </row>
    <row r="2984" spans="14:20" x14ac:dyDescent="0.25">
      <c r="N2984" s="514"/>
      <c r="R2984" s="293"/>
      <c r="S2984" s="316"/>
      <c r="T2984" s="355"/>
    </row>
    <row r="2985" spans="14:20" x14ac:dyDescent="0.25">
      <c r="N2985" s="514"/>
      <c r="R2985" s="293"/>
      <c r="S2985" s="316"/>
      <c r="T2985" s="355"/>
    </row>
    <row r="2986" spans="14:20" x14ac:dyDescent="0.25">
      <c r="N2986" s="514"/>
      <c r="R2986" s="293"/>
      <c r="S2986" s="316"/>
      <c r="T2986" s="355"/>
    </row>
    <row r="2987" spans="14:20" x14ac:dyDescent="0.25">
      <c r="N2987" s="514"/>
      <c r="R2987" s="293"/>
      <c r="S2987" s="316"/>
      <c r="T2987" s="355"/>
    </row>
    <row r="2988" spans="14:20" x14ac:dyDescent="0.25">
      <c r="N2988" s="514"/>
      <c r="R2988" s="293"/>
      <c r="S2988" s="316"/>
      <c r="T2988" s="355"/>
    </row>
    <row r="2989" spans="14:20" x14ac:dyDescent="0.25">
      <c r="N2989" s="514"/>
      <c r="R2989" s="293"/>
      <c r="S2989" s="316"/>
      <c r="T2989" s="355"/>
    </row>
    <row r="2990" spans="14:20" x14ac:dyDescent="0.25">
      <c r="N2990" s="514"/>
      <c r="R2990" s="293"/>
      <c r="S2990" s="316"/>
      <c r="T2990" s="355"/>
    </row>
    <row r="2991" spans="14:20" x14ac:dyDescent="0.25">
      <c r="N2991" s="514"/>
      <c r="R2991" s="293"/>
      <c r="S2991" s="316"/>
      <c r="T2991" s="355"/>
    </row>
    <row r="2992" spans="14:20" x14ac:dyDescent="0.25">
      <c r="N2992" s="514"/>
      <c r="R2992" s="293"/>
      <c r="S2992" s="316"/>
      <c r="T2992" s="355"/>
    </row>
    <row r="2993" spans="14:20" x14ac:dyDescent="0.25">
      <c r="N2993" s="514"/>
      <c r="R2993" s="293"/>
      <c r="S2993" s="316"/>
      <c r="T2993" s="355"/>
    </row>
    <row r="2994" spans="14:20" x14ac:dyDescent="0.25">
      <c r="N2994" s="514"/>
      <c r="R2994" s="293"/>
      <c r="S2994" s="316"/>
      <c r="T2994" s="355"/>
    </row>
    <row r="2995" spans="14:20" x14ac:dyDescent="0.25">
      <c r="N2995" s="514"/>
      <c r="R2995" s="293"/>
      <c r="S2995" s="316"/>
      <c r="T2995" s="355"/>
    </row>
    <row r="2996" spans="14:20" x14ac:dyDescent="0.25">
      <c r="N2996" s="514"/>
      <c r="R2996" s="293"/>
      <c r="S2996" s="316"/>
      <c r="T2996" s="355"/>
    </row>
    <row r="2997" spans="14:20" x14ac:dyDescent="0.25">
      <c r="N2997" s="514"/>
      <c r="R2997" s="293"/>
      <c r="S2997" s="316"/>
      <c r="T2997" s="355"/>
    </row>
    <row r="2998" spans="14:20" x14ac:dyDescent="0.25">
      <c r="N2998" s="514"/>
      <c r="R2998" s="293"/>
      <c r="S2998" s="316"/>
      <c r="T2998" s="355"/>
    </row>
    <row r="2999" spans="14:20" x14ac:dyDescent="0.25">
      <c r="N2999" s="514"/>
      <c r="R2999" s="293"/>
      <c r="S2999" s="316"/>
      <c r="T2999" s="355"/>
    </row>
    <row r="3000" spans="14:20" x14ac:dyDescent="0.25">
      <c r="N3000" s="514"/>
      <c r="R3000" s="293"/>
      <c r="S3000" s="316"/>
      <c r="T3000" s="355"/>
    </row>
    <row r="3001" spans="14:20" x14ac:dyDescent="0.25">
      <c r="N3001" s="514"/>
      <c r="R3001" s="293"/>
      <c r="S3001" s="316"/>
      <c r="T3001" s="355"/>
    </row>
    <row r="3002" spans="14:20" x14ac:dyDescent="0.25">
      <c r="N3002" s="514"/>
      <c r="R3002" s="293"/>
      <c r="S3002" s="316"/>
      <c r="T3002" s="355"/>
    </row>
    <row r="3003" spans="14:20" x14ac:dyDescent="0.25">
      <c r="N3003" s="514"/>
      <c r="R3003" s="293"/>
      <c r="S3003" s="316"/>
      <c r="T3003" s="355"/>
    </row>
    <row r="3004" spans="14:20" x14ac:dyDescent="0.25">
      <c r="N3004" s="514"/>
      <c r="R3004" s="293"/>
      <c r="S3004" s="316"/>
      <c r="T3004" s="355"/>
    </row>
    <row r="3005" spans="14:20" x14ac:dyDescent="0.25">
      <c r="N3005" s="514"/>
      <c r="R3005" s="293"/>
      <c r="S3005" s="316"/>
      <c r="T3005" s="355"/>
    </row>
    <row r="3006" spans="14:20" x14ac:dyDescent="0.25">
      <c r="N3006" s="514"/>
      <c r="R3006" s="293"/>
      <c r="S3006" s="316"/>
      <c r="T3006" s="355"/>
    </row>
    <row r="3007" spans="14:20" x14ac:dyDescent="0.25">
      <c r="N3007" s="514"/>
      <c r="R3007" s="293"/>
      <c r="S3007" s="316"/>
      <c r="T3007" s="355"/>
    </row>
    <row r="3008" spans="14:20" x14ac:dyDescent="0.25">
      <c r="N3008" s="514"/>
      <c r="R3008" s="293"/>
      <c r="S3008" s="316"/>
      <c r="T3008" s="355"/>
    </row>
    <row r="3009" spans="14:20" x14ac:dyDescent="0.25">
      <c r="N3009" s="514"/>
      <c r="R3009" s="293"/>
      <c r="S3009" s="316"/>
      <c r="T3009" s="355"/>
    </row>
    <row r="3010" spans="14:20" x14ac:dyDescent="0.25">
      <c r="N3010" s="514"/>
      <c r="R3010" s="293"/>
      <c r="S3010" s="316"/>
      <c r="T3010" s="355"/>
    </row>
    <row r="3011" spans="14:20" x14ac:dyDescent="0.25">
      <c r="N3011" s="514"/>
      <c r="R3011" s="293"/>
      <c r="S3011" s="316"/>
      <c r="T3011" s="355"/>
    </row>
    <row r="3012" spans="14:20" x14ac:dyDescent="0.25">
      <c r="N3012" s="514"/>
      <c r="R3012" s="293"/>
      <c r="S3012" s="316"/>
      <c r="T3012" s="355"/>
    </row>
    <row r="3013" spans="14:20" x14ac:dyDescent="0.25">
      <c r="N3013" s="514"/>
      <c r="R3013" s="293"/>
      <c r="S3013" s="316"/>
      <c r="T3013" s="355"/>
    </row>
    <row r="3014" spans="14:20" x14ac:dyDescent="0.25">
      <c r="N3014" s="514"/>
      <c r="R3014" s="293"/>
      <c r="S3014" s="316"/>
      <c r="T3014" s="355"/>
    </row>
    <row r="3015" spans="14:20" x14ac:dyDescent="0.25">
      <c r="N3015" s="514"/>
      <c r="R3015" s="293"/>
      <c r="S3015" s="316"/>
      <c r="T3015" s="355"/>
    </row>
    <row r="3016" spans="14:20" x14ac:dyDescent="0.25">
      <c r="N3016" s="514"/>
      <c r="R3016" s="293"/>
      <c r="S3016" s="316"/>
      <c r="T3016" s="355"/>
    </row>
    <row r="3017" spans="14:20" x14ac:dyDescent="0.25">
      <c r="N3017" s="514"/>
      <c r="R3017" s="293"/>
      <c r="S3017" s="316"/>
      <c r="T3017" s="355"/>
    </row>
    <row r="3018" spans="14:20" x14ac:dyDescent="0.25">
      <c r="N3018" s="514"/>
      <c r="R3018" s="293"/>
      <c r="S3018" s="316"/>
      <c r="T3018" s="355"/>
    </row>
    <row r="3019" spans="14:20" x14ac:dyDescent="0.25">
      <c r="N3019" s="514"/>
      <c r="R3019" s="293"/>
      <c r="S3019" s="316"/>
      <c r="T3019" s="355"/>
    </row>
    <row r="3020" spans="14:20" x14ac:dyDescent="0.25">
      <c r="N3020" s="514"/>
      <c r="R3020" s="293"/>
      <c r="S3020" s="316"/>
      <c r="T3020" s="355"/>
    </row>
    <row r="3021" spans="14:20" x14ac:dyDescent="0.25">
      <c r="N3021" s="514"/>
      <c r="R3021" s="293"/>
      <c r="S3021" s="316"/>
      <c r="T3021" s="355"/>
    </row>
    <row r="3022" spans="14:20" x14ac:dyDescent="0.25">
      <c r="N3022" s="514"/>
      <c r="R3022" s="293"/>
      <c r="S3022" s="316"/>
      <c r="T3022" s="355"/>
    </row>
    <row r="3023" spans="14:20" x14ac:dyDescent="0.25">
      <c r="N3023" s="514"/>
      <c r="R3023" s="293"/>
      <c r="S3023" s="316"/>
      <c r="T3023" s="355"/>
    </row>
    <row r="3024" spans="14:20" x14ac:dyDescent="0.25">
      <c r="N3024" s="514"/>
      <c r="R3024" s="293"/>
      <c r="S3024" s="316"/>
      <c r="T3024" s="355"/>
    </row>
    <row r="3025" spans="14:20" x14ac:dyDescent="0.25">
      <c r="N3025" s="514"/>
      <c r="R3025" s="293"/>
      <c r="S3025" s="316"/>
      <c r="T3025" s="355"/>
    </row>
    <row r="3026" spans="14:20" x14ac:dyDescent="0.25">
      <c r="N3026" s="514"/>
      <c r="R3026" s="293"/>
      <c r="S3026" s="316"/>
      <c r="T3026" s="355"/>
    </row>
    <row r="3027" spans="14:20" x14ac:dyDescent="0.25">
      <c r="N3027" s="514"/>
      <c r="R3027" s="293"/>
      <c r="S3027" s="316"/>
      <c r="T3027" s="355"/>
    </row>
    <row r="3028" spans="14:20" x14ac:dyDescent="0.25">
      <c r="N3028" s="514"/>
      <c r="R3028" s="293"/>
      <c r="S3028" s="316"/>
      <c r="T3028" s="355"/>
    </row>
    <row r="3029" spans="14:20" x14ac:dyDescent="0.25">
      <c r="N3029" s="514"/>
      <c r="R3029" s="293"/>
      <c r="S3029" s="316"/>
      <c r="T3029" s="355"/>
    </row>
    <row r="3030" spans="14:20" x14ac:dyDescent="0.25">
      <c r="N3030" s="514"/>
      <c r="R3030" s="293"/>
      <c r="S3030" s="316"/>
      <c r="T3030" s="355"/>
    </row>
    <row r="3031" spans="14:20" x14ac:dyDescent="0.25">
      <c r="N3031" s="514"/>
      <c r="R3031" s="293"/>
      <c r="S3031" s="316"/>
      <c r="T3031" s="355"/>
    </row>
    <row r="3032" spans="14:20" x14ac:dyDescent="0.25">
      <c r="N3032" s="514"/>
      <c r="R3032" s="293"/>
      <c r="S3032" s="316"/>
      <c r="T3032" s="355"/>
    </row>
    <row r="3033" spans="14:20" x14ac:dyDescent="0.25">
      <c r="N3033" s="514"/>
      <c r="R3033" s="293"/>
      <c r="S3033" s="316"/>
      <c r="T3033" s="355"/>
    </row>
    <row r="3034" spans="14:20" x14ac:dyDescent="0.25">
      <c r="N3034" s="514"/>
      <c r="R3034" s="293"/>
      <c r="S3034" s="316"/>
      <c r="T3034" s="355"/>
    </row>
    <row r="3035" spans="14:20" x14ac:dyDescent="0.25">
      <c r="N3035" s="514"/>
      <c r="R3035" s="293"/>
      <c r="S3035" s="316"/>
      <c r="T3035" s="355"/>
    </row>
    <row r="3036" spans="14:20" x14ac:dyDescent="0.25">
      <c r="N3036" s="514"/>
      <c r="R3036" s="293"/>
      <c r="S3036" s="316"/>
      <c r="T3036" s="355"/>
    </row>
    <row r="3037" spans="14:20" x14ac:dyDescent="0.25">
      <c r="N3037" s="514"/>
      <c r="R3037" s="293"/>
      <c r="S3037" s="316"/>
      <c r="T3037" s="355"/>
    </row>
    <row r="3038" spans="14:20" x14ac:dyDescent="0.25">
      <c r="N3038" s="514"/>
      <c r="R3038" s="293"/>
      <c r="S3038" s="316"/>
      <c r="T3038" s="355"/>
    </row>
    <row r="3039" spans="14:20" x14ac:dyDescent="0.25">
      <c r="N3039" s="514"/>
      <c r="R3039" s="293"/>
      <c r="S3039" s="316"/>
      <c r="T3039" s="355"/>
    </row>
    <row r="3040" spans="14:20" x14ac:dyDescent="0.25">
      <c r="N3040" s="514"/>
      <c r="R3040" s="293"/>
      <c r="S3040" s="316"/>
      <c r="T3040" s="355"/>
    </row>
    <row r="3041" spans="14:20" x14ac:dyDescent="0.25">
      <c r="N3041" s="514"/>
      <c r="R3041" s="293"/>
      <c r="S3041" s="316"/>
      <c r="T3041" s="355"/>
    </row>
    <row r="3042" spans="14:20" x14ac:dyDescent="0.25">
      <c r="N3042" s="514"/>
      <c r="R3042" s="293"/>
      <c r="S3042" s="316"/>
      <c r="T3042" s="355"/>
    </row>
    <row r="3043" spans="14:20" x14ac:dyDescent="0.25">
      <c r="N3043" s="514"/>
      <c r="R3043" s="293"/>
      <c r="S3043" s="316"/>
      <c r="T3043" s="355"/>
    </row>
    <row r="3044" spans="14:20" x14ac:dyDescent="0.25">
      <c r="N3044" s="514"/>
      <c r="R3044" s="293"/>
      <c r="S3044" s="316"/>
      <c r="T3044" s="355"/>
    </row>
    <row r="3045" spans="14:20" x14ac:dyDescent="0.25">
      <c r="N3045" s="514"/>
      <c r="R3045" s="293"/>
      <c r="S3045" s="316"/>
      <c r="T3045" s="355"/>
    </row>
    <row r="3046" spans="14:20" x14ac:dyDescent="0.25">
      <c r="N3046" s="514"/>
      <c r="R3046" s="293"/>
      <c r="S3046" s="316"/>
      <c r="T3046" s="355"/>
    </row>
    <row r="3047" spans="14:20" x14ac:dyDescent="0.25">
      <c r="N3047" s="514"/>
      <c r="R3047" s="293"/>
      <c r="S3047" s="316"/>
      <c r="T3047" s="355"/>
    </row>
    <row r="3048" spans="14:20" x14ac:dyDescent="0.25">
      <c r="N3048" s="514"/>
      <c r="R3048" s="293"/>
      <c r="S3048" s="316"/>
      <c r="T3048" s="355"/>
    </row>
    <row r="3049" spans="14:20" x14ac:dyDescent="0.25">
      <c r="N3049" s="514"/>
      <c r="R3049" s="293"/>
      <c r="S3049" s="316"/>
      <c r="T3049" s="355"/>
    </row>
    <row r="3050" spans="14:20" x14ac:dyDescent="0.25">
      <c r="N3050" s="514"/>
      <c r="R3050" s="293"/>
      <c r="S3050" s="316"/>
      <c r="T3050" s="355"/>
    </row>
    <row r="3051" spans="14:20" x14ac:dyDescent="0.25">
      <c r="N3051" s="514"/>
      <c r="R3051" s="293"/>
      <c r="S3051" s="316"/>
      <c r="T3051" s="355"/>
    </row>
    <row r="3052" spans="14:20" x14ac:dyDescent="0.25">
      <c r="N3052" s="514"/>
      <c r="R3052" s="293"/>
      <c r="S3052" s="316"/>
      <c r="T3052" s="355"/>
    </row>
    <row r="3053" spans="14:20" x14ac:dyDescent="0.25">
      <c r="N3053" s="514"/>
      <c r="R3053" s="293"/>
      <c r="S3053" s="316"/>
      <c r="T3053" s="355"/>
    </row>
    <row r="3054" spans="14:20" x14ac:dyDescent="0.25">
      <c r="N3054" s="514"/>
      <c r="R3054" s="293"/>
      <c r="S3054" s="316"/>
      <c r="T3054" s="355"/>
    </row>
    <row r="3055" spans="14:20" x14ac:dyDescent="0.25">
      <c r="N3055" s="514"/>
      <c r="R3055" s="293"/>
      <c r="S3055" s="316"/>
      <c r="T3055" s="355"/>
    </row>
    <row r="3056" spans="14:20" x14ac:dyDescent="0.25">
      <c r="N3056" s="514"/>
      <c r="R3056" s="293"/>
      <c r="S3056" s="316"/>
      <c r="T3056" s="355"/>
    </row>
    <row r="3057" spans="14:20" x14ac:dyDescent="0.25">
      <c r="N3057" s="514"/>
      <c r="R3057" s="293"/>
      <c r="S3057" s="316"/>
      <c r="T3057" s="355"/>
    </row>
    <row r="3058" spans="14:20" x14ac:dyDescent="0.25">
      <c r="N3058" s="514"/>
      <c r="R3058" s="293"/>
      <c r="S3058" s="316"/>
      <c r="T3058" s="355"/>
    </row>
    <row r="3059" spans="14:20" x14ac:dyDescent="0.25">
      <c r="N3059" s="514"/>
      <c r="R3059" s="293"/>
      <c r="S3059" s="316"/>
      <c r="T3059" s="355"/>
    </row>
    <row r="3060" spans="14:20" x14ac:dyDescent="0.25">
      <c r="N3060" s="514"/>
      <c r="R3060" s="293"/>
      <c r="S3060" s="316"/>
      <c r="T3060" s="355"/>
    </row>
    <row r="3061" spans="14:20" x14ac:dyDescent="0.25">
      <c r="N3061" s="514"/>
      <c r="R3061" s="293"/>
      <c r="S3061" s="316"/>
      <c r="T3061" s="355"/>
    </row>
    <row r="3062" spans="14:20" x14ac:dyDescent="0.25">
      <c r="N3062" s="514"/>
      <c r="R3062" s="293"/>
      <c r="S3062" s="316"/>
      <c r="T3062" s="355"/>
    </row>
    <row r="3063" spans="14:20" x14ac:dyDescent="0.25">
      <c r="N3063" s="514"/>
      <c r="R3063" s="293"/>
      <c r="S3063" s="316"/>
      <c r="T3063" s="355"/>
    </row>
    <row r="3064" spans="14:20" x14ac:dyDescent="0.25">
      <c r="N3064" s="514"/>
      <c r="R3064" s="293"/>
      <c r="S3064" s="316"/>
      <c r="T3064" s="355"/>
    </row>
    <row r="3065" spans="14:20" x14ac:dyDescent="0.25">
      <c r="N3065" s="514"/>
      <c r="R3065" s="293"/>
      <c r="S3065" s="316"/>
      <c r="T3065" s="355"/>
    </row>
    <row r="3066" spans="14:20" x14ac:dyDescent="0.25">
      <c r="N3066" s="514"/>
      <c r="R3066" s="293"/>
      <c r="S3066" s="316"/>
      <c r="T3066" s="355"/>
    </row>
    <row r="3067" spans="14:20" x14ac:dyDescent="0.25">
      <c r="N3067" s="514"/>
      <c r="R3067" s="293"/>
      <c r="S3067" s="316"/>
      <c r="T3067" s="355"/>
    </row>
    <row r="3068" spans="14:20" x14ac:dyDescent="0.25">
      <c r="N3068" s="514"/>
      <c r="R3068" s="293"/>
      <c r="S3068" s="316"/>
      <c r="T3068" s="355"/>
    </row>
    <row r="3069" spans="14:20" x14ac:dyDescent="0.25">
      <c r="N3069" s="514"/>
      <c r="R3069" s="293"/>
      <c r="S3069" s="316"/>
      <c r="T3069" s="355"/>
    </row>
    <row r="3070" spans="14:20" x14ac:dyDescent="0.25">
      <c r="N3070" s="514"/>
      <c r="R3070" s="293"/>
      <c r="S3070" s="316"/>
      <c r="T3070" s="355"/>
    </row>
    <row r="3071" spans="14:20" x14ac:dyDescent="0.25">
      <c r="N3071" s="514"/>
      <c r="R3071" s="293"/>
      <c r="S3071" s="316"/>
      <c r="T3071" s="355"/>
    </row>
    <row r="3072" spans="14:20" x14ac:dyDescent="0.25">
      <c r="N3072" s="514"/>
      <c r="R3072" s="293"/>
      <c r="S3072" s="316"/>
      <c r="T3072" s="355"/>
    </row>
    <row r="3073" spans="14:20" x14ac:dyDescent="0.25">
      <c r="N3073" s="514"/>
      <c r="R3073" s="293"/>
      <c r="S3073" s="316"/>
      <c r="T3073" s="355"/>
    </row>
    <row r="3074" spans="14:20" x14ac:dyDescent="0.25">
      <c r="N3074" s="514"/>
      <c r="R3074" s="293"/>
      <c r="S3074" s="316"/>
      <c r="T3074" s="355"/>
    </row>
    <row r="3075" spans="14:20" x14ac:dyDescent="0.25">
      <c r="N3075" s="514"/>
      <c r="R3075" s="293"/>
      <c r="S3075" s="316"/>
      <c r="T3075" s="355"/>
    </row>
    <row r="3076" spans="14:20" x14ac:dyDescent="0.25">
      <c r="N3076" s="514"/>
      <c r="R3076" s="293"/>
      <c r="S3076" s="316"/>
      <c r="T3076" s="355"/>
    </row>
    <row r="3077" spans="14:20" x14ac:dyDescent="0.25">
      <c r="N3077" s="514"/>
      <c r="R3077" s="293"/>
      <c r="S3077" s="316"/>
      <c r="T3077" s="355"/>
    </row>
    <row r="3078" spans="14:20" x14ac:dyDescent="0.25">
      <c r="N3078" s="514"/>
      <c r="R3078" s="293"/>
      <c r="S3078" s="316"/>
      <c r="T3078" s="355"/>
    </row>
    <row r="3079" spans="14:20" x14ac:dyDescent="0.25">
      <c r="N3079" s="514"/>
      <c r="R3079" s="293"/>
      <c r="S3079" s="316"/>
      <c r="T3079" s="355"/>
    </row>
    <row r="3080" spans="14:20" x14ac:dyDescent="0.25">
      <c r="N3080" s="514"/>
      <c r="R3080" s="293"/>
      <c r="S3080" s="316"/>
      <c r="T3080" s="355"/>
    </row>
    <row r="3081" spans="14:20" x14ac:dyDescent="0.25">
      <c r="N3081" s="514"/>
      <c r="R3081" s="293"/>
      <c r="S3081" s="316"/>
      <c r="T3081" s="355"/>
    </row>
    <row r="3082" spans="14:20" x14ac:dyDescent="0.25">
      <c r="N3082" s="514"/>
      <c r="R3082" s="293"/>
      <c r="S3082" s="316"/>
      <c r="T3082" s="355"/>
    </row>
    <row r="3083" spans="14:20" x14ac:dyDescent="0.25">
      <c r="N3083" s="514"/>
      <c r="R3083" s="293"/>
      <c r="S3083" s="316"/>
      <c r="T3083" s="355"/>
    </row>
    <row r="3084" spans="14:20" x14ac:dyDescent="0.25">
      <c r="N3084" s="514"/>
      <c r="R3084" s="293"/>
      <c r="S3084" s="316"/>
      <c r="T3084" s="355"/>
    </row>
    <row r="3085" spans="14:20" x14ac:dyDescent="0.25">
      <c r="N3085" s="514"/>
      <c r="R3085" s="293"/>
      <c r="S3085" s="316"/>
      <c r="T3085" s="355"/>
    </row>
    <row r="3086" spans="14:20" x14ac:dyDescent="0.25">
      <c r="N3086" s="514"/>
      <c r="R3086" s="293"/>
      <c r="S3086" s="316"/>
      <c r="T3086" s="355"/>
    </row>
    <row r="3087" spans="14:20" x14ac:dyDescent="0.25">
      <c r="N3087" s="514"/>
      <c r="R3087" s="293"/>
      <c r="S3087" s="316"/>
      <c r="T3087" s="355"/>
    </row>
    <row r="3088" spans="14:20" x14ac:dyDescent="0.25">
      <c r="N3088" s="514"/>
      <c r="R3088" s="293"/>
      <c r="S3088" s="316"/>
      <c r="T3088" s="355"/>
    </row>
    <row r="3089" spans="14:20" x14ac:dyDescent="0.25">
      <c r="N3089" s="514"/>
      <c r="R3089" s="293"/>
      <c r="S3089" s="316"/>
      <c r="T3089" s="355"/>
    </row>
    <row r="3090" spans="14:20" x14ac:dyDescent="0.25">
      <c r="N3090" s="514"/>
      <c r="R3090" s="293"/>
      <c r="S3090" s="316"/>
      <c r="T3090" s="355"/>
    </row>
    <row r="3091" spans="14:20" x14ac:dyDescent="0.25">
      <c r="N3091" s="514"/>
      <c r="R3091" s="293"/>
      <c r="S3091" s="316"/>
      <c r="T3091" s="355"/>
    </row>
    <row r="3092" spans="14:20" x14ac:dyDescent="0.25">
      <c r="N3092" s="514"/>
      <c r="R3092" s="293"/>
      <c r="S3092" s="316"/>
      <c r="T3092" s="355"/>
    </row>
    <row r="3093" spans="14:20" x14ac:dyDescent="0.25">
      <c r="N3093" s="514"/>
      <c r="R3093" s="293"/>
      <c r="S3093" s="316"/>
      <c r="T3093" s="355"/>
    </row>
    <row r="3094" spans="14:20" x14ac:dyDescent="0.25">
      <c r="N3094" s="514"/>
      <c r="R3094" s="293"/>
      <c r="S3094" s="316"/>
      <c r="T3094" s="355"/>
    </row>
    <row r="3095" spans="14:20" x14ac:dyDescent="0.25">
      <c r="N3095" s="514"/>
      <c r="R3095" s="293"/>
      <c r="S3095" s="316"/>
      <c r="T3095" s="355"/>
    </row>
    <row r="3096" spans="14:20" x14ac:dyDescent="0.25">
      <c r="N3096" s="514"/>
      <c r="R3096" s="293"/>
      <c r="S3096" s="316"/>
      <c r="T3096" s="355"/>
    </row>
    <row r="3097" spans="14:20" x14ac:dyDescent="0.25">
      <c r="N3097" s="514"/>
      <c r="R3097" s="293"/>
      <c r="S3097" s="316"/>
      <c r="T3097" s="355"/>
    </row>
    <row r="3098" spans="14:20" x14ac:dyDescent="0.25">
      <c r="N3098" s="514"/>
      <c r="R3098" s="293"/>
      <c r="S3098" s="316"/>
      <c r="T3098" s="355"/>
    </row>
    <row r="3099" spans="14:20" x14ac:dyDescent="0.25">
      <c r="N3099" s="514"/>
      <c r="R3099" s="293"/>
      <c r="S3099" s="316"/>
      <c r="T3099" s="355"/>
    </row>
    <row r="3100" spans="14:20" x14ac:dyDescent="0.25">
      <c r="N3100" s="514"/>
      <c r="R3100" s="293"/>
      <c r="S3100" s="316"/>
      <c r="T3100" s="355"/>
    </row>
    <row r="3101" spans="14:20" x14ac:dyDescent="0.25">
      <c r="N3101" s="514"/>
      <c r="R3101" s="293"/>
      <c r="S3101" s="316"/>
      <c r="T3101" s="355"/>
    </row>
    <row r="3102" spans="14:20" x14ac:dyDescent="0.25">
      <c r="N3102" s="514"/>
      <c r="R3102" s="293"/>
      <c r="S3102" s="316"/>
      <c r="T3102" s="355"/>
    </row>
    <row r="3103" spans="14:20" x14ac:dyDescent="0.25">
      <c r="N3103" s="514"/>
      <c r="R3103" s="293"/>
      <c r="S3103" s="316"/>
      <c r="T3103" s="355"/>
    </row>
    <row r="3104" spans="14:20" x14ac:dyDescent="0.25">
      <c r="N3104" s="514"/>
      <c r="R3104" s="293"/>
      <c r="S3104" s="316"/>
      <c r="T3104" s="355"/>
    </row>
    <row r="3105" spans="14:20" x14ac:dyDescent="0.25">
      <c r="N3105" s="514"/>
      <c r="R3105" s="293"/>
      <c r="S3105" s="316"/>
      <c r="T3105" s="355"/>
    </row>
    <row r="3106" spans="14:20" x14ac:dyDescent="0.25">
      <c r="N3106" s="514"/>
      <c r="R3106" s="293"/>
      <c r="S3106" s="316"/>
      <c r="T3106" s="355"/>
    </row>
    <row r="3107" spans="14:20" x14ac:dyDescent="0.25">
      <c r="N3107" s="514"/>
      <c r="R3107" s="293"/>
      <c r="S3107" s="316"/>
      <c r="T3107" s="355"/>
    </row>
    <row r="3108" spans="14:20" x14ac:dyDescent="0.25">
      <c r="N3108" s="514"/>
      <c r="R3108" s="293"/>
      <c r="S3108" s="316"/>
      <c r="T3108" s="355"/>
    </row>
    <row r="3109" spans="14:20" x14ac:dyDescent="0.25">
      <c r="N3109" s="514"/>
      <c r="R3109" s="293"/>
      <c r="S3109" s="316"/>
      <c r="T3109" s="355"/>
    </row>
    <row r="3110" spans="14:20" x14ac:dyDescent="0.25">
      <c r="N3110" s="514"/>
      <c r="R3110" s="293"/>
      <c r="S3110" s="316"/>
      <c r="T3110" s="355"/>
    </row>
    <row r="3111" spans="14:20" x14ac:dyDescent="0.25">
      <c r="N3111" s="514"/>
      <c r="R3111" s="293"/>
      <c r="S3111" s="316"/>
      <c r="T3111" s="355"/>
    </row>
    <row r="3112" spans="14:20" x14ac:dyDescent="0.25">
      <c r="N3112" s="514"/>
      <c r="R3112" s="293"/>
      <c r="S3112" s="316"/>
      <c r="T3112" s="355"/>
    </row>
    <row r="3113" spans="14:20" x14ac:dyDescent="0.25">
      <c r="N3113" s="514"/>
      <c r="R3113" s="293"/>
      <c r="S3113" s="316"/>
      <c r="T3113" s="355"/>
    </row>
    <row r="3114" spans="14:20" x14ac:dyDescent="0.25">
      <c r="N3114" s="514"/>
      <c r="R3114" s="293"/>
      <c r="S3114" s="316"/>
      <c r="T3114" s="355"/>
    </row>
    <row r="3115" spans="14:20" x14ac:dyDescent="0.25">
      <c r="N3115" s="514"/>
      <c r="R3115" s="293"/>
      <c r="S3115" s="316"/>
      <c r="T3115" s="355"/>
    </row>
    <row r="3116" spans="14:20" x14ac:dyDescent="0.25">
      <c r="N3116" s="514"/>
      <c r="R3116" s="293"/>
      <c r="S3116" s="316"/>
      <c r="T3116" s="355"/>
    </row>
    <row r="3117" spans="14:20" x14ac:dyDescent="0.25">
      <c r="N3117" s="514"/>
      <c r="R3117" s="293"/>
      <c r="S3117" s="316"/>
      <c r="T3117" s="355"/>
    </row>
    <row r="3118" spans="14:20" x14ac:dyDescent="0.25">
      <c r="N3118" s="514"/>
      <c r="R3118" s="293"/>
      <c r="S3118" s="316"/>
      <c r="T3118" s="355"/>
    </row>
    <row r="3119" spans="14:20" x14ac:dyDescent="0.25">
      <c r="N3119" s="514"/>
      <c r="R3119" s="293"/>
      <c r="S3119" s="316"/>
      <c r="T3119" s="355"/>
    </row>
    <row r="3120" spans="14:20" x14ac:dyDescent="0.25">
      <c r="N3120" s="514"/>
      <c r="R3120" s="293"/>
      <c r="S3120" s="316"/>
      <c r="T3120" s="355"/>
    </row>
    <row r="3121" spans="14:20" x14ac:dyDescent="0.25">
      <c r="N3121" s="514"/>
      <c r="R3121" s="293"/>
      <c r="S3121" s="316"/>
      <c r="T3121" s="355"/>
    </row>
    <row r="3122" spans="14:20" x14ac:dyDescent="0.25">
      <c r="N3122" s="514"/>
      <c r="R3122" s="293"/>
      <c r="S3122" s="316"/>
      <c r="T3122" s="355"/>
    </row>
    <row r="3123" spans="14:20" x14ac:dyDescent="0.25">
      <c r="N3123" s="514"/>
      <c r="R3123" s="293"/>
      <c r="S3123" s="316"/>
      <c r="T3123" s="355"/>
    </row>
    <row r="3124" spans="14:20" x14ac:dyDescent="0.25">
      <c r="N3124" s="514"/>
      <c r="R3124" s="293"/>
      <c r="S3124" s="316"/>
      <c r="T3124" s="355"/>
    </row>
    <row r="3125" spans="14:20" x14ac:dyDescent="0.25">
      <c r="N3125" s="514"/>
      <c r="R3125" s="293"/>
      <c r="S3125" s="316"/>
      <c r="T3125" s="355"/>
    </row>
    <row r="3126" spans="14:20" x14ac:dyDescent="0.25">
      <c r="N3126" s="514"/>
      <c r="R3126" s="293"/>
      <c r="S3126" s="316"/>
      <c r="T3126" s="355"/>
    </row>
    <row r="3127" spans="14:20" x14ac:dyDescent="0.25">
      <c r="N3127" s="514"/>
      <c r="R3127" s="293"/>
      <c r="S3127" s="316"/>
      <c r="T3127" s="355"/>
    </row>
    <row r="3128" spans="14:20" x14ac:dyDescent="0.25">
      <c r="N3128" s="514"/>
      <c r="R3128" s="293"/>
      <c r="S3128" s="316"/>
      <c r="T3128" s="355"/>
    </row>
    <row r="3129" spans="14:20" x14ac:dyDescent="0.25">
      <c r="N3129" s="514"/>
      <c r="R3129" s="293"/>
      <c r="S3129" s="316"/>
      <c r="T3129" s="355"/>
    </row>
    <row r="3130" spans="14:20" x14ac:dyDescent="0.25">
      <c r="N3130" s="514"/>
      <c r="R3130" s="293"/>
      <c r="S3130" s="316"/>
      <c r="T3130" s="355"/>
    </row>
    <row r="3131" spans="14:20" x14ac:dyDescent="0.25">
      <c r="N3131" s="514"/>
      <c r="R3131" s="293"/>
      <c r="S3131" s="316"/>
      <c r="T3131" s="355"/>
    </row>
    <row r="3132" spans="14:20" x14ac:dyDescent="0.25">
      <c r="N3132" s="514"/>
      <c r="R3132" s="293"/>
      <c r="S3132" s="316"/>
      <c r="T3132" s="355"/>
    </row>
    <row r="3133" spans="14:20" x14ac:dyDescent="0.25">
      <c r="N3133" s="514"/>
      <c r="R3133" s="293"/>
      <c r="S3133" s="316"/>
      <c r="T3133" s="355"/>
    </row>
    <row r="3134" spans="14:20" x14ac:dyDescent="0.25">
      <c r="N3134" s="514"/>
      <c r="R3134" s="293"/>
      <c r="S3134" s="316"/>
      <c r="T3134" s="355"/>
    </row>
    <row r="3135" spans="14:20" x14ac:dyDescent="0.25">
      <c r="N3135" s="514"/>
      <c r="R3135" s="293"/>
      <c r="S3135" s="316"/>
      <c r="T3135" s="355"/>
    </row>
    <row r="3136" spans="14:20" x14ac:dyDescent="0.25">
      <c r="N3136" s="514"/>
      <c r="R3136" s="293"/>
      <c r="S3136" s="316"/>
      <c r="T3136" s="355"/>
    </row>
    <row r="3137" spans="14:20" x14ac:dyDescent="0.25">
      <c r="N3137" s="514"/>
      <c r="R3137" s="293"/>
      <c r="S3137" s="316"/>
      <c r="T3137" s="355"/>
    </row>
    <row r="3138" spans="14:20" x14ac:dyDescent="0.25">
      <c r="N3138" s="514"/>
      <c r="R3138" s="293"/>
      <c r="S3138" s="316"/>
      <c r="T3138" s="355"/>
    </row>
    <row r="3139" spans="14:20" x14ac:dyDescent="0.25">
      <c r="N3139" s="514"/>
      <c r="R3139" s="293"/>
      <c r="S3139" s="316"/>
      <c r="T3139" s="355"/>
    </row>
    <row r="3140" spans="14:20" x14ac:dyDescent="0.25">
      <c r="N3140" s="514"/>
      <c r="R3140" s="293"/>
      <c r="S3140" s="316"/>
      <c r="T3140" s="355"/>
    </row>
    <row r="3141" spans="14:20" x14ac:dyDescent="0.25">
      <c r="N3141" s="514"/>
      <c r="R3141" s="293"/>
      <c r="S3141" s="316"/>
      <c r="T3141" s="355"/>
    </row>
    <row r="3142" spans="14:20" x14ac:dyDescent="0.25">
      <c r="N3142" s="514"/>
      <c r="R3142" s="293"/>
      <c r="S3142" s="316"/>
      <c r="T3142" s="355"/>
    </row>
    <row r="3143" spans="14:20" x14ac:dyDescent="0.25">
      <c r="N3143" s="514"/>
      <c r="R3143" s="293"/>
      <c r="S3143" s="316"/>
      <c r="T3143" s="355"/>
    </row>
    <row r="3144" spans="14:20" x14ac:dyDescent="0.25">
      <c r="N3144" s="514"/>
      <c r="R3144" s="293"/>
      <c r="S3144" s="316"/>
      <c r="T3144" s="355"/>
    </row>
    <row r="3145" spans="14:20" x14ac:dyDescent="0.25">
      <c r="N3145" s="514"/>
      <c r="R3145" s="293"/>
      <c r="S3145" s="316"/>
      <c r="T3145" s="355"/>
    </row>
    <row r="3146" spans="14:20" x14ac:dyDescent="0.25">
      <c r="N3146" s="514"/>
      <c r="R3146" s="293"/>
      <c r="S3146" s="316"/>
      <c r="T3146" s="355"/>
    </row>
    <row r="3147" spans="14:20" x14ac:dyDescent="0.25">
      <c r="N3147" s="514"/>
      <c r="R3147" s="293"/>
      <c r="S3147" s="316"/>
      <c r="T3147" s="355"/>
    </row>
    <row r="3148" spans="14:20" x14ac:dyDescent="0.25">
      <c r="N3148" s="514"/>
      <c r="R3148" s="293"/>
      <c r="S3148" s="316"/>
      <c r="T3148" s="355"/>
    </row>
    <row r="3149" spans="14:20" x14ac:dyDescent="0.25">
      <c r="N3149" s="514"/>
      <c r="R3149" s="293"/>
      <c r="S3149" s="316"/>
      <c r="T3149" s="355"/>
    </row>
    <row r="3150" spans="14:20" x14ac:dyDescent="0.25">
      <c r="N3150" s="514"/>
      <c r="R3150" s="293"/>
      <c r="S3150" s="316"/>
      <c r="T3150" s="355"/>
    </row>
    <row r="3151" spans="14:20" x14ac:dyDescent="0.25">
      <c r="N3151" s="514"/>
      <c r="R3151" s="293"/>
      <c r="S3151" s="316"/>
      <c r="T3151" s="355"/>
    </row>
    <row r="3152" spans="14:20" x14ac:dyDescent="0.25">
      <c r="N3152" s="514"/>
      <c r="R3152" s="293"/>
      <c r="S3152" s="316"/>
      <c r="T3152" s="355"/>
    </row>
    <row r="3153" spans="14:20" x14ac:dyDescent="0.25">
      <c r="N3153" s="514"/>
      <c r="R3153" s="293"/>
      <c r="S3153" s="316"/>
      <c r="T3153" s="355"/>
    </row>
    <row r="3154" spans="14:20" x14ac:dyDescent="0.25">
      <c r="N3154" s="514"/>
      <c r="R3154" s="293"/>
      <c r="S3154" s="316"/>
      <c r="T3154" s="355"/>
    </row>
    <row r="3155" spans="14:20" x14ac:dyDescent="0.25">
      <c r="N3155" s="514"/>
      <c r="R3155" s="293"/>
      <c r="S3155" s="316"/>
      <c r="T3155" s="355"/>
    </row>
    <row r="3156" spans="14:20" x14ac:dyDescent="0.25">
      <c r="N3156" s="514"/>
      <c r="R3156" s="293"/>
      <c r="S3156" s="316"/>
      <c r="T3156" s="355"/>
    </row>
    <row r="3157" spans="14:20" x14ac:dyDescent="0.25">
      <c r="N3157" s="514"/>
      <c r="R3157" s="293"/>
      <c r="S3157" s="316"/>
      <c r="T3157" s="355"/>
    </row>
    <row r="3158" spans="14:20" x14ac:dyDescent="0.25">
      <c r="N3158" s="514"/>
      <c r="R3158" s="293"/>
      <c r="S3158" s="316"/>
      <c r="T3158" s="355"/>
    </row>
    <row r="3159" spans="14:20" x14ac:dyDescent="0.25">
      <c r="N3159" s="514"/>
      <c r="R3159" s="293"/>
      <c r="S3159" s="316"/>
      <c r="T3159" s="355"/>
    </row>
    <row r="3160" spans="14:20" x14ac:dyDescent="0.25">
      <c r="N3160" s="514"/>
      <c r="R3160" s="293"/>
      <c r="S3160" s="316"/>
      <c r="T3160" s="355"/>
    </row>
    <row r="3161" spans="14:20" x14ac:dyDescent="0.25">
      <c r="N3161" s="514"/>
      <c r="R3161" s="293"/>
      <c r="S3161" s="316"/>
      <c r="T3161" s="355"/>
    </row>
    <row r="3162" spans="14:20" x14ac:dyDescent="0.25">
      <c r="N3162" s="514"/>
      <c r="R3162" s="293"/>
      <c r="S3162" s="316"/>
      <c r="T3162" s="355"/>
    </row>
    <row r="3163" spans="14:20" x14ac:dyDescent="0.25">
      <c r="N3163" s="514"/>
      <c r="R3163" s="293"/>
      <c r="S3163" s="316"/>
      <c r="T3163" s="355"/>
    </row>
    <row r="3164" spans="14:20" x14ac:dyDescent="0.25">
      <c r="N3164" s="514"/>
      <c r="R3164" s="293"/>
      <c r="S3164" s="316"/>
      <c r="T3164" s="355"/>
    </row>
    <row r="3165" spans="14:20" x14ac:dyDescent="0.25">
      <c r="N3165" s="514"/>
      <c r="R3165" s="293"/>
      <c r="S3165" s="316"/>
      <c r="T3165" s="355"/>
    </row>
    <row r="3166" spans="14:20" x14ac:dyDescent="0.25">
      <c r="N3166" s="514"/>
      <c r="R3166" s="293"/>
      <c r="S3166" s="316"/>
      <c r="T3166" s="355"/>
    </row>
    <row r="3167" spans="14:20" x14ac:dyDescent="0.25">
      <c r="N3167" s="514"/>
      <c r="R3167" s="293"/>
      <c r="S3167" s="316"/>
      <c r="T3167" s="355"/>
    </row>
    <row r="3168" spans="14:20" x14ac:dyDescent="0.25">
      <c r="N3168" s="514"/>
      <c r="R3168" s="293"/>
      <c r="S3168" s="316"/>
      <c r="T3168" s="355"/>
    </row>
    <row r="3169" spans="14:20" x14ac:dyDescent="0.25">
      <c r="N3169" s="514"/>
      <c r="R3169" s="293"/>
      <c r="S3169" s="316"/>
      <c r="T3169" s="355"/>
    </row>
    <row r="3170" spans="14:20" x14ac:dyDescent="0.25">
      <c r="N3170" s="514"/>
      <c r="R3170" s="293"/>
      <c r="S3170" s="316"/>
      <c r="T3170" s="355"/>
    </row>
    <row r="3171" spans="14:20" x14ac:dyDescent="0.25">
      <c r="N3171" s="514"/>
      <c r="R3171" s="293"/>
      <c r="S3171" s="316"/>
      <c r="T3171" s="355"/>
    </row>
    <row r="3172" spans="14:20" x14ac:dyDescent="0.25">
      <c r="N3172" s="514"/>
      <c r="R3172" s="293"/>
      <c r="S3172" s="316"/>
      <c r="T3172" s="355"/>
    </row>
    <row r="3173" spans="14:20" x14ac:dyDescent="0.25">
      <c r="N3173" s="514"/>
      <c r="R3173" s="293"/>
      <c r="S3173" s="316"/>
      <c r="T3173" s="355"/>
    </row>
    <row r="3174" spans="14:20" x14ac:dyDescent="0.25">
      <c r="N3174" s="514"/>
      <c r="R3174" s="293"/>
      <c r="S3174" s="316"/>
      <c r="T3174" s="355"/>
    </row>
    <row r="3175" spans="14:20" x14ac:dyDescent="0.25">
      <c r="N3175" s="514"/>
      <c r="R3175" s="293"/>
      <c r="S3175" s="316"/>
      <c r="T3175" s="355"/>
    </row>
    <row r="3176" spans="14:20" x14ac:dyDescent="0.25">
      <c r="N3176" s="514"/>
      <c r="R3176" s="293"/>
      <c r="S3176" s="316"/>
      <c r="T3176" s="355"/>
    </row>
    <row r="3177" spans="14:20" x14ac:dyDescent="0.25">
      <c r="N3177" s="514"/>
      <c r="R3177" s="293"/>
      <c r="S3177" s="316"/>
      <c r="T3177" s="355"/>
    </row>
    <row r="3178" spans="14:20" x14ac:dyDescent="0.25">
      <c r="N3178" s="514"/>
      <c r="R3178" s="293"/>
      <c r="S3178" s="316"/>
      <c r="T3178" s="355"/>
    </row>
    <row r="3179" spans="14:20" x14ac:dyDescent="0.25">
      <c r="N3179" s="514"/>
      <c r="R3179" s="293"/>
      <c r="S3179" s="316"/>
      <c r="T3179" s="355"/>
    </row>
    <row r="3180" spans="14:20" x14ac:dyDescent="0.25">
      <c r="N3180" s="514"/>
      <c r="R3180" s="293"/>
      <c r="S3180" s="316"/>
      <c r="T3180" s="355"/>
    </row>
    <row r="3181" spans="14:20" x14ac:dyDescent="0.25">
      <c r="N3181" s="514"/>
      <c r="R3181" s="293"/>
      <c r="S3181" s="316"/>
      <c r="T3181" s="355"/>
    </row>
    <row r="3182" spans="14:20" x14ac:dyDescent="0.25">
      <c r="N3182" s="514"/>
      <c r="R3182" s="293"/>
      <c r="S3182" s="316"/>
      <c r="T3182" s="355"/>
    </row>
    <row r="3183" spans="14:20" x14ac:dyDescent="0.25">
      <c r="N3183" s="514"/>
      <c r="R3183" s="293"/>
      <c r="S3183" s="316"/>
      <c r="T3183" s="355"/>
    </row>
    <row r="3184" spans="14:20" x14ac:dyDescent="0.25">
      <c r="N3184" s="514"/>
      <c r="R3184" s="293"/>
      <c r="S3184" s="316"/>
      <c r="T3184" s="355"/>
    </row>
    <row r="3185" spans="14:20" x14ac:dyDescent="0.25">
      <c r="N3185" s="514"/>
      <c r="R3185" s="293"/>
      <c r="S3185" s="316"/>
      <c r="T3185" s="355"/>
    </row>
    <row r="3186" spans="14:20" x14ac:dyDescent="0.25">
      <c r="N3186" s="514"/>
      <c r="R3186" s="293"/>
      <c r="S3186" s="316"/>
      <c r="T3186" s="355"/>
    </row>
    <row r="3187" spans="14:20" x14ac:dyDescent="0.25">
      <c r="N3187" s="514"/>
      <c r="R3187" s="293"/>
      <c r="S3187" s="316"/>
      <c r="T3187" s="355"/>
    </row>
    <row r="3188" spans="14:20" x14ac:dyDescent="0.25">
      <c r="N3188" s="514"/>
      <c r="R3188" s="293"/>
      <c r="S3188" s="316"/>
      <c r="T3188" s="355"/>
    </row>
    <row r="3189" spans="14:20" x14ac:dyDescent="0.25">
      <c r="N3189" s="514"/>
      <c r="R3189" s="293"/>
      <c r="S3189" s="316"/>
      <c r="T3189" s="355"/>
    </row>
    <row r="3190" spans="14:20" x14ac:dyDescent="0.25">
      <c r="N3190" s="514"/>
      <c r="R3190" s="293"/>
      <c r="S3190" s="316"/>
      <c r="T3190" s="355"/>
    </row>
    <row r="3191" spans="14:20" x14ac:dyDescent="0.25">
      <c r="N3191" s="514"/>
      <c r="R3191" s="293"/>
      <c r="S3191" s="316"/>
      <c r="T3191" s="355"/>
    </row>
    <row r="3192" spans="14:20" x14ac:dyDescent="0.25">
      <c r="N3192" s="514"/>
      <c r="R3192" s="293"/>
      <c r="S3192" s="316"/>
      <c r="T3192" s="355"/>
    </row>
    <row r="3193" spans="14:20" x14ac:dyDescent="0.25">
      <c r="N3193" s="514"/>
      <c r="R3193" s="293"/>
      <c r="S3193" s="316"/>
      <c r="T3193" s="355"/>
    </row>
    <row r="3194" spans="14:20" x14ac:dyDescent="0.25">
      <c r="N3194" s="514"/>
      <c r="R3194" s="293"/>
      <c r="S3194" s="316"/>
      <c r="T3194" s="355"/>
    </row>
    <row r="3195" spans="14:20" x14ac:dyDescent="0.25">
      <c r="N3195" s="514"/>
      <c r="R3195" s="293"/>
      <c r="S3195" s="316"/>
      <c r="T3195" s="355"/>
    </row>
    <row r="3196" spans="14:20" x14ac:dyDescent="0.25">
      <c r="N3196" s="514"/>
      <c r="R3196" s="293"/>
      <c r="S3196" s="316"/>
      <c r="T3196" s="355"/>
    </row>
    <row r="3197" spans="14:20" x14ac:dyDescent="0.25">
      <c r="N3197" s="514"/>
      <c r="R3197" s="293"/>
      <c r="S3197" s="316"/>
      <c r="T3197" s="355"/>
    </row>
    <row r="3198" spans="14:20" x14ac:dyDescent="0.25">
      <c r="N3198" s="514"/>
      <c r="R3198" s="293"/>
      <c r="S3198" s="316"/>
      <c r="T3198" s="355"/>
    </row>
    <row r="3199" spans="14:20" x14ac:dyDescent="0.25">
      <c r="N3199" s="514"/>
      <c r="R3199" s="293"/>
      <c r="S3199" s="316"/>
      <c r="T3199" s="355"/>
    </row>
    <row r="3200" spans="14:20" x14ac:dyDescent="0.25">
      <c r="N3200" s="514"/>
      <c r="R3200" s="293"/>
      <c r="S3200" s="316"/>
      <c r="T3200" s="355"/>
    </row>
    <row r="3201" spans="14:20" x14ac:dyDescent="0.25">
      <c r="N3201" s="514"/>
      <c r="R3201" s="293"/>
      <c r="S3201" s="316"/>
      <c r="T3201" s="355"/>
    </row>
    <row r="3202" spans="14:20" x14ac:dyDescent="0.25">
      <c r="N3202" s="514"/>
      <c r="R3202" s="293"/>
      <c r="S3202" s="316"/>
      <c r="T3202" s="355"/>
    </row>
    <row r="3203" spans="14:20" x14ac:dyDescent="0.25">
      <c r="N3203" s="514"/>
      <c r="R3203" s="293"/>
      <c r="S3203" s="316"/>
      <c r="T3203" s="355"/>
    </row>
    <row r="3204" spans="14:20" x14ac:dyDescent="0.25">
      <c r="N3204" s="514"/>
      <c r="R3204" s="293"/>
      <c r="S3204" s="316"/>
      <c r="T3204" s="355"/>
    </row>
    <row r="3205" spans="14:20" x14ac:dyDescent="0.25">
      <c r="N3205" s="514"/>
      <c r="R3205" s="293"/>
      <c r="S3205" s="316"/>
      <c r="T3205" s="355"/>
    </row>
    <row r="3206" spans="14:20" x14ac:dyDescent="0.25">
      <c r="N3206" s="514"/>
      <c r="R3206" s="293"/>
      <c r="S3206" s="316"/>
      <c r="T3206" s="355"/>
    </row>
    <row r="3207" spans="14:20" x14ac:dyDescent="0.25">
      <c r="N3207" s="514"/>
      <c r="R3207" s="293"/>
      <c r="S3207" s="316"/>
      <c r="T3207" s="355"/>
    </row>
    <row r="3208" spans="14:20" x14ac:dyDescent="0.25">
      <c r="N3208" s="514"/>
      <c r="R3208" s="293"/>
      <c r="S3208" s="316"/>
      <c r="T3208" s="355"/>
    </row>
    <row r="3209" spans="14:20" x14ac:dyDescent="0.25">
      <c r="N3209" s="514"/>
      <c r="R3209" s="293"/>
      <c r="S3209" s="316"/>
      <c r="T3209" s="355"/>
    </row>
    <row r="3210" spans="14:20" x14ac:dyDescent="0.25">
      <c r="N3210" s="514"/>
      <c r="R3210" s="293"/>
      <c r="S3210" s="316"/>
      <c r="T3210" s="355"/>
    </row>
    <row r="3211" spans="14:20" x14ac:dyDescent="0.25">
      <c r="N3211" s="514"/>
      <c r="R3211" s="293"/>
      <c r="S3211" s="316"/>
      <c r="T3211" s="355"/>
    </row>
    <row r="3212" spans="14:20" x14ac:dyDescent="0.25">
      <c r="N3212" s="514"/>
      <c r="R3212" s="293"/>
      <c r="S3212" s="316"/>
      <c r="T3212" s="355"/>
    </row>
    <row r="3213" spans="14:20" x14ac:dyDescent="0.25">
      <c r="N3213" s="514"/>
      <c r="R3213" s="293"/>
      <c r="S3213" s="316"/>
      <c r="T3213" s="355"/>
    </row>
    <row r="3214" spans="14:20" x14ac:dyDescent="0.25">
      <c r="N3214" s="514"/>
      <c r="R3214" s="293"/>
      <c r="S3214" s="316"/>
      <c r="T3214" s="355"/>
    </row>
    <row r="3215" spans="14:20" x14ac:dyDescent="0.25">
      <c r="N3215" s="514"/>
      <c r="R3215" s="293"/>
      <c r="S3215" s="316"/>
      <c r="T3215" s="355"/>
    </row>
    <row r="3216" spans="14:20" x14ac:dyDescent="0.25">
      <c r="N3216" s="514"/>
      <c r="R3216" s="293"/>
      <c r="S3216" s="316"/>
      <c r="T3216" s="355"/>
    </row>
    <row r="3217" spans="14:20" x14ac:dyDescent="0.25">
      <c r="N3217" s="514"/>
      <c r="R3217" s="293"/>
      <c r="S3217" s="316"/>
      <c r="T3217" s="355"/>
    </row>
    <row r="3218" spans="14:20" x14ac:dyDescent="0.25">
      <c r="N3218" s="514"/>
      <c r="R3218" s="293"/>
      <c r="S3218" s="316"/>
      <c r="T3218" s="355"/>
    </row>
    <row r="3219" spans="14:20" x14ac:dyDescent="0.25">
      <c r="N3219" s="514"/>
      <c r="R3219" s="293"/>
      <c r="S3219" s="316"/>
      <c r="T3219" s="355"/>
    </row>
    <row r="3220" spans="14:20" x14ac:dyDescent="0.25">
      <c r="N3220" s="514"/>
      <c r="R3220" s="293"/>
      <c r="S3220" s="316"/>
      <c r="T3220" s="355"/>
    </row>
    <row r="3221" spans="14:20" x14ac:dyDescent="0.25">
      <c r="N3221" s="514"/>
      <c r="R3221" s="293"/>
      <c r="S3221" s="316"/>
      <c r="T3221" s="355"/>
    </row>
    <row r="3222" spans="14:20" x14ac:dyDescent="0.25">
      <c r="N3222" s="514"/>
      <c r="R3222" s="293"/>
      <c r="S3222" s="316"/>
      <c r="T3222" s="355"/>
    </row>
    <row r="3223" spans="14:20" x14ac:dyDescent="0.25">
      <c r="N3223" s="514"/>
      <c r="R3223" s="293"/>
      <c r="S3223" s="316"/>
      <c r="T3223" s="355"/>
    </row>
    <row r="3224" spans="14:20" x14ac:dyDescent="0.25">
      <c r="N3224" s="514"/>
      <c r="R3224" s="293"/>
      <c r="S3224" s="316"/>
      <c r="T3224" s="355"/>
    </row>
    <row r="3225" spans="14:20" x14ac:dyDescent="0.25">
      <c r="N3225" s="514"/>
      <c r="R3225" s="293"/>
      <c r="S3225" s="316"/>
      <c r="T3225" s="355"/>
    </row>
    <row r="3226" spans="14:20" x14ac:dyDescent="0.25">
      <c r="N3226" s="514"/>
      <c r="R3226" s="293"/>
      <c r="S3226" s="316"/>
      <c r="T3226" s="355"/>
    </row>
    <row r="3227" spans="14:20" x14ac:dyDescent="0.25">
      <c r="N3227" s="514"/>
      <c r="R3227" s="293"/>
      <c r="S3227" s="316"/>
      <c r="T3227" s="355"/>
    </row>
    <row r="3228" spans="14:20" x14ac:dyDescent="0.25">
      <c r="N3228" s="514"/>
      <c r="R3228" s="293"/>
      <c r="S3228" s="316"/>
      <c r="T3228" s="355"/>
    </row>
    <row r="3229" spans="14:20" x14ac:dyDescent="0.25">
      <c r="N3229" s="514"/>
      <c r="R3229" s="293"/>
      <c r="S3229" s="316"/>
      <c r="T3229" s="355"/>
    </row>
    <row r="3230" spans="14:20" x14ac:dyDescent="0.25">
      <c r="N3230" s="514"/>
      <c r="R3230" s="293"/>
      <c r="S3230" s="316"/>
      <c r="T3230" s="355"/>
    </row>
    <row r="3231" spans="14:20" x14ac:dyDescent="0.25">
      <c r="N3231" s="514"/>
      <c r="R3231" s="293"/>
      <c r="S3231" s="316"/>
      <c r="T3231" s="355"/>
    </row>
    <row r="3232" spans="14:20" x14ac:dyDescent="0.25">
      <c r="N3232" s="514"/>
      <c r="R3232" s="293"/>
      <c r="S3232" s="316"/>
      <c r="T3232" s="355"/>
    </row>
    <row r="3233" spans="14:20" x14ac:dyDescent="0.25">
      <c r="N3233" s="514"/>
      <c r="R3233" s="293"/>
      <c r="S3233" s="316"/>
      <c r="T3233" s="355"/>
    </row>
    <row r="3234" spans="14:20" x14ac:dyDescent="0.25">
      <c r="N3234" s="514"/>
      <c r="R3234" s="293"/>
      <c r="S3234" s="316"/>
      <c r="T3234" s="355"/>
    </row>
    <row r="3235" spans="14:20" x14ac:dyDescent="0.25">
      <c r="N3235" s="514"/>
      <c r="R3235" s="293"/>
      <c r="S3235" s="316"/>
      <c r="T3235" s="355"/>
    </row>
    <row r="3236" spans="14:20" x14ac:dyDescent="0.25">
      <c r="N3236" s="514"/>
      <c r="R3236" s="293"/>
      <c r="S3236" s="316"/>
      <c r="T3236" s="355"/>
    </row>
    <row r="3237" spans="14:20" x14ac:dyDescent="0.25">
      <c r="N3237" s="514"/>
      <c r="R3237" s="293"/>
      <c r="S3237" s="316"/>
      <c r="T3237" s="355"/>
    </row>
    <row r="3238" spans="14:20" x14ac:dyDescent="0.25">
      <c r="N3238" s="514"/>
      <c r="R3238" s="293"/>
      <c r="S3238" s="316"/>
      <c r="T3238" s="355"/>
    </row>
    <row r="3239" spans="14:20" x14ac:dyDescent="0.25">
      <c r="N3239" s="514"/>
      <c r="R3239" s="293"/>
      <c r="S3239" s="316"/>
      <c r="T3239" s="355"/>
    </row>
    <row r="3240" spans="14:20" x14ac:dyDescent="0.25">
      <c r="N3240" s="514"/>
      <c r="R3240" s="293"/>
      <c r="S3240" s="316"/>
      <c r="T3240" s="355"/>
    </row>
    <row r="3241" spans="14:20" x14ac:dyDescent="0.25">
      <c r="N3241" s="514"/>
      <c r="R3241" s="293"/>
      <c r="S3241" s="316"/>
      <c r="T3241" s="355"/>
    </row>
    <row r="3242" spans="14:20" x14ac:dyDescent="0.25">
      <c r="N3242" s="514"/>
      <c r="R3242" s="293"/>
      <c r="S3242" s="316"/>
      <c r="T3242" s="355"/>
    </row>
    <row r="3243" spans="14:20" x14ac:dyDescent="0.25">
      <c r="N3243" s="514"/>
      <c r="R3243" s="293"/>
      <c r="S3243" s="316"/>
      <c r="T3243" s="355"/>
    </row>
    <row r="3244" spans="14:20" x14ac:dyDescent="0.25">
      <c r="N3244" s="514"/>
      <c r="R3244" s="293"/>
      <c r="S3244" s="316"/>
      <c r="T3244" s="355"/>
    </row>
    <row r="3245" spans="14:20" x14ac:dyDescent="0.25">
      <c r="N3245" s="514"/>
      <c r="R3245" s="293"/>
      <c r="S3245" s="316"/>
      <c r="T3245" s="355"/>
    </row>
    <row r="3246" spans="14:20" x14ac:dyDescent="0.25">
      <c r="N3246" s="514"/>
      <c r="R3246" s="293"/>
      <c r="S3246" s="316"/>
      <c r="T3246" s="355"/>
    </row>
    <row r="3247" spans="14:20" x14ac:dyDescent="0.25">
      <c r="N3247" s="514"/>
      <c r="R3247" s="293"/>
      <c r="S3247" s="316"/>
      <c r="T3247" s="355"/>
    </row>
    <row r="3248" spans="14:20" x14ac:dyDescent="0.25">
      <c r="N3248" s="514"/>
      <c r="R3248" s="293"/>
      <c r="S3248" s="316"/>
      <c r="T3248" s="355"/>
    </row>
    <row r="3249" spans="14:20" x14ac:dyDescent="0.25">
      <c r="N3249" s="514"/>
      <c r="R3249" s="293"/>
      <c r="S3249" s="316"/>
      <c r="T3249" s="355"/>
    </row>
    <row r="3250" spans="14:20" x14ac:dyDescent="0.25">
      <c r="N3250" s="514"/>
      <c r="R3250" s="293"/>
      <c r="S3250" s="316"/>
      <c r="T3250" s="355"/>
    </row>
    <row r="3251" spans="14:20" x14ac:dyDescent="0.25">
      <c r="N3251" s="514"/>
      <c r="R3251" s="293"/>
      <c r="S3251" s="316"/>
      <c r="T3251" s="355"/>
    </row>
    <row r="3252" spans="14:20" x14ac:dyDescent="0.25">
      <c r="N3252" s="514"/>
      <c r="R3252" s="293"/>
      <c r="S3252" s="316"/>
      <c r="T3252" s="355"/>
    </row>
    <row r="3253" spans="14:20" x14ac:dyDescent="0.25">
      <c r="N3253" s="514"/>
      <c r="R3253" s="293"/>
      <c r="S3253" s="316"/>
      <c r="T3253" s="355"/>
    </row>
    <row r="3254" spans="14:20" x14ac:dyDescent="0.25">
      <c r="N3254" s="514"/>
      <c r="R3254" s="293"/>
      <c r="S3254" s="316"/>
      <c r="T3254" s="355"/>
    </row>
    <row r="3255" spans="14:20" x14ac:dyDescent="0.25">
      <c r="N3255" s="514"/>
      <c r="R3255" s="293"/>
      <c r="S3255" s="316"/>
      <c r="T3255" s="355"/>
    </row>
    <row r="3256" spans="14:20" x14ac:dyDescent="0.25">
      <c r="N3256" s="514"/>
      <c r="R3256" s="293"/>
      <c r="S3256" s="316"/>
      <c r="T3256" s="355"/>
    </row>
    <row r="3257" spans="14:20" x14ac:dyDescent="0.25">
      <c r="N3257" s="514"/>
      <c r="R3257" s="293"/>
      <c r="S3257" s="316"/>
      <c r="T3257" s="355"/>
    </row>
    <row r="3258" spans="14:20" x14ac:dyDescent="0.25">
      <c r="N3258" s="514"/>
      <c r="R3258" s="293"/>
      <c r="S3258" s="316"/>
      <c r="T3258" s="355"/>
    </row>
    <row r="3259" spans="14:20" x14ac:dyDescent="0.25">
      <c r="N3259" s="514"/>
      <c r="R3259" s="293"/>
      <c r="S3259" s="316"/>
      <c r="T3259" s="355"/>
    </row>
    <row r="3260" spans="14:20" x14ac:dyDescent="0.25">
      <c r="N3260" s="514"/>
      <c r="R3260" s="293"/>
      <c r="S3260" s="316"/>
      <c r="T3260" s="355"/>
    </row>
    <row r="3261" spans="14:20" x14ac:dyDescent="0.25">
      <c r="N3261" s="514"/>
      <c r="R3261" s="293"/>
      <c r="S3261" s="316"/>
      <c r="T3261" s="355"/>
    </row>
    <row r="3262" spans="14:20" x14ac:dyDescent="0.25">
      <c r="N3262" s="514"/>
      <c r="R3262" s="293"/>
      <c r="S3262" s="316"/>
      <c r="T3262" s="355"/>
    </row>
    <row r="3263" spans="14:20" x14ac:dyDescent="0.25">
      <c r="N3263" s="514"/>
      <c r="R3263" s="293"/>
      <c r="S3263" s="316"/>
      <c r="T3263" s="355"/>
    </row>
    <row r="3264" spans="14:20" x14ac:dyDescent="0.25">
      <c r="N3264" s="514"/>
      <c r="R3264" s="293"/>
      <c r="S3264" s="316"/>
      <c r="T3264" s="355"/>
    </row>
    <row r="3265" spans="14:20" x14ac:dyDescent="0.25">
      <c r="N3265" s="514"/>
      <c r="R3265" s="293"/>
      <c r="S3265" s="316"/>
      <c r="T3265" s="355"/>
    </row>
    <row r="3266" spans="14:20" x14ac:dyDescent="0.25">
      <c r="N3266" s="514"/>
      <c r="R3266" s="293"/>
      <c r="S3266" s="316"/>
      <c r="T3266" s="355"/>
    </row>
    <row r="3267" spans="14:20" x14ac:dyDescent="0.25">
      <c r="N3267" s="514"/>
      <c r="R3267" s="293"/>
      <c r="S3267" s="316"/>
      <c r="T3267" s="355"/>
    </row>
    <row r="3268" spans="14:20" x14ac:dyDescent="0.25">
      <c r="N3268" s="514"/>
      <c r="R3268" s="293"/>
      <c r="S3268" s="316"/>
      <c r="T3268" s="355"/>
    </row>
    <row r="3269" spans="14:20" x14ac:dyDescent="0.25">
      <c r="N3269" s="514"/>
      <c r="R3269" s="293"/>
      <c r="S3269" s="316"/>
      <c r="T3269" s="355"/>
    </row>
    <row r="3270" spans="14:20" x14ac:dyDescent="0.25">
      <c r="N3270" s="514"/>
      <c r="R3270" s="293"/>
      <c r="S3270" s="316"/>
      <c r="T3270" s="355"/>
    </row>
    <row r="3271" spans="14:20" x14ac:dyDescent="0.25">
      <c r="N3271" s="514"/>
      <c r="R3271" s="293"/>
      <c r="S3271" s="316"/>
      <c r="T3271" s="355"/>
    </row>
    <row r="3272" spans="14:20" x14ac:dyDescent="0.25">
      <c r="N3272" s="514"/>
      <c r="R3272" s="293"/>
      <c r="S3272" s="316"/>
      <c r="T3272" s="355"/>
    </row>
    <row r="3273" spans="14:20" x14ac:dyDescent="0.25">
      <c r="N3273" s="514"/>
      <c r="R3273" s="293"/>
      <c r="S3273" s="316"/>
      <c r="T3273" s="355"/>
    </row>
    <row r="3274" spans="14:20" x14ac:dyDescent="0.25">
      <c r="N3274" s="514"/>
      <c r="R3274" s="293"/>
      <c r="S3274" s="316"/>
      <c r="T3274" s="355"/>
    </row>
    <row r="3275" spans="14:20" x14ac:dyDescent="0.25">
      <c r="N3275" s="514"/>
      <c r="R3275" s="293"/>
      <c r="S3275" s="316"/>
      <c r="T3275" s="355"/>
    </row>
    <row r="3276" spans="14:20" x14ac:dyDescent="0.25">
      <c r="N3276" s="514"/>
      <c r="R3276" s="293"/>
      <c r="S3276" s="316"/>
      <c r="T3276" s="355"/>
    </row>
    <row r="3277" spans="14:20" x14ac:dyDescent="0.25">
      <c r="N3277" s="514"/>
      <c r="R3277" s="293"/>
      <c r="S3277" s="316"/>
      <c r="T3277" s="355"/>
    </row>
    <row r="3278" spans="14:20" x14ac:dyDescent="0.25">
      <c r="N3278" s="514"/>
      <c r="R3278" s="293"/>
      <c r="S3278" s="316"/>
      <c r="T3278" s="355"/>
    </row>
    <row r="3279" spans="14:20" x14ac:dyDescent="0.25">
      <c r="N3279" s="514"/>
      <c r="R3279" s="293"/>
      <c r="S3279" s="316"/>
      <c r="T3279" s="355"/>
    </row>
    <row r="3280" spans="14:20" x14ac:dyDescent="0.25">
      <c r="N3280" s="514"/>
      <c r="R3280" s="293"/>
      <c r="S3280" s="316"/>
      <c r="T3280" s="355"/>
    </row>
    <row r="3281" spans="14:20" x14ac:dyDescent="0.25">
      <c r="N3281" s="514"/>
      <c r="R3281" s="293"/>
      <c r="S3281" s="316"/>
      <c r="T3281" s="355"/>
    </row>
    <row r="3282" spans="14:20" x14ac:dyDescent="0.25">
      <c r="N3282" s="514"/>
      <c r="R3282" s="293"/>
      <c r="S3282" s="316"/>
      <c r="T3282" s="355"/>
    </row>
    <row r="3283" spans="14:20" x14ac:dyDescent="0.25">
      <c r="N3283" s="514"/>
      <c r="R3283" s="293"/>
      <c r="S3283" s="316"/>
      <c r="T3283" s="355"/>
    </row>
    <row r="3284" spans="14:20" x14ac:dyDescent="0.25">
      <c r="N3284" s="514"/>
      <c r="R3284" s="293"/>
      <c r="S3284" s="316"/>
      <c r="T3284" s="355"/>
    </row>
    <row r="3285" spans="14:20" x14ac:dyDescent="0.25">
      <c r="N3285" s="514"/>
      <c r="R3285" s="293"/>
      <c r="S3285" s="316"/>
      <c r="T3285" s="355"/>
    </row>
    <row r="3286" spans="14:20" x14ac:dyDescent="0.25">
      <c r="N3286" s="514"/>
      <c r="R3286" s="293"/>
      <c r="S3286" s="316"/>
      <c r="T3286" s="355"/>
    </row>
    <row r="3287" spans="14:20" x14ac:dyDescent="0.25">
      <c r="N3287" s="514"/>
      <c r="R3287" s="293"/>
      <c r="S3287" s="316"/>
      <c r="T3287" s="355"/>
    </row>
    <row r="3288" spans="14:20" x14ac:dyDescent="0.25">
      <c r="N3288" s="514"/>
      <c r="R3288" s="293"/>
      <c r="S3288" s="316"/>
      <c r="T3288" s="355"/>
    </row>
    <row r="3289" spans="14:20" x14ac:dyDescent="0.25">
      <c r="N3289" s="514"/>
      <c r="R3289" s="293"/>
      <c r="S3289" s="316"/>
      <c r="T3289" s="355"/>
    </row>
    <row r="3290" spans="14:20" x14ac:dyDescent="0.25">
      <c r="N3290" s="514"/>
      <c r="R3290" s="293"/>
      <c r="S3290" s="316"/>
      <c r="T3290" s="355"/>
    </row>
    <row r="3291" spans="14:20" x14ac:dyDescent="0.25">
      <c r="N3291" s="514"/>
      <c r="R3291" s="293"/>
      <c r="S3291" s="316"/>
      <c r="T3291" s="355"/>
    </row>
    <row r="3292" spans="14:20" x14ac:dyDescent="0.25">
      <c r="N3292" s="514"/>
      <c r="R3292" s="293"/>
      <c r="S3292" s="316"/>
      <c r="T3292" s="355"/>
    </row>
    <row r="3293" spans="14:20" x14ac:dyDescent="0.25">
      <c r="N3293" s="514"/>
      <c r="R3293" s="293"/>
      <c r="S3293" s="316"/>
      <c r="T3293" s="355"/>
    </row>
    <row r="3294" spans="14:20" x14ac:dyDescent="0.25">
      <c r="N3294" s="514"/>
      <c r="R3294" s="293"/>
      <c r="S3294" s="316"/>
      <c r="T3294" s="355"/>
    </row>
    <row r="3295" spans="14:20" x14ac:dyDescent="0.25">
      <c r="N3295" s="514"/>
      <c r="R3295" s="293"/>
      <c r="S3295" s="316"/>
      <c r="T3295" s="355"/>
    </row>
    <row r="3296" spans="14:20" x14ac:dyDescent="0.25">
      <c r="N3296" s="514"/>
      <c r="R3296" s="293"/>
      <c r="S3296" s="316"/>
      <c r="T3296" s="355"/>
    </row>
    <row r="3297" spans="14:20" x14ac:dyDescent="0.25">
      <c r="N3297" s="514"/>
      <c r="R3297" s="293"/>
      <c r="S3297" s="316"/>
      <c r="T3297" s="355"/>
    </row>
    <row r="3298" spans="14:20" x14ac:dyDescent="0.25">
      <c r="N3298" s="514"/>
      <c r="R3298" s="293"/>
      <c r="S3298" s="316"/>
      <c r="T3298" s="355"/>
    </row>
    <row r="3299" spans="14:20" x14ac:dyDescent="0.25">
      <c r="N3299" s="514"/>
      <c r="R3299" s="293"/>
      <c r="S3299" s="316"/>
      <c r="T3299" s="355"/>
    </row>
    <row r="3300" spans="14:20" x14ac:dyDescent="0.25">
      <c r="N3300" s="514"/>
      <c r="R3300" s="293"/>
      <c r="S3300" s="316"/>
      <c r="T3300" s="355"/>
    </row>
    <row r="3301" spans="14:20" x14ac:dyDescent="0.25">
      <c r="N3301" s="514"/>
      <c r="R3301" s="293"/>
      <c r="S3301" s="316"/>
      <c r="T3301" s="355"/>
    </row>
    <row r="3302" spans="14:20" x14ac:dyDescent="0.25">
      <c r="N3302" s="514"/>
      <c r="R3302" s="293"/>
      <c r="S3302" s="316"/>
      <c r="T3302" s="355"/>
    </row>
    <row r="3303" spans="14:20" x14ac:dyDescent="0.25">
      <c r="N3303" s="514"/>
      <c r="R3303" s="293"/>
      <c r="S3303" s="316"/>
      <c r="T3303" s="355"/>
    </row>
    <row r="3304" spans="14:20" x14ac:dyDescent="0.25">
      <c r="N3304" s="514"/>
      <c r="R3304" s="293"/>
      <c r="S3304" s="316"/>
      <c r="T3304" s="355"/>
    </row>
    <row r="3305" spans="14:20" x14ac:dyDescent="0.25">
      <c r="N3305" s="514"/>
      <c r="R3305" s="293"/>
      <c r="S3305" s="316"/>
      <c r="T3305" s="355"/>
    </row>
    <row r="3306" spans="14:20" x14ac:dyDescent="0.25">
      <c r="N3306" s="514"/>
      <c r="R3306" s="293"/>
      <c r="S3306" s="316"/>
      <c r="T3306" s="355"/>
    </row>
    <row r="3307" spans="14:20" x14ac:dyDescent="0.25">
      <c r="N3307" s="514"/>
      <c r="R3307" s="293"/>
      <c r="S3307" s="316"/>
      <c r="T3307" s="355"/>
    </row>
    <row r="3308" spans="14:20" x14ac:dyDescent="0.25">
      <c r="N3308" s="514"/>
      <c r="R3308" s="293"/>
      <c r="S3308" s="316"/>
      <c r="T3308" s="355"/>
    </row>
    <row r="3309" spans="14:20" x14ac:dyDescent="0.25">
      <c r="N3309" s="514"/>
      <c r="R3309" s="293"/>
      <c r="S3309" s="316"/>
      <c r="T3309" s="355"/>
    </row>
    <row r="3310" spans="14:20" x14ac:dyDescent="0.25">
      <c r="N3310" s="514"/>
      <c r="R3310" s="293"/>
      <c r="S3310" s="316"/>
      <c r="T3310" s="355"/>
    </row>
    <row r="3311" spans="14:20" x14ac:dyDescent="0.25">
      <c r="N3311" s="514"/>
      <c r="R3311" s="293"/>
      <c r="S3311" s="316"/>
      <c r="T3311" s="355"/>
    </row>
    <row r="3312" spans="14:20" x14ac:dyDescent="0.25">
      <c r="N3312" s="514"/>
      <c r="R3312" s="293"/>
      <c r="S3312" s="316"/>
      <c r="T3312" s="355"/>
    </row>
    <row r="3313" spans="14:20" x14ac:dyDescent="0.25">
      <c r="N3313" s="514"/>
      <c r="R3313" s="293"/>
      <c r="S3313" s="316"/>
      <c r="T3313" s="355"/>
    </row>
    <row r="3314" spans="14:20" x14ac:dyDescent="0.25">
      <c r="N3314" s="514"/>
      <c r="R3314" s="293"/>
      <c r="S3314" s="316"/>
      <c r="T3314" s="355"/>
    </row>
    <row r="3315" spans="14:20" x14ac:dyDescent="0.25">
      <c r="N3315" s="514"/>
      <c r="R3315" s="293"/>
      <c r="S3315" s="316"/>
      <c r="T3315" s="355"/>
    </row>
    <row r="3316" spans="14:20" x14ac:dyDescent="0.25">
      <c r="N3316" s="514"/>
      <c r="R3316" s="293"/>
      <c r="S3316" s="316"/>
      <c r="T3316" s="355"/>
    </row>
    <row r="3317" spans="14:20" x14ac:dyDescent="0.25">
      <c r="N3317" s="514"/>
      <c r="R3317" s="293"/>
      <c r="S3317" s="316"/>
      <c r="T3317" s="355"/>
    </row>
    <row r="3318" spans="14:20" x14ac:dyDescent="0.25">
      <c r="N3318" s="514"/>
      <c r="R3318" s="293"/>
      <c r="S3318" s="316"/>
      <c r="T3318" s="355"/>
    </row>
    <row r="3319" spans="14:20" x14ac:dyDescent="0.25">
      <c r="N3319" s="514"/>
      <c r="R3319" s="293"/>
      <c r="S3319" s="316"/>
      <c r="T3319" s="355"/>
    </row>
    <row r="3320" spans="14:20" x14ac:dyDescent="0.25">
      <c r="N3320" s="514"/>
      <c r="R3320" s="293"/>
      <c r="S3320" s="316"/>
      <c r="T3320" s="355"/>
    </row>
    <row r="3321" spans="14:20" x14ac:dyDescent="0.25">
      <c r="N3321" s="514"/>
      <c r="R3321" s="293"/>
      <c r="S3321" s="316"/>
      <c r="T3321" s="355"/>
    </row>
    <row r="3322" spans="14:20" x14ac:dyDescent="0.25">
      <c r="N3322" s="514"/>
      <c r="R3322" s="293"/>
      <c r="S3322" s="316"/>
      <c r="T3322" s="355"/>
    </row>
    <row r="3323" spans="14:20" x14ac:dyDescent="0.25">
      <c r="N3323" s="514"/>
      <c r="R3323" s="293"/>
      <c r="S3323" s="316"/>
      <c r="T3323" s="355"/>
    </row>
    <row r="3324" spans="14:20" x14ac:dyDescent="0.25">
      <c r="N3324" s="514"/>
      <c r="R3324" s="293"/>
      <c r="S3324" s="316"/>
      <c r="T3324" s="355"/>
    </row>
    <row r="3325" spans="14:20" x14ac:dyDescent="0.25">
      <c r="N3325" s="514"/>
      <c r="R3325" s="293"/>
      <c r="S3325" s="316"/>
      <c r="T3325" s="355"/>
    </row>
    <row r="3326" spans="14:20" x14ac:dyDescent="0.25">
      <c r="N3326" s="514"/>
      <c r="R3326" s="293"/>
      <c r="S3326" s="316"/>
      <c r="T3326" s="355"/>
    </row>
    <row r="3327" spans="14:20" x14ac:dyDescent="0.25">
      <c r="N3327" s="514"/>
      <c r="R3327" s="293"/>
      <c r="S3327" s="316"/>
      <c r="T3327" s="355"/>
    </row>
    <row r="3328" spans="14:20" x14ac:dyDescent="0.25">
      <c r="N3328" s="514"/>
      <c r="R3328" s="293"/>
      <c r="S3328" s="316"/>
      <c r="T3328" s="355"/>
    </row>
    <row r="3329" spans="14:20" x14ac:dyDescent="0.25">
      <c r="N3329" s="514"/>
      <c r="R3329" s="293"/>
      <c r="S3329" s="316"/>
      <c r="T3329" s="355"/>
    </row>
    <row r="3330" spans="14:20" x14ac:dyDescent="0.25">
      <c r="N3330" s="514"/>
      <c r="R3330" s="293"/>
      <c r="S3330" s="316"/>
      <c r="T3330" s="355"/>
    </row>
    <row r="3331" spans="14:20" x14ac:dyDescent="0.25">
      <c r="N3331" s="514"/>
      <c r="R3331" s="293"/>
      <c r="S3331" s="316"/>
      <c r="T3331" s="355"/>
    </row>
    <row r="3332" spans="14:20" x14ac:dyDescent="0.25">
      <c r="N3332" s="514"/>
      <c r="R3332" s="293"/>
      <c r="S3332" s="316"/>
      <c r="T3332" s="355"/>
    </row>
    <row r="3333" spans="14:20" x14ac:dyDescent="0.25">
      <c r="N3333" s="514"/>
      <c r="R3333" s="293"/>
      <c r="S3333" s="316"/>
      <c r="T3333" s="355"/>
    </row>
    <row r="3334" spans="14:20" x14ac:dyDescent="0.25">
      <c r="N3334" s="514"/>
      <c r="R3334" s="293"/>
      <c r="S3334" s="316"/>
      <c r="T3334" s="355"/>
    </row>
    <row r="3335" spans="14:20" x14ac:dyDescent="0.25">
      <c r="N3335" s="514"/>
      <c r="R3335" s="293"/>
      <c r="S3335" s="316"/>
      <c r="T3335" s="355"/>
    </row>
    <row r="3336" spans="14:20" x14ac:dyDescent="0.25">
      <c r="N3336" s="514"/>
      <c r="R3336" s="293"/>
      <c r="S3336" s="316"/>
      <c r="T3336" s="355"/>
    </row>
    <row r="3337" spans="14:20" x14ac:dyDescent="0.25">
      <c r="N3337" s="514"/>
      <c r="R3337" s="293"/>
      <c r="S3337" s="316"/>
      <c r="T3337" s="355"/>
    </row>
    <row r="3338" spans="14:20" x14ac:dyDescent="0.25">
      <c r="N3338" s="514"/>
      <c r="R3338" s="293"/>
      <c r="S3338" s="316"/>
      <c r="T3338" s="355"/>
    </row>
    <row r="3339" spans="14:20" x14ac:dyDescent="0.25">
      <c r="N3339" s="514"/>
      <c r="R3339" s="293"/>
      <c r="S3339" s="316"/>
      <c r="T3339" s="355"/>
    </row>
    <row r="3340" spans="14:20" x14ac:dyDescent="0.25">
      <c r="N3340" s="514"/>
      <c r="R3340" s="293"/>
      <c r="S3340" s="316"/>
      <c r="T3340" s="355"/>
    </row>
    <row r="3341" spans="14:20" x14ac:dyDescent="0.25">
      <c r="N3341" s="514"/>
      <c r="R3341" s="293"/>
      <c r="S3341" s="316"/>
      <c r="T3341" s="355"/>
    </row>
    <row r="3342" spans="14:20" x14ac:dyDescent="0.25">
      <c r="N3342" s="514"/>
      <c r="R3342" s="293"/>
      <c r="S3342" s="316"/>
      <c r="T3342" s="355"/>
    </row>
    <row r="3343" spans="14:20" x14ac:dyDescent="0.25">
      <c r="N3343" s="514"/>
      <c r="R3343" s="293"/>
      <c r="S3343" s="316"/>
      <c r="T3343" s="355"/>
    </row>
    <row r="3344" spans="14:20" x14ac:dyDescent="0.25">
      <c r="N3344" s="514"/>
      <c r="R3344" s="293"/>
      <c r="S3344" s="316"/>
      <c r="T3344" s="355"/>
    </row>
    <row r="3345" spans="14:20" x14ac:dyDescent="0.25">
      <c r="N3345" s="514"/>
      <c r="R3345" s="293"/>
      <c r="S3345" s="316"/>
      <c r="T3345" s="355"/>
    </row>
    <row r="3346" spans="14:20" x14ac:dyDescent="0.25">
      <c r="N3346" s="514"/>
      <c r="R3346" s="293"/>
      <c r="S3346" s="316"/>
      <c r="T3346" s="355"/>
    </row>
    <row r="3347" spans="14:20" x14ac:dyDescent="0.25">
      <c r="N3347" s="514"/>
      <c r="R3347" s="293"/>
      <c r="S3347" s="316"/>
      <c r="T3347" s="355"/>
    </row>
    <row r="3348" spans="14:20" x14ac:dyDescent="0.25">
      <c r="N3348" s="514"/>
      <c r="R3348" s="293"/>
      <c r="S3348" s="316"/>
      <c r="T3348" s="355"/>
    </row>
    <row r="3349" spans="14:20" x14ac:dyDescent="0.25">
      <c r="N3349" s="514"/>
      <c r="R3349" s="293"/>
      <c r="S3349" s="316"/>
      <c r="T3349" s="355"/>
    </row>
    <row r="3350" spans="14:20" x14ac:dyDescent="0.25">
      <c r="N3350" s="514"/>
      <c r="R3350" s="293"/>
      <c r="S3350" s="316"/>
      <c r="T3350" s="355"/>
    </row>
    <row r="3351" spans="14:20" x14ac:dyDescent="0.25">
      <c r="N3351" s="514"/>
      <c r="R3351" s="293"/>
      <c r="S3351" s="316"/>
      <c r="T3351" s="355"/>
    </row>
    <row r="3352" spans="14:20" x14ac:dyDescent="0.25">
      <c r="N3352" s="514"/>
      <c r="R3352" s="293"/>
      <c r="S3352" s="316"/>
      <c r="T3352" s="355"/>
    </row>
    <row r="3353" spans="14:20" x14ac:dyDescent="0.25">
      <c r="N3353" s="514"/>
      <c r="R3353" s="293"/>
      <c r="S3353" s="316"/>
      <c r="T3353" s="355"/>
    </row>
    <row r="3354" spans="14:20" x14ac:dyDescent="0.25">
      <c r="N3354" s="514"/>
      <c r="R3354" s="293"/>
      <c r="S3354" s="316"/>
      <c r="T3354" s="355"/>
    </row>
    <row r="3355" spans="14:20" x14ac:dyDescent="0.25">
      <c r="N3355" s="514"/>
      <c r="R3355" s="293"/>
      <c r="S3355" s="316"/>
      <c r="T3355" s="355"/>
    </row>
    <row r="3356" spans="14:20" x14ac:dyDescent="0.25">
      <c r="N3356" s="514"/>
      <c r="R3356" s="293"/>
      <c r="S3356" s="316"/>
      <c r="T3356" s="355"/>
    </row>
    <row r="3357" spans="14:20" x14ac:dyDescent="0.25">
      <c r="N3357" s="514"/>
      <c r="R3357" s="293"/>
      <c r="S3357" s="316"/>
      <c r="T3357" s="355"/>
    </row>
    <row r="3358" spans="14:20" x14ac:dyDescent="0.25">
      <c r="N3358" s="514"/>
      <c r="R3358" s="293"/>
      <c r="S3358" s="316"/>
      <c r="T3358" s="355"/>
    </row>
    <row r="3359" spans="14:20" x14ac:dyDescent="0.25">
      <c r="N3359" s="514"/>
      <c r="R3359" s="293"/>
      <c r="S3359" s="316"/>
      <c r="T3359" s="355"/>
    </row>
    <row r="3360" spans="14:20" x14ac:dyDescent="0.25">
      <c r="N3360" s="514"/>
      <c r="R3360" s="293"/>
      <c r="S3360" s="316"/>
      <c r="T3360" s="355"/>
    </row>
    <row r="3361" spans="14:20" x14ac:dyDescent="0.25">
      <c r="N3361" s="514"/>
      <c r="R3361" s="293"/>
      <c r="S3361" s="316"/>
      <c r="T3361" s="355"/>
    </row>
    <row r="3362" spans="14:20" x14ac:dyDescent="0.25">
      <c r="N3362" s="514"/>
      <c r="R3362" s="293"/>
      <c r="S3362" s="316"/>
      <c r="T3362" s="355"/>
    </row>
    <row r="3363" spans="14:20" x14ac:dyDescent="0.25">
      <c r="N3363" s="514"/>
      <c r="R3363" s="293"/>
      <c r="S3363" s="316"/>
      <c r="T3363" s="355"/>
    </row>
    <row r="3364" spans="14:20" x14ac:dyDescent="0.25">
      <c r="N3364" s="514"/>
      <c r="R3364" s="293"/>
      <c r="S3364" s="316"/>
      <c r="T3364" s="355"/>
    </row>
    <row r="3365" spans="14:20" x14ac:dyDescent="0.25">
      <c r="N3365" s="514"/>
      <c r="R3365" s="293"/>
      <c r="S3365" s="316"/>
      <c r="T3365" s="355"/>
    </row>
    <row r="3366" spans="14:20" x14ac:dyDescent="0.25">
      <c r="N3366" s="514"/>
      <c r="R3366" s="293"/>
      <c r="S3366" s="316"/>
      <c r="T3366" s="355"/>
    </row>
    <row r="3367" spans="14:20" x14ac:dyDescent="0.25">
      <c r="N3367" s="514"/>
      <c r="R3367" s="293"/>
      <c r="S3367" s="316"/>
      <c r="T3367" s="355"/>
    </row>
    <row r="3368" spans="14:20" x14ac:dyDescent="0.25">
      <c r="N3368" s="514"/>
      <c r="R3368" s="293"/>
      <c r="S3368" s="316"/>
      <c r="T3368" s="355"/>
    </row>
    <row r="3369" spans="14:20" x14ac:dyDescent="0.25">
      <c r="N3369" s="514"/>
      <c r="R3369" s="293"/>
      <c r="S3369" s="316"/>
      <c r="T3369" s="355"/>
    </row>
    <row r="3370" spans="14:20" x14ac:dyDescent="0.25">
      <c r="N3370" s="514"/>
      <c r="R3370" s="293"/>
      <c r="S3370" s="316"/>
      <c r="T3370" s="355"/>
    </row>
    <row r="3371" spans="14:20" x14ac:dyDescent="0.25">
      <c r="N3371" s="514"/>
      <c r="R3371" s="293"/>
      <c r="S3371" s="316"/>
      <c r="T3371" s="355"/>
    </row>
    <row r="3372" spans="14:20" x14ac:dyDescent="0.25">
      <c r="N3372" s="514"/>
      <c r="R3372" s="293"/>
      <c r="S3372" s="316"/>
      <c r="T3372" s="355"/>
    </row>
    <row r="3373" spans="14:20" x14ac:dyDescent="0.25">
      <c r="N3373" s="514"/>
      <c r="R3373" s="293"/>
      <c r="S3373" s="316"/>
      <c r="T3373" s="355"/>
    </row>
    <row r="3374" spans="14:20" x14ac:dyDescent="0.25">
      <c r="N3374" s="514"/>
      <c r="R3374" s="293"/>
      <c r="S3374" s="316"/>
      <c r="T3374" s="355"/>
    </row>
    <row r="3375" spans="14:20" x14ac:dyDescent="0.25">
      <c r="N3375" s="514"/>
      <c r="R3375" s="293"/>
      <c r="S3375" s="316"/>
      <c r="T3375" s="355"/>
    </row>
    <row r="3376" spans="14:20" x14ac:dyDescent="0.25">
      <c r="N3376" s="514"/>
      <c r="R3376" s="293"/>
      <c r="S3376" s="316"/>
      <c r="T3376" s="355"/>
    </row>
    <row r="3377" spans="14:20" x14ac:dyDescent="0.25">
      <c r="N3377" s="514"/>
      <c r="R3377" s="293"/>
      <c r="S3377" s="316"/>
      <c r="T3377" s="355"/>
    </row>
    <row r="3378" spans="14:20" x14ac:dyDescent="0.25">
      <c r="N3378" s="514"/>
      <c r="R3378" s="293"/>
      <c r="S3378" s="316"/>
      <c r="T3378" s="355"/>
    </row>
    <row r="3379" spans="14:20" x14ac:dyDescent="0.25">
      <c r="N3379" s="514"/>
      <c r="R3379" s="293"/>
      <c r="S3379" s="316"/>
      <c r="T3379" s="355"/>
    </row>
    <row r="3380" spans="14:20" x14ac:dyDescent="0.25">
      <c r="N3380" s="514"/>
      <c r="R3380" s="293"/>
      <c r="S3380" s="316"/>
      <c r="T3380" s="355"/>
    </row>
    <row r="3381" spans="14:20" x14ac:dyDescent="0.25">
      <c r="N3381" s="514"/>
      <c r="R3381" s="293"/>
      <c r="S3381" s="316"/>
      <c r="T3381" s="355"/>
    </row>
    <row r="3382" spans="14:20" x14ac:dyDescent="0.25">
      <c r="N3382" s="514"/>
      <c r="R3382" s="293"/>
      <c r="S3382" s="316"/>
      <c r="T3382" s="355"/>
    </row>
    <row r="3383" spans="14:20" x14ac:dyDescent="0.25">
      <c r="N3383" s="514"/>
      <c r="R3383" s="293"/>
      <c r="S3383" s="316"/>
      <c r="T3383" s="355"/>
    </row>
    <row r="3384" spans="14:20" x14ac:dyDescent="0.25">
      <c r="N3384" s="514"/>
      <c r="R3384" s="293"/>
      <c r="S3384" s="316"/>
      <c r="T3384" s="355"/>
    </row>
    <row r="3385" spans="14:20" x14ac:dyDescent="0.25">
      <c r="N3385" s="514"/>
      <c r="R3385" s="293"/>
      <c r="S3385" s="316"/>
      <c r="T3385" s="355"/>
    </row>
    <row r="3386" spans="14:20" x14ac:dyDescent="0.25">
      <c r="N3386" s="514"/>
      <c r="R3386" s="293"/>
      <c r="S3386" s="316"/>
      <c r="T3386" s="355"/>
    </row>
    <row r="3387" spans="14:20" x14ac:dyDescent="0.25">
      <c r="N3387" s="514"/>
      <c r="R3387" s="293"/>
      <c r="S3387" s="316"/>
      <c r="T3387" s="355"/>
    </row>
    <row r="3388" spans="14:20" x14ac:dyDescent="0.25">
      <c r="N3388" s="514"/>
      <c r="R3388" s="293"/>
      <c r="S3388" s="316"/>
      <c r="T3388" s="355"/>
    </row>
    <row r="3389" spans="14:20" x14ac:dyDescent="0.25">
      <c r="N3389" s="514"/>
      <c r="R3389" s="293"/>
      <c r="S3389" s="316"/>
      <c r="T3389" s="355"/>
    </row>
    <row r="3390" spans="14:20" x14ac:dyDescent="0.25">
      <c r="N3390" s="514"/>
      <c r="R3390" s="293"/>
      <c r="S3390" s="316"/>
      <c r="T3390" s="355"/>
    </row>
    <row r="3391" spans="14:20" x14ac:dyDescent="0.25">
      <c r="N3391" s="514"/>
      <c r="R3391" s="293"/>
      <c r="S3391" s="316"/>
      <c r="T3391" s="355"/>
    </row>
    <row r="3392" spans="14:20" x14ac:dyDescent="0.25">
      <c r="N3392" s="514"/>
      <c r="R3392" s="293"/>
      <c r="S3392" s="316"/>
      <c r="T3392" s="355"/>
    </row>
    <row r="3393" spans="14:20" x14ac:dyDescent="0.25">
      <c r="N3393" s="514"/>
      <c r="R3393" s="293"/>
      <c r="S3393" s="316"/>
      <c r="T3393" s="355"/>
    </row>
    <row r="3394" spans="14:20" x14ac:dyDescent="0.25">
      <c r="N3394" s="514"/>
      <c r="R3394" s="293"/>
      <c r="S3394" s="316"/>
      <c r="T3394" s="355"/>
    </row>
    <row r="3395" spans="14:20" x14ac:dyDescent="0.25">
      <c r="N3395" s="514"/>
      <c r="R3395" s="293"/>
      <c r="S3395" s="316"/>
      <c r="T3395" s="355"/>
    </row>
    <row r="3396" spans="14:20" x14ac:dyDescent="0.25">
      <c r="N3396" s="514"/>
      <c r="R3396" s="293"/>
      <c r="S3396" s="316"/>
      <c r="T3396" s="355"/>
    </row>
    <row r="3397" spans="14:20" x14ac:dyDescent="0.25">
      <c r="N3397" s="514"/>
      <c r="R3397" s="293"/>
      <c r="S3397" s="316"/>
      <c r="T3397" s="355"/>
    </row>
    <row r="3398" spans="14:20" x14ac:dyDescent="0.25">
      <c r="N3398" s="514"/>
      <c r="R3398" s="293"/>
      <c r="S3398" s="316"/>
      <c r="T3398" s="355"/>
    </row>
    <row r="3399" spans="14:20" x14ac:dyDescent="0.25">
      <c r="N3399" s="514"/>
      <c r="R3399" s="293"/>
      <c r="S3399" s="316"/>
      <c r="T3399" s="355"/>
    </row>
    <row r="3400" spans="14:20" x14ac:dyDescent="0.25">
      <c r="N3400" s="514"/>
      <c r="R3400" s="293"/>
      <c r="S3400" s="316"/>
      <c r="T3400" s="355"/>
    </row>
    <row r="3401" spans="14:20" x14ac:dyDescent="0.25">
      <c r="N3401" s="514"/>
      <c r="R3401" s="293"/>
      <c r="S3401" s="316"/>
      <c r="T3401" s="355"/>
    </row>
    <row r="3402" spans="14:20" x14ac:dyDescent="0.25">
      <c r="N3402" s="514"/>
      <c r="R3402" s="293"/>
      <c r="S3402" s="316"/>
      <c r="T3402" s="355"/>
    </row>
    <row r="3403" spans="14:20" x14ac:dyDescent="0.25">
      <c r="N3403" s="514"/>
      <c r="R3403" s="293"/>
      <c r="S3403" s="316"/>
      <c r="T3403" s="355"/>
    </row>
    <row r="3404" spans="14:20" x14ac:dyDescent="0.25">
      <c r="N3404" s="514"/>
      <c r="R3404" s="293"/>
      <c r="S3404" s="316"/>
      <c r="T3404" s="355"/>
    </row>
    <row r="3405" spans="14:20" x14ac:dyDescent="0.25">
      <c r="N3405" s="514"/>
      <c r="R3405" s="293"/>
      <c r="S3405" s="316"/>
      <c r="T3405" s="355"/>
    </row>
    <row r="3406" spans="14:20" x14ac:dyDescent="0.25">
      <c r="N3406" s="514"/>
      <c r="R3406" s="293"/>
      <c r="S3406" s="316"/>
      <c r="T3406" s="355"/>
    </row>
    <row r="3407" spans="14:20" x14ac:dyDescent="0.25">
      <c r="N3407" s="514"/>
      <c r="R3407" s="293"/>
      <c r="S3407" s="316"/>
      <c r="T3407" s="355"/>
    </row>
    <row r="3408" spans="14:20" x14ac:dyDescent="0.25">
      <c r="N3408" s="514"/>
      <c r="R3408" s="293"/>
      <c r="S3408" s="316"/>
      <c r="T3408" s="355"/>
    </row>
    <row r="3409" spans="14:20" x14ac:dyDescent="0.25">
      <c r="N3409" s="514"/>
      <c r="R3409" s="293"/>
      <c r="S3409" s="316"/>
      <c r="T3409" s="355"/>
    </row>
    <row r="3410" spans="14:20" x14ac:dyDescent="0.25">
      <c r="N3410" s="514"/>
      <c r="R3410" s="293"/>
      <c r="S3410" s="316"/>
      <c r="T3410" s="355"/>
    </row>
    <row r="3411" spans="14:20" x14ac:dyDescent="0.25">
      <c r="N3411" s="514"/>
      <c r="R3411" s="293"/>
      <c r="S3411" s="316"/>
      <c r="T3411" s="355"/>
    </row>
    <row r="3412" spans="14:20" x14ac:dyDescent="0.25">
      <c r="N3412" s="514"/>
      <c r="R3412" s="293"/>
      <c r="S3412" s="316"/>
      <c r="T3412" s="355"/>
    </row>
    <row r="3413" spans="14:20" x14ac:dyDescent="0.25">
      <c r="N3413" s="514"/>
      <c r="R3413" s="293"/>
      <c r="S3413" s="316"/>
      <c r="T3413" s="355"/>
    </row>
    <row r="3414" spans="14:20" x14ac:dyDescent="0.25">
      <c r="N3414" s="514"/>
      <c r="R3414" s="293"/>
      <c r="S3414" s="316"/>
      <c r="T3414" s="355"/>
    </row>
    <row r="3415" spans="14:20" x14ac:dyDescent="0.25">
      <c r="N3415" s="514"/>
      <c r="R3415" s="293"/>
      <c r="S3415" s="316"/>
      <c r="T3415" s="355"/>
    </row>
    <row r="3416" spans="14:20" x14ac:dyDescent="0.25">
      <c r="N3416" s="514"/>
      <c r="R3416" s="293"/>
      <c r="S3416" s="316"/>
      <c r="T3416" s="355"/>
    </row>
    <row r="3417" spans="14:20" x14ac:dyDescent="0.25">
      <c r="N3417" s="514"/>
      <c r="R3417" s="293"/>
      <c r="S3417" s="316"/>
      <c r="T3417" s="355"/>
    </row>
    <row r="3418" spans="14:20" x14ac:dyDescent="0.25">
      <c r="N3418" s="514"/>
      <c r="R3418" s="293"/>
      <c r="S3418" s="316"/>
      <c r="T3418" s="355"/>
    </row>
    <row r="3419" spans="14:20" x14ac:dyDescent="0.25">
      <c r="N3419" s="514"/>
      <c r="R3419" s="293"/>
      <c r="S3419" s="316"/>
      <c r="T3419" s="355"/>
    </row>
    <row r="3420" spans="14:20" x14ac:dyDescent="0.25">
      <c r="N3420" s="514"/>
      <c r="R3420" s="293"/>
      <c r="S3420" s="316"/>
      <c r="T3420" s="355"/>
    </row>
    <row r="3421" spans="14:20" x14ac:dyDescent="0.25">
      <c r="N3421" s="514"/>
      <c r="R3421" s="293"/>
      <c r="S3421" s="316"/>
      <c r="T3421" s="355"/>
    </row>
    <row r="3422" spans="14:20" x14ac:dyDescent="0.25">
      <c r="N3422" s="514"/>
      <c r="R3422" s="293"/>
      <c r="S3422" s="316"/>
      <c r="T3422" s="355"/>
    </row>
    <row r="3423" spans="14:20" x14ac:dyDescent="0.25">
      <c r="N3423" s="514"/>
      <c r="R3423" s="293"/>
      <c r="S3423" s="316"/>
      <c r="T3423" s="355"/>
    </row>
    <row r="3424" spans="14:20" x14ac:dyDescent="0.25">
      <c r="N3424" s="514"/>
      <c r="R3424" s="293"/>
      <c r="S3424" s="316"/>
      <c r="T3424" s="355"/>
    </row>
    <row r="3425" spans="14:20" x14ac:dyDescent="0.25">
      <c r="N3425" s="514"/>
      <c r="R3425" s="293"/>
      <c r="S3425" s="316"/>
      <c r="T3425" s="355"/>
    </row>
    <row r="3426" spans="14:20" x14ac:dyDescent="0.25">
      <c r="N3426" s="514"/>
      <c r="R3426" s="293"/>
      <c r="S3426" s="316"/>
      <c r="T3426" s="355"/>
    </row>
    <row r="3427" spans="14:20" x14ac:dyDescent="0.25">
      <c r="N3427" s="514"/>
      <c r="R3427" s="293"/>
      <c r="S3427" s="316"/>
      <c r="T3427" s="355"/>
    </row>
    <row r="3428" spans="14:20" x14ac:dyDescent="0.25">
      <c r="N3428" s="514"/>
      <c r="R3428" s="293"/>
      <c r="S3428" s="316"/>
      <c r="T3428" s="355"/>
    </row>
    <row r="3429" spans="14:20" x14ac:dyDescent="0.25">
      <c r="N3429" s="514"/>
      <c r="R3429" s="293"/>
      <c r="S3429" s="316"/>
      <c r="T3429" s="355"/>
    </row>
    <row r="3430" spans="14:20" x14ac:dyDescent="0.25">
      <c r="N3430" s="514"/>
      <c r="R3430" s="293"/>
      <c r="S3430" s="316"/>
      <c r="T3430" s="355"/>
    </row>
    <row r="3431" spans="14:20" x14ac:dyDescent="0.25">
      <c r="N3431" s="514"/>
      <c r="R3431" s="293"/>
      <c r="S3431" s="316"/>
      <c r="T3431" s="355"/>
    </row>
    <row r="3432" spans="14:20" x14ac:dyDescent="0.25">
      <c r="N3432" s="514"/>
      <c r="R3432" s="293"/>
      <c r="S3432" s="316"/>
      <c r="T3432" s="355"/>
    </row>
    <row r="3433" spans="14:20" x14ac:dyDescent="0.25">
      <c r="N3433" s="514"/>
      <c r="R3433" s="293"/>
      <c r="S3433" s="316"/>
      <c r="T3433" s="355"/>
    </row>
    <row r="3434" spans="14:20" x14ac:dyDescent="0.25">
      <c r="N3434" s="514"/>
      <c r="R3434" s="293"/>
      <c r="S3434" s="316"/>
      <c r="T3434" s="355"/>
    </row>
    <row r="3435" spans="14:20" x14ac:dyDescent="0.25">
      <c r="N3435" s="514"/>
      <c r="R3435" s="293"/>
      <c r="S3435" s="316"/>
      <c r="T3435" s="355"/>
    </row>
    <row r="3436" spans="14:20" x14ac:dyDescent="0.25">
      <c r="N3436" s="514"/>
      <c r="R3436" s="293"/>
      <c r="S3436" s="316"/>
      <c r="T3436" s="355"/>
    </row>
    <row r="3437" spans="14:20" x14ac:dyDescent="0.25">
      <c r="N3437" s="514"/>
      <c r="R3437" s="293"/>
      <c r="S3437" s="316"/>
      <c r="T3437" s="355"/>
    </row>
    <row r="3438" spans="14:20" x14ac:dyDescent="0.25">
      <c r="N3438" s="514"/>
      <c r="R3438" s="293"/>
      <c r="S3438" s="316"/>
      <c r="T3438" s="355"/>
    </row>
    <row r="3439" spans="14:20" x14ac:dyDescent="0.25">
      <c r="N3439" s="514"/>
      <c r="R3439" s="293"/>
      <c r="S3439" s="316"/>
      <c r="T3439" s="355"/>
    </row>
    <row r="3440" spans="14:20" x14ac:dyDescent="0.25">
      <c r="N3440" s="514"/>
      <c r="R3440" s="293"/>
      <c r="S3440" s="316"/>
      <c r="T3440" s="355"/>
    </row>
    <row r="3441" spans="14:20" x14ac:dyDescent="0.25">
      <c r="N3441" s="514"/>
      <c r="R3441" s="293"/>
      <c r="S3441" s="316"/>
      <c r="T3441" s="355"/>
    </row>
    <row r="3442" spans="14:20" x14ac:dyDescent="0.25">
      <c r="N3442" s="514"/>
      <c r="R3442" s="293"/>
      <c r="S3442" s="316"/>
      <c r="T3442" s="355"/>
    </row>
    <row r="3443" spans="14:20" x14ac:dyDescent="0.25">
      <c r="N3443" s="514"/>
      <c r="R3443" s="293"/>
      <c r="S3443" s="316"/>
      <c r="T3443" s="355"/>
    </row>
    <row r="3444" spans="14:20" x14ac:dyDescent="0.25">
      <c r="N3444" s="514"/>
      <c r="R3444" s="293"/>
      <c r="S3444" s="316"/>
      <c r="T3444" s="355"/>
    </row>
    <row r="3445" spans="14:20" x14ac:dyDescent="0.25">
      <c r="N3445" s="514"/>
      <c r="R3445" s="293"/>
      <c r="S3445" s="316"/>
      <c r="T3445" s="355"/>
    </row>
    <row r="3446" spans="14:20" x14ac:dyDescent="0.25">
      <c r="N3446" s="514"/>
      <c r="R3446" s="293"/>
      <c r="S3446" s="316"/>
      <c r="T3446" s="355"/>
    </row>
    <row r="3447" spans="14:20" x14ac:dyDescent="0.25">
      <c r="N3447" s="514"/>
      <c r="R3447" s="293"/>
      <c r="S3447" s="316"/>
      <c r="T3447" s="355"/>
    </row>
    <row r="3448" spans="14:20" x14ac:dyDescent="0.25">
      <c r="N3448" s="514"/>
      <c r="R3448" s="293"/>
      <c r="S3448" s="316"/>
      <c r="T3448" s="355"/>
    </row>
    <row r="3449" spans="14:20" x14ac:dyDescent="0.25">
      <c r="N3449" s="514"/>
      <c r="R3449" s="293"/>
      <c r="S3449" s="316"/>
      <c r="T3449" s="355"/>
    </row>
    <row r="3450" spans="14:20" x14ac:dyDescent="0.25">
      <c r="N3450" s="514"/>
      <c r="R3450" s="293"/>
      <c r="S3450" s="316"/>
      <c r="T3450" s="355"/>
    </row>
    <row r="3451" spans="14:20" x14ac:dyDescent="0.25">
      <c r="N3451" s="514"/>
      <c r="R3451" s="293"/>
      <c r="S3451" s="316"/>
      <c r="T3451" s="355"/>
    </row>
    <row r="3452" spans="14:20" x14ac:dyDescent="0.25">
      <c r="N3452" s="514"/>
      <c r="R3452" s="293"/>
      <c r="S3452" s="316"/>
      <c r="T3452" s="355"/>
    </row>
    <row r="3453" spans="14:20" x14ac:dyDescent="0.25">
      <c r="N3453" s="514"/>
      <c r="R3453" s="293"/>
      <c r="S3453" s="316"/>
      <c r="T3453" s="355"/>
    </row>
    <row r="3454" spans="14:20" x14ac:dyDescent="0.25">
      <c r="N3454" s="514"/>
      <c r="R3454" s="293"/>
      <c r="S3454" s="316"/>
      <c r="T3454" s="355"/>
    </row>
    <row r="3455" spans="14:20" x14ac:dyDescent="0.25">
      <c r="N3455" s="514"/>
      <c r="R3455" s="293"/>
      <c r="S3455" s="316"/>
      <c r="T3455" s="355"/>
    </row>
    <row r="3456" spans="14:20" x14ac:dyDescent="0.25">
      <c r="N3456" s="514"/>
      <c r="R3456" s="293"/>
      <c r="S3456" s="316"/>
      <c r="T3456" s="355"/>
    </row>
    <row r="3457" spans="14:20" x14ac:dyDescent="0.25">
      <c r="N3457" s="514"/>
      <c r="R3457" s="293"/>
      <c r="S3457" s="316"/>
      <c r="T3457" s="355"/>
    </row>
    <row r="3458" spans="14:20" x14ac:dyDescent="0.25">
      <c r="N3458" s="514"/>
      <c r="R3458" s="293"/>
      <c r="S3458" s="316"/>
      <c r="T3458" s="355"/>
    </row>
    <row r="3459" spans="14:20" x14ac:dyDescent="0.25">
      <c r="N3459" s="514"/>
      <c r="R3459" s="293"/>
      <c r="S3459" s="316"/>
      <c r="T3459" s="355"/>
    </row>
    <row r="3460" spans="14:20" x14ac:dyDescent="0.25">
      <c r="N3460" s="514"/>
      <c r="R3460" s="293"/>
      <c r="S3460" s="316"/>
      <c r="T3460" s="355"/>
    </row>
    <row r="3461" spans="14:20" x14ac:dyDescent="0.25">
      <c r="N3461" s="514"/>
      <c r="R3461" s="293"/>
      <c r="S3461" s="316"/>
      <c r="T3461" s="355"/>
    </row>
    <row r="3462" spans="14:20" x14ac:dyDescent="0.25">
      <c r="N3462" s="514"/>
      <c r="R3462" s="293"/>
      <c r="S3462" s="316"/>
      <c r="T3462" s="355"/>
    </row>
    <row r="3463" spans="14:20" x14ac:dyDescent="0.25">
      <c r="N3463" s="514"/>
      <c r="R3463" s="293"/>
      <c r="S3463" s="316"/>
      <c r="T3463" s="355"/>
    </row>
    <row r="3464" spans="14:20" x14ac:dyDescent="0.25">
      <c r="N3464" s="514"/>
      <c r="R3464" s="293"/>
      <c r="S3464" s="316"/>
      <c r="T3464" s="355"/>
    </row>
    <row r="3465" spans="14:20" x14ac:dyDescent="0.25">
      <c r="N3465" s="514"/>
      <c r="R3465" s="293"/>
      <c r="S3465" s="316"/>
      <c r="T3465" s="355"/>
    </row>
    <row r="3466" spans="14:20" x14ac:dyDescent="0.25">
      <c r="N3466" s="514"/>
      <c r="R3466" s="293"/>
      <c r="S3466" s="316"/>
      <c r="T3466" s="355"/>
    </row>
    <row r="3467" spans="14:20" x14ac:dyDescent="0.25">
      <c r="N3467" s="514"/>
      <c r="R3467" s="293"/>
      <c r="S3467" s="316"/>
      <c r="T3467" s="355"/>
    </row>
    <row r="3468" spans="14:20" x14ac:dyDescent="0.25">
      <c r="N3468" s="514"/>
      <c r="R3468" s="293"/>
      <c r="S3468" s="316"/>
      <c r="T3468" s="355"/>
    </row>
    <row r="3469" spans="14:20" x14ac:dyDescent="0.25">
      <c r="N3469" s="514"/>
      <c r="R3469" s="293"/>
      <c r="S3469" s="316"/>
      <c r="T3469" s="355"/>
    </row>
    <row r="3470" spans="14:20" x14ac:dyDescent="0.25">
      <c r="N3470" s="514"/>
      <c r="R3470" s="293"/>
      <c r="S3470" s="316"/>
      <c r="T3470" s="355"/>
    </row>
    <row r="3471" spans="14:20" x14ac:dyDescent="0.25">
      <c r="N3471" s="514"/>
      <c r="R3471" s="293"/>
      <c r="S3471" s="316"/>
      <c r="T3471" s="355"/>
    </row>
    <row r="3472" spans="14:20" x14ac:dyDescent="0.25">
      <c r="N3472" s="514"/>
      <c r="R3472" s="293"/>
      <c r="S3472" s="316"/>
      <c r="T3472" s="355"/>
    </row>
    <row r="3473" spans="14:20" x14ac:dyDescent="0.25">
      <c r="N3473" s="514"/>
      <c r="R3473" s="293"/>
      <c r="S3473" s="316"/>
      <c r="T3473" s="355"/>
    </row>
    <row r="3474" spans="14:20" x14ac:dyDescent="0.25">
      <c r="N3474" s="514"/>
      <c r="R3474" s="293"/>
      <c r="S3474" s="316"/>
      <c r="T3474" s="355"/>
    </row>
    <row r="3475" spans="14:20" x14ac:dyDescent="0.25">
      <c r="N3475" s="514"/>
      <c r="R3475" s="293"/>
      <c r="S3475" s="316"/>
      <c r="T3475" s="355"/>
    </row>
    <row r="3476" spans="14:20" x14ac:dyDescent="0.25">
      <c r="N3476" s="514"/>
      <c r="R3476" s="293"/>
      <c r="S3476" s="316"/>
      <c r="T3476" s="355"/>
    </row>
    <row r="3477" spans="14:20" x14ac:dyDescent="0.25">
      <c r="N3477" s="514"/>
      <c r="R3477" s="293"/>
      <c r="S3477" s="316"/>
      <c r="T3477" s="355"/>
    </row>
    <row r="3478" spans="14:20" x14ac:dyDescent="0.25">
      <c r="N3478" s="514"/>
      <c r="R3478" s="293"/>
      <c r="S3478" s="316"/>
      <c r="T3478" s="355"/>
    </row>
    <row r="3479" spans="14:20" x14ac:dyDescent="0.25">
      <c r="N3479" s="514"/>
      <c r="R3479" s="293"/>
      <c r="S3479" s="316"/>
      <c r="T3479" s="355"/>
    </row>
    <row r="3480" spans="14:20" x14ac:dyDescent="0.25">
      <c r="N3480" s="514"/>
      <c r="R3480" s="293"/>
      <c r="S3480" s="316"/>
      <c r="T3480" s="355"/>
    </row>
    <row r="3481" spans="14:20" x14ac:dyDescent="0.25">
      <c r="N3481" s="514"/>
      <c r="R3481" s="293"/>
      <c r="S3481" s="316"/>
      <c r="T3481" s="355"/>
    </row>
    <row r="3482" spans="14:20" x14ac:dyDescent="0.25">
      <c r="N3482" s="514"/>
      <c r="R3482" s="293"/>
      <c r="S3482" s="316"/>
      <c r="T3482" s="355"/>
    </row>
    <row r="3483" spans="14:20" x14ac:dyDescent="0.25">
      <c r="N3483" s="514"/>
      <c r="R3483" s="293"/>
      <c r="S3483" s="316"/>
      <c r="T3483" s="355"/>
    </row>
    <row r="3484" spans="14:20" x14ac:dyDescent="0.25">
      <c r="N3484" s="514"/>
      <c r="R3484" s="293"/>
      <c r="S3484" s="316"/>
      <c r="T3484" s="355"/>
    </row>
    <row r="3485" spans="14:20" x14ac:dyDescent="0.25">
      <c r="N3485" s="514"/>
      <c r="R3485" s="293"/>
      <c r="S3485" s="316"/>
      <c r="T3485" s="355"/>
    </row>
    <row r="3486" spans="14:20" x14ac:dyDescent="0.25">
      <c r="N3486" s="514"/>
      <c r="R3486" s="293"/>
      <c r="S3486" s="316"/>
      <c r="T3486" s="355"/>
    </row>
    <row r="3487" spans="14:20" x14ac:dyDescent="0.25">
      <c r="N3487" s="514"/>
      <c r="R3487" s="293"/>
      <c r="S3487" s="316"/>
      <c r="T3487" s="355"/>
    </row>
    <row r="3488" spans="14:20" x14ac:dyDescent="0.25">
      <c r="N3488" s="514"/>
      <c r="R3488" s="293"/>
      <c r="S3488" s="316"/>
      <c r="T3488" s="355"/>
    </row>
    <row r="3489" spans="14:20" x14ac:dyDescent="0.25">
      <c r="N3489" s="514"/>
      <c r="R3489" s="293"/>
      <c r="S3489" s="316"/>
      <c r="T3489" s="355"/>
    </row>
    <row r="3490" spans="14:20" x14ac:dyDescent="0.25">
      <c r="N3490" s="514"/>
      <c r="R3490" s="293"/>
      <c r="S3490" s="316"/>
      <c r="T3490" s="355"/>
    </row>
    <row r="3491" spans="14:20" x14ac:dyDescent="0.25">
      <c r="N3491" s="514"/>
      <c r="R3491" s="293"/>
      <c r="S3491" s="316"/>
      <c r="T3491" s="355"/>
    </row>
    <row r="3492" spans="14:20" x14ac:dyDescent="0.25">
      <c r="N3492" s="514"/>
      <c r="R3492" s="293"/>
      <c r="S3492" s="316"/>
      <c r="T3492" s="355"/>
    </row>
    <row r="3493" spans="14:20" x14ac:dyDescent="0.25">
      <c r="N3493" s="514"/>
      <c r="R3493" s="293"/>
      <c r="S3493" s="316"/>
      <c r="T3493" s="355"/>
    </row>
    <row r="3494" spans="14:20" x14ac:dyDescent="0.25">
      <c r="N3494" s="514"/>
      <c r="R3494" s="293"/>
      <c r="S3494" s="316"/>
      <c r="T3494" s="355"/>
    </row>
    <row r="3495" spans="14:20" x14ac:dyDescent="0.25">
      <c r="N3495" s="514"/>
      <c r="R3495" s="293"/>
      <c r="S3495" s="316"/>
      <c r="T3495" s="355"/>
    </row>
    <row r="3496" spans="14:20" x14ac:dyDescent="0.25">
      <c r="N3496" s="514"/>
      <c r="R3496" s="293"/>
      <c r="S3496" s="316"/>
      <c r="T3496" s="355"/>
    </row>
    <row r="3497" spans="14:20" x14ac:dyDescent="0.25">
      <c r="N3497" s="514"/>
      <c r="R3497" s="293"/>
      <c r="S3497" s="316"/>
      <c r="T3497" s="355"/>
    </row>
    <row r="3498" spans="14:20" x14ac:dyDescent="0.25">
      <c r="N3498" s="514"/>
      <c r="R3498" s="293"/>
      <c r="S3498" s="316"/>
      <c r="T3498" s="355"/>
    </row>
    <row r="3499" spans="14:20" x14ac:dyDescent="0.25">
      <c r="N3499" s="514"/>
      <c r="R3499" s="293"/>
      <c r="S3499" s="316"/>
      <c r="T3499" s="355"/>
    </row>
    <row r="3500" spans="14:20" x14ac:dyDescent="0.25">
      <c r="N3500" s="514"/>
      <c r="R3500" s="293"/>
      <c r="S3500" s="316"/>
      <c r="T3500" s="355"/>
    </row>
    <row r="3501" spans="14:20" x14ac:dyDescent="0.25">
      <c r="N3501" s="514"/>
      <c r="R3501" s="293"/>
      <c r="S3501" s="316"/>
      <c r="T3501" s="355"/>
    </row>
    <row r="3502" spans="14:20" x14ac:dyDescent="0.25">
      <c r="N3502" s="514"/>
      <c r="R3502" s="293"/>
      <c r="S3502" s="316"/>
      <c r="T3502" s="355"/>
    </row>
    <row r="3503" spans="14:20" x14ac:dyDescent="0.25">
      <c r="N3503" s="514"/>
      <c r="R3503" s="293"/>
      <c r="S3503" s="316"/>
      <c r="T3503" s="355"/>
    </row>
    <row r="3504" spans="14:20" x14ac:dyDescent="0.25">
      <c r="N3504" s="514"/>
      <c r="R3504" s="293"/>
      <c r="S3504" s="316"/>
      <c r="T3504" s="355"/>
    </row>
    <row r="3505" spans="14:20" x14ac:dyDescent="0.25">
      <c r="N3505" s="514"/>
      <c r="R3505" s="293"/>
      <c r="S3505" s="316"/>
      <c r="T3505" s="355"/>
    </row>
    <row r="3506" spans="14:20" x14ac:dyDescent="0.25">
      <c r="N3506" s="514"/>
      <c r="R3506" s="293"/>
      <c r="S3506" s="316"/>
      <c r="T3506" s="355"/>
    </row>
    <row r="3507" spans="14:20" x14ac:dyDescent="0.25">
      <c r="N3507" s="514"/>
      <c r="R3507" s="293"/>
      <c r="S3507" s="316"/>
      <c r="T3507" s="355"/>
    </row>
    <row r="3508" spans="14:20" x14ac:dyDescent="0.25">
      <c r="N3508" s="514"/>
      <c r="R3508" s="293"/>
      <c r="S3508" s="316"/>
      <c r="T3508" s="355"/>
    </row>
    <row r="3509" spans="14:20" x14ac:dyDescent="0.25">
      <c r="N3509" s="514"/>
      <c r="R3509" s="293"/>
      <c r="S3509" s="316"/>
      <c r="T3509" s="355"/>
    </row>
    <row r="3510" spans="14:20" x14ac:dyDescent="0.25">
      <c r="N3510" s="514"/>
      <c r="R3510" s="293"/>
      <c r="S3510" s="316"/>
      <c r="T3510" s="355"/>
    </row>
    <row r="3511" spans="14:20" x14ac:dyDescent="0.25">
      <c r="N3511" s="514"/>
      <c r="R3511" s="293"/>
      <c r="S3511" s="316"/>
      <c r="T3511" s="355"/>
    </row>
    <row r="3512" spans="14:20" x14ac:dyDescent="0.25">
      <c r="N3512" s="514"/>
      <c r="R3512" s="293"/>
      <c r="S3512" s="316"/>
      <c r="T3512" s="355"/>
    </row>
    <row r="3513" spans="14:20" x14ac:dyDescent="0.25">
      <c r="N3513" s="514"/>
      <c r="R3513" s="293"/>
      <c r="S3513" s="316"/>
      <c r="T3513" s="355"/>
    </row>
    <row r="3514" spans="14:20" x14ac:dyDescent="0.25">
      <c r="N3514" s="514"/>
      <c r="R3514" s="293"/>
      <c r="S3514" s="316"/>
      <c r="T3514" s="355"/>
    </row>
    <row r="3515" spans="14:20" x14ac:dyDescent="0.25">
      <c r="N3515" s="514"/>
      <c r="R3515" s="293"/>
      <c r="S3515" s="316"/>
      <c r="T3515" s="355"/>
    </row>
    <row r="3516" spans="14:20" x14ac:dyDescent="0.25">
      <c r="N3516" s="514"/>
      <c r="R3516" s="293"/>
      <c r="S3516" s="316"/>
      <c r="T3516" s="355"/>
    </row>
    <row r="3517" spans="14:20" x14ac:dyDescent="0.25">
      <c r="N3517" s="514"/>
      <c r="R3517" s="293"/>
      <c r="S3517" s="316"/>
      <c r="T3517" s="355"/>
    </row>
    <row r="3518" spans="14:20" x14ac:dyDescent="0.25">
      <c r="N3518" s="514"/>
      <c r="R3518" s="293"/>
      <c r="S3518" s="316"/>
      <c r="T3518" s="355"/>
    </row>
    <row r="3519" spans="14:20" x14ac:dyDescent="0.25">
      <c r="N3519" s="514"/>
      <c r="R3519" s="293"/>
      <c r="S3519" s="316"/>
      <c r="T3519" s="355"/>
    </row>
    <row r="3520" spans="14:20" x14ac:dyDescent="0.25">
      <c r="N3520" s="514"/>
      <c r="R3520" s="293"/>
      <c r="S3520" s="316"/>
      <c r="T3520" s="355"/>
    </row>
    <row r="3521" spans="14:20" x14ac:dyDescent="0.25">
      <c r="N3521" s="514"/>
      <c r="R3521" s="293"/>
      <c r="S3521" s="316"/>
      <c r="T3521" s="355"/>
    </row>
    <row r="3522" spans="14:20" x14ac:dyDescent="0.25">
      <c r="N3522" s="514"/>
      <c r="R3522" s="293"/>
      <c r="S3522" s="316"/>
      <c r="T3522" s="355"/>
    </row>
    <row r="3523" spans="14:20" x14ac:dyDescent="0.25">
      <c r="N3523" s="514"/>
      <c r="R3523" s="293"/>
      <c r="S3523" s="316"/>
      <c r="T3523" s="355"/>
    </row>
    <row r="3524" spans="14:20" x14ac:dyDescent="0.25">
      <c r="N3524" s="514"/>
      <c r="R3524" s="293"/>
      <c r="S3524" s="316"/>
      <c r="T3524" s="355"/>
    </row>
    <row r="3525" spans="14:20" x14ac:dyDescent="0.25">
      <c r="N3525" s="514"/>
      <c r="R3525" s="293"/>
      <c r="S3525" s="316"/>
      <c r="T3525" s="355"/>
    </row>
    <row r="3526" spans="14:20" x14ac:dyDescent="0.25">
      <c r="N3526" s="514"/>
      <c r="R3526" s="293"/>
      <c r="S3526" s="316"/>
      <c r="T3526" s="355"/>
    </row>
    <row r="3527" spans="14:20" x14ac:dyDescent="0.25">
      <c r="N3527" s="514"/>
      <c r="R3527" s="293"/>
      <c r="S3527" s="316"/>
      <c r="T3527" s="355"/>
    </row>
    <row r="3528" spans="14:20" x14ac:dyDescent="0.25">
      <c r="N3528" s="514"/>
      <c r="R3528" s="293"/>
      <c r="S3528" s="316"/>
      <c r="T3528" s="355"/>
    </row>
    <row r="3529" spans="14:20" x14ac:dyDescent="0.25">
      <c r="N3529" s="514"/>
      <c r="R3529" s="293"/>
      <c r="S3529" s="316"/>
      <c r="T3529" s="355"/>
    </row>
    <row r="3530" spans="14:20" x14ac:dyDescent="0.25">
      <c r="N3530" s="514"/>
      <c r="R3530" s="293"/>
      <c r="S3530" s="316"/>
      <c r="T3530" s="355"/>
    </row>
    <row r="3531" spans="14:20" x14ac:dyDescent="0.25">
      <c r="N3531" s="514"/>
      <c r="R3531" s="293"/>
      <c r="S3531" s="316"/>
      <c r="T3531" s="355"/>
    </row>
    <row r="3532" spans="14:20" x14ac:dyDescent="0.25">
      <c r="N3532" s="514"/>
      <c r="R3532" s="293"/>
      <c r="S3532" s="316"/>
      <c r="T3532" s="355"/>
    </row>
    <row r="3533" spans="14:20" x14ac:dyDescent="0.25">
      <c r="N3533" s="514"/>
      <c r="R3533" s="293"/>
      <c r="S3533" s="316"/>
      <c r="T3533" s="355"/>
    </row>
    <row r="3534" spans="14:20" x14ac:dyDescent="0.25">
      <c r="N3534" s="514"/>
      <c r="R3534" s="293"/>
      <c r="S3534" s="316"/>
      <c r="T3534" s="355"/>
    </row>
    <row r="3535" spans="14:20" x14ac:dyDescent="0.25">
      <c r="N3535" s="514"/>
      <c r="R3535" s="293"/>
      <c r="S3535" s="316"/>
      <c r="T3535" s="355"/>
    </row>
    <row r="3536" spans="14:20" x14ac:dyDescent="0.25">
      <c r="N3536" s="514"/>
      <c r="R3536" s="293"/>
      <c r="S3536" s="316"/>
      <c r="T3536" s="355"/>
    </row>
    <row r="3537" spans="14:20" x14ac:dyDescent="0.25">
      <c r="N3537" s="514"/>
      <c r="R3537" s="293"/>
      <c r="S3537" s="316"/>
      <c r="T3537" s="355"/>
    </row>
    <row r="3538" spans="14:20" x14ac:dyDescent="0.25">
      <c r="N3538" s="514"/>
      <c r="R3538" s="293"/>
      <c r="S3538" s="316"/>
      <c r="T3538" s="355"/>
    </row>
    <row r="3539" spans="14:20" x14ac:dyDescent="0.25">
      <c r="N3539" s="514"/>
      <c r="R3539" s="293"/>
      <c r="S3539" s="316"/>
      <c r="T3539" s="355"/>
    </row>
    <row r="3540" spans="14:20" x14ac:dyDescent="0.25">
      <c r="N3540" s="514"/>
      <c r="R3540" s="293"/>
      <c r="S3540" s="316"/>
      <c r="T3540" s="355"/>
    </row>
    <row r="3541" spans="14:20" x14ac:dyDescent="0.25">
      <c r="N3541" s="514"/>
      <c r="R3541" s="293"/>
      <c r="S3541" s="316"/>
      <c r="T3541" s="355"/>
    </row>
    <row r="3542" spans="14:20" x14ac:dyDescent="0.25">
      <c r="N3542" s="514"/>
      <c r="R3542" s="293"/>
      <c r="S3542" s="316"/>
      <c r="T3542" s="355"/>
    </row>
    <row r="3543" spans="14:20" x14ac:dyDescent="0.25">
      <c r="N3543" s="514"/>
      <c r="R3543" s="293"/>
      <c r="S3543" s="316"/>
      <c r="T3543" s="355"/>
    </row>
    <row r="3544" spans="14:20" x14ac:dyDescent="0.25">
      <c r="N3544" s="514"/>
      <c r="R3544" s="293"/>
      <c r="S3544" s="316"/>
      <c r="T3544" s="355"/>
    </row>
    <row r="3545" spans="14:20" x14ac:dyDescent="0.25">
      <c r="N3545" s="514"/>
      <c r="R3545" s="293"/>
      <c r="S3545" s="316"/>
      <c r="T3545" s="355"/>
    </row>
    <row r="3546" spans="14:20" x14ac:dyDescent="0.25">
      <c r="N3546" s="514"/>
      <c r="R3546" s="293"/>
      <c r="S3546" s="316"/>
      <c r="T3546" s="355"/>
    </row>
    <row r="3547" spans="14:20" x14ac:dyDescent="0.25">
      <c r="N3547" s="514"/>
      <c r="R3547" s="293"/>
      <c r="S3547" s="316"/>
      <c r="T3547" s="355"/>
    </row>
    <row r="3548" spans="14:20" x14ac:dyDescent="0.25">
      <c r="N3548" s="514"/>
      <c r="R3548" s="293"/>
      <c r="S3548" s="316"/>
      <c r="T3548" s="355"/>
    </row>
    <row r="3549" spans="14:20" x14ac:dyDescent="0.25">
      <c r="N3549" s="514"/>
      <c r="R3549" s="293"/>
      <c r="S3549" s="316"/>
      <c r="T3549" s="355"/>
    </row>
    <row r="3550" spans="14:20" x14ac:dyDescent="0.25">
      <c r="N3550" s="514"/>
      <c r="R3550" s="293"/>
      <c r="S3550" s="316"/>
      <c r="T3550" s="355"/>
    </row>
    <row r="3551" spans="14:20" x14ac:dyDescent="0.25">
      <c r="N3551" s="514"/>
      <c r="R3551" s="293"/>
      <c r="S3551" s="316"/>
      <c r="T3551" s="355"/>
    </row>
    <row r="3552" spans="14:20" x14ac:dyDescent="0.25">
      <c r="N3552" s="514"/>
      <c r="R3552" s="293"/>
      <c r="S3552" s="316"/>
      <c r="T3552" s="355"/>
    </row>
    <row r="3553" spans="14:20" x14ac:dyDescent="0.25">
      <c r="N3553" s="514"/>
      <c r="R3553" s="293"/>
      <c r="S3553" s="316"/>
      <c r="T3553" s="355"/>
    </row>
    <row r="3554" spans="14:20" x14ac:dyDescent="0.25">
      <c r="N3554" s="514"/>
      <c r="R3554" s="293"/>
      <c r="S3554" s="316"/>
      <c r="T3554" s="355"/>
    </row>
    <row r="3555" spans="14:20" x14ac:dyDescent="0.25">
      <c r="N3555" s="514"/>
      <c r="R3555" s="293"/>
      <c r="S3555" s="316"/>
      <c r="T3555" s="355"/>
    </row>
    <row r="3556" spans="14:20" x14ac:dyDescent="0.25">
      <c r="N3556" s="514"/>
      <c r="R3556" s="293"/>
      <c r="S3556" s="316"/>
      <c r="T3556" s="355"/>
    </row>
    <row r="3557" spans="14:20" x14ac:dyDescent="0.25">
      <c r="N3557" s="514"/>
      <c r="R3557" s="293"/>
      <c r="S3557" s="316"/>
      <c r="T3557" s="355"/>
    </row>
    <row r="3558" spans="14:20" x14ac:dyDescent="0.25">
      <c r="N3558" s="514"/>
      <c r="R3558" s="293"/>
      <c r="S3558" s="316"/>
      <c r="T3558" s="355"/>
    </row>
    <row r="3559" spans="14:20" x14ac:dyDescent="0.25">
      <c r="N3559" s="514"/>
      <c r="R3559" s="293"/>
      <c r="S3559" s="316"/>
      <c r="T3559" s="355"/>
    </row>
    <row r="3560" spans="14:20" x14ac:dyDescent="0.25">
      <c r="N3560" s="514"/>
      <c r="R3560" s="293"/>
      <c r="S3560" s="316"/>
      <c r="T3560" s="355"/>
    </row>
    <row r="3561" spans="14:20" x14ac:dyDescent="0.25">
      <c r="N3561" s="514"/>
      <c r="R3561" s="293"/>
      <c r="S3561" s="316"/>
      <c r="T3561" s="355"/>
    </row>
    <row r="3562" spans="14:20" x14ac:dyDescent="0.25">
      <c r="N3562" s="514"/>
      <c r="R3562" s="293"/>
      <c r="S3562" s="316"/>
      <c r="T3562" s="355"/>
    </row>
    <row r="3563" spans="14:20" x14ac:dyDescent="0.25">
      <c r="N3563" s="514"/>
      <c r="R3563" s="293"/>
      <c r="S3563" s="316"/>
      <c r="T3563" s="355"/>
    </row>
    <row r="3564" spans="14:20" x14ac:dyDescent="0.25">
      <c r="N3564" s="514"/>
      <c r="R3564" s="293"/>
      <c r="S3564" s="316"/>
      <c r="T3564" s="355"/>
    </row>
    <row r="3565" spans="14:20" x14ac:dyDescent="0.25">
      <c r="N3565" s="514"/>
      <c r="R3565" s="293"/>
      <c r="S3565" s="316"/>
      <c r="T3565" s="355"/>
    </row>
    <row r="3566" spans="14:20" x14ac:dyDescent="0.25">
      <c r="N3566" s="514"/>
      <c r="R3566" s="293"/>
      <c r="S3566" s="316"/>
      <c r="T3566" s="355"/>
    </row>
    <row r="3567" spans="14:20" x14ac:dyDescent="0.25">
      <c r="N3567" s="514"/>
      <c r="R3567" s="293"/>
      <c r="S3567" s="316"/>
      <c r="T3567" s="355"/>
    </row>
    <row r="3568" spans="14:20" x14ac:dyDescent="0.25">
      <c r="N3568" s="514"/>
      <c r="R3568" s="293"/>
      <c r="S3568" s="316"/>
      <c r="T3568" s="355"/>
    </row>
    <row r="3569" spans="14:20" x14ac:dyDescent="0.25">
      <c r="N3569" s="514"/>
      <c r="R3569" s="293"/>
      <c r="S3569" s="316"/>
      <c r="T3569" s="355"/>
    </row>
    <row r="3570" spans="14:20" x14ac:dyDescent="0.25">
      <c r="N3570" s="514"/>
      <c r="R3570" s="293"/>
      <c r="S3570" s="316"/>
      <c r="T3570" s="355"/>
    </row>
    <row r="3571" spans="14:20" x14ac:dyDescent="0.25">
      <c r="N3571" s="514"/>
      <c r="R3571" s="293"/>
      <c r="S3571" s="316"/>
      <c r="T3571" s="355"/>
    </row>
    <row r="3572" spans="14:20" x14ac:dyDescent="0.25">
      <c r="N3572" s="514"/>
      <c r="R3572" s="293"/>
      <c r="S3572" s="316"/>
      <c r="T3572" s="355"/>
    </row>
    <row r="3573" spans="14:20" x14ac:dyDescent="0.25">
      <c r="N3573" s="514"/>
      <c r="R3573" s="293"/>
      <c r="S3573" s="316"/>
      <c r="T3573" s="355"/>
    </row>
    <row r="3574" spans="14:20" x14ac:dyDescent="0.25">
      <c r="N3574" s="514"/>
      <c r="R3574" s="293"/>
      <c r="S3574" s="316"/>
      <c r="T3574" s="355"/>
    </row>
    <row r="3575" spans="14:20" x14ac:dyDescent="0.25">
      <c r="N3575" s="514"/>
      <c r="R3575" s="293"/>
      <c r="S3575" s="316"/>
      <c r="T3575" s="355"/>
    </row>
    <row r="3576" spans="14:20" x14ac:dyDescent="0.25">
      <c r="N3576" s="514"/>
      <c r="R3576" s="293"/>
      <c r="S3576" s="316"/>
      <c r="T3576" s="355"/>
    </row>
    <row r="3577" spans="14:20" x14ac:dyDescent="0.25">
      <c r="N3577" s="514"/>
      <c r="R3577" s="293"/>
      <c r="S3577" s="316"/>
      <c r="T3577" s="355"/>
    </row>
    <row r="3578" spans="14:20" x14ac:dyDescent="0.25">
      <c r="N3578" s="514"/>
      <c r="R3578" s="293"/>
      <c r="S3578" s="316"/>
      <c r="T3578" s="355"/>
    </row>
    <row r="3579" spans="14:20" x14ac:dyDescent="0.25">
      <c r="N3579" s="514"/>
      <c r="R3579" s="293"/>
      <c r="S3579" s="316"/>
      <c r="T3579" s="355"/>
    </row>
    <row r="3580" spans="14:20" x14ac:dyDescent="0.25">
      <c r="N3580" s="514"/>
      <c r="R3580" s="293"/>
      <c r="S3580" s="316"/>
      <c r="T3580" s="355"/>
    </row>
    <row r="3581" spans="14:20" x14ac:dyDescent="0.25">
      <c r="N3581" s="514"/>
      <c r="R3581" s="293"/>
      <c r="S3581" s="316"/>
      <c r="T3581" s="355"/>
    </row>
    <row r="3582" spans="14:20" x14ac:dyDescent="0.25">
      <c r="N3582" s="514"/>
      <c r="R3582" s="293"/>
      <c r="S3582" s="316"/>
      <c r="T3582" s="355"/>
    </row>
    <row r="3583" spans="14:20" x14ac:dyDescent="0.25">
      <c r="N3583" s="514"/>
      <c r="R3583" s="293"/>
      <c r="S3583" s="316"/>
      <c r="T3583" s="355"/>
    </row>
    <row r="3584" spans="14:20" x14ac:dyDescent="0.25">
      <c r="N3584" s="514"/>
      <c r="R3584" s="293"/>
      <c r="S3584" s="316"/>
      <c r="T3584" s="355"/>
    </row>
    <row r="3585" spans="14:20" x14ac:dyDescent="0.25">
      <c r="N3585" s="514"/>
      <c r="R3585" s="293"/>
      <c r="S3585" s="316"/>
      <c r="T3585" s="355"/>
    </row>
    <row r="3586" spans="14:20" x14ac:dyDescent="0.25">
      <c r="N3586" s="514"/>
      <c r="R3586" s="293"/>
      <c r="S3586" s="316"/>
      <c r="T3586" s="355"/>
    </row>
    <row r="3587" spans="14:20" x14ac:dyDescent="0.25">
      <c r="N3587" s="514"/>
      <c r="R3587" s="293"/>
      <c r="S3587" s="316"/>
      <c r="T3587" s="355"/>
    </row>
    <row r="3588" spans="14:20" x14ac:dyDescent="0.25">
      <c r="N3588" s="514"/>
      <c r="R3588" s="293"/>
      <c r="S3588" s="316"/>
      <c r="T3588" s="355"/>
    </row>
    <row r="3589" spans="14:20" x14ac:dyDescent="0.25">
      <c r="N3589" s="514"/>
      <c r="R3589" s="293"/>
      <c r="S3589" s="316"/>
      <c r="T3589" s="355"/>
    </row>
    <row r="3590" spans="14:20" x14ac:dyDescent="0.25">
      <c r="N3590" s="514"/>
      <c r="R3590" s="293"/>
      <c r="S3590" s="316"/>
      <c r="T3590" s="355"/>
    </row>
    <row r="3591" spans="14:20" x14ac:dyDescent="0.25">
      <c r="N3591" s="514"/>
      <c r="R3591" s="293"/>
      <c r="S3591" s="316"/>
      <c r="T3591" s="355"/>
    </row>
    <row r="3592" spans="14:20" x14ac:dyDescent="0.25">
      <c r="N3592" s="514"/>
      <c r="R3592" s="293"/>
      <c r="S3592" s="316"/>
      <c r="T3592" s="355"/>
    </row>
    <row r="3593" spans="14:20" x14ac:dyDescent="0.25">
      <c r="N3593" s="514"/>
      <c r="R3593" s="293"/>
      <c r="S3593" s="316"/>
      <c r="T3593" s="355"/>
    </row>
    <row r="3594" spans="14:20" x14ac:dyDescent="0.25">
      <c r="N3594" s="514"/>
      <c r="R3594" s="293"/>
      <c r="S3594" s="316"/>
      <c r="T3594" s="355"/>
    </row>
    <row r="3595" spans="14:20" x14ac:dyDescent="0.25">
      <c r="N3595" s="514"/>
      <c r="R3595" s="293"/>
      <c r="S3595" s="316"/>
      <c r="T3595" s="355"/>
    </row>
    <row r="3596" spans="14:20" x14ac:dyDescent="0.25">
      <c r="N3596" s="514"/>
      <c r="R3596" s="293"/>
      <c r="S3596" s="316"/>
      <c r="T3596" s="355"/>
    </row>
    <row r="3597" spans="14:20" x14ac:dyDescent="0.25">
      <c r="N3597" s="514"/>
      <c r="R3597" s="293"/>
      <c r="S3597" s="316"/>
      <c r="T3597" s="355"/>
    </row>
    <row r="3598" spans="14:20" x14ac:dyDescent="0.25">
      <c r="N3598" s="514"/>
      <c r="R3598" s="293"/>
      <c r="S3598" s="316"/>
      <c r="T3598" s="355"/>
    </row>
    <row r="3599" spans="14:20" x14ac:dyDescent="0.25">
      <c r="N3599" s="514"/>
      <c r="R3599" s="293"/>
      <c r="S3599" s="316"/>
      <c r="T3599" s="355"/>
    </row>
    <row r="3600" spans="14:20" x14ac:dyDescent="0.25">
      <c r="N3600" s="514"/>
      <c r="R3600" s="293"/>
      <c r="S3600" s="316"/>
      <c r="T3600" s="355"/>
    </row>
    <row r="3601" spans="14:20" x14ac:dyDescent="0.25">
      <c r="N3601" s="514"/>
      <c r="R3601" s="293"/>
      <c r="S3601" s="316"/>
      <c r="T3601" s="355"/>
    </row>
    <row r="3602" spans="14:20" x14ac:dyDescent="0.25">
      <c r="N3602" s="514"/>
      <c r="R3602" s="293"/>
      <c r="S3602" s="316"/>
      <c r="T3602" s="355"/>
    </row>
    <row r="3603" spans="14:20" x14ac:dyDescent="0.25">
      <c r="N3603" s="514"/>
      <c r="R3603" s="293"/>
      <c r="S3603" s="316"/>
      <c r="T3603" s="355"/>
    </row>
    <row r="3604" spans="14:20" x14ac:dyDescent="0.25">
      <c r="N3604" s="514"/>
      <c r="R3604" s="293"/>
      <c r="S3604" s="316"/>
      <c r="T3604" s="355"/>
    </row>
    <row r="3605" spans="14:20" x14ac:dyDescent="0.25">
      <c r="N3605" s="514"/>
      <c r="R3605" s="293"/>
      <c r="S3605" s="316"/>
      <c r="T3605" s="355"/>
    </row>
    <row r="3606" spans="14:20" x14ac:dyDescent="0.25">
      <c r="N3606" s="514"/>
      <c r="R3606" s="293"/>
      <c r="S3606" s="316"/>
      <c r="T3606" s="355"/>
    </row>
    <row r="3607" spans="14:20" x14ac:dyDescent="0.25">
      <c r="N3607" s="514"/>
      <c r="R3607" s="293"/>
      <c r="S3607" s="316"/>
      <c r="T3607" s="355"/>
    </row>
    <row r="3608" spans="14:20" x14ac:dyDescent="0.25">
      <c r="N3608" s="514"/>
      <c r="R3608" s="293"/>
      <c r="S3608" s="316"/>
      <c r="T3608" s="355"/>
    </row>
    <row r="3609" spans="14:20" x14ac:dyDescent="0.25">
      <c r="N3609" s="514"/>
      <c r="R3609" s="293"/>
      <c r="S3609" s="316"/>
      <c r="T3609" s="355"/>
    </row>
    <row r="3610" spans="14:20" x14ac:dyDescent="0.25">
      <c r="N3610" s="514"/>
      <c r="R3610" s="293"/>
      <c r="S3610" s="316"/>
      <c r="T3610" s="355"/>
    </row>
    <row r="3611" spans="14:20" x14ac:dyDescent="0.25">
      <c r="N3611" s="514"/>
      <c r="R3611" s="293"/>
      <c r="S3611" s="316"/>
      <c r="T3611" s="355"/>
    </row>
    <row r="3612" spans="14:20" x14ac:dyDescent="0.25">
      <c r="N3612" s="514"/>
      <c r="R3612" s="293"/>
      <c r="S3612" s="316"/>
      <c r="T3612" s="355"/>
    </row>
    <row r="3613" spans="14:20" x14ac:dyDescent="0.25">
      <c r="N3613" s="514"/>
      <c r="R3613" s="293"/>
      <c r="S3613" s="316"/>
      <c r="T3613" s="355"/>
    </row>
    <row r="3614" spans="14:20" x14ac:dyDescent="0.25">
      <c r="N3614" s="514"/>
      <c r="R3614" s="293"/>
      <c r="S3614" s="316"/>
      <c r="T3614" s="355"/>
    </row>
    <row r="3615" spans="14:20" x14ac:dyDescent="0.25">
      <c r="N3615" s="514"/>
      <c r="R3615" s="293"/>
      <c r="S3615" s="316"/>
      <c r="T3615" s="355"/>
    </row>
    <row r="3616" spans="14:20" x14ac:dyDescent="0.25">
      <c r="N3616" s="514"/>
      <c r="R3616" s="293"/>
      <c r="S3616" s="316"/>
      <c r="T3616" s="355"/>
    </row>
    <row r="3617" spans="14:20" x14ac:dyDescent="0.25">
      <c r="N3617" s="514"/>
      <c r="R3617" s="293"/>
      <c r="S3617" s="316"/>
      <c r="T3617" s="355"/>
    </row>
    <row r="3618" spans="14:20" x14ac:dyDescent="0.25">
      <c r="N3618" s="514"/>
      <c r="R3618" s="293"/>
      <c r="S3618" s="316"/>
      <c r="T3618" s="355"/>
    </row>
    <row r="3619" spans="14:20" x14ac:dyDescent="0.25">
      <c r="N3619" s="514"/>
      <c r="R3619" s="293"/>
      <c r="S3619" s="316"/>
      <c r="T3619" s="355"/>
    </row>
    <row r="3620" spans="14:20" x14ac:dyDescent="0.25">
      <c r="N3620" s="514"/>
      <c r="R3620" s="293"/>
      <c r="S3620" s="316"/>
      <c r="T3620" s="355"/>
    </row>
    <row r="3621" spans="14:20" x14ac:dyDescent="0.25">
      <c r="N3621" s="514"/>
      <c r="R3621" s="293"/>
      <c r="S3621" s="316"/>
      <c r="T3621" s="355"/>
    </row>
    <row r="3622" spans="14:20" x14ac:dyDescent="0.25">
      <c r="N3622" s="514"/>
      <c r="R3622" s="293"/>
      <c r="S3622" s="316"/>
      <c r="T3622" s="355"/>
    </row>
    <row r="3623" spans="14:20" x14ac:dyDescent="0.25">
      <c r="N3623" s="514"/>
      <c r="R3623" s="293"/>
      <c r="S3623" s="316"/>
      <c r="T3623" s="355"/>
    </row>
    <row r="3624" spans="14:20" x14ac:dyDescent="0.25">
      <c r="N3624" s="514"/>
      <c r="R3624" s="293"/>
      <c r="S3624" s="316"/>
      <c r="T3624" s="355"/>
    </row>
    <row r="3625" spans="14:20" x14ac:dyDescent="0.25">
      <c r="N3625" s="514"/>
      <c r="R3625" s="293"/>
      <c r="S3625" s="316"/>
      <c r="T3625" s="355"/>
    </row>
    <row r="3626" spans="14:20" x14ac:dyDescent="0.25">
      <c r="N3626" s="514"/>
      <c r="R3626" s="293"/>
      <c r="S3626" s="316"/>
      <c r="T3626" s="355"/>
    </row>
    <row r="3627" spans="14:20" x14ac:dyDescent="0.25">
      <c r="N3627" s="514"/>
      <c r="R3627" s="293"/>
      <c r="S3627" s="316"/>
      <c r="T3627" s="355"/>
    </row>
    <row r="3628" spans="14:20" x14ac:dyDescent="0.25">
      <c r="N3628" s="514"/>
      <c r="R3628" s="293"/>
      <c r="S3628" s="316"/>
      <c r="T3628" s="355"/>
    </row>
    <row r="3629" spans="14:20" x14ac:dyDescent="0.25">
      <c r="N3629" s="514"/>
      <c r="R3629" s="293"/>
      <c r="S3629" s="316"/>
      <c r="T3629" s="355"/>
    </row>
    <row r="3630" spans="14:20" x14ac:dyDescent="0.25">
      <c r="N3630" s="514"/>
      <c r="R3630" s="293"/>
      <c r="S3630" s="316"/>
      <c r="T3630" s="355"/>
    </row>
    <row r="3631" spans="14:20" x14ac:dyDescent="0.25">
      <c r="N3631" s="514"/>
      <c r="R3631" s="293"/>
      <c r="S3631" s="316"/>
      <c r="T3631" s="355"/>
    </row>
    <row r="3632" spans="14:20" x14ac:dyDescent="0.25">
      <c r="N3632" s="514"/>
      <c r="R3632" s="293"/>
      <c r="S3632" s="316"/>
      <c r="T3632" s="355"/>
    </row>
    <row r="3633" spans="14:20" x14ac:dyDescent="0.25">
      <c r="N3633" s="514"/>
      <c r="R3633" s="293"/>
      <c r="S3633" s="316"/>
      <c r="T3633" s="355"/>
    </row>
    <row r="3634" spans="14:20" x14ac:dyDescent="0.25">
      <c r="N3634" s="514"/>
      <c r="R3634" s="293"/>
      <c r="S3634" s="316"/>
      <c r="T3634" s="355"/>
    </row>
    <row r="3635" spans="14:20" x14ac:dyDescent="0.25">
      <c r="N3635" s="514"/>
      <c r="R3635" s="293"/>
      <c r="S3635" s="316"/>
      <c r="T3635" s="355"/>
    </row>
    <row r="3636" spans="14:20" x14ac:dyDescent="0.25">
      <c r="N3636" s="514"/>
      <c r="R3636" s="293"/>
      <c r="S3636" s="316"/>
      <c r="T3636" s="355"/>
    </row>
    <row r="3637" spans="14:20" x14ac:dyDescent="0.25">
      <c r="N3637" s="514"/>
      <c r="R3637" s="293"/>
      <c r="S3637" s="316"/>
      <c r="T3637" s="355"/>
    </row>
    <row r="3638" spans="14:20" x14ac:dyDescent="0.25">
      <c r="N3638" s="514"/>
      <c r="R3638" s="293"/>
      <c r="S3638" s="316"/>
      <c r="T3638" s="355"/>
    </row>
    <row r="3639" spans="14:20" x14ac:dyDescent="0.25">
      <c r="N3639" s="514"/>
      <c r="R3639" s="293"/>
      <c r="S3639" s="316"/>
      <c r="T3639" s="355"/>
    </row>
    <row r="3640" spans="14:20" x14ac:dyDescent="0.25">
      <c r="N3640" s="514"/>
      <c r="R3640" s="293"/>
      <c r="S3640" s="316"/>
      <c r="T3640" s="355"/>
    </row>
    <row r="3641" spans="14:20" x14ac:dyDescent="0.25">
      <c r="N3641" s="514"/>
      <c r="R3641" s="293"/>
      <c r="S3641" s="316"/>
      <c r="T3641" s="355"/>
    </row>
    <row r="3642" spans="14:20" x14ac:dyDescent="0.25">
      <c r="N3642" s="514"/>
      <c r="R3642" s="293"/>
      <c r="S3642" s="316"/>
      <c r="T3642" s="355"/>
    </row>
    <row r="3643" spans="14:20" x14ac:dyDescent="0.25">
      <c r="N3643" s="514"/>
      <c r="R3643" s="293"/>
      <c r="S3643" s="316"/>
      <c r="T3643" s="355"/>
    </row>
    <row r="3644" spans="14:20" x14ac:dyDescent="0.25">
      <c r="N3644" s="514"/>
      <c r="R3644" s="293"/>
      <c r="S3644" s="316"/>
      <c r="T3644" s="355"/>
    </row>
    <row r="3645" spans="14:20" x14ac:dyDescent="0.25">
      <c r="N3645" s="514"/>
      <c r="R3645" s="293"/>
      <c r="S3645" s="316"/>
      <c r="T3645" s="355"/>
    </row>
    <row r="3646" spans="14:20" x14ac:dyDescent="0.25">
      <c r="N3646" s="514"/>
      <c r="R3646" s="293"/>
      <c r="S3646" s="316"/>
      <c r="T3646" s="355"/>
    </row>
    <row r="3647" spans="14:20" x14ac:dyDescent="0.25">
      <c r="N3647" s="514"/>
      <c r="R3647" s="293"/>
      <c r="S3647" s="316"/>
      <c r="T3647" s="355"/>
    </row>
    <row r="3648" spans="14:20" x14ac:dyDescent="0.25">
      <c r="N3648" s="514"/>
      <c r="R3648" s="293"/>
      <c r="S3648" s="316"/>
      <c r="T3648" s="355"/>
    </row>
    <row r="3649" spans="14:20" x14ac:dyDescent="0.25">
      <c r="N3649" s="514"/>
      <c r="R3649" s="293"/>
      <c r="S3649" s="316"/>
      <c r="T3649" s="355"/>
    </row>
    <row r="3650" spans="14:20" x14ac:dyDescent="0.25">
      <c r="N3650" s="514"/>
      <c r="R3650" s="293"/>
      <c r="S3650" s="316"/>
      <c r="T3650" s="355"/>
    </row>
    <row r="3651" spans="14:20" x14ac:dyDescent="0.25">
      <c r="N3651" s="514"/>
      <c r="R3651" s="293"/>
      <c r="S3651" s="316"/>
      <c r="T3651" s="355"/>
    </row>
    <row r="3652" spans="14:20" x14ac:dyDescent="0.25">
      <c r="N3652" s="514"/>
      <c r="R3652" s="293"/>
      <c r="S3652" s="316"/>
      <c r="T3652" s="355"/>
    </row>
    <row r="3653" spans="14:20" x14ac:dyDescent="0.25">
      <c r="N3653" s="514"/>
      <c r="R3653" s="293"/>
      <c r="S3653" s="316"/>
      <c r="T3653" s="355"/>
    </row>
    <row r="3654" spans="14:20" x14ac:dyDescent="0.25">
      <c r="N3654" s="514"/>
      <c r="R3654" s="293"/>
      <c r="S3654" s="316"/>
      <c r="T3654" s="355"/>
    </row>
    <row r="3655" spans="14:20" x14ac:dyDescent="0.25">
      <c r="N3655" s="514"/>
      <c r="R3655" s="293"/>
      <c r="S3655" s="316"/>
      <c r="T3655" s="355"/>
    </row>
    <row r="3656" spans="14:20" x14ac:dyDescent="0.25">
      <c r="N3656" s="514"/>
      <c r="R3656" s="293"/>
      <c r="S3656" s="316"/>
      <c r="T3656" s="355"/>
    </row>
    <row r="3657" spans="14:20" x14ac:dyDescent="0.25">
      <c r="N3657" s="514"/>
      <c r="R3657" s="293"/>
      <c r="S3657" s="316"/>
      <c r="T3657" s="355"/>
    </row>
    <row r="3658" spans="14:20" x14ac:dyDescent="0.25">
      <c r="N3658" s="514"/>
      <c r="R3658" s="293"/>
      <c r="S3658" s="316"/>
      <c r="T3658" s="355"/>
    </row>
    <row r="3659" spans="14:20" x14ac:dyDescent="0.25">
      <c r="N3659" s="514"/>
      <c r="R3659" s="293"/>
      <c r="S3659" s="316"/>
      <c r="T3659" s="355"/>
    </row>
    <row r="3660" spans="14:20" x14ac:dyDescent="0.25">
      <c r="N3660" s="514"/>
      <c r="R3660" s="293"/>
      <c r="S3660" s="316"/>
      <c r="T3660" s="355"/>
    </row>
    <row r="3661" spans="14:20" x14ac:dyDescent="0.25">
      <c r="N3661" s="514"/>
      <c r="R3661" s="293"/>
      <c r="S3661" s="316"/>
      <c r="T3661" s="355"/>
    </row>
    <row r="3662" spans="14:20" x14ac:dyDescent="0.25">
      <c r="N3662" s="514"/>
      <c r="R3662" s="293"/>
      <c r="S3662" s="316"/>
      <c r="T3662" s="355"/>
    </row>
    <row r="3663" spans="14:20" x14ac:dyDescent="0.25">
      <c r="N3663" s="514"/>
      <c r="R3663" s="293"/>
      <c r="S3663" s="316"/>
      <c r="T3663" s="355"/>
    </row>
    <row r="3664" spans="14:20" x14ac:dyDescent="0.25">
      <c r="N3664" s="514"/>
      <c r="R3664" s="293"/>
      <c r="S3664" s="316"/>
      <c r="T3664" s="355"/>
    </row>
    <row r="3665" spans="14:20" x14ac:dyDescent="0.25">
      <c r="N3665" s="514"/>
      <c r="R3665" s="293"/>
      <c r="S3665" s="316"/>
      <c r="T3665" s="355"/>
    </row>
    <row r="3666" spans="14:20" x14ac:dyDescent="0.25">
      <c r="N3666" s="514"/>
      <c r="R3666" s="293"/>
      <c r="S3666" s="316"/>
      <c r="T3666" s="355"/>
    </row>
    <row r="3667" spans="14:20" x14ac:dyDescent="0.25">
      <c r="N3667" s="514"/>
      <c r="R3667" s="293"/>
      <c r="S3667" s="316"/>
      <c r="T3667" s="355"/>
    </row>
    <row r="3668" spans="14:20" x14ac:dyDescent="0.25">
      <c r="N3668" s="514"/>
      <c r="R3668" s="293"/>
      <c r="S3668" s="316"/>
      <c r="T3668" s="355"/>
    </row>
    <row r="3669" spans="14:20" x14ac:dyDescent="0.25">
      <c r="N3669" s="514"/>
      <c r="R3669" s="293"/>
      <c r="S3669" s="316"/>
      <c r="T3669" s="355"/>
    </row>
    <row r="3670" spans="14:20" x14ac:dyDescent="0.25">
      <c r="N3670" s="514"/>
      <c r="R3670" s="293"/>
      <c r="S3670" s="316"/>
      <c r="T3670" s="355"/>
    </row>
    <row r="3671" spans="14:20" x14ac:dyDescent="0.25">
      <c r="N3671" s="514"/>
      <c r="R3671" s="293"/>
      <c r="S3671" s="316"/>
      <c r="T3671" s="355"/>
    </row>
    <row r="3672" spans="14:20" x14ac:dyDescent="0.25">
      <c r="N3672" s="514"/>
      <c r="R3672" s="293"/>
      <c r="S3672" s="316"/>
      <c r="T3672" s="355"/>
    </row>
    <row r="3673" spans="14:20" x14ac:dyDescent="0.25">
      <c r="N3673" s="514"/>
      <c r="R3673" s="293"/>
      <c r="S3673" s="316"/>
      <c r="T3673" s="355"/>
    </row>
    <row r="3674" spans="14:20" x14ac:dyDescent="0.25">
      <c r="N3674" s="514"/>
      <c r="R3674" s="293"/>
      <c r="S3674" s="316"/>
      <c r="T3674" s="355"/>
    </row>
    <row r="3675" spans="14:20" x14ac:dyDescent="0.25">
      <c r="N3675" s="514"/>
      <c r="R3675" s="293"/>
      <c r="S3675" s="316"/>
      <c r="T3675" s="355"/>
    </row>
    <row r="3676" spans="14:20" x14ac:dyDescent="0.25">
      <c r="N3676" s="514"/>
      <c r="R3676" s="293"/>
      <c r="S3676" s="316"/>
      <c r="T3676" s="355"/>
    </row>
    <row r="3677" spans="14:20" x14ac:dyDescent="0.25">
      <c r="N3677" s="514"/>
      <c r="R3677" s="293"/>
      <c r="S3677" s="316"/>
      <c r="T3677" s="355"/>
    </row>
    <row r="3678" spans="14:20" x14ac:dyDescent="0.25">
      <c r="N3678" s="514"/>
      <c r="R3678" s="293"/>
      <c r="S3678" s="316"/>
      <c r="T3678" s="355"/>
    </row>
    <row r="3679" spans="14:20" x14ac:dyDescent="0.25">
      <c r="N3679" s="514"/>
      <c r="R3679" s="293"/>
      <c r="S3679" s="316"/>
      <c r="T3679" s="355"/>
    </row>
    <row r="3680" spans="14:20" x14ac:dyDescent="0.25">
      <c r="N3680" s="514"/>
      <c r="R3680" s="293"/>
      <c r="S3680" s="316"/>
      <c r="T3680" s="355"/>
    </row>
    <row r="3681" spans="14:20" x14ac:dyDescent="0.25">
      <c r="N3681" s="514"/>
      <c r="R3681" s="293"/>
      <c r="S3681" s="316"/>
      <c r="T3681" s="355"/>
    </row>
    <row r="3682" spans="14:20" x14ac:dyDescent="0.25">
      <c r="N3682" s="514"/>
      <c r="R3682" s="293"/>
      <c r="S3682" s="316"/>
      <c r="T3682" s="355"/>
    </row>
    <row r="3683" spans="14:20" x14ac:dyDescent="0.25">
      <c r="N3683" s="514"/>
      <c r="R3683" s="293"/>
      <c r="S3683" s="316"/>
      <c r="T3683" s="355"/>
    </row>
    <row r="3684" spans="14:20" x14ac:dyDescent="0.25">
      <c r="N3684" s="514"/>
      <c r="R3684" s="293"/>
      <c r="S3684" s="316"/>
      <c r="T3684" s="355"/>
    </row>
    <row r="3685" spans="14:20" x14ac:dyDescent="0.25">
      <c r="N3685" s="514"/>
      <c r="R3685" s="293"/>
      <c r="S3685" s="316"/>
      <c r="T3685" s="355"/>
    </row>
    <row r="3686" spans="14:20" x14ac:dyDescent="0.25">
      <c r="N3686" s="514"/>
      <c r="R3686" s="293"/>
      <c r="S3686" s="316"/>
      <c r="T3686" s="355"/>
    </row>
    <row r="3687" spans="14:20" x14ac:dyDescent="0.25">
      <c r="N3687" s="514"/>
      <c r="R3687" s="293"/>
      <c r="S3687" s="316"/>
      <c r="T3687" s="355"/>
    </row>
    <row r="3688" spans="14:20" x14ac:dyDescent="0.25">
      <c r="N3688" s="514"/>
      <c r="R3688" s="293"/>
      <c r="S3688" s="316"/>
      <c r="T3688" s="355"/>
    </row>
    <row r="3689" spans="14:20" x14ac:dyDescent="0.25">
      <c r="N3689" s="514"/>
      <c r="R3689" s="293"/>
      <c r="S3689" s="316"/>
      <c r="T3689" s="355"/>
    </row>
    <row r="3690" spans="14:20" x14ac:dyDescent="0.25">
      <c r="N3690" s="514"/>
      <c r="R3690" s="293"/>
      <c r="S3690" s="316"/>
      <c r="T3690" s="355"/>
    </row>
    <row r="3691" spans="14:20" x14ac:dyDescent="0.25">
      <c r="N3691" s="514"/>
      <c r="R3691" s="293"/>
      <c r="S3691" s="316"/>
      <c r="T3691" s="355"/>
    </row>
    <row r="3692" spans="14:20" x14ac:dyDescent="0.25">
      <c r="N3692" s="514"/>
      <c r="R3692" s="293"/>
      <c r="S3692" s="316"/>
      <c r="T3692" s="355"/>
    </row>
    <row r="3693" spans="14:20" x14ac:dyDescent="0.25">
      <c r="N3693" s="514"/>
      <c r="R3693" s="293"/>
      <c r="S3693" s="316"/>
      <c r="T3693" s="355"/>
    </row>
    <row r="3694" spans="14:20" x14ac:dyDescent="0.25">
      <c r="N3694" s="514"/>
      <c r="R3694" s="293"/>
      <c r="S3694" s="316"/>
      <c r="T3694" s="355"/>
    </row>
    <row r="3695" spans="14:20" x14ac:dyDescent="0.25">
      <c r="N3695" s="514"/>
      <c r="R3695" s="293"/>
      <c r="S3695" s="316"/>
      <c r="T3695" s="355"/>
    </row>
    <row r="3696" spans="14:20" x14ac:dyDescent="0.25">
      <c r="N3696" s="514"/>
      <c r="R3696" s="293"/>
      <c r="S3696" s="316"/>
      <c r="T3696" s="355"/>
    </row>
    <row r="3697" spans="14:20" x14ac:dyDescent="0.25">
      <c r="N3697" s="514"/>
      <c r="R3697" s="293"/>
      <c r="S3697" s="316"/>
      <c r="T3697" s="355"/>
    </row>
    <row r="3698" spans="14:20" x14ac:dyDescent="0.25">
      <c r="N3698" s="514"/>
      <c r="R3698" s="293"/>
      <c r="S3698" s="316"/>
      <c r="T3698" s="355"/>
    </row>
    <row r="3699" spans="14:20" x14ac:dyDescent="0.25">
      <c r="N3699" s="514"/>
      <c r="R3699" s="293"/>
      <c r="S3699" s="316"/>
      <c r="T3699" s="355"/>
    </row>
    <row r="3700" spans="14:20" x14ac:dyDescent="0.25">
      <c r="N3700" s="514"/>
      <c r="R3700" s="293"/>
      <c r="S3700" s="316"/>
      <c r="T3700" s="355"/>
    </row>
    <row r="3701" spans="14:20" x14ac:dyDescent="0.25">
      <c r="N3701" s="514"/>
      <c r="R3701" s="293"/>
      <c r="S3701" s="316"/>
      <c r="T3701" s="355"/>
    </row>
    <row r="3702" spans="14:20" x14ac:dyDescent="0.25">
      <c r="N3702" s="514"/>
      <c r="R3702" s="293"/>
      <c r="S3702" s="316"/>
      <c r="T3702" s="355"/>
    </row>
    <row r="3703" spans="14:20" x14ac:dyDescent="0.25">
      <c r="N3703" s="514"/>
      <c r="R3703" s="293"/>
      <c r="S3703" s="316"/>
      <c r="T3703" s="355"/>
    </row>
    <row r="3704" spans="14:20" x14ac:dyDescent="0.25">
      <c r="N3704" s="514"/>
      <c r="R3704" s="293"/>
      <c r="S3704" s="316"/>
      <c r="T3704" s="355"/>
    </row>
    <row r="3705" spans="14:20" x14ac:dyDescent="0.25">
      <c r="N3705" s="514"/>
      <c r="R3705" s="293"/>
      <c r="S3705" s="316"/>
      <c r="T3705" s="355"/>
    </row>
    <row r="3706" spans="14:20" x14ac:dyDescent="0.25">
      <c r="N3706" s="514"/>
      <c r="R3706" s="293"/>
      <c r="S3706" s="316"/>
      <c r="T3706" s="355"/>
    </row>
    <row r="3707" spans="14:20" x14ac:dyDescent="0.25">
      <c r="N3707" s="514"/>
      <c r="R3707" s="293"/>
      <c r="S3707" s="316"/>
      <c r="T3707" s="355"/>
    </row>
    <row r="3708" spans="14:20" x14ac:dyDescent="0.25">
      <c r="N3708" s="514"/>
      <c r="R3708" s="293"/>
      <c r="S3708" s="316"/>
      <c r="T3708" s="355"/>
    </row>
    <row r="3709" spans="14:20" x14ac:dyDescent="0.25">
      <c r="N3709" s="514"/>
      <c r="R3709" s="293"/>
      <c r="S3709" s="316"/>
      <c r="T3709" s="355"/>
    </row>
    <row r="3710" spans="14:20" x14ac:dyDescent="0.25">
      <c r="N3710" s="514"/>
      <c r="R3710" s="293"/>
      <c r="S3710" s="316"/>
      <c r="T3710" s="355"/>
    </row>
    <row r="3711" spans="14:20" x14ac:dyDescent="0.25">
      <c r="N3711" s="514"/>
      <c r="R3711" s="293"/>
      <c r="S3711" s="316"/>
      <c r="T3711" s="355"/>
    </row>
    <row r="3712" spans="14:20" x14ac:dyDescent="0.25">
      <c r="N3712" s="514"/>
      <c r="R3712" s="293"/>
      <c r="S3712" s="316"/>
      <c r="T3712" s="355"/>
    </row>
    <row r="3713" spans="14:20" x14ac:dyDescent="0.25">
      <c r="N3713" s="514"/>
      <c r="R3713" s="293"/>
      <c r="S3713" s="316"/>
      <c r="T3713" s="355"/>
    </row>
    <row r="3714" spans="14:20" x14ac:dyDescent="0.25">
      <c r="N3714" s="514"/>
      <c r="R3714" s="293"/>
      <c r="S3714" s="316"/>
      <c r="T3714" s="355"/>
    </row>
    <row r="3715" spans="14:20" x14ac:dyDescent="0.25">
      <c r="N3715" s="514"/>
      <c r="R3715" s="293"/>
      <c r="S3715" s="316"/>
      <c r="T3715" s="355"/>
    </row>
    <row r="3716" spans="14:20" x14ac:dyDescent="0.25">
      <c r="N3716" s="514"/>
      <c r="R3716" s="293"/>
      <c r="S3716" s="316"/>
      <c r="T3716" s="355"/>
    </row>
    <row r="3717" spans="14:20" x14ac:dyDescent="0.25">
      <c r="N3717" s="514"/>
      <c r="R3717" s="293"/>
      <c r="S3717" s="316"/>
      <c r="T3717" s="355"/>
    </row>
    <row r="3718" spans="14:20" x14ac:dyDescent="0.25">
      <c r="N3718" s="514"/>
      <c r="R3718" s="293"/>
      <c r="S3718" s="316"/>
      <c r="T3718" s="355"/>
    </row>
    <row r="3719" spans="14:20" x14ac:dyDescent="0.25">
      <c r="N3719" s="514"/>
      <c r="R3719" s="293"/>
      <c r="S3719" s="316"/>
      <c r="T3719" s="355"/>
    </row>
    <row r="3720" spans="14:20" x14ac:dyDescent="0.25">
      <c r="N3720" s="514"/>
      <c r="R3720" s="293"/>
      <c r="S3720" s="316"/>
      <c r="T3720" s="355"/>
    </row>
    <row r="3721" spans="14:20" x14ac:dyDescent="0.25">
      <c r="N3721" s="514"/>
      <c r="R3721" s="293"/>
      <c r="S3721" s="316"/>
      <c r="T3721" s="355"/>
    </row>
    <row r="3722" spans="14:20" x14ac:dyDescent="0.25">
      <c r="N3722" s="514"/>
      <c r="R3722" s="293"/>
      <c r="S3722" s="316"/>
      <c r="T3722" s="355"/>
    </row>
    <row r="3723" spans="14:20" x14ac:dyDescent="0.25">
      <c r="N3723" s="514"/>
      <c r="R3723" s="293"/>
      <c r="S3723" s="316"/>
      <c r="T3723" s="355"/>
    </row>
    <row r="3724" spans="14:20" x14ac:dyDescent="0.25">
      <c r="N3724" s="514"/>
      <c r="R3724" s="293"/>
      <c r="S3724" s="316"/>
      <c r="T3724" s="355"/>
    </row>
    <row r="3725" spans="14:20" x14ac:dyDescent="0.25">
      <c r="N3725" s="514"/>
      <c r="R3725" s="293"/>
      <c r="S3725" s="316"/>
      <c r="T3725" s="355"/>
    </row>
    <row r="3726" spans="14:20" x14ac:dyDescent="0.25">
      <c r="N3726" s="514"/>
      <c r="R3726" s="293"/>
      <c r="S3726" s="316"/>
      <c r="T3726" s="355"/>
    </row>
    <row r="3727" spans="14:20" x14ac:dyDescent="0.25">
      <c r="N3727" s="514"/>
      <c r="R3727" s="293"/>
      <c r="S3727" s="316"/>
      <c r="T3727" s="355"/>
    </row>
    <row r="3728" spans="14:20" x14ac:dyDescent="0.25">
      <c r="N3728" s="514"/>
      <c r="R3728" s="293"/>
      <c r="S3728" s="316"/>
      <c r="T3728" s="355"/>
    </row>
    <row r="3729" spans="14:20" x14ac:dyDescent="0.25">
      <c r="N3729" s="514"/>
      <c r="R3729" s="293"/>
      <c r="S3729" s="316"/>
      <c r="T3729" s="355"/>
    </row>
    <row r="3730" spans="14:20" x14ac:dyDescent="0.25">
      <c r="N3730" s="514"/>
      <c r="R3730" s="293"/>
      <c r="S3730" s="316"/>
      <c r="T3730" s="355"/>
    </row>
    <row r="3731" spans="14:20" x14ac:dyDescent="0.25">
      <c r="N3731" s="514"/>
      <c r="R3731" s="293"/>
      <c r="S3731" s="316"/>
      <c r="T3731" s="355"/>
    </row>
    <row r="3732" spans="14:20" x14ac:dyDescent="0.25">
      <c r="N3732" s="514"/>
      <c r="R3732" s="293"/>
      <c r="S3732" s="316"/>
      <c r="T3732" s="355"/>
    </row>
    <row r="3733" spans="14:20" x14ac:dyDescent="0.25">
      <c r="N3733" s="514"/>
      <c r="R3733" s="293"/>
      <c r="S3733" s="316"/>
      <c r="T3733" s="355"/>
    </row>
    <row r="3734" spans="14:20" x14ac:dyDescent="0.25">
      <c r="N3734" s="514"/>
      <c r="R3734" s="293"/>
      <c r="S3734" s="316"/>
      <c r="T3734" s="355"/>
    </row>
    <row r="3735" spans="14:20" x14ac:dyDescent="0.25">
      <c r="N3735" s="514"/>
      <c r="R3735" s="293"/>
      <c r="S3735" s="316"/>
      <c r="T3735" s="355"/>
    </row>
    <row r="3736" spans="14:20" x14ac:dyDescent="0.25">
      <c r="N3736" s="514"/>
      <c r="R3736" s="293"/>
      <c r="S3736" s="316"/>
      <c r="T3736" s="355"/>
    </row>
    <row r="3737" spans="14:20" x14ac:dyDescent="0.25">
      <c r="N3737" s="514"/>
      <c r="R3737" s="293"/>
      <c r="S3737" s="316"/>
      <c r="T3737" s="355"/>
    </row>
    <row r="3738" spans="14:20" x14ac:dyDescent="0.25">
      <c r="N3738" s="514"/>
      <c r="R3738" s="293"/>
      <c r="S3738" s="316"/>
      <c r="T3738" s="355"/>
    </row>
    <row r="3739" spans="14:20" x14ac:dyDescent="0.25">
      <c r="N3739" s="514"/>
      <c r="R3739" s="293"/>
      <c r="S3739" s="316"/>
      <c r="T3739" s="355"/>
    </row>
    <row r="3740" spans="14:20" x14ac:dyDescent="0.25">
      <c r="N3740" s="514"/>
      <c r="R3740" s="293"/>
      <c r="S3740" s="316"/>
      <c r="T3740" s="355"/>
    </row>
    <row r="3741" spans="14:20" x14ac:dyDescent="0.25">
      <c r="N3741" s="514"/>
      <c r="R3741" s="293"/>
      <c r="S3741" s="316"/>
      <c r="T3741" s="355"/>
    </row>
    <row r="3742" spans="14:20" x14ac:dyDescent="0.25">
      <c r="N3742" s="514"/>
      <c r="R3742" s="293"/>
      <c r="S3742" s="316"/>
      <c r="T3742" s="355"/>
    </row>
    <row r="3743" spans="14:20" x14ac:dyDescent="0.25">
      <c r="N3743" s="514"/>
      <c r="R3743" s="293"/>
      <c r="S3743" s="316"/>
      <c r="T3743" s="355"/>
    </row>
    <row r="3744" spans="14:20" x14ac:dyDescent="0.25">
      <c r="N3744" s="514"/>
      <c r="R3744" s="293"/>
      <c r="S3744" s="316"/>
      <c r="T3744" s="355"/>
    </row>
    <row r="3745" spans="14:20" x14ac:dyDescent="0.25">
      <c r="N3745" s="514"/>
      <c r="R3745" s="293"/>
      <c r="S3745" s="316"/>
      <c r="T3745" s="355"/>
    </row>
    <row r="3746" spans="14:20" x14ac:dyDescent="0.25">
      <c r="N3746" s="514"/>
      <c r="R3746" s="293"/>
      <c r="S3746" s="316"/>
      <c r="T3746" s="355"/>
    </row>
    <row r="3747" spans="14:20" x14ac:dyDescent="0.25">
      <c r="N3747" s="514"/>
      <c r="R3747" s="293"/>
      <c r="S3747" s="316"/>
      <c r="T3747" s="355"/>
    </row>
    <row r="3748" spans="14:20" x14ac:dyDescent="0.25">
      <c r="N3748" s="514"/>
      <c r="R3748" s="293"/>
      <c r="S3748" s="316"/>
      <c r="T3748" s="355"/>
    </row>
    <row r="3749" spans="14:20" x14ac:dyDescent="0.25">
      <c r="N3749" s="514"/>
      <c r="R3749" s="293"/>
      <c r="S3749" s="316"/>
      <c r="T3749" s="355"/>
    </row>
    <row r="3750" spans="14:20" x14ac:dyDescent="0.25">
      <c r="N3750" s="514"/>
      <c r="R3750" s="293"/>
      <c r="S3750" s="316"/>
      <c r="T3750" s="355"/>
    </row>
    <row r="3751" spans="14:20" x14ac:dyDescent="0.25">
      <c r="N3751" s="514"/>
      <c r="R3751" s="293"/>
      <c r="S3751" s="316"/>
      <c r="T3751" s="355"/>
    </row>
    <row r="3752" spans="14:20" x14ac:dyDescent="0.25">
      <c r="N3752" s="514"/>
      <c r="R3752" s="293"/>
      <c r="S3752" s="316"/>
      <c r="T3752" s="355"/>
    </row>
    <row r="3753" spans="14:20" x14ac:dyDescent="0.25">
      <c r="N3753" s="514"/>
      <c r="R3753" s="293"/>
      <c r="S3753" s="316"/>
      <c r="T3753" s="355"/>
    </row>
    <row r="3754" spans="14:20" x14ac:dyDescent="0.25">
      <c r="N3754" s="514"/>
      <c r="R3754" s="293"/>
      <c r="S3754" s="316"/>
      <c r="T3754" s="355"/>
    </row>
    <row r="3755" spans="14:20" x14ac:dyDescent="0.25">
      <c r="N3755" s="514"/>
      <c r="R3755" s="293"/>
      <c r="S3755" s="316"/>
      <c r="T3755" s="355"/>
    </row>
    <row r="3756" spans="14:20" x14ac:dyDescent="0.25">
      <c r="N3756" s="514"/>
      <c r="R3756" s="293"/>
      <c r="S3756" s="316"/>
      <c r="T3756" s="355"/>
    </row>
    <row r="3757" spans="14:20" x14ac:dyDescent="0.25">
      <c r="N3757" s="514"/>
      <c r="R3757" s="293"/>
      <c r="S3757" s="316"/>
      <c r="T3757" s="355"/>
    </row>
    <row r="3758" spans="14:20" x14ac:dyDescent="0.25">
      <c r="N3758" s="514"/>
      <c r="R3758" s="293"/>
      <c r="S3758" s="316"/>
      <c r="T3758" s="355"/>
    </row>
    <row r="3759" spans="14:20" x14ac:dyDescent="0.25">
      <c r="N3759" s="514"/>
      <c r="R3759" s="293"/>
      <c r="S3759" s="316"/>
      <c r="T3759" s="355"/>
    </row>
    <row r="3760" spans="14:20" x14ac:dyDescent="0.25">
      <c r="N3760" s="514"/>
      <c r="R3760" s="293"/>
      <c r="S3760" s="316"/>
      <c r="T3760" s="355"/>
    </row>
    <row r="3761" spans="14:20" x14ac:dyDescent="0.25">
      <c r="N3761" s="514"/>
      <c r="R3761" s="293"/>
      <c r="S3761" s="316"/>
      <c r="T3761" s="355"/>
    </row>
    <row r="3762" spans="14:20" x14ac:dyDescent="0.25">
      <c r="N3762" s="514"/>
      <c r="R3762" s="293"/>
      <c r="S3762" s="316"/>
      <c r="T3762" s="355"/>
    </row>
    <row r="3763" spans="14:20" x14ac:dyDescent="0.25">
      <c r="N3763" s="514"/>
      <c r="R3763" s="293"/>
      <c r="S3763" s="316"/>
      <c r="T3763" s="355"/>
    </row>
    <row r="3764" spans="14:20" x14ac:dyDescent="0.25">
      <c r="N3764" s="514"/>
      <c r="R3764" s="293"/>
      <c r="S3764" s="316"/>
      <c r="T3764" s="355"/>
    </row>
    <row r="3765" spans="14:20" x14ac:dyDescent="0.25">
      <c r="N3765" s="514"/>
      <c r="R3765" s="293"/>
      <c r="S3765" s="316"/>
      <c r="T3765" s="355"/>
    </row>
    <row r="3766" spans="14:20" x14ac:dyDescent="0.25">
      <c r="N3766" s="514"/>
      <c r="R3766" s="293"/>
      <c r="S3766" s="316"/>
      <c r="T3766" s="355"/>
    </row>
    <row r="3767" spans="14:20" x14ac:dyDescent="0.25">
      <c r="N3767" s="514"/>
      <c r="R3767" s="293"/>
      <c r="S3767" s="316"/>
      <c r="T3767" s="355"/>
    </row>
    <row r="3768" spans="14:20" x14ac:dyDescent="0.25">
      <c r="N3768" s="514"/>
      <c r="R3768" s="293"/>
      <c r="S3768" s="316"/>
      <c r="T3768" s="355"/>
    </row>
    <row r="3769" spans="14:20" x14ac:dyDescent="0.25">
      <c r="N3769" s="514"/>
      <c r="R3769" s="293"/>
      <c r="S3769" s="316"/>
      <c r="T3769" s="355"/>
    </row>
    <row r="3770" spans="14:20" x14ac:dyDescent="0.25">
      <c r="N3770" s="514"/>
      <c r="R3770" s="293"/>
      <c r="S3770" s="316"/>
      <c r="T3770" s="355"/>
    </row>
    <row r="3771" spans="14:20" x14ac:dyDescent="0.25">
      <c r="N3771" s="514"/>
      <c r="R3771" s="293"/>
      <c r="S3771" s="316"/>
      <c r="T3771" s="355"/>
    </row>
    <row r="3772" spans="14:20" x14ac:dyDescent="0.25">
      <c r="N3772" s="514"/>
      <c r="R3772" s="293"/>
      <c r="S3772" s="316"/>
      <c r="T3772" s="355"/>
    </row>
    <row r="3773" spans="14:20" x14ac:dyDescent="0.25">
      <c r="N3773" s="514"/>
      <c r="R3773" s="293"/>
      <c r="S3773" s="316"/>
      <c r="T3773" s="355"/>
    </row>
    <row r="3774" spans="14:20" x14ac:dyDescent="0.25">
      <c r="N3774" s="514"/>
      <c r="R3774" s="293"/>
      <c r="S3774" s="316"/>
      <c r="T3774" s="355"/>
    </row>
    <row r="3775" spans="14:20" x14ac:dyDescent="0.25">
      <c r="N3775" s="514"/>
      <c r="R3775" s="293"/>
      <c r="S3775" s="316"/>
      <c r="T3775" s="355"/>
    </row>
    <row r="3776" spans="14:20" x14ac:dyDescent="0.25">
      <c r="N3776" s="514"/>
      <c r="R3776" s="293"/>
      <c r="S3776" s="316"/>
      <c r="T3776" s="355"/>
    </row>
    <row r="3777" spans="14:20" x14ac:dyDescent="0.25">
      <c r="N3777" s="514"/>
      <c r="R3777" s="293"/>
      <c r="S3777" s="316"/>
      <c r="T3777" s="355"/>
    </row>
    <row r="3778" spans="14:20" x14ac:dyDescent="0.25">
      <c r="N3778" s="514"/>
      <c r="R3778" s="293"/>
      <c r="S3778" s="316"/>
      <c r="T3778" s="355"/>
    </row>
    <row r="3779" spans="14:20" x14ac:dyDescent="0.25">
      <c r="N3779" s="514"/>
      <c r="R3779" s="293"/>
      <c r="S3779" s="316"/>
      <c r="T3779" s="355"/>
    </row>
    <row r="3780" spans="14:20" x14ac:dyDescent="0.25">
      <c r="N3780" s="514"/>
      <c r="R3780" s="293"/>
      <c r="S3780" s="316"/>
      <c r="T3780" s="355"/>
    </row>
    <row r="3781" spans="14:20" x14ac:dyDescent="0.25">
      <c r="N3781" s="514"/>
      <c r="R3781" s="293"/>
      <c r="S3781" s="316"/>
      <c r="T3781" s="355"/>
    </row>
    <row r="3782" spans="14:20" x14ac:dyDescent="0.25">
      <c r="N3782" s="514"/>
      <c r="R3782" s="293"/>
      <c r="S3782" s="316"/>
      <c r="T3782" s="355"/>
    </row>
    <row r="3783" spans="14:20" x14ac:dyDescent="0.25">
      <c r="N3783" s="514"/>
      <c r="R3783" s="293"/>
      <c r="S3783" s="316"/>
      <c r="T3783" s="355"/>
    </row>
    <row r="3784" spans="14:20" x14ac:dyDescent="0.25">
      <c r="N3784" s="514"/>
      <c r="R3784" s="293"/>
      <c r="S3784" s="316"/>
      <c r="T3784" s="355"/>
    </row>
    <row r="3785" spans="14:20" x14ac:dyDescent="0.25">
      <c r="N3785" s="514"/>
      <c r="R3785" s="293"/>
      <c r="S3785" s="316"/>
      <c r="T3785" s="355"/>
    </row>
    <row r="3786" spans="14:20" x14ac:dyDescent="0.25">
      <c r="N3786" s="514"/>
      <c r="R3786" s="293"/>
      <c r="S3786" s="316"/>
      <c r="T3786" s="355"/>
    </row>
    <row r="3787" spans="14:20" x14ac:dyDescent="0.25">
      <c r="N3787" s="514"/>
      <c r="R3787" s="293"/>
      <c r="S3787" s="316"/>
      <c r="T3787" s="355"/>
    </row>
    <row r="3788" spans="14:20" x14ac:dyDescent="0.25">
      <c r="N3788" s="514"/>
      <c r="R3788" s="293"/>
      <c r="S3788" s="316"/>
      <c r="T3788" s="355"/>
    </row>
    <row r="3789" spans="14:20" x14ac:dyDescent="0.25">
      <c r="N3789" s="514"/>
      <c r="R3789" s="293"/>
      <c r="S3789" s="316"/>
      <c r="T3789" s="355"/>
    </row>
    <row r="3790" spans="14:20" x14ac:dyDescent="0.25">
      <c r="N3790" s="514"/>
      <c r="R3790" s="293"/>
      <c r="S3790" s="316"/>
      <c r="T3790" s="355"/>
    </row>
    <row r="3791" spans="14:20" x14ac:dyDescent="0.25">
      <c r="N3791" s="514"/>
      <c r="R3791" s="293"/>
      <c r="S3791" s="316"/>
      <c r="T3791" s="355"/>
    </row>
    <row r="3792" spans="14:20" x14ac:dyDescent="0.25">
      <c r="N3792" s="514"/>
      <c r="R3792" s="293"/>
      <c r="S3792" s="316"/>
      <c r="T3792" s="355"/>
    </row>
    <row r="3793" spans="14:20" x14ac:dyDescent="0.25">
      <c r="N3793" s="514"/>
      <c r="R3793" s="293"/>
      <c r="S3793" s="316"/>
      <c r="T3793" s="355"/>
    </row>
    <row r="3794" spans="14:20" x14ac:dyDescent="0.25">
      <c r="N3794" s="514"/>
      <c r="R3794" s="293"/>
      <c r="S3794" s="316"/>
      <c r="T3794" s="355"/>
    </row>
    <row r="3795" spans="14:20" x14ac:dyDescent="0.25">
      <c r="N3795" s="514"/>
      <c r="R3795" s="293"/>
      <c r="S3795" s="316"/>
      <c r="T3795" s="355"/>
    </row>
    <row r="3796" spans="14:20" x14ac:dyDescent="0.25">
      <c r="N3796" s="514"/>
      <c r="R3796" s="293"/>
      <c r="S3796" s="316"/>
      <c r="T3796" s="355"/>
    </row>
    <row r="3797" spans="14:20" x14ac:dyDescent="0.25">
      <c r="N3797" s="514"/>
      <c r="R3797" s="293"/>
      <c r="S3797" s="316"/>
      <c r="T3797" s="355"/>
    </row>
    <row r="3798" spans="14:20" x14ac:dyDescent="0.25">
      <c r="N3798" s="514"/>
      <c r="R3798" s="293"/>
      <c r="S3798" s="316"/>
      <c r="T3798" s="355"/>
    </row>
    <row r="3799" spans="14:20" x14ac:dyDescent="0.25">
      <c r="N3799" s="514"/>
      <c r="R3799" s="293"/>
      <c r="S3799" s="316"/>
      <c r="T3799" s="355"/>
    </row>
    <row r="3800" spans="14:20" x14ac:dyDescent="0.25">
      <c r="N3800" s="514"/>
      <c r="R3800" s="293"/>
      <c r="S3800" s="316"/>
      <c r="T3800" s="355"/>
    </row>
    <row r="3801" spans="14:20" x14ac:dyDescent="0.25">
      <c r="N3801" s="514"/>
      <c r="R3801" s="293"/>
      <c r="S3801" s="316"/>
      <c r="T3801" s="355"/>
    </row>
    <row r="3802" spans="14:20" x14ac:dyDescent="0.25">
      <c r="N3802" s="514"/>
      <c r="R3802" s="293"/>
      <c r="S3802" s="316"/>
      <c r="T3802" s="355"/>
    </row>
    <row r="3803" spans="14:20" x14ac:dyDescent="0.25">
      <c r="N3803" s="514"/>
      <c r="R3803" s="293"/>
      <c r="S3803" s="316"/>
      <c r="T3803" s="355"/>
    </row>
    <row r="3804" spans="14:20" x14ac:dyDescent="0.25">
      <c r="N3804" s="514"/>
      <c r="R3804" s="293"/>
      <c r="S3804" s="316"/>
      <c r="T3804" s="355"/>
    </row>
    <row r="3805" spans="14:20" x14ac:dyDescent="0.25">
      <c r="N3805" s="514"/>
      <c r="R3805" s="293"/>
      <c r="S3805" s="316"/>
      <c r="T3805" s="355"/>
    </row>
    <row r="3806" spans="14:20" x14ac:dyDescent="0.25">
      <c r="N3806" s="514"/>
      <c r="R3806" s="293"/>
      <c r="S3806" s="316"/>
      <c r="T3806" s="355"/>
    </row>
    <row r="3807" spans="14:20" x14ac:dyDescent="0.25">
      <c r="N3807" s="514"/>
      <c r="R3807" s="293"/>
      <c r="S3807" s="316"/>
      <c r="T3807" s="355"/>
    </row>
    <row r="3808" spans="14:20" x14ac:dyDescent="0.25">
      <c r="N3808" s="514"/>
      <c r="R3808" s="293"/>
      <c r="S3808" s="316"/>
      <c r="T3808" s="355"/>
    </row>
    <row r="3809" spans="14:20" x14ac:dyDescent="0.25">
      <c r="N3809" s="514"/>
      <c r="R3809" s="293"/>
      <c r="S3809" s="316"/>
      <c r="T3809" s="355"/>
    </row>
    <row r="3810" spans="14:20" x14ac:dyDescent="0.25">
      <c r="N3810" s="514"/>
      <c r="R3810" s="293"/>
      <c r="S3810" s="316"/>
      <c r="T3810" s="355"/>
    </row>
    <row r="3811" spans="14:20" x14ac:dyDescent="0.25">
      <c r="N3811" s="514"/>
      <c r="R3811" s="293"/>
      <c r="S3811" s="316"/>
      <c r="T3811" s="355"/>
    </row>
    <row r="3812" spans="14:20" x14ac:dyDescent="0.25">
      <c r="N3812" s="514"/>
      <c r="R3812" s="293"/>
      <c r="S3812" s="316"/>
      <c r="T3812" s="355"/>
    </row>
    <row r="3813" spans="14:20" x14ac:dyDescent="0.25">
      <c r="N3813" s="514"/>
      <c r="R3813" s="293"/>
      <c r="S3813" s="316"/>
      <c r="T3813" s="355"/>
    </row>
    <row r="3814" spans="14:20" x14ac:dyDescent="0.25">
      <c r="N3814" s="514"/>
      <c r="R3814" s="293"/>
      <c r="S3814" s="316"/>
      <c r="T3814" s="355"/>
    </row>
    <row r="3815" spans="14:20" x14ac:dyDescent="0.25">
      <c r="N3815" s="514"/>
      <c r="R3815" s="293"/>
      <c r="S3815" s="316"/>
      <c r="T3815" s="355"/>
    </row>
    <row r="3816" spans="14:20" x14ac:dyDescent="0.25">
      <c r="N3816" s="514"/>
      <c r="R3816" s="293"/>
      <c r="S3816" s="316"/>
      <c r="T3816" s="355"/>
    </row>
    <row r="3817" spans="14:20" x14ac:dyDescent="0.25">
      <c r="N3817" s="514"/>
      <c r="R3817" s="293"/>
      <c r="S3817" s="316"/>
      <c r="T3817" s="355"/>
    </row>
    <row r="3818" spans="14:20" x14ac:dyDescent="0.25">
      <c r="N3818" s="514"/>
      <c r="R3818" s="293"/>
      <c r="S3818" s="316"/>
      <c r="T3818" s="355"/>
    </row>
    <row r="3819" spans="14:20" x14ac:dyDescent="0.25">
      <c r="N3819" s="514"/>
      <c r="R3819" s="293"/>
      <c r="S3819" s="316"/>
      <c r="T3819" s="355"/>
    </row>
    <row r="3820" spans="14:20" x14ac:dyDescent="0.25">
      <c r="N3820" s="514"/>
      <c r="R3820" s="293"/>
      <c r="S3820" s="316"/>
      <c r="T3820" s="355"/>
    </row>
    <row r="3821" spans="14:20" x14ac:dyDescent="0.25">
      <c r="N3821" s="514"/>
      <c r="R3821" s="293"/>
      <c r="S3821" s="316"/>
      <c r="T3821" s="355"/>
    </row>
    <row r="3822" spans="14:20" x14ac:dyDescent="0.25">
      <c r="N3822" s="514"/>
      <c r="R3822" s="293"/>
      <c r="S3822" s="316"/>
      <c r="T3822" s="355"/>
    </row>
    <row r="3823" spans="14:20" x14ac:dyDescent="0.25">
      <c r="N3823" s="514"/>
      <c r="R3823" s="293"/>
      <c r="S3823" s="316"/>
      <c r="T3823" s="355"/>
    </row>
    <row r="3824" spans="14:20" x14ac:dyDescent="0.25">
      <c r="N3824" s="514"/>
      <c r="R3824" s="293"/>
      <c r="S3824" s="316"/>
      <c r="T3824" s="355"/>
    </row>
    <row r="3825" spans="14:20" x14ac:dyDescent="0.25">
      <c r="N3825" s="514"/>
      <c r="R3825" s="293"/>
      <c r="S3825" s="316"/>
      <c r="T3825" s="355"/>
    </row>
    <row r="3826" spans="14:20" x14ac:dyDescent="0.25">
      <c r="N3826" s="514"/>
      <c r="R3826" s="293"/>
      <c r="S3826" s="316"/>
      <c r="T3826" s="355"/>
    </row>
    <row r="3827" spans="14:20" x14ac:dyDescent="0.25">
      <c r="N3827" s="514"/>
      <c r="R3827" s="293"/>
      <c r="S3827" s="316"/>
      <c r="T3827" s="355"/>
    </row>
    <row r="3828" spans="14:20" x14ac:dyDescent="0.25">
      <c r="N3828" s="514"/>
      <c r="R3828" s="293"/>
      <c r="S3828" s="316"/>
      <c r="T3828" s="355"/>
    </row>
    <row r="3829" spans="14:20" x14ac:dyDescent="0.25">
      <c r="N3829" s="514"/>
      <c r="R3829" s="293"/>
      <c r="S3829" s="316"/>
      <c r="T3829" s="355"/>
    </row>
    <row r="3830" spans="14:20" x14ac:dyDescent="0.25">
      <c r="N3830" s="514"/>
      <c r="R3830" s="293"/>
      <c r="S3830" s="316"/>
      <c r="T3830" s="355"/>
    </row>
    <row r="3831" spans="14:20" x14ac:dyDescent="0.25">
      <c r="N3831" s="514"/>
      <c r="R3831" s="293"/>
      <c r="S3831" s="316"/>
      <c r="T3831" s="355"/>
    </row>
    <row r="3832" spans="14:20" x14ac:dyDescent="0.25">
      <c r="N3832" s="514"/>
      <c r="R3832" s="293"/>
      <c r="S3832" s="316"/>
      <c r="T3832" s="355"/>
    </row>
    <row r="3833" spans="14:20" x14ac:dyDescent="0.25">
      <c r="N3833" s="514"/>
      <c r="R3833" s="293"/>
      <c r="S3833" s="316"/>
      <c r="T3833" s="355"/>
    </row>
    <row r="3834" spans="14:20" x14ac:dyDescent="0.25">
      <c r="N3834" s="514"/>
      <c r="R3834" s="293"/>
      <c r="S3834" s="316"/>
      <c r="T3834" s="355"/>
    </row>
    <row r="3835" spans="14:20" x14ac:dyDescent="0.25">
      <c r="N3835" s="514"/>
      <c r="R3835" s="293"/>
      <c r="S3835" s="316"/>
      <c r="T3835" s="355"/>
    </row>
    <row r="3836" spans="14:20" x14ac:dyDescent="0.25">
      <c r="N3836" s="514"/>
      <c r="R3836" s="293"/>
      <c r="S3836" s="316"/>
      <c r="T3836" s="355"/>
    </row>
    <row r="3837" spans="14:20" x14ac:dyDescent="0.25">
      <c r="N3837" s="514"/>
      <c r="R3837" s="293"/>
      <c r="S3837" s="316"/>
      <c r="T3837" s="355"/>
    </row>
    <row r="3838" spans="14:20" x14ac:dyDescent="0.25">
      <c r="N3838" s="514"/>
      <c r="R3838" s="293"/>
      <c r="S3838" s="316"/>
      <c r="T3838" s="355"/>
    </row>
    <row r="3839" spans="14:20" x14ac:dyDescent="0.25">
      <c r="N3839" s="514"/>
      <c r="R3839" s="293"/>
      <c r="S3839" s="316"/>
      <c r="T3839" s="355"/>
    </row>
    <row r="3840" spans="14:20" x14ac:dyDescent="0.25">
      <c r="N3840" s="514"/>
      <c r="R3840" s="293"/>
      <c r="S3840" s="316"/>
      <c r="T3840" s="355"/>
    </row>
    <row r="3841" spans="14:20" x14ac:dyDescent="0.25">
      <c r="N3841" s="514"/>
      <c r="R3841" s="293"/>
      <c r="S3841" s="316"/>
      <c r="T3841" s="355"/>
    </row>
    <row r="3842" spans="14:20" x14ac:dyDescent="0.25">
      <c r="N3842" s="514"/>
      <c r="R3842" s="293"/>
      <c r="S3842" s="316"/>
      <c r="T3842" s="355"/>
    </row>
    <row r="3843" spans="14:20" x14ac:dyDescent="0.25">
      <c r="N3843" s="514"/>
      <c r="R3843" s="293"/>
      <c r="S3843" s="316"/>
      <c r="T3843" s="355"/>
    </row>
    <row r="3844" spans="14:20" x14ac:dyDescent="0.25">
      <c r="N3844" s="514"/>
      <c r="R3844" s="293"/>
      <c r="S3844" s="316"/>
      <c r="T3844" s="355"/>
    </row>
    <row r="3845" spans="14:20" x14ac:dyDescent="0.25">
      <c r="N3845" s="514"/>
      <c r="R3845" s="293"/>
      <c r="S3845" s="316"/>
      <c r="T3845" s="355"/>
    </row>
    <row r="3846" spans="14:20" x14ac:dyDescent="0.25">
      <c r="N3846" s="514"/>
      <c r="R3846" s="293"/>
      <c r="S3846" s="316"/>
      <c r="T3846" s="355"/>
    </row>
    <row r="3847" spans="14:20" x14ac:dyDescent="0.25">
      <c r="N3847" s="514"/>
      <c r="R3847" s="293"/>
      <c r="S3847" s="316"/>
      <c r="T3847" s="355"/>
    </row>
    <row r="3848" spans="14:20" x14ac:dyDescent="0.25">
      <c r="N3848" s="514"/>
      <c r="R3848" s="293"/>
      <c r="S3848" s="316"/>
      <c r="T3848" s="355"/>
    </row>
    <row r="3849" spans="14:20" x14ac:dyDescent="0.25">
      <c r="N3849" s="514"/>
      <c r="R3849" s="293"/>
      <c r="S3849" s="316"/>
      <c r="T3849" s="355"/>
    </row>
    <row r="3850" spans="14:20" x14ac:dyDescent="0.25">
      <c r="N3850" s="514"/>
      <c r="R3850" s="293"/>
      <c r="S3850" s="316"/>
      <c r="T3850" s="355"/>
    </row>
    <row r="3851" spans="14:20" x14ac:dyDescent="0.25">
      <c r="N3851" s="514"/>
      <c r="R3851" s="293"/>
      <c r="S3851" s="316"/>
      <c r="T3851" s="355"/>
    </row>
    <row r="3852" spans="14:20" x14ac:dyDescent="0.25">
      <c r="N3852" s="514"/>
      <c r="R3852" s="293"/>
      <c r="S3852" s="316"/>
      <c r="T3852" s="355"/>
    </row>
    <row r="3853" spans="14:20" x14ac:dyDescent="0.25">
      <c r="N3853" s="514"/>
      <c r="R3853" s="293"/>
      <c r="S3853" s="316"/>
      <c r="T3853" s="355"/>
    </row>
    <row r="3854" spans="14:20" x14ac:dyDescent="0.25">
      <c r="N3854" s="514"/>
      <c r="R3854" s="293"/>
      <c r="S3854" s="316"/>
      <c r="T3854" s="355"/>
    </row>
    <row r="3855" spans="14:20" x14ac:dyDescent="0.25">
      <c r="N3855" s="514"/>
      <c r="R3855" s="293"/>
      <c r="S3855" s="316"/>
      <c r="T3855" s="355"/>
    </row>
    <row r="3856" spans="14:20" x14ac:dyDescent="0.25">
      <c r="N3856" s="514"/>
      <c r="R3856" s="293"/>
      <c r="S3856" s="316"/>
      <c r="T3856" s="355"/>
    </row>
    <row r="3857" spans="14:20" x14ac:dyDescent="0.25">
      <c r="N3857" s="514"/>
      <c r="R3857" s="293"/>
      <c r="S3857" s="316"/>
      <c r="T3857" s="355"/>
    </row>
    <row r="3858" spans="14:20" x14ac:dyDescent="0.25">
      <c r="N3858" s="514"/>
      <c r="R3858" s="293"/>
      <c r="S3858" s="316"/>
      <c r="T3858" s="355"/>
    </row>
    <row r="3859" spans="14:20" x14ac:dyDescent="0.25">
      <c r="N3859" s="514"/>
      <c r="R3859" s="293"/>
      <c r="S3859" s="316"/>
      <c r="T3859" s="355"/>
    </row>
    <row r="3860" spans="14:20" x14ac:dyDescent="0.25">
      <c r="N3860" s="514"/>
      <c r="R3860" s="293"/>
      <c r="S3860" s="316"/>
      <c r="T3860" s="355"/>
    </row>
    <row r="3861" spans="14:20" x14ac:dyDescent="0.25">
      <c r="N3861" s="514"/>
      <c r="R3861" s="293"/>
      <c r="S3861" s="316"/>
      <c r="T3861" s="355"/>
    </row>
    <row r="3862" spans="14:20" x14ac:dyDescent="0.25">
      <c r="N3862" s="514"/>
      <c r="R3862" s="293"/>
      <c r="S3862" s="316"/>
      <c r="T3862" s="355"/>
    </row>
    <row r="3863" spans="14:20" x14ac:dyDescent="0.25">
      <c r="N3863" s="514"/>
      <c r="R3863" s="293"/>
      <c r="S3863" s="316"/>
      <c r="T3863" s="355"/>
    </row>
    <row r="3864" spans="14:20" x14ac:dyDescent="0.25">
      <c r="N3864" s="514"/>
      <c r="R3864" s="293"/>
      <c r="S3864" s="316"/>
      <c r="T3864" s="355"/>
    </row>
    <row r="3865" spans="14:20" x14ac:dyDescent="0.25">
      <c r="N3865" s="514"/>
      <c r="R3865" s="293"/>
      <c r="S3865" s="316"/>
      <c r="T3865" s="355"/>
    </row>
    <row r="3866" spans="14:20" x14ac:dyDescent="0.25">
      <c r="N3866" s="514"/>
      <c r="R3866" s="293"/>
      <c r="S3866" s="316"/>
      <c r="T3866" s="355"/>
    </row>
    <row r="3867" spans="14:20" x14ac:dyDescent="0.25">
      <c r="N3867" s="514"/>
      <c r="R3867" s="293"/>
      <c r="S3867" s="316"/>
      <c r="T3867" s="355"/>
    </row>
    <row r="3868" spans="14:20" x14ac:dyDescent="0.25">
      <c r="N3868" s="514"/>
      <c r="R3868" s="293"/>
      <c r="S3868" s="316"/>
      <c r="T3868" s="355"/>
    </row>
    <row r="3869" spans="14:20" x14ac:dyDescent="0.25">
      <c r="N3869" s="514"/>
      <c r="R3869" s="293"/>
      <c r="S3869" s="316"/>
      <c r="T3869" s="355"/>
    </row>
    <row r="3870" spans="14:20" x14ac:dyDescent="0.25">
      <c r="N3870" s="514"/>
      <c r="R3870" s="293"/>
      <c r="S3870" s="316"/>
      <c r="T3870" s="355"/>
    </row>
    <row r="3871" spans="14:20" x14ac:dyDescent="0.25">
      <c r="N3871" s="514"/>
      <c r="R3871" s="293"/>
      <c r="S3871" s="316"/>
      <c r="T3871" s="355"/>
    </row>
    <row r="3872" spans="14:20" x14ac:dyDescent="0.25">
      <c r="N3872" s="514"/>
      <c r="R3872" s="293"/>
      <c r="S3872" s="316"/>
      <c r="T3872" s="355"/>
    </row>
    <row r="3873" spans="14:20" x14ac:dyDescent="0.25">
      <c r="N3873" s="514"/>
      <c r="R3873" s="293"/>
      <c r="S3873" s="316"/>
      <c r="T3873" s="355"/>
    </row>
    <row r="3874" spans="14:20" x14ac:dyDescent="0.25">
      <c r="N3874" s="514"/>
      <c r="R3874" s="293"/>
      <c r="S3874" s="316"/>
      <c r="T3874" s="355"/>
    </row>
    <row r="3875" spans="14:20" x14ac:dyDescent="0.25">
      <c r="N3875" s="514"/>
      <c r="R3875" s="293"/>
      <c r="S3875" s="316"/>
      <c r="T3875" s="355"/>
    </row>
    <row r="3876" spans="14:20" x14ac:dyDescent="0.25">
      <c r="N3876" s="514"/>
      <c r="R3876" s="293"/>
      <c r="S3876" s="316"/>
      <c r="T3876" s="355"/>
    </row>
    <row r="3877" spans="14:20" x14ac:dyDescent="0.25">
      <c r="N3877" s="514"/>
      <c r="R3877" s="293"/>
      <c r="S3877" s="316"/>
      <c r="T3877" s="355"/>
    </row>
    <row r="3878" spans="14:20" x14ac:dyDescent="0.25">
      <c r="N3878" s="514"/>
      <c r="R3878" s="293"/>
      <c r="S3878" s="316"/>
      <c r="T3878" s="355"/>
    </row>
    <row r="3879" spans="14:20" x14ac:dyDescent="0.25">
      <c r="N3879" s="514"/>
      <c r="R3879" s="293"/>
      <c r="S3879" s="316"/>
      <c r="T3879" s="355"/>
    </row>
    <row r="3880" spans="14:20" x14ac:dyDescent="0.25">
      <c r="N3880" s="514"/>
      <c r="R3880" s="293"/>
      <c r="S3880" s="316"/>
      <c r="T3880" s="355"/>
    </row>
    <row r="3881" spans="14:20" x14ac:dyDescent="0.25">
      <c r="N3881" s="514"/>
      <c r="R3881" s="293"/>
      <c r="S3881" s="316"/>
      <c r="T3881" s="355"/>
    </row>
    <row r="3882" spans="14:20" x14ac:dyDescent="0.25">
      <c r="N3882" s="514"/>
      <c r="R3882" s="293"/>
      <c r="S3882" s="316"/>
      <c r="T3882" s="355"/>
    </row>
    <row r="3883" spans="14:20" x14ac:dyDescent="0.25">
      <c r="N3883" s="514"/>
      <c r="R3883" s="293"/>
      <c r="S3883" s="316"/>
      <c r="T3883" s="355"/>
    </row>
    <row r="3884" spans="14:20" x14ac:dyDescent="0.25">
      <c r="N3884" s="514"/>
      <c r="R3884" s="293"/>
      <c r="S3884" s="316"/>
      <c r="T3884" s="355"/>
    </row>
    <row r="3885" spans="14:20" x14ac:dyDescent="0.25">
      <c r="N3885" s="514"/>
      <c r="R3885" s="293"/>
      <c r="S3885" s="316"/>
      <c r="T3885" s="355"/>
    </row>
    <row r="3886" spans="14:20" x14ac:dyDescent="0.25">
      <c r="N3886" s="514"/>
      <c r="R3886" s="293"/>
      <c r="S3886" s="316"/>
      <c r="T3886" s="355"/>
    </row>
    <row r="3887" spans="14:20" x14ac:dyDescent="0.25">
      <c r="N3887" s="514"/>
      <c r="R3887" s="293"/>
      <c r="S3887" s="316"/>
      <c r="T3887" s="355"/>
    </row>
    <row r="3888" spans="14:20" x14ac:dyDescent="0.25">
      <c r="N3888" s="514"/>
      <c r="R3888" s="293"/>
      <c r="S3888" s="316"/>
      <c r="T3888" s="355"/>
    </row>
    <row r="3889" spans="14:20" x14ac:dyDescent="0.25">
      <c r="N3889" s="514"/>
      <c r="R3889" s="293"/>
      <c r="S3889" s="316"/>
      <c r="T3889" s="355"/>
    </row>
    <row r="3890" spans="14:20" x14ac:dyDescent="0.25">
      <c r="N3890" s="514"/>
      <c r="R3890" s="293"/>
      <c r="S3890" s="316"/>
      <c r="T3890" s="355"/>
    </row>
    <row r="3891" spans="14:20" x14ac:dyDescent="0.25">
      <c r="N3891" s="514"/>
      <c r="R3891" s="293"/>
      <c r="S3891" s="316"/>
      <c r="T3891" s="355"/>
    </row>
    <row r="3892" spans="14:20" x14ac:dyDescent="0.25">
      <c r="N3892" s="514"/>
      <c r="R3892" s="293"/>
      <c r="S3892" s="316"/>
      <c r="T3892" s="355"/>
    </row>
    <row r="3893" spans="14:20" x14ac:dyDescent="0.25">
      <c r="N3893" s="514"/>
      <c r="R3893" s="293"/>
      <c r="S3893" s="316"/>
      <c r="T3893" s="355"/>
    </row>
    <row r="3894" spans="14:20" x14ac:dyDescent="0.25">
      <c r="N3894" s="514"/>
      <c r="R3894" s="293"/>
      <c r="S3894" s="316"/>
      <c r="T3894" s="355"/>
    </row>
    <row r="3895" spans="14:20" x14ac:dyDescent="0.25">
      <c r="N3895" s="514"/>
      <c r="R3895" s="293"/>
      <c r="S3895" s="316"/>
      <c r="T3895" s="355"/>
    </row>
    <row r="3896" spans="14:20" x14ac:dyDescent="0.25">
      <c r="N3896" s="514"/>
      <c r="R3896" s="293"/>
      <c r="S3896" s="316"/>
      <c r="T3896" s="355"/>
    </row>
    <row r="3897" spans="14:20" x14ac:dyDescent="0.25">
      <c r="N3897" s="514"/>
      <c r="R3897" s="293"/>
      <c r="S3897" s="316"/>
      <c r="T3897" s="355"/>
    </row>
    <row r="3898" spans="14:20" x14ac:dyDescent="0.25">
      <c r="N3898" s="514"/>
      <c r="R3898" s="293"/>
      <c r="S3898" s="316"/>
      <c r="T3898" s="355"/>
    </row>
    <row r="3899" spans="14:20" x14ac:dyDescent="0.25">
      <c r="N3899" s="514"/>
      <c r="R3899" s="293"/>
      <c r="S3899" s="316"/>
      <c r="T3899" s="355"/>
    </row>
    <row r="3900" spans="14:20" x14ac:dyDescent="0.25">
      <c r="N3900" s="514"/>
      <c r="R3900" s="293"/>
      <c r="S3900" s="316"/>
      <c r="T3900" s="355"/>
    </row>
    <row r="3901" spans="14:20" x14ac:dyDescent="0.25">
      <c r="N3901" s="514"/>
      <c r="R3901" s="293"/>
      <c r="S3901" s="316"/>
      <c r="T3901" s="355"/>
    </row>
    <row r="3902" spans="14:20" x14ac:dyDescent="0.25">
      <c r="N3902" s="514"/>
      <c r="R3902" s="293"/>
      <c r="S3902" s="316"/>
      <c r="T3902" s="355"/>
    </row>
    <row r="3903" spans="14:20" x14ac:dyDescent="0.25">
      <c r="N3903" s="514"/>
      <c r="R3903" s="293"/>
      <c r="S3903" s="316"/>
      <c r="T3903" s="355"/>
    </row>
    <row r="3904" spans="14:20" x14ac:dyDescent="0.25">
      <c r="N3904" s="514"/>
      <c r="R3904" s="293"/>
      <c r="S3904" s="316"/>
      <c r="T3904" s="355"/>
    </row>
    <row r="3905" spans="14:20" x14ac:dyDescent="0.25">
      <c r="N3905" s="514"/>
      <c r="R3905" s="293"/>
      <c r="S3905" s="316"/>
      <c r="T3905" s="355"/>
    </row>
    <row r="3906" spans="14:20" x14ac:dyDescent="0.25">
      <c r="N3906" s="514"/>
      <c r="R3906" s="293"/>
      <c r="S3906" s="316"/>
      <c r="T3906" s="355"/>
    </row>
    <row r="3907" spans="14:20" x14ac:dyDescent="0.25">
      <c r="N3907" s="514"/>
      <c r="R3907" s="293"/>
      <c r="S3907" s="316"/>
      <c r="T3907" s="355"/>
    </row>
    <row r="3908" spans="14:20" x14ac:dyDescent="0.25">
      <c r="N3908" s="514"/>
      <c r="R3908" s="293"/>
      <c r="S3908" s="316"/>
      <c r="T3908" s="355"/>
    </row>
    <row r="3909" spans="14:20" x14ac:dyDescent="0.25">
      <c r="N3909" s="514"/>
      <c r="R3909" s="293"/>
      <c r="S3909" s="316"/>
      <c r="T3909" s="355"/>
    </row>
    <row r="3910" spans="14:20" x14ac:dyDescent="0.25">
      <c r="N3910" s="514"/>
      <c r="R3910" s="293"/>
      <c r="S3910" s="316"/>
      <c r="T3910" s="355"/>
    </row>
    <row r="3911" spans="14:20" x14ac:dyDescent="0.25">
      <c r="N3911" s="514"/>
      <c r="R3911" s="293"/>
      <c r="S3911" s="316"/>
      <c r="T3911" s="355"/>
    </row>
    <row r="3912" spans="14:20" x14ac:dyDescent="0.25">
      <c r="N3912" s="514"/>
      <c r="R3912" s="293"/>
      <c r="S3912" s="316"/>
      <c r="T3912" s="355"/>
    </row>
    <row r="3913" spans="14:20" x14ac:dyDescent="0.25">
      <c r="N3913" s="514"/>
      <c r="R3913" s="293"/>
      <c r="S3913" s="316"/>
      <c r="T3913" s="355"/>
    </row>
    <row r="3914" spans="14:20" x14ac:dyDescent="0.25">
      <c r="N3914" s="514"/>
      <c r="R3914" s="293"/>
      <c r="S3914" s="316"/>
      <c r="T3914" s="355"/>
    </row>
    <row r="3915" spans="14:20" x14ac:dyDescent="0.25">
      <c r="N3915" s="514"/>
      <c r="R3915" s="293"/>
      <c r="S3915" s="316"/>
      <c r="T3915" s="355"/>
    </row>
    <row r="3916" spans="14:20" x14ac:dyDescent="0.25">
      <c r="N3916" s="514"/>
      <c r="R3916" s="293"/>
      <c r="S3916" s="316"/>
      <c r="T3916" s="355"/>
    </row>
    <row r="3917" spans="14:20" x14ac:dyDescent="0.25">
      <c r="N3917" s="514"/>
      <c r="R3917" s="293"/>
      <c r="S3917" s="316"/>
      <c r="T3917" s="355"/>
    </row>
    <row r="3918" spans="14:20" x14ac:dyDescent="0.25">
      <c r="N3918" s="514"/>
      <c r="R3918" s="293"/>
      <c r="S3918" s="316"/>
      <c r="T3918" s="355"/>
    </row>
    <row r="3919" spans="14:20" x14ac:dyDescent="0.25">
      <c r="N3919" s="514"/>
      <c r="R3919" s="293"/>
      <c r="S3919" s="316"/>
      <c r="T3919" s="355"/>
    </row>
    <row r="3920" spans="14:20" x14ac:dyDescent="0.25">
      <c r="N3920" s="514"/>
      <c r="R3920" s="293"/>
      <c r="S3920" s="316"/>
      <c r="T3920" s="355"/>
    </row>
    <row r="3921" spans="14:20" x14ac:dyDescent="0.25">
      <c r="N3921" s="514"/>
      <c r="R3921" s="293"/>
      <c r="S3921" s="316"/>
      <c r="T3921" s="355"/>
    </row>
    <row r="3922" spans="14:20" x14ac:dyDescent="0.25">
      <c r="N3922" s="514"/>
      <c r="R3922" s="293"/>
      <c r="S3922" s="316"/>
      <c r="T3922" s="355"/>
    </row>
    <row r="3923" spans="14:20" x14ac:dyDescent="0.25">
      <c r="N3923" s="514"/>
      <c r="R3923" s="293"/>
      <c r="S3923" s="316"/>
      <c r="T3923" s="355"/>
    </row>
    <row r="3924" spans="14:20" x14ac:dyDescent="0.25">
      <c r="N3924" s="514"/>
      <c r="R3924" s="293"/>
      <c r="S3924" s="316"/>
      <c r="T3924" s="355"/>
    </row>
    <row r="3925" spans="14:20" x14ac:dyDescent="0.25">
      <c r="N3925" s="514"/>
      <c r="R3925" s="293"/>
      <c r="S3925" s="316"/>
      <c r="T3925" s="355"/>
    </row>
    <row r="3926" spans="14:20" x14ac:dyDescent="0.25">
      <c r="N3926" s="514"/>
      <c r="R3926" s="293"/>
      <c r="S3926" s="316"/>
      <c r="T3926" s="355"/>
    </row>
    <row r="3927" spans="14:20" x14ac:dyDescent="0.25">
      <c r="N3927" s="514"/>
      <c r="R3927" s="293"/>
      <c r="S3927" s="316"/>
      <c r="T3927" s="355"/>
    </row>
    <row r="3928" spans="14:20" x14ac:dyDescent="0.25">
      <c r="N3928" s="514"/>
      <c r="R3928" s="293"/>
      <c r="S3928" s="316"/>
      <c r="T3928" s="355"/>
    </row>
    <row r="3929" spans="14:20" x14ac:dyDescent="0.25">
      <c r="N3929" s="514"/>
      <c r="R3929" s="293"/>
      <c r="S3929" s="316"/>
      <c r="T3929" s="355"/>
    </row>
    <row r="3930" spans="14:20" x14ac:dyDescent="0.25">
      <c r="N3930" s="514"/>
      <c r="R3930" s="293"/>
      <c r="S3930" s="316"/>
      <c r="T3930" s="355"/>
    </row>
    <row r="3931" spans="14:20" x14ac:dyDescent="0.25">
      <c r="N3931" s="514"/>
      <c r="R3931" s="293"/>
      <c r="S3931" s="316"/>
      <c r="T3931" s="355"/>
    </row>
    <row r="3932" spans="14:20" x14ac:dyDescent="0.25">
      <c r="N3932" s="514"/>
      <c r="R3932" s="293"/>
      <c r="S3932" s="316"/>
      <c r="T3932" s="355"/>
    </row>
    <row r="3933" spans="14:20" x14ac:dyDescent="0.25">
      <c r="N3933" s="514"/>
      <c r="R3933" s="293"/>
      <c r="S3933" s="316"/>
      <c r="T3933" s="355"/>
    </row>
    <row r="3934" spans="14:20" x14ac:dyDescent="0.25">
      <c r="N3934" s="514"/>
      <c r="R3934" s="293"/>
      <c r="S3934" s="316"/>
      <c r="T3934" s="355"/>
    </row>
    <row r="3935" spans="14:20" x14ac:dyDescent="0.25">
      <c r="N3935" s="514"/>
      <c r="R3935" s="293"/>
      <c r="S3935" s="316"/>
      <c r="T3935" s="355"/>
    </row>
    <row r="3936" spans="14:20" x14ac:dyDescent="0.25">
      <c r="N3936" s="514"/>
      <c r="R3936" s="293"/>
      <c r="S3936" s="316"/>
      <c r="T3936" s="355"/>
    </row>
    <row r="3937" spans="14:20" x14ac:dyDescent="0.25">
      <c r="N3937" s="514"/>
      <c r="R3937" s="293"/>
      <c r="S3937" s="316"/>
      <c r="T3937" s="355"/>
    </row>
    <row r="3938" spans="14:20" x14ac:dyDescent="0.25">
      <c r="N3938" s="514"/>
      <c r="R3938" s="293"/>
      <c r="S3938" s="316"/>
      <c r="T3938" s="355"/>
    </row>
    <row r="3939" spans="14:20" x14ac:dyDescent="0.25">
      <c r="N3939" s="514"/>
      <c r="R3939" s="293"/>
      <c r="S3939" s="316"/>
      <c r="T3939" s="355"/>
    </row>
    <row r="3940" spans="14:20" x14ac:dyDescent="0.25">
      <c r="N3940" s="514"/>
      <c r="R3940" s="293"/>
      <c r="S3940" s="316"/>
      <c r="T3940" s="355"/>
    </row>
    <row r="3941" spans="14:20" x14ac:dyDescent="0.25">
      <c r="N3941" s="514"/>
      <c r="R3941" s="293"/>
      <c r="S3941" s="316"/>
      <c r="T3941" s="355"/>
    </row>
    <row r="3942" spans="14:20" x14ac:dyDescent="0.25">
      <c r="N3942" s="514"/>
      <c r="R3942" s="293"/>
      <c r="S3942" s="316"/>
      <c r="T3942" s="355"/>
    </row>
    <row r="3943" spans="14:20" x14ac:dyDescent="0.25">
      <c r="N3943" s="514"/>
      <c r="R3943" s="293"/>
      <c r="S3943" s="316"/>
      <c r="T3943" s="355"/>
    </row>
    <row r="3944" spans="14:20" x14ac:dyDescent="0.25">
      <c r="N3944" s="514"/>
      <c r="R3944" s="293"/>
      <c r="S3944" s="316"/>
      <c r="T3944" s="355"/>
    </row>
    <row r="3945" spans="14:20" x14ac:dyDescent="0.25">
      <c r="N3945" s="514"/>
      <c r="R3945" s="293"/>
      <c r="S3945" s="316"/>
      <c r="T3945" s="355"/>
    </row>
    <row r="3946" spans="14:20" x14ac:dyDescent="0.25">
      <c r="N3946" s="514"/>
      <c r="R3946" s="293"/>
      <c r="S3946" s="316"/>
      <c r="T3946" s="355"/>
    </row>
    <row r="3947" spans="14:20" x14ac:dyDescent="0.25">
      <c r="N3947" s="514"/>
      <c r="R3947" s="293"/>
      <c r="S3947" s="316"/>
      <c r="T3947" s="355"/>
    </row>
    <row r="3948" spans="14:20" x14ac:dyDescent="0.25">
      <c r="N3948" s="514"/>
      <c r="R3948" s="293"/>
      <c r="S3948" s="316"/>
      <c r="T3948" s="355"/>
    </row>
    <row r="3949" spans="14:20" x14ac:dyDescent="0.25">
      <c r="N3949" s="514"/>
      <c r="R3949" s="293"/>
      <c r="S3949" s="316"/>
      <c r="T3949" s="355"/>
    </row>
    <row r="3950" spans="14:20" x14ac:dyDescent="0.25">
      <c r="N3950" s="514"/>
      <c r="R3950" s="293"/>
      <c r="S3950" s="316"/>
      <c r="T3950" s="355"/>
    </row>
    <row r="3951" spans="14:20" x14ac:dyDescent="0.25">
      <c r="N3951" s="514"/>
      <c r="R3951" s="293"/>
      <c r="S3951" s="316"/>
      <c r="T3951" s="355"/>
    </row>
    <row r="3952" spans="14:20" x14ac:dyDescent="0.25">
      <c r="N3952" s="514"/>
      <c r="R3952" s="293"/>
      <c r="S3952" s="316"/>
      <c r="T3952" s="355"/>
    </row>
    <row r="3953" spans="14:20" x14ac:dyDescent="0.25">
      <c r="N3953" s="514"/>
      <c r="R3953" s="293"/>
      <c r="S3953" s="316"/>
      <c r="T3953" s="355"/>
    </row>
    <row r="3954" spans="14:20" x14ac:dyDescent="0.25">
      <c r="N3954" s="514"/>
      <c r="R3954" s="293"/>
      <c r="S3954" s="316"/>
      <c r="T3954" s="355"/>
    </row>
    <row r="3955" spans="14:20" x14ac:dyDescent="0.25">
      <c r="N3955" s="514"/>
      <c r="R3955" s="293"/>
      <c r="S3955" s="316"/>
      <c r="T3955" s="355"/>
    </row>
    <row r="3956" spans="14:20" x14ac:dyDescent="0.25">
      <c r="N3956" s="514"/>
      <c r="R3956" s="293"/>
      <c r="S3956" s="316"/>
      <c r="T3956" s="355"/>
    </row>
    <row r="3957" spans="14:20" x14ac:dyDescent="0.25">
      <c r="N3957" s="514"/>
      <c r="R3957" s="293"/>
      <c r="S3957" s="316"/>
      <c r="T3957" s="355"/>
    </row>
    <row r="3958" spans="14:20" x14ac:dyDescent="0.25">
      <c r="N3958" s="514"/>
      <c r="R3958" s="293"/>
      <c r="S3958" s="316"/>
      <c r="T3958" s="355"/>
    </row>
    <row r="3959" spans="14:20" x14ac:dyDescent="0.25">
      <c r="N3959" s="514"/>
      <c r="R3959" s="293"/>
      <c r="S3959" s="316"/>
      <c r="T3959" s="355"/>
    </row>
    <row r="3960" spans="14:20" x14ac:dyDescent="0.25">
      <c r="N3960" s="514"/>
      <c r="R3960" s="293"/>
      <c r="S3960" s="316"/>
      <c r="T3960" s="355"/>
    </row>
    <row r="3961" spans="14:20" x14ac:dyDescent="0.25">
      <c r="N3961" s="514"/>
      <c r="R3961" s="293"/>
      <c r="S3961" s="316"/>
      <c r="T3961" s="355"/>
    </row>
    <row r="3962" spans="14:20" x14ac:dyDescent="0.25">
      <c r="N3962" s="514"/>
      <c r="R3962" s="293"/>
      <c r="S3962" s="316"/>
      <c r="T3962" s="355"/>
    </row>
    <row r="3963" spans="14:20" x14ac:dyDescent="0.25">
      <c r="N3963" s="514"/>
      <c r="R3963" s="293"/>
      <c r="S3963" s="316"/>
      <c r="T3963" s="355"/>
    </row>
    <row r="3964" spans="14:20" x14ac:dyDescent="0.25">
      <c r="N3964" s="514"/>
      <c r="R3964" s="293"/>
      <c r="S3964" s="316"/>
      <c r="T3964" s="355"/>
    </row>
    <row r="3965" spans="14:20" x14ac:dyDescent="0.25">
      <c r="N3965" s="514"/>
      <c r="R3965" s="293"/>
      <c r="S3965" s="316"/>
      <c r="T3965" s="355"/>
    </row>
    <row r="3966" spans="14:20" x14ac:dyDescent="0.25">
      <c r="N3966" s="514"/>
      <c r="R3966" s="293"/>
      <c r="S3966" s="316"/>
      <c r="T3966" s="355"/>
    </row>
    <row r="3967" spans="14:20" x14ac:dyDescent="0.25">
      <c r="N3967" s="514"/>
      <c r="R3967" s="293"/>
      <c r="S3967" s="316"/>
      <c r="T3967" s="355"/>
    </row>
    <row r="3968" spans="14:20" x14ac:dyDescent="0.25">
      <c r="N3968" s="514"/>
      <c r="R3968" s="293"/>
      <c r="S3968" s="316"/>
      <c r="T3968" s="355"/>
    </row>
    <row r="3969" spans="14:20" x14ac:dyDescent="0.25">
      <c r="N3969" s="514"/>
      <c r="R3969" s="293"/>
      <c r="S3969" s="316"/>
      <c r="T3969" s="355"/>
    </row>
    <row r="3970" spans="14:20" x14ac:dyDescent="0.25">
      <c r="N3970" s="514"/>
      <c r="R3970" s="293"/>
      <c r="S3970" s="316"/>
      <c r="T3970" s="355"/>
    </row>
    <row r="3971" spans="14:20" x14ac:dyDescent="0.25">
      <c r="N3971" s="514"/>
      <c r="R3971" s="293"/>
      <c r="S3971" s="316"/>
      <c r="T3971" s="355"/>
    </row>
    <row r="3972" spans="14:20" x14ac:dyDescent="0.25">
      <c r="N3972" s="514"/>
      <c r="R3972" s="293"/>
      <c r="S3972" s="316"/>
      <c r="T3972" s="355"/>
    </row>
    <row r="3973" spans="14:20" x14ac:dyDescent="0.25">
      <c r="N3973" s="514"/>
      <c r="R3973" s="293"/>
      <c r="S3973" s="316"/>
      <c r="T3973" s="355"/>
    </row>
    <row r="3974" spans="14:20" x14ac:dyDescent="0.25">
      <c r="N3974" s="514"/>
      <c r="R3974" s="293"/>
      <c r="S3974" s="316"/>
      <c r="T3974" s="355"/>
    </row>
    <row r="3975" spans="14:20" x14ac:dyDescent="0.25">
      <c r="N3975" s="514"/>
      <c r="R3975" s="293"/>
      <c r="S3975" s="316"/>
      <c r="T3975" s="355"/>
    </row>
    <row r="3976" spans="14:20" x14ac:dyDescent="0.25">
      <c r="N3976" s="514"/>
      <c r="R3976" s="293"/>
      <c r="S3976" s="316"/>
      <c r="T3976" s="355"/>
    </row>
    <row r="3977" spans="14:20" x14ac:dyDescent="0.25">
      <c r="N3977" s="514"/>
      <c r="R3977" s="293"/>
      <c r="S3977" s="316"/>
      <c r="T3977" s="355"/>
    </row>
    <row r="3978" spans="14:20" x14ac:dyDescent="0.25">
      <c r="N3978" s="514"/>
      <c r="R3978" s="293"/>
      <c r="S3978" s="316"/>
      <c r="T3978" s="355"/>
    </row>
    <row r="3979" spans="14:20" x14ac:dyDescent="0.25">
      <c r="N3979" s="514"/>
      <c r="R3979" s="293"/>
      <c r="S3979" s="316"/>
      <c r="T3979" s="355"/>
    </row>
    <row r="3980" spans="14:20" x14ac:dyDescent="0.25">
      <c r="N3980" s="514"/>
      <c r="R3980" s="293"/>
      <c r="S3980" s="316"/>
      <c r="T3980" s="355"/>
    </row>
    <row r="3981" spans="14:20" x14ac:dyDescent="0.25">
      <c r="N3981" s="514"/>
      <c r="R3981" s="293"/>
      <c r="S3981" s="316"/>
      <c r="T3981" s="355"/>
    </row>
    <row r="3982" spans="14:20" x14ac:dyDescent="0.25">
      <c r="N3982" s="514"/>
      <c r="R3982" s="293"/>
      <c r="S3982" s="316"/>
      <c r="T3982" s="355"/>
    </row>
    <row r="3983" spans="14:20" x14ac:dyDescent="0.25">
      <c r="N3983" s="514"/>
      <c r="R3983" s="293"/>
      <c r="S3983" s="316"/>
      <c r="T3983" s="355"/>
    </row>
    <row r="3984" spans="14:20" x14ac:dyDescent="0.25">
      <c r="N3984" s="514"/>
      <c r="R3984" s="293"/>
      <c r="S3984" s="316"/>
      <c r="T3984" s="355"/>
    </row>
    <row r="3985" spans="14:20" x14ac:dyDescent="0.25">
      <c r="N3985" s="514"/>
      <c r="R3985" s="293"/>
      <c r="S3985" s="316"/>
      <c r="T3985" s="355"/>
    </row>
    <row r="3986" spans="14:20" x14ac:dyDescent="0.25">
      <c r="N3986" s="514"/>
      <c r="R3986" s="293"/>
      <c r="S3986" s="316"/>
      <c r="T3986" s="355"/>
    </row>
    <row r="3987" spans="14:20" x14ac:dyDescent="0.25">
      <c r="N3987" s="514"/>
      <c r="R3987" s="293"/>
      <c r="S3987" s="316"/>
      <c r="T3987" s="355"/>
    </row>
    <row r="3988" spans="14:20" x14ac:dyDescent="0.25">
      <c r="N3988" s="514"/>
      <c r="R3988" s="293"/>
      <c r="S3988" s="316"/>
      <c r="T3988" s="355"/>
    </row>
    <row r="3989" spans="14:20" x14ac:dyDescent="0.25">
      <c r="N3989" s="514"/>
      <c r="R3989" s="293"/>
      <c r="S3989" s="316"/>
      <c r="T3989" s="355"/>
    </row>
    <row r="3990" spans="14:20" x14ac:dyDescent="0.25">
      <c r="N3990" s="514"/>
      <c r="R3990" s="293"/>
      <c r="S3990" s="316"/>
      <c r="T3990" s="355"/>
    </row>
    <row r="3991" spans="14:20" x14ac:dyDescent="0.25">
      <c r="N3991" s="514"/>
      <c r="R3991" s="293"/>
      <c r="S3991" s="316"/>
      <c r="T3991" s="355"/>
    </row>
    <row r="3992" spans="14:20" x14ac:dyDescent="0.25">
      <c r="N3992" s="514"/>
      <c r="R3992" s="293"/>
      <c r="S3992" s="316"/>
      <c r="T3992" s="355"/>
    </row>
    <row r="3993" spans="14:20" x14ac:dyDescent="0.25">
      <c r="N3993" s="514"/>
      <c r="R3993" s="293"/>
      <c r="S3993" s="316"/>
      <c r="T3993" s="355"/>
    </row>
    <row r="3994" spans="14:20" x14ac:dyDescent="0.25">
      <c r="N3994" s="514"/>
      <c r="R3994" s="293"/>
      <c r="S3994" s="316"/>
      <c r="T3994" s="355"/>
    </row>
    <row r="3995" spans="14:20" x14ac:dyDescent="0.25">
      <c r="N3995" s="514"/>
      <c r="R3995" s="293"/>
      <c r="S3995" s="316"/>
      <c r="T3995" s="355"/>
    </row>
    <row r="3996" spans="14:20" x14ac:dyDescent="0.25">
      <c r="N3996" s="514"/>
      <c r="R3996" s="293"/>
      <c r="S3996" s="316"/>
      <c r="T3996" s="355"/>
    </row>
    <row r="3997" spans="14:20" x14ac:dyDescent="0.25">
      <c r="N3997" s="514"/>
      <c r="R3997" s="293"/>
      <c r="S3997" s="316"/>
      <c r="T3997" s="355"/>
    </row>
    <row r="3998" spans="14:20" x14ac:dyDescent="0.25">
      <c r="N3998" s="514"/>
      <c r="R3998" s="293"/>
      <c r="S3998" s="316"/>
      <c r="T3998" s="355"/>
    </row>
    <row r="3999" spans="14:20" x14ac:dyDescent="0.25">
      <c r="N3999" s="514"/>
      <c r="R3999" s="293"/>
      <c r="S3999" s="316"/>
      <c r="T3999" s="355"/>
    </row>
    <row r="4000" spans="14:20" x14ac:dyDescent="0.25">
      <c r="N4000" s="514"/>
      <c r="R4000" s="293"/>
      <c r="S4000" s="316"/>
      <c r="T4000" s="355"/>
    </row>
    <row r="4001" spans="14:20" x14ac:dyDescent="0.25">
      <c r="N4001" s="514"/>
      <c r="R4001" s="293"/>
      <c r="S4001" s="316"/>
      <c r="T4001" s="355"/>
    </row>
    <row r="4002" spans="14:20" x14ac:dyDescent="0.25">
      <c r="N4002" s="514"/>
      <c r="R4002" s="293"/>
      <c r="S4002" s="316"/>
      <c r="T4002" s="355"/>
    </row>
    <row r="4003" spans="14:20" x14ac:dyDescent="0.25">
      <c r="N4003" s="514"/>
      <c r="R4003" s="293"/>
      <c r="S4003" s="316"/>
      <c r="T4003" s="355"/>
    </row>
    <row r="4004" spans="14:20" x14ac:dyDescent="0.25">
      <c r="N4004" s="514"/>
      <c r="R4004" s="293"/>
      <c r="S4004" s="316"/>
      <c r="T4004" s="355"/>
    </row>
    <row r="4005" spans="14:20" x14ac:dyDescent="0.25">
      <c r="N4005" s="514"/>
      <c r="R4005" s="293"/>
      <c r="S4005" s="316"/>
      <c r="T4005" s="355"/>
    </row>
    <row r="4006" spans="14:20" x14ac:dyDescent="0.25">
      <c r="N4006" s="514"/>
      <c r="R4006" s="293"/>
      <c r="S4006" s="316"/>
      <c r="T4006" s="355"/>
    </row>
    <row r="4007" spans="14:20" x14ac:dyDescent="0.25">
      <c r="N4007" s="514"/>
      <c r="R4007" s="293"/>
      <c r="S4007" s="316"/>
      <c r="T4007" s="355"/>
    </row>
    <row r="4008" spans="14:20" x14ac:dyDescent="0.25">
      <c r="N4008" s="514"/>
      <c r="R4008" s="293"/>
      <c r="S4008" s="316"/>
      <c r="T4008" s="355"/>
    </row>
    <row r="4009" spans="14:20" x14ac:dyDescent="0.25">
      <c r="N4009" s="514"/>
      <c r="R4009" s="293"/>
      <c r="S4009" s="316"/>
      <c r="T4009" s="355"/>
    </row>
    <row r="4010" spans="14:20" x14ac:dyDescent="0.25">
      <c r="N4010" s="514"/>
      <c r="R4010" s="293"/>
      <c r="S4010" s="316"/>
      <c r="T4010" s="355"/>
    </row>
    <row r="4011" spans="14:20" x14ac:dyDescent="0.25">
      <c r="N4011" s="514"/>
      <c r="R4011" s="293"/>
      <c r="S4011" s="316"/>
      <c r="T4011" s="355"/>
    </row>
    <row r="4012" spans="14:20" x14ac:dyDescent="0.25">
      <c r="N4012" s="514"/>
      <c r="R4012" s="293"/>
      <c r="S4012" s="316"/>
      <c r="T4012" s="355"/>
    </row>
    <row r="4013" spans="14:20" x14ac:dyDescent="0.25">
      <c r="N4013" s="514"/>
      <c r="R4013" s="293"/>
      <c r="S4013" s="316"/>
      <c r="T4013" s="355"/>
    </row>
    <row r="4014" spans="14:20" x14ac:dyDescent="0.25">
      <c r="N4014" s="514"/>
      <c r="R4014" s="293"/>
      <c r="S4014" s="316"/>
      <c r="T4014" s="355"/>
    </row>
    <row r="4015" spans="14:20" x14ac:dyDescent="0.25">
      <c r="N4015" s="514"/>
      <c r="R4015" s="293"/>
      <c r="S4015" s="316"/>
      <c r="T4015" s="355"/>
    </row>
    <row r="4016" spans="14:20" x14ac:dyDescent="0.25">
      <c r="N4016" s="514"/>
      <c r="R4016" s="293"/>
      <c r="S4016" s="316"/>
      <c r="T4016" s="355"/>
    </row>
    <row r="4017" spans="14:20" x14ac:dyDescent="0.25">
      <c r="N4017" s="514"/>
      <c r="R4017" s="293"/>
      <c r="S4017" s="316"/>
      <c r="T4017" s="355"/>
    </row>
    <row r="4018" spans="14:20" x14ac:dyDescent="0.25">
      <c r="N4018" s="514"/>
      <c r="R4018" s="293"/>
      <c r="S4018" s="316"/>
      <c r="T4018" s="355"/>
    </row>
    <row r="4019" spans="14:20" x14ac:dyDescent="0.25">
      <c r="N4019" s="514"/>
      <c r="R4019" s="293"/>
      <c r="S4019" s="316"/>
      <c r="T4019" s="355"/>
    </row>
    <row r="4020" spans="14:20" x14ac:dyDescent="0.25">
      <c r="N4020" s="514"/>
      <c r="R4020" s="293"/>
      <c r="S4020" s="316"/>
      <c r="T4020" s="355"/>
    </row>
    <row r="4021" spans="14:20" x14ac:dyDescent="0.25">
      <c r="N4021" s="514"/>
      <c r="R4021" s="293"/>
      <c r="S4021" s="316"/>
      <c r="T4021" s="355"/>
    </row>
    <row r="4022" spans="14:20" x14ac:dyDescent="0.25">
      <c r="N4022" s="514"/>
      <c r="R4022" s="293"/>
      <c r="S4022" s="316"/>
      <c r="T4022" s="355"/>
    </row>
    <row r="4023" spans="14:20" x14ac:dyDescent="0.25">
      <c r="N4023" s="514"/>
      <c r="R4023" s="293"/>
      <c r="S4023" s="316"/>
      <c r="T4023" s="355"/>
    </row>
    <row r="4024" spans="14:20" x14ac:dyDescent="0.25">
      <c r="N4024" s="514"/>
      <c r="R4024" s="293"/>
      <c r="S4024" s="316"/>
      <c r="T4024" s="355"/>
    </row>
    <row r="4025" spans="14:20" x14ac:dyDescent="0.25">
      <c r="N4025" s="514"/>
      <c r="R4025" s="293"/>
      <c r="S4025" s="316"/>
      <c r="T4025" s="355"/>
    </row>
    <row r="4026" spans="14:20" x14ac:dyDescent="0.25">
      <c r="N4026" s="514"/>
      <c r="R4026" s="293"/>
      <c r="S4026" s="316"/>
      <c r="T4026" s="355"/>
    </row>
    <row r="4027" spans="14:20" x14ac:dyDescent="0.25">
      <c r="N4027" s="514"/>
      <c r="R4027" s="293"/>
      <c r="S4027" s="316"/>
      <c r="T4027" s="355"/>
    </row>
    <row r="4028" spans="14:20" x14ac:dyDescent="0.25">
      <c r="N4028" s="514"/>
      <c r="R4028" s="293"/>
      <c r="S4028" s="316"/>
      <c r="T4028" s="355"/>
    </row>
    <row r="4029" spans="14:20" x14ac:dyDescent="0.25">
      <c r="N4029" s="514"/>
      <c r="R4029" s="293"/>
      <c r="S4029" s="316"/>
      <c r="T4029" s="355"/>
    </row>
    <row r="4030" spans="14:20" x14ac:dyDescent="0.25">
      <c r="N4030" s="514"/>
      <c r="R4030" s="293"/>
      <c r="S4030" s="316"/>
      <c r="T4030" s="355"/>
    </row>
    <row r="4031" spans="14:20" x14ac:dyDescent="0.25">
      <c r="N4031" s="514"/>
      <c r="R4031" s="293"/>
      <c r="S4031" s="316"/>
      <c r="T4031" s="355"/>
    </row>
    <row r="4032" spans="14:20" x14ac:dyDescent="0.25">
      <c r="N4032" s="514"/>
      <c r="R4032" s="293"/>
      <c r="S4032" s="316"/>
      <c r="T4032" s="355"/>
    </row>
    <row r="4033" spans="14:20" x14ac:dyDescent="0.25">
      <c r="N4033" s="514"/>
      <c r="R4033" s="293"/>
      <c r="S4033" s="316"/>
      <c r="T4033" s="355"/>
    </row>
    <row r="4034" spans="14:20" x14ac:dyDescent="0.25">
      <c r="N4034" s="514"/>
      <c r="R4034" s="293"/>
      <c r="S4034" s="316"/>
      <c r="T4034" s="355"/>
    </row>
    <row r="4035" spans="14:20" x14ac:dyDescent="0.25">
      <c r="N4035" s="514"/>
      <c r="R4035" s="293"/>
      <c r="S4035" s="316"/>
      <c r="T4035" s="355"/>
    </row>
    <row r="4036" spans="14:20" x14ac:dyDescent="0.25">
      <c r="N4036" s="514"/>
      <c r="R4036" s="293"/>
      <c r="S4036" s="316"/>
      <c r="T4036" s="355"/>
    </row>
    <row r="4037" spans="14:20" x14ac:dyDescent="0.25">
      <c r="N4037" s="514"/>
      <c r="R4037" s="293"/>
      <c r="S4037" s="316"/>
      <c r="T4037" s="355"/>
    </row>
    <row r="4038" spans="14:20" x14ac:dyDescent="0.25">
      <c r="N4038" s="514"/>
      <c r="R4038" s="293"/>
      <c r="S4038" s="316"/>
      <c r="T4038" s="355"/>
    </row>
    <row r="4039" spans="14:20" x14ac:dyDescent="0.25">
      <c r="N4039" s="514"/>
      <c r="R4039" s="293"/>
      <c r="S4039" s="316"/>
      <c r="T4039" s="355"/>
    </row>
    <row r="4040" spans="14:20" x14ac:dyDescent="0.25">
      <c r="N4040" s="514"/>
      <c r="R4040" s="293"/>
      <c r="S4040" s="316"/>
      <c r="T4040" s="355"/>
    </row>
    <row r="4041" spans="14:20" x14ac:dyDescent="0.25">
      <c r="N4041" s="514"/>
      <c r="R4041" s="293"/>
      <c r="S4041" s="316"/>
      <c r="T4041" s="355"/>
    </row>
    <row r="4042" spans="14:20" x14ac:dyDescent="0.25">
      <c r="N4042" s="514"/>
      <c r="R4042" s="293"/>
      <c r="S4042" s="316"/>
      <c r="T4042" s="355"/>
    </row>
    <row r="4043" spans="14:20" x14ac:dyDescent="0.25">
      <c r="N4043" s="514"/>
      <c r="R4043" s="293"/>
      <c r="S4043" s="316"/>
      <c r="T4043" s="355"/>
    </row>
    <row r="4044" spans="14:20" x14ac:dyDescent="0.25">
      <c r="N4044" s="514"/>
      <c r="R4044" s="293"/>
      <c r="S4044" s="316"/>
      <c r="T4044" s="355"/>
    </row>
    <row r="4045" spans="14:20" x14ac:dyDescent="0.25">
      <c r="N4045" s="514"/>
      <c r="R4045" s="293"/>
      <c r="S4045" s="316"/>
      <c r="T4045" s="355"/>
    </row>
    <row r="4046" spans="14:20" x14ac:dyDescent="0.25">
      <c r="N4046" s="514"/>
      <c r="R4046" s="293"/>
      <c r="S4046" s="316"/>
      <c r="T4046" s="355"/>
    </row>
    <row r="4047" spans="14:20" x14ac:dyDescent="0.25">
      <c r="N4047" s="514"/>
      <c r="R4047" s="293"/>
      <c r="S4047" s="316"/>
      <c r="T4047" s="355"/>
    </row>
    <row r="4048" spans="14:20" x14ac:dyDescent="0.25">
      <c r="N4048" s="514"/>
      <c r="R4048" s="293"/>
      <c r="S4048" s="316"/>
      <c r="T4048" s="355"/>
    </row>
    <row r="4049" spans="14:20" x14ac:dyDescent="0.25">
      <c r="N4049" s="514"/>
      <c r="R4049" s="293"/>
      <c r="S4049" s="316"/>
      <c r="T4049" s="355"/>
    </row>
    <row r="4050" spans="14:20" x14ac:dyDescent="0.25">
      <c r="N4050" s="514"/>
      <c r="R4050" s="293"/>
      <c r="S4050" s="316"/>
      <c r="T4050" s="355"/>
    </row>
    <row r="4051" spans="14:20" x14ac:dyDescent="0.25">
      <c r="N4051" s="514"/>
      <c r="R4051" s="293"/>
      <c r="S4051" s="316"/>
      <c r="T4051" s="355"/>
    </row>
    <row r="4052" spans="14:20" x14ac:dyDescent="0.25">
      <c r="N4052" s="514"/>
      <c r="R4052" s="293"/>
      <c r="S4052" s="316"/>
      <c r="T4052" s="355"/>
    </row>
    <row r="4053" spans="14:20" x14ac:dyDescent="0.25">
      <c r="N4053" s="514"/>
      <c r="R4053" s="293"/>
      <c r="S4053" s="316"/>
      <c r="T4053" s="355"/>
    </row>
    <row r="4054" spans="14:20" x14ac:dyDescent="0.25">
      <c r="N4054" s="514"/>
      <c r="R4054" s="293"/>
      <c r="S4054" s="316"/>
      <c r="T4054" s="355"/>
    </row>
    <row r="4055" spans="14:20" x14ac:dyDescent="0.25">
      <c r="N4055" s="514"/>
      <c r="R4055" s="293"/>
      <c r="S4055" s="316"/>
      <c r="T4055" s="355"/>
    </row>
    <row r="4056" spans="14:20" x14ac:dyDescent="0.25">
      <c r="N4056" s="514"/>
      <c r="R4056" s="293"/>
      <c r="S4056" s="316"/>
      <c r="T4056" s="355"/>
    </row>
    <row r="4057" spans="14:20" x14ac:dyDescent="0.25">
      <c r="N4057" s="514"/>
      <c r="R4057" s="293"/>
      <c r="S4057" s="316"/>
      <c r="T4057" s="355"/>
    </row>
    <row r="4058" spans="14:20" x14ac:dyDescent="0.25">
      <c r="N4058" s="514"/>
      <c r="R4058" s="293"/>
      <c r="S4058" s="316"/>
      <c r="T4058" s="355"/>
    </row>
    <row r="4059" spans="14:20" x14ac:dyDescent="0.25">
      <c r="N4059" s="514"/>
      <c r="R4059" s="293"/>
      <c r="S4059" s="316"/>
      <c r="T4059" s="355"/>
    </row>
    <row r="4060" spans="14:20" x14ac:dyDescent="0.25">
      <c r="N4060" s="514"/>
      <c r="R4060" s="293"/>
      <c r="S4060" s="316"/>
      <c r="T4060" s="355"/>
    </row>
    <row r="4061" spans="14:20" x14ac:dyDescent="0.25">
      <c r="N4061" s="514"/>
      <c r="R4061" s="293"/>
      <c r="S4061" s="316"/>
      <c r="T4061" s="355"/>
    </row>
    <row r="4062" spans="14:20" x14ac:dyDescent="0.25">
      <c r="N4062" s="514"/>
      <c r="R4062" s="293"/>
      <c r="S4062" s="316"/>
      <c r="T4062" s="355"/>
    </row>
    <row r="4063" spans="14:20" x14ac:dyDescent="0.25">
      <c r="N4063" s="514"/>
      <c r="R4063" s="293"/>
      <c r="S4063" s="316"/>
      <c r="T4063" s="355"/>
    </row>
    <row r="4064" spans="14:20" x14ac:dyDescent="0.25">
      <c r="N4064" s="514"/>
      <c r="R4064" s="293"/>
      <c r="S4064" s="316"/>
      <c r="T4064" s="355"/>
    </row>
    <row r="4065" spans="14:20" x14ac:dyDescent="0.25">
      <c r="N4065" s="514"/>
      <c r="R4065" s="293"/>
      <c r="S4065" s="316"/>
      <c r="T4065" s="355"/>
    </row>
    <row r="4066" spans="14:20" x14ac:dyDescent="0.25">
      <c r="N4066" s="514"/>
      <c r="R4066" s="293"/>
      <c r="S4066" s="316"/>
      <c r="T4066" s="355"/>
    </row>
    <row r="4067" spans="14:20" x14ac:dyDescent="0.25">
      <c r="N4067" s="514"/>
      <c r="R4067" s="293"/>
      <c r="S4067" s="316"/>
      <c r="T4067" s="355"/>
    </row>
    <row r="4068" spans="14:20" x14ac:dyDescent="0.25">
      <c r="N4068" s="514"/>
      <c r="R4068" s="293"/>
      <c r="S4068" s="316"/>
      <c r="T4068" s="355"/>
    </row>
    <row r="4069" spans="14:20" x14ac:dyDescent="0.25">
      <c r="N4069" s="514"/>
      <c r="R4069" s="293"/>
      <c r="S4069" s="316"/>
      <c r="T4069" s="355"/>
    </row>
    <row r="4070" spans="14:20" x14ac:dyDescent="0.25">
      <c r="N4070" s="514"/>
      <c r="R4070" s="293"/>
      <c r="S4070" s="316"/>
      <c r="T4070" s="355"/>
    </row>
    <row r="4071" spans="14:20" x14ac:dyDescent="0.25">
      <c r="N4071" s="514"/>
      <c r="R4071" s="293"/>
      <c r="S4071" s="316"/>
      <c r="T4071" s="355"/>
    </row>
    <row r="4072" spans="14:20" x14ac:dyDescent="0.25">
      <c r="N4072" s="514"/>
      <c r="R4072" s="293"/>
      <c r="S4072" s="316"/>
      <c r="T4072" s="355"/>
    </row>
    <row r="4073" spans="14:20" x14ac:dyDescent="0.25">
      <c r="N4073" s="514"/>
      <c r="R4073" s="293"/>
      <c r="S4073" s="316"/>
      <c r="T4073" s="355"/>
    </row>
    <row r="4074" spans="14:20" x14ac:dyDescent="0.25">
      <c r="N4074" s="514"/>
      <c r="R4074" s="293"/>
      <c r="S4074" s="316"/>
      <c r="T4074" s="355"/>
    </row>
    <row r="4075" spans="14:20" x14ac:dyDescent="0.25">
      <c r="N4075" s="514"/>
      <c r="R4075" s="293"/>
      <c r="S4075" s="316"/>
      <c r="T4075" s="355"/>
    </row>
    <row r="4076" spans="14:20" x14ac:dyDescent="0.25">
      <c r="N4076" s="514"/>
      <c r="R4076" s="293"/>
      <c r="S4076" s="316"/>
      <c r="T4076" s="355"/>
    </row>
    <row r="4077" spans="14:20" x14ac:dyDescent="0.25">
      <c r="N4077" s="514"/>
      <c r="R4077" s="293"/>
      <c r="S4077" s="316"/>
      <c r="T4077" s="355"/>
    </row>
    <row r="4078" spans="14:20" x14ac:dyDescent="0.25">
      <c r="N4078" s="514"/>
      <c r="R4078" s="293"/>
      <c r="S4078" s="316"/>
      <c r="T4078" s="355"/>
    </row>
    <row r="4079" spans="14:20" x14ac:dyDescent="0.25">
      <c r="N4079" s="514"/>
      <c r="R4079" s="293"/>
      <c r="S4079" s="316"/>
      <c r="T4079" s="355"/>
    </row>
    <row r="4080" spans="14:20" x14ac:dyDescent="0.25">
      <c r="N4080" s="514"/>
      <c r="R4080" s="293"/>
      <c r="S4080" s="316"/>
      <c r="T4080" s="355"/>
    </row>
    <row r="4081" spans="14:20" x14ac:dyDescent="0.25">
      <c r="N4081" s="514"/>
      <c r="R4081" s="293"/>
      <c r="S4081" s="316"/>
      <c r="T4081" s="355"/>
    </row>
    <row r="4082" spans="14:20" x14ac:dyDescent="0.25">
      <c r="N4082" s="514"/>
      <c r="R4082" s="293"/>
      <c r="S4082" s="316"/>
      <c r="T4082" s="355"/>
    </row>
    <row r="4083" spans="14:20" x14ac:dyDescent="0.25">
      <c r="N4083" s="514"/>
      <c r="R4083" s="293"/>
      <c r="S4083" s="316"/>
      <c r="T4083" s="355"/>
    </row>
    <row r="4084" spans="14:20" x14ac:dyDescent="0.25">
      <c r="N4084" s="514"/>
      <c r="R4084" s="293"/>
      <c r="S4084" s="316"/>
      <c r="T4084" s="355"/>
    </row>
    <row r="4085" spans="14:20" x14ac:dyDescent="0.25">
      <c r="N4085" s="514"/>
      <c r="R4085" s="293"/>
      <c r="S4085" s="316"/>
      <c r="T4085" s="355"/>
    </row>
    <row r="4086" spans="14:20" x14ac:dyDescent="0.25">
      <c r="N4086" s="514"/>
      <c r="R4086" s="293"/>
      <c r="S4086" s="316"/>
      <c r="T4086" s="355"/>
    </row>
    <row r="4087" spans="14:20" x14ac:dyDescent="0.25">
      <c r="N4087" s="514"/>
      <c r="R4087" s="293"/>
      <c r="S4087" s="316"/>
      <c r="T4087" s="355"/>
    </row>
    <row r="4088" spans="14:20" x14ac:dyDescent="0.25">
      <c r="N4088" s="514"/>
      <c r="R4088" s="293"/>
      <c r="S4088" s="316"/>
      <c r="T4088" s="355"/>
    </row>
    <row r="4089" spans="14:20" x14ac:dyDescent="0.25">
      <c r="N4089" s="514"/>
      <c r="R4089" s="293"/>
      <c r="S4089" s="316"/>
      <c r="T4089" s="355"/>
    </row>
    <row r="4090" spans="14:20" x14ac:dyDescent="0.25">
      <c r="N4090" s="514"/>
      <c r="R4090" s="293"/>
      <c r="S4090" s="316"/>
      <c r="T4090" s="355"/>
    </row>
    <row r="4091" spans="14:20" x14ac:dyDescent="0.25">
      <c r="N4091" s="514"/>
      <c r="R4091" s="293"/>
      <c r="S4091" s="316"/>
      <c r="T4091" s="355"/>
    </row>
    <row r="4092" spans="14:20" x14ac:dyDescent="0.25">
      <c r="N4092" s="514"/>
      <c r="R4092" s="293"/>
      <c r="S4092" s="316"/>
      <c r="T4092" s="355"/>
    </row>
    <row r="4093" spans="14:20" x14ac:dyDescent="0.25">
      <c r="N4093" s="514"/>
      <c r="R4093" s="293"/>
      <c r="S4093" s="316"/>
      <c r="T4093" s="355"/>
    </row>
    <row r="4094" spans="14:20" x14ac:dyDescent="0.25">
      <c r="N4094" s="514"/>
      <c r="R4094" s="293"/>
      <c r="S4094" s="316"/>
      <c r="T4094" s="355"/>
    </row>
    <row r="4095" spans="14:20" x14ac:dyDescent="0.25">
      <c r="N4095" s="514"/>
      <c r="R4095" s="293"/>
      <c r="S4095" s="316"/>
      <c r="T4095" s="355"/>
    </row>
    <row r="4096" spans="14:20" x14ac:dyDescent="0.25">
      <c r="N4096" s="514"/>
      <c r="R4096" s="293"/>
      <c r="S4096" s="316"/>
      <c r="T4096" s="355"/>
    </row>
    <row r="4097" spans="14:20" x14ac:dyDescent="0.25">
      <c r="N4097" s="514"/>
      <c r="R4097" s="293"/>
      <c r="S4097" s="316"/>
      <c r="T4097" s="355"/>
    </row>
    <row r="4098" spans="14:20" x14ac:dyDescent="0.25">
      <c r="N4098" s="514"/>
      <c r="R4098" s="293"/>
      <c r="S4098" s="316"/>
      <c r="T4098" s="355"/>
    </row>
    <row r="4099" spans="14:20" x14ac:dyDescent="0.25">
      <c r="N4099" s="514"/>
      <c r="R4099" s="293"/>
      <c r="S4099" s="316"/>
      <c r="T4099" s="355"/>
    </row>
    <row r="4100" spans="14:20" x14ac:dyDescent="0.25">
      <c r="N4100" s="514"/>
      <c r="R4100" s="293"/>
      <c r="S4100" s="316"/>
      <c r="T4100" s="355"/>
    </row>
    <row r="4101" spans="14:20" x14ac:dyDescent="0.25">
      <c r="N4101" s="514"/>
      <c r="R4101" s="293"/>
      <c r="S4101" s="316"/>
      <c r="T4101" s="355"/>
    </row>
    <row r="4102" spans="14:20" x14ac:dyDescent="0.25">
      <c r="N4102" s="514"/>
      <c r="R4102" s="293"/>
      <c r="S4102" s="316"/>
      <c r="T4102" s="355"/>
    </row>
    <row r="4103" spans="14:20" x14ac:dyDescent="0.25">
      <c r="N4103" s="514"/>
      <c r="R4103" s="293"/>
      <c r="S4103" s="316"/>
      <c r="T4103" s="355"/>
    </row>
    <row r="4104" spans="14:20" x14ac:dyDescent="0.25">
      <c r="N4104" s="514"/>
      <c r="R4104" s="293"/>
      <c r="S4104" s="316"/>
      <c r="T4104" s="355"/>
    </row>
    <row r="4105" spans="14:20" x14ac:dyDescent="0.25">
      <c r="N4105" s="514"/>
      <c r="R4105" s="293"/>
      <c r="S4105" s="316"/>
      <c r="T4105" s="355"/>
    </row>
    <row r="4106" spans="14:20" x14ac:dyDescent="0.25">
      <c r="N4106" s="514"/>
      <c r="R4106" s="293"/>
      <c r="S4106" s="316"/>
      <c r="T4106" s="355"/>
    </row>
    <row r="4107" spans="14:20" x14ac:dyDescent="0.25">
      <c r="N4107" s="514"/>
      <c r="R4107" s="293"/>
      <c r="S4107" s="316"/>
      <c r="T4107" s="355"/>
    </row>
    <row r="4108" spans="14:20" x14ac:dyDescent="0.25">
      <c r="N4108" s="514"/>
      <c r="R4108" s="293"/>
      <c r="S4108" s="316"/>
      <c r="T4108" s="355"/>
    </row>
    <row r="4109" spans="14:20" x14ac:dyDescent="0.25">
      <c r="N4109" s="514"/>
      <c r="R4109" s="293"/>
      <c r="S4109" s="316"/>
      <c r="T4109" s="355"/>
    </row>
    <row r="4110" spans="14:20" x14ac:dyDescent="0.25">
      <c r="N4110" s="514"/>
      <c r="R4110" s="293"/>
      <c r="S4110" s="316"/>
      <c r="T4110" s="355"/>
    </row>
    <row r="4111" spans="14:20" x14ac:dyDescent="0.25">
      <c r="N4111" s="514"/>
      <c r="R4111" s="293"/>
      <c r="S4111" s="316"/>
      <c r="T4111" s="355"/>
    </row>
    <row r="4112" spans="14:20" x14ac:dyDescent="0.25">
      <c r="N4112" s="514"/>
      <c r="R4112" s="293"/>
      <c r="S4112" s="316"/>
      <c r="T4112" s="355"/>
    </row>
    <row r="4113" spans="14:20" x14ac:dyDescent="0.25">
      <c r="N4113" s="514"/>
      <c r="R4113" s="293"/>
      <c r="S4113" s="316"/>
      <c r="T4113" s="355"/>
    </row>
    <row r="4114" spans="14:20" x14ac:dyDescent="0.25">
      <c r="N4114" s="514"/>
      <c r="R4114" s="293"/>
      <c r="S4114" s="316"/>
      <c r="T4114" s="355"/>
    </row>
    <row r="4115" spans="14:20" x14ac:dyDescent="0.25">
      <c r="N4115" s="514"/>
      <c r="R4115" s="293"/>
      <c r="S4115" s="316"/>
      <c r="T4115" s="355"/>
    </row>
    <row r="4116" spans="14:20" x14ac:dyDescent="0.25">
      <c r="N4116" s="514"/>
      <c r="R4116" s="293"/>
      <c r="S4116" s="316"/>
      <c r="T4116" s="355"/>
    </row>
    <row r="4117" spans="14:20" x14ac:dyDescent="0.25">
      <c r="N4117" s="514"/>
      <c r="R4117" s="293"/>
      <c r="S4117" s="316"/>
      <c r="T4117" s="355"/>
    </row>
    <row r="4118" spans="14:20" x14ac:dyDescent="0.25">
      <c r="N4118" s="514"/>
      <c r="R4118" s="293"/>
      <c r="S4118" s="316"/>
      <c r="T4118" s="355"/>
    </row>
    <row r="4119" spans="14:20" x14ac:dyDescent="0.25">
      <c r="N4119" s="514"/>
      <c r="R4119" s="293"/>
      <c r="S4119" s="316"/>
      <c r="T4119" s="355"/>
    </row>
    <row r="4120" spans="14:20" x14ac:dyDescent="0.25">
      <c r="N4120" s="514"/>
      <c r="R4120" s="293"/>
      <c r="S4120" s="316"/>
      <c r="T4120" s="355"/>
    </row>
    <row r="4121" spans="14:20" x14ac:dyDescent="0.25">
      <c r="N4121" s="514"/>
      <c r="R4121" s="293"/>
      <c r="S4121" s="316"/>
      <c r="T4121" s="355"/>
    </row>
    <row r="4122" spans="14:20" x14ac:dyDescent="0.25">
      <c r="N4122" s="514"/>
      <c r="R4122" s="293"/>
      <c r="S4122" s="316"/>
      <c r="T4122" s="355"/>
    </row>
    <row r="4123" spans="14:20" x14ac:dyDescent="0.25">
      <c r="N4123" s="514"/>
      <c r="R4123" s="293"/>
      <c r="S4123" s="316"/>
      <c r="T4123" s="355"/>
    </row>
    <row r="4124" spans="14:20" x14ac:dyDescent="0.25">
      <c r="N4124" s="514"/>
      <c r="R4124" s="293"/>
      <c r="S4124" s="316"/>
      <c r="T4124" s="355"/>
    </row>
    <row r="4125" spans="14:20" x14ac:dyDescent="0.25">
      <c r="N4125" s="514"/>
      <c r="R4125" s="293"/>
      <c r="S4125" s="316"/>
      <c r="T4125" s="355"/>
    </row>
    <row r="4126" spans="14:20" x14ac:dyDescent="0.25">
      <c r="N4126" s="514"/>
      <c r="R4126" s="293"/>
      <c r="S4126" s="316"/>
      <c r="T4126" s="355"/>
    </row>
    <row r="4127" spans="14:20" x14ac:dyDescent="0.25">
      <c r="N4127" s="514"/>
      <c r="R4127" s="293"/>
      <c r="S4127" s="316"/>
      <c r="T4127" s="355"/>
    </row>
    <row r="4128" spans="14:20" x14ac:dyDescent="0.25">
      <c r="N4128" s="514"/>
      <c r="R4128" s="293"/>
      <c r="S4128" s="316"/>
      <c r="T4128" s="355"/>
    </row>
    <row r="4129" spans="14:20" x14ac:dyDescent="0.25">
      <c r="N4129" s="514"/>
      <c r="R4129" s="293"/>
      <c r="S4129" s="316"/>
      <c r="T4129" s="355"/>
    </row>
    <row r="4130" spans="14:20" x14ac:dyDescent="0.25">
      <c r="N4130" s="514"/>
      <c r="R4130" s="293"/>
      <c r="S4130" s="316"/>
      <c r="T4130" s="355"/>
    </row>
    <row r="4131" spans="14:20" x14ac:dyDescent="0.25">
      <c r="N4131" s="514"/>
      <c r="R4131" s="293"/>
      <c r="S4131" s="316"/>
      <c r="T4131" s="355"/>
    </row>
    <row r="4132" spans="14:20" x14ac:dyDescent="0.25">
      <c r="N4132" s="514"/>
      <c r="R4132" s="293"/>
      <c r="S4132" s="316"/>
      <c r="T4132" s="355"/>
    </row>
    <row r="4133" spans="14:20" x14ac:dyDescent="0.25">
      <c r="N4133" s="514"/>
      <c r="R4133" s="293"/>
      <c r="S4133" s="316"/>
      <c r="T4133" s="355"/>
    </row>
    <row r="4134" spans="14:20" x14ac:dyDescent="0.25">
      <c r="N4134" s="514"/>
      <c r="R4134" s="293"/>
      <c r="S4134" s="316"/>
      <c r="T4134" s="355"/>
    </row>
    <row r="4135" spans="14:20" x14ac:dyDescent="0.25">
      <c r="N4135" s="514"/>
      <c r="R4135" s="293"/>
      <c r="S4135" s="316"/>
      <c r="T4135" s="355"/>
    </row>
    <row r="4136" spans="14:20" x14ac:dyDescent="0.25">
      <c r="N4136" s="514"/>
      <c r="R4136" s="293"/>
      <c r="S4136" s="316"/>
      <c r="T4136" s="355"/>
    </row>
    <row r="4137" spans="14:20" x14ac:dyDescent="0.25">
      <c r="N4137" s="514"/>
      <c r="R4137" s="293"/>
      <c r="S4137" s="316"/>
      <c r="T4137" s="355"/>
    </row>
    <row r="4138" spans="14:20" x14ac:dyDescent="0.25">
      <c r="N4138" s="514"/>
      <c r="R4138" s="293"/>
      <c r="S4138" s="316"/>
      <c r="T4138" s="355"/>
    </row>
    <row r="4139" spans="14:20" x14ac:dyDescent="0.25">
      <c r="N4139" s="514"/>
      <c r="R4139" s="293"/>
      <c r="S4139" s="316"/>
      <c r="T4139" s="355"/>
    </row>
    <row r="4140" spans="14:20" x14ac:dyDescent="0.25">
      <c r="N4140" s="514"/>
      <c r="R4140" s="293"/>
      <c r="S4140" s="316"/>
      <c r="T4140" s="355"/>
    </row>
    <row r="4141" spans="14:20" x14ac:dyDescent="0.25">
      <c r="N4141" s="514"/>
      <c r="R4141" s="293"/>
      <c r="S4141" s="316"/>
      <c r="T4141" s="355"/>
    </row>
    <row r="4142" spans="14:20" x14ac:dyDescent="0.25">
      <c r="N4142" s="514"/>
      <c r="R4142" s="293"/>
      <c r="S4142" s="316"/>
      <c r="T4142" s="355"/>
    </row>
    <row r="4143" spans="14:20" x14ac:dyDescent="0.25">
      <c r="N4143" s="514"/>
      <c r="R4143" s="293"/>
      <c r="S4143" s="316"/>
      <c r="T4143" s="355"/>
    </row>
    <row r="4144" spans="14:20" x14ac:dyDescent="0.25">
      <c r="N4144" s="514"/>
      <c r="R4144" s="293"/>
      <c r="S4144" s="316"/>
      <c r="T4144" s="355"/>
    </row>
    <row r="4145" spans="14:20" x14ac:dyDescent="0.25">
      <c r="N4145" s="514"/>
      <c r="R4145" s="293"/>
      <c r="S4145" s="316"/>
      <c r="T4145" s="355"/>
    </row>
    <row r="4146" spans="14:20" x14ac:dyDescent="0.25">
      <c r="N4146" s="514"/>
      <c r="R4146" s="293"/>
      <c r="S4146" s="316"/>
      <c r="T4146" s="355"/>
    </row>
    <row r="4147" spans="14:20" x14ac:dyDescent="0.25">
      <c r="N4147" s="514"/>
      <c r="R4147" s="293"/>
      <c r="S4147" s="316"/>
      <c r="T4147" s="355"/>
    </row>
    <row r="4148" spans="14:20" x14ac:dyDescent="0.25">
      <c r="N4148" s="514"/>
      <c r="R4148" s="293"/>
      <c r="S4148" s="316"/>
      <c r="T4148" s="355"/>
    </row>
    <row r="4149" spans="14:20" x14ac:dyDescent="0.25">
      <c r="N4149" s="514"/>
      <c r="R4149" s="293"/>
      <c r="S4149" s="316"/>
      <c r="T4149" s="355"/>
    </row>
    <row r="4150" spans="14:20" x14ac:dyDescent="0.25">
      <c r="N4150" s="514"/>
      <c r="R4150" s="293"/>
      <c r="S4150" s="316"/>
      <c r="T4150" s="355"/>
    </row>
    <row r="4151" spans="14:20" x14ac:dyDescent="0.25">
      <c r="N4151" s="514"/>
      <c r="R4151" s="293"/>
      <c r="S4151" s="316"/>
      <c r="T4151" s="355"/>
    </row>
    <row r="4152" spans="14:20" x14ac:dyDescent="0.25">
      <c r="N4152" s="514"/>
      <c r="R4152" s="293"/>
      <c r="S4152" s="316"/>
      <c r="T4152" s="355"/>
    </row>
    <row r="4153" spans="14:20" x14ac:dyDescent="0.25">
      <c r="N4153" s="514"/>
      <c r="R4153" s="293"/>
      <c r="S4153" s="316"/>
      <c r="T4153" s="355"/>
    </row>
    <row r="4154" spans="14:20" x14ac:dyDescent="0.25">
      <c r="N4154" s="514"/>
      <c r="R4154" s="293"/>
      <c r="S4154" s="316"/>
      <c r="T4154" s="355"/>
    </row>
    <row r="4155" spans="14:20" x14ac:dyDescent="0.25">
      <c r="N4155" s="514"/>
      <c r="R4155" s="293"/>
      <c r="S4155" s="316"/>
      <c r="T4155" s="355"/>
    </row>
    <row r="4156" spans="14:20" x14ac:dyDescent="0.25">
      <c r="N4156" s="514"/>
      <c r="R4156" s="293"/>
      <c r="S4156" s="316"/>
      <c r="T4156" s="355"/>
    </row>
    <row r="4157" spans="14:20" x14ac:dyDescent="0.25">
      <c r="N4157" s="514"/>
      <c r="R4157" s="293"/>
      <c r="S4157" s="316"/>
      <c r="T4157" s="355"/>
    </row>
    <row r="4158" spans="14:20" x14ac:dyDescent="0.25">
      <c r="N4158" s="514"/>
      <c r="R4158" s="293"/>
      <c r="S4158" s="316"/>
      <c r="T4158" s="355"/>
    </row>
    <row r="4159" spans="14:20" x14ac:dyDescent="0.25">
      <c r="N4159" s="514"/>
      <c r="R4159" s="293"/>
      <c r="S4159" s="316"/>
      <c r="T4159" s="355"/>
    </row>
    <row r="4160" spans="14:20" x14ac:dyDescent="0.25">
      <c r="N4160" s="514"/>
      <c r="R4160" s="293"/>
      <c r="S4160" s="316"/>
      <c r="T4160" s="355"/>
    </row>
    <row r="4161" spans="14:20" x14ac:dyDescent="0.25">
      <c r="N4161" s="514"/>
      <c r="R4161" s="293"/>
      <c r="S4161" s="316"/>
      <c r="T4161" s="355"/>
    </row>
    <row r="4162" spans="14:20" x14ac:dyDescent="0.25">
      <c r="N4162" s="514"/>
      <c r="R4162" s="293"/>
      <c r="S4162" s="316"/>
      <c r="T4162" s="355"/>
    </row>
    <row r="4163" spans="14:20" x14ac:dyDescent="0.25">
      <c r="N4163" s="514"/>
      <c r="R4163" s="293"/>
      <c r="S4163" s="316"/>
      <c r="T4163" s="355"/>
    </row>
    <row r="4164" spans="14:20" x14ac:dyDescent="0.25">
      <c r="N4164" s="514"/>
      <c r="R4164" s="293"/>
      <c r="S4164" s="316"/>
      <c r="T4164" s="355"/>
    </row>
    <row r="4165" spans="14:20" x14ac:dyDescent="0.25">
      <c r="N4165" s="514"/>
      <c r="R4165" s="293"/>
      <c r="S4165" s="316"/>
      <c r="T4165" s="355"/>
    </row>
    <row r="4166" spans="14:20" x14ac:dyDescent="0.25">
      <c r="N4166" s="514"/>
      <c r="R4166" s="293"/>
      <c r="S4166" s="316"/>
      <c r="T4166" s="355"/>
    </row>
    <row r="4167" spans="14:20" x14ac:dyDescent="0.25">
      <c r="N4167" s="514"/>
      <c r="R4167" s="293"/>
      <c r="S4167" s="316"/>
      <c r="T4167" s="355"/>
    </row>
    <row r="4168" spans="14:20" x14ac:dyDescent="0.25">
      <c r="N4168" s="514"/>
      <c r="R4168" s="293"/>
      <c r="S4168" s="316"/>
      <c r="T4168" s="355"/>
    </row>
    <row r="4169" spans="14:20" x14ac:dyDescent="0.25">
      <c r="N4169" s="514"/>
      <c r="R4169" s="293"/>
      <c r="S4169" s="316"/>
      <c r="T4169" s="355"/>
    </row>
    <row r="4170" spans="14:20" x14ac:dyDescent="0.25">
      <c r="N4170" s="514"/>
      <c r="R4170" s="293"/>
      <c r="S4170" s="316"/>
      <c r="T4170" s="355"/>
    </row>
    <row r="4171" spans="14:20" x14ac:dyDescent="0.25">
      <c r="N4171" s="514"/>
      <c r="R4171" s="293"/>
      <c r="S4171" s="316"/>
      <c r="T4171" s="355"/>
    </row>
    <row r="4172" spans="14:20" x14ac:dyDescent="0.25">
      <c r="N4172" s="514"/>
      <c r="R4172" s="293"/>
      <c r="S4172" s="316"/>
      <c r="T4172" s="355"/>
    </row>
    <row r="4173" spans="14:20" x14ac:dyDescent="0.25">
      <c r="N4173" s="514"/>
      <c r="R4173" s="293"/>
      <c r="S4173" s="316"/>
      <c r="T4173" s="355"/>
    </row>
    <row r="4174" spans="14:20" x14ac:dyDescent="0.25">
      <c r="N4174" s="514"/>
      <c r="R4174" s="293"/>
      <c r="S4174" s="316"/>
      <c r="T4174" s="355"/>
    </row>
    <row r="4175" spans="14:20" x14ac:dyDescent="0.25">
      <c r="N4175" s="514"/>
      <c r="R4175" s="293"/>
      <c r="S4175" s="316"/>
      <c r="T4175" s="355"/>
    </row>
    <row r="4176" spans="14:20" x14ac:dyDescent="0.25">
      <c r="N4176" s="514"/>
      <c r="R4176" s="293"/>
      <c r="S4176" s="316"/>
      <c r="T4176" s="355"/>
    </row>
    <row r="4177" spans="14:20" x14ac:dyDescent="0.25">
      <c r="N4177" s="514"/>
      <c r="R4177" s="293"/>
      <c r="S4177" s="316"/>
      <c r="T4177" s="355"/>
    </row>
    <row r="4178" spans="14:20" x14ac:dyDescent="0.25">
      <c r="N4178" s="514"/>
      <c r="R4178" s="293"/>
      <c r="S4178" s="316"/>
      <c r="T4178" s="355"/>
    </row>
    <row r="4179" spans="14:20" x14ac:dyDescent="0.25">
      <c r="N4179" s="514"/>
      <c r="R4179" s="293"/>
      <c r="S4179" s="316"/>
      <c r="T4179" s="355"/>
    </row>
    <row r="4180" spans="14:20" x14ac:dyDescent="0.25">
      <c r="N4180" s="514"/>
      <c r="R4180" s="293"/>
      <c r="S4180" s="316"/>
      <c r="T4180" s="355"/>
    </row>
    <row r="4181" spans="14:20" x14ac:dyDescent="0.25">
      <c r="N4181" s="514"/>
      <c r="R4181" s="293"/>
      <c r="S4181" s="316"/>
      <c r="T4181" s="355"/>
    </row>
    <row r="4182" spans="14:20" x14ac:dyDescent="0.25">
      <c r="N4182" s="514"/>
      <c r="R4182" s="293"/>
      <c r="S4182" s="316"/>
      <c r="T4182" s="355"/>
    </row>
    <row r="4183" spans="14:20" x14ac:dyDescent="0.25">
      <c r="N4183" s="514"/>
      <c r="R4183" s="293"/>
      <c r="S4183" s="316"/>
      <c r="T4183" s="355"/>
    </row>
    <row r="4184" spans="14:20" x14ac:dyDescent="0.25">
      <c r="N4184" s="514"/>
      <c r="R4184" s="293"/>
      <c r="S4184" s="316"/>
      <c r="T4184" s="355"/>
    </row>
    <row r="4185" spans="14:20" x14ac:dyDescent="0.25">
      <c r="N4185" s="514"/>
      <c r="R4185" s="293"/>
      <c r="S4185" s="316"/>
      <c r="T4185" s="355"/>
    </row>
    <row r="4186" spans="14:20" x14ac:dyDescent="0.25">
      <c r="N4186" s="514"/>
      <c r="R4186" s="293"/>
      <c r="S4186" s="316"/>
      <c r="T4186" s="355"/>
    </row>
    <row r="4187" spans="14:20" x14ac:dyDescent="0.25">
      <c r="N4187" s="514"/>
      <c r="R4187" s="293"/>
      <c r="S4187" s="316"/>
      <c r="T4187" s="355"/>
    </row>
    <row r="4188" spans="14:20" x14ac:dyDescent="0.25">
      <c r="N4188" s="514"/>
      <c r="R4188" s="293"/>
      <c r="S4188" s="316"/>
      <c r="T4188" s="355"/>
    </row>
    <row r="4189" spans="14:20" x14ac:dyDescent="0.25">
      <c r="N4189" s="514"/>
      <c r="R4189" s="293"/>
      <c r="S4189" s="316"/>
      <c r="T4189" s="355"/>
    </row>
    <row r="4190" spans="14:20" x14ac:dyDescent="0.25">
      <c r="N4190" s="514"/>
      <c r="R4190" s="293"/>
      <c r="S4190" s="316"/>
      <c r="T4190" s="355"/>
    </row>
    <row r="4191" spans="14:20" x14ac:dyDescent="0.25">
      <c r="N4191" s="514"/>
      <c r="R4191" s="293"/>
      <c r="S4191" s="316"/>
      <c r="T4191" s="355"/>
    </row>
    <row r="4192" spans="14:20" x14ac:dyDescent="0.25">
      <c r="N4192" s="514"/>
      <c r="R4192" s="293"/>
      <c r="S4192" s="316"/>
      <c r="T4192" s="355"/>
    </row>
    <row r="4193" spans="14:20" x14ac:dyDescent="0.25">
      <c r="N4193" s="514"/>
      <c r="R4193" s="293"/>
      <c r="S4193" s="316"/>
      <c r="T4193" s="355"/>
    </row>
    <row r="4194" spans="14:20" x14ac:dyDescent="0.25">
      <c r="N4194" s="514"/>
      <c r="R4194" s="293"/>
      <c r="S4194" s="316"/>
      <c r="T4194" s="355"/>
    </row>
    <row r="4195" spans="14:20" x14ac:dyDescent="0.25">
      <c r="N4195" s="514"/>
      <c r="R4195" s="293"/>
      <c r="S4195" s="316"/>
      <c r="T4195" s="355"/>
    </row>
    <row r="4196" spans="14:20" x14ac:dyDescent="0.25">
      <c r="N4196" s="514"/>
      <c r="R4196" s="293"/>
      <c r="S4196" s="316"/>
      <c r="T4196" s="355"/>
    </row>
    <row r="4197" spans="14:20" x14ac:dyDescent="0.25">
      <c r="N4197" s="514"/>
      <c r="R4197" s="293"/>
      <c r="S4197" s="316"/>
      <c r="T4197" s="355"/>
    </row>
    <row r="4198" spans="14:20" x14ac:dyDescent="0.25">
      <c r="N4198" s="514"/>
      <c r="R4198" s="293"/>
      <c r="S4198" s="316"/>
      <c r="T4198" s="355"/>
    </row>
    <row r="4199" spans="14:20" x14ac:dyDescent="0.25">
      <c r="N4199" s="514"/>
      <c r="R4199" s="293"/>
      <c r="S4199" s="316"/>
      <c r="T4199" s="355"/>
    </row>
    <row r="4200" spans="14:20" x14ac:dyDescent="0.25">
      <c r="N4200" s="514"/>
      <c r="R4200" s="293"/>
      <c r="S4200" s="316"/>
      <c r="T4200" s="355"/>
    </row>
    <row r="4201" spans="14:20" x14ac:dyDescent="0.25">
      <c r="N4201" s="514"/>
      <c r="R4201" s="293"/>
      <c r="S4201" s="316"/>
      <c r="T4201" s="355"/>
    </row>
    <row r="4202" spans="14:20" x14ac:dyDescent="0.25">
      <c r="N4202" s="514"/>
      <c r="R4202" s="293"/>
      <c r="S4202" s="316"/>
      <c r="T4202" s="355"/>
    </row>
    <row r="4203" spans="14:20" x14ac:dyDescent="0.25">
      <c r="N4203" s="514"/>
      <c r="R4203" s="293"/>
      <c r="S4203" s="316"/>
      <c r="T4203" s="355"/>
    </row>
    <row r="4204" spans="14:20" x14ac:dyDescent="0.25">
      <c r="N4204" s="514"/>
      <c r="R4204" s="293"/>
      <c r="S4204" s="316"/>
      <c r="T4204" s="355"/>
    </row>
    <row r="4205" spans="14:20" x14ac:dyDescent="0.25">
      <c r="N4205" s="514"/>
      <c r="R4205" s="293"/>
      <c r="S4205" s="316"/>
      <c r="T4205" s="355"/>
    </row>
    <row r="4206" spans="14:20" x14ac:dyDescent="0.25">
      <c r="N4206" s="514"/>
      <c r="R4206" s="293"/>
      <c r="S4206" s="316"/>
      <c r="T4206" s="355"/>
    </row>
    <row r="4207" spans="14:20" x14ac:dyDescent="0.25">
      <c r="N4207" s="514"/>
      <c r="R4207" s="293"/>
      <c r="S4207" s="316"/>
      <c r="T4207" s="355"/>
    </row>
    <row r="4208" spans="14:20" x14ac:dyDescent="0.25">
      <c r="N4208" s="514"/>
      <c r="R4208" s="293"/>
      <c r="S4208" s="316"/>
      <c r="T4208" s="355"/>
    </row>
    <row r="4209" spans="14:20" x14ac:dyDescent="0.25">
      <c r="N4209" s="514"/>
      <c r="R4209" s="293"/>
      <c r="S4209" s="316"/>
      <c r="T4209" s="355"/>
    </row>
    <row r="4210" spans="14:20" x14ac:dyDescent="0.25">
      <c r="N4210" s="514"/>
      <c r="R4210" s="293"/>
      <c r="S4210" s="316"/>
      <c r="T4210" s="355"/>
    </row>
    <row r="4211" spans="14:20" x14ac:dyDescent="0.25">
      <c r="N4211" s="514"/>
      <c r="R4211" s="293"/>
      <c r="S4211" s="316"/>
      <c r="T4211" s="355"/>
    </row>
    <row r="4212" spans="14:20" x14ac:dyDescent="0.25">
      <c r="N4212" s="514"/>
      <c r="R4212" s="293"/>
      <c r="S4212" s="316"/>
      <c r="T4212" s="355"/>
    </row>
    <row r="4213" spans="14:20" x14ac:dyDescent="0.25">
      <c r="N4213" s="514"/>
      <c r="R4213" s="293"/>
      <c r="S4213" s="316"/>
      <c r="T4213" s="355"/>
    </row>
    <row r="4214" spans="14:20" x14ac:dyDescent="0.25">
      <c r="N4214" s="514"/>
      <c r="R4214" s="293"/>
      <c r="S4214" s="316"/>
      <c r="T4214" s="355"/>
    </row>
    <row r="4215" spans="14:20" x14ac:dyDescent="0.25">
      <c r="N4215" s="514"/>
      <c r="R4215" s="293"/>
      <c r="S4215" s="316"/>
      <c r="T4215" s="355"/>
    </row>
    <row r="4216" spans="14:20" x14ac:dyDescent="0.25">
      <c r="N4216" s="514"/>
      <c r="R4216" s="293"/>
      <c r="S4216" s="316"/>
      <c r="T4216" s="355"/>
    </row>
    <row r="4217" spans="14:20" x14ac:dyDescent="0.25">
      <c r="N4217" s="514"/>
      <c r="R4217" s="293"/>
      <c r="S4217" s="316"/>
      <c r="T4217" s="355"/>
    </row>
    <row r="4218" spans="14:20" x14ac:dyDescent="0.25">
      <c r="N4218" s="514"/>
      <c r="R4218" s="293"/>
      <c r="S4218" s="316"/>
      <c r="T4218" s="355"/>
    </row>
    <row r="4219" spans="14:20" x14ac:dyDescent="0.25">
      <c r="N4219" s="514"/>
      <c r="R4219" s="293"/>
      <c r="S4219" s="316"/>
      <c r="T4219" s="355"/>
    </row>
    <row r="4220" spans="14:20" x14ac:dyDescent="0.25">
      <c r="N4220" s="514"/>
      <c r="R4220" s="293"/>
      <c r="S4220" s="316"/>
      <c r="T4220" s="355"/>
    </row>
    <row r="4221" spans="14:20" x14ac:dyDescent="0.25">
      <c r="N4221" s="514"/>
      <c r="R4221" s="293"/>
      <c r="S4221" s="316"/>
      <c r="T4221" s="355"/>
    </row>
    <row r="4222" spans="14:20" x14ac:dyDescent="0.25">
      <c r="N4222" s="514"/>
      <c r="R4222" s="293"/>
      <c r="S4222" s="316"/>
      <c r="T4222" s="355"/>
    </row>
    <row r="4223" spans="14:20" x14ac:dyDescent="0.25">
      <c r="N4223" s="514"/>
      <c r="R4223" s="293"/>
      <c r="S4223" s="316"/>
      <c r="T4223" s="355"/>
    </row>
    <row r="4224" spans="14:20" x14ac:dyDescent="0.25">
      <c r="N4224" s="514"/>
      <c r="R4224" s="293"/>
      <c r="S4224" s="316"/>
      <c r="T4224" s="355"/>
    </row>
    <row r="4225" spans="14:20" x14ac:dyDescent="0.25">
      <c r="N4225" s="514"/>
      <c r="R4225" s="293"/>
      <c r="S4225" s="316"/>
      <c r="T4225" s="355"/>
    </row>
    <row r="4226" spans="14:20" x14ac:dyDescent="0.25">
      <c r="N4226" s="514"/>
      <c r="R4226" s="293"/>
      <c r="S4226" s="316"/>
      <c r="T4226" s="355"/>
    </row>
    <row r="4227" spans="14:20" x14ac:dyDescent="0.25">
      <c r="N4227" s="514"/>
      <c r="R4227" s="293"/>
      <c r="S4227" s="316"/>
      <c r="T4227" s="355"/>
    </row>
    <row r="4228" spans="14:20" x14ac:dyDescent="0.25">
      <c r="N4228" s="514"/>
      <c r="R4228" s="293"/>
      <c r="S4228" s="316"/>
      <c r="T4228" s="355"/>
    </row>
    <row r="4229" spans="14:20" x14ac:dyDescent="0.25">
      <c r="N4229" s="514"/>
      <c r="R4229" s="293"/>
      <c r="S4229" s="316"/>
      <c r="T4229" s="355"/>
    </row>
    <row r="4230" spans="14:20" x14ac:dyDescent="0.25">
      <c r="N4230" s="514"/>
      <c r="R4230" s="293"/>
      <c r="S4230" s="316"/>
      <c r="T4230" s="355"/>
    </row>
    <row r="4231" spans="14:20" x14ac:dyDescent="0.25">
      <c r="N4231" s="514"/>
      <c r="R4231" s="293"/>
      <c r="S4231" s="316"/>
      <c r="T4231" s="355"/>
    </row>
    <row r="4232" spans="14:20" x14ac:dyDescent="0.25">
      <c r="N4232" s="514"/>
      <c r="R4232" s="293"/>
      <c r="S4232" s="316"/>
      <c r="T4232" s="355"/>
    </row>
    <row r="4233" spans="14:20" x14ac:dyDescent="0.25">
      <c r="N4233" s="514"/>
      <c r="R4233" s="293"/>
      <c r="S4233" s="316"/>
      <c r="T4233" s="355"/>
    </row>
    <row r="4234" spans="14:20" x14ac:dyDescent="0.25">
      <c r="N4234" s="514"/>
      <c r="R4234" s="293"/>
      <c r="S4234" s="316"/>
      <c r="T4234" s="355"/>
    </row>
    <row r="4235" spans="14:20" x14ac:dyDescent="0.25">
      <c r="N4235" s="514"/>
      <c r="R4235" s="293"/>
      <c r="S4235" s="316"/>
      <c r="T4235" s="355"/>
    </row>
    <row r="4236" spans="14:20" x14ac:dyDescent="0.25">
      <c r="N4236" s="514"/>
      <c r="R4236" s="293"/>
      <c r="S4236" s="316"/>
      <c r="T4236" s="355"/>
    </row>
    <row r="4237" spans="14:20" x14ac:dyDescent="0.25">
      <c r="N4237" s="514"/>
      <c r="R4237" s="293"/>
      <c r="S4237" s="316"/>
      <c r="T4237" s="355"/>
    </row>
    <row r="4238" spans="14:20" x14ac:dyDescent="0.25">
      <c r="N4238" s="514"/>
      <c r="R4238" s="293"/>
      <c r="S4238" s="316"/>
      <c r="T4238" s="355"/>
    </row>
    <row r="4239" spans="14:20" x14ac:dyDescent="0.25">
      <c r="N4239" s="514"/>
      <c r="R4239" s="293"/>
      <c r="S4239" s="316"/>
      <c r="T4239" s="355"/>
    </row>
    <row r="4240" spans="14:20" x14ac:dyDescent="0.25">
      <c r="N4240" s="514"/>
      <c r="R4240" s="293"/>
      <c r="S4240" s="316"/>
      <c r="T4240" s="355"/>
    </row>
    <row r="4241" spans="14:20" x14ac:dyDescent="0.25">
      <c r="N4241" s="514"/>
      <c r="R4241" s="293"/>
      <c r="S4241" s="316"/>
      <c r="T4241" s="355"/>
    </row>
    <row r="4242" spans="14:20" x14ac:dyDescent="0.25">
      <c r="N4242" s="514"/>
      <c r="R4242" s="293"/>
      <c r="S4242" s="316"/>
      <c r="T4242" s="355"/>
    </row>
    <row r="4243" spans="14:20" x14ac:dyDescent="0.25">
      <c r="N4243" s="514"/>
      <c r="R4243" s="293"/>
      <c r="S4243" s="316"/>
      <c r="T4243" s="355"/>
    </row>
    <row r="4244" spans="14:20" x14ac:dyDescent="0.25">
      <c r="N4244" s="514"/>
      <c r="R4244" s="293"/>
      <c r="S4244" s="316"/>
      <c r="T4244" s="355"/>
    </row>
    <row r="4245" spans="14:20" x14ac:dyDescent="0.25">
      <c r="N4245" s="514"/>
      <c r="R4245" s="293"/>
      <c r="S4245" s="316"/>
      <c r="T4245" s="355"/>
    </row>
    <row r="4246" spans="14:20" x14ac:dyDescent="0.25">
      <c r="N4246" s="514"/>
      <c r="R4246" s="293"/>
      <c r="S4246" s="316"/>
      <c r="T4246" s="355"/>
    </row>
    <row r="4247" spans="14:20" x14ac:dyDescent="0.25">
      <c r="N4247" s="514"/>
      <c r="R4247" s="293"/>
      <c r="S4247" s="316"/>
      <c r="T4247" s="355"/>
    </row>
    <row r="4248" spans="14:20" x14ac:dyDescent="0.25">
      <c r="N4248" s="514"/>
      <c r="R4248" s="293"/>
      <c r="S4248" s="316"/>
      <c r="T4248" s="355"/>
    </row>
    <row r="4249" spans="14:20" x14ac:dyDescent="0.25">
      <c r="N4249" s="514"/>
      <c r="R4249" s="293"/>
      <c r="S4249" s="316"/>
      <c r="T4249" s="355"/>
    </row>
    <row r="4250" spans="14:20" x14ac:dyDescent="0.25">
      <c r="N4250" s="514"/>
      <c r="R4250" s="293"/>
      <c r="S4250" s="316"/>
      <c r="T4250" s="355"/>
    </row>
    <row r="4251" spans="14:20" x14ac:dyDescent="0.25">
      <c r="N4251" s="514"/>
      <c r="R4251" s="293"/>
      <c r="S4251" s="316"/>
      <c r="T4251" s="355"/>
    </row>
    <row r="4252" spans="14:20" x14ac:dyDescent="0.25">
      <c r="N4252" s="514"/>
      <c r="R4252" s="293"/>
      <c r="S4252" s="316"/>
      <c r="T4252" s="355"/>
    </row>
    <row r="4253" spans="14:20" x14ac:dyDescent="0.25">
      <c r="N4253" s="514"/>
      <c r="R4253" s="293"/>
      <c r="S4253" s="316"/>
      <c r="T4253" s="355"/>
    </row>
    <row r="4254" spans="14:20" x14ac:dyDescent="0.25">
      <c r="N4254" s="514"/>
      <c r="R4254" s="293"/>
      <c r="S4254" s="316"/>
      <c r="T4254" s="355"/>
    </row>
    <row r="4255" spans="14:20" x14ac:dyDescent="0.25">
      <c r="N4255" s="514"/>
      <c r="R4255" s="293"/>
      <c r="S4255" s="316"/>
      <c r="T4255" s="355"/>
    </row>
    <row r="4256" spans="14:20" x14ac:dyDescent="0.25">
      <c r="N4256" s="514"/>
      <c r="R4256" s="293"/>
      <c r="S4256" s="316"/>
      <c r="T4256" s="355"/>
    </row>
    <row r="4257" spans="14:20" x14ac:dyDescent="0.25">
      <c r="N4257" s="514"/>
      <c r="R4257" s="293"/>
      <c r="S4257" s="316"/>
      <c r="T4257" s="355"/>
    </row>
    <row r="4258" spans="14:20" x14ac:dyDescent="0.25">
      <c r="N4258" s="514"/>
      <c r="R4258" s="293"/>
      <c r="S4258" s="316"/>
      <c r="T4258" s="355"/>
    </row>
    <row r="4259" spans="14:20" x14ac:dyDescent="0.25">
      <c r="N4259" s="514"/>
      <c r="R4259" s="293"/>
      <c r="S4259" s="316"/>
      <c r="T4259" s="355"/>
    </row>
    <row r="4260" spans="14:20" x14ac:dyDescent="0.25">
      <c r="N4260" s="514"/>
      <c r="R4260" s="293"/>
      <c r="S4260" s="316"/>
      <c r="T4260" s="355"/>
    </row>
    <row r="4261" spans="14:20" x14ac:dyDescent="0.25">
      <c r="N4261" s="514"/>
      <c r="R4261" s="293"/>
      <c r="S4261" s="316"/>
      <c r="T4261" s="355"/>
    </row>
    <row r="4262" spans="14:20" x14ac:dyDescent="0.25">
      <c r="N4262" s="514"/>
      <c r="R4262" s="293"/>
      <c r="S4262" s="316"/>
      <c r="T4262" s="355"/>
    </row>
    <row r="4263" spans="14:20" x14ac:dyDescent="0.25">
      <c r="N4263" s="514"/>
      <c r="R4263" s="293"/>
      <c r="S4263" s="316"/>
      <c r="T4263" s="355"/>
    </row>
    <row r="4264" spans="14:20" x14ac:dyDescent="0.25">
      <c r="N4264" s="514"/>
      <c r="R4264" s="293"/>
      <c r="S4264" s="316"/>
      <c r="T4264" s="355"/>
    </row>
    <row r="4265" spans="14:20" x14ac:dyDescent="0.25">
      <c r="N4265" s="514"/>
      <c r="R4265" s="293"/>
      <c r="S4265" s="316"/>
      <c r="T4265" s="355"/>
    </row>
    <row r="4266" spans="14:20" x14ac:dyDescent="0.25">
      <c r="N4266" s="514"/>
      <c r="R4266" s="293"/>
      <c r="S4266" s="316"/>
      <c r="T4266" s="355"/>
    </row>
    <row r="4267" spans="14:20" x14ac:dyDescent="0.25">
      <c r="N4267" s="514"/>
      <c r="R4267" s="293"/>
      <c r="S4267" s="316"/>
      <c r="T4267" s="355"/>
    </row>
    <row r="4268" spans="14:20" x14ac:dyDescent="0.25">
      <c r="N4268" s="514"/>
      <c r="R4268" s="293"/>
      <c r="S4268" s="316"/>
      <c r="T4268" s="355"/>
    </row>
    <row r="4269" spans="14:20" x14ac:dyDescent="0.25">
      <c r="N4269" s="514"/>
      <c r="R4269" s="293"/>
      <c r="S4269" s="316"/>
      <c r="T4269" s="355"/>
    </row>
    <row r="4270" spans="14:20" x14ac:dyDescent="0.25">
      <c r="N4270" s="514"/>
      <c r="R4270" s="293"/>
      <c r="S4270" s="316"/>
      <c r="T4270" s="355"/>
    </row>
    <row r="4271" spans="14:20" x14ac:dyDescent="0.25">
      <c r="N4271" s="514"/>
      <c r="R4271" s="293"/>
      <c r="S4271" s="316"/>
      <c r="T4271" s="355"/>
    </row>
    <row r="4272" spans="14:20" x14ac:dyDescent="0.25">
      <c r="N4272" s="514"/>
      <c r="R4272" s="293"/>
      <c r="S4272" s="316"/>
      <c r="T4272" s="355"/>
    </row>
    <row r="4273" spans="14:20" x14ac:dyDescent="0.25">
      <c r="N4273" s="514"/>
      <c r="R4273" s="293"/>
      <c r="S4273" s="316"/>
      <c r="T4273" s="355"/>
    </row>
    <row r="4274" spans="14:20" x14ac:dyDescent="0.25">
      <c r="N4274" s="514"/>
      <c r="R4274" s="293"/>
      <c r="S4274" s="316"/>
      <c r="T4274" s="355"/>
    </row>
    <row r="4275" spans="14:20" x14ac:dyDescent="0.25">
      <c r="N4275" s="514"/>
      <c r="R4275" s="293"/>
      <c r="S4275" s="316"/>
      <c r="T4275" s="355"/>
    </row>
    <row r="4276" spans="14:20" x14ac:dyDescent="0.25">
      <c r="N4276" s="514"/>
      <c r="R4276" s="293"/>
      <c r="S4276" s="316"/>
      <c r="T4276" s="355"/>
    </row>
    <row r="4277" spans="14:20" x14ac:dyDescent="0.25">
      <c r="N4277" s="514"/>
      <c r="R4277" s="293"/>
      <c r="S4277" s="316"/>
      <c r="T4277" s="355"/>
    </row>
    <row r="4278" spans="14:20" x14ac:dyDescent="0.25">
      <c r="N4278" s="514"/>
      <c r="R4278" s="293"/>
      <c r="S4278" s="316"/>
      <c r="T4278" s="355"/>
    </row>
    <row r="4279" spans="14:20" x14ac:dyDescent="0.25">
      <c r="N4279" s="514"/>
      <c r="R4279" s="293"/>
      <c r="S4279" s="316"/>
      <c r="T4279" s="355"/>
    </row>
    <row r="4280" spans="14:20" x14ac:dyDescent="0.25">
      <c r="N4280" s="514"/>
      <c r="R4280" s="293"/>
      <c r="S4280" s="316"/>
      <c r="T4280" s="355"/>
    </row>
    <row r="4281" spans="14:20" x14ac:dyDescent="0.25">
      <c r="N4281" s="514"/>
      <c r="R4281" s="293"/>
      <c r="S4281" s="316"/>
      <c r="T4281" s="355"/>
    </row>
    <row r="4282" spans="14:20" x14ac:dyDescent="0.25">
      <c r="N4282" s="514"/>
      <c r="R4282" s="293"/>
      <c r="S4282" s="316"/>
      <c r="T4282" s="355"/>
    </row>
    <row r="4283" spans="14:20" x14ac:dyDescent="0.25">
      <c r="N4283" s="514"/>
      <c r="R4283" s="293"/>
      <c r="S4283" s="316"/>
      <c r="T4283" s="355"/>
    </row>
    <row r="4284" spans="14:20" x14ac:dyDescent="0.25">
      <c r="N4284" s="514"/>
      <c r="R4284" s="293"/>
      <c r="S4284" s="316"/>
      <c r="T4284" s="355"/>
    </row>
    <row r="4285" spans="14:20" x14ac:dyDescent="0.25">
      <c r="N4285" s="514"/>
      <c r="R4285" s="293"/>
      <c r="S4285" s="316"/>
      <c r="T4285" s="355"/>
    </row>
    <row r="4286" spans="14:20" x14ac:dyDescent="0.25">
      <c r="N4286" s="514"/>
      <c r="R4286" s="293"/>
      <c r="S4286" s="316"/>
      <c r="T4286" s="355"/>
    </row>
    <row r="4287" spans="14:20" x14ac:dyDescent="0.25">
      <c r="N4287" s="514"/>
      <c r="R4287" s="293"/>
      <c r="S4287" s="316"/>
      <c r="T4287" s="355"/>
    </row>
    <row r="4288" spans="14:20" x14ac:dyDescent="0.25">
      <c r="N4288" s="514"/>
      <c r="R4288" s="293"/>
      <c r="S4288" s="316"/>
      <c r="T4288" s="355"/>
    </row>
    <row r="4289" spans="14:20" x14ac:dyDescent="0.25">
      <c r="N4289" s="514"/>
      <c r="R4289" s="293"/>
      <c r="S4289" s="316"/>
      <c r="T4289" s="355"/>
    </row>
    <row r="4290" spans="14:20" x14ac:dyDescent="0.25">
      <c r="N4290" s="514"/>
      <c r="R4290" s="293"/>
      <c r="S4290" s="316"/>
      <c r="T4290" s="355"/>
    </row>
    <row r="4291" spans="14:20" x14ac:dyDescent="0.25">
      <c r="N4291" s="514"/>
      <c r="R4291" s="293"/>
      <c r="S4291" s="316"/>
      <c r="T4291" s="355"/>
    </row>
    <row r="4292" spans="14:20" x14ac:dyDescent="0.25">
      <c r="N4292" s="514"/>
      <c r="R4292" s="293"/>
      <c r="S4292" s="316"/>
      <c r="T4292" s="355"/>
    </row>
    <row r="4293" spans="14:20" x14ac:dyDescent="0.25">
      <c r="N4293" s="514"/>
      <c r="R4293" s="293"/>
      <c r="S4293" s="316"/>
      <c r="T4293" s="355"/>
    </row>
    <row r="4294" spans="14:20" x14ac:dyDescent="0.25">
      <c r="N4294" s="514"/>
      <c r="R4294" s="293"/>
      <c r="S4294" s="316"/>
      <c r="T4294" s="355"/>
    </row>
    <row r="4295" spans="14:20" x14ac:dyDescent="0.25">
      <c r="N4295" s="514"/>
      <c r="R4295" s="293"/>
      <c r="S4295" s="316"/>
      <c r="T4295" s="355"/>
    </row>
    <row r="4296" spans="14:20" x14ac:dyDescent="0.25">
      <c r="N4296" s="514"/>
      <c r="R4296" s="293"/>
      <c r="S4296" s="316"/>
      <c r="T4296" s="355"/>
    </row>
    <row r="4297" spans="14:20" x14ac:dyDescent="0.25">
      <c r="N4297" s="514"/>
      <c r="R4297" s="293"/>
      <c r="S4297" s="316"/>
      <c r="T4297" s="355"/>
    </row>
    <row r="4298" spans="14:20" x14ac:dyDescent="0.25">
      <c r="N4298" s="514"/>
      <c r="R4298" s="293"/>
      <c r="S4298" s="316"/>
      <c r="T4298" s="355"/>
    </row>
    <row r="4299" spans="14:20" x14ac:dyDescent="0.25">
      <c r="N4299" s="514"/>
      <c r="R4299" s="293"/>
      <c r="S4299" s="316"/>
      <c r="T4299" s="355"/>
    </row>
    <row r="4300" spans="14:20" x14ac:dyDescent="0.25">
      <c r="N4300" s="514"/>
      <c r="R4300" s="293"/>
      <c r="S4300" s="316"/>
      <c r="T4300" s="355"/>
    </row>
    <row r="4301" spans="14:20" x14ac:dyDescent="0.25">
      <c r="N4301" s="514"/>
      <c r="R4301" s="293"/>
      <c r="S4301" s="316"/>
      <c r="T4301" s="355"/>
    </row>
    <row r="4302" spans="14:20" x14ac:dyDescent="0.25">
      <c r="N4302" s="514"/>
      <c r="R4302" s="293"/>
      <c r="S4302" s="316"/>
      <c r="T4302" s="355"/>
    </row>
    <row r="4303" spans="14:20" x14ac:dyDescent="0.25">
      <c r="N4303" s="514"/>
      <c r="R4303" s="293"/>
      <c r="S4303" s="316"/>
      <c r="T4303" s="355"/>
    </row>
    <row r="4304" spans="14:20" x14ac:dyDescent="0.25">
      <c r="N4304" s="514"/>
      <c r="R4304" s="293"/>
      <c r="S4304" s="316"/>
      <c r="T4304" s="355"/>
    </row>
    <row r="4305" spans="14:20" x14ac:dyDescent="0.25">
      <c r="N4305" s="514"/>
      <c r="R4305" s="293"/>
      <c r="S4305" s="316"/>
      <c r="T4305" s="355"/>
    </row>
    <row r="4306" spans="14:20" x14ac:dyDescent="0.25">
      <c r="N4306" s="514"/>
      <c r="R4306" s="293"/>
      <c r="S4306" s="316"/>
      <c r="T4306" s="355"/>
    </row>
    <row r="4307" spans="14:20" x14ac:dyDescent="0.25">
      <c r="N4307" s="514"/>
      <c r="R4307" s="293"/>
      <c r="S4307" s="316"/>
      <c r="T4307" s="355"/>
    </row>
    <row r="4308" spans="14:20" x14ac:dyDescent="0.25">
      <c r="N4308" s="514"/>
      <c r="R4308" s="293"/>
      <c r="S4308" s="316"/>
      <c r="T4308" s="355"/>
    </row>
    <row r="4309" spans="14:20" x14ac:dyDescent="0.25">
      <c r="N4309" s="514"/>
      <c r="R4309" s="293"/>
      <c r="S4309" s="316"/>
      <c r="T4309" s="355"/>
    </row>
    <row r="4310" spans="14:20" x14ac:dyDescent="0.25">
      <c r="N4310" s="514"/>
      <c r="R4310" s="293"/>
      <c r="S4310" s="316"/>
      <c r="T4310" s="355"/>
    </row>
    <row r="4311" spans="14:20" x14ac:dyDescent="0.25">
      <c r="N4311" s="514"/>
      <c r="R4311" s="293"/>
      <c r="S4311" s="316"/>
      <c r="T4311" s="355"/>
    </row>
    <row r="4312" spans="14:20" x14ac:dyDescent="0.25">
      <c r="N4312" s="514"/>
      <c r="R4312" s="293"/>
      <c r="S4312" s="316"/>
      <c r="T4312" s="355"/>
    </row>
    <row r="4313" spans="14:20" x14ac:dyDescent="0.25">
      <c r="N4313" s="514"/>
      <c r="R4313" s="293"/>
      <c r="S4313" s="316"/>
      <c r="T4313" s="355"/>
    </row>
    <row r="4314" spans="14:20" x14ac:dyDescent="0.25">
      <c r="N4314" s="514"/>
      <c r="R4314" s="293"/>
      <c r="S4314" s="316"/>
      <c r="T4314" s="355"/>
    </row>
    <row r="4315" spans="14:20" x14ac:dyDescent="0.25">
      <c r="N4315" s="514"/>
      <c r="R4315" s="293"/>
      <c r="S4315" s="316"/>
      <c r="T4315" s="355"/>
    </row>
    <row r="4316" spans="14:20" x14ac:dyDescent="0.25">
      <c r="N4316" s="514"/>
      <c r="R4316" s="293"/>
      <c r="S4316" s="316"/>
      <c r="T4316" s="355"/>
    </row>
    <row r="4317" spans="14:20" x14ac:dyDescent="0.25">
      <c r="N4317" s="514"/>
      <c r="R4317" s="293"/>
      <c r="S4317" s="316"/>
      <c r="T4317" s="355"/>
    </row>
    <row r="4318" spans="14:20" x14ac:dyDescent="0.25">
      <c r="N4318" s="514"/>
      <c r="R4318" s="293"/>
      <c r="S4318" s="316"/>
      <c r="T4318" s="355"/>
    </row>
    <row r="4319" spans="14:20" x14ac:dyDescent="0.25">
      <c r="N4319" s="514"/>
      <c r="R4319" s="293"/>
      <c r="S4319" s="316"/>
      <c r="T4319" s="355"/>
    </row>
    <row r="4320" spans="14:20" x14ac:dyDescent="0.25">
      <c r="N4320" s="514"/>
      <c r="R4320" s="293"/>
      <c r="S4320" s="316"/>
      <c r="T4320" s="355"/>
    </row>
    <row r="4321" spans="14:20" x14ac:dyDescent="0.25">
      <c r="N4321" s="514"/>
      <c r="R4321" s="293"/>
      <c r="S4321" s="316"/>
      <c r="T4321" s="355"/>
    </row>
    <row r="4322" spans="14:20" x14ac:dyDescent="0.25">
      <c r="N4322" s="514"/>
      <c r="R4322" s="293"/>
      <c r="S4322" s="316"/>
      <c r="T4322" s="355"/>
    </row>
    <row r="4323" spans="14:20" x14ac:dyDescent="0.25">
      <c r="N4323" s="514"/>
      <c r="R4323" s="293"/>
      <c r="S4323" s="316"/>
      <c r="T4323" s="355"/>
    </row>
    <row r="4324" spans="14:20" x14ac:dyDescent="0.25">
      <c r="N4324" s="514"/>
      <c r="R4324" s="293"/>
      <c r="S4324" s="316"/>
      <c r="T4324" s="355"/>
    </row>
    <row r="4325" spans="14:20" x14ac:dyDescent="0.25">
      <c r="N4325" s="514"/>
      <c r="R4325" s="293"/>
      <c r="S4325" s="316"/>
      <c r="T4325" s="355"/>
    </row>
    <row r="4326" spans="14:20" x14ac:dyDescent="0.25">
      <c r="N4326" s="514"/>
      <c r="R4326" s="293"/>
      <c r="S4326" s="316"/>
      <c r="T4326" s="355"/>
    </row>
    <row r="4327" spans="14:20" x14ac:dyDescent="0.25">
      <c r="N4327" s="514"/>
      <c r="R4327" s="293"/>
      <c r="S4327" s="316"/>
      <c r="T4327" s="355"/>
    </row>
    <row r="4328" spans="14:20" x14ac:dyDescent="0.25">
      <c r="N4328" s="514"/>
      <c r="R4328" s="293"/>
      <c r="S4328" s="316"/>
      <c r="T4328" s="355"/>
    </row>
    <row r="4329" spans="14:20" x14ac:dyDescent="0.25">
      <c r="N4329" s="514"/>
      <c r="R4329" s="293"/>
      <c r="S4329" s="316"/>
      <c r="T4329" s="355"/>
    </row>
    <row r="4330" spans="14:20" x14ac:dyDescent="0.25">
      <c r="N4330" s="514"/>
      <c r="R4330" s="293"/>
      <c r="S4330" s="316"/>
      <c r="T4330" s="355"/>
    </row>
    <row r="4331" spans="14:20" x14ac:dyDescent="0.25">
      <c r="N4331" s="514"/>
      <c r="R4331" s="293"/>
      <c r="S4331" s="316"/>
      <c r="T4331" s="355"/>
    </row>
    <row r="4332" spans="14:20" x14ac:dyDescent="0.25">
      <c r="N4332" s="514"/>
      <c r="R4332" s="293"/>
      <c r="S4332" s="316"/>
      <c r="T4332" s="355"/>
    </row>
    <row r="4333" spans="14:20" x14ac:dyDescent="0.25">
      <c r="N4333" s="514"/>
      <c r="R4333" s="293"/>
      <c r="S4333" s="316"/>
      <c r="T4333" s="355"/>
    </row>
    <row r="4334" spans="14:20" x14ac:dyDescent="0.25">
      <c r="N4334" s="514"/>
      <c r="R4334" s="293"/>
      <c r="S4334" s="316"/>
      <c r="T4334" s="355"/>
    </row>
    <row r="4335" spans="14:20" x14ac:dyDescent="0.25">
      <c r="N4335" s="514"/>
      <c r="R4335" s="293"/>
      <c r="S4335" s="316"/>
      <c r="T4335" s="355"/>
    </row>
    <row r="4336" spans="14:20" x14ac:dyDescent="0.25">
      <c r="N4336" s="514"/>
      <c r="R4336" s="293"/>
      <c r="S4336" s="316"/>
      <c r="T4336" s="355"/>
    </row>
    <row r="4337" spans="14:20" x14ac:dyDescent="0.25">
      <c r="N4337" s="514"/>
      <c r="R4337" s="293"/>
      <c r="S4337" s="316"/>
      <c r="T4337" s="355"/>
    </row>
    <row r="4338" spans="14:20" x14ac:dyDescent="0.25">
      <c r="N4338" s="514"/>
      <c r="R4338" s="293"/>
      <c r="S4338" s="316"/>
      <c r="T4338" s="355"/>
    </row>
    <row r="4339" spans="14:20" x14ac:dyDescent="0.25">
      <c r="N4339" s="514"/>
      <c r="R4339" s="293"/>
      <c r="S4339" s="316"/>
      <c r="T4339" s="355"/>
    </row>
    <row r="4340" spans="14:20" x14ac:dyDescent="0.25">
      <c r="N4340" s="514"/>
      <c r="R4340" s="293"/>
      <c r="S4340" s="316"/>
      <c r="T4340" s="355"/>
    </row>
    <row r="4341" spans="14:20" x14ac:dyDescent="0.25">
      <c r="N4341" s="514"/>
      <c r="R4341" s="293"/>
      <c r="S4341" s="316"/>
      <c r="T4341" s="355"/>
    </row>
    <row r="4342" spans="14:20" x14ac:dyDescent="0.25">
      <c r="N4342" s="514"/>
      <c r="R4342" s="293"/>
      <c r="S4342" s="316"/>
      <c r="T4342" s="355"/>
    </row>
    <row r="4343" spans="14:20" x14ac:dyDescent="0.25">
      <c r="N4343" s="514"/>
      <c r="R4343" s="293"/>
      <c r="S4343" s="316"/>
      <c r="T4343" s="355"/>
    </row>
    <row r="4344" spans="14:20" x14ac:dyDescent="0.25">
      <c r="N4344" s="514"/>
      <c r="R4344" s="293"/>
      <c r="S4344" s="316"/>
      <c r="T4344" s="355"/>
    </row>
    <row r="4345" spans="14:20" x14ac:dyDescent="0.25">
      <c r="N4345" s="514"/>
      <c r="R4345" s="293"/>
      <c r="S4345" s="316"/>
      <c r="T4345" s="355"/>
    </row>
    <row r="4346" spans="14:20" x14ac:dyDescent="0.25">
      <c r="N4346" s="514"/>
      <c r="R4346" s="293"/>
      <c r="S4346" s="316"/>
      <c r="T4346" s="355"/>
    </row>
    <row r="4347" spans="14:20" x14ac:dyDescent="0.25">
      <c r="N4347" s="514"/>
      <c r="R4347" s="293"/>
      <c r="S4347" s="316"/>
      <c r="T4347" s="355"/>
    </row>
    <row r="4348" spans="14:20" x14ac:dyDescent="0.25">
      <c r="N4348" s="514"/>
      <c r="R4348" s="293"/>
      <c r="S4348" s="316"/>
      <c r="T4348" s="355"/>
    </row>
    <row r="4349" spans="14:20" x14ac:dyDescent="0.25">
      <c r="N4349" s="514"/>
      <c r="R4349" s="293"/>
      <c r="S4349" s="316"/>
      <c r="T4349" s="355"/>
    </row>
    <row r="4350" spans="14:20" x14ac:dyDescent="0.25">
      <c r="N4350" s="514"/>
      <c r="R4350" s="293"/>
      <c r="S4350" s="316"/>
      <c r="T4350" s="355"/>
    </row>
    <row r="4351" spans="14:20" x14ac:dyDescent="0.25">
      <c r="N4351" s="514"/>
      <c r="R4351" s="293"/>
      <c r="S4351" s="316"/>
      <c r="T4351" s="355"/>
    </row>
    <row r="4352" spans="14:20" x14ac:dyDescent="0.25">
      <c r="N4352" s="514"/>
      <c r="R4352" s="293"/>
      <c r="S4352" s="316"/>
      <c r="T4352" s="355"/>
    </row>
    <row r="4353" spans="14:20" x14ac:dyDescent="0.25">
      <c r="N4353" s="514"/>
      <c r="R4353" s="293"/>
      <c r="S4353" s="316"/>
      <c r="T4353" s="355"/>
    </row>
    <row r="4354" spans="14:20" x14ac:dyDescent="0.25">
      <c r="N4354" s="514"/>
      <c r="R4354" s="293"/>
      <c r="S4354" s="316"/>
      <c r="T4354" s="355"/>
    </row>
    <row r="4355" spans="14:20" x14ac:dyDescent="0.25">
      <c r="N4355" s="514"/>
      <c r="R4355" s="293"/>
      <c r="S4355" s="316"/>
      <c r="T4355" s="355"/>
    </row>
    <row r="4356" spans="14:20" x14ac:dyDescent="0.25">
      <c r="N4356" s="514"/>
      <c r="R4356" s="293"/>
      <c r="S4356" s="316"/>
      <c r="T4356" s="355"/>
    </row>
    <row r="4357" spans="14:20" x14ac:dyDescent="0.25">
      <c r="N4357" s="514"/>
      <c r="R4357" s="293"/>
      <c r="S4357" s="316"/>
      <c r="T4357" s="355"/>
    </row>
    <row r="4358" spans="14:20" x14ac:dyDescent="0.25">
      <c r="N4358" s="514"/>
      <c r="R4358" s="293"/>
      <c r="S4358" s="316"/>
      <c r="T4358" s="355"/>
    </row>
    <row r="4359" spans="14:20" x14ac:dyDescent="0.25">
      <c r="N4359" s="514"/>
      <c r="R4359" s="293"/>
      <c r="S4359" s="316"/>
      <c r="T4359" s="355"/>
    </row>
    <row r="4360" spans="14:20" x14ac:dyDescent="0.25">
      <c r="N4360" s="514"/>
      <c r="R4360" s="293"/>
      <c r="S4360" s="316"/>
      <c r="T4360" s="355"/>
    </row>
    <row r="4361" spans="14:20" x14ac:dyDescent="0.25">
      <c r="N4361" s="514"/>
      <c r="R4361" s="293"/>
      <c r="S4361" s="316"/>
      <c r="T4361" s="355"/>
    </row>
    <row r="4362" spans="14:20" x14ac:dyDescent="0.25">
      <c r="N4362" s="514"/>
      <c r="R4362" s="293"/>
      <c r="S4362" s="316"/>
      <c r="T4362" s="355"/>
    </row>
    <row r="4363" spans="14:20" x14ac:dyDescent="0.25">
      <c r="N4363" s="514"/>
      <c r="R4363" s="293"/>
      <c r="S4363" s="316"/>
      <c r="T4363" s="355"/>
    </row>
    <row r="4364" spans="14:20" x14ac:dyDescent="0.25">
      <c r="N4364" s="514"/>
      <c r="R4364" s="293"/>
      <c r="S4364" s="316"/>
      <c r="T4364" s="355"/>
    </row>
    <row r="4365" spans="14:20" x14ac:dyDescent="0.25">
      <c r="N4365" s="514"/>
      <c r="R4365" s="293"/>
      <c r="S4365" s="316"/>
      <c r="T4365" s="355"/>
    </row>
    <row r="4366" spans="14:20" x14ac:dyDescent="0.25">
      <c r="N4366" s="514"/>
      <c r="R4366" s="293"/>
      <c r="S4366" s="316"/>
      <c r="T4366" s="355"/>
    </row>
    <row r="4367" spans="14:20" x14ac:dyDescent="0.25">
      <c r="N4367" s="514"/>
      <c r="R4367" s="293"/>
      <c r="S4367" s="316"/>
      <c r="T4367" s="355"/>
    </row>
    <row r="4368" spans="14:20" x14ac:dyDescent="0.25">
      <c r="N4368" s="514"/>
      <c r="R4368" s="293"/>
      <c r="S4368" s="316"/>
      <c r="T4368" s="355"/>
    </row>
    <row r="4369" spans="14:20" x14ac:dyDescent="0.25">
      <c r="N4369" s="514"/>
      <c r="R4369" s="293"/>
      <c r="S4369" s="316"/>
      <c r="T4369" s="355"/>
    </row>
    <row r="4370" spans="14:20" x14ac:dyDescent="0.25">
      <c r="N4370" s="514"/>
      <c r="R4370" s="293"/>
      <c r="S4370" s="316"/>
      <c r="T4370" s="355"/>
    </row>
    <row r="4371" spans="14:20" x14ac:dyDescent="0.25">
      <c r="N4371" s="514"/>
      <c r="R4371" s="293"/>
      <c r="S4371" s="316"/>
      <c r="T4371" s="355"/>
    </row>
    <row r="4372" spans="14:20" x14ac:dyDescent="0.25">
      <c r="N4372" s="514"/>
      <c r="R4372" s="293"/>
      <c r="S4372" s="316"/>
      <c r="T4372" s="355"/>
    </row>
    <row r="4373" spans="14:20" x14ac:dyDescent="0.25">
      <c r="N4373" s="514"/>
      <c r="R4373" s="293"/>
      <c r="S4373" s="316"/>
      <c r="T4373" s="355"/>
    </row>
    <row r="4374" spans="14:20" x14ac:dyDescent="0.25">
      <c r="N4374" s="514"/>
      <c r="R4374" s="293"/>
      <c r="S4374" s="316"/>
      <c r="T4374" s="355"/>
    </row>
    <row r="4375" spans="14:20" x14ac:dyDescent="0.25">
      <c r="N4375" s="514"/>
      <c r="R4375" s="293"/>
      <c r="S4375" s="316"/>
      <c r="T4375" s="355"/>
    </row>
    <row r="4376" spans="14:20" x14ac:dyDescent="0.25">
      <c r="N4376" s="514"/>
      <c r="R4376" s="293"/>
      <c r="S4376" s="316"/>
      <c r="T4376" s="355"/>
    </row>
    <row r="4377" spans="14:20" x14ac:dyDescent="0.25">
      <c r="N4377" s="514"/>
      <c r="R4377" s="293"/>
      <c r="S4377" s="316"/>
      <c r="T4377" s="355"/>
    </row>
    <row r="4378" spans="14:20" x14ac:dyDescent="0.25">
      <c r="N4378" s="514"/>
      <c r="R4378" s="293"/>
      <c r="S4378" s="316"/>
      <c r="T4378" s="355"/>
    </row>
    <row r="4379" spans="14:20" x14ac:dyDescent="0.25">
      <c r="N4379" s="514"/>
      <c r="R4379" s="293"/>
      <c r="S4379" s="316"/>
      <c r="T4379" s="355"/>
    </row>
    <row r="4380" spans="14:20" x14ac:dyDescent="0.25">
      <c r="N4380" s="514"/>
      <c r="R4380" s="293"/>
      <c r="S4380" s="316"/>
      <c r="T4380" s="355"/>
    </row>
    <row r="4381" spans="14:20" x14ac:dyDescent="0.25">
      <c r="N4381" s="514"/>
      <c r="R4381" s="293"/>
      <c r="S4381" s="316"/>
      <c r="T4381" s="355"/>
    </row>
    <row r="4382" spans="14:20" x14ac:dyDescent="0.25">
      <c r="N4382" s="514"/>
      <c r="R4382" s="293"/>
      <c r="S4382" s="316"/>
      <c r="T4382" s="355"/>
    </row>
    <row r="4383" spans="14:20" x14ac:dyDescent="0.25">
      <c r="N4383" s="514"/>
      <c r="R4383" s="293"/>
      <c r="S4383" s="316"/>
      <c r="T4383" s="355"/>
    </row>
    <row r="4384" spans="14:20" x14ac:dyDescent="0.25">
      <c r="N4384" s="514"/>
      <c r="R4384" s="293"/>
      <c r="S4384" s="316"/>
      <c r="T4384" s="355"/>
    </row>
    <row r="4385" spans="14:20" x14ac:dyDescent="0.25">
      <c r="N4385" s="514"/>
      <c r="R4385" s="293"/>
      <c r="S4385" s="316"/>
      <c r="T4385" s="355"/>
    </row>
    <row r="4386" spans="14:20" x14ac:dyDescent="0.25">
      <c r="N4386" s="514"/>
      <c r="R4386" s="293"/>
      <c r="S4386" s="316"/>
      <c r="T4386" s="355"/>
    </row>
    <row r="4387" spans="14:20" x14ac:dyDescent="0.25">
      <c r="N4387" s="514"/>
      <c r="R4387" s="293"/>
      <c r="S4387" s="316"/>
      <c r="T4387" s="355"/>
    </row>
    <row r="4388" spans="14:20" x14ac:dyDescent="0.25">
      <c r="N4388" s="514"/>
      <c r="R4388" s="293"/>
      <c r="S4388" s="316"/>
      <c r="T4388" s="355"/>
    </row>
    <row r="4389" spans="14:20" x14ac:dyDescent="0.25">
      <c r="N4389" s="514"/>
      <c r="R4389" s="293"/>
      <c r="S4389" s="316"/>
      <c r="T4389" s="355"/>
    </row>
    <row r="4390" spans="14:20" x14ac:dyDescent="0.25">
      <c r="N4390" s="514"/>
      <c r="R4390" s="293"/>
      <c r="S4390" s="316"/>
      <c r="T4390" s="355"/>
    </row>
    <row r="4391" spans="14:20" x14ac:dyDescent="0.25">
      <c r="N4391" s="514"/>
      <c r="R4391" s="293"/>
      <c r="S4391" s="316"/>
      <c r="T4391" s="355"/>
    </row>
    <row r="4392" spans="14:20" x14ac:dyDescent="0.25">
      <c r="N4392" s="514"/>
      <c r="R4392" s="293"/>
      <c r="S4392" s="316"/>
      <c r="T4392" s="355"/>
    </row>
    <row r="4393" spans="14:20" x14ac:dyDescent="0.25">
      <c r="N4393" s="514"/>
      <c r="R4393" s="293"/>
      <c r="S4393" s="316"/>
      <c r="T4393" s="355"/>
    </row>
    <row r="4394" spans="14:20" x14ac:dyDescent="0.25">
      <c r="N4394" s="514"/>
      <c r="R4394" s="293"/>
      <c r="S4394" s="316"/>
      <c r="T4394" s="355"/>
    </row>
    <row r="4395" spans="14:20" x14ac:dyDescent="0.25">
      <c r="N4395" s="514"/>
      <c r="R4395" s="293"/>
      <c r="S4395" s="316"/>
      <c r="T4395" s="355"/>
    </row>
    <row r="4396" spans="14:20" x14ac:dyDescent="0.25">
      <c r="N4396" s="514"/>
      <c r="R4396" s="293"/>
      <c r="S4396" s="316"/>
      <c r="T4396" s="355"/>
    </row>
    <row r="4397" spans="14:20" x14ac:dyDescent="0.25">
      <c r="N4397" s="514"/>
      <c r="R4397" s="293"/>
      <c r="S4397" s="316"/>
      <c r="T4397" s="355"/>
    </row>
    <row r="4398" spans="14:20" x14ac:dyDescent="0.25">
      <c r="N4398" s="514"/>
      <c r="R4398" s="293"/>
      <c r="S4398" s="316"/>
      <c r="T4398" s="355"/>
    </row>
    <row r="4399" spans="14:20" x14ac:dyDescent="0.25">
      <c r="N4399" s="514"/>
      <c r="R4399" s="293"/>
      <c r="S4399" s="316"/>
      <c r="T4399" s="355"/>
    </row>
    <row r="4400" spans="14:20" x14ac:dyDescent="0.25">
      <c r="N4400" s="514"/>
      <c r="R4400" s="293"/>
      <c r="S4400" s="316"/>
      <c r="T4400" s="355"/>
    </row>
    <row r="4401" spans="14:20" x14ac:dyDescent="0.25">
      <c r="N4401" s="514"/>
      <c r="R4401" s="293"/>
      <c r="S4401" s="316"/>
      <c r="T4401" s="355"/>
    </row>
    <row r="4402" spans="14:20" x14ac:dyDescent="0.25">
      <c r="N4402" s="514"/>
      <c r="R4402" s="293"/>
      <c r="S4402" s="316"/>
      <c r="T4402" s="355"/>
    </row>
    <row r="4403" spans="14:20" x14ac:dyDescent="0.25">
      <c r="N4403" s="514"/>
      <c r="R4403" s="293"/>
      <c r="S4403" s="316"/>
      <c r="T4403" s="355"/>
    </row>
    <row r="4404" spans="14:20" x14ac:dyDescent="0.25">
      <c r="N4404" s="514"/>
      <c r="R4404" s="293"/>
      <c r="S4404" s="316"/>
      <c r="T4404" s="355"/>
    </row>
    <row r="4405" spans="14:20" x14ac:dyDescent="0.25">
      <c r="N4405" s="514"/>
      <c r="R4405" s="293"/>
      <c r="S4405" s="316"/>
      <c r="T4405" s="355"/>
    </row>
    <row r="4406" spans="14:20" x14ac:dyDescent="0.25">
      <c r="N4406" s="514"/>
      <c r="R4406" s="293"/>
      <c r="S4406" s="316"/>
      <c r="T4406" s="355"/>
    </row>
    <row r="4407" spans="14:20" x14ac:dyDescent="0.25">
      <c r="N4407" s="514"/>
      <c r="R4407" s="293"/>
      <c r="S4407" s="316"/>
      <c r="T4407" s="355"/>
    </row>
    <row r="4408" spans="14:20" x14ac:dyDescent="0.25">
      <c r="N4408" s="514"/>
      <c r="R4408" s="293"/>
      <c r="S4408" s="316"/>
      <c r="T4408" s="355"/>
    </row>
    <row r="4409" spans="14:20" x14ac:dyDescent="0.25">
      <c r="N4409" s="514"/>
      <c r="R4409" s="293"/>
      <c r="S4409" s="316"/>
      <c r="T4409" s="355"/>
    </row>
    <row r="4410" spans="14:20" x14ac:dyDescent="0.25">
      <c r="N4410" s="514"/>
      <c r="R4410" s="293"/>
      <c r="S4410" s="316"/>
      <c r="T4410" s="355"/>
    </row>
    <row r="4411" spans="14:20" x14ac:dyDescent="0.25">
      <c r="N4411" s="514"/>
      <c r="R4411" s="293"/>
      <c r="S4411" s="316"/>
      <c r="T4411" s="355"/>
    </row>
    <row r="4412" spans="14:20" x14ac:dyDescent="0.25">
      <c r="N4412" s="514"/>
      <c r="R4412" s="293"/>
      <c r="S4412" s="316"/>
      <c r="T4412" s="355"/>
    </row>
    <row r="4413" spans="14:20" x14ac:dyDescent="0.25">
      <c r="N4413" s="514"/>
      <c r="R4413" s="293"/>
      <c r="S4413" s="316"/>
      <c r="T4413" s="355"/>
    </row>
    <row r="4414" spans="14:20" x14ac:dyDescent="0.25">
      <c r="N4414" s="514"/>
      <c r="R4414" s="293"/>
      <c r="S4414" s="316"/>
      <c r="T4414" s="355"/>
    </row>
    <row r="4415" spans="14:20" x14ac:dyDescent="0.25">
      <c r="N4415" s="514"/>
      <c r="R4415" s="293"/>
      <c r="S4415" s="316"/>
      <c r="T4415" s="355"/>
    </row>
    <row r="4416" spans="14:20" x14ac:dyDescent="0.25">
      <c r="N4416" s="514"/>
      <c r="R4416" s="293"/>
      <c r="S4416" s="316"/>
      <c r="T4416" s="355"/>
    </row>
    <row r="4417" spans="14:20" x14ac:dyDescent="0.25">
      <c r="N4417" s="514"/>
      <c r="R4417" s="293"/>
      <c r="S4417" s="316"/>
      <c r="T4417" s="355"/>
    </row>
    <row r="4418" spans="14:20" x14ac:dyDescent="0.25">
      <c r="N4418" s="514"/>
      <c r="R4418" s="293"/>
      <c r="S4418" s="316"/>
      <c r="T4418" s="355"/>
    </row>
    <row r="4419" spans="14:20" x14ac:dyDescent="0.25">
      <c r="N4419" s="514"/>
      <c r="R4419" s="293"/>
      <c r="S4419" s="316"/>
      <c r="T4419" s="355"/>
    </row>
    <row r="4420" spans="14:20" x14ac:dyDescent="0.25">
      <c r="N4420" s="514"/>
      <c r="R4420" s="293"/>
      <c r="S4420" s="316"/>
      <c r="T4420" s="355"/>
    </row>
    <row r="4421" spans="14:20" x14ac:dyDescent="0.25">
      <c r="N4421" s="514"/>
      <c r="R4421" s="293"/>
      <c r="S4421" s="316"/>
      <c r="T4421" s="355"/>
    </row>
    <row r="4422" spans="14:20" x14ac:dyDescent="0.25">
      <c r="N4422" s="514"/>
      <c r="R4422" s="293"/>
      <c r="S4422" s="316"/>
      <c r="T4422" s="355"/>
    </row>
    <row r="4423" spans="14:20" x14ac:dyDescent="0.25">
      <c r="N4423" s="514"/>
      <c r="R4423" s="293"/>
      <c r="S4423" s="316"/>
      <c r="T4423" s="355"/>
    </row>
    <row r="4424" spans="14:20" x14ac:dyDescent="0.25">
      <c r="N4424" s="514"/>
      <c r="R4424" s="293"/>
      <c r="S4424" s="316"/>
      <c r="T4424" s="355"/>
    </row>
    <row r="4425" spans="14:20" x14ac:dyDescent="0.25">
      <c r="N4425" s="514"/>
      <c r="R4425" s="293"/>
      <c r="S4425" s="316"/>
      <c r="T4425" s="355"/>
    </row>
    <row r="4426" spans="14:20" x14ac:dyDescent="0.25">
      <c r="N4426" s="514"/>
      <c r="R4426" s="293"/>
      <c r="S4426" s="316"/>
      <c r="T4426" s="355"/>
    </row>
    <row r="4427" spans="14:20" x14ac:dyDescent="0.25">
      <c r="N4427" s="514"/>
      <c r="R4427" s="293"/>
      <c r="S4427" s="316"/>
      <c r="T4427" s="355"/>
    </row>
    <row r="4428" spans="14:20" x14ac:dyDescent="0.25">
      <c r="N4428" s="514"/>
      <c r="R4428" s="293"/>
      <c r="S4428" s="316"/>
      <c r="T4428" s="355"/>
    </row>
    <row r="4429" spans="14:20" x14ac:dyDescent="0.25">
      <c r="N4429" s="514"/>
      <c r="R4429" s="293"/>
      <c r="S4429" s="316"/>
      <c r="T4429" s="355"/>
    </row>
    <row r="4430" spans="14:20" x14ac:dyDescent="0.25">
      <c r="N4430" s="514"/>
      <c r="R4430" s="293"/>
      <c r="S4430" s="316"/>
      <c r="T4430" s="355"/>
    </row>
    <row r="4431" spans="14:20" x14ac:dyDescent="0.25">
      <c r="N4431" s="514"/>
      <c r="R4431" s="293"/>
      <c r="S4431" s="316"/>
      <c r="T4431" s="355"/>
    </row>
    <row r="4432" spans="14:20" x14ac:dyDescent="0.25">
      <c r="N4432" s="514"/>
      <c r="R4432" s="293"/>
      <c r="S4432" s="316"/>
      <c r="T4432" s="355"/>
    </row>
    <row r="4433" spans="14:20" x14ac:dyDescent="0.25">
      <c r="N4433" s="514"/>
      <c r="R4433" s="293"/>
      <c r="S4433" s="316"/>
      <c r="T4433" s="355"/>
    </row>
    <row r="4434" spans="14:20" x14ac:dyDescent="0.25">
      <c r="N4434" s="514"/>
      <c r="R4434" s="293"/>
      <c r="S4434" s="316"/>
      <c r="T4434" s="355"/>
    </row>
    <row r="4435" spans="14:20" x14ac:dyDescent="0.25">
      <c r="N4435" s="514"/>
      <c r="R4435" s="293"/>
      <c r="S4435" s="316"/>
      <c r="T4435" s="355"/>
    </row>
    <row r="4436" spans="14:20" x14ac:dyDescent="0.25">
      <c r="N4436" s="514"/>
      <c r="R4436" s="293"/>
      <c r="S4436" s="316"/>
      <c r="T4436" s="355"/>
    </row>
    <row r="4437" spans="14:20" x14ac:dyDescent="0.25">
      <c r="N4437" s="514"/>
      <c r="R4437" s="293"/>
      <c r="S4437" s="316"/>
      <c r="T4437" s="355"/>
    </row>
    <row r="4438" spans="14:20" x14ac:dyDescent="0.25">
      <c r="N4438" s="514"/>
      <c r="R4438" s="293"/>
      <c r="S4438" s="316"/>
      <c r="T4438" s="355"/>
    </row>
    <row r="4439" spans="14:20" x14ac:dyDescent="0.25">
      <c r="N4439" s="514"/>
      <c r="R4439" s="293"/>
      <c r="S4439" s="316"/>
      <c r="T4439" s="355"/>
    </row>
    <row r="4440" spans="14:20" x14ac:dyDescent="0.25">
      <c r="N4440" s="514"/>
      <c r="R4440" s="293"/>
      <c r="S4440" s="316"/>
      <c r="T4440" s="355"/>
    </row>
    <row r="4441" spans="14:20" x14ac:dyDescent="0.25">
      <c r="N4441" s="514"/>
      <c r="R4441" s="293"/>
      <c r="S4441" s="316"/>
      <c r="T4441" s="355"/>
    </row>
    <row r="4442" spans="14:20" x14ac:dyDescent="0.25">
      <c r="N4442" s="514"/>
      <c r="R4442" s="293"/>
      <c r="S4442" s="316"/>
      <c r="T4442" s="355"/>
    </row>
    <row r="4443" spans="14:20" x14ac:dyDescent="0.25">
      <c r="N4443" s="514"/>
      <c r="R4443" s="293"/>
      <c r="S4443" s="316"/>
      <c r="T4443" s="355"/>
    </row>
    <row r="4444" spans="14:20" x14ac:dyDescent="0.25">
      <c r="N4444" s="514"/>
      <c r="R4444" s="293"/>
      <c r="S4444" s="316"/>
      <c r="T4444" s="355"/>
    </row>
    <row r="4445" spans="14:20" x14ac:dyDescent="0.25">
      <c r="N4445" s="514"/>
      <c r="R4445" s="293"/>
      <c r="S4445" s="316"/>
      <c r="T4445" s="355"/>
    </row>
    <row r="4446" spans="14:20" x14ac:dyDescent="0.25">
      <c r="N4446" s="514"/>
      <c r="R4446" s="293"/>
      <c r="S4446" s="316"/>
      <c r="T4446" s="355"/>
    </row>
    <row r="4447" spans="14:20" x14ac:dyDescent="0.25">
      <c r="N4447" s="514"/>
      <c r="R4447" s="293"/>
      <c r="S4447" s="316"/>
      <c r="T4447" s="355"/>
    </row>
    <row r="4448" spans="14:20" x14ac:dyDescent="0.25">
      <c r="N4448" s="514"/>
      <c r="R4448" s="293"/>
      <c r="S4448" s="316"/>
      <c r="T4448" s="355"/>
    </row>
    <row r="4449" spans="14:20" x14ac:dyDescent="0.25">
      <c r="N4449" s="514"/>
      <c r="R4449" s="293"/>
      <c r="S4449" s="316"/>
      <c r="T4449" s="355"/>
    </row>
    <row r="4450" spans="14:20" x14ac:dyDescent="0.25">
      <c r="N4450" s="514"/>
      <c r="R4450" s="293"/>
      <c r="S4450" s="316"/>
      <c r="T4450" s="355"/>
    </row>
    <row r="4451" spans="14:20" x14ac:dyDescent="0.25">
      <c r="N4451" s="514"/>
      <c r="R4451" s="293"/>
      <c r="S4451" s="316"/>
      <c r="T4451" s="355"/>
    </row>
    <row r="4452" spans="14:20" x14ac:dyDescent="0.25">
      <c r="N4452" s="514"/>
      <c r="R4452" s="293"/>
      <c r="S4452" s="316"/>
      <c r="T4452" s="355"/>
    </row>
    <row r="4453" spans="14:20" x14ac:dyDescent="0.25">
      <c r="N4453" s="514"/>
      <c r="R4453" s="293"/>
      <c r="S4453" s="316"/>
      <c r="T4453" s="355"/>
    </row>
    <row r="4454" spans="14:20" x14ac:dyDescent="0.25">
      <c r="N4454" s="514"/>
      <c r="R4454" s="293"/>
      <c r="S4454" s="316"/>
      <c r="T4454" s="355"/>
    </row>
    <row r="4455" spans="14:20" x14ac:dyDescent="0.25">
      <c r="N4455" s="514"/>
      <c r="R4455" s="293"/>
      <c r="S4455" s="316"/>
      <c r="T4455" s="355"/>
    </row>
    <row r="4456" spans="14:20" x14ac:dyDescent="0.25">
      <c r="N4456" s="514"/>
      <c r="R4456" s="293"/>
      <c r="S4456" s="316"/>
      <c r="T4456" s="355"/>
    </row>
    <row r="4457" spans="14:20" x14ac:dyDescent="0.25">
      <c r="N4457" s="514"/>
      <c r="R4457" s="293"/>
      <c r="S4457" s="316"/>
      <c r="T4457" s="355"/>
    </row>
    <row r="4458" spans="14:20" x14ac:dyDescent="0.25">
      <c r="N4458" s="514"/>
      <c r="R4458" s="293"/>
      <c r="S4458" s="316"/>
      <c r="T4458" s="355"/>
    </row>
    <row r="4459" spans="14:20" x14ac:dyDescent="0.25">
      <c r="N4459" s="514"/>
      <c r="R4459" s="293"/>
      <c r="S4459" s="316"/>
      <c r="T4459" s="355"/>
    </row>
    <row r="4460" spans="14:20" x14ac:dyDescent="0.25">
      <c r="N4460" s="514"/>
      <c r="R4460" s="293"/>
      <c r="S4460" s="316"/>
      <c r="T4460" s="355"/>
    </row>
    <row r="4461" spans="14:20" x14ac:dyDescent="0.25">
      <c r="N4461" s="514"/>
      <c r="R4461" s="293"/>
      <c r="S4461" s="316"/>
      <c r="T4461" s="355"/>
    </row>
    <row r="4462" spans="14:20" x14ac:dyDescent="0.25">
      <c r="N4462" s="514"/>
      <c r="R4462" s="293"/>
      <c r="S4462" s="316"/>
      <c r="T4462" s="355"/>
    </row>
    <row r="4463" spans="14:20" x14ac:dyDescent="0.25">
      <c r="N4463" s="514"/>
      <c r="R4463" s="293"/>
      <c r="S4463" s="316"/>
      <c r="T4463" s="355"/>
    </row>
    <row r="4464" spans="14:20" x14ac:dyDescent="0.25">
      <c r="N4464" s="514"/>
      <c r="R4464" s="293"/>
      <c r="S4464" s="316"/>
      <c r="T4464" s="355"/>
    </row>
    <row r="4465" spans="14:20" x14ac:dyDescent="0.25">
      <c r="N4465" s="514"/>
      <c r="R4465" s="293"/>
      <c r="S4465" s="316"/>
      <c r="T4465" s="355"/>
    </row>
    <row r="4466" spans="14:20" x14ac:dyDescent="0.25">
      <c r="N4466" s="514"/>
      <c r="R4466" s="293"/>
      <c r="S4466" s="316"/>
      <c r="T4466" s="355"/>
    </row>
    <row r="4467" spans="14:20" x14ac:dyDescent="0.25">
      <c r="N4467" s="514"/>
      <c r="R4467" s="293"/>
      <c r="S4467" s="316"/>
      <c r="T4467" s="355"/>
    </row>
    <row r="4468" spans="14:20" x14ac:dyDescent="0.25">
      <c r="N4468" s="514"/>
      <c r="R4468" s="293"/>
      <c r="S4468" s="316"/>
      <c r="T4468" s="355"/>
    </row>
    <row r="4469" spans="14:20" x14ac:dyDescent="0.25">
      <c r="N4469" s="514"/>
      <c r="R4469" s="293"/>
      <c r="S4469" s="316"/>
      <c r="T4469" s="355"/>
    </row>
    <row r="4470" spans="14:20" x14ac:dyDescent="0.25">
      <c r="N4470" s="514"/>
      <c r="R4470" s="293"/>
      <c r="S4470" s="316"/>
      <c r="T4470" s="355"/>
    </row>
    <row r="4471" spans="14:20" x14ac:dyDescent="0.25">
      <c r="N4471" s="514"/>
      <c r="R4471" s="293"/>
      <c r="S4471" s="316"/>
      <c r="T4471" s="355"/>
    </row>
    <row r="4472" spans="14:20" x14ac:dyDescent="0.25">
      <c r="N4472" s="514"/>
      <c r="R4472" s="293"/>
      <c r="S4472" s="316"/>
      <c r="T4472" s="355"/>
    </row>
    <row r="4473" spans="14:20" x14ac:dyDescent="0.25">
      <c r="N4473" s="514"/>
      <c r="R4473" s="293"/>
      <c r="S4473" s="316"/>
      <c r="T4473" s="355"/>
    </row>
    <row r="4474" spans="14:20" x14ac:dyDescent="0.25">
      <c r="N4474" s="514"/>
      <c r="R4474" s="293"/>
      <c r="S4474" s="316"/>
      <c r="T4474" s="355"/>
    </row>
    <row r="4475" spans="14:20" x14ac:dyDescent="0.25">
      <c r="N4475" s="514"/>
      <c r="R4475" s="293"/>
      <c r="S4475" s="316"/>
      <c r="T4475" s="355"/>
    </row>
    <row r="4476" spans="14:20" x14ac:dyDescent="0.25">
      <c r="N4476" s="514"/>
      <c r="R4476" s="293"/>
      <c r="S4476" s="316"/>
      <c r="T4476" s="355"/>
    </row>
    <row r="4477" spans="14:20" x14ac:dyDescent="0.25">
      <c r="N4477" s="514"/>
      <c r="R4477" s="293"/>
      <c r="S4477" s="316"/>
      <c r="T4477" s="355"/>
    </row>
    <row r="4478" spans="14:20" x14ac:dyDescent="0.25">
      <c r="N4478" s="514"/>
      <c r="R4478" s="293"/>
      <c r="S4478" s="316"/>
      <c r="T4478" s="355"/>
    </row>
    <row r="4479" spans="14:20" x14ac:dyDescent="0.25">
      <c r="N4479" s="514"/>
      <c r="R4479" s="293"/>
      <c r="S4479" s="316"/>
      <c r="T4479" s="355"/>
    </row>
    <row r="4480" spans="14:20" x14ac:dyDescent="0.25">
      <c r="N4480" s="514"/>
      <c r="R4480" s="293"/>
      <c r="S4480" s="316"/>
      <c r="T4480" s="355"/>
    </row>
    <row r="4481" spans="14:20" x14ac:dyDescent="0.25">
      <c r="N4481" s="514"/>
      <c r="R4481" s="293"/>
      <c r="S4481" s="316"/>
      <c r="T4481" s="355"/>
    </row>
    <row r="4482" spans="14:20" x14ac:dyDescent="0.25">
      <c r="N4482" s="514"/>
      <c r="R4482" s="293"/>
      <c r="S4482" s="316"/>
      <c r="T4482" s="355"/>
    </row>
    <row r="4483" spans="14:20" x14ac:dyDescent="0.25">
      <c r="N4483" s="514"/>
      <c r="R4483" s="293"/>
      <c r="S4483" s="316"/>
      <c r="T4483" s="355"/>
    </row>
    <row r="4484" spans="14:20" x14ac:dyDescent="0.25">
      <c r="N4484" s="514"/>
      <c r="R4484" s="293"/>
      <c r="S4484" s="316"/>
      <c r="T4484" s="355"/>
    </row>
    <row r="4485" spans="14:20" x14ac:dyDescent="0.25">
      <c r="N4485" s="514"/>
      <c r="R4485" s="293"/>
      <c r="S4485" s="316"/>
      <c r="T4485" s="355"/>
    </row>
    <row r="4486" spans="14:20" x14ac:dyDescent="0.25">
      <c r="N4486" s="514"/>
      <c r="R4486" s="293"/>
      <c r="S4486" s="316"/>
      <c r="T4486" s="355"/>
    </row>
    <row r="4487" spans="14:20" x14ac:dyDescent="0.25">
      <c r="N4487" s="514"/>
      <c r="R4487" s="293"/>
      <c r="S4487" s="316"/>
      <c r="T4487" s="355"/>
    </row>
    <row r="4488" spans="14:20" x14ac:dyDescent="0.25">
      <c r="N4488" s="514"/>
      <c r="R4488" s="293"/>
      <c r="S4488" s="316"/>
      <c r="T4488" s="355"/>
    </row>
    <row r="4489" spans="14:20" x14ac:dyDescent="0.25">
      <c r="N4489" s="514"/>
      <c r="R4489" s="293"/>
      <c r="S4489" s="316"/>
      <c r="T4489" s="355"/>
    </row>
    <row r="4490" spans="14:20" x14ac:dyDescent="0.25">
      <c r="N4490" s="514"/>
      <c r="R4490" s="293"/>
      <c r="S4490" s="316"/>
      <c r="T4490" s="355"/>
    </row>
    <row r="4491" spans="14:20" x14ac:dyDescent="0.25">
      <c r="N4491" s="514"/>
      <c r="R4491" s="293"/>
      <c r="S4491" s="316"/>
      <c r="T4491" s="355"/>
    </row>
    <row r="4492" spans="14:20" x14ac:dyDescent="0.25">
      <c r="N4492" s="514"/>
      <c r="R4492" s="293"/>
      <c r="S4492" s="316"/>
      <c r="T4492" s="355"/>
    </row>
    <row r="4493" spans="14:20" x14ac:dyDescent="0.25">
      <c r="N4493" s="514"/>
      <c r="R4493" s="293"/>
      <c r="S4493" s="316"/>
      <c r="T4493" s="355"/>
    </row>
    <row r="4494" spans="14:20" x14ac:dyDescent="0.25">
      <c r="N4494" s="514"/>
      <c r="R4494" s="293"/>
      <c r="S4494" s="316"/>
      <c r="T4494" s="355"/>
    </row>
    <row r="4495" spans="14:20" x14ac:dyDescent="0.25">
      <c r="N4495" s="514"/>
      <c r="R4495" s="293"/>
      <c r="S4495" s="316"/>
      <c r="T4495" s="355"/>
    </row>
    <row r="4496" spans="14:20" x14ac:dyDescent="0.25">
      <c r="N4496" s="514"/>
      <c r="R4496" s="293"/>
      <c r="S4496" s="316"/>
      <c r="T4496" s="355"/>
    </row>
    <row r="4497" spans="14:20" x14ac:dyDescent="0.25">
      <c r="N4497" s="514"/>
      <c r="R4497" s="293"/>
      <c r="S4497" s="316"/>
      <c r="T4497" s="355"/>
    </row>
    <row r="4498" spans="14:20" x14ac:dyDescent="0.25">
      <c r="N4498" s="514"/>
      <c r="R4498" s="293"/>
      <c r="S4498" s="316"/>
      <c r="T4498" s="355"/>
    </row>
    <row r="4499" spans="14:20" x14ac:dyDescent="0.25">
      <c r="N4499" s="514"/>
      <c r="R4499" s="293"/>
      <c r="S4499" s="316"/>
      <c r="T4499" s="355"/>
    </row>
    <row r="4500" spans="14:20" x14ac:dyDescent="0.25">
      <c r="N4500" s="514"/>
      <c r="R4500" s="293"/>
      <c r="S4500" s="316"/>
      <c r="T4500" s="355"/>
    </row>
    <row r="4501" spans="14:20" x14ac:dyDescent="0.25">
      <c r="N4501" s="514"/>
      <c r="R4501" s="293"/>
      <c r="S4501" s="316"/>
      <c r="T4501" s="355"/>
    </row>
    <row r="4502" spans="14:20" x14ac:dyDescent="0.25">
      <c r="N4502" s="514"/>
      <c r="R4502" s="293"/>
      <c r="S4502" s="316"/>
      <c r="T4502" s="355"/>
    </row>
    <row r="4503" spans="14:20" x14ac:dyDescent="0.25">
      <c r="N4503" s="514"/>
      <c r="R4503" s="293"/>
      <c r="S4503" s="316"/>
      <c r="T4503" s="355"/>
    </row>
    <row r="4504" spans="14:20" x14ac:dyDescent="0.25">
      <c r="N4504" s="514"/>
      <c r="R4504" s="293"/>
      <c r="S4504" s="316"/>
      <c r="T4504" s="355"/>
    </row>
    <row r="4505" spans="14:20" x14ac:dyDescent="0.25">
      <c r="N4505" s="514"/>
      <c r="R4505" s="293"/>
      <c r="S4505" s="316"/>
      <c r="T4505" s="355"/>
    </row>
    <row r="4506" spans="14:20" x14ac:dyDescent="0.25">
      <c r="N4506" s="514"/>
      <c r="R4506" s="293"/>
      <c r="S4506" s="316"/>
      <c r="T4506" s="355"/>
    </row>
    <row r="4507" spans="14:20" x14ac:dyDescent="0.25">
      <c r="N4507" s="514"/>
      <c r="R4507" s="293"/>
      <c r="S4507" s="316"/>
      <c r="T4507" s="355"/>
    </row>
    <row r="4508" spans="14:20" x14ac:dyDescent="0.25">
      <c r="N4508" s="514"/>
      <c r="R4508" s="293"/>
      <c r="S4508" s="316"/>
      <c r="T4508" s="355"/>
    </row>
    <row r="4509" spans="14:20" x14ac:dyDescent="0.25">
      <c r="N4509" s="514"/>
      <c r="R4509" s="293"/>
      <c r="S4509" s="316"/>
      <c r="T4509" s="355"/>
    </row>
    <row r="4510" spans="14:20" x14ac:dyDescent="0.25">
      <c r="N4510" s="514"/>
      <c r="R4510" s="293"/>
      <c r="S4510" s="316"/>
      <c r="T4510" s="355"/>
    </row>
    <row r="4511" spans="14:20" x14ac:dyDescent="0.25">
      <c r="N4511" s="514"/>
      <c r="R4511" s="293"/>
      <c r="S4511" s="316"/>
      <c r="T4511" s="355"/>
    </row>
    <row r="4512" spans="14:20" x14ac:dyDescent="0.25">
      <c r="N4512" s="514"/>
      <c r="R4512" s="293"/>
      <c r="S4512" s="316"/>
      <c r="T4512" s="355"/>
    </row>
    <row r="4513" spans="14:20" x14ac:dyDescent="0.25">
      <c r="N4513" s="514"/>
      <c r="R4513" s="293"/>
      <c r="S4513" s="316"/>
      <c r="T4513" s="355"/>
    </row>
    <row r="4514" spans="14:20" x14ac:dyDescent="0.25">
      <c r="N4514" s="514"/>
      <c r="R4514" s="293"/>
      <c r="S4514" s="316"/>
      <c r="T4514" s="355"/>
    </row>
    <row r="4515" spans="14:20" x14ac:dyDescent="0.25">
      <c r="N4515" s="514"/>
      <c r="R4515" s="293"/>
      <c r="S4515" s="316"/>
      <c r="T4515" s="355"/>
    </row>
    <row r="4516" spans="14:20" x14ac:dyDescent="0.25">
      <c r="N4516" s="514"/>
      <c r="R4516" s="293"/>
      <c r="S4516" s="316"/>
      <c r="T4516" s="355"/>
    </row>
    <row r="4517" spans="14:20" x14ac:dyDescent="0.25">
      <c r="N4517" s="514"/>
      <c r="R4517" s="293"/>
      <c r="S4517" s="316"/>
      <c r="T4517" s="355"/>
    </row>
    <row r="4518" spans="14:20" x14ac:dyDescent="0.25">
      <c r="N4518" s="514"/>
      <c r="R4518" s="293"/>
      <c r="S4518" s="316"/>
      <c r="T4518" s="355"/>
    </row>
    <row r="4519" spans="14:20" x14ac:dyDescent="0.25">
      <c r="N4519" s="514"/>
      <c r="R4519" s="293"/>
      <c r="S4519" s="316"/>
      <c r="T4519" s="355"/>
    </row>
    <row r="4520" spans="14:20" x14ac:dyDescent="0.25">
      <c r="N4520" s="514"/>
      <c r="R4520" s="293"/>
      <c r="S4520" s="316"/>
      <c r="T4520" s="355"/>
    </row>
    <row r="4521" spans="14:20" x14ac:dyDescent="0.25">
      <c r="N4521" s="514"/>
      <c r="R4521" s="293"/>
      <c r="S4521" s="316"/>
      <c r="T4521" s="355"/>
    </row>
    <row r="4522" spans="14:20" x14ac:dyDescent="0.25">
      <c r="N4522" s="514"/>
      <c r="R4522" s="293"/>
      <c r="S4522" s="316"/>
      <c r="T4522" s="355"/>
    </row>
    <row r="4523" spans="14:20" x14ac:dyDescent="0.25">
      <c r="N4523" s="514"/>
      <c r="R4523" s="293"/>
      <c r="S4523" s="316"/>
      <c r="T4523" s="355"/>
    </row>
    <row r="4524" spans="14:20" x14ac:dyDescent="0.25">
      <c r="N4524" s="514"/>
      <c r="R4524" s="293"/>
      <c r="S4524" s="316"/>
      <c r="T4524" s="355"/>
    </row>
    <row r="4525" spans="14:20" x14ac:dyDescent="0.25">
      <c r="N4525" s="514"/>
      <c r="R4525" s="293"/>
      <c r="S4525" s="316"/>
      <c r="T4525" s="355"/>
    </row>
    <row r="4526" spans="14:20" x14ac:dyDescent="0.25">
      <c r="N4526" s="514"/>
      <c r="R4526" s="293"/>
      <c r="S4526" s="316"/>
      <c r="T4526" s="355"/>
    </row>
    <row r="4527" spans="14:20" x14ac:dyDescent="0.25">
      <c r="N4527" s="514"/>
      <c r="R4527" s="293"/>
      <c r="S4527" s="316"/>
      <c r="T4527" s="355"/>
    </row>
    <row r="4528" spans="14:20" x14ac:dyDescent="0.25">
      <c r="N4528" s="514"/>
      <c r="R4528" s="293"/>
      <c r="S4528" s="316"/>
      <c r="T4528" s="355"/>
    </row>
    <row r="4529" spans="14:20" x14ac:dyDescent="0.25">
      <c r="N4529" s="514"/>
      <c r="R4529" s="293"/>
      <c r="S4529" s="316"/>
      <c r="T4529" s="355"/>
    </row>
    <row r="4530" spans="14:20" x14ac:dyDescent="0.25">
      <c r="N4530" s="514"/>
      <c r="R4530" s="293"/>
      <c r="S4530" s="316"/>
      <c r="T4530" s="355"/>
    </row>
    <row r="4531" spans="14:20" x14ac:dyDescent="0.25">
      <c r="N4531" s="514"/>
      <c r="R4531" s="293"/>
      <c r="S4531" s="316"/>
      <c r="T4531" s="355"/>
    </row>
    <row r="4532" spans="14:20" x14ac:dyDescent="0.25">
      <c r="N4532" s="514"/>
      <c r="R4532" s="293"/>
      <c r="S4532" s="316"/>
      <c r="T4532" s="355"/>
    </row>
    <row r="4533" spans="14:20" x14ac:dyDescent="0.25">
      <c r="N4533" s="514"/>
      <c r="R4533" s="293"/>
      <c r="S4533" s="316"/>
      <c r="T4533" s="355"/>
    </row>
    <row r="4534" spans="14:20" x14ac:dyDescent="0.25">
      <c r="N4534" s="514"/>
      <c r="R4534" s="293"/>
      <c r="S4534" s="316"/>
      <c r="T4534" s="355"/>
    </row>
    <row r="4535" spans="14:20" x14ac:dyDescent="0.25">
      <c r="N4535" s="514"/>
      <c r="R4535" s="293"/>
      <c r="S4535" s="316"/>
      <c r="T4535" s="355"/>
    </row>
    <row r="4536" spans="14:20" x14ac:dyDescent="0.25">
      <c r="N4536" s="514"/>
      <c r="R4536" s="293"/>
      <c r="S4536" s="316"/>
      <c r="T4536" s="355"/>
    </row>
    <row r="4537" spans="14:20" x14ac:dyDescent="0.25">
      <c r="N4537" s="514"/>
      <c r="R4537" s="293"/>
      <c r="S4537" s="316"/>
      <c r="T4537" s="355"/>
    </row>
    <row r="4538" spans="14:20" x14ac:dyDescent="0.25">
      <c r="N4538" s="514"/>
      <c r="R4538" s="293"/>
      <c r="S4538" s="316"/>
      <c r="T4538" s="355"/>
    </row>
    <row r="4539" spans="14:20" x14ac:dyDescent="0.25">
      <c r="N4539" s="514"/>
      <c r="R4539" s="293"/>
      <c r="S4539" s="316"/>
      <c r="T4539" s="355"/>
    </row>
    <row r="4540" spans="14:20" x14ac:dyDescent="0.25">
      <c r="N4540" s="514"/>
      <c r="R4540" s="293"/>
      <c r="S4540" s="316"/>
      <c r="T4540" s="355"/>
    </row>
    <row r="4541" spans="14:20" x14ac:dyDescent="0.25">
      <c r="N4541" s="514"/>
      <c r="R4541" s="293"/>
      <c r="S4541" s="316"/>
      <c r="T4541" s="355"/>
    </row>
    <row r="4542" spans="14:20" x14ac:dyDescent="0.25">
      <c r="N4542" s="514"/>
      <c r="R4542" s="293"/>
      <c r="S4542" s="316"/>
      <c r="T4542" s="355"/>
    </row>
    <row r="4543" spans="14:20" x14ac:dyDescent="0.25">
      <c r="N4543" s="514"/>
      <c r="R4543" s="293"/>
      <c r="S4543" s="316"/>
      <c r="T4543" s="355"/>
    </row>
    <row r="4544" spans="14:20" x14ac:dyDescent="0.25">
      <c r="N4544" s="514"/>
      <c r="R4544" s="293"/>
      <c r="S4544" s="316"/>
      <c r="T4544" s="355"/>
    </row>
    <row r="4545" spans="14:20" x14ac:dyDescent="0.25">
      <c r="N4545" s="514"/>
      <c r="R4545" s="293"/>
      <c r="S4545" s="316"/>
      <c r="T4545" s="355"/>
    </row>
    <row r="4546" spans="14:20" x14ac:dyDescent="0.25">
      <c r="N4546" s="514"/>
      <c r="R4546" s="293"/>
      <c r="S4546" s="316"/>
      <c r="T4546" s="355"/>
    </row>
    <row r="4547" spans="14:20" x14ac:dyDescent="0.25">
      <c r="N4547" s="514"/>
      <c r="R4547" s="293"/>
      <c r="S4547" s="316"/>
      <c r="T4547" s="355"/>
    </row>
    <row r="4548" spans="14:20" x14ac:dyDescent="0.25">
      <c r="N4548" s="514"/>
      <c r="R4548" s="293"/>
      <c r="S4548" s="316"/>
      <c r="T4548" s="355"/>
    </row>
    <row r="4549" spans="14:20" x14ac:dyDescent="0.25">
      <c r="N4549" s="514"/>
      <c r="R4549" s="293"/>
      <c r="S4549" s="316"/>
      <c r="T4549" s="355"/>
    </row>
    <row r="4550" spans="14:20" x14ac:dyDescent="0.25">
      <c r="N4550" s="514"/>
      <c r="R4550" s="293"/>
      <c r="S4550" s="316"/>
      <c r="T4550" s="355"/>
    </row>
    <row r="4551" spans="14:20" x14ac:dyDescent="0.25">
      <c r="N4551" s="514"/>
      <c r="R4551" s="293"/>
      <c r="S4551" s="316"/>
      <c r="T4551" s="355"/>
    </row>
    <row r="4552" spans="14:20" x14ac:dyDescent="0.25">
      <c r="N4552" s="514"/>
      <c r="R4552" s="293"/>
      <c r="S4552" s="316"/>
      <c r="T4552" s="355"/>
    </row>
    <row r="4553" spans="14:20" x14ac:dyDescent="0.25">
      <c r="N4553" s="514"/>
      <c r="R4553" s="293"/>
      <c r="S4553" s="316"/>
      <c r="T4553" s="355"/>
    </row>
    <row r="4554" spans="14:20" x14ac:dyDescent="0.25">
      <c r="N4554" s="514"/>
      <c r="R4554" s="293"/>
      <c r="S4554" s="316"/>
      <c r="T4554" s="355"/>
    </row>
    <row r="4555" spans="14:20" x14ac:dyDescent="0.25">
      <c r="N4555" s="514"/>
      <c r="R4555" s="293"/>
      <c r="S4555" s="316"/>
      <c r="T4555" s="355"/>
    </row>
    <row r="4556" spans="14:20" x14ac:dyDescent="0.25">
      <c r="N4556" s="514"/>
      <c r="R4556" s="293"/>
      <c r="S4556" s="316"/>
      <c r="T4556" s="355"/>
    </row>
    <row r="4557" spans="14:20" x14ac:dyDescent="0.25">
      <c r="N4557" s="514"/>
      <c r="R4557" s="293"/>
      <c r="S4557" s="316"/>
      <c r="T4557" s="355"/>
    </row>
    <row r="4558" spans="14:20" x14ac:dyDescent="0.25">
      <c r="N4558" s="514"/>
      <c r="R4558" s="293"/>
      <c r="S4558" s="316"/>
      <c r="T4558" s="355"/>
    </row>
    <row r="4559" spans="14:20" x14ac:dyDescent="0.25">
      <c r="N4559" s="514"/>
      <c r="R4559" s="293"/>
      <c r="S4559" s="316"/>
      <c r="T4559" s="355"/>
    </row>
    <row r="4560" spans="14:20" x14ac:dyDescent="0.25">
      <c r="N4560" s="514"/>
      <c r="R4560" s="293"/>
      <c r="S4560" s="316"/>
      <c r="T4560" s="355"/>
    </row>
    <row r="4561" spans="14:20" x14ac:dyDescent="0.25">
      <c r="N4561" s="514"/>
      <c r="R4561" s="293"/>
      <c r="S4561" s="316"/>
      <c r="T4561" s="355"/>
    </row>
    <row r="4562" spans="14:20" x14ac:dyDescent="0.25">
      <c r="N4562" s="514"/>
      <c r="R4562" s="293"/>
      <c r="S4562" s="316"/>
      <c r="T4562" s="355"/>
    </row>
    <row r="4563" spans="14:20" x14ac:dyDescent="0.25">
      <c r="N4563" s="514"/>
      <c r="R4563" s="293"/>
      <c r="S4563" s="316"/>
      <c r="T4563" s="355"/>
    </row>
    <row r="4564" spans="14:20" x14ac:dyDescent="0.25">
      <c r="N4564" s="514"/>
      <c r="R4564" s="293"/>
      <c r="S4564" s="316"/>
      <c r="T4564" s="355"/>
    </row>
    <row r="4565" spans="14:20" x14ac:dyDescent="0.25">
      <c r="N4565" s="514"/>
      <c r="R4565" s="293"/>
      <c r="S4565" s="316"/>
      <c r="T4565" s="355"/>
    </row>
    <row r="4566" spans="14:20" x14ac:dyDescent="0.25">
      <c r="N4566" s="514"/>
      <c r="R4566" s="293"/>
      <c r="S4566" s="316"/>
      <c r="T4566" s="355"/>
    </row>
    <row r="4567" spans="14:20" x14ac:dyDescent="0.25">
      <c r="N4567" s="514"/>
      <c r="R4567" s="293"/>
      <c r="S4567" s="316"/>
      <c r="T4567" s="355"/>
    </row>
    <row r="4568" spans="14:20" x14ac:dyDescent="0.25">
      <c r="N4568" s="514"/>
      <c r="R4568" s="293"/>
      <c r="S4568" s="316"/>
      <c r="T4568" s="355"/>
    </row>
    <row r="4569" spans="14:20" x14ac:dyDescent="0.25">
      <c r="N4569" s="514"/>
      <c r="R4569" s="293"/>
      <c r="S4569" s="316"/>
      <c r="T4569" s="355"/>
    </row>
    <row r="4570" spans="14:20" x14ac:dyDescent="0.25">
      <c r="N4570" s="514"/>
      <c r="R4570" s="293"/>
      <c r="S4570" s="316"/>
      <c r="T4570" s="355"/>
    </row>
    <row r="4571" spans="14:20" x14ac:dyDescent="0.25">
      <c r="N4571" s="514"/>
      <c r="R4571" s="293"/>
      <c r="S4571" s="316"/>
      <c r="T4571" s="355"/>
    </row>
    <row r="4572" spans="14:20" x14ac:dyDescent="0.25">
      <c r="N4572" s="514"/>
      <c r="R4572" s="293"/>
      <c r="S4572" s="316"/>
      <c r="T4572" s="355"/>
    </row>
    <row r="4573" spans="14:20" x14ac:dyDescent="0.25">
      <c r="N4573" s="514"/>
      <c r="R4573" s="293"/>
      <c r="S4573" s="316"/>
      <c r="T4573" s="355"/>
    </row>
    <row r="4574" spans="14:20" x14ac:dyDescent="0.25">
      <c r="N4574" s="514"/>
      <c r="R4574" s="293"/>
      <c r="S4574" s="316"/>
      <c r="T4574" s="355"/>
    </row>
    <row r="4575" spans="14:20" x14ac:dyDescent="0.25">
      <c r="N4575" s="514"/>
      <c r="R4575" s="293"/>
      <c r="S4575" s="316"/>
      <c r="T4575" s="355"/>
    </row>
    <row r="4576" spans="14:20" x14ac:dyDescent="0.25">
      <c r="N4576" s="514"/>
      <c r="R4576" s="293"/>
      <c r="S4576" s="316"/>
      <c r="T4576" s="355"/>
    </row>
    <row r="4577" spans="14:20" x14ac:dyDescent="0.25">
      <c r="N4577" s="514"/>
      <c r="R4577" s="293"/>
      <c r="S4577" s="316"/>
      <c r="T4577" s="355"/>
    </row>
    <row r="4578" spans="14:20" x14ac:dyDescent="0.25">
      <c r="N4578" s="514"/>
      <c r="R4578" s="293"/>
      <c r="S4578" s="316"/>
      <c r="T4578" s="355"/>
    </row>
    <row r="4579" spans="14:20" x14ac:dyDescent="0.25">
      <c r="N4579" s="514"/>
      <c r="R4579" s="293"/>
      <c r="S4579" s="316"/>
      <c r="T4579" s="355"/>
    </row>
    <row r="4580" spans="14:20" x14ac:dyDescent="0.25">
      <c r="N4580" s="514"/>
      <c r="R4580" s="293"/>
      <c r="S4580" s="316"/>
      <c r="T4580" s="355"/>
    </row>
    <row r="4581" spans="14:20" x14ac:dyDescent="0.25">
      <c r="N4581" s="514"/>
      <c r="R4581" s="293"/>
      <c r="S4581" s="316"/>
      <c r="T4581" s="355"/>
    </row>
    <row r="4582" spans="14:20" x14ac:dyDescent="0.25">
      <c r="N4582" s="514"/>
      <c r="R4582" s="293"/>
      <c r="S4582" s="316"/>
      <c r="T4582" s="355"/>
    </row>
    <row r="4583" spans="14:20" x14ac:dyDescent="0.25">
      <c r="N4583" s="514"/>
      <c r="R4583" s="293"/>
      <c r="S4583" s="316"/>
      <c r="T4583" s="355"/>
    </row>
    <row r="4584" spans="14:20" x14ac:dyDescent="0.25">
      <c r="N4584" s="514"/>
      <c r="R4584" s="293"/>
      <c r="S4584" s="316"/>
      <c r="T4584" s="355"/>
    </row>
    <row r="4585" spans="14:20" x14ac:dyDescent="0.25">
      <c r="N4585" s="514"/>
      <c r="R4585" s="293"/>
      <c r="S4585" s="316"/>
      <c r="T4585" s="355"/>
    </row>
    <row r="4586" spans="14:20" x14ac:dyDescent="0.25">
      <c r="N4586" s="514"/>
      <c r="R4586" s="293"/>
      <c r="S4586" s="316"/>
      <c r="T4586" s="355"/>
    </row>
    <row r="4587" spans="14:20" x14ac:dyDescent="0.25">
      <c r="N4587" s="514"/>
      <c r="R4587" s="293"/>
      <c r="S4587" s="316"/>
      <c r="T4587" s="355"/>
    </row>
    <row r="4588" spans="14:20" x14ac:dyDescent="0.25">
      <c r="N4588" s="514"/>
      <c r="R4588" s="293"/>
      <c r="S4588" s="316"/>
      <c r="T4588" s="355"/>
    </row>
    <row r="4589" spans="14:20" x14ac:dyDescent="0.25">
      <c r="N4589" s="514"/>
      <c r="R4589" s="293"/>
      <c r="S4589" s="316"/>
      <c r="T4589" s="355"/>
    </row>
    <row r="4590" spans="14:20" x14ac:dyDescent="0.25">
      <c r="N4590" s="514"/>
      <c r="R4590" s="293"/>
      <c r="S4590" s="316"/>
      <c r="T4590" s="355"/>
    </row>
    <row r="4591" spans="14:20" x14ac:dyDescent="0.25">
      <c r="N4591" s="514"/>
      <c r="R4591" s="293"/>
      <c r="S4591" s="316"/>
      <c r="T4591" s="355"/>
    </row>
    <row r="4592" spans="14:20" x14ac:dyDescent="0.25">
      <c r="N4592" s="514"/>
      <c r="R4592" s="293"/>
      <c r="S4592" s="316"/>
      <c r="T4592" s="355"/>
    </row>
    <row r="4593" spans="14:20" x14ac:dyDescent="0.25">
      <c r="N4593" s="514"/>
      <c r="R4593" s="293"/>
      <c r="S4593" s="316"/>
      <c r="T4593" s="355"/>
    </row>
    <row r="4594" spans="14:20" x14ac:dyDescent="0.25">
      <c r="N4594" s="514"/>
      <c r="R4594" s="293"/>
      <c r="S4594" s="316"/>
      <c r="T4594" s="355"/>
    </row>
    <row r="4595" spans="14:20" x14ac:dyDescent="0.25">
      <c r="N4595" s="514"/>
      <c r="R4595" s="293"/>
      <c r="S4595" s="316"/>
      <c r="T4595" s="355"/>
    </row>
    <row r="4596" spans="14:20" x14ac:dyDescent="0.25">
      <c r="N4596" s="514"/>
      <c r="R4596" s="293"/>
      <c r="S4596" s="316"/>
      <c r="T4596" s="355"/>
    </row>
    <row r="4597" spans="14:20" x14ac:dyDescent="0.25">
      <c r="N4597" s="514"/>
      <c r="R4597" s="293"/>
      <c r="S4597" s="316"/>
      <c r="T4597" s="355"/>
    </row>
    <row r="4598" spans="14:20" x14ac:dyDescent="0.25">
      <c r="N4598" s="514"/>
      <c r="R4598" s="293"/>
      <c r="S4598" s="316"/>
      <c r="T4598" s="355"/>
    </row>
    <row r="4599" spans="14:20" x14ac:dyDescent="0.25">
      <c r="N4599" s="514"/>
      <c r="R4599" s="293"/>
      <c r="S4599" s="316"/>
      <c r="T4599" s="355"/>
    </row>
    <row r="4600" spans="14:20" x14ac:dyDescent="0.25">
      <c r="N4600" s="514"/>
      <c r="R4600" s="293"/>
      <c r="S4600" s="316"/>
      <c r="T4600" s="355"/>
    </row>
    <row r="4601" spans="14:20" x14ac:dyDescent="0.25">
      <c r="N4601" s="514"/>
      <c r="R4601" s="293"/>
      <c r="S4601" s="316"/>
      <c r="T4601" s="355"/>
    </row>
    <row r="4602" spans="14:20" x14ac:dyDescent="0.25">
      <c r="N4602" s="514"/>
      <c r="R4602" s="293"/>
      <c r="S4602" s="316"/>
      <c r="T4602" s="355"/>
    </row>
    <row r="4603" spans="14:20" x14ac:dyDescent="0.25">
      <c r="N4603" s="514"/>
      <c r="R4603" s="293"/>
      <c r="S4603" s="316"/>
      <c r="T4603" s="355"/>
    </row>
    <row r="4604" spans="14:20" x14ac:dyDescent="0.25">
      <c r="N4604" s="514"/>
      <c r="R4604" s="293"/>
      <c r="S4604" s="316"/>
      <c r="T4604" s="355"/>
    </row>
    <row r="4605" spans="14:20" x14ac:dyDescent="0.25">
      <c r="N4605" s="514"/>
      <c r="R4605" s="293"/>
      <c r="S4605" s="316"/>
      <c r="T4605" s="355"/>
    </row>
    <row r="4606" spans="14:20" x14ac:dyDescent="0.25">
      <c r="N4606" s="514"/>
      <c r="R4606" s="293"/>
      <c r="S4606" s="316"/>
      <c r="T4606" s="355"/>
    </row>
    <row r="4607" spans="14:20" x14ac:dyDescent="0.25">
      <c r="N4607" s="514"/>
      <c r="R4607" s="293"/>
      <c r="S4607" s="316"/>
      <c r="T4607" s="355"/>
    </row>
    <row r="4608" spans="14:20" x14ac:dyDescent="0.25">
      <c r="N4608" s="514"/>
      <c r="R4608" s="293"/>
      <c r="S4608" s="316"/>
      <c r="T4608" s="355"/>
    </row>
    <row r="4609" spans="14:20" x14ac:dyDescent="0.25">
      <c r="N4609" s="514"/>
      <c r="R4609" s="293"/>
      <c r="S4609" s="316"/>
      <c r="T4609" s="355"/>
    </row>
    <row r="4610" spans="14:20" x14ac:dyDescent="0.25">
      <c r="N4610" s="514"/>
      <c r="R4610" s="293"/>
      <c r="S4610" s="316"/>
      <c r="T4610" s="355"/>
    </row>
    <row r="4611" spans="14:20" x14ac:dyDescent="0.25">
      <c r="N4611" s="514"/>
      <c r="R4611" s="293"/>
      <c r="S4611" s="316"/>
      <c r="T4611" s="355"/>
    </row>
    <row r="4612" spans="14:20" x14ac:dyDescent="0.25">
      <c r="N4612" s="514"/>
      <c r="R4612" s="293"/>
      <c r="S4612" s="316"/>
      <c r="T4612" s="355"/>
    </row>
    <row r="4613" spans="14:20" x14ac:dyDescent="0.25">
      <c r="N4613" s="514"/>
      <c r="R4613" s="293"/>
      <c r="S4613" s="316"/>
      <c r="T4613" s="355"/>
    </row>
    <row r="4614" spans="14:20" x14ac:dyDescent="0.25">
      <c r="N4614" s="514"/>
      <c r="R4614" s="293"/>
      <c r="S4614" s="316"/>
      <c r="T4614" s="355"/>
    </row>
    <row r="4615" spans="14:20" x14ac:dyDescent="0.25">
      <c r="N4615" s="514"/>
      <c r="R4615" s="293"/>
      <c r="S4615" s="316"/>
      <c r="T4615" s="355"/>
    </row>
    <row r="4616" spans="14:20" x14ac:dyDescent="0.25">
      <c r="N4616" s="514"/>
      <c r="R4616" s="293"/>
      <c r="S4616" s="316"/>
      <c r="T4616" s="355"/>
    </row>
    <row r="4617" spans="14:20" x14ac:dyDescent="0.25">
      <c r="N4617" s="514"/>
      <c r="R4617" s="293"/>
      <c r="S4617" s="316"/>
      <c r="T4617" s="355"/>
    </row>
    <row r="4618" spans="14:20" x14ac:dyDescent="0.25">
      <c r="N4618" s="514"/>
      <c r="R4618" s="293"/>
      <c r="S4618" s="316"/>
      <c r="T4618" s="355"/>
    </row>
    <row r="4619" spans="14:20" x14ac:dyDescent="0.25">
      <c r="N4619" s="514"/>
      <c r="R4619" s="293"/>
      <c r="S4619" s="316"/>
      <c r="T4619" s="355"/>
    </row>
    <row r="4620" spans="14:20" x14ac:dyDescent="0.25">
      <c r="N4620" s="514"/>
      <c r="R4620" s="293"/>
      <c r="S4620" s="316"/>
      <c r="T4620" s="355"/>
    </row>
    <row r="4621" spans="14:20" x14ac:dyDescent="0.25">
      <c r="N4621" s="514"/>
      <c r="R4621" s="293"/>
      <c r="S4621" s="316"/>
      <c r="T4621" s="355"/>
    </row>
    <row r="4622" spans="14:20" x14ac:dyDescent="0.25">
      <c r="N4622" s="514"/>
      <c r="R4622" s="293"/>
      <c r="S4622" s="316"/>
      <c r="T4622" s="355"/>
    </row>
    <row r="4623" spans="14:20" x14ac:dyDescent="0.25">
      <c r="N4623" s="514"/>
      <c r="R4623" s="293"/>
      <c r="S4623" s="316"/>
      <c r="T4623" s="355"/>
    </row>
    <row r="4624" spans="14:20" x14ac:dyDescent="0.25">
      <c r="N4624" s="514"/>
      <c r="R4624" s="293"/>
      <c r="S4624" s="316"/>
      <c r="T4624" s="355"/>
    </row>
    <row r="4625" spans="14:20" x14ac:dyDescent="0.25">
      <c r="N4625" s="514"/>
      <c r="R4625" s="293"/>
      <c r="S4625" s="316"/>
      <c r="T4625" s="355"/>
    </row>
    <row r="4626" spans="14:20" x14ac:dyDescent="0.25">
      <c r="N4626" s="514"/>
      <c r="R4626" s="293"/>
      <c r="S4626" s="316"/>
      <c r="T4626" s="355"/>
    </row>
    <row r="4627" spans="14:20" x14ac:dyDescent="0.25">
      <c r="N4627" s="514"/>
      <c r="R4627" s="293"/>
      <c r="S4627" s="316"/>
      <c r="T4627" s="355"/>
    </row>
    <row r="4628" spans="14:20" x14ac:dyDescent="0.25">
      <c r="N4628" s="514"/>
      <c r="R4628" s="293"/>
      <c r="S4628" s="316"/>
      <c r="T4628" s="355"/>
    </row>
    <row r="4629" spans="14:20" x14ac:dyDescent="0.25">
      <c r="N4629" s="514"/>
      <c r="R4629" s="293"/>
      <c r="S4629" s="316"/>
      <c r="T4629" s="355"/>
    </row>
    <row r="4630" spans="14:20" x14ac:dyDescent="0.25">
      <c r="N4630" s="514"/>
      <c r="R4630" s="293"/>
      <c r="S4630" s="316"/>
      <c r="T4630" s="355"/>
    </row>
    <row r="4631" spans="14:20" x14ac:dyDescent="0.25">
      <c r="N4631" s="514"/>
      <c r="R4631" s="293"/>
      <c r="S4631" s="316"/>
      <c r="T4631" s="355"/>
    </row>
    <row r="4632" spans="14:20" x14ac:dyDescent="0.25">
      <c r="N4632" s="514"/>
      <c r="R4632" s="293"/>
      <c r="S4632" s="316"/>
      <c r="T4632" s="355"/>
    </row>
    <row r="4633" spans="14:20" x14ac:dyDescent="0.25">
      <c r="N4633" s="514"/>
      <c r="R4633" s="293"/>
      <c r="S4633" s="316"/>
      <c r="T4633" s="355"/>
    </row>
    <row r="4634" spans="14:20" x14ac:dyDescent="0.25">
      <c r="N4634" s="514"/>
      <c r="R4634" s="293"/>
      <c r="S4634" s="316"/>
      <c r="T4634" s="355"/>
    </row>
    <row r="4635" spans="14:20" x14ac:dyDescent="0.25">
      <c r="N4635" s="514"/>
      <c r="R4635" s="293"/>
      <c r="S4635" s="316"/>
      <c r="T4635" s="355"/>
    </row>
    <row r="4636" spans="14:20" x14ac:dyDescent="0.25">
      <c r="N4636" s="514"/>
      <c r="R4636" s="293"/>
      <c r="S4636" s="316"/>
      <c r="T4636" s="355"/>
    </row>
    <row r="4637" spans="14:20" x14ac:dyDescent="0.25">
      <c r="N4637" s="514"/>
      <c r="R4637" s="293"/>
      <c r="S4637" s="316"/>
      <c r="T4637" s="355"/>
    </row>
    <row r="4638" spans="14:20" x14ac:dyDescent="0.25">
      <c r="N4638" s="514"/>
      <c r="R4638" s="293"/>
      <c r="S4638" s="316"/>
      <c r="T4638" s="355"/>
    </row>
    <row r="4639" spans="14:20" x14ac:dyDescent="0.25">
      <c r="N4639" s="514"/>
      <c r="R4639" s="293"/>
      <c r="S4639" s="316"/>
      <c r="T4639" s="355"/>
    </row>
    <row r="4640" spans="14:20" x14ac:dyDescent="0.25">
      <c r="N4640" s="514"/>
      <c r="R4640" s="293"/>
      <c r="S4640" s="316"/>
      <c r="T4640" s="355"/>
    </row>
    <row r="4641" spans="14:20" x14ac:dyDescent="0.25">
      <c r="N4641" s="514"/>
      <c r="R4641" s="293"/>
      <c r="S4641" s="316"/>
      <c r="T4641" s="355"/>
    </row>
    <row r="4642" spans="14:20" x14ac:dyDescent="0.25">
      <c r="N4642" s="514"/>
      <c r="R4642" s="293"/>
      <c r="S4642" s="316"/>
      <c r="T4642" s="355"/>
    </row>
    <row r="4643" spans="14:20" x14ac:dyDescent="0.25">
      <c r="N4643" s="514"/>
      <c r="R4643" s="293"/>
      <c r="S4643" s="316"/>
      <c r="T4643" s="355"/>
    </row>
    <row r="4644" spans="14:20" x14ac:dyDescent="0.25">
      <c r="N4644" s="514"/>
      <c r="R4644" s="293"/>
      <c r="S4644" s="316"/>
      <c r="T4644" s="355"/>
    </row>
    <row r="4645" spans="14:20" x14ac:dyDescent="0.25">
      <c r="N4645" s="514"/>
      <c r="R4645" s="293"/>
      <c r="S4645" s="316"/>
      <c r="T4645" s="355"/>
    </row>
    <row r="4646" spans="14:20" x14ac:dyDescent="0.25">
      <c r="N4646" s="514"/>
      <c r="R4646" s="293"/>
      <c r="S4646" s="316"/>
      <c r="T4646" s="355"/>
    </row>
    <row r="4647" spans="14:20" x14ac:dyDescent="0.25">
      <c r="N4647" s="514"/>
      <c r="R4647" s="293"/>
      <c r="S4647" s="316"/>
      <c r="T4647" s="355"/>
    </row>
    <row r="4648" spans="14:20" x14ac:dyDescent="0.25">
      <c r="N4648" s="514"/>
      <c r="R4648" s="293"/>
      <c r="S4648" s="316"/>
      <c r="T4648" s="355"/>
    </row>
    <row r="4649" spans="14:20" x14ac:dyDescent="0.25">
      <c r="N4649" s="514"/>
      <c r="R4649" s="293"/>
      <c r="S4649" s="316"/>
      <c r="T4649" s="355"/>
    </row>
    <row r="4650" spans="14:20" x14ac:dyDescent="0.25">
      <c r="N4650" s="514"/>
      <c r="R4650" s="293"/>
      <c r="S4650" s="316"/>
      <c r="T4650" s="355"/>
    </row>
    <row r="4651" spans="14:20" x14ac:dyDescent="0.25">
      <c r="N4651" s="514"/>
      <c r="R4651" s="293"/>
      <c r="S4651" s="316"/>
      <c r="T4651" s="355"/>
    </row>
    <row r="4652" spans="14:20" x14ac:dyDescent="0.25">
      <c r="N4652" s="514"/>
      <c r="R4652" s="293"/>
      <c r="S4652" s="316"/>
      <c r="T4652" s="355"/>
    </row>
    <row r="4653" spans="14:20" x14ac:dyDescent="0.25">
      <c r="N4653" s="514"/>
      <c r="R4653" s="293"/>
      <c r="S4653" s="316"/>
      <c r="T4653" s="355"/>
    </row>
    <row r="4654" spans="14:20" x14ac:dyDescent="0.25">
      <c r="N4654" s="514"/>
      <c r="R4654" s="293"/>
      <c r="S4654" s="316"/>
      <c r="T4654" s="355"/>
    </row>
    <row r="4655" spans="14:20" x14ac:dyDescent="0.25">
      <c r="N4655" s="514"/>
      <c r="R4655" s="293"/>
      <c r="S4655" s="316"/>
      <c r="T4655" s="355"/>
    </row>
    <row r="4656" spans="14:20" x14ac:dyDescent="0.25">
      <c r="N4656" s="514"/>
      <c r="R4656" s="293"/>
      <c r="S4656" s="316"/>
      <c r="T4656" s="355"/>
    </row>
    <row r="4657" spans="14:20" x14ac:dyDescent="0.25">
      <c r="N4657" s="514"/>
      <c r="R4657" s="293"/>
      <c r="S4657" s="316"/>
      <c r="T4657" s="355"/>
    </row>
    <row r="4658" spans="14:20" x14ac:dyDescent="0.25">
      <c r="N4658" s="514"/>
      <c r="R4658" s="293"/>
      <c r="S4658" s="316"/>
      <c r="T4658" s="355"/>
    </row>
    <row r="4659" spans="14:20" x14ac:dyDescent="0.25">
      <c r="N4659" s="514"/>
      <c r="R4659" s="293"/>
      <c r="S4659" s="316"/>
      <c r="T4659" s="355"/>
    </row>
    <row r="4660" spans="14:20" x14ac:dyDescent="0.25">
      <c r="N4660" s="514"/>
      <c r="R4660" s="293"/>
      <c r="S4660" s="316"/>
      <c r="T4660" s="355"/>
    </row>
    <row r="4661" spans="14:20" x14ac:dyDescent="0.25">
      <c r="N4661" s="514"/>
      <c r="R4661" s="293"/>
      <c r="S4661" s="316"/>
      <c r="T4661" s="355"/>
    </row>
    <row r="4662" spans="14:20" x14ac:dyDescent="0.25">
      <c r="N4662" s="514"/>
      <c r="R4662" s="293"/>
      <c r="S4662" s="316"/>
      <c r="T4662" s="355"/>
    </row>
    <row r="4663" spans="14:20" x14ac:dyDescent="0.25">
      <c r="N4663" s="514"/>
      <c r="R4663" s="293"/>
      <c r="S4663" s="316"/>
      <c r="T4663" s="355"/>
    </row>
    <row r="4664" spans="14:20" x14ac:dyDescent="0.25">
      <c r="N4664" s="514"/>
      <c r="R4664" s="293"/>
      <c r="S4664" s="316"/>
      <c r="T4664" s="355"/>
    </row>
    <row r="4665" spans="14:20" x14ac:dyDescent="0.25">
      <c r="N4665" s="514"/>
      <c r="R4665" s="293"/>
      <c r="S4665" s="316"/>
      <c r="T4665" s="355"/>
    </row>
    <row r="4666" spans="14:20" x14ac:dyDescent="0.25">
      <c r="N4666" s="514"/>
      <c r="R4666" s="293"/>
      <c r="S4666" s="316"/>
      <c r="T4666" s="355"/>
    </row>
    <row r="4667" spans="14:20" x14ac:dyDescent="0.25">
      <c r="N4667" s="514"/>
      <c r="R4667" s="293"/>
      <c r="S4667" s="316"/>
      <c r="T4667" s="355"/>
    </row>
    <row r="4668" spans="14:20" x14ac:dyDescent="0.25">
      <c r="N4668" s="514"/>
      <c r="R4668" s="293"/>
      <c r="S4668" s="316"/>
      <c r="T4668" s="355"/>
    </row>
    <row r="4669" spans="14:20" x14ac:dyDescent="0.25">
      <c r="N4669" s="514"/>
      <c r="R4669" s="293"/>
      <c r="S4669" s="316"/>
      <c r="T4669" s="355"/>
    </row>
    <row r="4670" spans="14:20" x14ac:dyDescent="0.25">
      <c r="N4670" s="514"/>
      <c r="R4670" s="293"/>
      <c r="S4670" s="316"/>
      <c r="T4670" s="355"/>
    </row>
    <row r="4671" spans="14:20" x14ac:dyDescent="0.25">
      <c r="N4671" s="514"/>
      <c r="R4671" s="293"/>
      <c r="S4671" s="316"/>
      <c r="T4671" s="355"/>
    </row>
    <row r="4672" spans="14:20" x14ac:dyDescent="0.25">
      <c r="N4672" s="514"/>
      <c r="R4672" s="293"/>
      <c r="S4672" s="316"/>
      <c r="T4672" s="355"/>
    </row>
    <row r="4673" spans="14:20" x14ac:dyDescent="0.25">
      <c r="N4673" s="514"/>
      <c r="R4673" s="293"/>
      <c r="S4673" s="316"/>
      <c r="T4673" s="355"/>
    </row>
    <row r="4674" spans="14:20" x14ac:dyDescent="0.25">
      <c r="N4674" s="514"/>
      <c r="R4674" s="293"/>
      <c r="S4674" s="316"/>
      <c r="T4674" s="355"/>
    </row>
    <row r="4675" spans="14:20" x14ac:dyDescent="0.25">
      <c r="N4675" s="514"/>
      <c r="R4675" s="293"/>
      <c r="S4675" s="316"/>
      <c r="T4675" s="355"/>
    </row>
    <row r="4676" spans="14:20" x14ac:dyDescent="0.25">
      <c r="N4676" s="514"/>
      <c r="R4676" s="293"/>
      <c r="S4676" s="316"/>
      <c r="T4676" s="355"/>
    </row>
    <row r="4677" spans="14:20" x14ac:dyDescent="0.25">
      <c r="N4677" s="514"/>
      <c r="R4677" s="293"/>
      <c r="S4677" s="316"/>
      <c r="T4677" s="355"/>
    </row>
    <row r="4678" spans="14:20" x14ac:dyDescent="0.25">
      <c r="N4678" s="514"/>
      <c r="R4678" s="293"/>
      <c r="S4678" s="316"/>
      <c r="T4678" s="355"/>
    </row>
    <row r="4679" spans="14:20" x14ac:dyDescent="0.25">
      <c r="N4679" s="514"/>
      <c r="R4679" s="293"/>
      <c r="S4679" s="316"/>
      <c r="T4679" s="355"/>
    </row>
    <row r="4680" spans="14:20" x14ac:dyDescent="0.25">
      <c r="N4680" s="514"/>
      <c r="R4680" s="293"/>
      <c r="S4680" s="316"/>
      <c r="T4680" s="355"/>
    </row>
    <row r="4681" spans="14:20" x14ac:dyDescent="0.25">
      <c r="N4681" s="514"/>
      <c r="R4681" s="293"/>
      <c r="S4681" s="316"/>
      <c r="T4681" s="355"/>
    </row>
    <row r="4682" spans="14:20" x14ac:dyDescent="0.25">
      <c r="N4682" s="514"/>
      <c r="R4682" s="293"/>
      <c r="S4682" s="316"/>
      <c r="T4682" s="355"/>
    </row>
    <row r="4683" spans="14:20" x14ac:dyDescent="0.25">
      <c r="N4683" s="514"/>
      <c r="R4683" s="293"/>
      <c r="S4683" s="316"/>
      <c r="T4683" s="355"/>
    </row>
    <row r="4684" spans="14:20" x14ac:dyDescent="0.25">
      <c r="N4684" s="514"/>
      <c r="R4684" s="293"/>
      <c r="S4684" s="316"/>
      <c r="T4684" s="355"/>
    </row>
    <row r="4685" spans="14:20" x14ac:dyDescent="0.25">
      <c r="N4685" s="514"/>
      <c r="R4685" s="293"/>
      <c r="S4685" s="316"/>
      <c r="T4685" s="355"/>
    </row>
    <row r="4686" spans="14:20" x14ac:dyDescent="0.25">
      <c r="N4686" s="514"/>
      <c r="R4686" s="293"/>
      <c r="S4686" s="316"/>
      <c r="T4686" s="355"/>
    </row>
    <row r="4687" spans="14:20" x14ac:dyDescent="0.25">
      <c r="N4687" s="514"/>
      <c r="R4687" s="293"/>
      <c r="S4687" s="316"/>
      <c r="T4687" s="355"/>
    </row>
    <row r="4688" spans="14:20" x14ac:dyDescent="0.25">
      <c r="N4688" s="514"/>
      <c r="R4688" s="293"/>
      <c r="S4688" s="316"/>
      <c r="T4688" s="355"/>
    </row>
    <row r="4689" spans="14:20" x14ac:dyDescent="0.25">
      <c r="N4689" s="514"/>
      <c r="R4689" s="293"/>
      <c r="S4689" s="316"/>
      <c r="T4689" s="355"/>
    </row>
    <row r="4690" spans="14:20" x14ac:dyDescent="0.25">
      <c r="N4690" s="514"/>
      <c r="R4690" s="293"/>
      <c r="S4690" s="316"/>
      <c r="T4690" s="355"/>
    </row>
    <row r="4691" spans="14:20" x14ac:dyDescent="0.25">
      <c r="N4691" s="514"/>
      <c r="R4691" s="293"/>
      <c r="S4691" s="316"/>
      <c r="T4691" s="355"/>
    </row>
    <row r="4692" spans="14:20" x14ac:dyDescent="0.25">
      <c r="N4692" s="514"/>
      <c r="R4692" s="293"/>
      <c r="S4692" s="316"/>
      <c r="T4692" s="355"/>
    </row>
    <row r="4693" spans="14:20" x14ac:dyDescent="0.25">
      <c r="N4693" s="514"/>
      <c r="R4693" s="293"/>
      <c r="S4693" s="316"/>
      <c r="T4693" s="355"/>
    </row>
    <row r="4694" spans="14:20" x14ac:dyDescent="0.25">
      <c r="N4694" s="514"/>
      <c r="R4694" s="293"/>
      <c r="S4694" s="316"/>
      <c r="T4694" s="355"/>
    </row>
    <row r="4695" spans="14:20" x14ac:dyDescent="0.25">
      <c r="N4695" s="514"/>
      <c r="R4695" s="293"/>
      <c r="S4695" s="316"/>
      <c r="T4695" s="355"/>
    </row>
    <row r="4696" spans="14:20" x14ac:dyDescent="0.25">
      <c r="N4696" s="514"/>
      <c r="R4696" s="293"/>
      <c r="S4696" s="316"/>
      <c r="T4696" s="355"/>
    </row>
    <row r="4697" spans="14:20" x14ac:dyDescent="0.25">
      <c r="N4697" s="514"/>
      <c r="R4697" s="293"/>
      <c r="S4697" s="316"/>
      <c r="T4697" s="355"/>
    </row>
    <row r="4698" spans="14:20" x14ac:dyDescent="0.25">
      <c r="N4698" s="514"/>
      <c r="R4698" s="293"/>
      <c r="S4698" s="316"/>
      <c r="T4698" s="355"/>
    </row>
    <row r="4699" spans="14:20" x14ac:dyDescent="0.25">
      <c r="N4699" s="514"/>
      <c r="R4699" s="293"/>
      <c r="S4699" s="316"/>
      <c r="T4699" s="355"/>
    </row>
    <row r="4700" spans="14:20" x14ac:dyDescent="0.25">
      <c r="N4700" s="514"/>
      <c r="R4700" s="293"/>
      <c r="S4700" s="316"/>
      <c r="T4700" s="355"/>
    </row>
    <row r="4701" spans="14:20" x14ac:dyDescent="0.25">
      <c r="N4701" s="514"/>
      <c r="R4701" s="293"/>
      <c r="S4701" s="316"/>
      <c r="T4701" s="355"/>
    </row>
    <row r="4702" spans="14:20" x14ac:dyDescent="0.25">
      <c r="N4702" s="514"/>
      <c r="R4702" s="293"/>
      <c r="S4702" s="316"/>
      <c r="T4702" s="355"/>
    </row>
    <row r="4703" spans="14:20" x14ac:dyDescent="0.25">
      <c r="N4703" s="514"/>
      <c r="R4703" s="293"/>
      <c r="S4703" s="316"/>
      <c r="T4703" s="355"/>
    </row>
    <row r="4704" spans="14:20" x14ac:dyDescent="0.25">
      <c r="N4704" s="514"/>
      <c r="R4704" s="293"/>
      <c r="S4704" s="316"/>
      <c r="T4704" s="355"/>
    </row>
    <row r="4705" spans="14:20" x14ac:dyDescent="0.25">
      <c r="N4705" s="514"/>
      <c r="R4705" s="293"/>
      <c r="S4705" s="316"/>
      <c r="T4705" s="355"/>
    </row>
    <row r="4706" spans="14:20" x14ac:dyDescent="0.25">
      <c r="N4706" s="514"/>
      <c r="R4706" s="293"/>
      <c r="S4706" s="316"/>
      <c r="T4706" s="355"/>
    </row>
    <row r="4707" spans="14:20" x14ac:dyDescent="0.25">
      <c r="N4707" s="514"/>
      <c r="R4707" s="293"/>
      <c r="S4707" s="316"/>
      <c r="T4707" s="355"/>
    </row>
    <row r="4708" spans="14:20" x14ac:dyDescent="0.25">
      <c r="N4708" s="514"/>
      <c r="R4708" s="293"/>
      <c r="S4708" s="316"/>
      <c r="T4708" s="355"/>
    </row>
    <row r="4709" spans="14:20" x14ac:dyDescent="0.25">
      <c r="N4709" s="514"/>
      <c r="R4709" s="293"/>
      <c r="S4709" s="316"/>
      <c r="T4709" s="355"/>
    </row>
    <row r="4710" spans="14:20" x14ac:dyDescent="0.25">
      <c r="N4710" s="514"/>
      <c r="R4710" s="293"/>
      <c r="S4710" s="316"/>
      <c r="T4710" s="355"/>
    </row>
    <row r="4711" spans="14:20" x14ac:dyDescent="0.25">
      <c r="N4711" s="514"/>
      <c r="R4711" s="293"/>
      <c r="S4711" s="316"/>
      <c r="T4711" s="355"/>
    </row>
    <row r="4712" spans="14:20" x14ac:dyDescent="0.25">
      <c r="N4712" s="514"/>
      <c r="R4712" s="293"/>
      <c r="S4712" s="316"/>
      <c r="T4712" s="355"/>
    </row>
    <row r="4713" spans="14:20" x14ac:dyDescent="0.25">
      <c r="N4713" s="514"/>
      <c r="R4713" s="293"/>
      <c r="S4713" s="316"/>
      <c r="T4713" s="355"/>
    </row>
    <row r="4714" spans="14:20" x14ac:dyDescent="0.25">
      <c r="N4714" s="514"/>
      <c r="R4714" s="293"/>
      <c r="S4714" s="316"/>
      <c r="T4714" s="355"/>
    </row>
    <row r="4715" spans="14:20" x14ac:dyDescent="0.25">
      <c r="N4715" s="514"/>
      <c r="R4715" s="293"/>
      <c r="S4715" s="316"/>
      <c r="T4715" s="355"/>
    </row>
    <row r="4716" spans="14:20" x14ac:dyDescent="0.25">
      <c r="N4716" s="514"/>
      <c r="R4716" s="293"/>
      <c r="S4716" s="316"/>
      <c r="T4716" s="355"/>
    </row>
    <row r="4717" spans="14:20" x14ac:dyDescent="0.25">
      <c r="N4717" s="514"/>
      <c r="R4717" s="293"/>
      <c r="S4717" s="316"/>
      <c r="T4717" s="355"/>
    </row>
    <row r="4718" spans="14:20" x14ac:dyDescent="0.25">
      <c r="N4718" s="514"/>
      <c r="R4718" s="293"/>
      <c r="S4718" s="316"/>
      <c r="T4718" s="355"/>
    </row>
    <row r="4719" spans="14:20" x14ac:dyDescent="0.25">
      <c r="N4719" s="514"/>
      <c r="R4719" s="293"/>
      <c r="S4719" s="316"/>
      <c r="T4719" s="355"/>
    </row>
    <row r="4720" spans="14:20" x14ac:dyDescent="0.25">
      <c r="N4720" s="514"/>
      <c r="R4720" s="293"/>
      <c r="S4720" s="316"/>
      <c r="T4720" s="355"/>
    </row>
    <row r="4721" spans="14:20" x14ac:dyDescent="0.25">
      <c r="N4721" s="514"/>
      <c r="R4721" s="293"/>
      <c r="S4721" s="316"/>
      <c r="T4721" s="355"/>
    </row>
    <row r="4722" spans="14:20" x14ac:dyDescent="0.25">
      <c r="N4722" s="514"/>
      <c r="R4722" s="293"/>
      <c r="S4722" s="316"/>
      <c r="T4722" s="355"/>
    </row>
    <row r="4723" spans="14:20" x14ac:dyDescent="0.25">
      <c r="N4723" s="514"/>
      <c r="R4723" s="293"/>
      <c r="S4723" s="316"/>
      <c r="T4723" s="355"/>
    </row>
    <row r="4724" spans="14:20" x14ac:dyDescent="0.25">
      <c r="N4724" s="514"/>
      <c r="R4724" s="293"/>
      <c r="S4724" s="316"/>
      <c r="T4724" s="355"/>
    </row>
    <row r="4725" spans="14:20" x14ac:dyDescent="0.25">
      <c r="N4725" s="514"/>
      <c r="R4725" s="293"/>
      <c r="S4725" s="316"/>
      <c r="T4725" s="355"/>
    </row>
    <row r="4726" spans="14:20" x14ac:dyDescent="0.25">
      <c r="N4726" s="514"/>
      <c r="R4726" s="293"/>
      <c r="S4726" s="316"/>
      <c r="T4726" s="355"/>
    </row>
    <row r="4727" spans="14:20" x14ac:dyDescent="0.25">
      <c r="N4727" s="514"/>
      <c r="R4727" s="293"/>
      <c r="S4727" s="316"/>
      <c r="T4727" s="355"/>
    </row>
    <row r="4728" spans="14:20" x14ac:dyDescent="0.25">
      <c r="N4728" s="514"/>
      <c r="R4728" s="293"/>
      <c r="S4728" s="316"/>
      <c r="T4728" s="355"/>
    </row>
    <row r="4729" spans="14:20" x14ac:dyDescent="0.25">
      <c r="N4729" s="514"/>
      <c r="R4729" s="293"/>
      <c r="S4729" s="316"/>
      <c r="T4729" s="355"/>
    </row>
    <row r="4730" spans="14:20" x14ac:dyDescent="0.25">
      <c r="N4730" s="514"/>
      <c r="R4730" s="293"/>
      <c r="S4730" s="316"/>
      <c r="T4730" s="355"/>
    </row>
    <row r="4731" spans="14:20" x14ac:dyDescent="0.25">
      <c r="N4731" s="514"/>
      <c r="R4731" s="293"/>
      <c r="S4731" s="316"/>
      <c r="T4731" s="355"/>
    </row>
    <row r="4732" spans="14:20" x14ac:dyDescent="0.25">
      <c r="N4732" s="514"/>
      <c r="R4732" s="293"/>
      <c r="S4732" s="316"/>
      <c r="T4732" s="355"/>
    </row>
    <row r="4733" spans="14:20" x14ac:dyDescent="0.25">
      <c r="N4733" s="514"/>
      <c r="R4733" s="293"/>
      <c r="S4733" s="316"/>
      <c r="T4733" s="355"/>
    </row>
    <row r="4734" spans="14:20" x14ac:dyDescent="0.25">
      <c r="N4734" s="514"/>
      <c r="R4734" s="293"/>
      <c r="S4734" s="316"/>
      <c r="T4734" s="355"/>
    </row>
    <row r="4735" spans="14:20" x14ac:dyDescent="0.25">
      <c r="N4735" s="514"/>
      <c r="R4735" s="293"/>
      <c r="S4735" s="316"/>
      <c r="T4735" s="355"/>
    </row>
    <row r="4736" spans="14:20" x14ac:dyDescent="0.25">
      <c r="N4736" s="514"/>
      <c r="R4736" s="293"/>
      <c r="S4736" s="316"/>
      <c r="T4736" s="355"/>
    </row>
    <row r="4737" spans="14:20" x14ac:dyDescent="0.25">
      <c r="N4737" s="514"/>
      <c r="R4737" s="293"/>
      <c r="S4737" s="316"/>
      <c r="T4737" s="355"/>
    </row>
    <row r="4738" spans="14:20" x14ac:dyDescent="0.25">
      <c r="N4738" s="514"/>
      <c r="R4738" s="293"/>
      <c r="S4738" s="316"/>
      <c r="T4738" s="355"/>
    </row>
    <row r="4739" spans="14:20" x14ac:dyDescent="0.25">
      <c r="N4739" s="514"/>
      <c r="R4739" s="293"/>
      <c r="S4739" s="316"/>
      <c r="T4739" s="355"/>
    </row>
    <row r="4740" spans="14:20" x14ac:dyDescent="0.25">
      <c r="N4740" s="514"/>
      <c r="R4740" s="293"/>
      <c r="S4740" s="316"/>
      <c r="T4740" s="355"/>
    </row>
    <row r="4741" spans="14:20" x14ac:dyDescent="0.25">
      <c r="N4741" s="514"/>
      <c r="R4741" s="293"/>
      <c r="S4741" s="316"/>
      <c r="T4741" s="355"/>
    </row>
    <row r="4742" spans="14:20" x14ac:dyDescent="0.25">
      <c r="N4742" s="514"/>
      <c r="R4742" s="293"/>
      <c r="S4742" s="316"/>
      <c r="T4742" s="355"/>
    </row>
    <row r="4743" spans="14:20" x14ac:dyDescent="0.25">
      <c r="N4743" s="514"/>
      <c r="R4743" s="293"/>
      <c r="S4743" s="316"/>
      <c r="T4743" s="355"/>
    </row>
    <row r="4744" spans="14:20" x14ac:dyDescent="0.25">
      <c r="N4744" s="514"/>
      <c r="R4744" s="293"/>
      <c r="S4744" s="316"/>
      <c r="T4744" s="355"/>
    </row>
    <row r="4745" spans="14:20" x14ac:dyDescent="0.25">
      <c r="N4745" s="514"/>
      <c r="R4745" s="293"/>
      <c r="S4745" s="316"/>
      <c r="T4745" s="355"/>
    </row>
    <row r="4746" spans="14:20" x14ac:dyDescent="0.25">
      <c r="N4746" s="514"/>
      <c r="R4746" s="293"/>
      <c r="S4746" s="316"/>
      <c r="T4746" s="355"/>
    </row>
    <row r="4747" spans="14:20" x14ac:dyDescent="0.25">
      <c r="N4747" s="514"/>
      <c r="R4747" s="293"/>
      <c r="S4747" s="316"/>
      <c r="T4747" s="355"/>
    </row>
    <row r="4748" spans="14:20" x14ac:dyDescent="0.25">
      <c r="N4748" s="514"/>
      <c r="R4748" s="293"/>
      <c r="S4748" s="316"/>
      <c r="T4748" s="355"/>
    </row>
    <row r="4749" spans="14:20" x14ac:dyDescent="0.25">
      <c r="N4749" s="514"/>
      <c r="R4749" s="293"/>
      <c r="S4749" s="316"/>
      <c r="T4749" s="355"/>
    </row>
    <row r="4750" spans="14:20" x14ac:dyDescent="0.25">
      <c r="N4750" s="514"/>
      <c r="R4750" s="293"/>
      <c r="S4750" s="316"/>
      <c r="T4750" s="355"/>
    </row>
    <row r="4751" spans="14:20" x14ac:dyDescent="0.25">
      <c r="N4751" s="514"/>
      <c r="R4751" s="293"/>
      <c r="S4751" s="316"/>
      <c r="T4751" s="355"/>
    </row>
    <row r="4752" spans="14:20" x14ac:dyDescent="0.25">
      <c r="N4752" s="514"/>
      <c r="R4752" s="293"/>
      <c r="S4752" s="316"/>
      <c r="T4752" s="355"/>
    </row>
    <row r="4753" spans="14:20" x14ac:dyDescent="0.25">
      <c r="N4753" s="514"/>
      <c r="R4753" s="293"/>
      <c r="S4753" s="316"/>
      <c r="T4753" s="355"/>
    </row>
    <row r="4754" spans="14:20" x14ac:dyDescent="0.25">
      <c r="N4754" s="514"/>
      <c r="R4754" s="293"/>
      <c r="S4754" s="316"/>
      <c r="T4754" s="355"/>
    </row>
    <row r="4755" spans="14:20" x14ac:dyDescent="0.25">
      <c r="N4755" s="514"/>
      <c r="R4755" s="293"/>
      <c r="S4755" s="316"/>
      <c r="T4755" s="355"/>
    </row>
    <row r="4756" spans="14:20" x14ac:dyDescent="0.25">
      <c r="N4756" s="514"/>
      <c r="R4756" s="293"/>
      <c r="S4756" s="316"/>
      <c r="T4756" s="355"/>
    </row>
    <row r="4757" spans="14:20" x14ac:dyDescent="0.25">
      <c r="N4757" s="514"/>
      <c r="R4757" s="293"/>
      <c r="S4757" s="316"/>
      <c r="T4757" s="355"/>
    </row>
    <row r="4758" spans="14:20" x14ac:dyDescent="0.25">
      <c r="N4758" s="514"/>
      <c r="R4758" s="293"/>
      <c r="S4758" s="316"/>
      <c r="T4758" s="355"/>
    </row>
    <row r="4759" spans="14:20" x14ac:dyDescent="0.25">
      <c r="N4759" s="514"/>
      <c r="R4759" s="293"/>
      <c r="S4759" s="316"/>
      <c r="T4759" s="355"/>
    </row>
    <row r="4760" spans="14:20" x14ac:dyDescent="0.25">
      <c r="N4760" s="514"/>
      <c r="R4760" s="293"/>
      <c r="S4760" s="316"/>
      <c r="T4760" s="355"/>
    </row>
    <row r="4761" spans="14:20" x14ac:dyDescent="0.25">
      <c r="N4761" s="514"/>
      <c r="R4761" s="293"/>
      <c r="S4761" s="316"/>
      <c r="T4761" s="355"/>
    </row>
    <row r="4762" spans="14:20" x14ac:dyDescent="0.25">
      <c r="N4762" s="514"/>
      <c r="R4762" s="293"/>
      <c r="S4762" s="316"/>
      <c r="T4762" s="355"/>
    </row>
    <row r="4763" spans="14:20" x14ac:dyDescent="0.25">
      <c r="N4763" s="514"/>
      <c r="R4763" s="293"/>
      <c r="S4763" s="316"/>
      <c r="T4763" s="355"/>
    </row>
    <row r="4764" spans="14:20" x14ac:dyDescent="0.25">
      <c r="N4764" s="514"/>
      <c r="R4764" s="293"/>
      <c r="S4764" s="316"/>
      <c r="T4764" s="355"/>
    </row>
    <row r="4765" spans="14:20" x14ac:dyDescent="0.25">
      <c r="N4765" s="514"/>
      <c r="R4765" s="293"/>
      <c r="S4765" s="316"/>
      <c r="T4765" s="355"/>
    </row>
    <row r="4766" spans="14:20" x14ac:dyDescent="0.25">
      <c r="N4766" s="514"/>
      <c r="R4766" s="293"/>
      <c r="S4766" s="316"/>
      <c r="T4766" s="355"/>
    </row>
    <row r="4767" spans="14:20" x14ac:dyDescent="0.25">
      <c r="N4767" s="514"/>
      <c r="R4767" s="293"/>
      <c r="S4767" s="316"/>
      <c r="T4767" s="355"/>
    </row>
    <row r="4768" spans="14:20" x14ac:dyDescent="0.25">
      <c r="N4768" s="514"/>
      <c r="R4768" s="293"/>
      <c r="S4768" s="316"/>
      <c r="T4768" s="355"/>
    </row>
    <row r="4769" spans="14:20" x14ac:dyDescent="0.25">
      <c r="N4769" s="514"/>
      <c r="R4769" s="293"/>
      <c r="S4769" s="316"/>
      <c r="T4769" s="355"/>
    </row>
    <row r="4770" spans="14:20" x14ac:dyDescent="0.25">
      <c r="N4770" s="514"/>
      <c r="R4770" s="293"/>
      <c r="S4770" s="316"/>
      <c r="T4770" s="355"/>
    </row>
    <row r="4771" spans="14:20" x14ac:dyDescent="0.25">
      <c r="N4771" s="514"/>
      <c r="R4771" s="293"/>
      <c r="S4771" s="316"/>
      <c r="T4771" s="355"/>
    </row>
    <row r="4772" spans="14:20" x14ac:dyDescent="0.25">
      <c r="N4772" s="514"/>
      <c r="R4772" s="293"/>
      <c r="S4772" s="316"/>
      <c r="T4772" s="355"/>
    </row>
    <row r="4773" spans="14:20" x14ac:dyDescent="0.25">
      <c r="N4773" s="514"/>
      <c r="R4773" s="293"/>
      <c r="S4773" s="316"/>
      <c r="T4773" s="355"/>
    </row>
    <row r="4774" spans="14:20" x14ac:dyDescent="0.25">
      <c r="N4774" s="514"/>
      <c r="R4774" s="293"/>
      <c r="S4774" s="316"/>
      <c r="T4774" s="355"/>
    </row>
    <row r="4775" spans="14:20" x14ac:dyDescent="0.25">
      <c r="N4775" s="514"/>
      <c r="R4775" s="293"/>
      <c r="S4775" s="316"/>
      <c r="T4775" s="355"/>
    </row>
    <row r="4776" spans="14:20" x14ac:dyDescent="0.25">
      <c r="N4776" s="514"/>
      <c r="R4776" s="293"/>
      <c r="S4776" s="316"/>
      <c r="T4776" s="355"/>
    </row>
    <row r="4777" spans="14:20" x14ac:dyDescent="0.25">
      <c r="N4777" s="514"/>
      <c r="R4777" s="293"/>
      <c r="S4777" s="316"/>
      <c r="T4777" s="355"/>
    </row>
    <row r="4778" spans="14:20" x14ac:dyDescent="0.25">
      <c r="N4778" s="514"/>
      <c r="R4778" s="293"/>
      <c r="S4778" s="316"/>
      <c r="T4778" s="355"/>
    </row>
    <row r="4779" spans="14:20" x14ac:dyDescent="0.25">
      <c r="N4779" s="514"/>
      <c r="R4779" s="293"/>
      <c r="S4779" s="316"/>
      <c r="T4779" s="355"/>
    </row>
    <row r="4780" spans="14:20" x14ac:dyDescent="0.25">
      <c r="N4780" s="514"/>
      <c r="R4780" s="293"/>
      <c r="S4780" s="316"/>
      <c r="T4780" s="355"/>
    </row>
    <row r="4781" spans="14:20" x14ac:dyDescent="0.25">
      <c r="N4781" s="514"/>
      <c r="R4781" s="293"/>
      <c r="S4781" s="316"/>
      <c r="T4781" s="355"/>
    </row>
    <row r="4782" spans="14:20" x14ac:dyDescent="0.25">
      <c r="N4782" s="514"/>
      <c r="R4782" s="293"/>
      <c r="S4782" s="316"/>
      <c r="T4782" s="355"/>
    </row>
    <row r="4783" spans="14:20" x14ac:dyDescent="0.25">
      <c r="N4783" s="514"/>
      <c r="R4783" s="293"/>
      <c r="S4783" s="316"/>
      <c r="T4783" s="355"/>
    </row>
    <row r="4784" spans="14:20" x14ac:dyDescent="0.25">
      <c r="N4784" s="514"/>
      <c r="R4784" s="293"/>
      <c r="S4784" s="316"/>
      <c r="T4784" s="355"/>
    </row>
    <row r="4785" spans="14:20" x14ac:dyDescent="0.25">
      <c r="N4785" s="514"/>
      <c r="R4785" s="293"/>
      <c r="S4785" s="316"/>
      <c r="T4785" s="355"/>
    </row>
    <row r="4786" spans="14:20" x14ac:dyDescent="0.25">
      <c r="N4786" s="514"/>
      <c r="R4786" s="293"/>
      <c r="S4786" s="316"/>
      <c r="T4786" s="355"/>
    </row>
    <row r="4787" spans="14:20" x14ac:dyDescent="0.25">
      <c r="N4787" s="514"/>
      <c r="R4787" s="293"/>
      <c r="S4787" s="316"/>
      <c r="T4787" s="355"/>
    </row>
    <row r="4788" spans="14:20" x14ac:dyDescent="0.25">
      <c r="N4788" s="514"/>
      <c r="R4788" s="293"/>
      <c r="S4788" s="316"/>
      <c r="T4788" s="355"/>
    </row>
    <row r="4789" spans="14:20" x14ac:dyDescent="0.25">
      <c r="N4789" s="514"/>
      <c r="R4789" s="293"/>
      <c r="S4789" s="316"/>
      <c r="T4789" s="355"/>
    </row>
    <row r="4790" spans="14:20" x14ac:dyDescent="0.25">
      <c r="N4790" s="514"/>
      <c r="R4790" s="293"/>
      <c r="S4790" s="316"/>
      <c r="T4790" s="355"/>
    </row>
    <row r="4791" spans="14:20" x14ac:dyDescent="0.25">
      <c r="N4791" s="514"/>
      <c r="R4791" s="293"/>
      <c r="S4791" s="316"/>
      <c r="T4791" s="355"/>
    </row>
    <row r="4792" spans="14:20" x14ac:dyDescent="0.25">
      <c r="N4792" s="514"/>
      <c r="R4792" s="293"/>
      <c r="S4792" s="316"/>
      <c r="T4792" s="355"/>
    </row>
    <row r="4793" spans="14:20" x14ac:dyDescent="0.25">
      <c r="N4793" s="514"/>
      <c r="R4793" s="293"/>
      <c r="S4793" s="316"/>
      <c r="T4793" s="355"/>
    </row>
    <row r="4794" spans="14:20" x14ac:dyDescent="0.25">
      <c r="N4794" s="514"/>
      <c r="R4794" s="293"/>
      <c r="S4794" s="316"/>
      <c r="T4794" s="355"/>
    </row>
    <row r="4795" spans="14:20" x14ac:dyDescent="0.25">
      <c r="N4795" s="514"/>
      <c r="R4795" s="293"/>
      <c r="S4795" s="316"/>
      <c r="T4795" s="355"/>
    </row>
    <row r="4796" spans="14:20" x14ac:dyDescent="0.25">
      <c r="N4796" s="514"/>
      <c r="R4796" s="293"/>
      <c r="S4796" s="316"/>
      <c r="T4796" s="355"/>
    </row>
    <row r="4797" spans="14:20" x14ac:dyDescent="0.25">
      <c r="N4797" s="514"/>
      <c r="R4797" s="293"/>
      <c r="S4797" s="316"/>
      <c r="T4797" s="355"/>
    </row>
    <row r="4798" spans="14:20" x14ac:dyDescent="0.25">
      <c r="N4798" s="514"/>
      <c r="R4798" s="293"/>
      <c r="S4798" s="316"/>
      <c r="T4798" s="355"/>
    </row>
    <row r="4799" spans="14:20" x14ac:dyDescent="0.25">
      <c r="N4799" s="514"/>
      <c r="R4799" s="293"/>
      <c r="S4799" s="316"/>
      <c r="T4799" s="355"/>
    </row>
    <row r="4800" spans="14:20" x14ac:dyDescent="0.25">
      <c r="N4800" s="514"/>
      <c r="R4800" s="293"/>
      <c r="S4800" s="316"/>
      <c r="T4800" s="355"/>
    </row>
    <row r="4801" spans="14:20" x14ac:dyDescent="0.25">
      <c r="N4801" s="514"/>
      <c r="R4801" s="293"/>
      <c r="S4801" s="316"/>
      <c r="T4801" s="355"/>
    </row>
    <row r="4802" spans="14:20" x14ac:dyDescent="0.25">
      <c r="N4802" s="514"/>
      <c r="R4802" s="293"/>
      <c r="S4802" s="316"/>
      <c r="T4802" s="355"/>
    </row>
    <row r="4803" spans="14:20" x14ac:dyDescent="0.25">
      <c r="N4803" s="514"/>
      <c r="R4803" s="293"/>
      <c r="S4803" s="316"/>
      <c r="T4803" s="355"/>
    </row>
    <row r="4804" spans="14:20" x14ac:dyDescent="0.25">
      <c r="N4804" s="514"/>
      <c r="R4804" s="293"/>
      <c r="S4804" s="316"/>
      <c r="T4804" s="355"/>
    </row>
    <row r="4805" spans="14:20" x14ac:dyDescent="0.25">
      <c r="N4805" s="514"/>
      <c r="R4805" s="293"/>
      <c r="S4805" s="316"/>
      <c r="T4805" s="355"/>
    </row>
    <row r="4806" spans="14:20" x14ac:dyDescent="0.25">
      <c r="N4806" s="514"/>
      <c r="R4806" s="293"/>
      <c r="S4806" s="316"/>
      <c r="T4806" s="355"/>
    </row>
    <row r="4807" spans="14:20" x14ac:dyDescent="0.25">
      <c r="N4807" s="514"/>
      <c r="R4807" s="293"/>
      <c r="S4807" s="316"/>
      <c r="T4807" s="355"/>
    </row>
    <row r="4808" spans="14:20" x14ac:dyDescent="0.25">
      <c r="N4808" s="514"/>
      <c r="R4808" s="293"/>
      <c r="S4808" s="316"/>
      <c r="T4808" s="355"/>
    </row>
    <row r="4809" spans="14:20" x14ac:dyDescent="0.25">
      <c r="N4809" s="514"/>
      <c r="R4809" s="293"/>
      <c r="S4809" s="316"/>
      <c r="T4809" s="355"/>
    </row>
    <row r="4810" spans="14:20" x14ac:dyDescent="0.25">
      <c r="N4810" s="514"/>
      <c r="R4810" s="293"/>
      <c r="S4810" s="316"/>
      <c r="T4810" s="355"/>
    </row>
    <row r="4811" spans="14:20" x14ac:dyDescent="0.25">
      <c r="N4811" s="514"/>
      <c r="R4811" s="293"/>
      <c r="S4811" s="316"/>
      <c r="T4811" s="355"/>
    </row>
    <row r="4812" spans="14:20" x14ac:dyDescent="0.25">
      <c r="N4812" s="514"/>
      <c r="R4812" s="293"/>
      <c r="S4812" s="316"/>
      <c r="T4812" s="355"/>
    </row>
    <row r="4813" spans="14:20" x14ac:dyDescent="0.25">
      <c r="N4813" s="514"/>
      <c r="R4813" s="293"/>
      <c r="S4813" s="316"/>
      <c r="T4813" s="355"/>
    </row>
    <row r="4814" spans="14:20" x14ac:dyDescent="0.25">
      <c r="N4814" s="514"/>
      <c r="R4814" s="293"/>
      <c r="S4814" s="316"/>
      <c r="T4814" s="355"/>
    </row>
    <row r="4815" spans="14:20" x14ac:dyDescent="0.25">
      <c r="N4815" s="514"/>
      <c r="R4815" s="293"/>
      <c r="S4815" s="316"/>
      <c r="T4815" s="355"/>
    </row>
    <row r="4816" spans="14:20" x14ac:dyDescent="0.25">
      <c r="N4816" s="514"/>
      <c r="R4816" s="293"/>
      <c r="S4816" s="316"/>
      <c r="T4816" s="355"/>
    </row>
    <row r="4817" spans="14:20" x14ac:dyDescent="0.25">
      <c r="N4817" s="514"/>
      <c r="R4817" s="293"/>
      <c r="S4817" s="316"/>
      <c r="T4817" s="355"/>
    </row>
    <row r="4818" spans="14:20" x14ac:dyDescent="0.25">
      <c r="N4818" s="514"/>
      <c r="R4818" s="293"/>
      <c r="S4818" s="316"/>
      <c r="T4818" s="355"/>
    </row>
    <row r="4819" spans="14:20" x14ac:dyDescent="0.25">
      <c r="N4819" s="514"/>
      <c r="R4819" s="293"/>
      <c r="S4819" s="316"/>
      <c r="T4819" s="355"/>
    </row>
    <row r="4820" spans="14:20" x14ac:dyDescent="0.25">
      <c r="N4820" s="514"/>
      <c r="R4820" s="293"/>
      <c r="S4820" s="316"/>
      <c r="T4820" s="355"/>
    </row>
    <row r="4821" spans="14:20" x14ac:dyDescent="0.25">
      <c r="N4821" s="514"/>
      <c r="R4821" s="293"/>
      <c r="S4821" s="316"/>
      <c r="T4821" s="355"/>
    </row>
    <row r="4822" spans="14:20" x14ac:dyDescent="0.25">
      <c r="N4822" s="514"/>
      <c r="R4822" s="293"/>
      <c r="S4822" s="316"/>
      <c r="T4822" s="355"/>
    </row>
    <row r="4823" spans="14:20" x14ac:dyDescent="0.25">
      <c r="N4823" s="514"/>
      <c r="R4823" s="293"/>
      <c r="S4823" s="316"/>
      <c r="T4823" s="355"/>
    </row>
    <row r="4824" spans="14:20" x14ac:dyDescent="0.25">
      <c r="N4824" s="514"/>
      <c r="R4824" s="293"/>
      <c r="S4824" s="316"/>
      <c r="T4824" s="355"/>
    </row>
    <row r="4825" spans="14:20" x14ac:dyDescent="0.25">
      <c r="N4825" s="514"/>
      <c r="R4825" s="293"/>
      <c r="S4825" s="316"/>
      <c r="T4825" s="355"/>
    </row>
    <row r="4826" spans="14:20" x14ac:dyDescent="0.25">
      <c r="N4826" s="514"/>
      <c r="R4826" s="293"/>
      <c r="S4826" s="316"/>
      <c r="T4826" s="355"/>
    </row>
    <row r="4827" spans="14:20" x14ac:dyDescent="0.25">
      <c r="N4827" s="514"/>
      <c r="R4827" s="293"/>
      <c r="S4827" s="316"/>
      <c r="T4827" s="355"/>
    </row>
    <row r="4828" spans="14:20" x14ac:dyDescent="0.25">
      <c r="N4828" s="514"/>
      <c r="R4828" s="293"/>
      <c r="S4828" s="316"/>
      <c r="T4828" s="355"/>
    </row>
    <row r="4829" spans="14:20" x14ac:dyDescent="0.25">
      <c r="N4829" s="514"/>
      <c r="R4829" s="293"/>
      <c r="S4829" s="316"/>
      <c r="T4829" s="355"/>
    </row>
    <row r="4830" spans="14:20" x14ac:dyDescent="0.25">
      <c r="N4830" s="514"/>
      <c r="R4830" s="293"/>
      <c r="S4830" s="316"/>
      <c r="T4830" s="355"/>
    </row>
    <row r="4831" spans="14:20" x14ac:dyDescent="0.25">
      <c r="N4831" s="514"/>
      <c r="R4831" s="293"/>
      <c r="S4831" s="316"/>
      <c r="T4831" s="355"/>
    </row>
    <row r="4832" spans="14:20" x14ac:dyDescent="0.25">
      <c r="N4832" s="514"/>
      <c r="R4832" s="293"/>
      <c r="S4832" s="316"/>
      <c r="T4832" s="355"/>
    </row>
    <row r="4833" spans="14:20" x14ac:dyDescent="0.25">
      <c r="N4833" s="514"/>
      <c r="R4833" s="293"/>
      <c r="S4833" s="316"/>
      <c r="T4833" s="355"/>
    </row>
    <row r="4834" spans="14:20" x14ac:dyDescent="0.25">
      <c r="N4834" s="514"/>
      <c r="R4834" s="293"/>
      <c r="S4834" s="316"/>
      <c r="T4834" s="355"/>
    </row>
    <row r="4835" spans="14:20" x14ac:dyDescent="0.25">
      <c r="N4835" s="514"/>
      <c r="R4835" s="293"/>
      <c r="S4835" s="316"/>
      <c r="T4835" s="355"/>
    </row>
    <row r="4836" spans="14:20" x14ac:dyDescent="0.25">
      <c r="N4836" s="514"/>
      <c r="R4836" s="293"/>
      <c r="S4836" s="316"/>
      <c r="T4836" s="355"/>
    </row>
    <row r="4837" spans="14:20" x14ac:dyDescent="0.25">
      <c r="N4837" s="514"/>
      <c r="R4837" s="293"/>
      <c r="S4837" s="316"/>
      <c r="T4837" s="355"/>
    </row>
    <row r="4838" spans="14:20" x14ac:dyDescent="0.25">
      <c r="N4838" s="514"/>
      <c r="R4838" s="293"/>
      <c r="S4838" s="316"/>
      <c r="T4838" s="355"/>
    </row>
    <row r="4839" spans="14:20" x14ac:dyDescent="0.25">
      <c r="N4839" s="514"/>
      <c r="R4839" s="293"/>
      <c r="S4839" s="316"/>
      <c r="T4839" s="355"/>
    </row>
    <row r="4840" spans="14:20" x14ac:dyDescent="0.25">
      <c r="N4840" s="514"/>
      <c r="R4840" s="293"/>
      <c r="S4840" s="316"/>
      <c r="T4840" s="355"/>
    </row>
    <row r="4841" spans="14:20" x14ac:dyDescent="0.25">
      <c r="N4841" s="514"/>
      <c r="R4841" s="293"/>
      <c r="S4841" s="316"/>
      <c r="T4841" s="355"/>
    </row>
    <row r="4842" spans="14:20" x14ac:dyDescent="0.25">
      <c r="N4842" s="514"/>
      <c r="R4842" s="293"/>
      <c r="S4842" s="316"/>
      <c r="T4842" s="355"/>
    </row>
    <row r="4843" spans="14:20" x14ac:dyDescent="0.25">
      <c r="N4843" s="514"/>
      <c r="R4843" s="293"/>
      <c r="S4843" s="316"/>
      <c r="T4843" s="355"/>
    </row>
    <row r="4844" spans="14:20" x14ac:dyDescent="0.25">
      <c r="N4844" s="514"/>
      <c r="R4844" s="293"/>
      <c r="S4844" s="316"/>
      <c r="T4844" s="355"/>
    </row>
    <row r="4845" spans="14:20" x14ac:dyDescent="0.25">
      <c r="N4845" s="514"/>
      <c r="R4845" s="293"/>
      <c r="S4845" s="316"/>
      <c r="T4845" s="355"/>
    </row>
    <row r="4846" spans="14:20" x14ac:dyDescent="0.25">
      <c r="N4846" s="514"/>
      <c r="R4846" s="293"/>
      <c r="S4846" s="316"/>
      <c r="T4846" s="355"/>
    </row>
    <row r="4847" spans="14:20" x14ac:dyDescent="0.25">
      <c r="N4847" s="514"/>
      <c r="R4847" s="293"/>
      <c r="S4847" s="316"/>
      <c r="T4847" s="355"/>
    </row>
    <row r="4848" spans="14:20" x14ac:dyDescent="0.25">
      <c r="N4848" s="514"/>
      <c r="R4848" s="293"/>
      <c r="S4848" s="316"/>
      <c r="T4848" s="355"/>
    </row>
    <row r="4849" spans="14:20" x14ac:dyDescent="0.25">
      <c r="N4849" s="514"/>
      <c r="R4849" s="293"/>
      <c r="S4849" s="316"/>
      <c r="T4849" s="355"/>
    </row>
    <row r="4850" spans="14:20" x14ac:dyDescent="0.25">
      <c r="N4850" s="514"/>
      <c r="R4850" s="293"/>
      <c r="S4850" s="316"/>
      <c r="T4850" s="355"/>
    </row>
    <row r="4851" spans="14:20" x14ac:dyDescent="0.25">
      <c r="N4851" s="514"/>
      <c r="R4851" s="293"/>
      <c r="S4851" s="316"/>
      <c r="T4851" s="355"/>
    </row>
    <row r="4852" spans="14:20" x14ac:dyDescent="0.25">
      <c r="N4852" s="514"/>
      <c r="R4852" s="293"/>
      <c r="S4852" s="316"/>
      <c r="T4852" s="355"/>
    </row>
    <row r="4853" spans="14:20" x14ac:dyDescent="0.25">
      <c r="N4853" s="514"/>
      <c r="R4853" s="293"/>
      <c r="S4853" s="316"/>
      <c r="T4853" s="355"/>
    </row>
    <row r="4854" spans="14:20" x14ac:dyDescent="0.25">
      <c r="N4854" s="514"/>
      <c r="R4854" s="293"/>
      <c r="S4854" s="316"/>
      <c r="T4854" s="355"/>
    </row>
    <row r="4855" spans="14:20" x14ac:dyDescent="0.25">
      <c r="N4855" s="514"/>
      <c r="R4855" s="293"/>
      <c r="S4855" s="316"/>
      <c r="T4855" s="355"/>
    </row>
    <row r="4856" spans="14:20" x14ac:dyDescent="0.25">
      <c r="N4856" s="514"/>
      <c r="R4856" s="293"/>
      <c r="S4856" s="316"/>
      <c r="T4856" s="355"/>
    </row>
    <row r="4857" spans="14:20" x14ac:dyDescent="0.25">
      <c r="N4857" s="514"/>
      <c r="R4857" s="293"/>
      <c r="S4857" s="316"/>
      <c r="T4857" s="355"/>
    </row>
    <row r="4858" spans="14:20" x14ac:dyDescent="0.25">
      <c r="N4858" s="514"/>
      <c r="R4858" s="293"/>
      <c r="S4858" s="316"/>
      <c r="T4858" s="355"/>
    </row>
    <row r="4859" spans="14:20" x14ac:dyDescent="0.25">
      <c r="N4859" s="514"/>
      <c r="R4859" s="293"/>
      <c r="S4859" s="316"/>
      <c r="T4859" s="355"/>
    </row>
    <row r="4860" spans="14:20" x14ac:dyDescent="0.25">
      <c r="N4860" s="514"/>
      <c r="R4860" s="293"/>
      <c r="S4860" s="316"/>
      <c r="T4860" s="355"/>
    </row>
    <row r="4861" spans="14:20" x14ac:dyDescent="0.25">
      <c r="N4861" s="514"/>
      <c r="R4861" s="293"/>
      <c r="S4861" s="316"/>
      <c r="T4861" s="355"/>
    </row>
    <row r="4862" spans="14:20" x14ac:dyDescent="0.25">
      <c r="N4862" s="514"/>
      <c r="R4862" s="293"/>
      <c r="S4862" s="316"/>
      <c r="T4862" s="355"/>
    </row>
    <row r="4863" spans="14:20" x14ac:dyDescent="0.25">
      <c r="N4863" s="514"/>
      <c r="R4863" s="293"/>
      <c r="S4863" s="316"/>
      <c r="T4863" s="355"/>
    </row>
    <row r="4864" spans="14:20" x14ac:dyDescent="0.25">
      <c r="N4864" s="514"/>
      <c r="R4864" s="293"/>
      <c r="S4864" s="316"/>
      <c r="T4864" s="355"/>
    </row>
    <row r="4865" spans="14:20" x14ac:dyDescent="0.25">
      <c r="N4865" s="514"/>
      <c r="R4865" s="293"/>
      <c r="S4865" s="316"/>
      <c r="T4865" s="355"/>
    </row>
    <row r="4866" spans="14:20" x14ac:dyDescent="0.25">
      <c r="N4866" s="514"/>
      <c r="R4866" s="293"/>
      <c r="S4866" s="316"/>
      <c r="T4866" s="355"/>
    </row>
    <row r="4867" spans="14:20" x14ac:dyDescent="0.25">
      <c r="N4867" s="514"/>
      <c r="R4867" s="293"/>
      <c r="S4867" s="316"/>
      <c r="T4867" s="355"/>
    </row>
    <row r="4868" spans="14:20" x14ac:dyDescent="0.25">
      <c r="N4868" s="514"/>
      <c r="R4868" s="293"/>
      <c r="S4868" s="316"/>
      <c r="T4868" s="355"/>
    </row>
    <row r="4869" spans="14:20" x14ac:dyDescent="0.25">
      <c r="N4869" s="514"/>
      <c r="R4869" s="293"/>
      <c r="S4869" s="316"/>
      <c r="T4869" s="355"/>
    </row>
    <row r="4870" spans="14:20" x14ac:dyDescent="0.25">
      <c r="N4870" s="514"/>
      <c r="R4870" s="293"/>
      <c r="S4870" s="316"/>
      <c r="T4870" s="355"/>
    </row>
    <row r="4871" spans="14:20" x14ac:dyDescent="0.25">
      <c r="N4871" s="514"/>
      <c r="R4871" s="293"/>
      <c r="S4871" s="316"/>
      <c r="T4871" s="355"/>
    </row>
    <row r="4872" spans="14:20" x14ac:dyDescent="0.25">
      <c r="N4872" s="514"/>
      <c r="R4872" s="293"/>
      <c r="S4872" s="316"/>
      <c r="T4872" s="355"/>
    </row>
    <row r="4873" spans="14:20" x14ac:dyDescent="0.25">
      <c r="N4873" s="514"/>
      <c r="R4873" s="293"/>
      <c r="S4873" s="316"/>
      <c r="T4873" s="355"/>
    </row>
    <row r="4874" spans="14:20" x14ac:dyDescent="0.25">
      <c r="N4874" s="514"/>
      <c r="R4874" s="293"/>
      <c r="S4874" s="316"/>
      <c r="T4874" s="355"/>
    </row>
    <row r="4875" spans="14:20" x14ac:dyDescent="0.25">
      <c r="N4875" s="514"/>
      <c r="R4875" s="293"/>
      <c r="S4875" s="316"/>
      <c r="T4875" s="355"/>
    </row>
    <row r="4876" spans="14:20" x14ac:dyDescent="0.25">
      <c r="N4876" s="514"/>
      <c r="R4876" s="293"/>
      <c r="S4876" s="316"/>
      <c r="T4876" s="355"/>
    </row>
    <row r="4877" spans="14:20" x14ac:dyDescent="0.25">
      <c r="N4877" s="514"/>
      <c r="R4877" s="293"/>
      <c r="S4877" s="316"/>
      <c r="T4877" s="355"/>
    </row>
    <row r="4878" spans="14:20" x14ac:dyDescent="0.25">
      <c r="N4878" s="514"/>
      <c r="R4878" s="293"/>
      <c r="S4878" s="316"/>
      <c r="T4878" s="355"/>
    </row>
    <row r="4879" spans="14:20" x14ac:dyDescent="0.25">
      <c r="N4879" s="514"/>
      <c r="R4879" s="293"/>
      <c r="S4879" s="316"/>
      <c r="T4879" s="355"/>
    </row>
    <row r="4880" spans="14:20" x14ac:dyDescent="0.25">
      <c r="N4880" s="514"/>
      <c r="R4880" s="293"/>
      <c r="S4880" s="316"/>
      <c r="T4880" s="355"/>
    </row>
    <row r="4881" spans="14:20" x14ac:dyDescent="0.25">
      <c r="N4881" s="514"/>
      <c r="R4881" s="293"/>
      <c r="S4881" s="316"/>
      <c r="T4881" s="355"/>
    </row>
    <row r="4882" spans="14:20" x14ac:dyDescent="0.25">
      <c r="N4882" s="514"/>
      <c r="R4882" s="293"/>
      <c r="S4882" s="316"/>
      <c r="T4882" s="355"/>
    </row>
    <row r="4883" spans="14:20" x14ac:dyDescent="0.25">
      <c r="N4883" s="514"/>
      <c r="R4883" s="293"/>
      <c r="S4883" s="316"/>
      <c r="T4883" s="355"/>
    </row>
    <row r="4884" spans="14:20" x14ac:dyDescent="0.25">
      <c r="N4884" s="514"/>
      <c r="R4884" s="293"/>
      <c r="S4884" s="316"/>
      <c r="T4884" s="355"/>
    </row>
    <row r="4885" spans="14:20" x14ac:dyDescent="0.25">
      <c r="N4885" s="514"/>
      <c r="R4885" s="293"/>
      <c r="S4885" s="316"/>
      <c r="T4885" s="355"/>
    </row>
    <row r="4886" spans="14:20" x14ac:dyDescent="0.25">
      <c r="N4886" s="514"/>
      <c r="R4886" s="293"/>
      <c r="S4886" s="316"/>
      <c r="T4886" s="355"/>
    </row>
    <row r="4887" spans="14:20" x14ac:dyDescent="0.25">
      <c r="N4887" s="514"/>
      <c r="R4887" s="293"/>
      <c r="S4887" s="316"/>
      <c r="T4887" s="355"/>
    </row>
    <row r="4888" spans="14:20" x14ac:dyDescent="0.25">
      <c r="N4888" s="514"/>
      <c r="R4888" s="293"/>
      <c r="S4888" s="316"/>
      <c r="T4888" s="355"/>
    </row>
    <row r="4889" spans="14:20" x14ac:dyDescent="0.25">
      <c r="N4889" s="514"/>
      <c r="R4889" s="293"/>
      <c r="S4889" s="316"/>
      <c r="T4889" s="355"/>
    </row>
    <row r="4890" spans="14:20" x14ac:dyDescent="0.25">
      <c r="N4890" s="514"/>
      <c r="R4890" s="293"/>
      <c r="S4890" s="316"/>
      <c r="T4890" s="355"/>
    </row>
    <row r="4891" spans="14:20" x14ac:dyDescent="0.25">
      <c r="N4891" s="514"/>
      <c r="R4891" s="293"/>
      <c r="S4891" s="316"/>
      <c r="T4891" s="355"/>
    </row>
    <row r="4892" spans="14:20" x14ac:dyDescent="0.25">
      <c r="N4892" s="514"/>
      <c r="R4892" s="293"/>
      <c r="S4892" s="316"/>
      <c r="T4892" s="355"/>
    </row>
    <row r="4893" spans="14:20" x14ac:dyDescent="0.25">
      <c r="N4893" s="514"/>
      <c r="R4893" s="293"/>
      <c r="S4893" s="316"/>
      <c r="T4893" s="355"/>
    </row>
    <row r="4894" spans="14:20" x14ac:dyDescent="0.25">
      <c r="N4894" s="514"/>
      <c r="R4894" s="293"/>
      <c r="S4894" s="316"/>
      <c r="T4894" s="355"/>
    </row>
    <row r="4895" spans="14:20" x14ac:dyDescent="0.25">
      <c r="N4895" s="514"/>
      <c r="R4895" s="293"/>
      <c r="S4895" s="316"/>
      <c r="T4895" s="355"/>
    </row>
    <row r="4896" spans="14:20" x14ac:dyDescent="0.25">
      <c r="N4896" s="514"/>
      <c r="R4896" s="293"/>
      <c r="S4896" s="316"/>
      <c r="T4896" s="355"/>
    </row>
    <row r="4897" spans="14:20" x14ac:dyDescent="0.25">
      <c r="N4897" s="514"/>
      <c r="R4897" s="293"/>
      <c r="S4897" s="316"/>
      <c r="T4897" s="355"/>
    </row>
    <row r="4898" spans="14:20" x14ac:dyDescent="0.25">
      <c r="N4898" s="514"/>
      <c r="R4898" s="293"/>
      <c r="S4898" s="316"/>
      <c r="T4898" s="355"/>
    </row>
    <row r="4899" spans="14:20" x14ac:dyDescent="0.25">
      <c r="N4899" s="514"/>
      <c r="R4899" s="293"/>
      <c r="S4899" s="316"/>
      <c r="T4899" s="355"/>
    </row>
    <row r="4900" spans="14:20" x14ac:dyDescent="0.25">
      <c r="N4900" s="514"/>
      <c r="R4900" s="293"/>
      <c r="S4900" s="316"/>
      <c r="T4900" s="355"/>
    </row>
    <row r="4901" spans="14:20" x14ac:dyDescent="0.25">
      <c r="N4901" s="514"/>
      <c r="R4901" s="293"/>
      <c r="S4901" s="316"/>
      <c r="T4901" s="355"/>
    </row>
    <row r="4902" spans="14:20" x14ac:dyDescent="0.25">
      <c r="N4902" s="514"/>
      <c r="R4902" s="293"/>
      <c r="S4902" s="316"/>
      <c r="T4902" s="355"/>
    </row>
    <row r="4903" spans="14:20" x14ac:dyDescent="0.25">
      <c r="N4903" s="514"/>
      <c r="R4903" s="293"/>
      <c r="S4903" s="316"/>
      <c r="T4903" s="355"/>
    </row>
    <row r="4904" spans="14:20" x14ac:dyDescent="0.25">
      <c r="N4904" s="514"/>
      <c r="R4904" s="293"/>
      <c r="S4904" s="316"/>
      <c r="T4904" s="355"/>
    </row>
    <row r="4905" spans="14:20" x14ac:dyDescent="0.25">
      <c r="N4905" s="514"/>
      <c r="R4905" s="293"/>
      <c r="S4905" s="316"/>
      <c r="T4905" s="355"/>
    </row>
    <row r="4906" spans="14:20" x14ac:dyDescent="0.25">
      <c r="N4906" s="514"/>
      <c r="R4906" s="293"/>
      <c r="S4906" s="316"/>
      <c r="T4906" s="355"/>
    </row>
    <row r="4907" spans="14:20" x14ac:dyDescent="0.25">
      <c r="N4907" s="514"/>
      <c r="R4907" s="293"/>
      <c r="S4907" s="316"/>
      <c r="T4907" s="355"/>
    </row>
    <row r="4908" spans="14:20" x14ac:dyDescent="0.25">
      <c r="N4908" s="514"/>
      <c r="R4908" s="293"/>
      <c r="S4908" s="316"/>
      <c r="T4908" s="355"/>
    </row>
    <row r="4909" spans="14:20" x14ac:dyDescent="0.25">
      <c r="N4909" s="514"/>
      <c r="R4909" s="293"/>
      <c r="S4909" s="316"/>
      <c r="T4909" s="355"/>
    </row>
    <row r="4910" spans="14:20" x14ac:dyDescent="0.25">
      <c r="N4910" s="514"/>
      <c r="R4910" s="293"/>
      <c r="S4910" s="316"/>
      <c r="T4910" s="355"/>
    </row>
    <row r="4911" spans="14:20" x14ac:dyDescent="0.25">
      <c r="N4911" s="514"/>
      <c r="R4911" s="293"/>
      <c r="S4911" s="316"/>
      <c r="T4911" s="355"/>
    </row>
    <row r="4912" spans="14:20" x14ac:dyDescent="0.25">
      <c r="N4912" s="514"/>
      <c r="R4912" s="293"/>
      <c r="S4912" s="316"/>
      <c r="T4912" s="355"/>
    </row>
    <row r="4913" spans="14:20" x14ac:dyDescent="0.25">
      <c r="N4913" s="514"/>
      <c r="R4913" s="293"/>
      <c r="S4913" s="316"/>
      <c r="T4913" s="355"/>
    </row>
    <row r="4914" spans="14:20" x14ac:dyDescent="0.25">
      <c r="N4914" s="514"/>
      <c r="R4914" s="293"/>
      <c r="S4914" s="316"/>
      <c r="T4914" s="355"/>
    </row>
    <row r="4915" spans="14:20" x14ac:dyDescent="0.25">
      <c r="N4915" s="514"/>
      <c r="R4915" s="293"/>
      <c r="S4915" s="316"/>
      <c r="T4915" s="355"/>
    </row>
    <row r="4916" spans="14:20" x14ac:dyDescent="0.25">
      <c r="N4916" s="514"/>
      <c r="R4916" s="293"/>
      <c r="S4916" s="316"/>
      <c r="T4916" s="355"/>
    </row>
    <row r="4917" spans="14:20" x14ac:dyDescent="0.25">
      <c r="N4917" s="514"/>
      <c r="R4917" s="293"/>
      <c r="S4917" s="316"/>
      <c r="T4917" s="355"/>
    </row>
    <row r="4918" spans="14:20" x14ac:dyDescent="0.25">
      <c r="N4918" s="514"/>
      <c r="R4918" s="293"/>
      <c r="S4918" s="316"/>
      <c r="T4918" s="355"/>
    </row>
    <row r="4919" spans="14:20" x14ac:dyDescent="0.25">
      <c r="N4919" s="514"/>
      <c r="R4919" s="293"/>
      <c r="S4919" s="316"/>
      <c r="T4919" s="355"/>
    </row>
    <row r="4920" spans="14:20" x14ac:dyDescent="0.25">
      <c r="N4920" s="514"/>
      <c r="R4920" s="293"/>
      <c r="S4920" s="316"/>
      <c r="T4920" s="355"/>
    </row>
    <row r="4921" spans="14:20" x14ac:dyDescent="0.25">
      <c r="N4921" s="514"/>
      <c r="R4921" s="293"/>
      <c r="S4921" s="316"/>
      <c r="T4921" s="355"/>
    </row>
    <row r="4922" spans="14:20" x14ac:dyDescent="0.25">
      <c r="N4922" s="514"/>
      <c r="R4922" s="293"/>
      <c r="S4922" s="316"/>
      <c r="T4922" s="355"/>
    </row>
    <row r="4923" spans="14:20" x14ac:dyDescent="0.25">
      <c r="N4923" s="514"/>
      <c r="R4923" s="293"/>
      <c r="S4923" s="316"/>
      <c r="T4923" s="355"/>
    </row>
    <row r="4924" spans="14:20" x14ac:dyDescent="0.25">
      <c r="N4924" s="514"/>
      <c r="R4924" s="293"/>
      <c r="S4924" s="316"/>
      <c r="T4924" s="355"/>
    </row>
    <row r="4925" spans="14:20" x14ac:dyDescent="0.25">
      <c r="N4925" s="514"/>
      <c r="R4925" s="293"/>
      <c r="S4925" s="316"/>
      <c r="T4925" s="355"/>
    </row>
    <row r="4926" spans="14:20" x14ac:dyDescent="0.25">
      <c r="N4926" s="514"/>
      <c r="R4926" s="293"/>
      <c r="S4926" s="316"/>
      <c r="T4926" s="355"/>
    </row>
    <row r="4927" spans="14:20" x14ac:dyDescent="0.25">
      <c r="N4927" s="514"/>
      <c r="R4927" s="293"/>
      <c r="S4927" s="316"/>
      <c r="T4927" s="355"/>
    </row>
    <row r="4928" spans="14:20" x14ac:dyDescent="0.25">
      <c r="N4928" s="514"/>
      <c r="R4928" s="293"/>
      <c r="S4928" s="316"/>
      <c r="T4928" s="355"/>
    </row>
    <row r="4929" spans="14:20" x14ac:dyDescent="0.25">
      <c r="N4929" s="514"/>
      <c r="R4929" s="293"/>
      <c r="S4929" s="316"/>
      <c r="T4929" s="355"/>
    </row>
    <row r="4930" spans="14:20" x14ac:dyDescent="0.25">
      <c r="N4930" s="514"/>
      <c r="R4930" s="293"/>
      <c r="S4930" s="316"/>
      <c r="T4930" s="355"/>
    </row>
    <row r="4931" spans="14:20" x14ac:dyDescent="0.25">
      <c r="N4931" s="514"/>
      <c r="R4931" s="293"/>
      <c r="S4931" s="316"/>
      <c r="T4931" s="355"/>
    </row>
    <row r="4932" spans="14:20" x14ac:dyDescent="0.25">
      <c r="N4932" s="514"/>
      <c r="R4932" s="293"/>
      <c r="S4932" s="316"/>
      <c r="T4932" s="355"/>
    </row>
    <row r="4933" spans="14:20" x14ac:dyDescent="0.25">
      <c r="N4933" s="514"/>
      <c r="R4933" s="293"/>
      <c r="S4933" s="316"/>
      <c r="T4933" s="355"/>
    </row>
    <row r="4934" spans="14:20" x14ac:dyDescent="0.25">
      <c r="N4934" s="514"/>
      <c r="R4934" s="293"/>
      <c r="S4934" s="316"/>
      <c r="T4934" s="355"/>
    </row>
    <row r="4935" spans="14:20" x14ac:dyDescent="0.25">
      <c r="N4935" s="514"/>
      <c r="R4935" s="293"/>
      <c r="S4935" s="316"/>
      <c r="T4935" s="355"/>
    </row>
    <row r="4936" spans="14:20" x14ac:dyDescent="0.25">
      <c r="N4936" s="514"/>
      <c r="R4936" s="293"/>
      <c r="S4936" s="316"/>
      <c r="T4936" s="355"/>
    </row>
    <row r="4937" spans="14:20" x14ac:dyDescent="0.25">
      <c r="N4937" s="514"/>
      <c r="R4937" s="293"/>
      <c r="S4937" s="316"/>
      <c r="T4937" s="355"/>
    </row>
    <row r="4938" spans="14:20" x14ac:dyDescent="0.25">
      <c r="N4938" s="514"/>
      <c r="R4938" s="293"/>
      <c r="S4938" s="316"/>
      <c r="T4938" s="355"/>
    </row>
    <row r="4939" spans="14:20" x14ac:dyDescent="0.25">
      <c r="N4939" s="514"/>
      <c r="R4939" s="293"/>
      <c r="S4939" s="316"/>
      <c r="T4939" s="355"/>
    </row>
    <row r="4940" spans="14:20" x14ac:dyDescent="0.25">
      <c r="N4940" s="514"/>
      <c r="R4940" s="293"/>
      <c r="S4940" s="316"/>
      <c r="T4940" s="355"/>
    </row>
    <row r="4941" spans="14:20" x14ac:dyDescent="0.25">
      <c r="N4941" s="514"/>
      <c r="R4941" s="293"/>
      <c r="S4941" s="316"/>
      <c r="T4941" s="355"/>
    </row>
    <row r="4942" spans="14:20" x14ac:dyDescent="0.25">
      <c r="N4942" s="514"/>
      <c r="R4942" s="293"/>
      <c r="S4942" s="316"/>
      <c r="T4942" s="355"/>
    </row>
    <row r="4943" spans="14:20" x14ac:dyDescent="0.25">
      <c r="N4943" s="514"/>
      <c r="R4943" s="293"/>
      <c r="S4943" s="316"/>
      <c r="T4943" s="355"/>
    </row>
    <row r="4944" spans="14:20" x14ac:dyDescent="0.25">
      <c r="N4944" s="514"/>
      <c r="R4944" s="293"/>
      <c r="S4944" s="316"/>
      <c r="T4944" s="355"/>
    </row>
    <row r="4945" spans="14:20" x14ac:dyDescent="0.25">
      <c r="N4945" s="514"/>
      <c r="R4945" s="293"/>
      <c r="S4945" s="316"/>
      <c r="T4945" s="355"/>
    </row>
    <row r="4946" spans="14:20" x14ac:dyDescent="0.25">
      <c r="N4946" s="514"/>
      <c r="R4946" s="293"/>
      <c r="S4946" s="316"/>
      <c r="T4946" s="355"/>
    </row>
    <row r="4947" spans="14:20" x14ac:dyDescent="0.25">
      <c r="N4947" s="514"/>
      <c r="R4947" s="293"/>
      <c r="S4947" s="316"/>
      <c r="T4947" s="355"/>
    </row>
    <row r="4948" spans="14:20" x14ac:dyDescent="0.25">
      <c r="N4948" s="514"/>
      <c r="R4948" s="293"/>
      <c r="S4948" s="316"/>
      <c r="T4948" s="355"/>
    </row>
    <row r="4949" spans="14:20" x14ac:dyDescent="0.25">
      <c r="N4949" s="514"/>
      <c r="R4949" s="293"/>
      <c r="S4949" s="316"/>
      <c r="T4949" s="355"/>
    </row>
    <row r="4950" spans="14:20" x14ac:dyDescent="0.25">
      <c r="N4950" s="514"/>
      <c r="R4950" s="293"/>
      <c r="S4950" s="316"/>
      <c r="T4950" s="355"/>
    </row>
    <row r="4951" spans="14:20" x14ac:dyDescent="0.25">
      <c r="N4951" s="514"/>
      <c r="R4951" s="293"/>
      <c r="S4951" s="316"/>
      <c r="T4951" s="355"/>
    </row>
    <row r="4952" spans="14:20" x14ac:dyDescent="0.25">
      <c r="N4952" s="514"/>
      <c r="R4952" s="293"/>
      <c r="S4952" s="316"/>
      <c r="T4952" s="355"/>
    </row>
    <row r="4953" spans="14:20" x14ac:dyDescent="0.25">
      <c r="N4953" s="514"/>
      <c r="R4953" s="293"/>
      <c r="S4953" s="316"/>
      <c r="T4953" s="355"/>
    </row>
    <row r="4954" spans="14:20" x14ac:dyDescent="0.25">
      <c r="N4954" s="514"/>
      <c r="R4954" s="293"/>
      <c r="S4954" s="316"/>
      <c r="T4954" s="355"/>
    </row>
    <row r="4955" spans="14:20" x14ac:dyDescent="0.25">
      <c r="N4955" s="514"/>
      <c r="R4955" s="293"/>
      <c r="S4955" s="316"/>
      <c r="T4955" s="355"/>
    </row>
    <row r="4956" spans="14:20" x14ac:dyDescent="0.25">
      <c r="N4956" s="514"/>
      <c r="R4956" s="293"/>
      <c r="S4956" s="316"/>
      <c r="T4956" s="355"/>
    </row>
    <row r="4957" spans="14:20" x14ac:dyDescent="0.25">
      <c r="N4957" s="514"/>
      <c r="R4957" s="293"/>
      <c r="S4957" s="316"/>
      <c r="T4957" s="355"/>
    </row>
    <row r="4958" spans="14:20" x14ac:dyDescent="0.25">
      <c r="N4958" s="514"/>
      <c r="R4958" s="293"/>
      <c r="S4958" s="316"/>
      <c r="T4958" s="355"/>
    </row>
    <row r="4959" spans="14:20" x14ac:dyDescent="0.25">
      <c r="N4959" s="514"/>
      <c r="R4959" s="293"/>
      <c r="S4959" s="316"/>
      <c r="T4959" s="355"/>
    </row>
    <row r="4960" spans="14:20" x14ac:dyDescent="0.25">
      <c r="N4960" s="514"/>
      <c r="R4960" s="293"/>
      <c r="S4960" s="316"/>
      <c r="T4960" s="355"/>
    </row>
    <row r="4961" spans="14:20" x14ac:dyDescent="0.25">
      <c r="N4961" s="514"/>
      <c r="R4961" s="293"/>
      <c r="S4961" s="316"/>
      <c r="T4961" s="355"/>
    </row>
    <row r="4962" spans="14:20" x14ac:dyDescent="0.25">
      <c r="N4962" s="514"/>
      <c r="R4962" s="293"/>
      <c r="S4962" s="316"/>
      <c r="T4962" s="355"/>
    </row>
    <row r="4963" spans="14:20" x14ac:dyDescent="0.25">
      <c r="N4963" s="514"/>
      <c r="R4963" s="293"/>
      <c r="S4963" s="316"/>
      <c r="T4963" s="355"/>
    </row>
    <row r="4964" spans="14:20" x14ac:dyDescent="0.25">
      <c r="N4964" s="514"/>
      <c r="R4964" s="293"/>
      <c r="S4964" s="316"/>
      <c r="T4964" s="355"/>
    </row>
    <row r="4965" spans="14:20" x14ac:dyDescent="0.25">
      <c r="N4965" s="514"/>
      <c r="R4965" s="293"/>
      <c r="S4965" s="316"/>
      <c r="T4965" s="355"/>
    </row>
    <row r="4966" spans="14:20" x14ac:dyDescent="0.25">
      <c r="N4966" s="514"/>
      <c r="R4966" s="293"/>
      <c r="S4966" s="316"/>
      <c r="T4966" s="355"/>
    </row>
    <row r="4967" spans="14:20" x14ac:dyDescent="0.25">
      <c r="N4967" s="514"/>
      <c r="R4967" s="293"/>
      <c r="S4967" s="316"/>
      <c r="T4967" s="355"/>
    </row>
    <row r="4968" spans="14:20" x14ac:dyDescent="0.25">
      <c r="N4968" s="514"/>
      <c r="R4968" s="293"/>
      <c r="S4968" s="316"/>
      <c r="T4968" s="355"/>
    </row>
    <row r="4969" spans="14:20" x14ac:dyDescent="0.25">
      <c r="N4969" s="514"/>
      <c r="R4969" s="293"/>
      <c r="S4969" s="316"/>
      <c r="T4969" s="355"/>
    </row>
    <row r="4970" spans="14:20" x14ac:dyDescent="0.25">
      <c r="N4970" s="514"/>
      <c r="R4970" s="293"/>
      <c r="S4970" s="316"/>
      <c r="T4970" s="355"/>
    </row>
    <row r="4971" spans="14:20" x14ac:dyDescent="0.25">
      <c r="N4971" s="514"/>
      <c r="R4971" s="293"/>
      <c r="S4971" s="316"/>
      <c r="T4971" s="355"/>
    </row>
    <row r="4972" spans="14:20" x14ac:dyDescent="0.25">
      <c r="N4972" s="514"/>
      <c r="R4972" s="293"/>
      <c r="S4972" s="316"/>
      <c r="T4972" s="355"/>
    </row>
    <row r="4973" spans="14:20" x14ac:dyDescent="0.25">
      <c r="N4973" s="514"/>
      <c r="R4973" s="293"/>
      <c r="S4973" s="316"/>
      <c r="T4973" s="355"/>
    </row>
    <row r="4974" spans="14:20" x14ac:dyDescent="0.25">
      <c r="N4974" s="514"/>
      <c r="R4974" s="293"/>
      <c r="S4974" s="316"/>
      <c r="T4974" s="355"/>
    </row>
    <row r="4975" spans="14:20" x14ac:dyDescent="0.25">
      <c r="N4975" s="514"/>
      <c r="R4975" s="293"/>
      <c r="S4975" s="316"/>
      <c r="T4975" s="355"/>
    </row>
    <row r="4976" spans="14:20" x14ac:dyDescent="0.25">
      <c r="N4976" s="514"/>
      <c r="R4976" s="293"/>
      <c r="S4976" s="316"/>
      <c r="T4976" s="355"/>
    </row>
    <row r="4977" spans="14:20" x14ac:dyDescent="0.25">
      <c r="N4977" s="514"/>
      <c r="R4977" s="293"/>
      <c r="S4977" s="316"/>
      <c r="T4977" s="355"/>
    </row>
    <row r="4978" spans="14:20" x14ac:dyDescent="0.25">
      <c r="N4978" s="514"/>
      <c r="R4978" s="293"/>
      <c r="S4978" s="316"/>
      <c r="T4978" s="355"/>
    </row>
    <row r="4979" spans="14:20" x14ac:dyDescent="0.25">
      <c r="N4979" s="514"/>
      <c r="R4979" s="293"/>
      <c r="S4979" s="316"/>
      <c r="T4979" s="355"/>
    </row>
    <row r="4980" spans="14:20" x14ac:dyDescent="0.25">
      <c r="N4980" s="514"/>
      <c r="R4980" s="293"/>
      <c r="S4980" s="316"/>
      <c r="T4980" s="355"/>
    </row>
    <row r="4981" spans="14:20" x14ac:dyDescent="0.25">
      <c r="N4981" s="514"/>
      <c r="R4981" s="293"/>
      <c r="S4981" s="316"/>
      <c r="T4981" s="355"/>
    </row>
    <row r="4982" spans="14:20" x14ac:dyDescent="0.25">
      <c r="N4982" s="514"/>
      <c r="R4982" s="293"/>
      <c r="S4982" s="316"/>
      <c r="T4982" s="355"/>
    </row>
    <row r="4983" spans="14:20" x14ac:dyDescent="0.25">
      <c r="N4983" s="514"/>
      <c r="R4983" s="293"/>
      <c r="S4983" s="316"/>
      <c r="T4983" s="355"/>
    </row>
    <row r="4984" spans="14:20" x14ac:dyDescent="0.25">
      <c r="N4984" s="514"/>
      <c r="R4984" s="293"/>
      <c r="S4984" s="316"/>
      <c r="T4984" s="355"/>
    </row>
    <row r="4985" spans="14:20" x14ac:dyDescent="0.25">
      <c r="N4985" s="514"/>
      <c r="R4985" s="293"/>
      <c r="S4985" s="316"/>
      <c r="T4985" s="355"/>
    </row>
    <row r="4986" spans="14:20" x14ac:dyDescent="0.25">
      <c r="N4986" s="514"/>
      <c r="R4986" s="293"/>
      <c r="S4986" s="316"/>
      <c r="T4986" s="355"/>
    </row>
    <row r="4987" spans="14:20" x14ac:dyDescent="0.25">
      <c r="N4987" s="514"/>
      <c r="R4987" s="293"/>
      <c r="S4987" s="316"/>
      <c r="T4987" s="355"/>
    </row>
    <row r="4988" spans="14:20" x14ac:dyDescent="0.25">
      <c r="N4988" s="514"/>
      <c r="R4988" s="293"/>
      <c r="S4988" s="316"/>
      <c r="T4988" s="355"/>
    </row>
    <row r="4989" spans="14:20" x14ac:dyDescent="0.25">
      <c r="N4989" s="514"/>
      <c r="R4989" s="293"/>
      <c r="S4989" s="316"/>
      <c r="T4989" s="355"/>
    </row>
    <row r="4990" spans="14:20" x14ac:dyDescent="0.25">
      <c r="N4990" s="514"/>
      <c r="R4990" s="293"/>
      <c r="S4990" s="316"/>
      <c r="T4990" s="355"/>
    </row>
    <row r="4991" spans="14:20" x14ac:dyDescent="0.25">
      <c r="N4991" s="514"/>
      <c r="R4991" s="293"/>
      <c r="S4991" s="316"/>
      <c r="T4991" s="355"/>
    </row>
    <row r="4992" spans="14:20" x14ac:dyDescent="0.25">
      <c r="N4992" s="514"/>
      <c r="R4992" s="293"/>
      <c r="S4992" s="316"/>
      <c r="T4992" s="355"/>
    </row>
    <row r="4993" spans="14:20" x14ac:dyDescent="0.25">
      <c r="N4993" s="514"/>
      <c r="R4993" s="293"/>
      <c r="S4993" s="316"/>
      <c r="T4993" s="355"/>
    </row>
    <row r="4994" spans="14:20" x14ac:dyDescent="0.25">
      <c r="N4994" s="514"/>
      <c r="R4994" s="293"/>
      <c r="S4994" s="316"/>
      <c r="T4994" s="355"/>
    </row>
    <row r="4995" spans="14:20" x14ac:dyDescent="0.25">
      <c r="N4995" s="514"/>
      <c r="R4995" s="293"/>
      <c r="S4995" s="316"/>
      <c r="T4995" s="355"/>
    </row>
    <row r="4996" spans="14:20" x14ac:dyDescent="0.25">
      <c r="N4996" s="514"/>
      <c r="R4996" s="293"/>
      <c r="S4996" s="316"/>
      <c r="T4996" s="355"/>
    </row>
    <row r="4997" spans="14:20" x14ac:dyDescent="0.25">
      <c r="N4997" s="514"/>
      <c r="R4997" s="293"/>
      <c r="S4997" s="316"/>
      <c r="T4997" s="355"/>
    </row>
    <row r="4998" spans="14:20" x14ac:dyDescent="0.25">
      <c r="N4998" s="514"/>
      <c r="R4998" s="293"/>
      <c r="S4998" s="316"/>
      <c r="T4998" s="355"/>
    </row>
    <row r="4999" spans="14:20" x14ac:dyDescent="0.25">
      <c r="N4999" s="514"/>
      <c r="R4999" s="293"/>
      <c r="S4999" s="316"/>
      <c r="T4999" s="355"/>
    </row>
    <row r="5000" spans="14:20" x14ac:dyDescent="0.25">
      <c r="N5000" s="514"/>
      <c r="R5000" s="293"/>
      <c r="S5000" s="316"/>
      <c r="T5000" s="355"/>
    </row>
    <row r="5001" spans="14:20" x14ac:dyDescent="0.25">
      <c r="N5001" s="514"/>
      <c r="R5001" s="293"/>
      <c r="S5001" s="316"/>
      <c r="T5001" s="355"/>
    </row>
    <row r="5002" spans="14:20" x14ac:dyDescent="0.25">
      <c r="N5002" s="514"/>
      <c r="R5002" s="293"/>
      <c r="S5002" s="316"/>
      <c r="T5002" s="355"/>
    </row>
    <row r="5003" spans="14:20" x14ac:dyDescent="0.25">
      <c r="N5003" s="514"/>
      <c r="R5003" s="293"/>
      <c r="S5003" s="316"/>
      <c r="T5003" s="355"/>
    </row>
    <row r="5004" spans="14:20" x14ac:dyDescent="0.25">
      <c r="N5004" s="514"/>
      <c r="R5004" s="293"/>
      <c r="S5004" s="316"/>
      <c r="T5004" s="355"/>
    </row>
    <row r="5005" spans="14:20" x14ac:dyDescent="0.25">
      <c r="N5005" s="514"/>
      <c r="R5005" s="293"/>
      <c r="S5005" s="316"/>
      <c r="T5005" s="355"/>
    </row>
    <row r="5006" spans="14:20" x14ac:dyDescent="0.25">
      <c r="N5006" s="514"/>
      <c r="R5006" s="293"/>
      <c r="S5006" s="316"/>
      <c r="T5006" s="355"/>
    </row>
    <row r="5007" spans="14:20" x14ac:dyDescent="0.25">
      <c r="N5007" s="514"/>
      <c r="R5007" s="293"/>
      <c r="S5007" s="316"/>
      <c r="T5007" s="355"/>
    </row>
    <row r="5008" spans="14:20" x14ac:dyDescent="0.25">
      <c r="N5008" s="514"/>
      <c r="R5008" s="293"/>
      <c r="S5008" s="316"/>
      <c r="T5008" s="355"/>
    </row>
    <row r="5009" spans="14:20" x14ac:dyDescent="0.25">
      <c r="N5009" s="514"/>
      <c r="R5009" s="293"/>
      <c r="S5009" s="316"/>
      <c r="T5009" s="355"/>
    </row>
    <row r="5010" spans="14:20" x14ac:dyDescent="0.25">
      <c r="N5010" s="514"/>
      <c r="R5010" s="293"/>
      <c r="S5010" s="316"/>
      <c r="T5010" s="355"/>
    </row>
    <row r="5011" spans="14:20" x14ac:dyDescent="0.25">
      <c r="N5011" s="514"/>
      <c r="R5011" s="293"/>
      <c r="S5011" s="316"/>
      <c r="T5011" s="355"/>
    </row>
    <row r="5012" spans="14:20" x14ac:dyDescent="0.25">
      <c r="N5012" s="514"/>
      <c r="R5012" s="293"/>
      <c r="S5012" s="316"/>
      <c r="T5012" s="355"/>
    </row>
    <row r="5013" spans="14:20" x14ac:dyDescent="0.25">
      <c r="N5013" s="514"/>
      <c r="R5013" s="293"/>
      <c r="S5013" s="316"/>
      <c r="T5013" s="355"/>
    </row>
    <row r="5014" spans="14:20" x14ac:dyDescent="0.25">
      <c r="N5014" s="514"/>
      <c r="R5014" s="293"/>
      <c r="S5014" s="316"/>
      <c r="T5014" s="355"/>
    </row>
    <row r="5015" spans="14:20" x14ac:dyDescent="0.25">
      <c r="N5015" s="514"/>
      <c r="R5015" s="293"/>
      <c r="S5015" s="316"/>
      <c r="T5015" s="355"/>
    </row>
    <row r="5016" spans="14:20" x14ac:dyDescent="0.25">
      <c r="N5016" s="514"/>
      <c r="R5016" s="293"/>
      <c r="S5016" s="316"/>
      <c r="T5016" s="355"/>
    </row>
    <row r="5017" spans="14:20" x14ac:dyDescent="0.25">
      <c r="N5017" s="514"/>
      <c r="R5017" s="293"/>
      <c r="S5017" s="316"/>
      <c r="T5017" s="355"/>
    </row>
    <row r="5018" spans="14:20" x14ac:dyDescent="0.25">
      <c r="N5018" s="514"/>
      <c r="R5018" s="293"/>
      <c r="S5018" s="316"/>
      <c r="T5018" s="355"/>
    </row>
    <row r="5019" spans="14:20" x14ac:dyDescent="0.25">
      <c r="N5019" s="514"/>
      <c r="R5019" s="293"/>
      <c r="S5019" s="316"/>
      <c r="T5019" s="355"/>
    </row>
    <row r="5020" spans="14:20" x14ac:dyDescent="0.25">
      <c r="N5020" s="514"/>
      <c r="R5020" s="293"/>
      <c r="S5020" s="316"/>
      <c r="T5020" s="355"/>
    </row>
    <row r="5021" spans="14:20" x14ac:dyDescent="0.25">
      <c r="N5021" s="514"/>
      <c r="R5021" s="293"/>
      <c r="S5021" s="316"/>
      <c r="T5021" s="355"/>
    </row>
    <row r="5022" spans="14:20" x14ac:dyDescent="0.25">
      <c r="N5022" s="514"/>
      <c r="R5022" s="293"/>
      <c r="S5022" s="316"/>
      <c r="T5022" s="355"/>
    </row>
    <row r="5023" spans="14:20" x14ac:dyDescent="0.25">
      <c r="N5023" s="514"/>
      <c r="R5023" s="293"/>
      <c r="S5023" s="316"/>
      <c r="T5023" s="355"/>
    </row>
    <row r="5024" spans="14:20" x14ac:dyDescent="0.25">
      <c r="N5024" s="514"/>
      <c r="R5024" s="293"/>
      <c r="S5024" s="316"/>
      <c r="T5024" s="355"/>
    </row>
    <row r="5025" spans="14:20" x14ac:dyDescent="0.25">
      <c r="N5025" s="514"/>
      <c r="R5025" s="293"/>
      <c r="S5025" s="316"/>
      <c r="T5025" s="355"/>
    </row>
    <row r="5026" spans="14:20" x14ac:dyDescent="0.25">
      <c r="N5026" s="514"/>
      <c r="R5026" s="293"/>
      <c r="S5026" s="316"/>
      <c r="T5026" s="355"/>
    </row>
    <row r="5027" spans="14:20" x14ac:dyDescent="0.25">
      <c r="N5027" s="514"/>
      <c r="R5027" s="293"/>
      <c r="S5027" s="316"/>
      <c r="T5027" s="355"/>
    </row>
    <row r="5028" spans="14:20" x14ac:dyDescent="0.25">
      <c r="N5028" s="514"/>
      <c r="R5028" s="293"/>
      <c r="S5028" s="316"/>
      <c r="T5028" s="355"/>
    </row>
    <row r="5029" spans="14:20" x14ac:dyDescent="0.25">
      <c r="N5029" s="514"/>
      <c r="R5029" s="293"/>
      <c r="S5029" s="316"/>
      <c r="T5029" s="355"/>
    </row>
    <row r="5030" spans="14:20" x14ac:dyDescent="0.25">
      <c r="N5030" s="514"/>
      <c r="R5030" s="293"/>
      <c r="S5030" s="316"/>
      <c r="T5030" s="355"/>
    </row>
    <row r="5031" spans="14:20" x14ac:dyDescent="0.25">
      <c r="N5031" s="514"/>
      <c r="R5031" s="293"/>
      <c r="S5031" s="316"/>
      <c r="T5031" s="355"/>
    </row>
    <row r="5032" spans="14:20" x14ac:dyDescent="0.25">
      <c r="N5032" s="514"/>
      <c r="R5032" s="293"/>
      <c r="S5032" s="316"/>
      <c r="T5032" s="355"/>
    </row>
    <row r="5033" spans="14:20" x14ac:dyDescent="0.25">
      <c r="N5033" s="514"/>
      <c r="R5033" s="293"/>
      <c r="S5033" s="316"/>
      <c r="T5033" s="355"/>
    </row>
    <row r="5034" spans="14:20" x14ac:dyDescent="0.25">
      <c r="N5034" s="514"/>
      <c r="R5034" s="293"/>
      <c r="S5034" s="316"/>
      <c r="T5034" s="355"/>
    </row>
    <row r="5035" spans="14:20" x14ac:dyDescent="0.25">
      <c r="N5035" s="514"/>
      <c r="R5035" s="293"/>
      <c r="S5035" s="316"/>
      <c r="T5035" s="355"/>
    </row>
    <row r="5036" spans="14:20" x14ac:dyDescent="0.25">
      <c r="N5036" s="514"/>
      <c r="R5036" s="293"/>
      <c r="S5036" s="316"/>
      <c r="T5036" s="355"/>
    </row>
    <row r="5037" spans="14:20" x14ac:dyDescent="0.25">
      <c r="N5037" s="514"/>
      <c r="R5037" s="293"/>
      <c r="S5037" s="316"/>
      <c r="T5037" s="355"/>
    </row>
    <row r="5038" spans="14:20" x14ac:dyDescent="0.25">
      <c r="N5038" s="514"/>
      <c r="R5038" s="293"/>
      <c r="S5038" s="316"/>
      <c r="T5038" s="355"/>
    </row>
    <row r="5039" spans="14:20" x14ac:dyDescent="0.25">
      <c r="N5039" s="514"/>
      <c r="R5039" s="293"/>
      <c r="S5039" s="316"/>
      <c r="T5039" s="355"/>
    </row>
    <row r="5040" spans="14:20" x14ac:dyDescent="0.25">
      <c r="N5040" s="514"/>
      <c r="R5040" s="293"/>
      <c r="S5040" s="316"/>
      <c r="T5040" s="355"/>
    </row>
    <row r="5041" spans="14:20" x14ac:dyDescent="0.25">
      <c r="N5041" s="514"/>
      <c r="R5041" s="293"/>
      <c r="S5041" s="316"/>
      <c r="T5041" s="355"/>
    </row>
    <row r="5042" spans="14:20" x14ac:dyDescent="0.25">
      <c r="N5042" s="514"/>
      <c r="R5042" s="293"/>
      <c r="S5042" s="316"/>
      <c r="T5042" s="355"/>
    </row>
    <row r="5043" spans="14:20" x14ac:dyDescent="0.25">
      <c r="N5043" s="514"/>
      <c r="R5043" s="293"/>
      <c r="S5043" s="316"/>
      <c r="T5043" s="355"/>
    </row>
    <row r="5044" spans="14:20" x14ac:dyDescent="0.25">
      <c r="N5044" s="514"/>
      <c r="R5044" s="293"/>
      <c r="S5044" s="316"/>
      <c r="T5044" s="355"/>
    </row>
    <row r="5045" spans="14:20" x14ac:dyDescent="0.25">
      <c r="N5045" s="514"/>
      <c r="R5045" s="293"/>
      <c r="S5045" s="316"/>
      <c r="T5045" s="355"/>
    </row>
    <row r="5046" spans="14:20" x14ac:dyDescent="0.25">
      <c r="N5046" s="514"/>
      <c r="R5046" s="293"/>
      <c r="S5046" s="316"/>
      <c r="T5046" s="355"/>
    </row>
    <row r="5047" spans="14:20" x14ac:dyDescent="0.25">
      <c r="N5047" s="514"/>
      <c r="R5047" s="293"/>
      <c r="S5047" s="316"/>
      <c r="T5047" s="355"/>
    </row>
    <row r="5048" spans="14:20" x14ac:dyDescent="0.25">
      <c r="N5048" s="514"/>
      <c r="R5048" s="293"/>
      <c r="S5048" s="316"/>
      <c r="T5048" s="355"/>
    </row>
    <row r="5049" spans="14:20" x14ac:dyDescent="0.25">
      <c r="N5049" s="514"/>
      <c r="R5049" s="293"/>
      <c r="S5049" s="316"/>
      <c r="T5049" s="355"/>
    </row>
    <row r="5050" spans="14:20" x14ac:dyDescent="0.25">
      <c r="N5050" s="514"/>
      <c r="R5050" s="293"/>
      <c r="S5050" s="316"/>
      <c r="T5050" s="355"/>
    </row>
    <row r="5051" spans="14:20" x14ac:dyDescent="0.25">
      <c r="N5051" s="514"/>
      <c r="R5051" s="293"/>
      <c r="S5051" s="316"/>
      <c r="T5051" s="355"/>
    </row>
    <row r="5052" spans="14:20" x14ac:dyDescent="0.25">
      <c r="N5052" s="514"/>
      <c r="R5052" s="293"/>
      <c r="S5052" s="316"/>
      <c r="T5052" s="355"/>
    </row>
    <row r="5053" spans="14:20" x14ac:dyDescent="0.25">
      <c r="N5053" s="514"/>
      <c r="R5053" s="293"/>
      <c r="S5053" s="316"/>
      <c r="T5053" s="355"/>
    </row>
    <row r="5054" spans="14:20" x14ac:dyDescent="0.25">
      <c r="N5054" s="514"/>
      <c r="R5054" s="293"/>
      <c r="S5054" s="316"/>
      <c r="T5054" s="355"/>
    </row>
    <row r="5055" spans="14:20" x14ac:dyDescent="0.25">
      <c r="N5055" s="514"/>
      <c r="R5055" s="293"/>
      <c r="S5055" s="316"/>
      <c r="T5055" s="355"/>
    </row>
    <row r="5056" spans="14:20" x14ac:dyDescent="0.25">
      <c r="N5056" s="514"/>
      <c r="R5056" s="293"/>
      <c r="S5056" s="316"/>
      <c r="T5056" s="355"/>
    </row>
    <row r="5057" spans="14:20" x14ac:dyDescent="0.25">
      <c r="N5057" s="514"/>
      <c r="R5057" s="293"/>
      <c r="S5057" s="316"/>
      <c r="T5057" s="355"/>
    </row>
    <row r="5058" spans="14:20" x14ac:dyDescent="0.25">
      <c r="N5058" s="514"/>
      <c r="R5058" s="293"/>
      <c r="S5058" s="316"/>
      <c r="T5058" s="355"/>
    </row>
    <row r="5059" spans="14:20" x14ac:dyDescent="0.25">
      <c r="N5059" s="514"/>
      <c r="R5059" s="293"/>
      <c r="S5059" s="316"/>
      <c r="T5059" s="355"/>
    </row>
    <row r="5060" spans="14:20" x14ac:dyDescent="0.25">
      <c r="N5060" s="514"/>
      <c r="R5060" s="293"/>
      <c r="S5060" s="316"/>
      <c r="T5060" s="355"/>
    </row>
    <row r="5061" spans="14:20" x14ac:dyDescent="0.25">
      <c r="N5061" s="514"/>
      <c r="R5061" s="293"/>
      <c r="S5061" s="316"/>
      <c r="T5061" s="355"/>
    </row>
    <row r="5062" spans="14:20" x14ac:dyDescent="0.25">
      <c r="N5062" s="514"/>
      <c r="R5062" s="293"/>
      <c r="S5062" s="316"/>
      <c r="T5062" s="355"/>
    </row>
    <row r="5063" spans="14:20" x14ac:dyDescent="0.25">
      <c r="N5063" s="514"/>
      <c r="R5063" s="293"/>
      <c r="S5063" s="316"/>
      <c r="T5063" s="355"/>
    </row>
    <row r="5064" spans="14:20" x14ac:dyDescent="0.25">
      <c r="N5064" s="514"/>
      <c r="R5064" s="293"/>
      <c r="S5064" s="316"/>
      <c r="T5064" s="355"/>
    </row>
    <row r="5065" spans="14:20" x14ac:dyDescent="0.25">
      <c r="N5065" s="514"/>
      <c r="R5065" s="293"/>
      <c r="S5065" s="316"/>
      <c r="T5065" s="355"/>
    </row>
    <row r="5066" spans="14:20" x14ac:dyDescent="0.25">
      <c r="N5066" s="514"/>
      <c r="R5066" s="293"/>
      <c r="S5066" s="316"/>
      <c r="T5066" s="355"/>
    </row>
    <row r="5067" spans="14:20" x14ac:dyDescent="0.25">
      <c r="N5067" s="514"/>
      <c r="R5067" s="293"/>
      <c r="S5067" s="316"/>
      <c r="T5067" s="355"/>
    </row>
    <row r="5068" spans="14:20" x14ac:dyDescent="0.25">
      <c r="N5068" s="514"/>
      <c r="R5068" s="293"/>
      <c r="S5068" s="316"/>
      <c r="T5068" s="355"/>
    </row>
    <row r="5069" spans="14:20" x14ac:dyDescent="0.25">
      <c r="N5069" s="514"/>
      <c r="R5069" s="293"/>
      <c r="S5069" s="316"/>
      <c r="T5069" s="355"/>
    </row>
    <row r="5070" spans="14:20" x14ac:dyDescent="0.25">
      <c r="N5070" s="514"/>
      <c r="R5070" s="293"/>
      <c r="S5070" s="316"/>
      <c r="T5070" s="355"/>
    </row>
    <row r="5071" spans="14:20" x14ac:dyDescent="0.25">
      <c r="N5071" s="514"/>
      <c r="R5071" s="293"/>
      <c r="S5071" s="316"/>
      <c r="T5071" s="355"/>
    </row>
    <row r="5072" spans="14:20" x14ac:dyDescent="0.25">
      <c r="N5072" s="514"/>
      <c r="R5072" s="293"/>
      <c r="S5072" s="316"/>
      <c r="T5072" s="355"/>
    </row>
    <row r="5073" spans="14:20" x14ac:dyDescent="0.25">
      <c r="N5073" s="514"/>
      <c r="R5073" s="293"/>
      <c r="S5073" s="316"/>
      <c r="T5073" s="355"/>
    </row>
    <row r="5074" spans="14:20" x14ac:dyDescent="0.25">
      <c r="N5074" s="514"/>
      <c r="R5074" s="293"/>
      <c r="S5074" s="316"/>
      <c r="T5074" s="355"/>
    </row>
    <row r="5075" spans="14:20" x14ac:dyDescent="0.25">
      <c r="N5075" s="514"/>
      <c r="R5075" s="293"/>
      <c r="S5075" s="316"/>
      <c r="T5075" s="355"/>
    </row>
    <row r="5076" spans="14:20" x14ac:dyDescent="0.25">
      <c r="N5076" s="514"/>
      <c r="R5076" s="293"/>
      <c r="S5076" s="316"/>
      <c r="T5076" s="355"/>
    </row>
    <row r="5077" spans="14:20" x14ac:dyDescent="0.25">
      <c r="N5077" s="514"/>
      <c r="R5077" s="293"/>
      <c r="S5077" s="316"/>
      <c r="T5077" s="355"/>
    </row>
    <row r="5078" spans="14:20" x14ac:dyDescent="0.25">
      <c r="N5078" s="514"/>
      <c r="R5078" s="293"/>
      <c r="S5078" s="316"/>
      <c r="T5078" s="355"/>
    </row>
    <row r="5079" spans="14:20" x14ac:dyDescent="0.25">
      <c r="N5079" s="514"/>
      <c r="R5079" s="293"/>
      <c r="S5079" s="316"/>
      <c r="T5079" s="355"/>
    </row>
    <row r="5080" spans="14:20" x14ac:dyDescent="0.25">
      <c r="N5080" s="514"/>
      <c r="R5080" s="293"/>
      <c r="S5080" s="316"/>
      <c r="T5080" s="355"/>
    </row>
    <row r="5081" spans="14:20" x14ac:dyDescent="0.25">
      <c r="N5081" s="514"/>
      <c r="R5081" s="293"/>
      <c r="S5081" s="316"/>
      <c r="T5081" s="355"/>
    </row>
    <row r="5082" spans="14:20" x14ac:dyDescent="0.25">
      <c r="N5082" s="514"/>
      <c r="R5082" s="293"/>
      <c r="S5082" s="316"/>
      <c r="T5082" s="355"/>
    </row>
    <row r="5083" spans="14:20" x14ac:dyDescent="0.25">
      <c r="N5083" s="514"/>
      <c r="R5083" s="293"/>
      <c r="S5083" s="316"/>
      <c r="T5083" s="355"/>
    </row>
    <row r="5084" spans="14:20" x14ac:dyDescent="0.25">
      <c r="N5084" s="514"/>
      <c r="R5084" s="293"/>
      <c r="S5084" s="316"/>
      <c r="T5084" s="355"/>
    </row>
    <row r="5085" spans="14:20" x14ac:dyDescent="0.25">
      <c r="N5085" s="514"/>
      <c r="R5085" s="293"/>
      <c r="S5085" s="316"/>
      <c r="T5085" s="355"/>
    </row>
    <row r="5086" spans="14:20" x14ac:dyDescent="0.25">
      <c r="N5086" s="514"/>
      <c r="R5086" s="293"/>
      <c r="S5086" s="316"/>
      <c r="T5086" s="355"/>
    </row>
    <row r="5087" spans="14:20" x14ac:dyDescent="0.25">
      <c r="N5087" s="514"/>
      <c r="R5087" s="293"/>
      <c r="S5087" s="316"/>
      <c r="T5087" s="355"/>
    </row>
    <row r="5088" spans="14:20" x14ac:dyDescent="0.25">
      <c r="N5088" s="514"/>
      <c r="R5088" s="293"/>
      <c r="S5088" s="316"/>
      <c r="T5088" s="355"/>
    </row>
    <row r="5089" spans="14:20" x14ac:dyDescent="0.25">
      <c r="N5089" s="514"/>
      <c r="R5089" s="293"/>
      <c r="S5089" s="316"/>
      <c r="T5089" s="355"/>
    </row>
    <row r="5090" spans="14:20" x14ac:dyDescent="0.25">
      <c r="N5090" s="514"/>
      <c r="R5090" s="293"/>
      <c r="S5090" s="316"/>
      <c r="T5090" s="355"/>
    </row>
    <row r="5091" spans="14:20" x14ac:dyDescent="0.25">
      <c r="N5091" s="514"/>
      <c r="R5091" s="293"/>
      <c r="S5091" s="316"/>
      <c r="T5091" s="355"/>
    </row>
    <row r="5092" spans="14:20" x14ac:dyDescent="0.25">
      <c r="N5092" s="514"/>
      <c r="R5092" s="293"/>
      <c r="S5092" s="316"/>
      <c r="T5092" s="355"/>
    </row>
    <row r="5093" spans="14:20" x14ac:dyDescent="0.25">
      <c r="N5093" s="514"/>
      <c r="R5093" s="293"/>
      <c r="S5093" s="316"/>
      <c r="T5093" s="355"/>
    </row>
    <row r="5094" spans="14:20" x14ac:dyDescent="0.25">
      <c r="N5094" s="514"/>
      <c r="R5094" s="293"/>
      <c r="S5094" s="316"/>
      <c r="T5094" s="355"/>
    </row>
    <row r="5095" spans="14:20" x14ac:dyDescent="0.25">
      <c r="N5095" s="514"/>
      <c r="R5095" s="293"/>
      <c r="S5095" s="316"/>
      <c r="T5095" s="355"/>
    </row>
    <row r="5096" spans="14:20" x14ac:dyDescent="0.25">
      <c r="N5096" s="514"/>
      <c r="R5096" s="293"/>
      <c r="S5096" s="316"/>
      <c r="T5096" s="355"/>
    </row>
    <row r="5097" spans="14:20" x14ac:dyDescent="0.25">
      <c r="N5097" s="514"/>
      <c r="R5097" s="293"/>
      <c r="S5097" s="316"/>
      <c r="T5097" s="355"/>
    </row>
    <row r="5098" spans="14:20" x14ac:dyDescent="0.25">
      <c r="N5098" s="514"/>
      <c r="R5098" s="293"/>
      <c r="S5098" s="316"/>
      <c r="T5098" s="355"/>
    </row>
    <row r="5099" spans="14:20" x14ac:dyDescent="0.25">
      <c r="N5099" s="514"/>
      <c r="R5099" s="293"/>
      <c r="S5099" s="316"/>
      <c r="T5099" s="355"/>
    </row>
    <row r="5100" spans="14:20" x14ac:dyDescent="0.25">
      <c r="N5100" s="514"/>
      <c r="R5100" s="293"/>
      <c r="S5100" s="316"/>
      <c r="T5100" s="355"/>
    </row>
    <row r="5101" spans="14:20" x14ac:dyDescent="0.25">
      <c r="N5101" s="514"/>
      <c r="R5101" s="293"/>
      <c r="S5101" s="316"/>
      <c r="T5101" s="355"/>
    </row>
    <row r="5102" spans="14:20" x14ac:dyDescent="0.25">
      <c r="N5102" s="514"/>
      <c r="R5102" s="293"/>
      <c r="S5102" s="316"/>
      <c r="T5102" s="355"/>
    </row>
    <row r="5103" spans="14:20" x14ac:dyDescent="0.25">
      <c r="N5103" s="514"/>
      <c r="R5103" s="293"/>
      <c r="S5103" s="316"/>
      <c r="T5103" s="355"/>
    </row>
    <row r="5104" spans="14:20" x14ac:dyDescent="0.25">
      <c r="N5104" s="514"/>
      <c r="R5104" s="293"/>
      <c r="S5104" s="316"/>
      <c r="T5104" s="355"/>
    </row>
    <row r="5105" spans="14:20" x14ac:dyDescent="0.25">
      <c r="N5105" s="514"/>
      <c r="R5105" s="293"/>
      <c r="S5105" s="316"/>
      <c r="T5105" s="355"/>
    </row>
    <row r="5106" spans="14:20" x14ac:dyDescent="0.25">
      <c r="N5106" s="514"/>
      <c r="R5106" s="293"/>
      <c r="S5106" s="316"/>
      <c r="T5106" s="355"/>
    </row>
    <row r="5107" spans="14:20" x14ac:dyDescent="0.25">
      <c r="N5107" s="514"/>
      <c r="R5107" s="293"/>
      <c r="S5107" s="316"/>
      <c r="T5107" s="355"/>
    </row>
    <row r="5108" spans="14:20" x14ac:dyDescent="0.25">
      <c r="N5108" s="514"/>
      <c r="R5108" s="293"/>
      <c r="S5108" s="316"/>
      <c r="T5108" s="355"/>
    </row>
    <row r="5109" spans="14:20" x14ac:dyDescent="0.25">
      <c r="N5109" s="514"/>
      <c r="R5109" s="293"/>
      <c r="S5109" s="316"/>
      <c r="T5109" s="355"/>
    </row>
    <row r="5110" spans="14:20" x14ac:dyDescent="0.25">
      <c r="N5110" s="514"/>
      <c r="R5110" s="293"/>
      <c r="S5110" s="316"/>
      <c r="T5110" s="355"/>
    </row>
    <row r="5111" spans="14:20" x14ac:dyDescent="0.25">
      <c r="N5111" s="514"/>
      <c r="R5111" s="293"/>
      <c r="S5111" s="316"/>
      <c r="T5111" s="355"/>
    </row>
    <row r="5112" spans="14:20" x14ac:dyDescent="0.25">
      <c r="N5112" s="514"/>
      <c r="R5112" s="293"/>
      <c r="S5112" s="316"/>
      <c r="T5112" s="355"/>
    </row>
    <row r="5113" spans="14:20" x14ac:dyDescent="0.25">
      <c r="N5113" s="514"/>
      <c r="R5113" s="293"/>
      <c r="S5113" s="316"/>
      <c r="T5113" s="355"/>
    </row>
    <row r="5114" spans="14:20" x14ac:dyDescent="0.25">
      <c r="N5114" s="514"/>
      <c r="R5114" s="293"/>
      <c r="S5114" s="316"/>
      <c r="T5114" s="355"/>
    </row>
    <row r="5115" spans="14:20" x14ac:dyDescent="0.25">
      <c r="N5115" s="514"/>
      <c r="R5115" s="293"/>
      <c r="S5115" s="316"/>
      <c r="T5115" s="355"/>
    </row>
    <row r="5116" spans="14:20" x14ac:dyDescent="0.25">
      <c r="N5116" s="514"/>
      <c r="R5116" s="293"/>
      <c r="S5116" s="316"/>
      <c r="T5116" s="355"/>
    </row>
    <row r="5117" spans="14:20" x14ac:dyDescent="0.25">
      <c r="N5117" s="514"/>
      <c r="R5117" s="293"/>
      <c r="S5117" s="316"/>
      <c r="T5117" s="355"/>
    </row>
    <row r="5118" spans="14:20" x14ac:dyDescent="0.25">
      <c r="N5118" s="514"/>
      <c r="R5118" s="293"/>
      <c r="S5118" s="316"/>
      <c r="T5118" s="355"/>
    </row>
    <row r="5119" spans="14:20" x14ac:dyDescent="0.25">
      <c r="N5119" s="514"/>
      <c r="R5119" s="293"/>
      <c r="S5119" s="316"/>
      <c r="T5119" s="355"/>
    </row>
    <row r="5120" spans="14:20" x14ac:dyDescent="0.25">
      <c r="N5120" s="514"/>
      <c r="R5120" s="293"/>
      <c r="S5120" s="316"/>
      <c r="T5120" s="355"/>
    </row>
    <row r="5121" spans="14:20" x14ac:dyDescent="0.25">
      <c r="N5121" s="514"/>
      <c r="R5121" s="293"/>
      <c r="S5121" s="316"/>
      <c r="T5121" s="355"/>
    </row>
    <row r="5122" spans="14:20" x14ac:dyDescent="0.25">
      <c r="N5122" s="514"/>
      <c r="R5122" s="293"/>
      <c r="S5122" s="316"/>
      <c r="T5122" s="355"/>
    </row>
    <row r="5123" spans="14:20" x14ac:dyDescent="0.25">
      <c r="N5123" s="514"/>
      <c r="R5123" s="293"/>
      <c r="S5123" s="316"/>
      <c r="T5123" s="355"/>
    </row>
    <row r="5124" spans="14:20" x14ac:dyDescent="0.25">
      <c r="N5124" s="514"/>
      <c r="R5124" s="293"/>
      <c r="S5124" s="316"/>
      <c r="T5124" s="355"/>
    </row>
    <row r="5125" spans="14:20" x14ac:dyDescent="0.25">
      <c r="N5125" s="514"/>
      <c r="R5125" s="293"/>
      <c r="S5125" s="316"/>
      <c r="T5125" s="355"/>
    </row>
    <row r="5126" spans="14:20" x14ac:dyDescent="0.25">
      <c r="N5126" s="514"/>
      <c r="R5126" s="293"/>
      <c r="S5126" s="316"/>
      <c r="T5126" s="355"/>
    </row>
    <row r="5127" spans="14:20" x14ac:dyDescent="0.25">
      <c r="N5127" s="514"/>
      <c r="R5127" s="293"/>
      <c r="S5127" s="316"/>
      <c r="T5127" s="355"/>
    </row>
    <row r="5128" spans="14:20" x14ac:dyDescent="0.25">
      <c r="N5128" s="514"/>
      <c r="R5128" s="293"/>
      <c r="S5128" s="316"/>
      <c r="T5128" s="355"/>
    </row>
    <row r="5129" spans="14:20" x14ac:dyDescent="0.25">
      <c r="N5129" s="514"/>
      <c r="R5129" s="293"/>
      <c r="S5129" s="316"/>
      <c r="T5129" s="355"/>
    </row>
    <row r="5130" spans="14:20" x14ac:dyDescent="0.25">
      <c r="N5130" s="514"/>
      <c r="R5130" s="293"/>
      <c r="S5130" s="316"/>
      <c r="T5130" s="355"/>
    </row>
    <row r="5131" spans="14:20" x14ac:dyDescent="0.25">
      <c r="N5131" s="514"/>
      <c r="R5131" s="293"/>
      <c r="S5131" s="316"/>
      <c r="T5131" s="355"/>
    </row>
    <row r="5132" spans="14:20" x14ac:dyDescent="0.25">
      <c r="N5132" s="514"/>
      <c r="R5132" s="293"/>
      <c r="S5132" s="316"/>
      <c r="T5132" s="355"/>
    </row>
    <row r="5133" spans="14:20" x14ac:dyDescent="0.25">
      <c r="N5133" s="514"/>
      <c r="R5133" s="293"/>
      <c r="S5133" s="316"/>
      <c r="T5133" s="355"/>
    </row>
    <row r="5134" spans="14:20" x14ac:dyDescent="0.25">
      <c r="N5134" s="514"/>
      <c r="R5134" s="293"/>
      <c r="S5134" s="316"/>
      <c r="T5134" s="355"/>
    </row>
    <row r="5135" spans="14:20" x14ac:dyDescent="0.25">
      <c r="N5135" s="514"/>
      <c r="R5135" s="293"/>
      <c r="S5135" s="316"/>
      <c r="T5135" s="355"/>
    </row>
    <row r="5136" spans="14:20" x14ac:dyDescent="0.25">
      <c r="N5136" s="514"/>
      <c r="R5136" s="293"/>
      <c r="S5136" s="316"/>
      <c r="T5136" s="355"/>
    </row>
    <row r="5137" spans="14:20" x14ac:dyDescent="0.25">
      <c r="N5137" s="514"/>
      <c r="R5137" s="293"/>
      <c r="S5137" s="316"/>
      <c r="T5137" s="355"/>
    </row>
    <row r="5138" spans="14:20" x14ac:dyDescent="0.25">
      <c r="N5138" s="514"/>
      <c r="R5138" s="293"/>
      <c r="S5138" s="316"/>
      <c r="T5138" s="355"/>
    </row>
    <row r="5139" spans="14:20" x14ac:dyDescent="0.25">
      <c r="N5139" s="514"/>
      <c r="R5139" s="293"/>
      <c r="S5139" s="316"/>
      <c r="T5139" s="355"/>
    </row>
    <row r="5140" spans="14:20" x14ac:dyDescent="0.25">
      <c r="N5140" s="514"/>
      <c r="R5140" s="293"/>
      <c r="S5140" s="316"/>
      <c r="T5140" s="355"/>
    </row>
    <row r="5141" spans="14:20" x14ac:dyDescent="0.25">
      <c r="N5141" s="514"/>
      <c r="R5141" s="293"/>
      <c r="S5141" s="316"/>
      <c r="T5141" s="355"/>
    </row>
    <row r="5142" spans="14:20" x14ac:dyDescent="0.25">
      <c r="N5142" s="514"/>
      <c r="R5142" s="293"/>
      <c r="S5142" s="316"/>
      <c r="T5142" s="355"/>
    </row>
    <row r="5143" spans="14:20" x14ac:dyDescent="0.25">
      <c r="N5143" s="514"/>
      <c r="R5143" s="293"/>
      <c r="S5143" s="316"/>
      <c r="T5143" s="355"/>
    </row>
    <row r="5144" spans="14:20" x14ac:dyDescent="0.25">
      <c r="N5144" s="514"/>
      <c r="R5144" s="293"/>
      <c r="S5144" s="316"/>
      <c r="T5144" s="355"/>
    </row>
    <row r="5145" spans="14:20" x14ac:dyDescent="0.25">
      <c r="N5145" s="514"/>
      <c r="R5145" s="293"/>
      <c r="S5145" s="316"/>
      <c r="T5145" s="355"/>
    </row>
    <row r="5146" spans="14:20" x14ac:dyDescent="0.25">
      <c r="N5146" s="514"/>
      <c r="R5146" s="293"/>
      <c r="S5146" s="316"/>
      <c r="T5146" s="355"/>
    </row>
    <row r="5147" spans="14:20" x14ac:dyDescent="0.25">
      <c r="N5147" s="514"/>
      <c r="R5147" s="293"/>
      <c r="S5147" s="316"/>
      <c r="T5147" s="355"/>
    </row>
    <row r="5148" spans="14:20" x14ac:dyDescent="0.25">
      <c r="N5148" s="514"/>
      <c r="R5148" s="293"/>
      <c r="S5148" s="316"/>
      <c r="T5148" s="355"/>
    </row>
    <row r="5149" spans="14:20" x14ac:dyDescent="0.25">
      <c r="N5149" s="514"/>
      <c r="R5149" s="293"/>
      <c r="S5149" s="316"/>
      <c r="T5149" s="355"/>
    </row>
    <row r="5150" spans="14:20" x14ac:dyDescent="0.25">
      <c r="N5150" s="514"/>
      <c r="R5150" s="293"/>
      <c r="S5150" s="316"/>
      <c r="T5150" s="355"/>
    </row>
    <row r="5151" spans="14:20" x14ac:dyDescent="0.25">
      <c r="N5151" s="514"/>
      <c r="R5151" s="293"/>
      <c r="S5151" s="316"/>
      <c r="T5151" s="355"/>
    </row>
    <row r="5152" spans="14:20" x14ac:dyDescent="0.25">
      <c r="N5152" s="514"/>
      <c r="R5152" s="293"/>
      <c r="S5152" s="316"/>
      <c r="T5152" s="355"/>
    </row>
    <row r="5153" spans="14:20" x14ac:dyDescent="0.25">
      <c r="N5153" s="514"/>
      <c r="R5153" s="293"/>
      <c r="S5153" s="316"/>
      <c r="T5153" s="355"/>
    </row>
    <row r="5154" spans="14:20" x14ac:dyDescent="0.25">
      <c r="N5154" s="514"/>
      <c r="R5154" s="293"/>
      <c r="S5154" s="316"/>
      <c r="T5154" s="355"/>
    </row>
    <row r="5155" spans="14:20" x14ac:dyDescent="0.25">
      <c r="N5155" s="514"/>
      <c r="R5155" s="293"/>
      <c r="S5155" s="316"/>
      <c r="T5155" s="355"/>
    </row>
    <row r="5156" spans="14:20" x14ac:dyDescent="0.25">
      <c r="N5156" s="514"/>
      <c r="R5156" s="293"/>
      <c r="S5156" s="316"/>
      <c r="T5156" s="355"/>
    </row>
    <row r="5157" spans="14:20" x14ac:dyDescent="0.25">
      <c r="N5157" s="514"/>
      <c r="R5157" s="293"/>
      <c r="S5157" s="316"/>
      <c r="T5157" s="355"/>
    </row>
    <row r="5158" spans="14:20" x14ac:dyDescent="0.25">
      <c r="N5158" s="514"/>
      <c r="R5158" s="293"/>
      <c r="S5158" s="316"/>
      <c r="T5158" s="355"/>
    </row>
    <row r="5159" spans="14:20" x14ac:dyDescent="0.25">
      <c r="N5159" s="514"/>
      <c r="R5159" s="293"/>
      <c r="S5159" s="316"/>
      <c r="T5159" s="355"/>
    </row>
    <row r="5160" spans="14:20" x14ac:dyDescent="0.25">
      <c r="N5160" s="514"/>
      <c r="R5160" s="293"/>
      <c r="S5160" s="316"/>
      <c r="T5160" s="355"/>
    </row>
    <row r="5161" spans="14:20" x14ac:dyDescent="0.25">
      <c r="N5161" s="514"/>
      <c r="R5161" s="293"/>
      <c r="S5161" s="316"/>
      <c r="T5161" s="355"/>
    </row>
    <row r="5162" spans="14:20" x14ac:dyDescent="0.25">
      <c r="N5162" s="514"/>
      <c r="R5162" s="293"/>
      <c r="S5162" s="316"/>
      <c r="T5162" s="355"/>
    </row>
    <row r="5163" spans="14:20" x14ac:dyDescent="0.25">
      <c r="N5163" s="514"/>
      <c r="R5163" s="293"/>
      <c r="S5163" s="316"/>
      <c r="T5163" s="355"/>
    </row>
    <row r="5164" spans="14:20" x14ac:dyDescent="0.25">
      <c r="N5164" s="514"/>
      <c r="R5164" s="293"/>
      <c r="S5164" s="316"/>
      <c r="T5164" s="355"/>
    </row>
    <row r="5165" spans="14:20" x14ac:dyDescent="0.25">
      <c r="N5165" s="514"/>
      <c r="R5165" s="293"/>
      <c r="S5165" s="316"/>
      <c r="T5165" s="355"/>
    </row>
    <row r="5166" spans="14:20" x14ac:dyDescent="0.25">
      <c r="N5166" s="514"/>
      <c r="R5166" s="293"/>
      <c r="S5166" s="316"/>
      <c r="T5166" s="355"/>
    </row>
    <row r="5167" spans="14:20" x14ac:dyDescent="0.25">
      <c r="N5167" s="514"/>
      <c r="R5167" s="293"/>
      <c r="S5167" s="316"/>
      <c r="T5167" s="355"/>
    </row>
    <row r="5168" spans="14:20" x14ac:dyDescent="0.25">
      <c r="N5168" s="514"/>
      <c r="R5168" s="293"/>
      <c r="S5168" s="316"/>
      <c r="T5168" s="355"/>
    </row>
    <row r="5169" spans="14:20" x14ac:dyDescent="0.25">
      <c r="N5169" s="514"/>
      <c r="R5169" s="293"/>
      <c r="S5169" s="316"/>
      <c r="T5169" s="355"/>
    </row>
    <row r="5170" spans="14:20" x14ac:dyDescent="0.25">
      <c r="N5170" s="514"/>
      <c r="R5170" s="293"/>
      <c r="S5170" s="316"/>
      <c r="T5170" s="355"/>
    </row>
    <row r="5171" spans="14:20" x14ac:dyDescent="0.25">
      <c r="N5171" s="514"/>
      <c r="R5171" s="293"/>
      <c r="S5171" s="316"/>
      <c r="T5171" s="355"/>
    </row>
    <row r="5172" spans="14:20" x14ac:dyDescent="0.25">
      <c r="N5172" s="514"/>
      <c r="R5172" s="293"/>
      <c r="S5172" s="316"/>
      <c r="T5172" s="355"/>
    </row>
    <row r="5173" spans="14:20" x14ac:dyDescent="0.25">
      <c r="N5173" s="514"/>
      <c r="R5173" s="293"/>
      <c r="S5173" s="316"/>
      <c r="T5173" s="355"/>
    </row>
    <row r="5174" spans="14:20" x14ac:dyDescent="0.25">
      <c r="N5174" s="514"/>
      <c r="R5174" s="293"/>
      <c r="S5174" s="316"/>
      <c r="T5174" s="355"/>
    </row>
    <row r="5175" spans="14:20" x14ac:dyDescent="0.25">
      <c r="N5175" s="514"/>
      <c r="R5175" s="293"/>
      <c r="S5175" s="316"/>
      <c r="T5175" s="355"/>
    </row>
    <row r="5176" spans="14:20" x14ac:dyDescent="0.25">
      <c r="N5176" s="514"/>
      <c r="R5176" s="293"/>
      <c r="S5176" s="316"/>
      <c r="T5176" s="355"/>
    </row>
    <row r="5177" spans="14:20" x14ac:dyDescent="0.25">
      <c r="N5177" s="514"/>
      <c r="R5177" s="293"/>
      <c r="S5177" s="316"/>
      <c r="T5177" s="355"/>
    </row>
    <row r="5178" spans="14:20" x14ac:dyDescent="0.25">
      <c r="N5178" s="514"/>
      <c r="R5178" s="293"/>
      <c r="S5178" s="316"/>
      <c r="T5178" s="355"/>
    </row>
    <row r="5179" spans="14:20" x14ac:dyDescent="0.25">
      <c r="N5179" s="514"/>
      <c r="R5179" s="293"/>
      <c r="S5179" s="316"/>
      <c r="T5179" s="355"/>
    </row>
    <row r="5180" spans="14:20" x14ac:dyDescent="0.25">
      <c r="N5180" s="514"/>
      <c r="R5180" s="293"/>
      <c r="S5180" s="316"/>
      <c r="T5180" s="355"/>
    </row>
    <row r="5181" spans="14:20" x14ac:dyDescent="0.25">
      <c r="N5181" s="514"/>
      <c r="R5181" s="293"/>
      <c r="S5181" s="316"/>
      <c r="T5181" s="355"/>
    </row>
    <row r="5182" spans="14:20" x14ac:dyDescent="0.25">
      <c r="N5182" s="514"/>
      <c r="R5182" s="293"/>
      <c r="S5182" s="316"/>
      <c r="T5182" s="355"/>
    </row>
    <row r="5183" spans="14:20" x14ac:dyDescent="0.25">
      <c r="N5183" s="514"/>
      <c r="R5183" s="293"/>
      <c r="S5183" s="316"/>
      <c r="T5183" s="355"/>
    </row>
    <row r="5184" spans="14:20" x14ac:dyDescent="0.25">
      <c r="N5184" s="514"/>
      <c r="R5184" s="293"/>
      <c r="S5184" s="316"/>
      <c r="T5184" s="355"/>
    </row>
    <row r="5185" spans="14:20" x14ac:dyDescent="0.25">
      <c r="N5185" s="514"/>
      <c r="R5185" s="293"/>
      <c r="S5185" s="316"/>
      <c r="T5185" s="355"/>
    </row>
    <row r="5186" spans="14:20" x14ac:dyDescent="0.25">
      <c r="N5186" s="514"/>
      <c r="R5186" s="293"/>
      <c r="S5186" s="316"/>
      <c r="T5186" s="355"/>
    </row>
    <row r="5187" spans="14:20" x14ac:dyDescent="0.25">
      <c r="N5187" s="514"/>
      <c r="R5187" s="293"/>
      <c r="S5187" s="316"/>
      <c r="T5187" s="355"/>
    </row>
    <row r="5188" spans="14:20" x14ac:dyDescent="0.25">
      <c r="N5188" s="514"/>
      <c r="R5188" s="293"/>
      <c r="S5188" s="316"/>
      <c r="T5188" s="355"/>
    </row>
    <row r="5189" spans="14:20" x14ac:dyDescent="0.25">
      <c r="N5189" s="514"/>
      <c r="R5189" s="293"/>
      <c r="S5189" s="316"/>
      <c r="T5189" s="355"/>
    </row>
    <row r="5190" spans="14:20" x14ac:dyDescent="0.25">
      <c r="N5190" s="514"/>
      <c r="R5190" s="293"/>
      <c r="S5190" s="316"/>
      <c r="T5190" s="355"/>
    </row>
    <row r="5191" spans="14:20" x14ac:dyDescent="0.25">
      <c r="N5191" s="514"/>
      <c r="R5191" s="293"/>
      <c r="S5191" s="316"/>
      <c r="T5191" s="355"/>
    </row>
    <row r="5192" spans="14:20" x14ac:dyDescent="0.25">
      <c r="N5192" s="514"/>
      <c r="R5192" s="293"/>
      <c r="S5192" s="316"/>
      <c r="T5192" s="355"/>
    </row>
    <row r="5193" spans="14:20" x14ac:dyDescent="0.25">
      <c r="N5193" s="514"/>
      <c r="R5193" s="293"/>
      <c r="S5193" s="316"/>
      <c r="T5193" s="355"/>
    </row>
    <row r="5194" spans="14:20" x14ac:dyDescent="0.25">
      <c r="N5194" s="514"/>
      <c r="R5194" s="293"/>
      <c r="S5194" s="316"/>
      <c r="T5194" s="355"/>
    </row>
    <row r="5195" spans="14:20" x14ac:dyDescent="0.25">
      <c r="N5195" s="514"/>
      <c r="R5195" s="293"/>
      <c r="S5195" s="316"/>
      <c r="T5195" s="355"/>
    </row>
    <row r="5196" spans="14:20" x14ac:dyDescent="0.25">
      <c r="N5196" s="514"/>
      <c r="R5196" s="293"/>
      <c r="S5196" s="316"/>
      <c r="T5196" s="355"/>
    </row>
    <row r="5197" spans="14:20" x14ac:dyDescent="0.25">
      <c r="N5197" s="514"/>
      <c r="R5197" s="293"/>
      <c r="S5197" s="316"/>
      <c r="T5197" s="355"/>
    </row>
    <row r="5198" spans="14:20" x14ac:dyDescent="0.25">
      <c r="N5198" s="514"/>
      <c r="R5198" s="293"/>
      <c r="S5198" s="316"/>
      <c r="T5198" s="355"/>
    </row>
    <row r="5199" spans="14:20" x14ac:dyDescent="0.25">
      <c r="N5199" s="514"/>
      <c r="R5199" s="293"/>
      <c r="S5199" s="316"/>
      <c r="T5199" s="355"/>
    </row>
    <row r="5200" spans="14:20" x14ac:dyDescent="0.25">
      <c r="N5200" s="514"/>
      <c r="R5200" s="293"/>
      <c r="S5200" s="316"/>
      <c r="T5200" s="355"/>
    </row>
    <row r="5201" spans="14:20" x14ac:dyDescent="0.25">
      <c r="N5201" s="514"/>
      <c r="R5201" s="293"/>
      <c r="S5201" s="316"/>
      <c r="T5201" s="355"/>
    </row>
    <row r="5202" spans="14:20" x14ac:dyDescent="0.25">
      <c r="N5202" s="514"/>
      <c r="R5202" s="293"/>
      <c r="S5202" s="316"/>
      <c r="T5202" s="355"/>
    </row>
    <row r="5203" spans="14:20" x14ac:dyDescent="0.25">
      <c r="N5203" s="514"/>
      <c r="R5203" s="293"/>
      <c r="S5203" s="316"/>
      <c r="T5203" s="355"/>
    </row>
    <row r="5204" spans="14:20" x14ac:dyDescent="0.25">
      <c r="N5204" s="514"/>
      <c r="R5204" s="293"/>
      <c r="S5204" s="316"/>
      <c r="T5204" s="355"/>
    </row>
    <row r="5205" spans="14:20" x14ac:dyDescent="0.25">
      <c r="N5205" s="514"/>
      <c r="R5205" s="293"/>
      <c r="S5205" s="316"/>
      <c r="T5205" s="355"/>
    </row>
    <row r="5206" spans="14:20" x14ac:dyDescent="0.25">
      <c r="N5206" s="514"/>
      <c r="R5206" s="293"/>
      <c r="S5206" s="316"/>
      <c r="T5206" s="355"/>
    </row>
    <row r="5207" spans="14:20" x14ac:dyDescent="0.25">
      <c r="N5207" s="514"/>
      <c r="R5207" s="293"/>
      <c r="S5207" s="316"/>
      <c r="T5207" s="355"/>
    </row>
    <row r="5208" spans="14:20" x14ac:dyDescent="0.25">
      <c r="N5208" s="514"/>
      <c r="R5208" s="293"/>
      <c r="S5208" s="316"/>
      <c r="T5208" s="355"/>
    </row>
    <row r="5209" spans="14:20" x14ac:dyDescent="0.25">
      <c r="N5209" s="514"/>
      <c r="R5209" s="293"/>
      <c r="S5209" s="316"/>
      <c r="T5209" s="355"/>
    </row>
    <row r="5210" spans="14:20" x14ac:dyDescent="0.25">
      <c r="N5210" s="514"/>
      <c r="R5210" s="293"/>
      <c r="S5210" s="316"/>
      <c r="T5210" s="355"/>
    </row>
    <row r="5211" spans="14:20" x14ac:dyDescent="0.25">
      <c r="N5211" s="514"/>
      <c r="R5211" s="293"/>
      <c r="S5211" s="316"/>
      <c r="T5211" s="355"/>
    </row>
    <row r="5212" spans="14:20" x14ac:dyDescent="0.25">
      <c r="N5212" s="514"/>
      <c r="R5212" s="293"/>
      <c r="S5212" s="316"/>
      <c r="T5212" s="355"/>
    </row>
    <row r="5213" spans="14:20" x14ac:dyDescent="0.25">
      <c r="N5213" s="514"/>
      <c r="R5213" s="293"/>
      <c r="S5213" s="316"/>
      <c r="T5213" s="355"/>
    </row>
    <row r="5214" spans="14:20" x14ac:dyDescent="0.25">
      <c r="N5214" s="514"/>
      <c r="R5214" s="293"/>
      <c r="S5214" s="316"/>
      <c r="T5214" s="355"/>
    </row>
    <row r="5215" spans="14:20" x14ac:dyDescent="0.25">
      <c r="N5215" s="514"/>
      <c r="R5215" s="293"/>
      <c r="S5215" s="316"/>
      <c r="T5215" s="355"/>
    </row>
    <row r="5216" spans="14:20" x14ac:dyDescent="0.25">
      <c r="N5216" s="514"/>
      <c r="R5216" s="293"/>
      <c r="S5216" s="316"/>
      <c r="T5216" s="355"/>
    </row>
    <row r="5217" spans="14:20" x14ac:dyDescent="0.25">
      <c r="N5217" s="514"/>
      <c r="R5217" s="293"/>
      <c r="S5217" s="316"/>
      <c r="T5217" s="355"/>
    </row>
    <row r="5218" spans="14:20" x14ac:dyDescent="0.25">
      <c r="N5218" s="514"/>
      <c r="R5218" s="293"/>
      <c r="S5218" s="316"/>
      <c r="T5218" s="355"/>
    </row>
    <row r="5219" spans="14:20" x14ac:dyDescent="0.25">
      <c r="N5219" s="514"/>
      <c r="R5219" s="293"/>
      <c r="S5219" s="316"/>
      <c r="T5219" s="355"/>
    </row>
    <row r="5220" spans="14:20" x14ac:dyDescent="0.25">
      <c r="N5220" s="514"/>
      <c r="R5220" s="293"/>
      <c r="S5220" s="316"/>
      <c r="T5220" s="355"/>
    </row>
    <row r="5221" spans="14:20" x14ac:dyDescent="0.25">
      <c r="N5221" s="514"/>
      <c r="R5221" s="293"/>
      <c r="S5221" s="316"/>
      <c r="T5221" s="355"/>
    </row>
    <row r="5222" spans="14:20" x14ac:dyDescent="0.25">
      <c r="N5222" s="514"/>
      <c r="R5222" s="293"/>
      <c r="S5222" s="316"/>
      <c r="T5222" s="355"/>
    </row>
    <row r="5223" spans="14:20" x14ac:dyDescent="0.25">
      <c r="N5223" s="514"/>
      <c r="R5223" s="293"/>
      <c r="S5223" s="316"/>
      <c r="T5223" s="355"/>
    </row>
    <row r="5224" spans="14:20" x14ac:dyDescent="0.25">
      <c r="N5224" s="514"/>
      <c r="R5224" s="293"/>
      <c r="S5224" s="316"/>
      <c r="T5224" s="355"/>
    </row>
    <row r="5225" spans="14:20" x14ac:dyDescent="0.25">
      <c r="N5225" s="514"/>
      <c r="R5225" s="293"/>
      <c r="S5225" s="316"/>
      <c r="T5225" s="355"/>
    </row>
    <row r="5226" spans="14:20" x14ac:dyDescent="0.25">
      <c r="N5226" s="514"/>
      <c r="R5226" s="293"/>
      <c r="S5226" s="316"/>
      <c r="T5226" s="355"/>
    </row>
    <row r="5227" spans="14:20" x14ac:dyDescent="0.25">
      <c r="N5227" s="514"/>
      <c r="R5227" s="293"/>
      <c r="S5227" s="316"/>
      <c r="T5227" s="355"/>
    </row>
    <row r="5228" spans="14:20" x14ac:dyDescent="0.25">
      <c r="N5228" s="514"/>
      <c r="R5228" s="293"/>
      <c r="S5228" s="316"/>
      <c r="T5228" s="355"/>
    </row>
    <row r="5229" spans="14:20" x14ac:dyDescent="0.25">
      <c r="N5229" s="514"/>
      <c r="R5229" s="293"/>
      <c r="S5229" s="316"/>
      <c r="T5229" s="355"/>
    </row>
    <row r="5230" spans="14:20" x14ac:dyDescent="0.25">
      <c r="N5230" s="514"/>
      <c r="R5230" s="293"/>
      <c r="S5230" s="316"/>
      <c r="T5230" s="355"/>
    </row>
    <row r="5231" spans="14:20" x14ac:dyDescent="0.25">
      <c r="N5231" s="514"/>
      <c r="R5231" s="293"/>
      <c r="S5231" s="316"/>
      <c r="T5231" s="355"/>
    </row>
    <row r="5232" spans="14:20" x14ac:dyDescent="0.25">
      <c r="N5232" s="514"/>
      <c r="R5232" s="293"/>
      <c r="S5232" s="316"/>
      <c r="T5232" s="355"/>
    </row>
    <row r="5233" spans="14:20" x14ac:dyDescent="0.25">
      <c r="N5233" s="514"/>
      <c r="R5233" s="293"/>
      <c r="S5233" s="316"/>
      <c r="T5233" s="355"/>
    </row>
    <row r="5234" spans="14:20" x14ac:dyDescent="0.25">
      <c r="N5234" s="514"/>
      <c r="R5234" s="293"/>
      <c r="S5234" s="316"/>
      <c r="T5234" s="355"/>
    </row>
    <row r="5235" spans="14:20" x14ac:dyDescent="0.25">
      <c r="N5235" s="514"/>
      <c r="R5235" s="293"/>
      <c r="S5235" s="316"/>
      <c r="T5235" s="355"/>
    </row>
    <row r="5236" spans="14:20" x14ac:dyDescent="0.25">
      <c r="N5236" s="514"/>
      <c r="R5236" s="293"/>
      <c r="S5236" s="316"/>
      <c r="T5236" s="355"/>
    </row>
    <row r="5237" spans="14:20" x14ac:dyDescent="0.25">
      <c r="N5237" s="514"/>
      <c r="R5237" s="293"/>
      <c r="S5237" s="316"/>
      <c r="T5237" s="355"/>
    </row>
    <row r="5238" spans="14:20" x14ac:dyDescent="0.25">
      <c r="N5238" s="514"/>
      <c r="R5238" s="293"/>
      <c r="S5238" s="316"/>
      <c r="T5238" s="355"/>
    </row>
    <row r="5239" spans="14:20" x14ac:dyDescent="0.25">
      <c r="N5239" s="514"/>
      <c r="R5239" s="293"/>
      <c r="S5239" s="316"/>
      <c r="T5239" s="355"/>
    </row>
    <row r="5240" spans="14:20" x14ac:dyDescent="0.25">
      <c r="N5240" s="514"/>
      <c r="R5240" s="293"/>
      <c r="S5240" s="316"/>
      <c r="T5240" s="355"/>
    </row>
    <row r="5241" spans="14:20" x14ac:dyDescent="0.25">
      <c r="N5241" s="514"/>
      <c r="R5241" s="293"/>
      <c r="S5241" s="316"/>
      <c r="T5241" s="355"/>
    </row>
    <row r="5242" spans="14:20" x14ac:dyDescent="0.25">
      <c r="N5242" s="514"/>
      <c r="R5242" s="293"/>
      <c r="S5242" s="316"/>
      <c r="T5242" s="355"/>
    </row>
    <row r="5243" spans="14:20" x14ac:dyDescent="0.25">
      <c r="N5243" s="514"/>
      <c r="R5243" s="293"/>
      <c r="S5243" s="316"/>
      <c r="T5243" s="355"/>
    </row>
    <row r="5244" spans="14:20" x14ac:dyDescent="0.25">
      <c r="N5244" s="514"/>
      <c r="R5244" s="293"/>
      <c r="S5244" s="316"/>
      <c r="T5244" s="355"/>
    </row>
    <row r="5245" spans="14:20" x14ac:dyDescent="0.25">
      <c r="N5245" s="514"/>
      <c r="R5245" s="293"/>
      <c r="S5245" s="316"/>
      <c r="T5245" s="355"/>
    </row>
    <row r="5246" spans="14:20" x14ac:dyDescent="0.25">
      <c r="N5246" s="514"/>
      <c r="R5246" s="293"/>
      <c r="S5246" s="316"/>
      <c r="T5246" s="355"/>
    </row>
    <row r="5247" spans="14:20" x14ac:dyDescent="0.25">
      <c r="N5247" s="514"/>
      <c r="R5247" s="293"/>
      <c r="S5247" s="316"/>
      <c r="T5247" s="355"/>
    </row>
    <row r="5248" spans="14:20" x14ac:dyDescent="0.25">
      <c r="N5248" s="514"/>
      <c r="R5248" s="293"/>
      <c r="S5248" s="316"/>
      <c r="T5248" s="355"/>
    </row>
    <row r="5249" spans="14:20" x14ac:dyDescent="0.25">
      <c r="N5249" s="514"/>
      <c r="R5249" s="293"/>
      <c r="S5249" s="316"/>
      <c r="T5249" s="355"/>
    </row>
    <row r="5250" spans="14:20" x14ac:dyDescent="0.25">
      <c r="N5250" s="514"/>
      <c r="R5250" s="293"/>
      <c r="S5250" s="316"/>
      <c r="T5250" s="355"/>
    </row>
    <row r="5251" spans="14:20" x14ac:dyDescent="0.25">
      <c r="N5251" s="514"/>
      <c r="R5251" s="293"/>
      <c r="S5251" s="316"/>
      <c r="T5251" s="355"/>
    </row>
    <row r="5252" spans="14:20" x14ac:dyDescent="0.25">
      <c r="N5252" s="514"/>
      <c r="R5252" s="293"/>
      <c r="S5252" s="316"/>
      <c r="T5252" s="355"/>
    </row>
    <row r="5253" spans="14:20" x14ac:dyDescent="0.25">
      <c r="N5253" s="514"/>
      <c r="R5253" s="293"/>
      <c r="S5253" s="316"/>
      <c r="T5253" s="355"/>
    </row>
    <row r="5254" spans="14:20" x14ac:dyDescent="0.25">
      <c r="N5254" s="514"/>
      <c r="R5254" s="293"/>
      <c r="S5254" s="316"/>
      <c r="T5254" s="355"/>
    </row>
    <row r="5255" spans="14:20" x14ac:dyDescent="0.25">
      <c r="N5255" s="514"/>
      <c r="R5255" s="293"/>
      <c r="S5255" s="316"/>
      <c r="T5255" s="355"/>
    </row>
    <row r="5256" spans="14:20" x14ac:dyDescent="0.25">
      <c r="N5256" s="514"/>
      <c r="R5256" s="293"/>
      <c r="S5256" s="316"/>
      <c r="T5256" s="355"/>
    </row>
    <row r="5257" spans="14:20" x14ac:dyDescent="0.25">
      <c r="N5257" s="514"/>
      <c r="R5257" s="293"/>
      <c r="S5257" s="316"/>
      <c r="T5257" s="355"/>
    </row>
    <row r="5258" spans="14:20" x14ac:dyDescent="0.25">
      <c r="N5258" s="514"/>
      <c r="R5258" s="293"/>
      <c r="S5258" s="316"/>
      <c r="T5258" s="355"/>
    </row>
    <row r="5259" spans="14:20" x14ac:dyDescent="0.25">
      <c r="N5259" s="514"/>
      <c r="R5259" s="293"/>
      <c r="S5259" s="316"/>
      <c r="T5259" s="355"/>
    </row>
    <row r="5260" spans="14:20" x14ac:dyDescent="0.25">
      <c r="N5260" s="514"/>
      <c r="R5260" s="293"/>
      <c r="S5260" s="316"/>
      <c r="T5260" s="355"/>
    </row>
    <row r="5261" spans="14:20" x14ac:dyDescent="0.25">
      <c r="N5261" s="514"/>
      <c r="R5261" s="293"/>
      <c r="S5261" s="316"/>
      <c r="T5261" s="355"/>
    </row>
    <row r="5262" spans="14:20" x14ac:dyDescent="0.25">
      <c r="N5262" s="514"/>
      <c r="R5262" s="293"/>
      <c r="S5262" s="316"/>
      <c r="T5262" s="355"/>
    </row>
    <row r="5263" spans="14:20" x14ac:dyDescent="0.25">
      <c r="N5263" s="514"/>
      <c r="R5263" s="293"/>
      <c r="S5263" s="316"/>
      <c r="T5263" s="355"/>
    </row>
    <row r="5264" spans="14:20" x14ac:dyDescent="0.25">
      <c r="N5264" s="514"/>
      <c r="R5264" s="293"/>
      <c r="S5264" s="316"/>
      <c r="T5264" s="355"/>
    </row>
    <row r="5265" spans="14:20" x14ac:dyDescent="0.25">
      <c r="N5265" s="514"/>
      <c r="R5265" s="293"/>
      <c r="S5265" s="316"/>
      <c r="T5265" s="355"/>
    </row>
    <row r="5266" spans="14:20" x14ac:dyDescent="0.25">
      <c r="N5266" s="514"/>
      <c r="R5266" s="293"/>
      <c r="S5266" s="316"/>
      <c r="T5266" s="355"/>
    </row>
    <row r="5267" spans="14:20" x14ac:dyDescent="0.25">
      <c r="N5267" s="514"/>
      <c r="R5267" s="293"/>
      <c r="S5267" s="316"/>
      <c r="T5267" s="355"/>
    </row>
    <row r="5268" spans="14:20" x14ac:dyDescent="0.25">
      <c r="N5268" s="514"/>
      <c r="R5268" s="293"/>
      <c r="S5268" s="316"/>
      <c r="T5268" s="355"/>
    </row>
    <row r="5269" spans="14:20" x14ac:dyDescent="0.25">
      <c r="N5269" s="514"/>
      <c r="R5269" s="293"/>
      <c r="S5269" s="316"/>
      <c r="T5269" s="355"/>
    </row>
    <row r="5270" spans="14:20" x14ac:dyDescent="0.25">
      <c r="N5270" s="514"/>
      <c r="R5270" s="293"/>
      <c r="S5270" s="316"/>
      <c r="T5270" s="355"/>
    </row>
    <row r="5271" spans="14:20" x14ac:dyDescent="0.25">
      <c r="N5271" s="514"/>
      <c r="R5271" s="293"/>
      <c r="S5271" s="316"/>
      <c r="T5271" s="355"/>
    </row>
    <row r="5272" spans="14:20" x14ac:dyDescent="0.25">
      <c r="N5272" s="514"/>
      <c r="R5272" s="293"/>
      <c r="S5272" s="316"/>
      <c r="T5272" s="355"/>
    </row>
    <row r="5273" spans="14:20" x14ac:dyDescent="0.25">
      <c r="N5273" s="514"/>
      <c r="R5273" s="293"/>
      <c r="S5273" s="316"/>
      <c r="T5273" s="355"/>
    </row>
    <row r="5274" spans="14:20" x14ac:dyDescent="0.25">
      <c r="N5274" s="514"/>
      <c r="R5274" s="293"/>
      <c r="S5274" s="316"/>
      <c r="T5274" s="355"/>
    </row>
    <row r="5275" spans="14:20" x14ac:dyDescent="0.25">
      <c r="N5275" s="514"/>
      <c r="R5275" s="293"/>
      <c r="S5275" s="316"/>
      <c r="T5275" s="355"/>
    </row>
    <row r="5276" spans="14:20" x14ac:dyDescent="0.25">
      <c r="N5276" s="514"/>
      <c r="R5276" s="293"/>
      <c r="S5276" s="316"/>
      <c r="T5276" s="355"/>
    </row>
    <row r="5277" spans="14:20" x14ac:dyDescent="0.25">
      <c r="N5277" s="514"/>
      <c r="R5277" s="293"/>
      <c r="S5277" s="316"/>
      <c r="T5277" s="355"/>
    </row>
    <row r="5278" spans="14:20" x14ac:dyDescent="0.25">
      <c r="N5278" s="514"/>
      <c r="R5278" s="293"/>
      <c r="S5278" s="316"/>
      <c r="T5278" s="355"/>
    </row>
    <row r="5279" spans="14:20" x14ac:dyDescent="0.25">
      <c r="N5279" s="514"/>
      <c r="R5279" s="293"/>
      <c r="S5279" s="316"/>
      <c r="T5279" s="355"/>
    </row>
    <row r="5280" spans="14:20" x14ac:dyDescent="0.25">
      <c r="N5280" s="514"/>
      <c r="R5280" s="293"/>
      <c r="S5280" s="316"/>
      <c r="T5280" s="355"/>
    </row>
    <row r="5281" spans="14:20" x14ac:dyDescent="0.25">
      <c r="N5281" s="514"/>
      <c r="R5281" s="293"/>
      <c r="S5281" s="316"/>
      <c r="T5281" s="355"/>
    </row>
    <row r="5282" spans="14:20" x14ac:dyDescent="0.25">
      <c r="N5282" s="514"/>
      <c r="R5282" s="293"/>
      <c r="S5282" s="316"/>
      <c r="T5282" s="355"/>
    </row>
    <row r="5283" spans="14:20" x14ac:dyDescent="0.25">
      <c r="N5283" s="514"/>
      <c r="R5283" s="293"/>
      <c r="S5283" s="316"/>
      <c r="T5283" s="355"/>
    </row>
    <row r="5284" spans="14:20" x14ac:dyDescent="0.25">
      <c r="N5284" s="514"/>
      <c r="R5284" s="293"/>
      <c r="S5284" s="316"/>
      <c r="T5284" s="355"/>
    </row>
    <row r="5285" spans="14:20" x14ac:dyDescent="0.25">
      <c r="N5285" s="514"/>
      <c r="R5285" s="293"/>
      <c r="S5285" s="316"/>
      <c r="T5285" s="355"/>
    </row>
    <row r="5286" spans="14:20" x14ac:dyDescent="0.25">
      <c r="N5286" s="514"/>
      <c r="R5286" s="293"/>
      <c r="S5286" s="316"/>
      <c r="T5286" s="355"/>
    </row>
    <row r="5287" spans="14:20" x14ac:dyDescent="0.25">
      <c r="N5287" s="514"/>
      <c r="R5287" s="293"/>
      <c r="S5287" s="316"/>
      <c r="T5287" s="355"/>
    </row>
    <row r="5288" spans="14:20" x14ac:dyDescent="0.25">
      <c r="N5288" s="514"/>
      <c r="R5288" s="293"/>
      <c r="S5288" s="316"/>
      <c r="T5288" s="355"/>
    </row>
    <row r="5289" spans="14:20" x14ac:dyDescent="0.25">
      <c r="N5289" s="514"/>
      <c r="R5289" s="293"/>
      <c r="S5289" s="316"/>
      <c r="T5289" s="355"/>
    </row>
    <row r="5290" spans="14:20" x14ac:dyDescent="0.25">
      <c r="N5290" s="514"/>
      <c r="R5290" s="293"/>
      <c r="S5290" s="316"/>
      <c r="T5290" s="355"/>
    </row>
    <row r="5291" spans="14:20" x14ac:dyDescent="0.25">
      <c r="N5291" s="514"/>
      <c r="R5291" s="293"/>
      <c r="S5291" s="316"/>
      <c r="T5291" s="355"/>
    </row>
    <row r="5292" spans="14:20" x14ac:dyDescent="0.25">
      <c r="N5292" s="514"/>
      <c r="R5292" s="293"/>
      <c r="S5292" s="316"/>
      <c r="T5292" s="355"/>
    </row>
    <row r="5293" spans="14:20" x14ac:dyDescent="0.25">
      <c r="N5293" s="514"/>
      <c r="R5293" s="293"/>
      <c r="S5293" s="316"/>
      <c r="T5293" s="355"/>
    </row>
    <row r="5294" spans="14:20" x14ac:dyDescent="0.25">
      <c r="N5294" s="514"/>
      <c r="R5294" s="293"/>
      <c r="S5294" s="316"/>
      <c r="T5294" s="355"/>
    </row>
    <row r="5295" spans="14:20" x14ac:dyDescent="0.25">
      <c r="N5295" s="514"/>
      <c r="R5295" s="293"/>
      <c r="S5295" s="316"/>
      <c r="T5295" s="355"/>
    </row>
    <row r="5296" spans="14:20" x14ac:dyDescent="0.25">
      <c r="N5296" s="514"/>
      <c r="R5296" s="293"/>
      <c r="S5296" s="316"/>
      <c r="T5296" s="355"/>
    </row>
    <row r="5297" spans="14:20" x14ac:dyDescent="0.25">
      <c r="N5297" s="514"/>
      <c r="R5297" s="293"/>
      <c r="S5297" s="316"/>
      <c r="T5297" s="355"/>
    </row>
    <row r="5298" spans="14:20" x14ac:dyDescent="0.25">
      <c r="N5298" s="514"/>
      <c r="R5298" s="293"/>
      <c r="S5298" s="316"/>
      <c r="T5298" s="355"/>
    </row>
    <row r="5299" spans="14:20" x14ac:dyDescent="0.25">
      <c r="N5299" s="514"/>
      <c r="R5299" s="293"/>
      <c r="S5299" s="316"/>
      <c r="T5299" s="355"/>
    </row>
    <row r="5300" spans="14:20" x14ac:dyDescent="0.25">
      <c r="N5300" s="514"/>
      <c r="R5300" s="293"/>
      <c r="S5300" s="316"/>
      <c r="T5300" s="355"/>
    </row>
    <row r="5301" spans="14:20" x14ac:dyDescent="0.25">
      <c r="N5301" s="514"/>
      <c r="R5301" s="293"/>
      <c r="S5301" s="316"/>
      <c r="T5301" s="355"/>
    </row>
    <row r="5302" spans="14:20" x14ac:dyDescent="0.25">
      <c r="N5302" s="514"/>
      <c r="R5302" s="293"/>
      <c r="S5302" s="316"/>
      <c r="T5302" s="355"/>
    </row>
    <row r="5303" spans="14:20" x14ac:dyDescent="0.25">
      <c r="N5303" s="514"/>
      <c r="R5303" s="293"/>
      <c r="S5303" s="316"/>
      <c r="T5303" s="355"/>
    </row>
    <row r="5304" spans="14:20" x14ac:dyDescent="0.25">
      <c r="N5304" s="514"/>
      <c r="R5304" s="293"/>
      <c r="S5304" s="316"/>
      <c r="T5304" s="355"/>
    </row>
    <row r="5305" spans="14:20" x14ac:dyDescent="0.25">
      <c r="N5305" s="514"/>
      <c r="R5305" s="293"/>
      <c r="S5305" s="316"/>
      <c r="T5305" s="355"/>
    </row>
    <row r="5306" spans="14:20" x14ac:dyDescent="0.25">
      <c r="N5306" s="514"/>
      <c r="R5306" s="293"/>
      <c r="S5306" s="316"/>
      <c r="T5306" s="355"/>
    </row>
    <row r="5307" spans="14:20" x14ac:dyDescent="0.25">
      <c r="N5307" s="514"/>
      <c r="R5307" s="293"/>
      <c r="S5307" s="316"/>
      <c r="T5307" s="355"/>
    </row>
    <row r="5308" spans="14:20" x14ac:dyDescent="0.25">
      <c r="N5308" s="514"/>
      <c r="R5308" s="293"/>
      <c r="S5308" s="316"/>
      <c r="T5308" s="355"/>
    </row>
    <row r="5309" spans="14:20" x14ac:dyDescent="0.25">
      <c r="N5309" s="514"/>
      <c r="R5309" s="293"/>
      <c r="S5309" s="316"/>
      <c r="T5309" s="355"/>
    </row>
    <row r="5310" spans="14:20" x14ac:dyDescent="0.25">
      <c r="N5310" s="514"/>
      <c r="R5310" s="293"/>
      <c r="S5310" s="316"/>
      <c r="T5310" s="355"/>
    </row>
    <row r="5311" spans="14:20" x14ac:dyDescent="0.25">
      <c r="N5311" s="514"/>
      <c r="R5311" s="293"/>
      <c r="S5311" s="316"/>
      <c r="T5311" s="355"/>
    </row>
    <row r="5312" spans="14:20" x14ac:dyDescent="0.25">
      <c r="N5312" s="514"/>
      <c r="R5312" s="293"/>
      <c r="S5312" s="316"/>
      <c r="T5312" s="355"/>
    </row>
    <row r="5313" spans="14:20" x14ac:dyDescent="0.25">
      <c r="N5313" s="514"/>
      <c r="R5313" s="293"/>
      <c r="S5313" s="316"/>
      <c r="T5313" s="355"/>
    </row>
    <row r="5314" spans="14:20" x14ac:dyDescent="0.25">
      <c r="N5314" s="514"/>
      <c r="R5314" s="293"/>
      <c r="S5314" s="316"/>
      <c r="T5314" s="355"/>
    </row>
    <row r="5315" spans="14:20" x14ac:dyDescent="0.25">
      <c r="N5315" s="514"/>
      <c r="R5315" s="293"/>
      <c r="S5315" s="316"/>
      <c r="T5315" s="355"/>
    </row>
    <row r="5316" spans="14:20" x14ac:dyDescent="0.25">
      <c r="N5316" s="514"/>
      <c r="R5316" s="293"/>
      <c r="S5316" s="316"/>
      <c r="T5316" s="355"/>
    </row>
    <row r="5317" spans="14:20" x14ac:dyDescent="0.25">
      <c r="N5317" s="514"/>
      <c r="R5317" s="293"/>
      <c r="S5317" s="316"/>
      <c r="T5317" s="355"/>
    </row>
    <row r="5318" spans="14:20" x14ac:dyDescent="0.25">
      <c r="N5318" s="514"/>
      <c r="R5318" s="293"/>
      <c r="S5318" s="316"/>
      <c r="T5318" s="355"/>
    </row>
    <row r="5319" spans="14:20" x14ac:dyDescent="0.25">
      <c r="N5319" s="514"/>
      <c r="R5319" s="293"/>
      <c r="S5319" s="316"/>
      <c r="T5319" s="355"/>
    </row>
    <row r="5320" spans="14:20" x14ac:dyDescent="0.25">
      <c r="N5320" s="514"/>
      <c r="R5320" s="293"/>
      <c r="S5320" s="316"/>
      <c r="T5320" s="355"/>
    </row>
    <row r="5321" spans="14:20" x14ac:dyDescent="0.25">
      <c r="N5321" s="514"/>
      <c r="R5321" s="293"/>
      <c r="S5321" s="316"/>
      <c r="T5321" s="355"/>
    </row>
    <row r="5322" spans="14:20" x14ac:dyDescent="0.25">
      <c r="N5322" s="514"/>
      <c r="R5322" s="293"/>
      <c r="S5322" s="316"/>
      <c r="T5322" s="355"/>
    </row>
    <row r="5323" spans="14:20" x14ac:dyDescent="0.25">
      <c r="N5323" s="514"/>
      <c r="R5323" s="293"/>
      <c r="S5323" s="316"/>
      <c r="T5323" s="355"/>
    </row>
    <row r="5324" spans="14:20" x14ac:dyDescent="0.25">
      <c r="N5324" s="514"/>
      <c r="R5324" s="293"/>
      <c r="S5324" s="316"/>
      <c r="T5324" s="355"/>
    </row>
    <row r="5325" spans="14:20" x14ac:dyDescent="0.25">
      <c r="N5325" s="514"/>
      <c r="R5325" s="293"/>
      <c r="S5325" s="316"/>
      <c r="T5325" s="355"/>
    </row>
    <row r="5326" spans="14:20" x14ac:dyDescent="0.25">
      <c r="N5326" s="514"/>
      <c r="R5326" s="293"/>
      <c r="S5326" s="316"/>
      <c r="T5326" s="355"/>
    </row>
    <row r="5327" spans="14:20" x14ac:dyDescent="0.25">
      <c r="N5327" s="514"/>
      <c r="R5327" s="293"/>
      <c r="S5327" s="316"/>
      <c r="T5327" s="355"/>
    </row>
    <row r="5328" spans="14:20" x14ac:dyDescent="0.25">
      <c r="N5328" s="514"/>
      <c r="R5328" s="293"/>
      <c r="S5328" s="316"/>
      <c r="T5328" s="355"/>
    </row>
    <row r="5329" spans="14:20" x14ac:dyDescent="0.25">
      <c r="N5329" s="514"/>
      <c r="R5329" s="293"/>
      <c r="S5329" s="316"/>
      <c r="T5329" s="355"/>
    </row>
    <row r="5330" spans="14:20" x14ac:dyDescent="0.25">
      <c r="N5330" s="514"/>
      <c r="R5330" s="293"/>
      <c r="S5330" s="316"/>
      <c r="T5330" s="355"/>
    </row>
    <row r="5331" spans="14:20" x14ac:dyDescent="0.25">
      <c r="N5331" s="514"/>
      <c r="R5331" s="293"/>
      <c r="S5331" s="316"/>
      <c r="T5331" s="355"/>
    </row>
    <row r="5332" spans="14:20" x14ac:dyDescent="0.25">
      <c r="N5332" s="514"/>
      <c r="R5332" s="293"/>
      <c r="S5332" s="316"/>
      <c r="T5332" s="355"/>
    </row>
    <row r="5333" spans="14:20" x14ac:dyDescent="0.25">
      <c r="N5333" s="514"/>
      <c r="R5333" s="293"/>
      <c r="S5333" s="316"/>
      <c r="T5333" s="355"/>
    </row>
    <row r="5334" spans="14:20" x14ac:dyDescent="0.25">
      <c r="N5334" s="514"/>
      <c r="R5334" s="293"/>
      <c r="S5334" s="316"/>
      <c r="T5334" s="355"/>
    </row>
    <row r="5335" spans="14:20" x14ac:dyDescent="0.25">
      <c r="N5335" s="514"/>
      <c r="R5335" s="293"/>
      <c r="S5335" s="316"/>
      <c r="T5335" s="355"/>
    </row>
    <row r="5336" spans="14:20" x14ac:dyDescent="0.25">
      <c r="N5336" s="514"/>
      <c r="R5336" s="293"/>
      <c r="S5336" s="316"/>
      <c r="T5336" s="355"/>
    </row>
    <row r="5337" spans="14:20" x14ac:dyDescent="0.25">
      <c r="N5337" s="514"/>
      <c r="R5337" s="293"/>
      <c r="S5337" s="316"/>
      <c r="T5337" s="355"/>
    </row>
    <row r="5338" spans="14:20" x14ac:dyDescent="0.25">
      <c r="N5338" s="514"/>
      <c r="R5338" s="293"/>
      <c r="S5338" s="316"/>
      <c r="T5338" s="355"/>
    </row>
    <row r="5339" spans="14:20" x14ac:dyDescent="0.25">
      <c r="N5339" s="514"/>
      <c r="R5339" s="293"/>
      <c r="S5339" s="316"/>
      <c r="T5339" s="355"/>
    </row>
    <row r="5340" spans="14:20" x14ac:dyDescent="0.25">
      <c r="N5340" s="514"/>
      <c r="R5340" s="293"/>
      <c r="S5340" s="316"/>
      <c r="T5340" s="355"/>
    </row>
    <row r="5341" spans="14:20" x14ac:dyDescent="0.25">
      <c r="N5341" s="514"/>
      <c r="R5341" s="293"/>
      <c r="S5341" s="316"/>
      <c r="T5341" s="355"/>
    </row>
    <row r="5342" spans="14:20" x14ac:dyDescent="0.25">
      <c r="N5342" s="514"/>
      <c r="R5342" s="293"/>
      <c r="S5342" s="316"/>
      <c r="T5342" s="355"/>
    </row>
    <row r="5343" spans="14:20" x14ac:dyDescent="0.25">
      <c r="N5343" s="514"/>
      <c r="R5343" s="293"/>
      <c r="S5343" s="316"/>
      <c r="T5343" s="355"/>
    </row>
    <row r="5344" spans="14:20" x14ac:dyDescent="0.25">
      <c r="N5344" s="514"/>
      <c r="R5344" s="293"/>
      <c r="S5344" s="316"/>
      <c r="T5344" s="355"/>
    </row>
    <row r="5345" spans="14:20" x14ac:dyDescent="0.25">
      <c r="N5345" s="514"/>
      <c r="R5345" s="293"/>
      <c r="S5345" s="316"/>
      <c r="T5345" s="355"/>
    </row>
    <row r="5346" spans="14:20" x14ac:dyDescent="0.25">
      <c r="N5346" s="514"/>
      <c r="R5346" s="293"/>
      <c r="S5346" s="316"/>
      <c r="T5346" s="355"/>
    </row>
    <row r="5347" spans="14:20" x14ac:dyDescent="0.25">
      <c r="N5347" s="514"/>
      <c r="R5347" s="293"/>
      <c r="S5347" s="316"/>
      <c r="T5347" s="355"/>
    </row>
    <row r="5348" spans="14:20" x14ac:dyDescent="0.25">
      <c r="N5348" s="514"/>
      <c r="R5348" s="293"/>
      <c r="S5348" s="316"/>
      <c r="T5348" s="355"/>
    </row>
    <row r="5349" spans="14:20" x14ac:dyDescent="0.25">
      <c r="N5349" s="514"/>
      <c r="R5349" s="293"/>
      <c r="S5349" s="316"/>
      <c r="T5349" s="355"/>
    </row>
    <row r="5350" spans="14:20" x14ac:dyDescent="0.25">
      <c r="N5350" s="514"/>
      <c r="R5350" s="293"/>
      <c r="S5350" s="316"/>
      <c r="T5350" s="355"/>
    </row>
    <row r="5351" spans="14:20" x14ac:dyDescent="0.25">
      <c r="N5351" s="514"/>
      <c r="R5351" s="293"/>
      <c r="S5351" s="316"/>
      <c r="T5351" s="355"/>
    </row>
    <row r="5352" spans="14:20" x14ac:dyDescent="0.25">
      <c r="N5352" s="514"/>
      <c r="R5352" s="293"/>
      <c r="S5352" s="316"/>
      <c r="T5352" s="355"/>
    </row>
    <row r="5353" spans="14:20" x14ac:dyDescent="0.25">
      <c r="N5353" s="514"/>
      <c r="R5353" s="293"/>
      <c r="S5353" s="316"/>
      <c r="T5353" s="355"/>
    </row>
    <row r="5354" spans="14:20" x14ac:dyDescent="0.25">
      <c r="N5354" s="514"/>
      <c r="R5354" s="293"/>
      <c r="S5354" s="316"/>
      <c r="T5354" s="355"/>
    </row>
    <row r="5355" spans="14:20" x14ac:dyDescent="0.25">
      <c r="N5355" s="514"/>
      <c r="R5355" s="293"/>
      <c r="S5355" s="316"/>
      <c r="T5355" s="355"/>
    </row>
    <row r="5356" spans="14:20" x14ac:dyDescent="0.25">
      <c r="N5356" s="514"/>
      <c r="R5356" s="293"/>
      <c r="S5356" s="316"/>
      <c r="T5356" s="355"/>
    </row>
    <row r="5357" spans="14:20" x14ac:dyDescent="0.25">
      <c r="N5357" s="514"/>
      <c r="R5357" s="293"/>
      <c r="S5357" s="316"/>
      <c r="T5357" s="355"/>
    </row>
    <row r="5358" spans="14:20" x14ac:dyDescent="0.25">
      <c r="N5358" s="514"/>
      <c r="R5358" s="293"/>
      <c r="S5358" s="316"/>
      <c r="T5358" s="355"/>
    </row>
    <row r="5359" spans="14:20" x14ac:dyDescent="0.25">
      <c r="N5359" s="514"/>
      <c r="R5359" s="293"/>
      <c r="S5359" s="316"/>
      <c r="T5359" s="355"/>
    </row>
    <row r="5360" spans="14:20" x14ac:dyDescent="0.25">
      <c r="N5360" s="514"/>
      <c r="R5360" s="293"/>
      <c r="S5360" s="316"/>
      <c r="T5360" s="355"/>
    </row>
    <row r="5361" spans="14:20" x14ac:dyDescent="0.25">
      <c r="N5361" s="514"/>
      <c r="R5361" s="293"/>
      <c r="S5361" s="316"/>
      <c r="T5361" s="355"/>
    </row>
    <row r="5362" spans="14:20" x14ac:dyDescent="0.25">
      <c r="N5362" s="514"/>
      <c r="R5362" s="293"/>
      <c r="S5362" s="316"/>
      <c r="T5362" s="355"/>
    </row>
    <row r="5363" spans="14:20" x14ac:dyDescent="0.25">
      <c r="N5363" s="514"/>
      <c r="R5363" s="293"/>
      <c r="S5363" s="316"/>
      <c r="T5363" s="355"/>
    </row>
    <row r="5364" spans="14:20" x14ac:dyDescent="0.25">
      <c r="N5364" s="514"/>
      <c r="R5364" s="293"/>
      <c r="S5364" s="316"/>
      <c r="T5364" s="355"/>
    </row>
    <row r="5365" spans="14:20" x14ac:dyDescent="0.25">
      <c r="N5365" s="514"/>
      <c r="R5365" s="293"/>
      <c r="S5365" s="316"/>
      <c r="T5365" s="355"/>
    </row>
    <row r="5366" spans="14:20" x14ac:dyDescent="0.25">
      <c r="N5366" s="514"/>
      <c r="R5366" s="293"/>
      <c r="S5366" s="316"/>
      <c r="T5366" s="355"/>
    </row>
    <row r="5367" spans="14:20" x14ac:dyDescent="0.25">
      <c r="N5367" s="514"/>
      <c r="R5367" s="293"/>
      <c r="S5367" s="316"/>
      <c r="T5367" s="355"/>
    </row>
    <row r="5368" spans="14:20" x14ac:dyDescent="0.25">
      <c r="N5368" s="514"/>
      <c r="R5368" s="293"/>
      <c r="S5368" s="316"/>
      <c r="T5368" s="355"/>
    </row>
    <row r="5369" spans="14:20" x14ac:dyDescent="0.25">
      <c r="N5369" s="514"/>
      <c r="R5369" s="293"/>
      <c r="S5369" s="316"/>
      <c r="T5369" s="355"/>
    </row>
    <row r="5370" spans="14:20" x14ac:dyDescent="0.25">
      <c r="N5370" s="514"/>
      <c r="R5370" s="293"/>
      <c r="S5370" s="316"/>
      <c r="T5370" s="355"/>
    </row>
    <row r="5371" spans="14:20" x14ac:dyDescent="0.25">
      <c r="N5371" s="514"/>
      <c r="R5371" s="293"/>
      <c r="S5371" s="316"/>
      <c r="T5371" s="355"/>
    </row>
    <row r="5372" spans="14:20" x14ac:dyDescent="0.25">
      <c r="N5372" s="514"/>
      <c r="R5372" s="293"/>
      <c r="S5372" s="316"/>
      <c r="T5372" s="355"/>
    </row>
    <row r="5373" spans="14:20" x14ac:dyDescent="0.25">
      <c r="N5373" s="514"/>
      <c r="R5373" s="293"/>
      <c r="S5373" s="316"/>
      <c r="T5373" s="355"/>
    </row>
    <row r="5374" spans="14:20" x14ac:dyDescent="0.25">
      <c r="N5374" s="514"/>
      <c r="R5374" s="293"/>
      <c r="S5374" s="316"/>
      <c r="T5374" s="355"/>
    </row>
    <row r="5375" spans="14:20" x14ac:dyDescent="0.25">
      <c r="N5375" s="514"/>
      <c r="R5375" s="293"/>
      <c r="S5375" s="316"/>
      <c r="T5375" s="355"/>
    </row>
    <row r="5376" spans="14:20" x14ac:dyDescent="0.25">
      <c r="N5376" s="514"/>
      <c r="R5376" s="293"/>
      <c r="S5376" s="316"/>
      <c r="T5376" s="355"/>
    </row>
    <row r="5377" spans="14:20" x14ac:dyDescent="0.25">
      <c r="N5377" s="514"/>
      <c r="R5377" s="293"/>
      <c r="S5377" s="316"/>
      <c r="T5377" s="355"/>
    </row>
    <row r="5378" spans="14:20" x14ac:dyDescent="0.25">
      <c r="N5378" s="514"/>
      <c r="R5378" s="293"/>
      <c r="S5378" s="316"/>
      <c r="T5378" s="355"/>
    </row>
    <row r="5379" spans="14:20" x14ac:dyDescent="0.25">
      <c r="N5379" s="514"/>
      <c r="R5379" s="293"/>
      <c r="S5379" s="316"/>
      <c r="T5379" s="355"/>
    </row>
    <row r="5380" spans="14:20" x14ac:dyDescent="0.25">
      <c r="N5380" s="514"/>
      <c r="R5380" s="293"/>
      <c r="S5380" s="316"/>
      <c r="T5380" s="355"/>
    </row>
    <row r="5381" spans="14:20" x14ac:dyDescent="0.25">
      <c r="N5381" s="514"/>
      <c r="R5381" s="293"/>
      <c r="S5381" s="316"/>
      <c r="T5381" s="355"/>
    </row>
    <row r="5382" spans="14:20" x14ac:dyDescent="0.25">
      <c r="N5382" s="514"/>
      <c r="R5382" s="293"/>
      <c r="S5382" s="316"/>
      <c r="T5382" s="355"/>
    </row>
    <row r="5383" spans="14:20" x14ac:dyDescent="0.25">
      <c r="N5383" s="514"/>
      <c r="R5383" s="293"/>
      <c r="S5383" s="316"/>
      <c r="T5383" s="355"/>
    </row>
    <row r="5384" spans="14:20" x14ac:dyDescent="0.25">
      <c r="N5384" s="514"/>
      <c r="R5384" s="293"/>
      <c r="S5384" s="316"/>
      <c r="T5384" s="355"/>
    </row>
    <row r="5385" spans="14:20" x14ac:dyDescent="0.25">
      <c r="N5385" s="514"/>
      <c r="R5385" s="293"/>
      <c r="S5385" s="316"/>
      <c r="T5385" s="355"/>
    </row>
    <row r="5386" spans="14:20" x14ac:dyDescent="0.25">
      <c r="N5386" s="514"/>
      <c r="R5386" s="293"/>
      <c r="S5386" s="316"/>
      <c r="T5386" s="355"/>
    </row>
    <row r="5387" spans="14:20" x14ac:dyDescent="0.25">
      <c r="N5387" s="514"/>
      <c r="R5387" s="293"/>
      <c r="S5387" s="316"/>
      <c r="T5387" s="355"/>
    </row>
    <row r="5388" spans="14:20" x14ac:dyDescent="0.25">
      <c r="N5388" s="514"/>
      <c r="R5388" s="293"/>
      <c r="S5388" s="316"/>
      <c r="T5388" s="355"/>
    </row>
    <row r="5389" spans="14:20" x14ac:dyDescent="0.25">
      <c r="N5389" s="514"/>
      <c r="R5389" s="293"/>
      <c r="S5389" s="316"/>
      <c r="T5389" s="355"/>
    </row>
    <row r="5390" spans="14:20" x14ac:dyDescent="0.25">
      <c r="N5390" s="514"/>
      <c r="R5390" s="293"/>
      <c r="S5390" s="316"/>
      <c r="T5390" s="355"/>
    </row>
    <row r="5391" spans="14:20" x14ac:dyDescent="0.25">
      <c r="N5391" s="514"/>
      <c r="R5391" s="293"/>
      <c r="S5391" s="316"/>
      <c r="T5391" s="355"/>
    </row>
    <row r="5392" spans="14:20" x14ac:dyDescent="0.25">
      <c r="N5392" s="514"/>
      <c r="R5392" s="293"/>
      <c r="S5392" s="316"/>
      <c r="T5392" s="355"/>
    </row>
    <row r="5393" spans="14:20" x14ac:dyDescent="0.25">
      <c r="N5393" s="514"/>
      <c r="R5393" s="293"/>
      <c r="S5393" s="316"/>
      <c r="T5393" s="355"/>
    </row>
    <row r="5394" spans="14:20" x14ac:dyDescent="0.25">
      <c r="N5394" s="514"/>
      <c r="R5394" s="293"/>
      <c r="S5394" s="316"/>
      <c r="T5394" s="355"/>
    </row>
    <row r="5395" spans="14:20" x14ac:dyDescent="0.25">
      <c r="N5395" s="514"/>
      <c r="R5395" s="293"/>
      <c r="S5395" s="316"/>
      <c r="T5395" s="355"/>
    </row>
    <row r="5396" spans="14:20" x14ac:dyDescent="0.25">
      <c r="N5396" s="514"/>
      <c r="R5396" s="293"/>
      <c r="S5396" s="316"/>
      <c r="T5396" s="355"/>
    </row>
    <row r="5397" spans="14:20" x14ac:dyDescent="0.25">
      <c r="N5397" s="514"/>
      <c r="R5397" s="293"/>
      <c r="S5397" s="316"/>
      <c r="T5397" s="355"/>
    </row>
    <row r="5398" spans="14:20" x14ac:dyDescent="0.25">
      <c r="N5398" s="514"/>
      <c r="R5398" s="293"/>
      <c r="S5398" s="316"/>
      <c r="T5398" s="355"/>
    </row>
    <row r="5399" spans="14:20" x14ac:dyDescent="0.25">
      <c r="N5399" s="514"/>
      <c r="R5399" s="293"/>
      <c r="S5399" s="316"/>
      <c r="T5399" s="355"/>
    </row>
    <row r="5400" spans="14:20" x14ac:dyDescent="0.25">
      <c r="N5400" s="514"/>
      <c r="R5400" s="293"/>
      <c r="S5400" s="316"/>
      <c r="T5400" s="355"/>
    </row>
    <row r="5401" spans="14:20" x14ac:dyDescent="0.25">
      <c r="N5401" s="514"/>
      <c r="R5401" s="293"/>
      <c r="S5401" s="316"/>
      <c r="T5401" s="355"/>
    </row>
    <row r="5402" spans="14:20" x14ac:dyDescent="0.25">
      <c r="N5402" s="514"/>
      <c r="R5402" s="293"/>
      <c r="S5402" s="316"/>
      <c r="T5402" s="355"/>
    </row>
    <row r="5403" spans="14:20" x14ac:dyDescent="0.25">
      <c r="N5403" s="514"/>
      <c r="R5403" s="293"/>
      <c r="S5403" s="316"/>
      <c r="T5403" s="355"/>
    </row>
    <row r="5404" spans="14:20" x14ac:dyDescent="0.25">
      <c r="N5404" s="514"/>
      <c r="R5404" s="293"/>
      <c r="S5404" s="316"/>
      <c r="T5404" s="355"/>
    </row>
    <row r="5405" spans="14:20" x14ac:dyDescent="0.25">
      <c r="N5405" s="514"/>
      <c r="R5405" s="293"/>
      <c r="S5405" s="316"/>
      <c r="T5405" s="355"/>
    </row>
    <row r="5406" spans="14:20" x14ac:dyDescent="0.25">
      <c r="N5406" s="514"/>
      <c r="R5406" s="293"/>
      <c r="S5406" s="316"/>
      <c r="T5406" s="355"/>
    </row>
    <row r="5407" spans="14:20" x14ac:dyDescent="0.25">
      <c r="N5407" s="514"/>
      <c r="R5407" s="293"/>
      <c r="S5407" s="316"/>
      <c r="T5407" s="355"/>
    </row>
    <row r="5408" spans="14:20" x14ac:dyDescent="0.25">
      <c r="N5408" s="514"/>
      <c r="R5408" s="293"/>
      <c r="S5408" s="316"/>
      <c r="T5408" s="355"/>
    </row>
    <row r="5409" spans="14:20" x14ac:dyDescent="0.25">
      <c r="N5409" s="514"/>
      <c r="R5409" s="293"/>
      <c r="S5409" s="316"/>
      <c r="T5409" s="355"/>
    </row>
    <row r="5410" spans="14:20" x14ac:dyDescent="0.25">
      <c r="N5410" s="514"/>
      <c r="R5410" s="293"/>
      <c r="S5410" s="316"/>
      <c r="T5410" s="355"/>
    </row>
    <row r="5411" spans="14:20" x14ac:dyDescent="0.25">
      <c r="N5411" s="514"/>
      <c r="R5411" s="293"/>
      <c r="S5411" s="316"/>
      <c r="T5411" s="355"/>
    </row>
    <row r="5412" spans="14:20" x14ac:dyDescent="0.25">
      <c r="N5412" s="514"/>
      <c r="R5412" s="293"/>
      <c r="S5412" s="316"/>
      <c r="T5412" s="355"/>
    </row>
    <row r="5413" spans="14:20" x14ac:dyDescent="0.25">
      <c r="N5413" s="514"/>
      <c r="R5413" s="293"/>
      <c r="S5413" s="316"/>
      <c r="T5413" s="355"/>
    </row>
    <row r="5414" spans="14:20" x14ac:dyDescent="0.25">
      <c r="N5414" s="514"/>
      <c r="R5414" s="293"/>
      <c r="S5414" s="316"/>
      <c r="T5414" s="355"/>
    </row>
    <row r="5415" spans="14:20" x14ac:dyDescent="0.25">
      <c r="N5415" s="514"/>
      <c r="R5415" s="293"/>
      <c r="S5415" s="316"/>
      <c r="T5415" s="355"/>
    </row>
    <row r="5416" spans="14:20" x14ac:dyDescent="0.25">
      <c r="N5416" s="514"/>
      <c r="R5416" s="293"/>
      <c r="S5416" s="316"/>
      <c r="T5416" s="355"/>
    </row>
    <row r="5417" spans="14:20" x14ac:dyDescent="0.25">
      <c r="N5417" s="514"/>
      <c r="R5417" s="293"/>
      <c r="S5417" s="316"/>
      <c r="T5417" s="355"/>
    </row>
    <row r="5418" spans="14:20" x14ac:dyDescent="0.25">
      <c r="N5418" s="514"/>
      <c r="R5418" s="293"/>
      <c r="S5418" s="316"/>
      <c r="T5418" s="355"/>
    </row>
    <row r="5419" spans="14:20" x14ac:dyDescent="0.25">
      <c r="N5419" s="514"/>
      <c r="R5419" s="293"/>
      <c r="S5419" s="316"/>
      <c r="T5419" s="355"/>
    </row>
    <row r="5420" spans="14:20" x14ac:dyDescent="0.25">
      <c r="N5420" s="514"/>
      <c r="R5420" s="293"/>
      <c r="S5420" s="316"/>
      <c r="T5420" s="355"/>
    </row>
    <row r="5421" spans="14:20" x14ac:dyDescent="0.25">
      <c r="N5421" s="514"/>
      <c r="R5421" s="293"/>
      <c r="S5421" s="316"/>
      <c r="T5421" s="355"/>
    </row>
    <row r="5422" spans="14:20" x14ac:dyDescent="0.25">
      <c r="N5422" s="514"/>
      <c r="R5422" s="293"/>
      <c r="S5422" s="316"/>
      <c r="T5422" s="355"/>
    </row>
    <row r="5423" spans="14:20" x14ac:dyDescent="0.25">
      <c r="N5423" s="514"/>
      <c r="R5423" s="293"/>
      <c r="S5423" s="316"/>
      <c r="T5423" s="355"/>
    </row>
    <row r="5424" spans="14:20" x14ac:dyDescent="0.25">
      <c r="N5424" s="514"/>
      <c r="R5424" s="293"/>
      <c r="S5424" s="316"/>
      <c r="T5424" s="355"/>
    </row>
    <row r="5425" spans="14:20" x14ac:dyDescent="0.25">
      <c r="N5425" s="514"/>
      <c r="R5425" s="293"/>
      <c r="S5425" s="316"/>
      <c r="T5425" s="355"/>
    </row>
    <row r="5426" spans="14:20" x14ac:dyDescent="0.25">
      <c r="N5426" s="514"/>
      <c r="R5426" s="293"/>
      <c r="S5426" s="316"/>
      <c r="T5426" s="355"/>
    </row>
    <row r="5427" spans="14:20" x14ac:dyDescent="0.25">
      <c r="N5427" s="514"/>
      <c r="R5427" s="293"/>
      <c r="S5427" s="316"/>
      <c r="T5427" s="355"/>
    </row>
    <row r="5428" spans="14:20" x14ac:dyDescent="0.25">
      <c r="N5428" s="514"/>
      <c r="R5428" s="293"/>
      <c r="S5428" s="316"/>
      <c r="T5428" s="355"/>
    </row>
    <row r="5429" spans="14:20" x14ac:dyDescent="0.25">
      <c r="N5429" s="514"/>
      <c r="R5429" s="293"/>
      <c r="S5429" s="316"/>
      <c r="T5429" s="355"/>
    </row>
    <row r="5430" spans="14:20" x14ac:dyDescent="0.25">
      <c r="N5430" s="514"/>
      <c r="R5430" s="293"/>
      <c r="S5430" s="316"/>
      <c r="T5430" s="355"/>
    </row>
    <row r="5431" spans="14:20" x14ac:dyDescent="0.25">
      <c r="N5431" s="514"/>
      <c r="R5431" s="293"/>
      <c r="S5431" s="316"/>
      <c r="T5431" s="355"/>
    </row>
    <row r="5432" spans="14:20" x14ac:dyDescent="0.25">
      <c r="N5432" s="514"/>
      <c r="R5432" s="293"/>
      <c r="S5432" s="316"/>
      <c r="T5432" s="355"/>
    </row>
    <row r="5433" spans="14:20" x14ac:dyDescent="0.25">
      <c r="N5433" s="514"/>
      <c r="R5433" s="293"/>
      <c r="S5433" s="316"/>
      <c r="T5433" s="355"/>
    </row>
    <row r="5434" spans="14:20" x14ac:dyDescent="0.25">
      <c r="N5434" s="514"/>
      <c r="R5434" s="293"/>
      <c r="S5434" s="316"/>
      <c r="T5434" s="355"/>
    </row>
    <row r="5435" spans="14:20" x14ac:dyDescent="0.25">
      <c r="N5435" s="514"/>
      <c r="R5435" s="293"/>
      <c r="S5435" s="316"/>
      <c r="T5435" s="355"/>
    </row>
    <row r="5436" spans="14:20" x14ac:dyDescent="0.25">
      <c r="N5436" s="514"/>
      <c r="R5436" s="293"/>
      <c r="S5436" s="316"/>
      <c r="T5436" s="355"/>
    </row>
    <row r="5437" spans="14:20" x14ac:dyDescent="0.25">
      <c r="N5437" s="514"/>
      <c r="R5437" s="293"/>
      <c r="S5437" s="316"/>
      <c r="T5437" s="355"/>
    </row>
    <row r="5438" spans="14:20" x14ac:dyDescent="0.25">
      <c r="N5438" s="514"/>
      <c r="R5438" s="293"/>
      <c r="S5438" s="316"/>
      <c r="T5438" s="355"/>
    </row>
    <row r="5439" spans="14:20" x14ac:dyDescent="0.25">
      <c r="N5439" s="514"/>
      <c r="R5439" s="293"/>
      <c r="S5439" s="316"/>
      <c r="T5439" s="355"/>
    </row>
    <row r="5440" spans="14:20" x14ac:dyDescent="0.25">
      <c r="N5440" s="514"/>
      <c r="R5440" s="293"/>
      <c r="S5440" s="316"/>
      <c r="T5440" s="355"/>
    </row>
    <row r="5441" spans="14:20" x14ac:dyDescent="0.25">
      <c r="N5441" s="514"/>
      <c r="R5441" s="293"/>
      <c r="S5441" s="316"/>
      <c r="T5441" s="355"/>
    </row>
    <row r="5442" spans="14:20" x14ac:dyDescent="0.25">
      <c r="N5442" s="514"/>
      <c r="R5442" s="293"/>
      <c r="S5442" s="316"/>
      <c r="T5442" s="355"/>
    </row>
    <row r="5443" spans="14:20" x14ac:dyDescent="0.25">
      <c r="N5443" s="514"/>
      <c r="R5443" s="293"/>
      <c r="S5443" s="316"/>
      <c r="T5443" s="355"/>
    </row>
    <row r="5444" spans="14:20" x14ac:dyDescent="0.25">
      <c r="N5444" s="514"/>
      <c r="R5444" s="293"/>
      <c r="S5444" s="316"/>
      <c r="T5444" s="355"/>
    </row>
    <row r="5445" spans="14:20" x14ac:dyDescent="0.25">
      <c r="N5445" s="514"/>
      <c r="R5445" s="293"/>
      <c r="S5445" s="316"/>
      <c r="T5445" s="355"/>
    </row>
    <row r="5446" spans="14:20" x14ac:dyDescent="0.25">
      <c r="N5446" s="514"/>
      <c r="R5446" s="293"/>
      <c r="S5446" s="316"/>
      <c r="T5446" s="355"/>
    </row>
    <row r="5447" spans="14:20" x14ac:dyDescent="0.25">
      <c r="N5447" s="514"/>
      <c r="R5447" s="293"/>
      <c r="S5447" s="316"/>
      <c r="T5447" s="355"/>
    </row>
    <row r="5448" spans="14:20" x14ac:dyDescent="0.25">
      <c r="N5448" s="514"/>
      <c r="R5448" s="293"/>
      <c r="S5448" s="316"/>
      <c r="T5448" s="355"/>
    </row>
    <row r="5449" spans="14:20" x14ac:dyDescent="0.25">
      <c r="N5449" s="514"/>
      <c r="R5449" s="293"/>
      <c r="S5449" s="316"/>
      <c r="T5449" s="355"/>
    </row>
    <row r="5450" spans="14:20" x14ac:dyDescent="0.25">
      <c r="N5450" s="514"/>
      <c r="R5450" s="293"/>
      <c r="S5450" s="316"/>
      <c r="T5450" s="355"/>
    </row>
    <row r="5451" spans="14:20" x14ac:dyDescent="0.25">
      <c r="N5451" s="514"/>
      <c r="R5451" s="293"/>
      <c r="S5451" s="316"/>
      <c r="T5451" s="355"/>
    </row>
    <row r="5452" spans="14:20" x14ac:dyDescent="0.25">
      <c r="N5452" s="514"/>
      <c r="R5452" s="293"/>
      <c r="S5452" s="316"/>
      <c r="T5452" s="355"/>
    </row>
    <row r="5453" spans="14:20" x14ac:dyDescent="0.25">
      <c r="N5453" s="514"/>
      <c r="R5453" s="293"/>
      <c r="S5453" s="316"/>
      <c r="T5453" s="355"/>
    </row>
    <row r="5454" spans="14:20" x14ac:dyDescent="0.25">
      <c r="N5454" s="514"/>
      <c r="R5454" s="293"/>
      <c r="S5454" s="316"/>
      <c r="T5454" s="355"/>
    </row>
    <row r="5455" spans="14:20" x14ac:dyDescent="0.25">
      <c r="N5455" s="514"/>
      <c r="R5455" s="293"/>
      <c r="S5455" s="316"/>
      <c r="T5455" s="355"/>
    </row>
    <row r="5456" spans="14:20" x14ac:dyDescent="0.25">
      <c r="N5456" s="514"/>
      <c r="R5456" s="293"/>
      <c r="S5456" s="316"/>
      <c r="T5456" s="355"/>
    </row>
    <row r="5457" spans="14:20" x14ac:dyDescent="0.25">
      <c r="N5457" s="514"/>
      <c r="R5457" s="293"/>
      <c r="S5457" s="316"/>
      <c r="T5457" s="355"/>
    </row>
    <row r="5458" spans="14:20" x14ac:dyDescent="0.25">
      <c r="N5458" s="514"/>
      <c r="R5458" s="293"/>
      <c r="S5458" s="316"/>
      <c r="T5458" s="355"/>
    </row>
    <row r="5459" spans="14:20" x14ac:dyDescent="0.25">
      <c r="N5459" s="514"/>
      <c r="R5459" s="293"/>
      <c r="S5459" s="316"/>
      <c r="T5459" s="355"/>
    </row>
    <row r="5460" spans="14:20" x14ac:dyDescent="0.25">
      <c r="N5460" s="514"/>
      <c r="R5460" s="293"/>
      <c r="S5460" s="316"/>
      <c r="T5460" s="355"/>
    </row>
    <row r="5461" spans="14:20" x14ac:dyDescent="0.25">
      <c r="N5461" s="514"/>
      <c r="R5461" s="293"/>
      <c r="S5461" s="316"/>
      <c r="T5461" s="355"/>
    </row>
    <row r="5462" spans="14:20" x14ac:dyDescent="0.25">
      <c r="N5462" s="514"/>
      <c r="R5462" s="293"/>
      <c r="S5462" s="316"/>
      <c r="T5462" s="355"/>
    </row>
    <row r="5463" spans="14:20" x14ac:dyDescent="0.25">
      <c r="N5463" s="514"/>
      <c r="R5463" s="293"/>
      <c r="S5463" s="316"/>
      <c r="T5463" s="355"/>
    </row>
    <row r="5464" spans="14:20" x14ac:dyDescent="0.25">
      <c r="N5464" s="514"/>
      <c r="R5464" s="293"/>
      <c r="S5464" s="316"/>
      <c r="T5464" s="355"/>
    </row>
    <row r="5465" spans="14:20" x14ac:dyDescent="0.25">
      <c r="N5465" s="514"/>
      <c r="R5465" s="293"/>
      <c r="S5465" s="316"/>
      <c r="T5465" s="355"/>
    </row>
    <row r="5466" spans="14:20" x14ac:dyDescent="0.25">
      <c r="N5466" s="514"/>
      <c r="R5466" s="293"/>
      <c r="S5466" s="316"/>
      <c r="T5466" s="355"/>
    </row>
    <row r="5467" spans="14:20" x14ac:dyDescent="0.25">
      <c r="N5467" s="514"/>
      <c r="R5467" s="293"/>
      <c r="S5467" s="316"/>
      <c r="T5467" s="355"/>
    </row>
    <row r="5468" spans="14:20" x14ac:dyDescent="0.25">
      <c r="N5468" s="514"/>
      <c r="R5468" s="293"/>
      <c r="S5468" s="316"/>
      <c r="T5468" s="355"/>
    </row>
    <row r="5469" spans="14:20" x14ac:dyDescent="0.25">
      <c r="N5469" s="514"/>
      <c r="R5469" s="293"/>
      <c r="S5469" s="316"/>
      <c r="T5469" s="355"/>
    </row>
    <row r="5470" spans="14:20" x14ac:dyDescent="0.25">
      <c r="N5470" s="514"/>
      <c r="R5470" s="293"/>
      <c r="S5470" s="316"/>
      <c r="T5470" s="355"/>
    </row>
    <row r="5471" spans="14:20" x14ac:dyDescent="0.25">
      <c r="N5471" s="514"/>
      <c r="R5471" s="293"/>
      <c r="S5471" s="316"/>
      <c r="T5471" s="355"/>
    </row>
    <row r="5472" spans="14:20" x14ac:dyDescent="0.25">
      <c r="N5472" s="514"/>
      <c r="R5472" s="293"/>
      <c r="S5472" s="316"/>
      <c r="T5472" s="355"/>
    </row>
    <row r="5473" spans="14:20" x14ac:dyDescent="0.25">
      <c r="N5473" s="514"/>
      <c r="R5473" s="293"/>
      <c r="S5473" s="316"/>
      <c r="T5473" s="355"/>
    </row>
    <row r="5474" spans="14:20" x14ac:dyDescent="0.25">
      <c r="N5474" s="514"/>
      <c r="R5474" s="293"/>
      <c r="S5474" s="316"/>
      <c r="T5474" s="355"/>
    </row>
    <row r="5475" spans="14:20" x14ac:dyDescent="0.25">
      <c r="N5475" s="514"/>
      <c r="R5475" s="293"/>
      <c r="S5475" s="316"/>
      <c r="T5475" s="355"/>
    </row>
    <row r="5476" spans="14:20" x14ac:dyDescent="0.25">
      <c r="N5476" s="514"/>
      <c r="R5476" s="293"/>
      <c r="S5476" s="316"/>
      <c r="T5476" s="355"/>
    </row>
    <row r="5477" spans="14:20" x14ac:dyDescent="0.25">
      <c r="N5477" s="514"/>
      <c r="R5477" s="293"/>
      <c r="S5477" s="316"/>
      <c r="T5477" s="355"/>
    </row>
    <row r="5478" spans="14:20" x14ac:dyDescent="0.25">
      <c r="N5478" s="514"/>
      <c r="R5478" s="293"/>
      <c r="S5478" s="316"/>
      <c r="T5478" s="355"/>
    </row>
    <row r="5479" spans="14:20" x14ac:dyDescent="0.25">
      <c r="N5479" s="514"/>
      <c r="R5479" s="293"/>
      <c r="S5479" s="316"/>
      <c r="T5479" s="355"/>
    </row>
    <row r="5480" spans="14:20" x14ac:dyDescent="0.25">
      <c r="N5480" s="514"/>
      <c r="R5480" s="293"/>
      <c r="S5480" s="316"/>
      <c r="T5480" s="355"/>
    </row>
    <row r="5481" spans="14:20" x14ac:dyDescent="0.25">
      <c r="N5481" s="514"/>
      <c r="R5481" s="293"/>
      <c r="S5481" s="316"/>
      <c r="T5481" s="355"/>
    </row>
    <row r="5482" spans="14:20" x14ac:dyDescent="0.25">
      <c r="N5482" s="514"/>
      <c r="R5482" s="293"/>
      <c r="S5482" s="316"/>
      <c r="T5482" s="355"/>
    </row>
    <row r="5483" spans="14:20" x14ac:dyDescent="0.25">
      <c r="N5483" s="514"/>
      <c r="R5483" s="293"/>
      <c r="S5483" s="316"/>
      <c r="T5483" s="355"/>
    </row>
    <row r="5484" spans="14:20" x14ac:dyDescent="0.25">
      <c r="N5484" s="514"/>
      <c r="R5484" s="293"/>
      <c r="S5484" s="316"/>
      <c r="T5484" s="355"/>
    </row>
    <row r="5485" spans="14:20" x14ac:dyDescent="0.25">
      <c r="N5485" s="514"/>
      <c r="R5485" s="293"/>
      <c r="S5485" s="316"/>
      <c r="T5485" s="355"/>
    </row>
    <row r="5486" spans="14:20" x14ac:dyDescent="0.25">
      <c r="N5486" s="514"/>
      <c r="R5486" s="293"/>
      <c r="S5486" s="316"/>
      <c r="T5486" s="355"/>
    </row>
    <row r="5487" spans="14:20" x14ac:dyDescent="0.25">
      <c r="N5487" s="514"/>
      <c r="R5487" s="293"/>
      <c r="S5487" s="316"/>
      <c r="T5487" s="355"/>
    </row>
    <row r="5488" spans="14:20" x14ac:dyDescent="0.25">
      <c r="N5488" s="514"/>
      <c r="R5488" s="293"/>
      <c r="S5488" s="316"/>
      <c r="T5488" s="355"/>
    </row>
    <row r="5489" spans="14:20" x14ac:dyDescent="0.25">
      <c r="N5489" s="514"/>
      <c r="R5489" s="293"/>
      <c r="S5489" s="316"/>
      <c r="T5489" s="355"/>
    </row>
    <row r="5490" spans="14:20" x14ac:dyDescent="0.25">
      <c r="N5490" s="514"/>
      <c r="R5490" s="293"/>
      <c r="S5490" s="316"/>
      <c r="T5490" s="355"/>
    </row>
    <row r="5491" spans="14:20" x14ac:dyDescent="0.25">
      <c r="N5491" s="514"/>
      <c r="R5491" s="293"/>
      <c r="S5491" s="316"/>
      <c r="T5491" s="355"/>
    </row>
    <row r="5492" spans="14:20" x14ac:dyDescent="0.25">
      <c r="N5492" s="514"/>
      <c r="R5492" s="293"/>
      <c r="S5492" s="316"/>
      <c r="T5492" s="355"/>
    </row>
    <row r="5493" spans="14:20" x14ac:dyDescent="0.25">
      <c r="N5493" s="514"/>
      <c r="R5493" s="293"/>
      <c r="S5493" s="316"/>
      <c r="T5493" s="355"/>
    </row>
    <row r="5494" spans="14:20" x14ac:dyDescent="0.25">
      <c r="N5494" s="514"/>
      <c r="R5494" s="293"/>
      <c r="S5494" s="316"/>
      <c r="T5494" s="355"/>
    </row>
    <row r="5495" spans="14:20" x14ac:dyDescent="0.25">
      <c r="N5495" s="514"/>
      <c r="R5495" s="293"/>
      <c r="S5495" s="316"/>
      <c r="T5495" s="355"/>
    </row>
    <row r="5496" spans="14:20" x14ac:dyDescent="0.25">
      <c r="N5496" s="514"/>
      <c r="R5496" s="293"/>
      <c r="S5496" s="316"/>
      <c r="T5496" s="355"/>
    </row>
    <row r="5497" spans="14:20" x14ac:dyDescent="0.25">
      <c r="N5497" s="514"/>
      <c r="R5497" s="293"/>
      <c r="S5497" s="316"/>
      <c r="T5497" s="355"/>
    </row>
    <row r="5498" spans="14:20" x14ac:dyDescent="0.25">
      <c r="N5498" s="514"/>
      <c r="R5498" s="293"/>
      <c r="S5498" s="316"/>
      <c r="T5498" s="355"/>
    </row>
    <row r="5499" spans="14:20" x14ac:dyDescent="0.25">
      <c r="N5499" s="514"/>
      <c r="R5499" s="293"/>
      <c r="S5499" s="316"/>
      <c r="T5499" s="355"/>
    </row>
    <row r="5500" spans="14:20" x14ac:dyDescent="0.25">
      <c r="N5500" s="514"/>
      <c r="R5500" s="293"/>
      <c r="S5500" s="316"/>
      <c r="T5500" s="355"/>
    </row>
    <row r="5501" spans="14:20" x14ac:dyDescent="0.25">
      <c r="N5501" s="514"/>
      <c r="R5501" s="293"/>
      <c r="S5501" s="316"/>
      <c r="T5501" s="355"/>
    </row>
    <row r="5502" spans="14:20" x14ac:dyDescent="0.25">
      <c r="N5502" s="514"/>
      <c r="R5502" s="293"/>
      <c r="S5502" s="316"/>
      <c r="T5502" s="355"/>
    </row>
    <row r="5503" spans="14:20" x14ac:dyDescent="0.25">
      <c r="N5503" s="514"/>
      <c r="R5503" s="293"/>
      <c r="S5503" s="316"/>
      <c r="T5503" s="355"/>
    </row>
    <row r="5504" spans="14:20" x14ac:dyDescent="0.25">
      <c r="N5504" s="514"/>
      <c r="R5504" s="293"/>
      <c r="S5504" s="316"/>
      <c r="T5504" s="355"/>
    </row>
    <row r="5505" spans="14:20" x14ac:dyDescent="0.25">
      <c r="N5505" s="514"/>
      <c r="R5505" s="293"/>
      <c r="S5505" s="316"/>
      <c r="T5505" s="355"/>
    </row>
    <row r="5506" spans="14:20" x14ac:dyDescent="0.25">
      <c r="N5506" s="514"/>
      <c r="R5506" s="293"/>
      <c r="S5506" s="316"/>
      <c r="T5506" s="355"/>
    </row>
    <row r="5507" spans="14:20" x14ac:dyDescent="0.25">
      <c r="N5507" s="514"/>
      <c r="R5507" s="293"/>
      <c r="S5507" s="316"/>
      <c r="T5507" s="355"/>
    </row>
    <row r="5508" spans="14:20" x14ac:dyDescent="0.25">
      <c r="N5508" s="514"/>
      <c r="R5508" s="293"/>
      <c r="S5508" s="316"/>
      <c r="T5508" s="355"/>
    </row>
    <row r="5509" spans="14:20" x14ac:dyDescent="0.25">
      <c r="N5509" s="514"/>
      <c r="R5509" s="293"/>
      <c r="S5509" s="316"/>
      <c r="T5509" s="355"/>
    </row>
    <row r="5510" spans="14:20" x14ac:dyDescent="0.25">
      <c r="N5510" s="514"/>
      <c r="R5510" s="293"/>
      <c r="S5510" s="316"/>
      <c r="T5510" s="355"/>
    </row>
    <row r="5511" spans="14:20" x14ac:dyDescent="0.25">
      <c r="N5511" s="514"/>
      <c r="R5511" s="293"/>
      <c r="S5511" s="316"/>
      <c r="T5511" s="355"/>
    </row>
    <row r="5512" spans="14:20" x14ac:dyDescent="0.25">
      <c r="N5512" s="514"/>
      <c r="R5512" s="293"/>
      <c r="S5512" s="316"/>
      <c r="T5512" s="355"/>
    </row>
    <row r="5513" spans="14:20" x14ac:dyDescent="0.25">
      <c r="N5513" s="514"/>
      <c r="R5513" s="293"/>
      <c r="S5513" s="316"/>
      <c r="T5513" s="355"/>
    </row>
    <row r="5514" spans="14:20" x14ac:dyDescent="0.25">
      <c r="N5514" s="514"/>
      <c r="R5514" s="293"/>
      <c r="S5514" s="316"/>
      <c r="T5514" s="355"/>
    </row>
    <row r="5515" spans="14:20" x14ac:dyDescent="0.25">
      <c r="N5515" s="514"/>
      <c r="R5515" s="293"/>
      <c r="S5515" s="316"/>
      <c r="T5515" s="355"/>
    </row>
    <row r="5516" spans="14:20" x14ac:dyDescent="0.25">
      <c r="N5516" s="514"/>
      <c r="R5516" s="293"/>
      <c r="S5516" s="316"/>
      <c r="T5516" s="355"/>
    </row>
    <row r="5517" spans="14:20" x14ac:dyDescent="0.25">
      <c r="N5517" s="514"/>
      <c r="R5517" s="293"/>
      <c r="S5517" s="316"/>
      <c r="T5517" s="355"/>
    </row>
    <row r="5518" spans="14:20" x14ac:dyDescent="0.25">
      <c r="N5518" s="514"/>
      <c r="R5518" s="293"/>
      <c r="S5518" s="316"/>
      <c r="T5518" s="355"/>
    </row>
    <row r="5519" spans="14:20" x14ac:dyDescent="0.25">
      <c r="N5519" s="514"/>
      <c r="R5519" s="293"/>
      <c r="S5519" s="316"/>
      <c r="T5519" s="355"/>
    </row>
    <row r="5520" spans="14:20" x14ac:dyDescent="0.25">
      <c r="N5520" s="514"/>
      <c r="R5520" s="293"/>
      <c r="S5520" s="316"/>
      <c r="T5520" s="355"/>
    </row>
    <row r="5521" spans="14:20" x14ac:dyDescent="0.25">
      <c r="N5521" s="514"/>
      <c r="R5521" s="293"/>
      <c r="S5521" s="316"/>
      <c r="T5521" s="355"/>
    </row>
    <row r="5522" spans="14:20" x14ac:dyDescent="0.25">
      <c r="N5522" s="514"/>
      <c r="R5522" s="293"/>
      <c r="S5522" s="316"/>
      <c r="T5522" s="355"/>
    </row>
    <row r="5523" spans="14:20" x14ac:dyDescent="0.25">
      <c r="N5523" s="514"/>
      <c r="R5523" s="293"/>
      <c r="S5523" s="316"/>
      <c r="T5523" s="355"/>
    </row>
    <row r="5524" spans="14:20" x14ac:dyDescent="0.25">
      <c r="N5524" s="514"/>
      <c r="R5524" s="293"/>
      <c r="S5524" s="316"/>
      <c r="T5524" s="355"/>
    </row>
    <row r="5525" spans="14:20" x14ac:dyDescent="0.25">
      <c r="N5525" s="514"/>
      <c r="R5525" s="293"/>
      <c r="S5525" s="316"/>
      <c r="T5525" s="355"/>
    </row>
    <row r="5526" spans="14:20" x14ac:dyDescent="0.25">
      <c r="N5526" s="514"/>
      <c r="R5526" s="293"/>
      <c r="S5526" s="316"/>
      <c r="T5526" s="355"/>
    </row>
    <row r="5527" spans="14:20" x14ac:dyDescent="0.25">
      <c r="N5527" s="514"/>
      <c r="R5527" s="293"/>
      <c r="S5527" s="316"/>
      <c r="T5527" s="355"/>
    </row>
    <row r="5528" spans="14:20" x14ac:dyDescent="0.25">
      <c r="N5528" s="514"/>
      <c r="R5528" s="293"/>
      <c r="S5528" s="316"/>
      <c r="T5528" s="355"/>
    </row>
    <row r="5529" spans="14:20" x14ac:dyDescent="0.25">
      <c r="N5529" s="514"/>
      <c r="R5529" s="293"/>
      <c r="S5529" s="316"/>
      <c r="T5529" s="355"/>
    </row>
    <row r="5530" spans="14:20" x14ac:dyDescent="0.25">
      <c r="N5530" s="514"/>
      <c r="R5530" s="293"/>
      <c r="S5530" s="316"/>
      <c r="T5530" s="355"/>
    </row>
    <row r="5531" spans="14:20" x14ac:dyDescent="0.25">
      <c r="N5531" s="514"/>
      <c r="R5531" s="293"/>
      <c r="S5531" s="316"/>
      <c r="T5531" s="355"/>
    </row>
    <row r="5532" spans="14:20" x14ac:dyDescent="0.25">
      <c r="N5532" s="514"/>
      <c r="R5532" s="293"/>
      <c r="S5532" s="316"/>
      <c r="T5532" s="355"/>
    </row>
    <row r="5533" spans="14:20" x14ac:dyDescent="0.25">
      <c r="N5533" s="514"/>
      <c r="R5533" s="293"/>
      <c r="S5533" s="316"/>
      <c r="T5533" s="355"/>
    </row>
    <row r="5534" spans="14:20" x14ac:dyDescent="0.25">
      <c r="N5534" s="514"/>
      <c r="R5534" s="293"/>
      <c r="S5534" s="316"/>
      <c r="T5534" s="355"/>
    </row>
    <row r="5535" spans="14:20" x14ac:dyDescent="0.25">
      <c r="N5535" s="514"/>
      <c r="R5535" s="293"/>
      <c r="S5535" s="316"/>
      <c r="T5535" s="355"/>
    </row>
    <row r="5536" spans="14:20" x14ac:dyDescent="0.25">
      <c r="N5536" s="514"/>
      <c r="R5536" s="293"/>
      <c r="S5536" s="316"/>
      <c r="T5536" s="355"/>
    </row>
    <row r="5537" spans="14:20" x14ac:dyDescent="0.25">
      <c r="N5537" s="514"/>
      <c r="R5537" s="293"/>
      <c r="S5537" s="316"/>
      <c r="T5537" s="355"/>
    </row>
    <row r="5538" spans="14:20" x14ac:dyDescent="0.25">
      <c r="N5538" s="514"/>
      <c r="R5538" s="293"/>
      <c r="S5538" s="316"/>
      <c r="T5538" s="355"/>
    </row>
    <row r="5539" spans="14:20" x14ac:dyDescent="0.25">
      <c r="N5539" s="514"/>
      <c r="R5539" s="293"/>
      <c r="S5539" s="316"/>
      <c r="T5539" s="355"/>
    </row>
    <row r="5540" spans="14:20" x14ac:dyDescent="0.25">
      <c r="N5540" s="514"/>
      <c r="R5540" s="293"/>
      <c r="S5540" s="316"/>
      <c r="T5540" s="355"/>
    </row>
    <row r="5541" spans="14:20" x14ac:dyDescent="0.25">
      <c r="N5541" s="514"/>
      <c r="R5541" s="293"/>
      <c r="S5541" s="316"/>
      <c r="T5541" s="355"/>
    </row>
    <row r="5542" spans="14:20" x14ac:dyDescent="0.25">
      <c r="N5542" s="514"/>
      <c r="R5542" s="293"/>
      <c r="S5542" s="316"/>
      <c r="T5542" s="355"/>
    </row>
    <row r="5543" spans="14:20" x14ac:dyDescent="0.25">
      <c r="N5543" s="514"/>
      <c r="R5543" s="293"/>
      <c r="S5543" s="316"/>
      <c r="T5543" s="355"/>
    </row>
    <row r="5544" spans="14:20" x14ac:dyDescent="0.25">
      <c r="N5544" s="514"/>
      <c r="R5544" s="293"/>
      <c r="S5544" s="316"/>
      <c r="T5544" s="355"/>
    </row>
    <row r="5545" spans="14:20" x14ac:dyDescent="0.25">
      <c r="N5545" s="514"/>
      <c r="R5545" s="293"/>
      <c r="S5545" s="316"/>
      <c r="T5545" s="355"/>
    </row>
    <row r="5546" spans="14:20" x14ac:dyDescent="0.25">
      <c r="N5546" s="514"/>
      <c r="R5546" s="293"/>
      <c r="S5546" s="316"/>
      <c r="T5546" s="355"/>
    </row>
    <row r="5547" spans="14:20" x14ac:dyDescent="0.25">
      <c r="N5547" s="514"/>
      <c r="R5547" s="293"/>
      <c r="S5547" s="316"/>
      <c r="T5547" s="355"/>
    </row>
    <row r="5548" spans="14:20" x14ac:dyDescent="0.25">
      <c r="N5548" s="514"/>
      <c r="R5548" s="293"/>
      <c r="S5548" s="316"/>
      <c r="T5548" s="355"/>
    </row>
    <row r="5549" spans="14:20" x14ac:dyDescent="0.25">
      <c r="N5549" s="514"/>
      <c r="R5549" s="293"/>
      <c r="S5549" s="316"/>
      <c r="T5549" s="355"/>
    </row>
    <row r="5550" spans="14:20" x14ac:dyDescent="0.25">
      <c r="N5550" s="514"/>
      <c r="R5550" s="293"/>
      <c r="S5550" s="316"/>
      <c r="T5550" s="355"/>
    </row>
    <row r="5551" spans="14:20" x14ac:dyDescent="0.25">
      <c r="N5551" s="514"/>
      <c r="R5551" s="293"/>
      <c r="S5551" s="316"/>
      <c r="T5551" s="355"/>
    </row>
    <row r="5552" spans="14:20" x14ac:dyDescent="0.25">
      <c r="N5552" s="514"/>
      <c r="R5552" s="293"/>
      <c r="S5552" s="316"/>
      <c r="T5552" s="355"/>
    </row>
    <row r="5553" spans="14:20" x14ac:dyDescent="0.25">
      <c r="N5553" s="514"/>
      <c r="R5553" s="293"/>
      <c r="S5553" s="316"/>
      <c r="T5553" s="355"/>
    </row>
    <row r="5554" spans="14:20" x14ac:dyDescent="0.25">
      <c r="N5554" s="514"/>
      <c r="R5554" s="293"/>
      <c r="S5554" s="316"/>
      <c r="T5554" s="355"/>
    </row>
    <row r="5555" spans="14:20" x14ac:dyDescent="0.25">
      <c r="N5555" s="514"/>
      <c r="R5555" s="293"/>
      <c r="S5555" s="316"/>
      <c r="T5555" s="355"/>
    </row>
    <row r="5556" spans="14:20" x14ac:dyDescent="0.25">
      <c r="N5556" s="514"/>
      <c r="R5556" s="293"/>
      <c r="S5556" s="316"/>
      <c r="T5556" s="355"/>
    </row>
    <row r="5557" spans="14:20" x14ac:dyDescent="0.25">
      <c r="N5557" s="514"/>
      <c r="R5557" s="293"/>
      <c r="S5557" s="316"/>
      <c r="T5557" s="355"/>
    </row>
    <row r="5558" spans="14:20" x14ac:dyDescent="0.25">
      <c r="N5558" s="514"/>
      <c r="R5558" s="293"/>
      <c r="S5558" s="316"/>
      <c r="T5558" s="355"/>
    </row>
    <row r="5559" spans="14:20" x14ac:dyDescent="0.25">
      <c r="N5559" s="514"/>
      <c r="R5559" s="293"/>
      <c r="S5559" s="316"/>
      <c r="T5559" s="355"/>
    </row>
    <row r="5560" spans="14:20" x14ac:dyDescent="0.25">
      <c r="N5560" s="514"/>
      <c r="R5560" s="293"/>
      <c r="S5560" s="316"/>
      <c r="T5560" s="355"/>
    </row>
    <row r="5561" spans="14:20" x14ac:dyDescent="0.25">
      <c r="N5561" s="514"/>
      <c r="R5561" s="293"/>
      <c r="S5561" s="316"/>
      <c r="T5561" s="355"/>
    </row>
    <row r="5562" spans="14:20" x14ac:dyDescent="0.25">
      <c r="N5562" s="514"/>
      <c r="R5562" s="293"/>
      <c r="S5562" s="316"/>
      <c r="T5562" s="355"/>
    </row>
    <row r="5563" spans="14:20" x14ac:dyDescent="0.25">
      <c r="N5563" s="514"/>
      <c r="R5563" s="293"/>
      <c r="S5563" s="316"/>
      <c r="T5563" s="355"/>
    </row>
    <row r="5564" spans="14:20" x14ac:dyDescent="0.25">
      <c r="N5564" s="514"/>
      <c r="R5564" s="293"/>
      <c r="S5564" s="316"/>
      <c r="T5564" s="355"/>
    </row>
    <row r="5565" spans="14:20" x14ac:dyDescent="0.25">
      <c r="N5565" s="514"/>
      <c r="R5565" s="293"/>
      <c r="S5565" s="316"/>
      <c r="T5565" s="355"/>
    </row>
    <row r="5566" spans="14:20" x14ac:dyDescent="0.25">
      <c r="N5566" s="514"/>
      <c r="R5566" s="293"/>
      <c r="S5566" s="316"/>
      <c r="T5566" s="355"/>
    </row>
    <row r="5567" spans="14:20" x14ac:dyDescent="0.25">
      <c r="N5567" s="514"/>
      <c r="R5567" s="293"/>
      <c r="S5567" s="316"/>
      <c r="T5567" s="355"/>
    </row>
    <row r="5568" spans="14:20" x14ac:dyDescent="0.25">
      <c r="N5568" s="514"/>
      <c r="R5568" s="293"/>
      <c r="S5568" s="316"/>
      <c r="T5568" s="355"/>
    </row>
    <row r="5569" spans="14:20" x14ac:dyDescent="0.25">
      <c r="N5569" s="514"/>
      <c r="R5569" s="293"/>
      <c r="S5569" s="316"/>
      <c r="T5569" s="355"/>
    </row>
    <row r="5570" spans="14:20" x14ac:dyDescent="0.25">
      <c r="N5570" s="514"/>
      <c r="R5570" s="293"/>
      <c r="S5570" s="316"/>
      <c r="T5570" s="355"/>
    </row>
    <row r="5571" spans="14:20" x14ac:dyDescent="0.25">
      <c r="N5571" s="514"/>
      <c r="R5571" s="293"/>
      <c r="S5571" s="316"/>
      <c r="T5571" s="355"/>
    </row>
    <row r="5572" spans="14:20" x14ac:dyDescent="0.25">
      <c r="N5572" s="514"/>
      <c r="R5572" s="293"/>
      <c r="S5572" s="316"/>
      <c r="T5572" s="355"/>
    </row>
    <row r="5573" spans="14:20" x14ac:dyDescent="0.25">
      <c r="N5573" s="514"/>
      <c r="R5573" s="293"/>
      <c r="S5573" s="316"/>
      <c r="T5573" s="355"/>
    </row>
    <row r="5574" spans="14:20" x14ac:dyDescent="0.25">
      <c r="N5574" s="514"/>
      <c r="R5574" s="293"/>
      <c r="S5574" s="316"/>
      <c r="T5574" s="355"/>
    </row>
    <row r="5575" spans="14:20" x14ac:dyDescent="0.25">
      <c r="N5575" s="514"/>
      <c r="R5575" s="293"/>
      <c r="S5575" s="316"/>
      <c r="T5575" s="355"/>
    </row>
    <row r="5576" spans="14:20" x14ac:dyDescent="0.25">
      <c r="N5576" s="514"/>
      <c r="R5576" s="293"/>
      <c r="S5576" s="316"/>
      <c r="T5576" s="355"/>
    </row>
    <row r="5577" spans="14:20" x14ac:dyDescent="0.25">
      <c r="N5577" s="514"/>
      <c r="R5577" s="293"/>
      <c r="S5577" s="316"/>
      <c r="T5577" s="355"/>
    </row>
    <row r="5578" spans="14:20" x14ac:dyDescent="0.25">
      <c r="N5578" s="514"/>
      <c r="R5578" s="293"/>
      <c r="S5578" s="316"/>
      <c r="T5578" s="355"/>
    </row>
    <row r="5579" spans="14:20" x14ac:dyDescent="0.25">
      <c r="N5579" s="514"/>
      <c r="R5579" s="293"/>
      <c r="S5579" s="316"/>
      <c r="T5579" s="355"/>
    </row>
    <row r="5580" spans="14:20" x14ac:dyDescent="0.25">
      <c r="N5580" s="514"/>
      <c r="R5580" s="293"/>
      <c r="S5580" s="316"/>
      <c r="T5580" s="355"/>
    </row>
    <row r="5581" spans="14:20" x14ac:dyDescent="0.25">
      <c r="N5581" s="514"/>
      <c r="R5581" s="293"/>
      <c r="S5581" s="316"/>
      <c r="T5581" s="355"/>
    </row>
    <row r="5582" spans="14:20" x14ac:dyDescent="0.25">
      <c r="N5582" s="514"/>
      <c r="R5582" s="293"/>
      <c r="S5582" s="316"/>
      <c r="T5582" s="355"/>
    </row>
    <row r="5583" spans="14:20" x14ac:dyDescent="0.25">
      <c r="N5583" s="514"/>
      <c r="R5583" s="293"/>
      <c r="S5583" s="316"/>
      <c r="T5583" s="355"/>
    </row>
    <row r="5584" spans="14:20" x14ac:dyDescent="0.25">
      <c r="N5584" s="514"/>
      <c r="R5584" s="293"/>
      <c r="S5584" s="316"/>
      <c r="T5584" s="355"/>
    </row>
    <row r="5585" spans="14:20" x14ac:dyDescent="0.25">
      <c r="N5585" s="514"/>
      <c r="R5585" s="293"/>
      <c r="S5585" s="316"/>
      <c r="T5585" s="355"/>
    </row>
    <row r="5586" spans="14:20" x14ac:dyDescent="0.25">
      <c r="N5586" s="514"/>
      <c r="R5586" s="293"/>
      <c r="S5586" s="316"/>
      <c r="T5586" s="355"/>
    </row>
    <row r="5587" spans="14:20" x14ac:dyDescent="0.25">
      <c r="N5587" s="514"/>
      <c r="R5587" s="293"/>
      <c r="S5587" s="316"/>
      <c r="T5587" s="355"/>
    </row>
    <row r="5588" spans="14:20" x14ac:dyDescent="0.25">
      <c r="N5588" s="514"/>
      <c r="R5588" s="293"/>
      <c r="S5588" s="316"/>
      <c r="T5588" s="355"/>
    </row>
    <row r="5589" spans="14:20" x14ac:dyDescent="0.25">
      <c r="N5589" s="514"/>
      <c r="R5589" s="293"/>
      <c r="S5589" s="316"/>
      <c r="T5589" s="355"/>
    </row>
    <row r="5590" spans="14:20" x14ac:dyDescent="0.25">
      <c r="N5590" s="514"/>
      <c r="R5590" s="293"/>
      <c r="S5590" s="316"/>
      <c r="T5590" s="355"/>
    </row>
    <row r="5591" spans="14:20" x14ac:dyDescent="0.25">
      <c r="N5591" s="514"/>
      <c r="R5591" s="293"/>
      <c r="S5591" s="316"/>
      <c r="T5591" s="355"/>
    </row>
    <row r="5592" spans="14:20" x14ac:dyDescent="0.25">
      <c r="N5592" s="514"/>
      <c r="R5592" s="293"/>
      <c r="S5592" s="316"/>
      <c r="T5592" s="355"/>
    </row>
    <row r="5593" spans="14:20" x14ac:dyDescent="0.25">
      <c r="N5593" s="514"/>
      <c r="R5593" s="293"/>
      <c r="S5593" s="316"/>
      <c r="T5593" s="355"/>
    </row>
    <row r="5594" spans="14:20" x14ac:dyDescent="0.25">
      <c r="N5594" s="514"/>
      <c r="R5594" s="293"/>
      <c r="S5594" s="316"/>
      <c r="T5594" s="355"/>
    </row>
    <row r="5595" spans="14:20" x14ac:dyDescent="0.25">
      <c r="N5595" s="514"/>
      <c r="R5595" s="293"/>
      <c r="S5595" s="316"/>
      <c r="T5595" s="355"/>
    </row>
    <row r="5596" spans="14:20" x14ac:dyDescent="0.25">
      <c r="N5596" s="514"/>
      <c r="R5596" s="293"/>
      <c r="S5596" s="316"/>
      <c r="T5596" s="355"/>
    </row>
    <row r="5597" spans="14:20" x14ac:dyDescent="0.25">
      <c r="N5597" s="514"/>
      <c r="R5597" s="293"/>
      <c r="S5597" s="316"/>
      <c r="T5597" s="355"/>
    </row>
    <row r="5598" spans="14:20" x14ac:dyDescent="0.25">
      <c r="N5598" s="514"/>
      <c r="R5598" s="293"/>
      <c r="S5598" s="316"/>
      <c r="T5598" s="355"/>
    </row>
    <row r="5599" spans="14:20" x14ac:dyDescent="0.25">
      <c r="N5599" s="514"/>
      <c r="R5599" s="293"/>
      <c r="S5599" s="316"/>
      <c r="T5599" s="355"/>
    </row>
    <row r="5600" spans="14:20" x14ac:dyDescent="0.25">
      <c r="N5600" s="514"/>
      <c r="R5600" s="293"/>
      <c r="S5600" s="316"/>
      <c r="T5600" s="355"/>
    </row>
    <row r="5601" spans="14:20" x14ac:dyDescent="0.25">
      <c r="N5601" s="514"/>
      <c r="R5601" s="293"/>
      <c r="S5601" s="316"/>
      <c r="T5601" s="355"/>
    </row>
    <row r="5602" spans="14:20" x14ac:dyDescent="0.25">
      <c r="N5602" s="514"/>
      <c r="R5602" s="293"/>
      <c r="S5602" s="316"/>
      <c r="T5602" s="355"/>
    </row>
    <row r="5603" spans="14:20" x14ac:dyDescent="0.25">
      <c r="N5603" s="514"/>
      <c r="R5603" s="293"/>
      <c r="S5603" s="316"/>
      <c r="T5603" s="355"/>
    </row>
    <row r="5604" spans="14:20" x14ac:dyDescent="0.25">
      <c r="N5604" s="514"/>
      <c r="R5604" s="293"/>
      <c r="S5604" s="316"/>
      <c r="T5604" s="355"/>
    </row>
    <row r="5605" spans="14:20" x14ac:dyDescent="0.25">
      <c r="N5605" s="514"/>
      <c r="R5605" s="293"/>
      <c r="S5605" s="316"/>
      <c r="T5605" s="355"/>
    </row>
    <row r="5606" spans="14:20" x14ac:dyDescent="0.25">
      <c r="N5606" s="514"/>
      <c r="R5606" s="293"/>
      <c r="S5606" s="316"/>
      <c r="T5606" s="355"/>
    </row>
    <row r="5607" spans="14:20" x14ac:dyDescent="0.25">
      <c r="N5607" s="514"/>
      <c r="R5607" s="293"/>
      <c r="S5607" s="316"/>
      <c r="T5607" s="355"/>
    </row>
    <row r="5608" spans="14:20" x14ac:dyDescent="0.25">
      <c r="N5608" s="514"/>
      <c r="R5608" s="293"/>
      <c r="S5608" s="316"/>
      <c r="T5608" s="355"/>
    </row>
    <row r="5609" spans="14:20" x14ac:dyDescent="0.25">
      <c r="N5609" s="514"/>
      <c r="R5609" s="293"/>
      <c r="S5609" s="316"/>
      <c r="T5609" s="355"/>
    </row>
    <row r="5610" spans="14:20" x14ac:dyDescent="0.25">
      <c r="N5610" s="514"/>
      <c r="R5610" s="293"/>
      <c r="S5610" s="316"/>
      <c r="T5610" s="355"/>
    </row>
    <row r="5611" spans="14:20" x14ac:dyDescent="0.25">
      <c r="N5611" s="514"/>
      <c r="R5611" s="293"/>
      <c r="S5611" s="316"/>
      <c r="T5611" s="355"/>
    </row>
    <row r="5612" spans="14:20" x14ac:dyDescent="0.25">
      <c r="N5612" s="514"/>
      <c r="R5612" s="293"/>
      <c r="S5612" s="316"/>
      <c r="T5612" s="355"/>
    </row>
    <row r="5613" spans="14:20" x14ac:dyDescent="0.25">
      <c r="N5613" s="514"/>
      <c r="R5613" s="293"/>
      <c r="S5613" s="316"/>
      <c r="T5613" s="355"/>
    </row>
    <row r="5614" spans="14:20" x14ac:dyDescent="0.25">
      <c r="N5614" s="514"/>
      <c r="R5614" s="293"/>
      <c r="S5614" s="316"/>
      <c r="T5614" s="355"/>
    </row>
    <row r="5615" spans="14:20" x14ac:dyDescent="0.25">
      <c r="N5615" s="514"/>
      <c r="R5615" s="293"/>
      <c r="S5615" s="316"/>
      <c r="T5615" s="355"/>
    </row>
    <row r="5616" spans="14:20" x14ac:dyDescent="0.25">
      <c r="N5616" s="514"/>
      <c r="R5616" s="293"/>
      <c r="S5616" s="316"/>
      <c r="T5616" s="355"/>
    </row>
    <row r="5617" spans="14:20" x14ac:dyDescent="0.25">
      <c r="N5617" s="514"/>
      <c r="R5617" s="293"/>
      <c r="S5617" s="316"/>
      <c r="T5617" s="355"/>
    </row>
    <row r="5618" spans="14:20" x14ac:dyDescent="0.25">
      <c r="N5618" s="514"/>
      <c r="R5618" s="293"/>
      <c r="S5618" s="316"/>
      <c r="T5618" s="355"/>
    </row>
    <row r="5619" spans="14:20" x14ac:dyDescent="0.25">
      <c r="N5619" s="514"/>
      <c r="R5619" s="293"/>
      <c r="S5619" s="316"/>
      <c r="T5619" s="355"/>
    </row>
    <row r="5620" spans="14:20" x14ac:dyDescent="0.25">
      <c r="N5620" s="514"/>
      <c r="R5620" s="293"/>
      <c r="S5620" s="316"/>
      <c r="T5620" s="355"/>
    </row>
    <row r="5621" spans="14:20" x14ac:dyDescent="0.25">
      <c r="N5621" s="514"/>
      <c r="R5621" s="293"/>
      <c r="S5621" s="316"/>
      <c r="T5621" s="355"/>
    </row>
    <row r="5622" spans="14:20" x14ac:dyDescent="0.25">
      <c r="N5622" s="514"/>
      <c r="R5622" s="293"/>
      <c r="S5622" s="316"/>
      <c r="T5622" s="355"/>
    </row>
    <row r="5623" spans="14:20" x14ac:dyDescent="0.25">
      <c r="N5623" s="514"/>
      <c r="R5623" s="293"/>
      <c r="S5623" s="316"/>
      <c r="T5623" s="355"/>
    </row>
    <row r="5624" spans="14:20" x14ac:dyDescent="0.25">
      <c r="N5624" s="514"/>
      <c r="R5624" s="293"/>
      <c r="S5624" s="316"/>
      <c r="T5624" s="355"/>
    </row>
    <row r="5625" spans="14:20" x14ac:dyDescent="0.25">
      <c r="N5625" s="514"/>
      <c r="R5625" s="293"/>
      <c r="S5625" s="316"/>
      <c r="T5625" s="355"/>
    </row>
    <row r="5626" spans="14:20" x14ac:dyDescent="0.25">
      <c r="N5626" s="514"/>
      <c r="R5626" s="293"/>
      <c r="S5626" s="316"/>
      <c r="T5626" s="355"/>
    </row>
    <row r="5627" spans="14:20" x14ac:dyDescent="0.25">
      <c r="N5627" s="514"/>
      <c r="R5627" s="293"/>
      <c r="S5627" s="316"/>
      <c r="T5627" s="355"/>
    </row>
    <row r="5628" spans="14:20" x14ac:dyDescent="0.25">
      <c r="N5628" s="514"/>
      <c r="R5628" s="293"/>
      <c r="S5628" s="316"/>
      <c r="T5628" s="355"/>
    </row>
    <row r="5629" spans="14:20" x14ac:dyDescent="0.25">
      <c r="N5629" s="514"/>
      <c r="R5629" s="293"/>
      <c r="S5629" s="316"/>
      <c r="T5629" s="355"/>
    </row>
    <row r="5630" spans="14:20" x14ac:dyDescent="0.25">
      <c r="N5630" s="514"/>
      <c r="R5630" s="293"/>
      <c r="S5630" s="316"/>
      <c r="T5630" s="355"/>
    </row>
    <row r="5631" spans="14:20" x14ac:dyDescent="0.25">
      <c r="N5631" s="514"/>
      <c r="R5631" s="293"/>
      <c r="S5631" s="316"/>
      <c r="T5631" s="355"/>
    </row>
    <row r="5632" spans="14:20" x14ac:dyDescent="0.25">
      <c r="N5632" s="514"/>
      <c r="R5632" s="293"/>
      <c r="S5632" s="316"/>
      <c r="T5632" s="355"/>
    </row>
    <row r="5633" spans="14:20" x14ac:dyDescent="0.25">
      <c r="N5633" s="514"/>
      <c r="R5633" s="293"/>
      <c r="S5633" s="316"/>
      <c r="T5633" s="355"/>
    </row>
    <row r="5634" spans="14:20" x14ac:dyDescent="0.25">
      <c r="N5634" s="514"/>
      <c r="R5634" s="293"/>
      <c r="S5634" s="316"/>
      <c r="T5634" s="355"/>
    </row>
    <row r="5635" spans="14:20" x14ac:dyDescent="0.25">
      <c r="N5635" s="514"/>
      <c r="R5635" s="293"/>
      <c r="S5635" s="316"/>
      <c r="T5635" s="355"/>
    </row>
    <row r="5636" spans="14:20" x14ac:dyDescent="0.25">
      <c r="N5636" s="514"/>
      <c r="R5636" s="293"/>
      <c r="S5636" s="316"/>
      <c r="T5636" s="355"/>
    </row>
    <row r="5637" spans="14:20" x14ac:dyDescent="0.25">
      <c r="N5637" s="514"/>
      <c r="R5637" s="293"/>
      <c r="S5637" s="316"/>
      <c r="T5637" s="355"/>
    </row>
    <row r="5638" spans="14:20" x14ac:dyDescent="0.25">
      <c r="N5638" s="514"/>
      <c r="R5638" s="293"/>
      <c r="S5638" s="316"/>
      <c r="T5638" s="355"/>
    </row>
    <row r="5639" spans="14:20" x14ac:dyDescent="0.25">
      <c r="N5639" s="514"/>
      <c r="R5639" s="293"/>
      <c r="S5639" s="316"/>
      <c r="T5639" s="355"/>
    </row>
    <row r="5640" spans="14:20" x14ac:dyDescent="0.25">
      <c r="N5640" s="514"/>
      <c r="R5640" s="293"/>
      <c r="S5640" s="316"/>
      <c r="T5640" s="355"/>
    </row>
    <row r="5641" spans="14:20" x14ac:dyDescent="0.25">
      <c r="N5641" s="514"/>
      <c r="R5641" s="293"/>
      <c r="S5641" s="316"/>
      <c r="T5641" s="355"/>
    </row>
    <row r="5642" spans="14:20" x14ac:dyDescent="0.25">
      <c r="N5642" s="514"/>
      <c r="R5642" s="293"/>
      <c r="S5642" s="316"/>
      <c r="T5642" s="355"/>
    </row>
    <row r="5643" spans="14:20" x14ac:dyDescent="0.25">
      <c r="N5643" s="514"/>
      <c r="R5643" s="293"/>
      <c r="S5643" s="316"/>
      <c r="T5643" s="355"/>
    </row>
    <row r="5644" spans="14:20" x14ac:dyDescent="0.25">
      <c r="N5644" s="514"/>
      <c r="R5644" s="293"/>
      <c r="S5644" s="316"/>
      <c r="T5644" s="355"/>
    </row>
    <row r="5645" spans="14:20" x14ac:dyDescent="0.25">
      <c r="N5645" s="514"/>
      <c r="R5645" s="293"/>
      <c r="S5645" s="316"/>
      <c r="T5645" s="355"/>
    </row>
    <row r="5646" spans="14:20" x14ac:dyDescent="0.25">
      <c r="N5646" s="514"/>
      <c r="R5646" s="293"/>
      <c r="S5646" s="316"/>
      <c r="T5646" s="355"/>
    </row>
    <row r="5647" spans="14:20" x14ac:dyDescent="0.25">
      <c r="N5647" s="514"/>
      <c r="R5647" s="293"/>
      <c r="S5647" s="316"/>
      <c r="T5647" s="355"/>
    </row>
    <row r="5648" spans="14:20" x14ac:dyDescent="0.25">
      <c r="N5648" s="514"/>
      <c r="R5648" s="293"/>
      <c r="S5648" s="316"/>
      <c r="T5648" s="355"/>
    </row>
    <row r="5649" spans="14:20" x14ac:dyDescent="0.25">
      <c r="N5649" s="514"/>
      <c r="R5649" s="293"/>
      <c r="S5649" s="316"/>
      <c r="T5649" s="355"/>
    </row>
    <row r="5650" spans="14:20" x14ac:dyDescent="0.25">
      <c r="N5650" s="514"/>
      <c r="R5650" s="293"/>
      <c r="S5650" s="316"/>
      <c r="T5650" s="355"/>
    </row>
    <row r="5651" spans="14:20" x14ac:dyDescent="0.25">
      <c r="N5651" s="514"/>
      <c r="R5651" s="293"/>
      <c r="S5651" s="316"/>
      <c r="T5651" s="355"/>
    </row>
    <row r="5652" spans="14:20" x14ac:dyDescent="0.25">
      <c r="N5652" s="514"/>
      <c r="R5652" s="293"/>
      <c r="S5652" s="316"/>
      <c r="T5652" s="355"/>
    </row>
    <row r="5653" spans="14:20" x14ac:dyDescent="0.25">
      <c r="N5653" s="514"/>
      <c r="R5653" s="293"/>
      <c r="S5653" s="316"/>
      <c r="T5653" s="355"/>
    </row>
    <row r="5654" spans="14:20" x14ac:dyDescent="0.25">
      <c r="N5654" s="514"/>
      <c r="R5654" s="293"/>
      <c r="S5654" s="316"/>
      <c r="T5654" s="355"/>
    </row>
    <row r="5655" spans="14:20" x14ac:dyDescent="0.25">
      <c r="N5655" s="514"/>
      <c r="R5655" s="293"/>
      <c r="S5655" s="316"/>
      <c r="T5655" s="355"/>
    </row>
    <row r="5656" spans="14:20" x14ac:dyDescent="0.25">
      <c r="N5656" s="514"/>
      <c r="R5656" s="293"/>
      <c r="S5656" s="316"/>
      <c r="T5656" s="355"/>
    </row>
    <row r="5657" spans="14:20" x14ac:dyDescent="0.25">
      <c r="N5657" s="514"/>
      <c r="R5657" s="293"/>
      <c r="S5657" s="316"/>
      <c r="T5657" s="355"/>
    </row>
    <row r="5658" spans="14:20" x14ac:dyDescent="0.25">
      <c r="N5658" s="514"/>
      <c r="R5658" s="293"/>
      <c r="S5658" s="316"/>
      <c r="T5658" s="355"/>
    </row>
    <row r="5659" spans="14:20" x14ac:dyDescent="0.25">
      <c r="N5659" s="514"/>
      <c r="R5659" s="293"/>
      <c r="S5659" s="316"/>
      <c r="T5659" s="355"/>
    </row>
    <row r="5660" spans="14:20" x14ac:dyDescent="0.25">
      <c r="N5660" s="514"/>
      <c r="R5660" s="293"/>
      <c r="S5660" s="316"/>
      <c r="T5660" s="355"/>
    </row>
    <row r="5661" spans="14:20" x14ac:dyDescent="0.25">
      <c r="N5661" s="514"/>
      <c r="R5661" s="293"/>
      <c r="S5661" s="316"/>
      <c r="T5661" s="355"/>
    </row>
    <row r="5662" spans="14:20" x14ac:dyDescent="0.25">
      <c r="N5662" s="514"/>
      <c r="R5662" s="293"/>
      <c r="S5662" s="316"/>
      <c r="T5662" s="355"/>
    </row>
    <row r="5663" spans="14:20" x14ac:dyDescent="0.25">
      <c r="N5663" s="514"/>
      <c r="R5663" s="293"/>
      <c r="S5663" s="316"/>
      <c r="T5663" s="355"/>
    </row>
    <row r="5664" spans="14:20" x14ac:dyDescent="0.25">
      <c r="N5664" s="514"/>
      <c r="R5664" s="293"/>
      <c r="S5664" s="316"/>
      <c r="T5664" s="355"/>
    </row>
    <row r="5665" spans="14:20" x14ac:dyDescent="0.25">
      <c r="N5665" s="514"/>
      <c r="R5665" s="293"/>
      <c r="S5665" s="316"/>
      <c r="T5665" s="355"/>
    </row>
    <row r="5666" spans="14:20" x14ac:dyDescent="0.25">
      <c r="N5666" s="514"/>
      <c r="R5666" s="293"/>
      <c r="S5666" s="316"/>
      <c r="T5666" s="355"/>
    </row>
    <row r="5667" spans="14:20" x14ac:dyDescent="0.25">
      <c r="N5667" s="514"/>
      <c r="R5667" s="293"/>
      <c r="S5667" s="316"/>
      <c r="T5667" s="355"/>
    </row>
    <row r="5668" spans="14:20" x14ac:dyDescent="0.25">
      <c r="N5668" s="514"/>
      <c r="R5668" s="293"/>
      <c r="S5668" s="316"/>
      <c r="T5668" s="355"/>
    </row>
    <row r="5669" spans="14:20" x14ac:dyDescent="0.25">
      <c r="N5669" s="514"/>
      <c r="R5669" s="293"/>
      <c r="S5669" s="316"/>
      <c r="T5669" s="355"/>
    </row>
    <row r="5670" spans="14:20" x14ac:dyDescent="0.25">
      <c r="N5670" s="514"/>
      <c r="R5670" s="293"/>
      <c r="S5670" s="316"/>
      <c r="T5670" s="355"/>
    </row>
    <row r="5671" spans="14:20" x14ac:dyDescent="0.25">
      <c r="N5671" s="514"/>
      <c r="R5671" s="293"/>
      <c r="S5671" s="316"/>
      <c r="T5671" s="355"/>
    </row>
    <row r="5672" spans="14:20" x14ac:dyDescent="0.25">
      <c r="N5672" s="514"/>
      <c r="R5672" s="293"/>
      <c r="S5672" s="316"/>
      <c r="T5672" s="355"/>
    </row>
    <row r="5673" spans="14:20" x14ac:dyDescent="0.25">
      <c r="N5673" s="514"/>
      <c r="R5673" s="293"/>
      <c r="S5673" s="316"/>
      <c r="T5673" s="355"/>
    </row>
    <row r="5674" spans="14:20" x14ac:dyDescent="0.25">
      <c r="N5674" s="514"/>
      <c r="R5674" s="293"/>
      <c r="S5674" s="316"/>
      <c r="T5674" s="355"/>
    </row>
    <row r="5675" spans="14:20" x14ac:dyDescent="0.25">
      <c r="N5675" s="514"/>
      <c r="R5675" s="293"/>
      <c r="S5675" s="316"/>
      <c r="T5675" s="355"/>
    </row>
    <row r="5676" spans="14:20" x14ac:dyDescent="0.25">
      <c r="N5676" s="514"/>
      <c r="R5676" s="293"/>
      <c r="S5676" s="316"/>
      <c r="T5676" s="355"/>
    </row>
    <row r="5677" spans="14:20" x14ac:dyDescent="0.25">
      <c r="N5677" s="514"/>
      <c r="R5677" s="293"/>
      <c r="S5677" s="316"/>
      <c r="T5677" s="355"/>
    </row>
    <row r="5678" spans="14:20" x14ac:dyDescent="0.25">
      <c r="N5678" s="514"/>
      <c r="R5678" s="293"/>
      <c r="S5678" s="316"/>
      <c r="T5678" s="355"/>
    </row>
    <row r="5679" spans="14:20" x14ac:dyDescent="0.25">
      <c r="N5679" s="514"/>
      <c r="R5679" s="293"/>
      <c r="S5679" s="316"/>
      <c r="T5679" s="355"/>
    </row>
    <row r="5680" spans="14:20" x14ac:dyDescent="0.25">
      <c r="N5680" s="514"/>
      <c r="R5680" s="293"/>
      <c r="S5680" s="316"/>
      <c r="T5680" s="355"/>
    </row>
    <row r="5681" spans="14:20" x14ac:dyDescent="0.25">
      <c r="N5681" s="514"/>
      <c r="R5681" s="293"/>
      <c r="S5681" s="316"/>
      <c r="T5681" s="355"/>
    </row>
    <row r="5682" spans="14:20" x14ac:dyDescent="0.25">
      <c r="N5682" s="514"/>
      <c r="R5682" s="293"/>
      <c r="S5682" s="316"/>
      <c r="T5682" s="355"/>
    </row>
    <row r="5683" spans="14:20" x14ac:dyDescent="0.25">
      <c r="N5683" s="514"/>
      <c r="R5683" s="293"/>
      <c r="S5683" s="316"/>
      <c r="T5683" s="355"/>
    </row>
    <row r="5684" spans="14:20" x14ac:dyDescent="0.25">
      <c r="N5684" s="514"/>
      <c r="R5684" s="293"/>
      <c r="S5684" s="316"/>
      <c r="T5684" s="355"/>
    </row>
    <row r="5685" spans="14:20" x14ac:dyDescent="0.25">
      <c r="N5685" s="514"/>
      <c r="R5685" s="293"/>
      <c r="S5685" s="316"/>
      <c r="T5685" s="355"/>
    </row>
    <row r="5686" spans="14:20" x14ac:dyDescent="0.25">
      <c r="N5686" s="514"/>
      <c r="R5686" s="293"/>
      <c r="S5686" s="316"/>
      <c r="T5686" s="355"/>
    </row>
    <row r="5687" spans="14:20" x14ac:dyDescent="0.25">
      <c r="N5687" s="514"/>
      <c r="R5687" s="293"/>
      <c r="S5687" s="316"/>
      <c r="T5687" s="355"/>
    </row>
    <row r="5688" spans="14:20" x14ac:dyDescent="0.25">
      <c r="N5688" s="514"/>
      <c r="R5688" s="293"/>
      <c r="S5688" s="316"/>
      <c r="T5688" s="355"/>
    </row>
    <row r="5689" spans="14:20" x14ac:dyDescent="0.25">
      <c r="N5689" s="514"/>
      <c r="R5689" s="293"/>
      <c r="S5689" s="316"/>
      <c r="T5689" s="355"/>
    </row>
    <row r="5690" spans="14:20" x14ac:dyDescent="0.25">
      <c r="N5690" s="514"/>
      <c r="R5690" s="293"/>
      <c r="S5690" s="316"/>
      <c r="T5690" s="355"/>
    </row>
    <row r="5691" spans="14:20" x14ac:dyDescent="0.25">
      <c r="N5691" s="514"/>
      <c r="R5691" s="293"/>
      <c r="S5691" s="316"/>
      <c r="T5691" s="355"/>
    </row>
    <row r="5692" spans="14:20" x14ac:dyDescent="0.25">
      <c r="N5692" s="514"/>
      <c r="R5692" s="293"/>
      <c r="S5692" s="316"/>
      <c r="T5692" s="355"/>
    </row>
    <row r="5693" spans="14:20" x14ac:dyDescent="0.25">
      <c r="N5693" s="514"/>
      <c r="R5693" s="293"/>
      <c r="S5693" s="316"/>
      <c r="T5693" s="355"/>
    </row>
    <row r="5694" spans="14:20" x14ac:dyDescent="0.25">
      <c r="N5694" s="514"/>
      <c r="R5694" s="293"/>
      <c r="S5694" s="316"/>
      <c r="T5694" s="355"/>
    </row>
    <row r="5695" spans="14:20" x14ac:dyDescent="0.25">
      <c r="N5695" s="514"/>
      <c r="R5695" s="293"/>
      <c r="S5695" s="316"/>
      <c r="T5695" s="355"/>
    </row>
    <row r="5696" spans="14:20" x14ac:dyDescent="0.25">
      <c r="N5696" s="514"/>
      <c r="R5696" s="293"/>
      <c r="S5696" s="316"/>
      <c r="T5696" s="355"/>
    </row>
    <row r="5697" spans="14:20" x14ac:dyDescent="0.25">
      <c r="N5697" s="514"/>
      <c r="R5697" s="293"/>
      <c r="S5697" s="316"/>
      <c r="T5697" s="355"/>
    </row>
    <row r="5698" spans="14:20" x14ac:dyDescent="0.25">
      <c r="N5698" s="514"/>
      <c r="R5698" s="293"/>
      <c r="S5698" s="316"/>
      <c r="T5698" s="355"/>
    </row>
    <row r="5699" spans="14:20" x14ac:dyDescent="0.25">
      <c r="N5699" s="514"/>
      <c r="R5699" s="293"/>
      <c r="S5699" s="316"/>
      <c r="T5699" s="355"/>
    </row>
    <row r="5700" spans="14:20" x14ac:dyDescent="0.25">
      <c r="N5700" s="514"/>
      <c r="R5700" s="293"/>
      <c r="S5700" s="316"/>
      <c r="T5700" s="355"/>
    </row>
    <row r="5701" spans="14:20" x14ac:dyDescent="0.25">
      <c r="N5701" s="514"/>
      <c r="R5701" s="293"/>
      <c r="S5701" s="316"/>
      <c r="T5701" s="355"/>
    </row>
    <row r="5702" spans="14:20" x14ac:dyDescent="0.25">
      <c r="N5702" s="514"/>
      <c r="R5702" s="293"/>
      <c r="S5702" s="316"/>
      <c r="T5702" s="355"/>
    </row>
    <row r="5703" spans="14:20" x14ac:dyDescent="0.25">
      <c r="N5703" s="514"/>
      <c r="R5703" s="293"/>
      <c r="S5703" s="316"/>
      <c r="T5703" s="355"/>
    </row>
    <row r="5704" spans="14:20" x14ac:dyDescent="0.25">
      <c r="N5704" s="514"/>
      <c r="R5704" s="293"/>
      <c r="S5704" s="316"/>
      <c r="T5704" s="355"/>
    </row>
    <row r="5705" spans="14:20" x14ac:dyDescent="0.25">
      <c r="N5705" s="514"/>
      <c r="R5705" s="293"/>
      <c r="S5705" s="316"/>
      <c r="T5705" s="355"/>
    </row>
    <row r="5706" spans="14:20" x14ac:dyDescent="0.25">
      <c r="N5706" s="514"/>
      <c r="R5706" s="293"/>
      <c r="S5706" s="316"/>
      <c r="T5706" s="355"/>
    </row>
    <row r="5707" spans="14:20" x14ac:dyDescent="0.25">
      <c r="N5707" s="514"/>
      <c r="R5707" s="293"/>
      <c r="S5707" s="316"/>
      <c r="T5707" s="355"/>
    </row>
    <row r="5708" spans="14:20" x14ac:dyDescent="0.25">
      <c r="N5708" s="514"/>
      <c r="R5708" s="293"/>
      <c r="S5708" s="316"/>
      <c r="T5708" s="355"/>
    </row>
    <row r="5709" spans="14:20" x14ac:dyDescent="0.25">
      <c r="N5709" s="514"/>
      <c r="R5709" s="293"/>
      <c r="S5709" s="316"/>
      <c r="T5709" s="355"/>
    </row>
    <row r="5710" spans="14:20" x14ac:dyDescent="0.25">
      <c r="N5710" s="514"/>
      <c r="R5710" s="293"/>
      <c r="S5710" s="316"/>
      <c r="T5710" s="355"/>
    </row>
    <row r="5711" spans="14:20" x14ac:dyDescent="0.25">
      <c r="N5711" s="514"/>
      <c r="R5711" s="293"/>
      <c r="S5711" s="316"/>
      <c r="T5711" s="355"/>
    </row>
    <row r="5712" spans="14:20" x14ac:dyDescent="0.25">
      <c r="N5712" s="514"/>
      <c r="R5712" s="293"/>
      <c r="S5712" s="316"/>
      <c r="T5712" s="355"/>
    </row>
    <row r="5713" spans="14:20" x14ac:dyDescent="0.25">
      <c r="N5713" s="514"/>
      <c r="R5713" s="293"/>
      <c r="S5713" s="316"/>
      <c r="T5713" s="355"/>
    </row>
    <row r="5714" spans="14:20" x14ac:dyDescent="0.25">
      <c r="N5714" s="514"/>
      <c r="R5714" s="293"/>
      <c r="S5714" s="316"/>
      <c r="T5714" s="355"/>
    </row>
    <row r="5715" spans="14:20" x14ac:dyDescent="0.25">
      <c r="N5715" s="514"/>
      <c r="R5715" s="293"/>
      <c r="S5715" s="316"/>
      <c r="T5715" s="355"/>
    </row>
    <row r="5716" spans="14:20" x14ac:dyDescent="0.25">
      <c r="N5716" s="514"/>
      <c r="R5716" s="293"/>
      <c r="S5716" s="316"/>
      <c r="T5716" s="355"/>
    </row>
    <row r="5717" spans="14:20" x14ac:dyDescent="0.25">
      <c r="N5717" s="514"/>
      <c r="R5717" s="293"/>
      <c r="S5717" s="316"/>
      <c r="T5717" s="355"/>
    </row>
    <row r="5718" spans="14:20" x14ac:dyDescent="0.25">
      <c r="N5718" s="514"/>
      <c r="R5718" s="293"/>
      <c r="S5718" s="316"/>
      <c r="T5718" s="355"/>
    </row>
    <row r="5719" spans="14:20" x14ac:dyDescent="0.25">
      <c r="N5719" s="514"/>
      <c r="R5719" s="293"/>
      <c r="S5719" s="316"/>
      <c r="T5719" s="355"/>
    </row>
    <row r="5720" spans="14:20" x14ac:dyDescent="0.25">
      <c r="N5720" s="514"/>
      <c r="R5720" s="293"/>
      <c r="S5720" s="316"/>
      <c r="T5720" s="355"/>
    </row>
    <row r="5721" spans="14:20" x14ac:dyDescent="0.25">
      <c r="N5721" s="514"/>
      <c r="R5721" s="293"/>
      <c r="S5721" s="316"/>
      <c r="T5721" s="355"/>
    </row>
    <row r="5722" spans="14:20" x14ac:dyDescent="0.25">
      <c r="N5722" s="514"/>
      <c r="R5722" s="293"/>
      <c r="S5722" s="316"/>
      <c r="T5722" s="355"/>
    </row>
    <row r="5723" spans="14:20" x14ac:dyDescent="0.25">
      <c r="N5723" s="514"/>
      <c r="R5723" s="293"/>
      <c r="S5723" s="316"/>
      <c r="T5723" s="355"/>
    </row>
    <row r="5724" spans="14:20" x14ac:dyDescent="0.25">
      <c r="N5724" s="514"/>
      <c r="R5724" s="293"/>
      <c r="S5724" s="316"/>
      <c r="T5724" s="355"/>
    </row>
    <row r="5725" spans="14:20" x14ac:dyDescent="0.25">
      <c r="N5725" s="514"/>
      <c r="R5725" s="293"/>
      <c r="S5725" s="316"/>
      <c r="T5725" s="355"/>
    </row>
    <row r="5726" spans="14:20" x14ac:dyDescent="0.25">
      <c r="N5726" s="514"/>
      <c r="R5726" s="293"/>
      <c r="S5726" s="316"/>
      <c r="T5726" s="355"/>
    </row>
    <row r="5727" spans="14:20" x14ac:dyDescent="0.25">
      <c r="N5727" s="514"/>
      <c r="R5727" s="293"/>
      <c r="S5727" s="316"/>
      <c r="T5727" s="355"/>
    </row>
    <row r="5728" spans="14:20" x14ac:dyDescent="0.25">
      <c r="N5728" s="514"/>
      <c r="R5728" s="293"/>
      <c r="S5728" s="316"/>
      <c r="T5728" s="355"/>
    </row>
    <row r="5729" spans="14:20" x14ac:dyDescent="0.25">
      <c r="N5729" s="514"/>
      <c r="R5729" s="293"/>
      <c r="S5729" s="316"/>
      <c r="T5729" s="355"/>
    </row>
    <row r="5730" spans="14:20" x14ac:dyDescent="0.25">
      <c r="N5730" s="514"/>
      <c r="R5730" s="293"/>
      <c r="S5730" s="316"/>
      <c r="T5730" s="355"/>
    </row>
    <row r="5731" spans="14:20" x14ac:dyDescent="0.25">
      <c r="N5731" s="514"/>
      <c r="R5731" s="293"/>
      <c r="S5731" s="316"/>
      <c r="T5731" s="355"/>
    </row>
    <row r="5732" spans="14:20" x14ac:dyDescent="0.25">
      <c r="N5732" s="514"/>
      <c r="R5732" s="293"/>
      <c r="S5732" s="316"/>
      <c r="T5732" s="355"/>
    </row>
    <row r="5733" spans="14:20" x14ac:dyDescent="0.25">
      <c r="N5733" s="514"/>
      <c r="R5733" s="293"/>
      <c r="S5733" s="316"/>
      <c r="T5733" s="355"/>
    </row>
    <row r="5734" spans="14:20" x14ac:dyDescent="0.25">
      <c r="N5734" s="514"/>
      <c r="R5734" s="293"/>
      <c r="S5734" s="316"/>
      <c r="T5734" s="355"/>
    </row>
    <row r="5735" spans="14:20" x14ac:dyDescent="0.25">
      <c r="N5735" s="514"/>
      <c r="R5735" s="293"/>
      <c r="S5735" s="316"/>
      <c r="T5735" s="355"/>
    </row>
    <row r="5736" spans="14:20" x14ac:dyDescent="0.25">
      <c r="N5736" s="514"/>
      <c r="R5736" s="293"/>
      <c r="S5736" s="316"/>
      <c r="T5736" s="355"/>
    </row>
    <row r="5737" spans="14:20" x14ac:dyDescent="0.25">
      <c r="N5737" s="514"/>
      <c r="R5737" s="293"/>
      <c r="S5737" s="316"/>
      <c r="T5737" s="355"/>
    </row>
    <row r="5738" spans="14:20" x14ac:dyDescent="0.25">
      <c r="N5738" s="514"/>
      <c r="R5738" s="293"/>
      <c r="S5738" s="316"/>
      <c r="T5738" s="355"/>
    </row>
    <row r="5739" spans="14:20" x14ac:dyDescent="0.25">
      <c r="N5739" s="514"/>
      <c r="R5739" s="293"/>
      <c r="S5739" s="316"/>
      <c r="T5739" s="355"/>
    </row>
    <row r="5740" spans="14:20" x14ac:dyDescent="0.25">
      <c r="N5740" s="514"/>
      <c r="R5740" s="293"/>
      <c r="S5740" s="316"/>
      <c r="T5740" s="355"/>
    </row>
    <row r="5741" spans="14:20" x14ac:dyDescent="0.25">
      <c r="N5741" s="514"/>
      <c r="R5741" s="293"/>
      <c r="S5741" s="316"/>
      <c r="T5741" s="355"/>
    </row>
    <row r="5742" spans="14:20" x14ac:dyDescent="0.25">
      <c r="N5742" s="514"/>
      <c r="R5742" s="293"/>
      <c r="S5742" s="316"/>
      <c r="T5742" s="355"/>
    </row>
    <row r="5743" spans="14:20" x14ac:dyDescent="0.25">
      <c r="N5743" s="514"/>
      <c r="R5743" s="293"/>
      <c r="S5743" s="316"/>
      <c r="T5743" s="355"/>
    </row>
    <row r="5744" spans="14:20" x14ac:dyDescent="0.25">
      <c r="N5744" s="514"/>
      <c r="R5744" s="293"/>
      <c r="S5744" s="316"/>
      <c r="T5744" s="355"/>
    </row>
    <row r="5745" spans="14:20" x14ac:dyDescent="0.25">
      <c r="N5745" s="514"/>
      <c r="R5745" s="293"/>
      <c r="S5745" s="316"/>
      <c r="T5745" s="355"/>
    </row>
    <row r="5746" spans="14:20" x14ac:dyDescent="0.25">
      <c r="N5746" s="514"/>
      <c r="R5746" s="293"/>
      <c r="S5746" s="316"/>
      <c r="T5746" s="355"/>
    </row>
    <row r="5747" spans="14:20" x14ac:dyDescent="0.25">
      <c r="N5747" s="514"/>
      <c r="R5747" s="293"/>
      <c r="S5747" s="316"/>
      <c r="T5747" s="355"/>
    </row>
    <row r="5748" spans="14:20" x14ac:dyDescent="0.25">
      <c r="N5748" s="514"/>
      <c r="R5748" s="293"/>
      <c r="S5748" s="316"/>
      <c r="T5748" s="355"/>
    </row>
    <row r="5749" spans="14:20" x14ac:dyDescent="0.25">
      <c r="N5749" s="514"/>
      <c r="R5749" s="293"/>
      <c r="S5749" s="316"/>
      <c r="T5749" s="355"/>
    </row>
    <row r="5750" spans="14:20" x14ac:dyDescent="0.25">
      <c r="N5750" s="514"/>
      <c r="R5750" s="293"/>
      <c r="S5750" s="316"/>
      <c r="T5750" s="355"/>
    </row>
    <row r="5751" spans="14:20" x14ac:dyDescent="0.25">
      <c r="N5751" s="514"/>
      <c r="R5751" s="293"/>
      <c r="S5751" s="316"/>
      <c r="T5751" s="355"/>
    </row>
    <row r="5752" spans="14:20" x14ac:dyDescent="0.25">
      <c r="N5752" s="514"/>
      <c r="R5752" s="293"/>
      <c r="S5752" s="316"/>
      <c r="T5752" s="355"/>
    </row>
    <row r="5753" spans="14:20" x14ac:dyDescent="0.25">
      <c r="N5753" s="514"/>
      <c r="R5753" s="293"/>
      <c r="S5753" s="316"/>
      <c r="T5753" s="355"/>
    </row>
    <row r="5754" spans="14:20" x14ac:dyDescent="0.25">
      <c r="N5754" s="514"/>
      <c r="R5754" s="293"/>
      <c r="S5754" s="316"/>
      <c r="T5754" s="355"/>
    </row>
    <row r="5755" spans="14:20" x14ac:dyDescent="0.25">
      <c r="N5755" s="514"/>
      <c r="R5755" s="293"/>
      <c r="S5755" s="316"/>
      <c r="T5755" s="355"/>
    </row>
    <row r="5756" spans="14:20" x14ac:dyDescent="0.25">
      <c r="N5756" s="514"/>
      <c r="R5756" s="293"/>
      <c r="S5756" s="316"/>
      <c r="T5756" s="355"/>
    </row>
    <row r="5757" spans="14:20" x14ac:dyDescent="0.25">
      <c r="N5757" s="514"/>
      <c r="R5757" s="293"/>
      <c r="S5757" s="316"/>
      <c r="T5757" s="355"/>
    </row>
    <row r="5758" spans="14:20" x14ac:dyDescent="0.25">
      <c r="N5758" s="514"/>
      <c r="R5758" s="293"/>
      <c r="S5758" s="316"/>
      <c r="T5758" s="355"/>
    </row>
    <row r="5759" spans="14:20" x14ac:dyDescent="0.25">
      <c r="N5759" s="514"/>
      <c r="R5759" s="293"/>
      <c r="S5759" s="316"/>
      <c r="T5759" s="355"/>
    </row>
    <row r="5760" spans="14:20" x14ac:dyDescent="0.25">
      <c r="N5760" s="514"/>
      <c r="R5760" s="293"/>
      <c r="S5760" s="316"/>
      <c r="T5760" s="355"/>
    </row>
    <row r="5761" spans="14:20" x14ac:dyDescent="0.25">
      <c r="N5761" s="514"/>
      <c r="R5761" s="293"/>
      <c r="S5761" s="316"/>
      <c r="T5761" s="355"/>
    </row>
    <row r="5762" spans="14:20" x14ac:dyDescent="0.25">
      <c r="N5762" s="514"/>
      <c r="R5762" s="293"/>
      <c r="S5762" s="316"/>
      <c r="T5762" s="355"/>
    </row>
    <row r="5763" spans="14:20" x14ac:dyDescent="0.25">
      <c r="N5763" s="514"/>
      <c r="R5763" s="293"/>
      <c r="S5763" s="316"/>
      <c r="T5763" s="355"/>
    </row>
    <row r="5764" spans="14:20" x14ac:dyDescent="0.25">
      <c r="N5764" s="514"/>
      <c r="R5764" s="293"/>
      <c r="S5764" s="316"/>
      <c r="T5764" s="355"/>
    </row>
    <row r="5765" spans="14:20" x14ac:dyDescent="0.25">
      <c r="N5765" s="514"/>
      <c r="R5765" s="293"/>
      <c r="S5765" s="316"/>
      <c r="T5765" s="355"/>
    </row>
    <row r="5766" spans="14:20" x14ac:dyDescent="0.25">
      <c r="N5766" s="514"/>
      <c r="R5766" s="293"/>
      <c r="S5766" s="316"/>
      <c r="T5766" s="355"/>
    </row>
    <row r="5767" spans="14:20" x14ac:dyDescent="0.25">
      <c r="N5767" s="514"/>
      <c r="R5767" s="293"/>
      <c r="S5767" s="316"/>
      <c r="T5767" s="355"/>
    </row>
    <row r="5768" spans="14:20" x14ac:dyDescent="0.25">
      <c r="N5768" s="514"/>
      <c r="R5768" s="293"/>
      <c r="S5768" s="316"/>
      <c r="T5768" s="355"/>
    </row>
    <row r="5769" spans="14:20" x14ac:dyDescent="0.25">
      <c r="N5769" s="514"/>
      <c r="R5769" s="293"/>
      <c r="S5769" s="316"/>
      <c r="T5769" s="355"/>
    </row>
    <row r="5770" spans="14:20" x14ac:dyDescent="0.25">
      <c r="N5770" s="514"/>
      <c r="R5770" s="293"/>
      <c r="S5770" s="316"/>
      <c r="T5770" s="355"/>
    </row>
    <row r="5771" spans="14:20" x14ac:dyDescent="0.25">
      <c r="N5771" s="514"/>
      <c r="R5771" s="293"/>
      <c r="S5771" s="316"/>
      <c r="T5771" s="355"/>
    </row>
    <row r="5772" spans="14:20" x14ac:dyDescent="0.25">
      <c r="N5772" s="514"/>
      <c r="R5772" s="293"/>
      <c r="S5772" s="316"/>
      <c r="T5772" s="355"/>
    </row>
    <row r="5773" spans="14:20" x14ac:dyDescent="0.25">
      <c r="N5773" s="514"/>
      <c r="R5773" s="293"/>
      <c r="S5773" s="316"/>
      <c r="T5773" s="355"/>
    </row>
    <row r="5774" spans="14:20" x14ac:dyDescent="0.25">
      <c r="N5774" s="514"/>
      <c r="R5774" s="293"/>
      <c r="S5774" s="316"/>
      <c r="T5774" s="355"/>
    </row>
    <row r="5775" spans="14:20" x14ac:dyDescent="0.25">
      <c r="N5775" s="514"/>
      <c r="R5775" s="293"/>
      <c r="S5775" s="316"/>
      <c r="T5775" s="355"/>
    </row>
    <row r="5776" spans="14:20" x14ac:dyDescent="0.25">
      <c r="N5776" s="514"/>
      <c r="R5776" s="293"/>
      <c r="S5776" s="316"/>
      <c r="T5776" s="355"/>
    </row>
    <row r="5777" spans="14:20" x14ac:dyDescent="0.25">
      <c r="N5777" s="514"/>
      <c r="R5777" s="293"/>
      <c r="S5777" s="316"/>
      <c r="T5777" s="355"/>
    </row>
    <row r="5778" spans="14:20" x14ac:dyDescent="0.25">
      <c r="N5778" s="514"/>
      <c r="R5778" s="293"/>
      <c r="S5778" s="316"/>
      <c r="T5778" s="355"/>
    </row>
    <row r="5779" spans="14:20" x14ac:dyDescent="0.25">
      <c r="N5779" s="514"/>
      <c r="R5779" s="293"/>
      <c r="S5779" s="316"/>
      <c r="T5779" s="355"/>
    </row>
    <row r="5780" spans="14:20" x14ac:dyDescent="0.25">
      <c r="N5780" s="514"/>
      <c r="R5780" s="293"/>
      <c r="S5780" s="316"/>
      <c r="T5780" s="355"/>
    </row>
    <row r="5781" spans="14:20" x14ac:dyDescent="0.25">
      <c r="N5781" s="514"/>
      <c r="R5781" s="293"/>
      <c r="S5781" s="316"/>
      <c r="T5781" s="355"/>
    </row>
    <row r="5782" spans="14:20" x14ac:dyDescent="0.25">
      <c r="N5782" s="514"/>
      <c r="R5782" s="293"/>
      <c r="S5782" s="316"/>
      <c r="T5782" s="355"/>
    </row>
    <row r="5783" spans="14:20" x14ac:dyDescent="0.25">
      <c r="N5783" s="514"/>
      <c r="R5783" s="293"/>
      <c r="S5783" s="316"/>
      <c r="T5783" s="355"/>
    </row>
    <row r="5784" spans="14:20" x14ac:dyDescent="0.25">
      <c r="N5784" s="514"/>
      <c r="R5784" s="293"/>
      <c r="S5784" s="316"/>
      <c r="T5784" s="355"/>
    </row>
    <row r="5785" spans="14:20" x14ac:dyDescent="0.25">
      <c r="N5785" s="514"/>
      <c r="R5785" s="293"/>
      <c r="S5785" s="316"/>
      <c r="T5785" s="355"/>
    </row>
    <row r="5786" spans="14:20" x14ac:dyDescent="0.25">
      <c r="N5786" s="514"/>
      <c r="R5786" s="293"/>
      <c r="S5786" s="316"/>
      <c r="T5786" s="355"/>
    </row>
    <row r="5787" spans="14:20" x14ac:dyDescent="0.25">
      <c r="N5787" s="514"/>
      <c r="R5787" s="293"/>
      <c r="S5787" s="316"/>
      <c r="T5787" s="355"/>
    </row>
    <row r="5788" spans="14:20" x14ac:dyDescent="0.25">
      <c r="N5788" s="514"/>
      <c r="R5788" s="293"/>
      <c r="S5788" s="316"/>
      <c r="T5788" s="355"/>
    </row>
    <row r="5789" spans="14:20" x14ac:dyDescent="0.25">
      <c r="N5789" s="514"/>
      <c r="R5789" s="293"/>
      <c r="S5789" s="316"/>
      <c r="T5789" s="355"/>
    </row>
    <row r="5790" spans="14:20" x14ac:dyDescent="0.25">
      <c r="N5790" s="514"/>
      <c r="R5790" s="293"/>
      <c r="S5790" s="316"/>
      <c r="T5790" s="355"/>
    </row>
    <row r="5791" spans="14:20" x14ac:dyDescent="0.25">
      <c r="N5791" s="514"/>
      <c r="R5791" s="293"/>
      <c r="S5791" s="316"/>
      <c r="T5791" s="355"/>
    </row>
    <row r="5792" spans="14:20" x14ac:dyDescent="0.25">
      <c r="N5792" s="514"/>
      <c r="R5792" s="293"/>
      <c r="S5792" s="316"/>
      <c r="T5792" s="355"/>
    </row>
    <row r="5793" spans="14:20" x14ac:dyDescent="0.25">
      <c r="N5793" s="514"/>
      <c r="R5793" s="293"/>
      <c r="S5793" s="316"/>
      <c r="T5793" s="355"/>
    </row>
    <row r="5794" spans="14:20" x14ac:dyDescent="0.25">
      <c r="N5794" s="514"/>
      <c r="R5794" s="293"/>
      <c r="S5794" s="316"/>
      <c r="T5794" s="355"/>
    </row>
    <row r="5795" spans="14:20" x14ac:dyDescent="0.25">
      <c r="N5795" s="514"/>
      <c r="R5795" s="293"/>
      <c r="S5795" s="316"/>
      <c r="T5795" s="355"/>
    </row>
    <row r="5796" spans="14:20" x14ac:dyDescent="0.25">
      <c r="N5796" s="514"/>
      <c r="R5796" s="293"/>
      <c r="S5796" s="316"/>
      <c r="T5796" s="355"/>
    </row>
    <row r="5797" spans="14:20" x14ac:dyDescent="0.25">
      <c r="N5797" s="514"/>
      <c r="R5797" s="293"/>
      <c r="S5797" s="316"/>
      <c r="T5797" s="355"/>
    </row>
    <row r="5798" spans="14:20" x14ac:dyDescent="0.25">
      <c r="N5798" s="514"/>
      <c r="R5798" s="293"/>
      <c r="S5798" s="316"/>
      <c r="T5798" s="355"/>
    </row>
    <row r="5799" spans="14:20" x14ac:dyDescent="0.25">
      <c r="N5799" s="514"/>
      <c r="R5799" s="293"/>
      <c r="S5799" s="316"/>
      <c r="T5799" s="355"/>
    </row>
    <row r="5800" spans="14:20" x14ac:dyDescent="0.25">
      <c r="N5800" s="514"/>
      <c r="R5800" s="293"/>
      <c r="S5800" s="316"/>
      <c r="T5800" s="355"/>
    </row>
    <row r="5801" spans="14:20" x14ac:dyDescent="0.25">
      <c r="N5801" s="514"/>
      <c r="R5801" s="293"/>
      <c r="S5801" s="316"/>
      <c r="T5801" s="355"/>
    </row>
    <row r="5802" spans="14:20" x14ac:dyDescent="0.25">
      <c r="N5802" s="514"/>
      <c r="R5802" s="293"/>
      <c r="S5802" s="316"/>
      <c r="T5802" s="355"/>
    </row>
    <row r="5803" spans="14:20" x14ac:dyDescent="0.25">
      <c r="N5803" s="514"/>
      <c r="R5803" s="293"/>
      <c r="S5803" s="316"/>
      <c r="T5803" s="355"/>
    </row>
    <row r="5804" spans="14:20" x14ac:dyDescent="0.25">
      <c r="N5804" s="514"/>
      <c r="R5804" s="293"/>
      <c r="S5804" s="316"/>
      <c r="T5804" s="355"/>
    </row>
    <row r="5805" spans="14:20" x14ac:dyDescent="0.25">
      <c r="N5805" s="514"/>
      <c r="R5805" s="293"/>
      <c r="S5805" s="316"/>
      <c r="T5805" s="355"/>
    </row>
    <row r="5806" spans="14:20" x14ac:dyDescent="0.25">
      <c r="N5806" s="514"/>
      <c r="R5806" s="293"/>
      <c r="S5806" s="316"/>
      <c r="T5806" s="355"/>
    </row>
    <row r="5807" spans="14:20" x14ac:dyDescent="0.25">
      <c r="N5807" s="514"/>
      <c r="R5807" s="293"/>
      <c r="S5807" s="316"/>
      <c r="T5807" s="355"/>
    </row>
    <row r="5808" spans="14:20" x14ac:dyDescent="0.25">
      <c r="N5808" s="514"/>
      <c r="R5808" s="293"/>
      <c r="S5808" s="316"/>
      <c r="T5808" s="355"/>
    </row>
    <row r="5809" spans="14:20" x14ac:dyDescent="0.25">
      <c r="N5809" s="514"/>
      <c r="R5809" s="293"/>
      <c r="S5809" s="316"/>
      <c r="T5809" s="355"/>
    </row>
    <row r="5810" spans="14:20" x14ac:dyDescent="0.25">
      <c r="N5810" s="514"/>
      <c r="R5810" s="293"/>
      <c r="S5810" s="316"/>
      <c r="T5810" s="355"/>
    </row>
    <row r="5811" spans="14:20" x14ac:dyDescent="0.25">
      <c r="N5811" s="514"/>
      <c r="R5811" s="293"/>
      <c r="S5811" s="316"/>
      <c r="T5811" s="355"/>
    </row>
    <row r="5812" spans="14:20" x14ac:dyDescent="0.25">
      <c r="N5812" s="514"/>
      <c r="R5812" s="293"/>
      <c r="S5812" s="316"/>
      <c r="T5812" s="355"/>
    </row>
    <row r="5813" spans="14:20" x14ac:dyDescent="0.25">
      <c r="N5813" s="514"/>
      <c r="R5813" s="293"/>
      <c r="S5813" s="316"/>
      <c r="T5813" s="355"/>
    </row>
    <row r="5814" spans="14:20" x14ac:dyDescent="0.25">
      <c r="N5814" s="514"/>
      <c r="R5814" s="293"/>
      <c r="S5814" s="316"/>
      <c r="T5814" s="355"/>
    </row>
    <row r="5815" spans="14:20" x14ac:dyDescent="0.25">
      <c r="N5815" s="514"/>
      <c r="R5815" s="293"/>
      <c r="S5815" s="316"/>
      <c r="T5815" s="355"/>
    </row>
    <row r="5816" spans="14:20" x14ac:dyDescent="0.25">
      <c r="N5816" s="514"/>
      <c r="R5816" s="293"/>
      <c r="S5816" s="316"/>
      <c r="T5816" s="355"/>
    </row>
    <row r="5817" spans="14:20" x14ac:dyDescent="0.25">
      <c r="N5817" s="514"/>
      <c r="R5817" s="293"/>
      <c r="S5817" s="316"/>
      <c r="T5817" s="355"/>
    </row>
    <row r="5818" spans="14:20" x14ac:dyDescent="0.25">
      <c r="N5818" s="514"/>
      <c r="R5818" s="293"/>
      <c r="S5818" s="316"/>
      <c r="T5818" s="355"/>
    </row>
    <row r="5819" spans="14:20" x14ac:dyDescent="0.25">
      <c r="N5819" s="514"/>
      <c r="R5819" s="293"/>
      <c r="S5819" s="316"/>
      <c r="T5819" s="355"/>
    </row>
    <row r="5820" spans="14:20" x14ac:dyDescent="0.25">
      <c r="N5820" s="514"/>
      <c r="R5820" s="293"/>
      <c r="S5820" s="316"/>
      <c r="T5820" s="355"/>
    </row>
    <row r="5821" spans="14:20" x14ac:dyDescent="0.25">
      <c r="N5821" s="514"/>
      <c r="R5821" s="293"/>
      <c r="S5821" s="316"/>
      <c r="T5821" s="355"/>
    </row>
    <row r="5822" spans="14:20" x14ac:dyDescent="0.25">
      <c r="N5822" s="514"/>
      <c r="R5822" s="293"/>
      <c r="S5822" s="316"/>
      <c r="T5822" s="355"/>
    </row>
    <row r="5823" spans="14:20" x14ac:dyDescent="0.25">
      <c r="N5823" s="514"/>
      <c r="R5823" s="293"/>
      <c r="S5823" s="316"/>
      <c r="T5823" s="355"/>
    </row>
    <row r="5824" spans="14:20" x14ac:dyDescent="0.25">
      <c r="N5824" s="514"/>
      <c r="R5824" s="293"/>
      <c r="S5824" s="316"/>
      <c r="T5824" s="355"/>
    </row>
    <row r="5825" spans="14:20" x14ac:dyDescent="0.25">
      <c r="N5825" s="514"/>
      <c r="R5825" s="293"/>
      <c r="S5825" s="316"/>
      <c r="T5825" s="355"/>
    </row>
    <row r="5826" spans="14:20" x14ac:dyDescent="0.25">
      <c r="N5826" s="514"/>
      <c r="R5826" s="293"/>
      <c r="S5826" s="316"/>
      <c r="T5826" s="355"/>
    </row>
    <row r="5827" spans="14:20" x14ac:dyDescent="0.25">
      <c r="N5827" s="514"/>
      <c r="R5827" s="293"/>
      <c r="S5827" s="316"/>
      <c r="T5827" s="355"/>
    </row>
    <row r="5828" spans="14:20" x14ac:dyDescent="0.25">
      <c r="N5828" s="514"/>
      <c r="R5828" s="293"/>
      <c r="S5828" s="316"/>
      <c r="T5828" s="355"/>
    </row>
    <row r="5829" spans="14:20" x14ac:dyDescent="0.25">
      <c r="N5829" s="514"/>
      <c r="R5829" s="293"/>
      <c r="S5829" s="316"/>
      <c r="T5829" s="355"/>
    </row>
    <row r="5830" spans="14:20" x14ac:dyDescent="0.25">
      <c r="N5830" s="514"/>
      <c r="R5830" s="293"/>
      <c r="S5830" s="316"/>
      <c r="T5830" s="355"/>
    </row>
    <row r="5831" spans="14:20" x14ac:dyDescent="0.25">
      <c r="N5831" s="514"/>
      <c r="R5831" s="293"/>
      <c r="S5831" s="316"/>
      <c r="T5831" s="355"/>
    </row>
    <row r="5832" spans="14:20" x14ac:dyDescent="0.25">
      <c r="N5832" s="514"/>
      <c r="R5832" s="293"/>
      <c r="S5832" s="316"/>
      <c r="T5832" s="355"/>
    </row>
    <row r="5833" spans="14:20" x14ac:dyDescent="0.25">
      <c r="N5833" s="514"/>
      <c r="R5833" s="293"/>
      <c r="S5833" s="316"/>
      <c r="T5833" s="355"/>
    </row>
    <row r="5834" spans="14:20" x14ac:dyDescent="0.25">
      <c r="N5834" s="514"/>
      <c r="R5834" s="293"/>
      <c r="S5834" s="316"/>
      <c r="T5834" s="355"/>
    </row>
    <row r="5835" spans="14:20" x14ac:dyDescent="0.25">
      <c r="N5835" s="514"/>
      <c r="R5835" s="293"/>
      <c r="S5835" s="316"/>
      <c r="T5835" s="355"/>
    </row>
    <row r="5836" spans="14:20" x14ac:dyDescent="0.25">
      <c r="N5836" s="514"/>
      <c r="R5836" s="293"/>
      <c r="S5836" s="316"/>
      <c r="T5836" s="355"/>
    </row>
    <row r="5837" spans="14:20" x14ac:dyDescent="0.25">
      <c r="N5837" s="514"/>
      <c r="R5837" s="293"/>
      <c r="S5837" s="316"/>
      <c r="T5837" s="355"/>
    </row>
    <row r="5838" spans="14:20" x14ac:dyDescent="0.25">
      <c r="N5838" s="514"/>
      <c r="R5838" s="293"/>
      <c r="S5838" s="316"/>
      <c r="T5838" s="355"/>
    </row>
    <row r="5839" spans="14:20" x14ac:dyDescent="0.25">
      <c r="N5839" s="514"/>
      <c r="R5839" s="293"/>
      <c r="S5839" s="316"/>
      <c r="T5839" s="355"/>
    </row>
    <row r="5840" spans="14:20" x14ac:dyDescent="0.25">
      <c r="N5840" s="514"/>
      <c r="R5840" s="293"/>
      <c r="S5840" s="316"/>
      <c r="T5840" s="355"/>
    </row>
    <row r="5841" spans="14:20" x14ac:dyDescent="0.25">
      <c r="N5841" s="514"/>
      <c r="R5841" s="293"/>
      <c r="S5841" s="316"/>
      <c r="T5841" s="355"/>
    </row>
    <row r="5842" spans="14:20" x14ac:dyDescent="0.25">
      <c r="N5842" s="514"/>
      <c r="R5842" s="293"/>
      <c r="S5842" s="316"/>
      <c r="T5842" s="355"/>
    </row>
    <row r="5843" spans="14:20" x14ac:dyDescent="0.25">
      <c r="N5843" s="514"/>
      <c r="R5843" s="293"/>
      <c r="S5843" s="316"/>
      <c r="T5843" s="355"/>
    </row>
    <row r="5844" spans="14:20" x14ac:dyDescent="0.25">
      <c r="N5844" s="514"/>
      <c r="R5844" s="293"/>
      <c r="S5844" s="316"/>
      <c r="T5844" s="355"/>
    </row>
    <row r="5845" spans="14:20" x14ac:dyDescent="0.25">
      <c r="N5845" s="514"/>
      <c r="R5845" s="293"/>
      <c r="S5845" s="316"/>
      <c r="T5845" s="355"/>
    </row>
    <row r="5846" spans="14:20" x14ac:dyDescent="0.25">
      <c r="N5846" s="514"/>
      <c r="R5846" s="293"/>
      <c r="S5846" s="316"/>
      <c r="T5846" s="355"/>
    </row>
    <row r="5847" spans="14:20" x14ac:dyDescent="0.25">
      <c r="N5847" s="514"/>
      <c r="R5847" s="293"/>
      <c r="S5847" s="316"/>
      <c r="T5847" s="355"/>
    </row>
    <row r="5848" spans="14:20" x14ac:dyDescent="0.25">
      <c r="N5848" s="514"/>
      <c r="R5848" s="293"/>
      <c r="S5848" s="316"/>
      <c r="T5848" s="355"/>
    </row>
    <row r="5849" spans="14:20" x14ac:dyDescent="0.25">
      <c r="N5849" s="514"/>
      <c r="R5849" s="293"/>
      <c r="S5849" s="316"/>
      <c r="T5849" s="355"/>
    </row>
    <row r="5850" spans="14:20" x14ac:dyDescent="0.25">
      <c r="N5850" s="514"/>
      <c r="R5850" s="293"/>
      <c r="S5850" s="316"/>
      <c r="T5850" s="355"/>
    </row>
    <row r="5851" spans="14:20" x14ac:dyDescent="0.25">
      <c r="N5851" s="514"/>
      <c r="R5851" s="293"/>
      <c r="S5851" s="316"/>
      <c r="T5851" s="355"/>
    </row>
    <row r="5852" spans="14:20" x14ac:dyDescent="0.25">
      <c r="N5852" s="514"/>
      <c r="R5852" s="293"/>
      <c r="S5852" s="316"/>
      <c r="T5852" s="355"/>
    </row>
    <row r="5853" spans="14:20" x14ac:dyDescent="0.25">
      <c r="N5853" s="514"/>
      <c r="R5853" s="293"/>
      <c r="S5853" s="316"/>
      <c r="T5853" s="355"/>
    </row>
    <row r="5854" spans="14:20" x14ac:dyDescent="0.25">
      <c r="N5854" s="514"/>
      <c r="R5854" s="293"/>
      <c r="S5854" s="316"/>
      <c r="T5854" s="355"/>
    </row>
    <row r="5855" spans="14:20" x14ac:dyDescent="0.25">
      <c r="N5855" s="514"/>
      <c r="R5855" s="293"/>
      <c r="S5855" s="316"/>
      <c r="T5855" s="355"/>
    </row>
    <row r="5856" spans="14:20" x14ac:dyDescent="0.25">
      <c r="N5856" s="514"/>
      <c r="R5856" s="293"/>
      <c r="S5856" s="316"/>
      <c r="T5856" s="355"/>
    </row>
    <row r="5857" spans="14:20" x14ac:dyDescent="0.25">
      <c r="N5857" s="514"/>
      <c r="R5857" s="293"/>
      <c r="S5857" s="316"/>
      <c r="T5857" s="355"/>
    </row>
    <row r="5858" spans="14:20" x14ac:dyDescent="0.25">
      <c r="N5858" s="514"/>
      <c r="R5858" s="293"/>
      <c r="S5858" s="316"/>
      <c r="T5858" s="355"/>
    </row>
    <row r="5859" spans="14:20" x14ac:dyDescent="0.25">
      <c r="N5859" s="514"/>
      <c r="R5859" s="293"/>
      <c r="S5859" s="316"/>
      <c r="T5859" s="355"/>
    </row>
    <row r="5860" spans="14:20" x14ac:dyDescent="0.25">
      <c r="N5860" s="514"/>
      <c r="R5860" s="293"/>
      <c r="S5860" s="316"/>
      <c r="T5860" s="355"/>
    </row>
    <row r="5861" spans="14:20" x14ac:dyDescent="0.25">
      <c r="N5861" s="514"/>
      <c r="R5861" s="293"/>
      <c r="S5861" s="316"/>
      <c r="T5861" s="355"/>
    </row>
    <row r="5862" spans="14:20" x14ac:dyDescent="0.25">
      <c r="N5862" s="514"/>
      <c r="R5862" s="293"/>
      <c r="S5862" s="316"/>
      <c r="T5862" s="355"/>
    </row>
    <row r="5863" spans="14:20" x14ac:dyDescent="0.25">
      <c r="N5863" s="514"/>
      <c r="R5863" s="293"/>
      <c r="S5863" s="316"/>
      <c r="T5863" s="355"/>
    </row>
    <row r="5864" spans="14:20" x14ac:dyDescent="0.25">
      <c r="N5864" s="514"/>
      <c r="R5864" s="293"/>
      <c r="S5864" s="316"/>
      <c r="T5864" s="355"/>
    </row>
    <row r="5865" spans="14:20" x14ac:dyDescent="0.25">
      <c r="N5865" s="514"/>
      <c r="R5865" s="293"/>
      <c r="S5865" s="316"/>
      <c r="T5865" s="355"/>
    </row>
    <row r="5866" spans="14:20" x14ac:dyDescent="0.25">
      <c r="N5866" s="514"/>
      <c r="R5866" s="293"/>
      <c r="S5866" s="316"/>
      <c r="T5866" s="355"/>
    </row>
    <row r="5867" spans="14:20" x14ac:dyDescent="0.25">
      <c r="N5867" s="514"/>
      <c r="R5867" s="293"/>
      <c r="S5867" s="316"/>
      <c r="T5867" s="355"/>
    </row>
    <row r="5868" spans="14:20" x14ac:dyDescent="0.25">
      <c r="N5868" s="514"/>
      <c r="R5868" s="293"/>
      <c r="S5868" s="316"/>
      <c r="T5868" s="355"/>
    </row>
    <row r="5869" spans="14:20" x14ac:dyDescent="0.25">
      <c r="N5869" s="514"/>
      <c r="R5869" s="293"/>
      <c r="S5869" s="316"/>
      <c r="T5869" s="355"/>
    </row>
    <row r="5870" spans="14:20" x14ac:dyDescent="0.25">
      <c r="N5870" s="514"/>
      <c r="R5870" s="293"/>
      <c r="S5870" s="316"/>
      <c r="T5870" s="355"/>
    </row>
    <row r="5871" spans="14:20" x14ac:dyDescent="0.25">
      <c r="N5871" s="514"/>
      <c r="R5871" s="293"/>
      <c r="S5871" s="316"/>
      <c r="T5871" s="355"/>
    </row>
    <row r="5872" spans="14:20" x14ac:dyDescent="0.25">
      <c r="N5872" s="514"/>
      <c r="R5872" s="293"/>
      <c r="S5872" s="316"/>
      <c r="T5872" s="355"/>
    </row>
    <row r="5873" spans="14:20" x14ac:dyDescent="0.25">
      <c r="N5873" s="514"/>
      <c r="R5873" s="293"/>
      <c r="S5873" s="316"/>
      <c r="T5873" s="355"/>
    </row>
    <row r="5874" spans="14:20" x14ac:dyDescent="0.25">
      <c r="N5874" s="514"/>
      <c r="R5874" s="293"/>
      <c r="S5874" s="316"/>
      <c r="T5874" s="355"/>
    </row>
    <row r="5875" spans="14:20" x14ac:dyDescent="0.25">
      <c r="N5875" s="514"/>
      <c r="R5875" s="293"/>
      <c r="S5875" s="316"/>
      <c r="T5875" s="355"/>
    </row>
    <row r="5876" spans="14:20" x14ac:dyDescent="0.25">
      <c r="N5876" s="514"/>
      <c r="R5876" s="293"/>
      <c r="S5876" s="316"/>
      <c r="T5876" s="355"/>
    </row>
    <row r="5877" spans="14:20" x14ac:dyDescent="0.25">
      <c r="N5877" s="514"/>
      <c r="R5877" s="293"/>
      <c r="S5877" s="316"/>
      <c r="T5877" s="355"/>
    </row>
    <row r="5878" spans="14:20" x14ac:dyDescent="0.25">
      <c r="N5878" s="514"/>
      <c r="R5878" s="293"/>
      <c r="S5878" s="316"/>
      <c r="T5878" s="355"/>
    </row>
    <row r="5879" spans="14:20" x14ac:dyDescent="0.25">
      <c r="N5879" s="514"/>
      <c r="R5879" s="293"/>
      <c r="S5879" s="316"/>
      <c r="T5879" s="355"/>
    </row>
    <row r="5880" spans="14:20" x14ac:dyDescent="0.25">
      <c r="N5880" s="514"/>
      <c r="R5880" s="293"/>
      <c r="S5880" s="316"/>
      <c r="T5880" s="355"/>
    </row>
    <row r="5881" spans="14:20" x14ac:dyDescent="0.25">
      <c r="N5881" s="514"/>
      <c r="R5881" s="293"/>
      <c r="S5881" s="316"/>
      <c r="T5881" s="355"/>
    </row>
    <row r="5882" spans="14:20" x14ac:dyDescent="0.25">
      <c r="N5882" s="514"/>
      <c r="R5882" s="293"/>
      <c r="S5882" s="316"/>
      <c r="T5882" s="355"/>
    </row>
    <row r="5883" spans="14:20" x14ac:dyDescent="0.25">
      <c r="N5883" s="514"/>
      <c r="R5883" s="293"/>
      <c r="S5883" s="316"/>
      <c r="T5883" s="355"/>
    </row>
    <row r="5884" spans="14:20" x14ac:dyDescent="0.25">
      <c r="N5884" s="514"/>
      <c r="R5884" s="293"/>
      <c r="S5884" s="316"/>
      <c r="T5884" s="355"/>
    </row>
    <row r="5885" spans="14:20" x14ac:dyDescent="0.25">
      <c r="N5885" s="514"/>
      <c r="R5885" s="293"/>
      <c r="S5885" s="316"/>
      <c r="T5885" s="355"/>
    </row>
    <row r="5886" spans="14:20" x14ac:dyDescent="0.25">
      <c r="N5886" s="514"/>
      <c r="R5886" s="293"/>
      <c r="S5886" s="316"/>
      <c r="T5886" s="355"/>
    </row>
    <row r="5887" spans="14:20" x14ac:dyDescent="0.25">
      <c r="N5887" s="514"/>
      <c r="R5887" s="293"/>
      <c r="S5887" s="316"/>
      <c r="T5887" s="355"/>
    </row>
    <row r="5888" spans="14:20" x14ac:dyDescent="0.25">
      <c r="N5888" s="514"/>
      <c r="R5888" s="293"/>
      <c r="S5888" s="316"/>
      <c r="T5888" s="355"/>
    </row>
    <row r="5889" spans="14:20" x14ac:dyDescent="0.25">
      <c r="N5889" s="514"/>
      <c r="R5889" s="293"/>
      <c r="S5889" s="316"/>
      <c r="T5889" s="355"/>
    </row>
    <row r="5890" spans="14:20" x14ac:dyDescent="0.25">
      <c r="N5890" s="514"/>
      <c r="R5890" s="293"/>
      <c r="S5890" s="316"/>
      <c r="T5890" s="355"/>
    </row>
    <row r="5891" spans="14:20" x14ac:dyDescent="0.25">
      <c r="N5891" s="514"/>
      <c r="R5891" s="293"/>
      <c r="S5891" s="316"/>
      <c r="T5891" s="355"/>
    </row>
    <row r="5892" spans="14:20" x14ac:dyDescent="0.25">
      <c r="N5892" s="514"/>
      <c r="R5892" s="293"/>
      <c r="S5892" s="316"/>
      <c r="T5892" s="355"/>
    </row>
    <row r="5893" spans="14:20" x14ac:dyDescent="0.25">
      <c r="N5893" s="514"/>
      <c r="R5893" s="293"/>
      <c r="S5893" s="316"/>
      <c r="T5893" s="355"/>
    </row>
    <row r="5894" spans="14:20" x14ac:dyDescent="0.25">
      <c r="N5894" s="514"/>
      <c r="R5894" s="293"/>
      <c r="S5894" s="316"/>
      <c r="T5894" s="355"/>
    </row>
    <row r="5895" spans="14:20" x14ac:dyDescent="0.25">
      <c r="N5895" s="514"/>
      <c r="R5895" s="293"/>
      <c r="S5895" s="316"/>
      <c r="T5895" s="355"/>
    </row>
    <row r="5896" spans="14:20" x14ac:dyDescent="0.25">
      <c r="N5896" s="514"/>
      <c r="R5896" s="293"/>
      <c r="S5896" s="316"/>
      <c r="T5896" s="355"/>
    </row>
    <row r="5897" spans="14:20" x14ac:dyDescent="0.25">
      <c r="N5897" s="514"/>
      <c r="R5897" s="293"/>
      <c r="S5897" s="316"/>
      <c r="T5897" s="355"/>
    </row>
    <row r="5898" spans="14:20" x14ac:dyDescent="0.25">
      <c r="N5898" s="514"/>
      <c r="R5898" s="293"/>
      <c r="S5898" s="316"/>
      <c r="T5898" s="355"/>
    </row>
    <row r="5899" spans="14:20" x14ac:dyDescent="0.25">
      <c r="N5899" s="514"/>
      <c r="R5899" s="293"/>
      <c r="S5899" s="316"/>
      <c r="T5899" s="355"/>
    </row>
    <row r="5900" spans="14:20" x14ac:dyDescent="0.25">
      <c r="N5900" s="514"/>
      <c r="R5900" s="293"/>
      <c r="S5900" s="316"/>
      <c r="T5900" s="355"/>
    </row>
    <row r="5901" spans="14:20" x14ac:dyDescent="0.25">
      <c r="N5901" s="514"/>
      <c r="R5901" s="293"/>
      <c r="S5901" s="316"/>
      <c r="T5901" s="355"/>
    </row>
    <row r="5902" spans="14:20" x14ac:dyDescent="0.25">
      <c r="N5902" s="514"/>
      <c r="R5902" s="293"/>
      <c r="S5902" s="316"/>
      <c r="T5902" s="355"/>
    </row>
    <row r="5903" spans="14:20" x14ac:dyDescent="0.25">
      <c r="N5903" s="514"/>
      <c r="R5903" s="293"/>
      <c r="S5903" s="316"/>
      <c r="T5903" s="355"/>
    </row>
    <row r="5904" spans="14:20" x14ac:dyDescent="0.25">
      <c r="N5904" s="514"/>
      <c r="R5904" s="293"/>
      <c r="S5904" s="316"/>
      <c r="T5904" s="355"/>
    </row>
    <row r="5905" spans="14:20" x14ac:dyDescent="0.25">
      <c r="N5905" s="514"/>
      <c r="R5905" s="293"/>
      <c r="S5905" s="316"/>
      <c r="T5905" s="355"/>
    </row>
    <row r="5906" spans="14:20" x14ac:dyDescent="0.25">
      <c r="N5906" s="514"/>
      <c r="R5906" s="293"/>
      <c r="S5906" s="316"/>
      <c r="T5906" s="355"/>
    </row>
    <row r="5907" spans="14:20" x14ac:dyDescent="0.25">
      <c r="N5907" s="514"/>
      <c r="R5907" s="293"/>
      <c r="S5907" s="316"/>
      <c r="T5907" s="355"/>
    </row>
    <row r="5908" spans="14:20" x14ac:dyDescent="0.25">
      <c r="N5908" s="514"/>
      <c r="R5908" s="293"/>
      <c r="S5908" s="316"/>
      <c r="T5908" s="355"/>
    </row>
    <row r="5909" spans="14:20" x14ac:dyDescent="0.25">
      <c r="N5909" s="514"/>
      <c r="R5909" s="293"/>
      <c r="S5909" s="316"/>
      <c r="T5909" s="355"/>
    </row>
    <row r="5910" spans="14:20" x14ac:dyDescent="0.25">
      <c r="N5910" s="514"/>
      <c r="R5910" s="293"/>
      <c r="S5910" s="316"/>
      <c r="T5910" s="355"/>
    </row>
    <row r="5911" spans="14:20" x14ac:dyDescent="0.25">
      <c r="N5911" s="514"/>
      <c r="R5911" s="293"/>
      <c r="S5911" s="316"/>
      <c r="T5911" s="355"/>
    </row>
    <row r="5912" spans="14:20" x14ac:dyDescent="0.25">
      <c r="N5912" s="514"/>
      <c r="R5912" s="293"/>
      <c r="S5912" s="316"/>
      <c r="T5912" s="355"/>
    </row>
    <row r="5913" spans="14:20" x14ac:dyDescent="0.25">
      <c r="N5913" s="514"/>
      <c r="R5913" s="293"/>
      <c r="S5913" s="316"/>
      <c r="T5913" s="355"/>
    </row>
    <row r="5914" spans="14:20" x14ac:dyDescent="0.25">
      <c r="N5914" s="514"/>
      <c r="R5914" s="293"/>
      <c r="S5914" s="316"/>
      <c r="T5914" s="355"/>
    </row>
    <row r="5915" spans="14:20" x14ac:dyDescent="0.25">
      <c r="N5915" s="514"/>
      <c r="R5915" s="293"/>
      <c r="S5915" s="316"/>
      <c r="T5915" s="355"/>
    </row>
    <row r="5916" spans="14:20" x14ac:dyDescent="0.25">
      <c r="N5916" s="514"/>
      <c r="R5916" s="293"/>
      <c r="S5916" s="316"/>
      <c r="T5916" s="355"/>
    </row>
    <row r="5917" spans="14:20" x14ac:dyDescent="0.25">
      <c r="N5917" s="514"/>
      <c r="R5917" s="293"/>
      <c r="S5917" s="316"/>
      <c r="T5917" s="355"/>
    </row>
    <row r="5918" spans="14:20" x14ac:dyDescent="0.25">
      <c r="N5918" s="514"/>
      <c r="R5918" s="293"/>
      <c r="S5918" s="316"/>
      <c r="T5918" s="355"/>
    </row>
    <row r="5919" spans="14:20" x14ac:dyDescent="0.25">
      <c r="N5919" s="514"/>
      <c r="R5919" s="293"/>
      <c r="S5919" s="316"/>
      <c r="T5919" s="355"/>
    </row>
    <row r="5920" spans="14:20" x14ac:dyDescent="0.25">
      <c r="N5920" s="514"/>
      <c r="R5920" s="293"/>
      <c r="S5920" s="316"/>
      <c r="T5920" s="355"/>
    </row>
    <row r="5921" spans="14:20" x14ac:dyDescent="0.25">
      <c r="N5921" s="514"/>
      <c r="R5921" s="293"/>
      <c r="S5921" s="316"/>
      <c r="T5921" s="355"/>
    </row>
    <row r="5922" spans="14:20" x14ac:dyDescent="0.25">
      <c r="N5922" s="514"/>
      <c r="R5922" s="293"/>
      <c r="S5922" s="316"/>
      <c r="T5922" s="355"/>
    </row>
    <row r="5923" spans="14:20" x14ac:dyDescent="0.25">
      <c r="N5923" s="514"/>
      <c r="R5923" s="293"/>
      <c r="S5923" s="316"/>
      <c r="T5923" s="355"/>
    </row>
    <row r="5924" spans="14:20" x14ac:dyDescent="0.25">
      <c r="N5924" s="514"/>
      <c r="R5924" s="293"/>
      <c r="S5924" s="316"/>
      <c r="T5924" s="355"/>
    </row>
    <row r="5925" spans="14:20" x14ac:dyDescent="0.25">
      <c r="N5925" s="514"/>
      <c r="R5925" s="293"/>
      <c r="S5925" s="316"/>
      <c r="T5925" s="355"/>
    </row>
    <row r="5926" spans="14:20" x14ac:dyDescent="0.25">
      <c r="N5926" s="514"/>
      <c r="R5926" s="293"/>
      <c r="S5926" s="316"/>
      <c r="T5926" s="355"/>
    </row>
    <row r="5927" spans="14:20" x14ac:dyDescent="0.25">
      <c r="N5927" s="514"/>
      <c r="R5927" s="293"/>
      <c r="S5927" s="316"/>
      <c r="T5927" s="355"/>
    </row>
    <row r="5928" spans="14:20" x14ac:dyDescent="0.25">
      <c r="N5928" s="514"/>
      <c r="R5928" s="293"/>
      <c r="S5928" s="316"/>
      <c r="T5928" s="355"/>
    </row>
    <row r="5929" spans="14:20" x14ac:dyDescent="0.25">
      <c r="N5929" s="514"/>
      <c r="R5929" s="293"/>
      <c r="S5929" s="316"/>
      <c r="T5929" s="355"/>
    </row>
    <row r="5930" spans="14:20" x14ac:dyDescent="0.25">
      <c r="N5930" s="514"/>
      <c r="R5930" s="293"/>
      <c r="S5930" s="316"/>
      <c r="T5930" s="355"/>
    </row>
    <row r="5931" spans="14:20" x14ac:dyDescent="0.25">
      <c r="N5931" s="514"/>
      <c r="R5931" s="293"/>
      <c r="S5931" s="316"/>
      <c r="T5931" s="355"/>
    </row>
    <row r="5932" spans="14:20" x14ac:dyDescent="0.25">
      <c r="N5932" s="514"/>
      <c r="R5932" s="293"/>
      <c r="S5932" s="316"/>
      <c r="T5932" s="355"/>
    </row>
    <row r="5933" spans="14:20" x14ac:dyDescent="0.25">
      <c r="N5933" s="514"/>
      <c r="R5933" s="293"/>
      <c r="S5933" s="316"/>
      <c r="T5933" s="355"/>
    </row>
    <row r="5934" spans="14:20" x14ac:dyDescent="0.25">
      <c r="N5934" s="514"/>
      <c r="R5934" s="293"/>
      <c r="S5934" s="316"/>
      <c r="T5934" s="355"/>
    </row>
    <row r="5935" spans="14:20" x14ac:dyDescent="0.25">
      <c r="N5935" s="514"/>
      <c r="R5935" s="293"/>
      <c r="S5935" s="316"/>
      <c r="T5935" s="355"/>
    </row>
    <row r="5936" spans="14:20" x14ac:dyDescent="0.25">
      <c r="N5936" s="514"/>
      <c r="R5936" s="293"/>
      <c r="S5936" s="316"/>
      <c r="T5936" s="355"/>
    </row>
    <row r="5937" spans="14:20" x14ac:dyDescent="0.25">
      <c r="N5937" s="514"/>
      <c r="R5937" s="293"/>
      <c r="S5937" s="316"/>
      <c r="T5937" s="355"/>
    </row>
    <row r="5938" spans="14:20" x14ac:dyDescent="0.25">
      <c r="N5938" s="514"/>
      <c r="R5938" s="293"/>
      <c r="S5938" s="316"/>
      <c r="T5938" s="355"/>
    </row>
    <row r="5939" spans="14:20" x14ac:dyDescent="0.25">
      <c r="N5939" s="514"/>
      <c r="R5939" s="293"/>
      <c r="S5939" s="316"/>
      <c r="T5939" s="355"/>
    </row>
    <row r="5940" spans="14:20" x14ac:dyDescent="0.25">
      <c r="N5940" s="514"/>
      <c r="R5940" s="293"/>
      <c r="S5940" s="316"/>
      <c r="T5940" s="355"/>
    </row>
    <row r="5941" spans="14:20" x14ac:dyDescent="0.25">
      <c r="N5941" s="514"/>
      <c r="R5941" s="293"/>
      <c r="S5941" s="316"/>
      <c r="T5941" s="355"/>
    </row>
    <row r="5942" spans="14:20" x14ac:dyDescent="0.25">
      <c r="N5942" s="514"/>
      <c r="R5942" s="293"/>
      <c r="S5942" s="316"/>
      <c r="T5942" s="355"/>
    </row>
    <row r="5943" spans="14:20" x14ac:dyDescent="0.25">
      <c r="N5943" s="514"/>
      <c r="R5943" s="293"/>
      <c r="S5943" s="316"/>
      <c r="T5943" s="355"/>
    </row>
    <row r="5944" spans="14:20" x14ac:dyDescent="0.25">
      <c r="N5944" s="514"/>
      <c r="R5944" s="293"/>
      <c r="S5944" s="316"/>
      <c r="T5944" s="355"/>
    </row>
    <row r="5945" spans="14:20" x14ac:dyDescent="0.25">
      <c r="N5945" s="514"/>
      <c r="R5945" s="293"/>
      <c r="S5945" s="316"/>
      <c r="T5945" s="355"/>
    </row>
    <row r="5946" spans="14:20" x14ac:dyDescent="0.25">
      <c r="N5946" s="514"/>
      <c r="R5946" s="293"/>
      <c r="S5946" s="316"/>
      <c r="T5946" s="355"/>
    </row>
    <row r="5947" spans="14:20" x14ac:dyDescent="0.25">
      <c r="N5947" s="514"/>
      <c r="R5947" s="293"/>
      <c r="S5947" s="316"/>
      <c r="T5947" s="355"/>
    </row>
    <row r="5948" spans="14:20" x14ac:dyDescent="0.25">
      <c r="N5948" s="514"/>
      <c r="R5948" s="293"/>
      <c r="S5948" s="316"/>
      <c r="T5948" s="355"/>
    </row>
    <row r="5949" spans="14:20" x14ac:dyDescent="0.25">
      <c r="N5949" s="514"/>
      <c r="R5949" s="293"/>
      <c r="S5949" s="316"/>
      <c r="T5949" s="355"/>
    </row>
    <row r="5950" spans="14:20" x14ac:dyDescent="0.25">
      <c r="N5950" s="514"/>
      <c r="R5950" s="293"/>
      <c r="S5950" s="316"/>
      <c r="T5950" s="355"/>
    </row>
    <row r="5951" spans="14:20" x14ac:dyDescent="0.25">
      <c r="N5951" s="514"/>
      <c r="R5951" s="293"/>
      <c r="S5951" s="316"/>
      <c r="T5951" s="355"/>
    </row>
    <row r="5952" spans="14:20" x14ac:dyDescent="0.25">
      <c r="N5952" s="514"/>
      <c r="R5952" s="293"/>
      <c r="S5952" s="316"/>
      <c r="T5952" s="355"/>
    </row>
    <row r="5953" spans="14:20" x14ac:dyDescent="0.25">
      <c r="N5953" s="514"/>
      <c r="R5953" s="293"/>
      <c r="S5953" s="316"/>
      <c r="T5953" s="355"/>
    </row>
    <row r="5954" spans="14:20" x14ac:dyDescent="0.25">
      <c r="N5954" s="514"/>
      <c r="R5954" s="293"/>
      <c r="S5954" s="316"/>
      <c r="T5954" s="355"/>
    </row>
    <row r="5955" spans="14:20" x14ac:dyDescent="0.25">
      <c r="N5955" s="514"/>
      <c r="R5955" s="293"/>
      <c r="S5955" s="316"/>
      <c r="T5955" s="355"/>
    </row>
    <row r="5956" spans="14:20" x14ac:dyDescent="0.25">
      <c r="N5956" s="514"/>
      <c r="R5956" s="293"/>
      <c r="S5956" s="316"/>
      <c r="T5956" s="355"/>
    </row>
    <row r="5957" spans="14:20" x14ac:dyDescent="0.25">
      <c r="N5957" s="514"/>
      <c r="R5957" s="293"/>
      <c r="S5957" s="316"/>
      <c r="T5957" s="355"/>
    </row>
    <row r="5958" spans="14:20" x14ac:dyDescent="0.25">
      <c r="N5958" s="514"/>
      <c r="R5958" s="293"/>
      <c r="S5958" s="316"/>
      <c r="T5958" s="355"/>
    </row>
    <row r="5959" spans="14:20" x14ac:dyDescent="0.25">
      <c r="N5959" s="514"/>
      <c r="R5959" s="293"/>
      <c r="S5959" s="316"/>
      <c r="T5959" s="355"/>
    </row>
    <row r="5960" spans="14:20" x14ac:dyDescent="0.25">
      <c r="N5960" s="514"/>
      <c r="R5960" s="293"/>
      <c r="S5960" s="316"/>
      <c r="T5960" s="355"/>
    </row>
    <row r="5961" spans="14:20" x14ac:dyDescent="0.25">
      <c r="N5961" s="514"/>
      <c r="R5961" s="293"/>
      <c r="S5961" s="316"/>
      <c r="T5961" s="355"/>
    </row>
    <row r="5962" spans="14:20" x14ac:dyDescent="0.25">
      <c r="N5962" s="514"/>
      <c r="R5962" s="293"/>
      <c r="S5962" s="316"/>
      <c r="T5962" s="355"/>
    </row>
    <row r="5963" spans="14:20" x14ac:dyDescent="0.25">
      <c r="N5963" s="514"/>
      <c r="R5963" s="293"/>
      <c r="S5963" s="316"/>
      <c r="T5963" s="355"/>
    </row>
    <row r="5964" spans="14:20" x14ac:dyDescent="0.25">
      <c r="N5964" s="514"/>
      <c r="R5964" s="293"/>
      <c r="S5964" s="316"/>
      <c r="T5964" s="355"/>
    </row>
    <row r="5965" spans="14:20" x14ac:dyDescent="0.25">
      <c r="N5965" s="514"/>
      <c r="R5965" s="293"/>
      <c r="S5965" s="316"/>
      <c r="T5965" s="355"/>
    </row>
    <row r="5966" spans="14:20" x14ac:dyDescent="0.25">
      <c r="N5966" s="514"/>
      <c r="R5966" s="293"/>
      <c r="S5966" s="316"/>
      <c r="T5966" s="355"/>
    </row>
    <row r="5967" spans="14:20" x14ac:dyDescent="0.25">
      <c r="N5967" s="514"/>
      <c r="R5967" s="293"/>
      <c r="S5967" s="316"/>
      <c r="T5967" s="355"/>
    </row>
    <row r="5968" spans="14:20" x14ac:dyDescent="0.25">
      <c r="N5968" s="514"/>
      <c r="R5968" s="293"/>
      <c r="S5968" s="316"/>
      <c r="T5968" s="355"/>
    </row>
    <row r="5969" spans="14:20" x14ac:dyDescent="0.25">
      <c r="N5969" s="514"/>
      <c r="R5969" s="293"/>
      <c r="S5969" s="316"/>
      <c r="T5969" s="355"/>
    </row>
    <row r="5970" spans="14:20" x14ac:dyDescent="0.25">
      <c r="N5970" s="514"/>
      <c r="R5970" s="293"/>
      <c r="S5970" s="316"/>
      <c r="T5970" s="355"/>
    </row>
    <row r="5971" spans="14:20" x14ac:dyDescent="0.25">
      <c r="N5971" s="514"/>
      <c r="R5971" s="293"/>
      <c r="S5971" s="316"/>
      <c r="T5971" s="355"/>
    </row>
    <row r="5972" spans="14:20" x14ac:dyDescent="0.25">
      <c r="N5972" s="514"/>
      <c r="R5972" s="293"/>
      <c r="S5972" s="316"/>
      <c r="T5972" s="355"/>
    </row>
    <row r="5973" spans="14:20" x14ac:dyDescent="0.25">
      <c r="N5973" s="514"/>
      <c r="R5973" s="293"/>
      <c r="S5973" s="316"/>
      <c r="T5973" s="355"/>
    </row>
    <row r="5974" spans="14:20" x14ac:dyDescent="0.25">
      <c r="N5974" s="514"/>
      <c r="R5974" s="293"/>
      <c r="S5974" s="316"/>
      <c r="T5974" s="355"/>
    </row>
    <row r="5975" spans="14:20" x14ac:dyDescent="0.25">
      <c r="N5975" s="514"/>
      <c r="R5975" s="293"/>
      <c r="S5975" s="316"/>
      <c r="T5975" s="355"/>
    </row>
    <row r="5976" spans="14:20" x14ac:dyDescent="0.25">
      <c r="N5976" s="514"/>
      <c r="R5976" s="293"/>
      <c r="S5976" s="316"/>
      <c r="T5976" s="355"/>
    </row>
    <row r="5977" spans="14:20" x14ac:dyDescent="0.25">
      <c r="N5977" s="514"/>
      <c r="R5977" s="293"/>
      <c r="S5977" s="316"/>
      <c r="T5977" s="355"/>
    </row>
    <row r="5978" spans="14:20" x14ac:dyDescent="0.25">
      <c r="N5978" s="514"/>
      <c r="R5978" s="293"/>
      <c r="S5978" s="316"/>
      <c r="T5978" s="355"/>
    </row>
    <row r="5979" spans="14:20" x14ac:dyDescent="0.25">
      <c r="N5979" s="514"/>
      <c r="R5979" s="293"/>
      <c r="S5979" s="316"/>
      <c r="T5979" s="355"/>
    </row>
    <row r="5980" spans="14:20" x14ac:dyDescent="0.25">
      <c r="N5980" s="514"/>
      <c r="R5980" s="293"/>
      <c r="S5980" s="316"/>
      <c r="T5980" s="355"/>
    </row>
    <row r="5981" spans="14:20" x14ac:dyDescent="0.25">
      <c r="N5981" s="514"/>
      <c r="R5981" s="293"/>
      <c r="S5981" s="316"/>
      <c r="T5981" s="355"/>
    </row>
    <row r="5982" spans="14:20" x14ac:dyDescent="0.25">
      <c r="N5982" s="514"/>
      <c r="R5982" s="293"/>
      <c r="S5982" s="316"/>
      <c r="T5982" s="355"/>
    </row>
    <row r="5983" spans="14:20" x14ac:dyDescent="0.25">
      <c r="N5983" s="514"/>
      <c r="R5983" s="293"/>
      <c r="S5983" s="316"/>
      <c r="T5983" s="355"/>
    </row>
    <row r="5984" spans="14:20" x14ac:dyDescent="0.25">
      <c r="N5984" s="514"/>
      <c r="R5984" s="293"/>
      <c r="S5984" s="316"/>
      <c r="T5984" s="355"/>
    </row>
    <row r="5985" spans="14:20" x14ac:dyDescent="0.25">
      <c r="N5985" s="514"/>
      <c r="R5985" s="293"/>
      <c r="S5985" s="316"/>
      <c r="T5985" s="355"/>
    </row>
    <row r="5986" spans="14:20" x14ac:dyDescent="0.25">
      <c r="N5986" s="514"/>
      <c r="R5986" s="293"/>
      <c r="S5986" s="316"/>
      <c r="T5986" s="355"/>
    </row>
    <row r="5987" spans="14:20" x14ac:dyDescent="0.25">
      <c r="N5987" s="514"/>
      <c r="R5987" s="293"/>
      <c r="S5987" s="316"/>
      <c r="T5987" s="355"/>
    </row>
    <row r="5988" spans="14:20" x14ac:dyDescent="0.25">
      <c r="N5988" s="514"/>
      <c r="R5988" s="293"/>
      <c r="S5988" s="316"/>
      <c r="T5988" s="355"/>
    </row>
    <row r="5989" spans="14:20" x14ac:dyDescent="0.25">
      <c r="N5989" s="514"/>
      <c r="R5989" s="293"/>
      <c r="S5989" s="316"/>
      <c r="T5989" s="355"/>
    </row>
    <row r="5990" spans="14:20" x14ac:dyDescent="0.25">
      <c r="N5990" s="514"/>
      <c r="R5990" s="293"/>
      <c r="S5990" s="316"/>
      <c r="T5990" s="355"/>
    </row>
    <row r="5991" spans="14:20" x14ac:dyDescent="0.25">
      <c r="N5991" s="514"/>
      <c r="R5991" s="293"/>
      <c r="S5991" s="316"/>
      <c r="T5991" s="355"/>
    </row>
    <row r="5992" spans="14:20" x14ac:dyDescent="0.25">
      <c r="N5992" s="514"/>
      <c r="R5992" s="293"/>
      <c r="S5992" s="316"/>
      <c r="T5992" s="355"/>
    </row>
    <row r="5993" spans="14:20" x14ac:dyDescent="0.25">
      <c r="N5993" s="514"/>
      <c r="R5993" s="293"/>
      <c r="S5993" s="316"/>
      <c r="T5993" s="355"/>
    </row>
    <row r="5994" spans="14:20" x14ac:dyDescent="0.25">
      <c r="N5994" s="514"/>
      <c r="R5994" s="293"/>
      <c r="S5994" s="316"/>
      <c r="T5994" s="355"/>
    </row>
    <row r="5995" spans="14:20" x14ac:dyDescent="0.25">
      <c r="N5995" s="514"/>
      <c r="R5995" s="293"/>
      <c r="S5995" s="316"/>
      <c r="T5995" s="355"/>
    </row>
    <row r="5996" spans="14:20" x14ac:dyDescent="0.25">
      <c r="N5996" s="514"/>
      <c r="R5996" s="293"/>
      <c r="S5996" s="316"/>
      <c r="T5996" s="355"/>
    </row>
    <row r="5997" spans="14:20" x14ac:dyDescent="0.25">
      <c r="N5997" s="514"/>
      <c r="R5997" s="293"/>
      <c r="S5997" s="316"/>
      <c r="T5997" s="355"/>
    </row>
    <row r="5998" spans="14:20" x14ac:dyDescent="0.25">
      <c r="N5998" s="514"/>
      <c r="R5998" s="293"/>
      <c r="S5998" s="316"/>
      <c r="T5998" s="355"/>
    </row>
    <row r="5999" spans="14:20" x14ac:dyDescent="0.25">
      <c r="N5999" s="514"/>
      <c r="R5999" s="293"/>
      <c r="S5999" s="316"/>
      <c r="T5999" s="355"/>
    </row>
    <row r="6000" spans="14:20" x14ac:dyDescent="0.25">
      <c r="N6000" s="514"/>
      <c r="R6000" s="293"/>
      <c r="S6000" s="316"/>
      <c r="T6000" s="355"/>
    </row>
    <row r="6001" spans="14:20" x14ac:dyDescent="0.25">
      <c r="N6001" s="514"/>
      <c r="R6001" s="293"/>
      <c r="S6001" s="316"/>
      <c r="T6001" s="355"/>
    </row>
    <row r="6002" spans="14:20" x14ac:dyDescent="0.25">
      <c r="N6002" s="514"/>
      <c r="R6002" s="293"/>
      <c r="S6002" s="316"/>
      <c r="T6002" s="355"/>
    </row>
    <row r="6003" spans="14:20" x14ac:dyDescent="0.25">
      <c r="N6003" s="514"/>
      <c r="R6003" s="293"/>
      <c r="S6003" s="316"/>
      <c r="T6003" s="355"/>
    </row>
    <row r="6004" spans="14:20" x14ac:dyDescent="0.25">
      <c r="N6004" s="514"/>
      <c r="R6004" s="293"/>
      <c r="S6004" s="316"/>
      <c r="T6004" s="355"/>
    </row>
    <row r="6005" spans="14:20" x14ac:dyDescent="0.25">
      <c r="N6005" s="514"/>
      <c r="R6005" s="293"/>
      <c r="S6005" s="316"/>
      <c r="T6005" s="355"/>
    </row>
    <row r="6006" spans="14:20" x14ac:dyDescent="0.25">
      <c r="N6006" s="514"/>
      <c r="R6006" s="293"/>
      <c r="S6006" s="316"/>
      <c r="T6006" s="355"/>
    </row>
    <row r="6007" spans="14:20" x14ac:dyDescent="0.25">
      <c r="N6007" s="514"/>
      <c r="R6007" s="293"/>
      <c r="S6007" s="316"/>
      <c r="T6007" s="355"/>
    </row>
    <row r="6008" spans="14:20" x14ac:dyDescent="0.25">
      <c r="N6008" s="514"/>
      <c r="R6008" s="293"/>
      <c r="S6008" s="316"/>
      <c r="T6008" s="355"/>
    </row>
    <row r="6009" spans="14:20" x14ac:dyDescent="0.25">
      <c r="N6009" s="514"/>
      <c r="R6009" s="293"/>
      <c r="S6009" s="316"/>
      <c r="T6009" s="355"/>
    </row>
    <row r="6010" spans="14:20" x14ac:dyDescent="0.25">
      <c r="N6010" s="514"/>
      <c r="R6010" s="293"/>
      <c r="S6010" s="316"/>
      <c r="T6010" s="355"/>
    </row>
    <row r="6011" spans="14:20" x14ac:dyDescent="0.25">
      <c r="N6011" s="514"/>
      <c r="R6011" s="293"/>
      <c r="S6011" s="316"/>
      <c r="T6011" s="355"/>
    </row>
    <row r="6012" spans="14:20" x14ac:dyDescent="0.25">
      <c r="N6012" s="514"/>
      <c r="R6012" s="293"/>
      <c r="S6012" s="316"/>
      <c r="T6012" s="355"/>
    </row>
    <row r="6013" spans="14:20" x14ac:dyDescent="0.25">
      <c r="N6013" s="514"/>
      <c r="R6013" s="293"/>
      <c r="S6013" s="316"/>
      <c r="T6013" s="355"/>
    </row>
    <row r="6014" spans="14:20" x14ac:dyDescent="0.25">
      <c r="N6014" s="514"/>
      <c r="R6014" s="293"/>
      <c r="S6014" s="316"/>
      <c r="T6014" s="355"/>
    </row>
    <row r="6015" spans="14:20" x14ac:dyDescent="0.25">
      <c r="N6015" s="514"/>
      <c r="R6015" s="293"/>
      <c r="S6015" s="316"/>
      <c r="T6015" s="355"/>
    </row>
    <row r="6016" spans="14:20" x14ac:dyDescent="0.25">
      <c r="N6016" s="514"/>
      <c r="R6016" s="293"/>
      <c r="S6016" s="316"/>
      <c r="T6016" s="355"/>
    </row>
    <row r="6017" spans="14:20" x14ac:dyDescent="0.25">
      <c r="N6017" s="514"/>
      <c r="R6017" s="293"/>
      <c r="S6017" s="316"/>
      <c r="T6017" s="355"/>
    </row>
    <row r="6018" spans="14:20" x14ac:dyDescent="0.25">
      <c r="N6018" s="514"/>
      <c r="R6018" s="293"/>
      <c r="S6018" s="316"/>
      <c r="T6018" s="355"/>
    </row>
    <row r="6019" spans="14:20" x14ac:dyDescent="0.25">
      <c r="N6019" s="514"/>
      <c r="R6019" s="293"/>
      <c r="S6019" s="316"/>
      <c r="T6019" s="355"/>
    </row>
    <row r="6020" spans="14:20" x14ac:dyDescent="0.25">
      <c r="N6020" s="514"/>
      <c r="R6020" s="293"/>
      <c r="S6020" s="316"/>
      <c r="T6020" s="355"/>
    </row>
    <row r="6021" spans="14:20" x14ac:dyDescent="0.25">
      <c r="N6021" s="514"/>
      <c r="R6021" s="293"/>
      <c r="S6021" s="316"/>
      <c r="T6021" s="355"/>
    </row>
    <row r="6022" spans="14:20" x14ac:dyDescent="0.25">
      <c r="N6022" s="514"/>
      <c r="R6022" s="293"/>
      <c r="S6022" s="316"/>
      <c r="T6022" s="355"/>
    </row>
    <row r="6023" spans="14:20" x14ac:dyDescent="0.25">
      <c r="N6023" s="514"/>
      <c r="R6023" s="293"/>
      <c r="S6023" s="316"/>
      <c r="T6023" s="355"/>
    </row>
    <row r="6024" spans="14:20" x14ac:dyDescent="0.25">
      <c r="N6024" s="514"/>
      <c r="R6024" s="293"/>
      <c r="S6024" s="316"/>
      <c r="T6024" s="355"/>
    </row>
    <row r="6025" spans="14:20" x14ac:dyDescent="0.25">
      <c r="N6025" s="514"/>
      <c r="R6025" s="293"/>
      <c r="S6025" s="316"/>
      <c r="T6025" s="355"/>
    </row>
    <row r="6026" spans="14:20" x14ac:dyDescent="0.25">
      <c r="N6026" s="514"/>
      <c r="R6026" s="293"/>
      <c r="S6026" s="316"/>
      <c r="T6026" s="355"/>
    </row>
    <row r="6027" spans="14:20" x14ac:dyDescent="0.25">
      <c r="N6027" s="514"/>
      <c r="R6027" s="293"/>
      <c r="S6027" s="316"/>
      <c r="T6027" s="355"/>
    </row>
    <row r="6028" spans="14:20" x14ac:dyDescent="0.25">
      <c r="N6028" s="514"/>
      <c r="R6028" s="293"/>
      <c r="S6028" s="316"/>
      <c r="T6028" s="355"/>
    </row>
    <row r="6029" spans="14:20" x14ac:dyDescent="0.25">
      <c r="N6029" s="514"/>
      <c r="R6029" s="293"/>
      <c r="S6029" s="316"/>
      <c r="T6029" s="355"/>
    </row>
    <row r="6030" spans="14:20" x14ac:dyDescent="0.25">
      <c r="N6030" s="514"/>
      <c r="R6030" s="293"/>
      <c r="S6030" s="316"/>
      <c r="T6030" s="355"/>
    </row>
    <row r="6031" spans="14:20" x14ac:dyDescent="0.25">
      <c r="N6031" s="514"/>
      <c r="R6031" s="293"/>
      <c r="S6031" s="316"/>
      <c r="T6031" s="355"/>
    </row>
    <row r="6032" spans="14:20" x14ac:dyDescent="0.25">
      <c r="N6032" s="514"/>
      <c r="R6032" s="293"/>
      <c r="S6032" s="316"/>
      <c r="T6032" s="355"/>
    </row>
    <row r="6033" spans="14:20" x14ac:dyDescent="0.25">
      <c r="N6033" s="514"/>
      <c r="R6033" s="293"/>
      <c r="S6033" s="316"/>
      <c r="T6033" s="355"/>
    </row>
    <row r="6034" spans="14:20" x14ac:dyDescent="0.25">
      <c r="N6034" s="514"/>
      <c r="R6034" s="293"/>
      <c r="S6034" s="316"/>
      <c r="T6034" s="355"/>
    </row>
    <row r="6035" spans="14:20" x14ac:dyDescent="0.25">
      <c r="N6035" s="514"/>
      <c r="R6035" s="293"/>
      <c r="S6035" s="316"/>
      <c r="T6035" s="355"/>
    </row>
    <row r="6036" spans="14:20" x14ac:dyDescent="0.25">
      <c r="N6036" s="514"/>
      <c r="R6036" s="293"/>
      <c r="S6036" s="316"/>
      <c r="T6036" s="355"/>
    </row>
    <row r="6037" spans="14:20" x14ac:dyDescent="0.25">
      <c r="N6037" s="514"/>
      <c r="R6037" s="293"/>
      <c r="S6037" s="316"/>
      <c r="T6037" s="355"/>
    </row>
    <row r="6038" spans="14:20" x14ac:dyDescent="0.25">
      <c r="N6038" s="514"/>
      <c r="R6038" s="293"/>
      <c r="S6038" s="316"/>
      <c r="T6038" s="355"/>
    </row>
    <row r="6039" spans="14:20" x14ac:dyDescent="0.25">
      <c r="N6039" s="514"/>
      <c r="R6039" s="293"/>
      <c r="S6039" s="316"/>
      <c r="T6039" s="355"/>
    </row>
    <row r="6040" spans="14:20" x14ac:dyDescent="0.25">
      <c r="N6040" s="514"/>
      <c r="R6040" s="293"/>
      <c r="S6040" s="316"/>
      <c r="T6040" s="355"/>
    </row>
    <row r="6041" spans="14:20" x14ac:dyDescent="0.25">
      <c r="N6041" s="514"/>
      <c r="R6041" s="293"/>
      <c r="S6041" s="316"/>
      <c r="T6041" s="355"/>
    </row>
    <row r="6042" spans="14:20" x14ac:dyDescent="0.25">
      <c r="N6042" s="514"/>
      <c r="R6042" s="293"/>
      <c r="S6042" s="316"/>
      <c r="T6042" s="355"/>
    </row>
    <row r="6043" spans="14:20" x14ac:dyDescent="0.25">
      <c r="N6043" s="514"/>
      <c r="R6043" s="293"/>
      <c r="S6043" s="316"/>
      <c r="T6043" s="355"/>
    </row>
    <row r="6044" spans="14:20" x14ac:dyDescent="0.25">
      <c r="N6044" s="514"/>
      <c r="R6044" s="293"/>
      <c r="S6044" s="316"/>
      <c r="T6044" s="355"/>
    </row>
    <row r="6045" spans="14:20" x14ac:dyDescent="0.25">
      <c r="N6045" s="514"/>
      <c r="R6045" s="293"/>
      <c r="S6045" s="316"/>
      <c r="T6045" s="355"/>
    </row>
    <row r="6046" spans="14:20" x14ac:dyDescent="0.25">
      <c r="N6046" s="514"/>
      <c r="R6046" s="293"/>
      <c r="S6046" s="316"/>
      <c r="T6046" s="355"/>
    </row>
    <row r="6047" spans="14:20" x14ac:dyDescent="0.25">
      <c r="N6047" s="514"/>
      <c r="R6047" s="293"/>
      <c r="S6047" s="316"/>
      <c r="T6047" s="355"/>
    </row>
    <row r="6048" spans="14:20" x14ac:dyDescent="0.25">
      <c r="N6048" s="514"/>
      <c r="R6048" s="293"/>
      <c r="S6048" s="316"/>
      <c r="T6048" s="355"/>
    </row>
    <row r="6049" spans="14:20" x14ac:dyDescent="0.25">
      <c r="N6049" s="514"/>
      <c r="R6049" s="293"/>
      <c r="S6049" s="316"/>
      <c r="T6049" s="355"/>
    </row>
    <row r="6050" spans="14:20" x14ac:dyDescent="0.25">
      <c r="N6050" s="514"/>
      <c r="R6050" s="293"/>
      <c r="S6050" s="316"/>
      <c r="T6050" s="355"/>
    </row>
    <row r="6051" spans="14:20" x14ac:dyDescent="0.25">
      <c r="N6051" s="514"/>
      <c r="R6051" s="293"/>
      <c r="S6051" s="316"/>
      <c r="T6051" s="355"/>
    </row>
    <row r="6052" spans="14:20" x14ac:dyDescent="0.25">
      <c r="N6052" s="514"/>
      <c r="R6052" s="293"/>
      <c r="S6052" s="316"/>
      <c r="T6052" s="355"/>
    </row>
    <row r="6053" spans="14:20" x14ac:dyDescent="0.25">
      <c r="N6053" s="514"/>
      <c r="R6053" s="293"/>
      <c r="S6053" s="316"/>
      <c r="T6053" s="355"/>
    </row>
    <row r="6054" spans="14:20" x14ac:dyDescent="0.25">
      <c r="N6054" s="514"/>
      <c r="R6054" s="293"/>
      <c r="S6054" s="316"/>
      <c r="T6054" s="355"/>
    </row>
    <row r="6055" spans="14:20" x14ac:dyDescent="0.25">
      <c r="N6055" s="514"/>
      <c r="R6055" s="293"/>
      <c r="S6055" s="316"/>
      <c r="T6055" s="355"/>
    </row>
    <row r="6056" spans="14:20" x14ac:dyDescent="0.25">
      <c r="N6056" s="514"/>
      <c r="R6056" s="293"/>
      <c r="S6056" s="316"/>
      <c r="T6056" s="355"/>
    </row>
    <row r="6057" spans="14:20" x14ac:dyDescent="0.25">
      <c r="N6057" s="514"/>
      <c r="R6057" s="293"/>
      <c r="S6057" s="316"/>
      <c r="T6057" s="355"/>
    </row>
    <row r="6058" spans="14:20" x14ac:dyDescent="0.25">
      <c r="N6058" s="514"/>
      <c r="R6058" s="293"/>
      <c r="S6058" s="316"/>
      <c r="T6058" s="355"/>
    </row>
    <row r="6059" spans="14:20" x14ac:dyDescent="0.25">
      <c r="N6059" s="514"/>
      <c r="R6059" s="293"/>
      <c r="S6059" s="316"/>
      <c r="T6059" s="355"/>
    </row>
    <row r="6060" spans="14:20" x14ac:dyDescent="0.25">
      <c r="N6060" s="514"/>
      <c r="R6060" s="293"/>
      <c r="S6060" s="316"/>
      <c r="T6060" s="355"/>
    </row>
    <row r="6061" spans="14:20" x14ac:dyDescent="0.25">
      <c r="N6061" s="514"/>
      <c r="R6061" s="293"/>
      <c r="S6061" s="316"/>
      <c r="T6061" s="355"/>
    </row>
    <row r="6062" spans="14:20" x14ac:dyDescent="0.25">
      <c r="N6062" s="514"/>
      <c r="R6062" s="293"/>
      <c r="S6062" s="316"/>
      <c r="T6062" s="355"/>
    </row>
    <row r="6063" spans="14:20" x14ac:dyDescent="0.25">
      <c r="N6063" s="514"/>
      <c r="R6063" s="293"/>
      <c r="S6063" s="316"/>
      <c r="T6063" s="355"/>
    </row>
    <row r="6064" spans="14:20" x14ac:dyDescent="0.25">
      <c r="N6064" s="514"/>
      <c r="R6064" s="293"/>
      <c r="S6064" s="316"/>
      <c r="T6064" s="355"/>
    </row>
    <row r="6065" spans="14:20" x14ac:dyDescent="0.25">
      <c r="N6065" s="514"/>
      <c r="R6065" s="293"/>
      <c r="S6065" s="316"/>
      <c r="T6065" s="355"/>
    </row>
    <row r="6066" spans="14:20" x14ac:dyDescent="0.25">
      <c r="N6066" s="514"/>
      <c r="R6066" s="293"/>
      <c r="S6066" s="316"/>
      <c r="T6066" s="355"/>
    </row>
    <row r="6067" spans="14:20" x14ac:dyDescent="0.25">
      <c r="N6067" s="514"/>
      <c r="R6067" s="293"/>
      <c r="S6067" s="316"/>
      <c r="T6067" s="355"/>
    </row>
    <row r="6068" spans="14:20" x14ac:dyDescent="0.25">
      <c r="N6068" s="514"/>
      <c r="R6068" s="293"/>
      <c r="S6068" s="316"/>
      <c r="T6068" s="355"/>
    </row>
    <row r="6069" spans="14:20" x14ac:dyDescent="0.25">
      <c r="N6069" s="514"/>
      <c r="R6069" s="293"/>
      <c r="S6069" s="316"/>
      <c r="T6069" s="355"/>
    </row>
    <row r="6070" spans="14:20" x14ac:dyDescent="0.25">
      <c r="N6070" s="514"/>
      <c r="R6070" s="293"/>
      <c r="S6070" s="316"/>
      <c r="T6070" s="355"/>
    </row>
    <row r="6071" spans="14:20" x14ac:dyDescent="0.25">
      <c r="N6071" s="514"/>
      <c r="R6071" s="293"/>
      <c r="S6071" s="316"/>
      <c r="T6071" s="355"/>
    </row>
    <row r="6072" spans="14:20" x14ac:dyDescent="0.25">
      <c r="N6072" s="514"/>
      <c r="R6072" s="293"/>
      <c r="S6072" s="316"/>
      <c r="T6072" s="355"/>
    </row>
    <row r="6073" spans="14:20" x14ac:dyDescent="0.25">
      <c r="N6073" s="514"/>
      <c r="R6073" s="293"/>
      <c r="S6073" s="316"/>
      <c r="T6073" s="355"/>
    </row>
    <row r="6074" spans="14:20" x14ac:dyDescent="0.25">
      <c r="N6074" s="514"/>
      <c r="R6074" s="293"/>
      <c r="S6074" s="316"/>
      <c r="T6074" s="355"/>
    </row>
    <row r="6075" spans="14:20" x14ac:dyDescent="0.25">
      <c r="N6075" s="514"/>
      <c r="R6075" s="293"/>
      <c r="S6075" s="316"/>
      <c r="T6075" s="355"/>
    </row>
    <row r="6076" spans="14:20" x14ac:dyDescent="0.25">
      <c r="N6076" s="514"/>
      <c r="R6076" s="293"/>
      <c r="S6076" s="316"/>
      <c r="T6076" s="355"/>
    </row>
    <row r="6077" spans="14:20" x14ac:dyDescent="0.25">
      <c r="N6077" s="514"/>
      <c r="R6077" s="293"/>
      <c r="S6077" s="316"/>
      <c r="T6077" s="355"/>
    </row>
    <row r="6078" spans="14:20" x14ac:dyDescent="0.25">
      <c r="N6078" s="514"/>
      <c r="R6078" s="293"/>
      <c r="S6078" s="316"/>
      <c r="T6078" s="355"/>
    </row>
    <row r="6079" spans="14:20" x14ac:dyDescent="0.25">
      <c r="N6079" s="514"/>
      <c r="R6079" s="293"/>
      <c r="S6079" s="316"/>
      <c r="T6079" s="355"/>
    </row>
    <row r="6080" spans="14:20" x14ac:dyDescent="0.25">
      <c r="N6080" s="514"/>
      <c r="R6080" s="293"/>
      <c r="S6080" s="316"/>
      <c r="T6080" s="355"/>
    </row>
    <row r="6081" spans="14:20" x14ac:dyDescent="0.25">
      <c r="N6081" s="514"/>
      <c r="R6081" s="293"/>
      <c r="S6081" s="316"/>
      <c r="T6081" s="355"/>
    </row>
    <row r="6082" spans="14:20" x14ac:dyDescent="0.25">
      <c r="N6082" s="514"/>
      <c r="R6082" s="293"/>
      <c r="S6082" s="316"/>
      <c r="T6082" s="355"/>
    </row>
    <row r="6083" spans="14:20" x14ac:dyDescent="0.25">
      <c r="N6083" s="514"/>
      <c r="R6083" s="293"/>
      <c r="S6083" s="316"/>
      <c r="T6083" s="355"/>
    </row>
    <row r="6084" spans="14:20" x14ac:dyDescent="0.25">
      <c r="N6084" s="514"/>
      <c r="R6084" s="293"/>
      <c r="S6084" s="316"/>
      <c r="T6084" s="355"/>
    </row>
    <row r="6085" spans="14:20" x14ac:dyDescent="0.25">
      <c r="N6085" s="514"/>
      <c r="R6085" s="293"/>
      <c r="S6085" s="316"/>
      <c r="T6085" s="355"/>
    </row>
    <row r="6086" spans="14:20" x14ac:dyDescent="0.25">
      <c r="N6086" s="514"/>
      <c r="R6086" s="293"/>
      <c r="S6086" s="316"/>
      <c r="T6086" s="355"/>
    </row>
    <row r="6087" spans="14:20" x14ac:dyDescent="0.25">
      <c r="N6087" s="514"/>
      <c r="R6087" s="293"/>
      <c r="S6087" s="316"/>
      <c r="T6087" s="355"/>
    </row>
    <row r="6088" spans="14:20" x14ac:dyDescent="0.25">
      <c r="N6088" s="514"/>
      <c r="R6088" s="293"/>
      <c r="S6088" s="316"/>
      <c r="T6088" s="355"/>
    </row>
    <row r="6089" spans="14:20" x14ac:dyDescent="0.25">
      <c r="N6089" s="514"/>
      <c r="R6089" s="293"/>
      <c r="S6089" s="316"/>
      <c r="T6089" s="355"/>
    </row>
    <row r="6090" spans="14:20" x14ac:dyDescent="0.25">
      <c r="N6090" s="514"/>
      <c r="R6090" s="293"/>
      <c r="S6090" s="316"/>
      <c r="T6090" s="355"/>
    </row>
    <row r="6091" spans="14:20" x14ac:dyDescent="0.25">
      <c r="N6091" s="514"/>
      <c r="R6091" s="293"/>
      <c r="S6091" s="316"/>
      <c r="T6091" s="355"/>
    </row>
    <row r="6092" spans="14:20" x14ac:dyDescent="0.25">
      <c r="N6092" s="514"/>
      <c r="R6092" s="293"/>
      <c r="S6092" s="316"/>
      <c r="T6092" s="355"/>
    </row>
    <row r="6093" spans="14:20" x14ac:dyDescent="0.25">
      <c r="N6093" s="514"/>
      <c r="R6093" s="293"/>
      <c r="S6093" s="316"/>
      <c r="T6093" s="355"/>
    </row>
    <row r="6094" spans="14:20" x14ac:dyDescent="0.25">
      <c r="N6094" s="514"/>
      <c r="R6094" s="293"/>
      <c r="S6094" s="316"/>
      <c r="T6094" s="355"/>
    </row>
    <row r="6095" spans="14:20" x14ac:dyDescent="0.25">
      <c r="N6095" s="514"/>
      <c r="R6095" s="293"/>
      <c r="S6095" s="316"/>
      <c r="T6095" s="355"/>
    </row>
    <row r="6096" spans="14:20" x14ac:dyDescent="0.25">
      <c r="N6096" s="514"/>
      <c r="R6096" s="293"/>
      <c r="S6096" s="316"/>
      <c r="T6096" s="355"/>
    </row>
    <row r="6097" spans="14:20" x14ac:dyDescent="0.25">
      <c r="N6097" s="514"/>
      <c r="R6097" s="293"/>
      <c r="S6097" s="316"/>
      <c r="T6097" s="355"/>
    </row>
    <row r="6098" spans="14:20" x14ac:dyDescent="0.25">
      <c r="N6098" s="514"/>
      <c r="R6098" s="293"/>
      <c r="S6098" s="316"/>
      <c r="T6098" s="355"/>
    </row>
    <row r="6099" spans="14:20" x14ac:dyDescent="0.25">
      <c r="N6099" s="514"/>
      <c r="R6099" s="293"/>
      <c r="S6099" s="316"/>
      <c r="T6099" s="355"/>
    </row>
    <row r="6100" spans="14:20" x14ac:dyDescent="0.25">
      <c r="N6100" s="514"/>
      <c r="R6100" s="293"/>
      <c r="S6100" s="316"/>
      <c r="T6100" s="355"/>
    </row>
    <row r="6101" spans="14:20" x14ac:dyDescent="0.25">
      <c r="N6101" s="514"/>
      <c r="R6101" s="293"/>
      <c r="S6101" s="316"/>
      <c r="T6101" s="355"/>
    </row>
    <row r="6102" spans="14:20" x14ac:dyDescent="0.25">
      <c r="N6102" s="514"/>
      <c r="R6102" s="293"/>
      <c r="S6102" s="316"/>
      <c r="T6102" s="355"/>
    </row>
    <row r="6103" spans="14:20" x14ac:dyDescent="0.25">
      <c r="N6103" s="514"/>
      <c r="R6103" s="293"/>
      <c r="S6103" s="316"/>
      <c r="T6103" s="355"/>
    </row>
    <row r="6104" spans="14:20" x14ac:dyDescent="0.25">
      <c r="N6104" s="514"/>
      <c r="R6104" s="293"/>
      <c r="S6104" s="316"/>
      <c r="T6104" s="355"/>
    </row>
    <row r="6105" spans="14:20" x14ac:dyDescent="0.25">
      <c r="N6105" s="514"/>
      <c r="R6105" s="293"/>
      <c r="S6105" s="316"/>
      <c r="T6105" s="355"/>
    </row>
    <row r="6106" spans="14:20" x14ac:dyDescent="0.25">
      <c r="N6106" s="514"/>
      <c r="R6106" s="293"/>
      <c r="S6106" s="316"/>
      <c r="T6106" s="355"/>
    </row>
    <row r="6107" spans="14:20" x14ac:dyDescent="0.25">
      <c r="N6107" s="514"/>
      <c r="R6107" s="293"/>
      <c r="S6107" s="316"/>
      <c r="T6107" s="355"/>
    </row>
    <row r="6108" spans="14:20" x14ac:dyDescent="0.25">
      <c r="N6108" s="514"/>
      <c r="R6108" s="293"/>
      <c r="S6108" s="316"/>
      <c r="T6108" s="355"/>
    </row>
    <row r="6109" spans="14:20" x14ac:dyDescent="0.25">
      <c r="N6109" s="514"/>
      <c r="R6109" s="293"/>
      <c r="S6109" s="316"/>
      <c r="T6109" s="355"/>
    </row>
    <row r="6110" spans="14:20" x14ac:dyDescent="0.25">
      <c r="N6110" s="514"/>
      <c r="R6110" s="293"/>
      <c r="S6110" s="316"/>
      <c r="T6110" s="355"/>
    </row>
    <row r="6111" spans="14:20" x14ac:dyDescent="0.25">
      <c r="N6111" s="514"/>
      <c r="R6111" s="293"/>
      <c r="S6111" s="316"/>
      <c r="T6111" s="355"/>
    </row>
    <row r="6112" spans="14:20" x14ac:dyDescent="0.25">
      <c r="N6112" s="514"/>
      <c r="R6112" s="293"/>
      <c r="S6112" s="316"/>
      <c r="T6112" s="355"/>
    </row>
    <row r="6113" spans="14:20" x14ac:dyDescent="0.25">
      <c r="N6113" s="514"/>
      <c r="R6113" s="293"/>
      <c r="S6113" s="316"/>
      <c r="T6113" s="355"/>
    </row>
    <row r="6114" spans="14:20" x14ac:dyDescent="0.25">
      <c r="N6114" s="514"/>
      <c r="R6114" s="293"/>
      <c r="S6114" s="316"/>
      <c r="T6114" s="355"/>
    </row>
    <row r="6115" spans="14:20" x14ac:dyDescent="0.25">
      <c r="N6115" s="514"/>
      <c r="R6115" s="293"/>
      <c r="S6115" s="316"/>
      <c r="T6115" s="355"/>
    </row>
    <row r="6116" spans="14:20" x14ac:dyDescent="0.25">
      <c r="N6116" s="514"/>
      <c r="R6116" s="293"/>
      <c r="S6116" s="316"/>
      <c r="T6116" s="355"/>
    </row>
    <row r="6117" spans="14:20" x14ac:dyDescent="0.25">
      <c r="N6117" s="514"/>
      <c r="R6117" s="293"/>
      <c r="S6117" s="316"/>
      <c r="T6117" s="355"/>
    </row>
    <row r="6118" spans="14:20" x14ac:dyDescent="0.25">
      <c r="N6118" s="514"/>
      <c r="R6118" s="293"/>
      <c r="S6118" s="316"/>
      <c r="T6118" s="355"/>
    </row>
    <row r="6119" spans="14:20" x14ac:dyDescent="0.25">
      <c r="N6119" s="514"/>
      <c r="R6119" s="293"/>
      <c r="S6119" s="316"/>
      <c r="T6119" s="355"/>
    </row>
    <row r="6120" spans="14:20" x14ac:dyDescent="0.25">
      <c r="N6120" s="514"/>
      <c r="R6120" s="293"/>
      <c r="S6120" s="316"/>
      <c r="T6120" s="355"/>
    </row>
    <row r="6121" spans="14:20" x14ac:dyDescent="0.25">
      <c r="N6121" s="514"/>
      <c r="R6121" s="293"/>
      <c r="S6121" s="316"/>
      <c r="T6121" s="355"/>
    </row>
    <row r="6122" spans="14:20" x14ac:dyDescent="0.25">
      <c r="N6122" s="514"/>
      <c r="R6122" s="293"/>
      <c r="S6122" s="316"/>
      <c r="T6122" s="355"/>
    </row>
    <row r="6123" spans="14:20" x14ac:dyDescent="0.25">
      <c r="N6123" s="514"/>
      <c r="R6123" s="293"/>
      <c r="S6123" s="316"/>
      <c r="T6123" s="355"/>
    </row>
    <row r="6124" spans="14:20" x14ac:dyDescent="0.25">
      <c r="N6124" s="514"/>
      <c r="R6124" s="293"/>
      <c r="S6124" s="316"/>
      <c r="T6124" s="355"/>
    </row>
    <row r="6125" spans="14:20" x14ac:dyDescent="0.25">
      <c r="N6125" s="514"/>
      <c r="R6125" s="293"/>
      <c r="S6125" s="316"/>
      <c r="T6125" s="355"/>
    </row>
    <row r="6126" spans="14:20" x14ac:dyDescent="0.25">
      <c r="N6126" s="514"/>
      <c r="R6126" s="293"/>
      <c r="S6126" s="316"/>
      <c r="T6126" s="355"/>
    </row>
    <row r="6127" spans="14:20" x14ac:dyDescent="0.25">
      <c r="N6127" s="514"/>
      <c r="R6127" s="293"/>
      <c r="S6127" s="316"/>
      <c r="T6127" s="355"/>
    </row>
    <row r="6128" spans="14:20" x14ac:dyDescent="0.25">
      <c r="N6128" s="514"/>
      <c r="R6128" s="293"/>
      <c r="S6128" s="316"/>
      <c r="T6128" s="355"/>
    </row>
    <row r="6129" spans="14:20" x14ac:dyDescent="0.25">
      <c r="N6129" s="514"/>
      <c r="R6129" s="293"/>
      <c r="S6129" s="316"/>
      <c r="T6129" s="355"/>
    </row>
    <row r="6130" spans="14:20" x14ac:dyDescent="0.25">
      <c r="N6130" s="514"/>
      <c r="R6130" s="293"/>
      <c r="S6130" s="316"/>
      <c r="T6130" s="355"/>
    </row>
    <row r="6131" spans="14:20" x14ac:dyDescent="0.25">
      <c r="N6131" s="514"/>
      <c r="R6131" s="293"/>
      <c r="S6131" s="316"/>
      <c r="T6131" s="355"/>
    </row>
    <row r="6132" spans="14:20" x14ac:dyDescent="0.25">
      <c r="N6132" s="514"/>
      <c r="R6132" s="293"/>
      <c r="S6132" s="316"/>
      <c r="T6132" s="355"/>
    </row>
    <row r="6133" spans="14:20" x14ac:dyDescent="0.25">
      <c r="N6133" s="514"/>
      <c r="R6133" s="293"/>
      <c r="S6133" s="316"/>
      <c r="T6133" s="355"/>
    </row>
    <row r="6134" spans="14:20" x14ac:dyDescent="0.25">
      <c r="N6134" s="514"/>
      <c r="R6134" s="293"/>
      <c r="S6134" s="316"/>
      <c r="T6134" s="355"/>
    </row>
    <row r="6135" spans="14:20" x14ac:dyDescent="0.25">
      <c r="N6135" s="514"/>
      <c r="R6135" s="293"/>
      <c r="S6135" s="316"/>
      <c r="T6135" s="355"/>
    </row>
    <row r="6136" spans="14:20" x14ac:dyDescent="0.25">
      <c r="N6136" s="514"/>
      <c r="R6136" s="293"/>
      <c r="S6136" s="316"/>
      <c r="T6136" s="355"/>
    </row>
    <row r="6137" spans="14:20" x14ac:dyDescent="0.25">
      <c r="N6137" s="514"/>
      <c r="R6137" s="293"/>
      <c r="S6137" s="316"/>
      <c r="T6137" s="355"/>
    </row>
    <row r="6138" spans="14:20" x14ac:dyDescent="0.25">
      <c r="N6138" s="514"/>
      <c r="R6138" s="293"/>
      <c r="S6138" s="316"/>
      <c r="T6138" s="355"/>
    </row>
    <row r="6139" spans="14:20" x14ac:dyDescent="0.25">
      <c r="N6139" s="514"/>
      <c r="R6139" s="293"/>
      <c r="S6139" s="316"/>
      <c r="T6139" s="355"/>
    </row>
    <row r="6140" spans="14:20" x14ac:dyDescent="0.25">
      <c r="N6140" s="514"/>
      <c r="R6140" s="293"/>
      <c r="S6140" s="316"/>
      <c r="T6140" s="355"/>
    </row>
    <row r="6141" spans="14:20" x14ac:dyDescent="0.25">
      <c r="N6141" s="514"/>
      <c r="R6141" s="293"/>
      <c r="S6141" s="316"/>
      <c r="T6141" s="355"/>
    </row>
    <row r="6142" spans="14:20" x14ac:dyDescent="0.25">
      <c r="N6142" s="514"/>
      <c r="R6142" s="293"/>
      <c r="S6142" s="316"/>
      <c r="T6142" s="355"/>
    </row>
    <row r="6143" spans="14:20" x14ac:dyDescent="0.25">
      <c r="N6143" s="514"/>
      <c r="R6143" s="293"/>
      <c r="S6143" s="316"/>
      <c r="T6143" s="355"/>
    </row>
    <row r="6144" spans="14:20" x14ac:dyDescent="0.25">
      <c r="N6144" s="514"/>
      <c r="R6144" s="293"/>
      <c r="S6144" s="316"/>
      <c r="T6144" s="355"/>
    </row>
    <row r="6145" spans="14:20" x14ac:dyDescent="0.25">
      <c r="N6145" s="514"/>
      <c r="R6145" s="293"/>
      <c r="S6145" s="316"/>
      <c r="T6145" s="355"/>
    </row>
    <row r="6146" spans="14:20" x14ac:dyDescent="0.25">
      <c r="N6146" s="514"/>
      <c r="R6146" s="293"/>
      <c r="S6146" s="316"/>
      <c r="T6146" s="355"/>
    </row>
    <row r="6147" spans="14:20" x14ac:dyDescent="0.25">
      <c r="N6147" s="514"/>
      <c r="R6147" s="293"/>
      <c r="S6147" s="316"/>
      <c r="T6147" s="355"/>
    </row>
    <row r="6148" spans="14:20" x14ac:dyDescent="0.25">
      <c r="N6148" s="514"/>
      <c r="R6148" s="293"/>
      <c r="S6148" s="316"/>
      <c r="T6148" s="355"/>
    </row>
    <row r="6149" spans="14:20" x14ac:dyDescent="0.25">
      <c r="N6149" s="514"/>
      <c r="R6149" s="293"/>
      <c r="S6149" s="316"/>
      <c r="T6149" s="355"/>
    </row>
    <row r="6150" spans="14:20" x14ac:dyDescent="0.25">
      <c r="N6150" s="514"/>
      <c r="R6150" s="293"/>
      <c r="S6150" s="316"/>
      <c r="T6150" s="355"/>
    </row>
    <row r="6151" spans="14:20" x14ac:dyDescent="0.25">
      <c r="N6151" s="514"/>
      <c r="R6151" s="293"/>
      <c r="S6151" s="316"/>
      <c r="T6151" s="355"/>
    </row>
    <row r="6152" spans="14:20" x14ac:dyDescent="0.25">
      <c r="N6152" s="514"/>
      <c r="R6152" s="293"/>
      <c r="S6152" s="316"/>
      <c r="T6152" s="355"/>
    </row>
    <row r="6153" spans="14:20" x14ac:dyDescent="0.25">
      <c r="N6153" s="514"/>
      <c r="R6153" s="293"/>
      <c r="S6153" s="316"/>
      <c r="T6153" s="355"/>
    </row>
    <row r="6154" spans="14:20" x14ac:dyDescent="0.25">
      <c r="N6154" s="514"/>
      <c r="R6154" s="293"/>
      <c r="S6154" s="316"/>
      <c r="T6154" s="355"/>
    </row>
    <row r="6155" spans="14:20" x14ac:dyDescent="0.25">
      <c r="N6155" s="514"/>
      <c r="R6155" s="293"/>
      <c r="S6155" s="316"/>
      <c r="T6155" s="355"/>
    </row>
    <row r="6156" spans="14:20" x14ac:dyDescent="0.25">
      <c r="N6156" s="514"/>
      <c r="R6156" s="293"/>
      <c r="S6156" s="316"/>
      <c r="T6156" s="355"/>
    </row>
    <row r="6157" spans="14:20" x14ac:dyDescent="0.25">
      <c r="N6157" s="514"/>
      <c r="R6157" s="293"/>
      <c r="S6157" s="316"/>
      <c r="T6157" s="355"/>
    </row>
    <row r="6158" spans="14:20" x14ac:dyDescent="0.25">
      <c r="N6158" s="514"/>
      <c r="R6158" s="293"/>
      <c r="S6158" s="316"/>
      <c r="T6158" s="355"/>
    </row>
    <row r="6159" spans="14:20" x14ac:dyDescent="0.25">
      <c r="N6159" s="514"/>
      <c r="R6159" s="293"/>
      <c r="S6159" s="316"/>
      <c r="T6159" s="355"/>
    </row>
    <row r="6160" spans="14:20" x14ac:dyDescent="0.25">
      <c r="N6160" s="514"/>
      <c r="R6160" s="293"/>
      <c r="S6160" s="316"/>
      <c r="T6160" s="355"/>
    </row>
    <row r="6161" spans="14:20" x14ac:dyDescent="0.25">
      <c r="N6161" s="514"/>
      <c r="R6161" s="293"/>
      <c r="S6161" s="316"/>
      <c r="T6161" s="355"/>
    </row>
    <row r="6162" spans="14:20" x14ac:dyDescent="0.25">
      <c r="N6162" s="514"/>
      <c r="R6162" s="293"/>
      <c r="S6162" s="316"/>
      <c r="T6162" s="355"/>
    </row>
    <row r="6163" spans="14:20" x14ac:dyDescent="0.25">
      <c r="N6163" s="514"/>
      <c r="R6163" s="293"/>
      <c r="S6163" s="316"/>
      <c r="T6163" s="355"/>
    </row>
    <row r="6164" spans="14:20" x14ac:dyDescent="0.25">
      <c r="N6164" s="514"/>
      <c r="R6164" s="293"/>
      <c r="S6164" s="316"/>
      <c r="T6164" s="355"/>
    </row>
    <row r="6165" spans="14:20" x14ac:dyDescent="0.25">
      <c r="N6165" s="514"/>
      <c r="R6165" s="293"/>
      <c r="S6165" s="316"/>
      <c r="T6165" s="355"/>
    </row>
    <row r="6166" spans="14:20" x14ac:dyDescent="0.25">
      <c r="N6166" s="514"/>
      <c r="R6166" s="293"/>
      <c r="S6166" s="316"/>
      <c r="T6166" s="355"/>
    </row>
    <row r="6167" spans="14:20" x14ac:dyDescent="0.25">
      <c r="N6167" s="514"/>
      <c r="R6167" s="293"/>
      <c r="S6167" s="316"/>
      <c r="T6167" s="355"/>
    </row>
    <row r="6168" spans="14:20" x14ac:dyDescent="0.25">
      <c r="N6168" s="514"/>
      <c r="R6168" s="293"/>
      <c r="S6168" s="316"/>
      <c r="T6168" s="355"/>
    </row>
    <row r="6169" spans="14:20" x14ac:dyDescent="0.25">
      <c r="N6169" s="514"/>
      <c r="R6169" s="293"/>
      <c r="S6169" s="316"/>
      <c r="T6169" s="355"/>
    </row>
    <row r="6170" spans="14:20" x14ac:dyDescent="0.25">
      <c r="N6170" s="514"/>
      <c r="R6170" s="293"/>
      <c r="S6170" s="316"/>
      <c r="T6170" s="355"/>
    </row>
    <row r="6171" spans="14:20" x14ac:dyDescent="0.25">
      <c r="N6171" s="514"/>
      <c r="R6171" s="293"/>
      <c r="S6171" s="316"/>
      <c r="T6171" s="355"/>
    </row>
    <row r="6172" spans="14:20" x14ac:dyDescent="0.25">
      <c r="N6172" s="514"/>
      <c r="R6172" s="293"/>
      <c r="S6172" s="316"/>
      <c r="T6172" s="355"/>
    </row>
    <row r="6173" spans="14:20" x14ac:dyDescent="0.25">
      <c r="N6173" s="514"/>
      <c r="R6173" s="293"/>
      <c r="S6173" s="316"/>
      <c r="T6173" s="355"/>
    </row>
    <row r="6174" spans="14:20" x14ac:dyDescent="0.25">
      <c r="N6174" s="514"/>
      <c r="R6174" s="293"/>
      <c r="S6174" s="316"/>
      <c r="T6174" s="355"/>
    </row>
    <row r="6175" spans="14:20" x14ac:dyDescent="0.25">
      <c r="N6175" s="514"/>
      <c r="R6175" s="293"/>
      <c r="S6175" s="316"/>
      <c r="T6175" s="355"/>
    </row>
    <row r="6176" spans="14:20" x14ac:dyDescent="0.25">
      <c r="N6176" s="514"/>
      <c r="R6176" s="293"/>
      <c r="S6176" s="316"/>
      <c r="T6176" s="355"/>
    </row>
    <row r="6177" spans="14:20" x14ac:dyDescent="0.25">
      <c r="N6177" s="514"/>
      <c r="R6177" s="293"/>
      <c r="S6177" s="316"/>
      <c r="T6177" s="355"/>
    </row>
    <row r="6178" spans="14:20" x14ac:dyDescent="0.25">
      <c r="N6178" s="514"/>
      <c r="R6178" s="293"/>
      <c r="S6178" s="316"/>
      <c r="T6178" s="355"/>
    </row>
    <row r="6179" spans="14:20" x14ac:dyDescent="0.25">
      <c r="N6179" s="514"/>
      <c r="R6179" s="293"/>
      <c r="S6179" s="316"/>
      <c r="T6179" s="355"/>
    </row>
    <row r="6180" spans="14:20" x14ac:dyDescent="0.25">
      <c r="N6180" s="514"/>
      <c r="R6180" s="293"/>
      <c r="S6180" s="316"/>
      <c r="T6180" s="355"/>
    </row>
    <row r="6181" spans="14:20" x14ac:dyDescent="0.25">
      <c r="N6181" s="514"/>
      <c r="R6181" s="293"/>
      <c r="S6181" s="316"/>
      <c r="T6181" s="355"/>
    </row>
    <row r="6182" spans="14:20" x14ac:dyDescent="0.25">
      <c r="N6182" s="514"/>
      <c r="R6182" s="293"/>
      <c r="S6182" s="316"/>
      <c r="T6182" s="355"/>
    </row>
    <row r="6183" spans="14:20" x14ac:dyDescent="0.25">
      <c r="N6183" s="514"/>
      <c r="R6183" s="293"/>
      <c r="S6183" s="316"/>
      <c r="T6183" s="355"/>
    </row>
    <row r="6184" spans="14:20" x14ac:dyDescent="0.25">
      <c r="N6184" s="514"/>
      <c r="R6184" s="293"/>
      <c r="S6184" s="316"/>
      <c r="T6184" s="355"/>
    </row>
    <row r="6185" spans="14:20" x14ac:dyDescent="0.25">
      <c r="N6185" s="514"/>
      <c r="R6185" s="293"/>
      <c r="S6185" s="316"/>
      <c r="T6185" s="355"/>
    </row>
    <row r="6186" spans="14:20" x14ac:dyDescent="0.25">
      <c r="N6186" s="514"/>
      <c r="R6186" s="293"/>
      <c r="S6186" s="316"/>
      <c r="T6186" s="355"/>
    </row>
    <row r="6187" spans="14:20" x14ac:dyDescent="0.25">
      <c r="N6187" s="514"/>
      <c r="R6187" s="293"/>
      <c r="S6187" s="316"/>
      <c r="T6187" s="355"/>
    </row>
    <row r="6188" spans="14:20" x14ac:dyDescent="0.25">
      <c r="N6188" s="514"/>
      <c r="R6188" s="293"/>
      <c r="S6188" s="316"/>
      <c r="T6188" s="355"/>
    </row>
    <row r="6189" spans="14:20" x14ac:dyDescent="0.25">
      <c r="N6189" s="514"/>
      <c r="R6189" s="293"/>
      <c r="S6189" s="316"/>
      <c r="T6189" s="355"/>
    </row>
    <row r="6190" spans="14:20" x14ac:dyDescent="0.25">
      <c r="N6190" s="514"/>
      <c r="R6190" s="293"/>
      <c r="S6190" s="316"/>
      <c r="T6190" s="355"/>
    </row>
    <row r="6191" spans="14:20" x14ac:dyDescent="0.25">
      <c r="N6191" s="514"/>
      <c r="R6191" s="293"/>
      <c r="S6191" s="316"/>
      <c r="T6191" s="355"/>
    </row>
    <row r="6192" spans="14:20" x14ac:dyDescent="0.25">
      <c r="N6192" s="514"/>
      <c r="R6192" s="293"/>
      <c r="S6192" s="316"/>
      <c r="T6192" s="355"/>
    </row>
    <row r="6193" spans="14:20" x14ac:dyDescent="0.25">
      <c r="N6193" s="514"/>
      <c r="R6193" s="293"/>
      <c r="S6193" s="316"/>
      <c r="T6193" s="355"/>
    </row>
    <row r="6194" spans="14:20" x14ac:dyDescent="0.25">
      <c r="N6194" s="514"/>
      <c r="R6194" s="293"/>
      <c r="S6194" s="316"/>
      <c r="T6194" s="355"/>
    </row>
    <row r="6195" spans="14:20" x14ac:dyDescent="0.25">
      <c r="N6195" s="514"/>
      <c r="R6195" s="293"/>
      <c r="S6195" s="316"/>
      <c r="T6195" s="355"/>
    </row>
    <row r="6196" spans="14:20" x14ac:dyDescent="0.25">
      <c r="N6196" s="514"/>
      <c r="R6196" s="293"/>
      <c r="S6196" s="316"/>
      <c r="T6196" s="355"/>
    </row>
    <row r="6197" spans="14:20" x14ac:dyDescent="0.25">
      <c r="N6197" s="514"/>
      <c r="R6197" s="293"/>
      <c r="S6197" s="316"/>
      <c r="T6197" s="355"/>
    </row>
    <row r="6198" spans="14:20" x14ac:dyDescent="0.25">
      <c r="N6198" s="514"/>
      <c r="R6198" s="293"/>
      <c r="S6198" s="316"/>
      <c r="T6198" s="355"/>
    </row>
    <row r="6199" spans="14:20" x14ac:dyDescent="0.25">
      <c r="N6199" s="514"/>
      <c r="R6199" s="293"/>
      <c r="S6199" s="316"/>
      <c r="T6199" s="355"/>
    </row>
    <row r="6200" spans="14:20" x14ac:dyDescent="0.25">
      <c r="N6200" s="514"/>
      <c r="R6200" s="293"/>
      <c r="S6200" s="316"/>
      <c r="T6200" s="355"/>
    </row>
    <row r="6201" spans="14:20" x14ac:dyDescent="0.25">
      <c r="N6201" s="514"/>
      <c r="R6201" s="293"/>
      <c r="S6201" s="316"/>
      <c r="T6201" s="355"/>
    </row>
    <row r="6202" spans="14:20" x14ac:dyDescent="0.25">
      <c r="N6202" s="514"/>
      <c r="R6202" s="293"/>
      <c r="S6202" s="316"/>
      <c r="T6202" s="355"/>
    </row>
    <row r="6203" spans="14:20" x14ac:dyDescent="0.25">
      <c r="N6203" s="514"/>
      <c r="R6203" s="293"/>
      <c r="S6203" s="316"/>
      <c r="T6203" s="355"/>
    </row>
    <row r="6204" spans="14:20" x14ac:dyDescent="0.25">
      <c r="N6204" s="514"/>
      <c r="R6204" s="293"/>
      <c r="S6204" s="316"/>
      <c r="T6204" s="355"/>
    </row>
    <row r="6205" spans="14:20" x14ac:dyDescent="0.25">
      <c r="N6205" s="514"/>
      <c r="R6205" s="293"/>
      <c r="S6205" s="316"/>
      <c r="T6205" s="355"/>
    </row>
    <row r="6206" spans="14:20" x14ac:dyDescent="0.25">
      <c r="N6206" s="514"/>
      <c r="R6206" s="293"/>
      <c r="S6206" s="316"/>
      <c r="T6206" s="355"/>
    </row>
    <row r="6207" spans="14:20" x14ac:dyDescent="0.25">
      <c r="N6207" s="514"/>
      <c r="R6207" s="293"/>
      <c r="S6207" s="316"/>
      <c r="T6207" s="355"/>
    </row>
    <row r="6208" spans="14:20" x14ac:dyDescent="0.25">
      <c r="N6208" s="514"/>
      <c r="R6208" s="293"/>
      <c r="S6208" s="316"/>
      <c r="T6208" s="355"/>
    </row>
    <row r="6209" spans="14:20" x14ac:dyDescent="0.25">
      <c r="N6209" s="514"/>
      <c r="R6209" s="293"/>
      <c r="S6209" s="316"/>
      <c r="T6209" s="355"/>
    </row>
    <row r="6210" spans="14:20" x14ac:dyDescent="0.25">
      <c r="N6210" s="514"/>
      <c r="R6210" s="293"/>
      <c r="S6210" s="316"/>
      <c r="T6210" s="355"/>
    </row>
    <row r="6211" spans="14:20" x14ac:dyDescent="0.25">
      <c r="N6211" s="514"/>
      <c r="R6211" s="293"/>
      <c r="S6211" s="316"/>
      <c r="T6211" s="355"/>
    </row>
    <row r="6212" spans="14:20" x14ac:dyDescent="0.25">
      <c r="N6212" s="514"/>
      <c r="R6212" s="293"/>
      <c r="S6212" s="316"/>
      <c r="T6212" s="355"/>
    </row>
    <row r="6213" spans="14:20" x14ac:dyDescent="0.25">
      <c r="N6213" s="514"/>
      <c r="R6213" s="293"/>
      <c r="S6213" s="316"/>
      <c r="T6213" s="355"/>
    </row>
    <row r="6214" spans="14:20" x14ac:dyDescent="0.25">
      <c r="N6214" s="514"/>
      <c r="R6214" s="293"/>
      <c r="S6214" s="316"/>
      <c r="T6214" s="355"/>
    </row>
    <row r="6215" spans="14:20" x14ac:dyDescent="0.25">
      <c r="N6215" s="514"/>
      <c r="R6215" s="293"/>
      <c r="S6215" s="316"/>
      <c r="T6215" s="355"/>
    </row>
    <row r="6216" spans="14:20" x14ac:dyDescent="0.25">
      <c r="N6216" s="514"/>
      <c r="R6216" s="293"/>
      <c r="S6216" s="316"/>
      <c r="T6216" s="355"/>
    </row>
    <row r="6217" spans="14:20" x14ac:dyDescent="0.25">
      <c r="N6217" s="514"/>
      <c r="R6217" s="293"/>
      <c r="S6217" s="316"/>
      <c r="T6217" s="355"/>
    </row>
    <row r="6218" spans="14:20" x14ac:dyDescent="0.25">
      <c r="N6218" s="514"/>
      <c r="R6218" s="293"/>
      <c r="S6218" s="316"/>
      <c r="T6218" s="355"/>
    </row>
    <row r="6219" spans="14:20" x14ac:dyDescent="0.25">
      <c r="N6219" s="514"/>
      <c r="R6219" s="293"/>
      <c r="S6219" s="316"/>
      <c r="T6219" s="355"/>
    </row>
    <row r="6220" spans="14:20" x14ac:dyDescent="0.25">
      <c r="N6220" s="514"/>
      <c r="R6220" s="293"/>
      <c r="S6220" s="316"/>
      <c r="T6220" s="355"/>
    </row>
    <row r="6221" spans="14:20" x14ac:dyDescent="0.25">
      <c r="N6221" s="514"/>
      <c r="R6221" s="293"/>
      <c r="S6221" s="316"/>
      <c r="T6221" s="355"/>
    </row>
    <row r="6222" spans="14:20" x14ac:dyDescent="0.25">
      <c r="N6222" s="514"/>
      <c r="R6222" s="293"/>
      <c r="S6222" s="316"/>
      <c r="T6222" s="355"/>
    </row>
    <row r="6223" spans="14:20" x14ac:dyDescent="0.25">
      <c r="N6223" s="514"/>
      <c r="R6223" s="293"/>
      <c r="S6223" s="316"/>
      <c r="T6223" s="355"/>
    </row>
    <row r="6224" spans="14:20" x14ac:dyDescent="0.25">
      <c r="N6224" s="514"/>
      <c r="R6224" s="293"/>
      <c r="S6224" s="316"/>
      <c r="T6224" s="355"/>
    </row>
    <row r="6225" spans="14:20" x14ac:dyDescent="0.25">
      <c r="N6225" s="514"/>
      <c r="R6225" s="293"/>
      <c r="S6225" s="316"/>
      <c r="T6225" s="355"/>
    </row>
    <row r="6226" spans="14:20" x14ac:dyDescent="0.25">
      <c r="N6226" s="514"/>
      <c r="R6226" s="293"/>
      <c r="S6226" s="316"/>
      <c r="T6226" s="355"/>
    </row>
    <row r="6227" spans="14:20" x14ac:dyDescent="0.25">
      <c r="N6227" s="514"/>
      <c r="R6227" s="293"/>
      <c r="S6227" s="316"/>
      <c r="T6227" s="355"/>
    </row>
    <row r="6228" spans="14:20" x14ac:dyDescent="0.25">
      <c r="N6228" s="514"/>
      <c r="R6228" s="293"/>
      <c r="S6228" s="316"/>
      <c r="T6228" s="355"/>
    </row>
    <row r="6229" spans="14:20" x14ac:dyDescent="0.25">
      <c r="N6229" s="514"/>
      <c r="R6229" s="293"/>
      <c r="S6229" s="316"/>
      <c r="T6229" s="355"/>
    </row>
    <row r="6230" spans="14:20" x14ac:dyDescent="0.25">
      <c r="N6230" s="514"/>
      <c r="R6230" s="293"/>
      <c r="S6230" s="316"/>
      <c r="T6230" s="355"/>
    </row>
    <row r="6231" spans="14:20" x14ac:dyDescent="0.25">
      <c r="N6231" s="514"/>
      <c r="R6231" s="293"/>
      <c r="S6231" s="316"/>
      <c r="T6231" s="355"/>
    </row>
    <row r="6232" spans="14:20" x14ac:dyDescent="0.25">
      <c r="N6232" s="514"/>
      <c r="R6232" s="293"/>
      <c r="S6232" s="316"/>
      <c r="T6232" s="355"/>
    </row>
    <row r="6233" spans="14:20" x14ac:dyDescent="0.25">
      <c r="N6233" s="514"/>
      <c r="R6233" s="293"/>
      <c r="S6233" s="316"/>
      <c r="T6233" s="355"/>
    </row>
    <row r="6234" spans="14:20" x14ac:dyDescent="0.25">
      <c r="N6234" s="514"/>
      <c r="R6234" s="293"/>
      <c r="S6234" s="316"/>
      <c r="T6234" s="355"/>
    </row>
    <row r="6235" spans="14:20" x14ac:dyDescent="0.25">
      <c r="N6235" s="514"/>
      <c r="R6235" s="293"/>
      <c r="S6235" s="316"/>
      <c r="T6235" s="355"/>
    </row>
    <row r="6236" spans="14:20" x14ac:dyDescent="0.25">
      <c r="N6236" s="514"/>
      <c r="R6236" s="293"/>
      <c r="S6236" s="316"/>
      <c r="T6236" s="355"/>
    </row>
    <row r="6237" spans="14:20" x14ac:dyDescent="0.25">
      <c r="N6237" s="514"/>
      <c r="R6237" s="293"/>
      <c r="S6237" s="316"/>
      <c r="T6237" s="355"/>
    </row>
    <row r="6238" spans="14:20" x14ac:dyDescent="0.25">
      <c r="N6238" s="514"/>
      <c r="R6238" s="293"/>
      <c r="S6238" s="316"/>
      <c r="T6238" s="355"/>
    </row>
    <row r="6239" spans="14:20" x14ac:dyDescent="0.25">
      <c r="N6239" s="514"/>
      <c r="R6239" s="293"/>
      <c r="S6239" s="316"/>
      <c r="T6239" s="355"/>
    </row>
    <row r="6240" spans="14:20" x14ac:dyDescent="0.25">
      <c r="N6240" s="514"/>
      <c r="R6240" s="293"/>
      <c r="S6240" s="316"/>
      <c r="T6240" s="355"/>
    </row>
    <row r="6241" spans="14:20" x14ac:dyDescent="0.25">
      <c r="N6241" s="514"/>
      <c r="R6241" s="293"/>
      <c r="S6241" s="316"/>
      <c r="T6241" s="355"/>
    </row>
    <row r="6242" spans="14:20" x14ac:dyDescent="0.25">
      <c r="N6242" s="514"/>
      <c r="R6242" s="293"/>
      <c r="S6242" s="316"/>
      <c r="T6242" s="355"/>
    </row>
    <row r="6243" spans="14:20" x14ac:dyDescent="0.25">
      <c r="N6243" s="514"/>
      <c r="R6243" s="293"/>
      <c r="S6243" s="316"/>
      <c r="T6243" s="355"/>
    </row>
    <row r="6244" spans="14:20" x14ac:dyDescent="0.25">
      <c r="N6244" s="514"/>
      <c r="R6244" s="293"/>
      <c r="S6244" s="316"/>
      <c r="T6244" s="355"/>
    </row>
    <row r="6245" spans="14:20" x14ac:dyDescent="0.25">
      <c r="N6245" s="514"/>
      <c r="R6245" s="293"/>
      <c r="S6245" s="316"/>
      <c r="T6245" s="355"/>
    </row>
    <row r="6246" spans="14:20" x14ac:dyDescent="0.25">
      <c r="N6246" s="514"/>
      <c r="R6246" s="293"/>
      <c r="S6246" s="316"/>
      <c r="T6246" s="355"/>
    </row>
    <row r="6247" spans="14:20" x14ac:dyDescent="0.25">
      <c r="N6247" s="514"/>
      <c r="R6247" s="293"/>
      <c r="S6247" s="316"/>
      <c r="T6247" s="355"/>
    </row>
    <row r="6248" spans="14:20" x14ac:dyDescent="0.25">
      <c r="N6248" s="514"/>
      <c r="R6248" s="293"/>
      <c r="S6248" s="316"/>
      <c r="T6248" s="355"/>
    </row>
    <row r="6249" spans="14:20" x14ac:dyDescent="0.25">
      <c r="N6249" s="514"/>
      <c r="R6249" s="293"/>
      <c r="S6249" s="316"/>
      <c r="T6249" s="355"/>
    </row>
    <row r="6250" spans="14:20" x14ac:dyDescent="0.25">
      <c r="N6250" s="514"/>
      <c r="R6250" s="293"/>
      <c r="S6250" s="316"/>
      <c r="T6250" s="355"/>
    </row>
    <row r="6251" spans="14:20" x14ac:dyDescent="0.25">
      <c r="N6251" s="514"/>
      <c r="R6251" s="293"/>
      <c r="S6251" s="316"/>
      <c r="T6251" s="355"/>
    </row>
    <row r="6252" spans="14:20" x14ac:dyDescent="0.25">
      <c r="N6252" s="514"/>
      <c r="R6252" s="293"/>
      <c r="S6252" s="316"/>
      <c r="T6252" s="355"/>
    </row>
    <row r="6253" spans="14:20" x14ac:dyDescent="0.25">
      <c r="N6253" s="514"/>
      <c r="R6253" s="293"/>
      <c r="S6253" s="316"/>
      <c r="T6253" s="355"/>
    </row>
    <row r="6254" spans="14:20" x14ac:dyDescent="0.25">
      <c r="N6254" s="514"/>
      <c r="R6254" s="293"/>
      <c r="S6254" s="316"/>
      <c r="T6254" s="355"/>
    </row>
    <row r="6255" spans="14:20" x14ac:dyDescent="0.25">
      <c r="N6255" s="514"/>
      <c r="R6255" s="293"/>
      <c r="S6255" s="316"/>
      <c r="T6255" s="355"/>
    </row>
    <row r="6256" spans="14:20" x14ac:dyDescent="0.25">
      <c r="N6256" s="514"/>
      <c r="R6256" s="293"/>
      <c r="S6256" s="316"/>
      <c r="T6256" s="355"/>
    </row>
    <row r="6257" spans="14:20" x14ac:dyDescent="0.25">
      <c r="N6257" s="514"/>
      <c r="R6257" s="293"/>
      <c r="S6257" s="316"/>
      <c r="T6257" s="355"/>
    </row>
    <row r="6258" spans="14:20" x14ac:dyDescent="0.25">
      <c r="N6258" s="514"/>
      <c r="R6258" s="293"/>
      <c r="S6258" s="316"/>
      <c r="T6258" s="355"/>
    </row>
    <row r="6259" spans="14:20" x14ac:dyDescent="0.25">
      <c r="N6259" s="514"/>
      <c r="R6259" s="293"/>
      <c r="S6259" s="316"/>
      <c r="T6259" s="355"/>
    </row>
    <row r="6260" spans="14:20" x14ac:dyDescent="0.25">
      <c r="N6260" s="514"/>
      <c r="R6260" s="293"/>
      <c r="S6260" s="316"/>
      <c r="T6260" s="355"/>
    </row>
    <row r="6261" spans="14:20" x14ac:dyDescent="0.25">
      <c r="N6261" s="514"/>
      <c r="R6261" s="293"/>
      <c r="S6261" s="316"/>
      <c r="T6261" s="355"/>
    </row>
    <row r="6262" spans="14:20" x14ac:dyDescent="0.25">
      <c r="N6262" s="514"/>
      <c r="R6262" s="293"/>
      <c r="S6262" s="316"/>
      <c r="T6262" s="355"/>
    </row>
    <row r="6263" spans="14:20" x14ac:dyDescent="0.25">
      <c r="N6263" s="514"/>
      <c r="R6263" s="293"/>
      <c r="S6263" s="316"/>
      <c r="T6263" s="355"/>
    </row>
    <row r="6264" spans="14:20" x14ac:dyDescent="0.25">
      <c r="N6264" s="514"/>
      <c r="R6264" s="293"/>
      <c r="S6264" s="316"/>
      <c r="T6264" s="355"/>
    </row>
    <row r="6265" spans="14:20" x14ac:dyDescent="0.25">
      <c r="N6265" s="514"/>
      <c r="R6265" s="293"/>
      <c r="S6265" s="316"/>
      <c r="T6265" s="355"/>
    </row>
    <row r="6266" spans="14:20" x14ac:dyDescent="0.25">
      <c r="N6266" s="514"/>
      <c r="R6266" s="293"/>
      <c r="S6266" s="316"/>
      <c r="T6266" s="355"/>
    </row>
    <row r="6267" spans="14:20" x14ac:dyDescent="0.25">
      <c r="N6267" s="514"/>
      <c r="R6267" s="293"/>
      <c r="S6267" s="316"/>
      <c r="T6267" s="355"/>
    </row>
    <row r="6268" spans="14:20" x14ac:dyDescent="0.25">
      <c r="N6268" s="514"/>
      <c r="R6268" s="293"/>
      <c r="S6268" s="316"/>
      <c r="T6268" s="355"/>
    </row>
    <row r="6269" spans="14:20" x14ac:dyDescent="0.25">
      <c r="N6269" s="514"/>
      <c r="R6269" s="293"/>
      <c r="S6269" s="316"/>
      <c r="T6269" s="355"/>
    </row>
    <row r="6270" spans="14:20" x14ac:dyDescent="0.25">
      <c r="N6270" s="514"/>
      <c r="R6270" s="293"/>
      <c r="S6270" s="316"/>
      <c r="T6270" s="355"/>
    </row>
    <row r="6271" spans="14:20" x14ac:dyDescent="0.25">
      <c r="N6271" s="514"/>
      <c r="R6271" s="293"/>
      <c r="S6271" s="316"/>
      <c r="T6271" s="355"/>
    </row>
    <row r="6272" spans="14:20" x14ac:dyDescent="0.25">
      <c r="N6272" s="514"/>
      <c r="R6272" s="293"/>
      <c r="S6272" s="316"/>
      <c r="T6272" s="355"/>
    </row>
    <row r="6273" spans="14:20" x14ac:dyDescent="0.25">
      <c r="N6273" s="514"/>
      <c r="R6273" s="293"/>
      <c r="S6273" s="316"/>
      <c r="T6273" s="355"/>
    </row>
    <row r="6274" spans="14:20" x14ac:dyDescent="0.25">
      <c r="N6274" s="514"/>
      <c r="R6274" s="293"/>
      <c r="S6274" s="316"/>
      <c r="T6274" s="355"/>
    </row>
    <row r="6275" spans="14:20" x14ac:dyDescent="0.25">
      <c r="N6275" s="514"/>
      <c r="R6275" s="293"/>
      <c r="S6275" s="316"/>
      <c r="T6275" s="355"/>
    </row>
    <row r="6276" spans="14:20" x14ac:dyDescent="0.25">
      <c r="N6276" s="514"/>
      <c r="R6276" s="293"/>
      <c r="S6276" s="316"/>
      <c r="T6276" s="355"/>
    </row>
    <row r="6277" spans="14:20" x14ac:dyDescent="0.25">
      <c r="N6277" s="514"/>
      <c r="R6277" s="293"/>
      <c r="S6277" s="316"/>
      <c r="T6277" s="355"/>
    </row>
    <row r="6278" spans="14:20" x14ac:dyDescent="0.25">
      <c r="N6278" s="514"/>
      <c r="R6278" s="293"/>
      <c r="S6278" s="316"/>
      <c r="T6278" s="355"/>
    </row>
    <row r="6279" spans="14:20" x14ac:dyDescent="0.25">
      <c r="N6279" s="514"/>
      <c r="R6279" s="293"/>
      <c r="S6279" s="316"/>
      <c r="T6279" s="355"/>
    </row>
    <row r="6280" spans="14:20" x14ac:dyDescent="0.25">
      <c r="N6280" s="514"/>
      <c r="R6280" s="293"/>
      <c r="S6280" s="316"/>
      <c r="T6280" s="355"/>
    </row>
    <row r="6281" spans="14:20" x14ac:dyDescent="0.25">
      <c r="N6281" s="514"/>
      <c r="R6281" s="293"/>
      <c r="S6281" s="316"/>
      <c r="T6281" s="355"/>
    </row>
    <row r="6282" spans="14:20" x14ac:dyDescent="0.25">
      <c r="N6282" s="514"/>
      <c r="R6282" s="293"/>
      <c r="S6282" s="316"/>
      <c r="T6282" s="355"/>
    </row>
    <row r="6283" spans="14:20" x14ac:dyDescent="0.25">
      <c r="N6283" s="514"/>
      <c r="R6283" s="293"/>
      <c r="S6283" s="316"/>
      <c r="T6283" s="355"/>
    </row>
    <row r="6284" spans="14:20" x14ac:dyDescent="0.25">
      <c r="N6284" s="514"/>
      <c r="R6284" s="293"/>
      <c r="S6284" s="316"/>
      <c r="T6284" s="355"/>
    </row>
    <row r="6285" spans="14:20" x14ac:dyDescent="0.25">
      <c r="N6285" s="514"/>
      <c r="R6285" s="293"/>
      <c r="S6285" s="316"/>
      <c r="T6285" s="355"/>
    </row>
    <row r="6286" spans="14:20" x14ac:dyDescent="0.25">
      <c r="N6286" s="514"/>
      <c r="R6286" s="293"/>
      <c r="S6286" s="316"/>
      <c r="T6286" s="355"/>
    </row>
    <row r="6287" spans="14:20" x14ac:dyDescent="0.25">
      <c r="N6287" s="514"/>
      <c r="R6287" s="293"/>
      <c r="S6287" s="316"/>
      <c r="T6287" s="355"/>
    </row>
    <row r="6288" spans="14:20" x14ac:dyDescent="0.25">
      <c r="N6288" s="514"/>
      <c r="R6288" s="293"/>
      <c r="S6288" s="316"/>
      <c r="T6288" s="355"/>
    </row>
    <row r="6289" spans="14:20" x14ac:dyDescent="0.25">
      <c r="N6289" s="514"/>
      <c r="R6289" s="293"/>
      <c r="S6289" s="316"/>
      <c r="T6289" s="355"/>
    </row>
    <row r="6290" spans="14:20" x14ac:dyDescent="0.25">
      <c r="N6290" s="514"/>
      <c r="R6290" s="293"/>
      <c r="S6290" s="316"/>
      <c r="T6290" s="355"/>
    </row>
    <row r="6291" spans="14:20" x14ac:dyDescent="0.25">
      <c r="N6291" s="514"/>
      <c r="R6291" s="293"/>
      <c r="S6291" s="316"/>
      <c r="T6291" s="355"/>
    </row>
    <row r="6292" spans="14:20" x14ac:dyDescent="0.25">
      <c r="N6292" s="514"/>
      <c r="R6292" s="293"/>
      <c r="S6292" s="316"/>
      <c r="T6292" s="355"/>
    </row>
    <row r="6293" spans="14:20" x14ac:dyDescent="0.25">
      <c r="N6293" s="514"/>
      <c r="R6293" s="293"/>
      <c r="S6293" s="316"/>
      <c r="T6293" s="355"/>
    </row>
    <row r="6294" spans="14:20" x14ac:dyDescent="0.25">
      <c r="N6294" s="514"/>
      <c r="R6294" s="293"/>
      <c r="S6294" s="316"/>
      <c r="T6294" s="355"/>
    </row>
    <row r="6295" spans="14:20" x14ac:dyDescent="0.25">
      <c r="N6295" s="514"/>
      <c r="R6295" s="293"/>
      <c r="S6295" s="316"/>
      <c r="T6295" s="355"/>
    </row>
    <row r="6296" spans="14:20" x14ac:dyDescent="0.25">
      <c r="N6296" s="514"/>
      <c r="R6296" s="293"/>
      <c r="S6296" s="316"/>
      <c r="T6296" s="355"/>
    </row>
    <row r="6297" spans="14:20" x14ac:dyDescent="0.25">
      <c r="N6297" s="514"/>
      <c r="R6297" s="293"/>
      <c r="S6297" s="316"/>
      <c r="T6297" s="355"/>
    </row>
    <row r="6298" spans="14:20" x14ac:dyDescent="0.25">
      <c r="N6298" s="514"/>
      <c r="R6298" s="293"/>
      <c r="S6298" s="316"/>
      <c r="T6298" s="355"/>
    </row>
    <row r="6299" spans="14:20" x14ac:dyDescent="0.25">
      <c r="N6299" s="514"/>
      <c r="R6299" s="293"/>
      <c r="S6299" s="316"/>
      <c r="T6299" s="355"/>
    </row>
    <row r="6300" spans="14:20" x14ac:dyDescent="0.25">
      <c r="N6300" s="514"/>
      <c r="R6300" s="293"/>
      <c r="S6300" s="316"/>
      <c r="T6300" s="355"/>
    </row>
    <row r="6301" spans="14:20" x14ac:dyDescent="0.25">
      <c r="N6301" s="514"/>
      <c r="R6301" s="293"/>
      <c r="S6301" s="316"/>
      <c r="T6301" s="355"/>
    </row>
    <row r="6302" spans="14:20" x14ac:dyDescent="0.25">
      <c r="N6302" s="514"/>
      <c r="R6302" s="293"/>
      <c r="S6302" s="316"/>
      <c r="T6302" s="355"/>
    </row>
    <row r="6303" spans="14:20" x14ac:dyDescent="0.25">
      <c r="N6303" s="514"/>
      <c r="R6303" s="293"/>
      <c r="S6303" s="316"/>
      <c r="T6303" s="355"/>
    </row>
    <row r="6304" spans="14:20" x14ac:dyDescent="0.25">
      <c r="N6304" s="514"/>
      <c r="R6304" s="293"/>
      <c r="S6304" s="316"/>
      <c r="T6304" s="355"/>
    </row>
    <row r="6305" spans="14:20" x14ac:dyDescent="0.25">
      <c r="N6305" s="514"/>
      <c r="R6305" s="293"/>
      <c r="S6305" s="316"/>
      <c r="T6305" s="355"/>
    </row>
    <row r="6306" spans="14:20" x14ac:dyDescent="0.25">
      <c r="N6306" s="514"/>
      <c r="R6306" s="293"/>
      <c r="S6306" s="316"/>
      <c r="T6306" s="355"/>
    </row>
    <row r="6307" spans="14:20" x14ac:dyDescent="0.25">
      <c r="N6307" s="514"/>
      <c r="R6307" s="293"/>
      <c r="S6307" s="316"/>
      <c r="T6307" s="355"/>
    </row>
    <row r="6308" spans="14:20" x14ac:dyDescent="0.25">
      <c r="N6308" s="514"/>
      <c r="R6308" s="293"/>
      <c r="S6308" s="316"/>
      <c r="T6308" s="355"/>
    </row>
    <row r="6309" spans="14:20" x14ac:dyDescent="0.25">
      <c r="N6309" s="514"/>
      <c r="R6309" s="293"/>
      <c r="S6309" s="316"/>
      <c r="T6309" s="355"/>
    </row>
    <row r="6310" spans="14:20" x14ac:dyDescent="0.25">
      <c r="N6310" s="514"/>
      <c r="R6310" s="293"/>
      <c r="S6310" s="316"/>
      <c r="T6310" s="355"/>
    </row>
    <row r="6311" spans="14:20" x14ac:dyDescent="0.25">
      <c r="N6311" s="514"/>
      <c r="R6311" s="293"/>
      <c r="S6311" s="316"/>
      <c r="T6311" s="355"/>
    </row>
    <row r="6312" spans="14:20" x14ac:dyDescent="0.25">
      <c r="N6312" s="514"/>
      <c r="R6312" s="293"/>
      <c r="S6312" s="316"/>
      <c r="T6312" s="355"/>
    </row>
    <row r="6313" spans="14:20" x14ac:dyDescent="0.25">
      <c r="N6313" s="514"/>
      <c r="R6313" s="293"/>
      <c r="S6313" s="316"/>
      <c r="T6313" s="355"/>
    </row>
    <row r="6314" spans="14:20" x14ac:dyDescent="0.25">
      <c r="N6314" s="514"/>
      <c r="R6314" s="293"/>
      <c r="S6314" s="316"/>
      <c r="T6314" s="355"/>
    </row>
    <row r="6315" spans="14:20" x14ac:dyDescent="0.25">
      <c r="N6315" s="514"/>
      <c r="R6315" s="293"/>
      <c r="S6315" s="316"/>
      <c r="T6315" s="355"/>
    </row>
    <row r="6316" spans="14:20" x14ac:dyDescent="0.25">
      <c r="N6316" s="514"/>
      <c r="R6316" s="293"/>
      <c r="S6316" s="316"/>
      <c r="T6316" s="355"/>
    </row>
    <row r="6317" spans="14:20" x14ac:dyDescent="0.25">
      <c r="N6317" s="514"/>
      <c r="R6317" s="293"/>
      <c r="S6317" s="316"/>
      <c r="T6317" s="355"/>
    </row>
    <row r="6318" spans="14:20" x14ac:dyDescent="0.25">
      <c r="N6318" s="514"/>
      <c r="R6318" s="293"/>
      <c r="S6318" s="316"/>
      <c r="T6318" s="355"/>
    </row>
    <row r="6319" spans="14:20" x14ac:dyDescent="0.25">
      <c r="N6319" s="514"/>
      <c r="R6319" s="293"/>
      <c r="S6319" s="316"/>
      <c r="T6319" s="355"/>
    </row>
    <row r="6320" spans="14:20" x14ac:dyDescent="0.25">
      <c r="N6320" s="514"/>
      <c r="R6320" s="293"/>
      <c r="S6320" s="316"/>
      <c r="T6320" s="355"/>
    </row>
    <row r="6321" spans="14:20" x14ac:dyDescent="0.25">
      <c r="N6321" s="514"/>
      <c r="R6321" s="293"/>
      <c r="S6321" s="316"/>
      <c r="T6321" s="355"/>
    </row>
    <row r="6322" spans="14:20" x14ac:dyDescent="0.25">
      <c r="N6322" s="514"/>
      <c r="R6322" s="293"/>
      <c r="S6322" s="316"/>
      <c r="T6322" s="355"/>
    </row>
    <row r="6323" spans="14:20" x14ac:dyDescent="0.25">
      <c r="N6323" s="514"/>
      <c r="R6323" s="293"/>
      <c r="S6323" s="316"/>
      <c r="T6323" s="355"/>
    </row>
    <row r="6324" spans="14:20" x14ac:dyDescent="0.25">
      <c r="N6324" s="514"/>
      <c r="R6324" s="293"/>
      <c r="S6324" s="316"/>
      <c r="T6324" s="355"/>
    </row>
    <row r="6325" spans="14:20" x14ac:dyDescent="0.25">
      <c r="N6325" s="514"/>
      <c r="R6325" s="293"/>
      <c r="S6325" s="316"/>
      <c r="T6325" s="355"/>
    </row>
    <row r="6326" spans="14:20" x14ac:dyDescent="0.25">
      <c r="N6326" s="514"/>
      <c r="R6326" s="293"/>
      <c r="S6326" s="316"/>
      <c r="T6326" s="355"/>
    </row>
    <row r="6327" spans="14:20" x14ac:dyDescent="0.25">
      <c r="N6327" s="514"/>
      <c r="R6327" s="293"/>
      <c r="S6327" s="316"/>
      <c r="T6327" s="355"/>
    </row>
    <row r="6328" spans="14:20" x14ac:dyDescent="0.25">
      <c r="N6328" s="514"/>
      <c r="R6328" s="293"/>
      <c r="S6328" s="316"/>
      <c r="T6328" s="355"/>
    </row>
    <row r="6329" spans="14:20" x14ac:dyDescent="0.25">
      <c r="N6329" s="514"/>
      <c r="R6329" s="293"/>
      <c r="S6329" s="316"/>
      <c r="T6329" s="355"/>
    </row>
    <row r="6330" spans="14:20" x14ac:dyDescent="0.25">
      <c r="N6330" s="514"/>
      <c r="R6330" s="293"/>
      <c r="S6330" s="316"/>
      <c r="T6330" s="355"/>
    </row>
    <row r="6331" spans="14:20" x14ac:dyDescent="0.25">
      <c r="N6331" s="514"/>
      <c r="R6331" s="293"/>
      <c r="S6331" s="316"/>
      <c r="T6331" s="355"/>
    </row>
    <row r="6332" spans="14:20" x14ac:dyDescent="0.25">
      <c r="N6332" s="514"/>
      <c r="R6332" s="293"/>
      <c r="S6332" s="316"/>
      <c r="T6332" s="355"/>
    </row>
    <row r="6333" spans="14:20" x14ac:dyDescent="0.25">
      <c r="N6333" s="514"/>
      <c r="R6333" s="293"/>
      <c r="S6333" s="316"/>
      <c r="T6333" s="355"/>
    </row>
    <row r="6334" spans="14:20" x14ac:dyDescent="0.25">
      <c r="N6334" s="514"/>
      <c r="R6334" s="293"/>
      <c r="S6334" s="316"/>
      <c r="T6334" s="355"/>
    </row>
    <row r="6335" spans="14:20" x14ac:dyDescent="0.25">
      <c r="N6335" s="514"/>
      <c r="R6335" s="293"/>
      <c r="S6335" s="316"/>
      <c r="T6335" s="355"/>
    </row>
    <row r="6336" spans="14:20" x14ac:dyDescent="0.25">
      <c r="N6336" s="514"/>
      <c r="R6336" s="293"/>
      <c r="S6336" s="316"/>
      <c r="T6336" s="355"/>
    </row>
    <row r="6337" spans="14:20" x14ac:dyDescent="0.25">
      <c r="N6337" s="514"/>
      <c r="R6337" s="293"/>
      <c r="S6337" s="316"/>
      <c r="T6337" s="355"/>
    </row>
    <row r="6338" spans="14:20" x14ac:dyDescent="0.25">
      <c r="N6338" s="514"/>
      <c r="R6338" s="293"/>
      <c r="S6338" s="316"/>
      <c r="T6338" s="355"/>
    </row>
    <row r="6339" spans="14:20" x14ac:dyDescent="0.25">
      <c r="N6339" s="514"/>
      <c r="R6339" s="293"/>
      <c r="S6339" s="316"/>
      <c r="T6339" s="355"/>
    </row>
    <row r="6340" spans="14:20" x14ac:dyDescent="0.25">
      <c r="N6340" s="514"/>
      <c r="R6340" s="293"/>
      <c r="S6340" s="316"/>
      <c r="T6340" s="355"/>
    </row>
    <row r="6341" spans="14:20" x14ac:dyDescent="0.25">
      <c r="N6341" s="514"/>
      <c r="R6341" s="293"/>
      <c r="S6341" s="316"/>
      <c r="T6341" s="355"/>
    </row>
    <row r="6342" spans="14:20" x14ac:dyDescent="0.25">
      <c r="N6342" s="514"/>
      <c r="R6342" s="293"/>
      <c r="S6342" s="316"/>
      <c r="T6342" s="355"/>
    </row>
    <row r="6343" spans="14:20" x14ac:dyDescent="0.25">
      <c r="N6343" s="514"/>
      <c r="R6343" s="293"/>
      <c r="S6343" s="316"/>
      <c r="T6343" s="355"/>
    </row>
    <row r="6344" spans="14:20" x14ac:dyDescent="0.25">
      <c r="N6344" s="514"/>
      <c r="R6344" s="293"/>
      <c r="S6344" s="316"/>
      <c r="T6344" s="355"/>
    </row>
    <row r="6345" spans="14:20" x14ac:dyDescent="0.25">
      <c r="N6345" s="514"/>
      <c r="R6345" s="293"/>
      <c r="S6345" s="316"/>
      <c r="T6345" s="355"/>
    </row>
    <row r="6346" spans="14:20" x14ac:dyDescent="0.25">
      <c r="N6346" s="514"/>
      <c r="R6346" s="293"/>
      <c r="S6346" s="316"/>
      <c r="T6346" s="355"/>
    </row>
    <row r="6347" spans="14:20" x14ac:dyDescent="0.25">
      <c r="N6347" s="514"/>
      <c r="R6347" s="293"/>
      <c r="S6347" s="316"/>
      <c r="T6347" s="355"/>
    </row>
    <row r="6348" spans="14:20" x14ac:dyDescent="0.25">
      <c r="N6348" s="514"/>
      <c r="R6348" s="293"/>
      <c r="S6348" s="316"/>
      <c r="T6348" s="355"/>
    </row>
    <row r="6349" spans="14:20" x14ac:dyDescent="0.25">
      <c r="N6349" s="514"/>
      <c r="R6349" s="293"/>
      <c r="S6349" s="316"/>
      <c r="T6349" s="355"/>
    </row>
    <row r="6350" spans="14:20" x14ac:dyDescent="0.25">
      <c r="N6350" s="514"/>
      <c r="R6350" s="293"/>
      <c r="S6350" s="316"/>
      <c r="T6350" s="355"/>
    </row>
    <row r="6351" spans="14:20" x14ac:dyDescent="0.25">
      <c r="N6351" s="514"/>
      <c r="R6351" s="293"/>
      <c r="S6351" s="316"/>
      <c r="T6351" s="355"/>
    </row>
    <row r="6352" spans="14:20" x14ac:dyDescent="0.25">
      <c r="N6352" s="514"/>
      <c r="R6352" s="293"/>
      <c r="S6352" s="316"/>
      <c r="T6352" s="355"/>
    </row>
    <row r="6353" spans="14:20" x14ac:dyDescent="0.25">
      <c r="N6353" s="514"/>
      <c r="R6353" s="293"/>
      <c r="S6353" s="316"/>
      <c r="T6353" s="355"/>
    </row>
    <row r="6354" spans="14:20" x14ac:dyDescent="0.25">
      <c r="N6354" s="514"/>
      <c r="R6354" s="293"/>
      <c r="S6354" s="316"/>
      <c r="T6354" s="355"/>
    </row>
    <row r="6355" spans="14:20" x14ac:dyDescent="0.25">
      <c r="N6355" s="514"/>
      <c r="R6355" s="293"/>
      <c r="S6355" s="316"/>
      <c r="T6355" s="355"/>
    </row>
    <row r="6356" spans="14:20" x14ac:dyDescent="0.25">
      <c r="N6356" s="514"/>
      <c r="R6356" s="293"/>
      <c r="S6356" s="316"/>
      <c r="T6356" s="355"/>
    </row>
    <row r="6357" spans="14:20" x14ac:dyDescent="0.25">
      <c r="N6357" s="514"/>
      <c r="R6357" s="293"/>
      <c r="S6357" s="316"/>
      <c r="T6357" s="355"/>
    </row>
    <row r="6358" spans="14:20" x14ac:dyDescent="0.25">
      <c r="N6358" s="514"/>
      <c r="R6358" s="293"/>
      <c r="S6358" s="316"/>
      <c r="T6358" s="355"/>
    </row>
    <row r="6359" spans="14:20" x14ac:dyDescent="0.25">
      <c r="N6359" s="514"/>
      <c r="R6359" s="293"/>
      <c r="S6359" s="316"/>
      <c r="T6359" s="355"/>
    </row>
    <row r="6360" spans="14:20" x14ac:dyDescent="0.25">
      <c r="N6360" s="514"/>
      <c r="R6360" s="293"/>
      <c r="S6360" s="316"/>
      <c r="T6360" s="355"/>
    </row>
    <row r="6361" spans="14:20" x14ac:dyDescent="0.25">
      <c r="N6361" s="514"/>
      <c r="R6361" s="293"/>
      <c r="S6361" s="316"/>
      <c r="T6361" s="355"/>
    </row>
    <row r="6362" spans="14:20" x14ac:dyDescent="0.25">
      <c r="N6362" s="514"/>
      <c r="R6362" s="293"/>
      <c r="S6362" s="316"/>
      <c r="T6362" s="355"/>
    </row>
    <row r="6363" spans="14:20" x14ac:dyDescent="0.25">
      <c r="N6363" s="514"/>
      <c r="R6363" s="293"/>
      <c r="S6363" s="316"/>
      <c r="T6363" s="355"/>
    </row>
    <row r="6364" spans="14:20" x14ac:dyDescent="0.25">
      <c r="N6364" s="514"/>
      <c r="R6364" s="293"/>
      <c r="S6364" s="316"/>
      <c r="T6364" s="355"/>
    </row>
    <row r="6365" spans="14:20" x14ac:dyDescent="0.25">
      <c r="N6365" s="514"/>
      <c r="R6365" s="293"/>
      <c r="S6365" s="316"/>
      <c r="T6365" s="355"/>
    </row>
    <row r="6366" spans="14:20" x14ac:dyDescent="0.25">
      <c r="N6366" s="514"/>
      <c r="R6366" s="293"/>
      <c r="S6366" s="316"/>
      <c r="T6366" s="355"/>
    </row>
    <row r="6367" spans="14:20" x14ac:dyDescent="0.25">
      <c r="N6367" s="514"/>
      <c r="R6367" s="293"/>
      <c r="S6367" s="316"/>
      <c r="T6367" s="355"/>
    </row>
    <row r="6368" spans="14:20" x14ac:dyDescent="0.25">
      <c r="N6368" s="514"/>
      <c r="R6368" s="293"/>
      <c r="S6368" s="316"/>
      <c r="T6368" s="355"/>
    </row>
    <row r="6369" spans="14:20" x14ac:dyDescent="0.25">
      <c r="N6369" s="514"/>
      <c r="R6369" s="293"/>
      <c r="S6369" s="316"/>
      <c r="T6369" s="355"/>
    </row>
    <row r="6370" spans="14:20" x14ac:dyDescent="0.25">
      <c r="N6370" s="514"/>
      <c r="R6370" s="293"/>
      <c r="S6370" s="316"/>
      <c r="T6370" s="355"/>
    </row>
    <row r="6371" spans="14:20" x14ac:dyDescent="0.25">
      <c r="N6371" s="514"/>
      <c r="R6371" s="293"/>
      <c r="S6371" s="316"/>
      <c r="T6371" s="355"/>
    </row>
    <row r="6372" spans="14:20" x14ac:dyDescent="0.25">
      <c r="N6372" s="514"/>
      <c r="R6372" s="293"/>
      <c r="S6372" s="316"/>
      <c r="T6372" s="355"/>
    </row>
    <row r="6373" spans="14:20" x14ac:dyDescent="0.25">
      <c r="N6373" s="514"/>
      <c r="R6373" s="293"/>
      <c r="S6373" s="316"/>
      <c r="T6373" s="355"/>
    </row>
    <row r="6374" spans="14:20" x14ac:dyDescent="0.25">
      <c r="N6374" s="514"/>
      <c r="R6374" s="293"/>
      <c r="S6374" s="316"/>
      <c r="T6374" s="355"/>
    </row>
    <row r="6375" spans="14:20" x14ac:dyDescent="0.25">
      <c r="N6375" s="514"/>
      <c r="R6375" s="293"/>
      <c r="S6375" s="316"/>
      <c r="T6375" s="355"/>
    </row>
    <row r="6376" spans="14:20" x14ac:dyDescent="0.25">
      <c r="N6376" s="514"/>
      <c r="R6376" s="293"/>
      <c r="S6376" s="316"/>
      <c r="T6376" s="355"/>
    </row>
    <row r="6377" spans="14:20" x14ac:dyDescent="0.25">
      <c r="N6377" s="514"/>
      <c r="R6377" s="293"/>
      <c r="S6377" s="316"/>
      <c r="T6377" s="355"/>
    </row>
    <row r="6378" spans="14:20" x14ac:dyDescent="0.25">
      <c r="N6378" s="514"/>
      <c r="R6378" s="293"/>
      <c r="S6378" s="316"/>
      <c r="T6378" s="355"/>
    </row>
    <row r="6379" spans="14:20" x14ac:dyDescent="0.25">
      <c r="N6379" s="514"/>
      <c r="R6379" s="293"/>
      <c r="S6379" s="316"/>
      <c r="T6379" s="355"/>
    </row>
    <row r="6380" spans="14:20" x14ac:dyDescent="0.25">
      <c r="N6380" s="514"/>
      <c r="R6380" s="293"/>
      <c r="S6380" s="316"/>
      <c r="T6380" s="355"/>
    </row>
    <row r="6381" spans="14:20" x14ac:dyDescent="0.25">
      <c r="N6381" s="514"/>
      <c r="R6381" s="293"/>
      <c r="S6381" s="316"/>
      <c r="T6381" s="355"/>
    </row>
    <row r="6382" spans="14:20" x14ac:dyDescent="0.25">
      <c r="N6382" s="514"/>
      <c r="R6382" s="293"/>
      <c r="S6382" s="316"/>
      <c r="T6382" s="355"/>
    </row>
    <row r="6383" spans="14:20" x14ac:dyDescent="0.25">
      <c r="N6383" s="514"/>
      <c r="R6383" s="293"/>
      <c r="S6383" s="316"/>
      <c r="T6383" s="355"/>
    </row>
    <row r="6384" spans="14:20" x14ac:dyDescent="0.25">
      <c r="N6384" s="514"/>
      <c r="R6384" s="293"/>
      <c r="S6384" s="316"/>
      <c r="T6384" s="355"/>
    </row>
    <row r="6385" spans="14:20" x14ac:dyDescent="0.25">
      <c r="N6385" s="514"/>
      <c r="R6385" s="293"/>
      <c r="S6385" s="316"/>
      <c r="T6385" s="355"/>
    </row>
    <row r="6386" spans="14:20" x14ac:dyDescent="0.25">
      <c r="N6386" s="514"/>
      <c r="R6386" s="293"/>
      <c r="S6386" s="316"/>
      <c r="T6386" s="355"/>
    </row>
    <row r="6387" spans="14:20" x14ac:dyDescent="0.25">
      <c r="N6387" s="514"/>
      <c r="R6387" s="293"/>
      <c r="S6387" s="316"/>
      <c r="T6387" s="355"/>
    </row>
    <row r="6388" spans="14:20" x14ac:dyDescent="0.25">
      <c r="N6388" s="514"/>
      <c r="R6388" s="293"/>
      <c r="S6388" s="316"/>
      <c r="T6388" s="355"/>
    </row>
    <row r="6389" spans="14:20" x14ac:dyDescent="0.25">
      <c r="N6389" s="514"/>
      <c r="R6389" s="293"/>
      <c r="S6389" s="316"/>
      <c r="T6389" s="355"/>
    </row>
    <row r="6390" spans="14:20" x14ac:dyDescent="0.25">
      <c r="N6390" s="514"/>
      <c r="R6390" s="293"/>
      <c r="S6390" s="316"/>
      <c r="T6390" s="355"/>
    </row>
    <row r="6391" spans="14:20" x14ac:dyDescent="0.25">
      <c r="N6391" s="514"/>
      <c r="R6391" s="293"/>
      <c r="S6391" s="316"/>
      <c r="T6391" s="355"/>
    </row>
    <row r="6392" spans="14:20" x14ac:dyDescent="0.25">
      <c r="N6392" s="514"/>
      <c r="R6392" s="293"/>
      <c r="S6392" s="316"/>
      <c r="T6392" s="355"/>
    </row>
    <row r="6393" spans="14:20" x14ac:dyDescent="0.25">
      <c r="N6393" s="514"/>
      <c r="R6393" s="293"/>
      <c r="S6393" s="316"/>
      <c r="T6393" s="355"/>
    </row>
    <row r="6394" spans="14:20" x14ac:dyDescent="0.25">
      <c r="N6394" s="514"/>
      <c r="R6394" s="293"/>
      <c r="S6394" s="316"/>
      <c r="T6394" s="355"/>
    </row>
    <row r="6395" spans="14:20" x14ac:dyDescent="0.25">
      <c r="N6395" s="514"/>
      <c r="R6395" s="293"/>
      <c r="S6395" s="316"/>
      <c r="T6395" s="355"/>
    </row>
    <row r="6396" spans="14:20" x14ac:dyDescent="0.25">
      <c r="N6396" s="514"/>
      <c r="R6396" s="293"/>
      <c r="S6396" s="316"/>
      <c r="T6396" s="355"/>
    </row>
    <row r="6397" spans="14:20" x14ac:dyDescent="0.25">
      <c r="N6397" s="514"/>
      <c r="R6397" s="293"/>
      <c r="S6397" s="316"/>
      <c r="T6397" s="355"/>
    </row>
    <row r="6398" spans="14:20" x14ac:dyDescent="0.25">
      <c r="N6398" s="514"/>
      <c r="R6398" s="293"/>
      <c r="S6398" s="316"/>
      <c r="T6398" s="355"/>
    </row>
    <row r="6399" spans="14:20" x14ac:dyDescent="0.25">
      <c r="N6399" s="514"/>
      <c r="R6399" s="293"/>
      <c r="S6399" s="316"/>
      <c r="T6399" s="355"/>
    </row>
    <row r="6400" spans="14:20" x14ac:dyDescent="0.25">
      <c r="N6400" s="514"/>
      <c r="R6400" s="293"/>
      <c r="S6400" s="316"/>
      <c r="T6400" s="355"/>
    </row>
    <row r="6401" spans="14:20" x14ac:dyDescent="0.25">
      <c r="N6401" s="514"/>
      <c r="R6401" s="293"/>
      <c r="S6401" s="316"/>
      <c r="T6401" s="355"/>
    </row>
    <row r="6402" spans="14:20" x14ac:dyDescent="0.25">
      <c r="N6402" s="514"/>
      <c r="R6402" s="293"/>
      <c r="S6402" s="316"/>
      <c r="T6402" s="355"/>
    </row>
    <row r="6403" spans="14:20" x14ac:dyDescent="0.25">
      <c r="N6403" s="514"/>
      <c r="R6403" s="293"/>
      <c r="S6403" s="316"/>
      <c r="T6403" s="355"/>
    </row>
    <row r="6404" spans="14:20" x14ac:dyDescent="0.25">
      <c r="N6404" s="514"/>
      <c r="R6404" s="293"/>
      <c r="S6404" s="316"/>
      <c r="T6404" s="355"/>
    </row>
    <row r="6405" spans="14:20" x14ac:dyDescent="0.25">
      <c r="N6405" s="514"/>
      <c r="R6405" s="293"/>
      <c r="S6405" s="316"/>
      <c r="T6405" s="355"/>
    </row>
    <row r="6406" spans="14:20" x14ac:dyDescent="0.25">
      <c r="N6406" s="514"/>
      <c r="R6406" s="293"/>
      <c r="S6406" s="316"/>
      <c r="T6406" s="355"/>
    </row>
    <row r="6407" spans="14:20" x14ac:dyDescent="0.25">
      <c r="N6407" s="514"/>
      <c r="R6407" s="293"/>
      <c r="S6407" s="316"/>
      <c r="T6407" s="355"/>
    </row>
    <row r="6408" spans="14:20" x14ac:dyDescent="0.25">
      <c r="N6408" s="514"/>
      <c r="R6408" s="293"/>
      <c r="S6408" s="316"/>
      <c r="T6408" s="355"/>
    </row>
    <row r="6409" spans="14:20" x14ac:dyDescent="0.25">
      <c r="N6409" s="514"/>
      <c r="R6409" s="293"/>
      <c r="S6409" s="316"/>
      <c r="T6409" s="355"/>
    </row>
    <row r="6410" spans="14:20" x14ac:dyDescent="0.25">
      <c r="N6410" s="514"/>
      <c r="R6410" s="293"/>
      <c r="S6410" s="316"/>
      <c r="T6410" s="355"/>
    </row>
    <row r="6411" spans="14:20" x14ac:dyDescent="0.25">
      <c r="N6411" s="514"/>
      <c r="R6411" s="293"/>
      <c r="S6411" s="316"/>
      <c r="T6411" s="355"/>
    </row>
    <row r="6412" spans="14:20" x14ac:dyDescent="0.25">
      <c r="N6412" s="514"/>
      <c r="R6412" s="293"/>
      <c r="S6412" s="316"/>
      <c r="T6412" s="355"/>
    </row>
    <row r="6413" spans="14:20" x14ac:dyDescent="0.25">
      <c r="N6413" s="514"/>
      <c r="R6413" s="293"/>
      <c r="S6413" s="316"/>
      <c r="T6413" s="355"/>
    </row>
    <row r="6414" spans="14:20" x14ac:dyDescent="0.25">
      <c r="N6414" s="514"/>
      <c r="R6414" s="293"/>
      <c r="S6414" s="316"/>
      <c r="T6414" s="355"/>
    </row>
    <row r="6415" spans="14:20" x14ac:dyDescent="0.25">
      <c r="N6415" s="514"/>
      <c r="R6415" s="293"/>
      <c r="S6415" s="316"/>
      <c r="T6415" s="355"/>
    </row>
    <row r="6416" spans="14:20" x14ac:dyDescent="0.25">
      <c r="N6416" s="514"/>
      <c r="R6416" s="293"/>
      <c r="S6416" s="316"/>
      <c r="T6416" s="355"/>
    </row>
    <row r="6417" spans="14:20" x14ac:dyDescent="0.25">
      <c r="N6417" s="514"/>
      <c r="R6417" s="293"/>
      <c r="S6417" s="316"/>
      <c r="T6417" s="355"/>
    </row>
    <row r="6418" spans="14:20" x14ac:dyDescent="0.25">
      <c r="N6418" s="514"/>
      <c r="R6418" s="293"/>
      <c r="S6418" s="316"/>
      <c r="T6418" s="355"/>
    </row>
    <row r="6419" spans="14:20" x14ac:dyDescent="0.25">
      <c r="N6419" s="514"/>
      <c r="R6419" s="293"/>
      <c r="S6419" s="316"/>
      <c r="T6419" s="355"/>
    </row>
    <row r="6420" spans="14:20" x14ac:dyDescent="0.25">
      <c r="N6420" s="514"/>
      <c r="R6420" s="293"/>
      <c r="S6420" s="316"/>
      <c r="T6420" s="355"/>
    </row>
    <row r="6421" spans="14:20" x14ac:dyDescent="0.25">
      <c r="N6421" s="514"/>
      <c r="R6421" s="293"/>
      <c r="S6421" s="316"/>
      <c r="T6421" s="355"/>
    </row>
    <row r="6422" spans="14:20" x14ac:dyDescent="0.25">
      <c r="N6422" s="514"/>
      <c r="R6422" s="293"/>
      <c r="S6422" s="316"/>
      <c r="T6422" s="355"/>
    </row>
    <row r="6423" spans="14:20" x14ac:dyDescent="0.25">
      <c r="N6423" s="514"/>
      <c r="R6423" s="293"/>
      <c r="S6423" s="316"/>
      <c r="T6423" s="355"/>
    </row>
    <row r="6424" spans="14:20" x14ac:dyDescent="0.25">
      <c r="N6424" s="514"/>
      <c r="R6424" s="293"/>
      <c r="S6424" s="316"/>
      <c r="T6424" s="355"/>
    </row>
    <row r="6425" spans="14:20" x14ac:dyDescent="0.25">
      <c r="N6425" s="514"/>
      <c r="R6425" s="293"/>
      <c r="S6425" s="316"/>
      <c r="T6425" s="355"/>
    </row>
    <row r="6426" spans="14:20" x14ac:dyDescent="0.25">
      <c r="N6426" s="514"/>
      <c r="R6426" s="293"/>
      <c r="S6426" s="316"/>
      <c r="T6426" s="355"/>
    </row>
    <row r="6427" spans="14:20" x14ac:dyDescent="0.25">
      <c r="N6427" s="514"/>
      <c r="R6427" s="293"/>
      <c r="S6427" s="316"/>
      <c r="T6427" s="355"/>
    </row>
    <row r="6428" spans="14:20" x14ac:dyDescent="0.25">
      <c r="N6428" s="514"/>
      <c r="R6428" s="293"/>
      <c r="S6428" s="316"/>
      <c r="T6428" s="355"/>
    </row>
    <row r="6429" spans="14:20" x14ac:dyDescent="0.25">
      <c r="N6429" s="514"/>
      <c r="R6429" s="293"/>
      <c r="S6429" s="316"/>
      <c r="T6429" s="355"/>
    </row>
    <row r="6430" spans="14:20" x14ac:dyDescent="0.25">
      <c r="N6430" s="514"/>
      <c r="R6430" s="293"/>
      <c r="S6430" s="316"/>
      <c r="T6430" s="355"/>
    </row>
    <row r="6431" spans="14:20" x14ac:dyDescent="0.25">
      <c r="N6431" s="514"/>
      <c r="R6431" s="293"/>
      <c r="S6431" s="316"/>
      <c r="T6431" s="355"/>
    </row>
    <row r="6432" spans="14:20" x14ac:dyDescent="0.25">
      <c r="N6432" s="514"/>
      <c r="R6432" s="293"/>
      <c r="S6432" s="316"/>
      <c r="T6432" s="355"/>
    </row>
    <row r="6433" spans="14:20" x14ac:dyDescent="0.25">
      <c r="N6433" s="514"/>
      <c r="R6433" s="293"/>
      <c r="S6433" s="316"/>
      <c r="T6433" s="355"/>
    </row>
    <row r="6434" spans="14:20" x14ac:dyDescent="0.25">
      <c r="N6434" s="514"/>
      <c r="R6434" s="293"/>
      <c r="S6434" s="316"/>
      <c r="T6434" s="355"/>
    </row>
    <row r="6435" spans="14:20" x14ac:dyDescent="0.25">
      <c r="N6435" s="514"/>
      <c r="R6435" s="293"/>
      <c r="S6435" s="316"/>
      <c r="T6435" s="355"/>
    </row>
    <row r="6436" spans="14:20" x14ac:dyDescent="0.25">
      <c r="N6436" s="514"/>
      <c r="R6436" s="293"/>
      <c r="S6436" s="316"/>
      <c r="T6436" s="355"/>
    </row>
    <row r="6437" spans="14:20" x14ac:dyDescent="0.25">
      <c r="N6437" s="514"/>
      <c r="R6437" s="293"/>
      <c r="S6437" s="316"/>
      <c r="T6437" s="355"/>
    </row>
    <row r="6438" spans="14:20" x14ac:dyDescent="0.25">
      <c r="N6438" s="514"/>
      <c r="R6438" s="293"/>
      <c r="S6438" s="316"/>
      <c r="T6438" s="355"/>
    </row>
    <row r="6439" spans="14:20" x14ac:dyDescent="0.25">
      <c r="N6439" s="514"/>
      <c r="R6439" s="293"/>
      <c r="S6439" s="316"/>
      <c r="T6439" s="355"/>
    </row>
    <row r="6440" spans="14:20" x14ac:dyDescent="0.25">
      <c r="N6440" s="514"/>
      <c r="R6440" s="293"/>
      <c r="S6440" s="316"/>
      <c r="T6440" s="355"/>
    </row>
    <row r="6441" spans="14:20" x14ac:dyDescent="0.25">
      <c r="N6441" s="514"/>
      <c r="R6441" s="293"/>
      <c r="S6441" s="316"/>
      <c r="T6441" s="355"/>
    </row>
    <row r="6442" spans="14:20" x14ac:dyDescent="0.25">
      <c r="N6442" s="514"/>
      <c r="R6442" s="293"/>
      <c r="S6442" s="316"/>
      <c r="T6442" s="355"/>
    </row>
    <row r="6443" spans="14:20" x14ac:dyDescent="0.25">
      <c r="N6443" s="514"/>
      <c r="R6443" s="293"/>
      <c r="S6443" s="316"/>
      <c r="T6443" s="355"/>
    </row>
    <row r="6444" spans="14:20" x14ac:dyDescent="0.25">
      <c r="N6444" s="514"/>
      <c r="R6444" s="293"/>
      <c r="S6444" s="316"/>
      <c r="T6444" s="355"/>
    </row>
    <row r="6445" spans="14:20" x14ac:dyDescent="0.25">
      <c r="N6445" s="514"/>
      <c r="R6445" s="293"/>
      <c r="S6445" s="316"/>
      <c r="T6445" s="355"/>
    </row>
    <row r="6446" spans="14:20" x14ac:dyDescent="0.25">
      <c r="N6446" s="514"/>
      <c r="R6446" s="293"/>
      <c r="S6446" s="316"/>
      <c r="T6446" s="355"/>
    </row>
    <row r="6447" spans="14:20" x14ac:dyDescent="0.25">
      <c r="N6447" s="514"/>
      <c r="R6447" s="293"/>
      <c r="S6447" s="316"/>
      <c r="T6447" s="355"/>
    </row>
    <row r="6448" spans="14:20" x14ac:dyDescent="0.25">
      <c r="N6448" s="514"/>
      <c r="R6448" s="293"/>
      <c r="S6448" s="316"/>
      <c r="T6448" s="355"/>
    </row>
    <row r="6449" spans="14:20" x14ac:dyDescent="0.25">
      <c r="N6449" s="514"/>
      <c r="R6449" s="293"/>
      <c r="S6449" s="316"/>
      <c r="T6449" s="355"/>
    </row>
    <row r="6450" spans="14:20" x14ac:dyDescent="0.25">
      <c r="N6450" s="514"/>
      <c r="R6450" s="293"/>
      <c r="S6450" s="316"/>
      <c r="T6450" s="355"/>
    </row>
    <row r="6451" spans="14:20" x14ac:dyDescent="0.25">
      <c r="N6451" s="514"/>
      <c r="R6451" s="293"/>
      <c r="S6451" s="316"/>
      <c r="T6451" s="355"/>
    </row>
    <row r="6452" spans="14:20" x14ac:dyDescent="0.25">
      <c r="N6452" s="514"/>
      <c r="R6452" s="293"/>
      <c r="S6452" s="316"/>
      <c r="T6452" s="355"/>
    </row>
    <row r="6453" spans="14:20" x14ac:dyDescent="0.25">
      <c r="N6453" s="514"/>
      <c r="R6453" s="293"/>
      <c r="S6453" s="316"/>
      <c r="T6453" s="355"/>
    </row>
    <row r="6454" spans="14:20" x14ac:dyDescent="0.25">
      <c r="N6454" s="514"/>
      <c r="R6454" s="293"/>
      <c r="S6454" s="316"/>
      <c r="T6454" s="355"/>
    </row>
    <row r="6455" spans="14:20" x14ac:dyDescent="0.25">
      <c r="N6455" s="514"/>
      <c r="R6455" s="293"/>
      <c r="S6455" s="316"/>
      <c r="T6455" s="355"/>
    </row>
    <row r="6456" spans="14:20" x14ac:dyDescent="0.25">
      <c r="N6456" s="514"/>
      <c r="R6456" s="293"/>
      <c r="S6456" s="316"/>
      <c r="T6456" s="355"/>
    </row>
    <row r="6457" spans="14:20" x14ac:dyDescent="0.25">
      <c r="N6457" s="514"/>
      <c r="R6457" s="293"/>
      <c r="S6457" s="316"/>
      <c r="T6457" s="355"/>
    </row>
    <row r="6458" spans="14:20" x14ac:dyDescent="0.25">
      <c r="N6458" s="514"/>
      <c r="R6458" s="293"/>
      <c r="S6458" s="316"/>
      <c r="T6458" s="355"/>
    </row>
    <row r="6459" spans="14:20" x14ac:dyDescent="0.25">
      <c r="N6459" s="514"/>
      <c r="R6459" s="293"/>
      <c r="S6459" s="316"/>
      <c r="T6459" s="355"/>
    </row>
    <row r="6460" spans="14:20" x14ac:dyDescent="0.25">
      <c r="N6460" s="514"/>
      <c r="R6460" s="293"/>
      <c r="S6460" s="316"/>
      <c r="T6460" s="355"/>
    </row>
    <row r="6461" spans="14:20" x14ac:dyDescent="0.25">
      <c r="N6461" s="514"/>
      <c r="R6461" s="293"/>
      <c r="S6461" s="316"/>
      <c r="T6461" s="355"/>
    </row>
    <row r="6462" spans="14:20" x14ac:dyDescent="0.25">
      <c r="N6462" s="514"/>
      <c r="R6462" s="293"/>
      <c r="S6462" s="316"/>
      <c r="T6462" s="355"/>
    </row>
    <row r="6463" spans="14:20" x14ac:dyDescent="0.25">
      <c r="N6463" s="514"/>
      <c r="R6463" s="293"/>
      <c r="S6463" s="316"/>
      <c r="T6463" s="355"/>
    </row>
    <row r="6464" spans="14:20" x14ac:dyDescent="0.25">
      <c r="N6464" s="514"/>
      <c r="R6464" s="293"/>
      <c r="S6464" s="316"/>
      <c r="T6464" s="355"/>
    </row>
    <row r="6465" spans="14:20" x14ac:dyDescent="0.25">
      <c r="N6465" s="514"/>
      <c r="R6465" s="293"/>
      <c r="S6465" s="316"/>
      <c r="T6465" s="355"/>
    </row>
    <row r="6466" spans="14:20" x14ac:dyDescent="0.25">
      <c r="N6466" s="514"/>
      <c r="R6466" s="293"/>
      <c r="S6466" s="316"/>
      <c r="T6466" s="355"/>
    </row>
    <row r="6467" spans="14:20" x14ac:dyDescent="0.25">
      <c r="N6467" s="514"/>
      <c r="R6467" s="293"/>
      <c r="S6467" s="316"/>
      <c r="T6467" s="355"/>
    </row>
    <row r="6468" spans="14:20" x14ac:dyDescent="0.25">
      <c r="N6468" s="514"/>
      <c r="R6468" s="293"/>
      <c r="S6468" s="316"/>
      <c r="T6468" s="355"/>
    </row>
    <row r="6469" spans="14:20" x14ac:dyDescent="0.25">
      <c r="N6469" s="514"/>
      <c r="R6469" s="293"/>
      <c r="S6469" s="316"/>
      <c r="T6469" s="355"/>
    </row>
    <row r="6470" spans="14:20" x14ac:dyDescent="0.25">
      <c r="N6470" s="514"/>
      <c r="R6470" s="293"/>
      <c r="S6470" s="316"/>
      <c r="T6470" s="355"/>
    </row>
    <row r="6471" spans="14:20" x14ac:dyDescent="0.25">
      <c r="N6471" s="514"/>
      <c r="R6471" s="293"/>
      <c r="S6471" s="316"/>
      <c r="T6471" s="355"/>
    </row>
    <row r="6472" spans="14:20" x14ac:dyDescent="0.25">
      <c r="N6472" s="514"/>
      <c r="R6472" s="293"/>
      <c r="S6472" s="316"/>
      <c r="T6472" s="355"/>
    </row>
    <row r="6473" spans="14:20" x14ac:dyDescent="0.25">
      <c r="N6473" s="514"/>
      <c r="R6473" s="293"/>
      <c r="S6473" s="316"/>
      <c r="T6473" s="355"/>
    </row>
    <row r="6474" spans="14:20" x14ac:dyDescent="0.25">
      <c r="N6474" s="514"/>
      <c r="R6474" s="293"/>
      <c r="S6474" s="316"/>
      <c r="T6474" s="355"/>
    </row>
    <row r="6475" spans="14:20" x14ac:dyDescent="0.25">
      <c r="N6475" s="514"/>
      <c r="R6475" s="293"/>
      <c r="S6475" s="316"/>
      <c r="T6475" s="355"/>
    </row>
    <row r="6476" spans="14:20" x14ac:dyDescent="0.25">
      <c r="N6476" s="514"/>
      <c r="R6476" s="293"/>
      <c r="S6476" s="316"/>
      <c r="T6476" s="355"/>
    </row>
    <row r="6477" spans="14:20" x14ac:dyDescent="0.25">
      <c r="N6477" s="514"/>
      <c r="R6477" s="293"/>
      <c r="S6477" s="316"/>
      <c r="T6477" s="355"/>
    </row>
    <row r="6478" spans="14:20" x14ac:dyDescent="0.25">
      <c r="N6478" s="514"/>
      <c r="R6478" s="293"/>
      <c r="S6478" s="316"/>
      <c r="T6478" s="355"/>
    </row>
    <row r="6479" spans="14:20" x14ac:dyDescent="0.25">
      <c r="N6479" s="514"/>
      <c r="R6479" s="293"/>
      <c r="S6479" s="316"/>
      <c r="T6479" s="355"/>
    </row>
    <row r="6480" spans="14:20" x14ac:dyDescent="0.25">
      <c r="N6480" s="514"/>
      <c r="R6480" s="293"/>
      <c r="S6480" s="316"/>
      <c r="T6480" s="355"/>
    </row>
    <row r="6481" spans="14:20" x14ac:dyDescent="0.25">
      <c r="N6481" s="514"/>
      <c r="R6481" s="293"/>
      <c r="S6481" s="316"/>
      <c r="T6481" s="355"/>
    </row>
    <row r="6482" spans="14:20" x14ac:dyDescent="0.25">
      <c r="N6482" s="514"/>
      <c r="R6482" s="293"/>
      <c r="S6482" s="316"/>
      <c r="T6482" s="355"/>
    </row>
    <row r="6483" spans="14:20" x14ac:dyDescent="0.25">
      <c r="N6483" s="514"/>
      <c r="R6483" s="293"/>
      <c r="S6483" s="316"/>
      <c r="T6483" s="355"/>
    </row>
    <row r="6484" spans="14:20" x14ac:dyDescent="0.25">
      <c r="N6484" s="514"/>
      <c r="R6484" s="293"/>
      <c r="S6484" s="316"/>
      <c r="T6484" s="355"/>
    </row>
    <row r="6485" spans="14:20" x14ac:dyDescent="0.25">
      <c r="N6485" s="514"/>
      <c r="R6485" s="293"/>
      <c r="S6485" s="316"/>
      <c r="T6485" s="355"/>
    </row>
    <row r="6486" spans="14:20" x14ac:dyDescent="0.25">
      <c r="N6486" s="514"/>
      <c r="R6486" s="293"/>
      <c r="S6486" s="316"/>
      <c r="T6486" s="355"/>
    </row>
    <row r="6487" spans="14:20" x14ac:dyDescent="0.25">
      <c r="N6487" s="514"/>
      <c r="R6487" s="293"/>
      <c r="S6487" s="316"/>
      <c r="T6487" s="355"/>
    </row>
    <row r="6488" spans="14:20" x14ac:dyDescent="0.25">
      <c r="N6488" s="514"/>
      <c r="R6488" s="293"/>
      <c r="S6488" s="316"/>
      <c r="T6488" s="355"/>
    </row>
    <row r="6489" spans="14:20" x14ac:dyDescent="0.25">
      <c r="N6489" s="514"/>
      <c r="R6489" s="293"/>
      <c r="S6489" s="316"/>
      <c r="T6489" s="355"/>
    </row>
    <row r="6490" spans="14:20" x14ac:dyDescent="0.25">
      <c r="N6490" s="514"/>
      <c r="R6490" s="293"/>
      <c r="S6490" s="316"/>
      <c r="T6490" s="355"/>
    </row>
    <row r="6491" spans="14:20" x14ac:dyDescent="0.25">
      <c r="N6491" s="514"/>
      <c r="R6491" s="293"/>
      <c r="S6491" s="316"/>
      <c r="T6491" s="355"/>
    </row>
    <row r="6492" spans="14:20" x14ac:dyDescent="0.25">
      <c r="N6492" s="514"/>
      <c r="R6492" s="293"/>
      <c r="S6492" s="316"/>
      <c r="T6492" s="355"/>
    </row>
    <row r="6493" spans="14:20" x14ac:dyDescent="0.25">
      <c r="N6493" s="514"/>
      <c r="R6493" s="293"/>
      <c r="S6493" s="316"/>
      <c r="T6493" s="355"/>
    </row>
    <row r="6494" spans="14:20" x14ac:dyDescent="0.25">
      <c r="N6494" s="514"/>
      <c r="R6494" s="293"/>
      <c r="S6494" s="316"/>
      <c r="T6494" s="355"/>
    </row>
    <row r="6495" spans="14:20" x14ac:dyDescent="0.25">
      <c r="N6495" s="514"/>
      <c r="R6495" s="293"/>
      <c r="S6495" s="316"/>
      <c r="T6495" s="355"/>
    </row>
    <row r="6496" spans="14:20" x14ac:dyDescent="0.25">
      <c r="N6496" s="514"/>
      <c r="R6496" s="293"/>
      <c r="S6496" s="316"/>
      <c r="T6496" s="355"/>
    </row>
    <row r="6497" spans="14:20" x14ac:dyDescent="0.25">
      <c r="N6497" s="514"/>
      <c r="R6497" s="293"/>
      <c r="S6497" s="316"/>
      <c r="T6497" s="355"/>
    </row>
    <row r="6498" spans="14:20" x14ac:dyDescent="0.25">
      <c r="N6498" s="514"/>
      <c r="R6498" s="293"/>
      <c r="S6498" s="316"/>
      <c r="T6498" s="355"/>
    </row>
    <row r="6499" spans="14:20" x14ac:dyDescent="0.25">
      <c r="N6499" s="514"/>
      <c r="R6499" s="293"/>
      <c r="S6499" s="316"/>
      <c r="T6499" s="355"/>
    </row>
    <row r="6500" spans="14:20" x14ac:dyDescent="0.25">
      <c r="N6500" s="514"/>
      <c r="R6500" s="293"/>
      <c r="S6500" s="316"/>
      <c r="T6500" s="355"/>
    </row>
    <row r="6501" spans="14:20" x14ac:dyDescent="0.25">
      <c r="N6501" s="514"/>
      <c r="R6501" s="293"/>
      <c r="S6501" s="316"/>
      <c r="T6501" s="355"/>
    </row>
    <row r="6502" spans="14:20" x14ac:dyDescent="0.25">
      <c r="N6502" s="514"/>
      <c r="R6502" s="293"/>
      <c r="S6502" s="316"/>
      <c r="T6502" s="355"/>
    </row>
    <row r="6503" spans="14:20" x14ac:dyDescent="0.25">
      <c r="N6503" s="514"/>
      <c r="R6503" s="293"/>
      <c r="S6503" s="316"/>
      <c r="T6503" s="355"/>
    </row>
    <row r="6504" spans="14:20" x14ac:dyDescent="0.25">
      <c r="N6504" s="514"/>
      <c r="R6504" s="293"/>
      <c r="S6504" s="316"/>
      <c r="T6504" s="355"/>
    </row>
    <row r="6505" spans="14:20" x14ac:dyDescent="0.25">
      <c r="N6505" s="514"/>
      <c r="R6505" s="293"/>
      <c r="S6505" s="316"/>
      <c r="T6505" s="355"/>
    </row>
    <row r="6506" spans="14:20" x14ac:dyDescent="0.25">
      <c r="N6506" s="514"/>
      <c r="R6506" s="293"/>
      <c r="S6506" s="316"/>
      <c r="T6506" s="355"/>
    </row>
    <row r="6507" spans="14:20" x14ac:dyDescent="0.25">
      <c r="N6507" s="514"/>
      <c r="R6507" s="293"/>
      <c r="S6507" s="316"/>
      <c r="T6507" s="355"/>
    </row>
    <row r="6508" spans="14:20" x14ac:dyDescent="0.25">
      <c r="N6508" s="514"/>
      <c r="R6508" s="293"/>
      <c r="S6508" s="316"/>
      <c r="T6508" s="355"/>
    </row>
    <row r="6509" spans="14:20" x14ac:dyDescent="0.25">
      <c r="N6509" s="514"/>
      <c r="R6509" s="293"/>
      <c r="S6509" s="316"/>
      <c r="T6509" s="355"/>
    </row>
    <row r="6510" spans="14:20" x14ac:dyDescent="0.25">
      <c r="N6510" s="514"/>
      <c r="R6510" s="293"/>
      <c r="S6510" s="316"/>
      <c r="T6510" s="355"/>
    </row>
    <row r="6511" spans="14:20" x14ac:dyDescent="0.25">
      <c r="N6511" s="514"/>
      <c r="R6511" s="293"/>
      <c r="S6511" s="316"/>
      <c r="T6511" s="355"/>
    </row>
    <row r="6512" spans="14:20" x14ac:dyDescent="0.25">
      <c r="N6512" s="514"/>
      <c r="R6512" s="293"/>
      <c r="S6512" s="316"/>
      <c r="T6512" s="355"/>
    </row>
    <row r="6513" spans="14:20" x14ac:dyDescent="0.25">
      <c r="N6513" s="514"/>
      <c r="R6513" s="293"/>
      <c r="S6513" s="316"/>
      <c r="T6513" s="355"/>
    </row>
    <row r="6514" spans="14:20" x14ac:dyDescent="0.25">
      <c r="N6514" s="514"/>
      <c r="R6514" s="293"/>
      <c r="S6514" s="316"/>
      <c r="T6514" s="355"/>
    </row>
    <row r="6515" spans="14:20" x14ac:dyDescent="0.25">
      <c r="N6515" s="514"/>
      <c r="R6515" s="293"/>
      <c r="S6515" s="316"/>
      <c r="T6515" s="355"/>
    </row>
    <row r="6516" spans="14:20" x14ac:dyDescent="0.25">
      <c r="N6516" s="514"/>
      <c r="R6516" s="293"/>
      <c r="S6516" s="316"/>
      <c r="T6516" s="355"/>
    </row>
    <row r="6517" spans="14:20" x14ac:dyDescent="0.25">
      <c r="N6517" s="514"/>
      <c r="R6517" s="293"/>
      <c r="S6517" s="316"/>
      <c r="T6517" s="355"/>
    </row>
    <row r="6518" spans="14:20" x14ac:dyDescent="0.25">
      <c r="N6518" s="514"/>
      <c r="R6518" s="293"/>
      <c r="S6518" s="316"/>
      <c r="T6518" s="355"/>
    </row>
    <row r="6519" spans="14:20" x14ac:dyDescent="0.25">
      <c r="N6519" s="514"/>
      <c r="R6519" s="293"/>
      <c r="S6519" s="316"/>
      <c r="T6519" s="355"/>
    </row>
    <row r="6520" spans="14:20" x14ac:dyDescent="0.25">
      <c r="N6520" s="514"/>
      <c r="R6520" s="293"/>
      <c r="S6520" s="316"/>
      <c r="T6520" s="355"/>
    </row>
    <row r="6521" spans="14:20" x14ac:dyDescent="0.25">
      <c r="N6521" s="514"/>
      <c r="R6521" s="293"/>
      <c r="S6521" s="316"/>
      <c r="T6521" s="355"/>
    </row>
    <row r="6522" spans="14:20" x14ac:dyDescent="0.25">
      <c r="N6522" s="514"/>
      <c r="R6522" s="293"/>
      <c r="S6522" s="316"/>
      <c r="T6522" s="355"/>
    </row>
    <row r="6523" spans="14:20" x14ac:dyDescent="0.25">
      <c r="N6523" s="514"/>
      <c r="R6523" s="293"/>
      <c r="S6523" s="316"/>
      <c r="T6523" s="355"/>
    </row>
    <row r="6524" spans="14:20" x14ac:dyDescent="0.25">
      <c r="N6524" s="514"/>
      <c r="R6524" s="293"/>
      <c r="S6524" s="316"/>
      <c r="T6524" s="355"/>
    </row>
    <row r="6525" spans="14:20" x14ac:dyDescent="0.25">
      <c r="N6525" s="514"/>
      <c r="R6525" s="293"/>
      <c r="S6525" s="316"/>
      <c r="T6525" s="355"/>
    </row>
    <row r="6526" spans="14:20" x14ac:dyDescent="0.25">
      <c r="N6526" s="514"/>
      <c r="R6526" s="293"/>
      <c r="S6526" s="316"/>
      <c r="T6526" s="355"/>
    </row>
    <row r="6527" spans="14:20" x14ac:dyDescent="0.25">
      <c r="N6527" s="514"/>
      <c r="R6527" s="293"/>
      <c r="S6527" s="316"/>
      <c r="T6527" s="355"/>
    </row>
    <row r="6528" spans="14:20" x14ac:dyDescent="0.25">
      <c r="N6528" s="514"/>
      <c r="R6528" s="293"/>
      <c r="S6528" s="316"/>
      <c r="T6528" s="355"/>
    </row>
    <row r="6529" spans="14:20" x14ac:dyDescent="0.25">
      <c r="N6529" s="514"/>
      <c r="R6529" s="293"/>
      <c r="S6529" s="316"/>
      <c r="T6529" s="355"/>
    </row>
    <row r="6530" spans="14:20" x14ac:dyDescent="0.25">
      <c r="N6530" s="514"/>
      <c r="R6530" s="293"/>
      <c r="S6530" s="316"/>
      <c r="T6530" s="355"/>
    </row>
    <row r="6531" spans="14:20" x14ac:dyDescent="0.25">
      <c r="N6531" s="514"/>
      <c r="R6531" s="293"/>
      <c r="S6531" s="316"/>
      <c r="T6531" s="355"/>
    </row>
    <row r="6532" spans="14:20" x14ac:dyDescent="0.25">
      <c r="N6532" s="514"/>
      <c r="R6532" s="293"/>
      <c r="S6532" s="316"/>
      <c r="T6532" s="355"/>
    </row>
    <row r="6533" spans="14:20" x14ac:dyDescent="0.25">
      <c r="N6533" s="514"/>
      <c r="R6533" s="293"/>
      <c r="S6533" s="316"/>
      <c r="T6533" s="355"/>
    </row>
    <row r="6534" spans="14:20" x14ac:dyDescent="0.25">
      <c r="N6534" s="514"/>
      <c r="R6534" s="293"/>
      <c r="S6534" s="316"/>
      <c r="T6534" s="355"/>
    </row>
    <row r="6535" spans="14:20" x14ac:dyDescent="0.25">
      <c r="N6535" s="514"/>
      <c r="R6535" s="293"/>
      <c r="S6535" s="316"/>
      <c r="T6535" s="355"/>
    </row>
    <row r="6536" spans="14:20" x14ac:dyDescent="0.25">
      <c r="N6536" s="514"/>
      <c r="R6536" s="293"/>
      <c r="S6536" s="316"/>
      <c r="T6536" s="355"/>
    </row>
    <row r="6537" spans="14:20" x14ac:dyDescent="0.25">
      <c r="N6537" s="514"/>
      <c r="R6537" s="293"/>
      <c r="S6537" s="316"/>
      <c r="T6537" s="355"/>
    </row>
    <row r="6538" spans="14:20" x14ac:dyDescent="0.25">
      <c r="N6538" s="514"/>
      <c r="R6538" s="293"/>
      <c r="S6538" s="316"/>
      <c r="T6538" s="355"/>
    </row>
    <row r="6539" spans="14:20" x14ac:dyDescent="0.25">
      <c r="N6539" s="514"/>
      <c r="R6539" s="293"/>
      <c r="S6539" s="316"/>
      <c r="T6539" s="355"/>
    </row>
    <row r="6540" spans="14:20" x14ac:dyDescent="0.25">
      <c r="N6540" s="514"/>
      <c r="R6540" s="293"/>
      <c r="S6540" s="316"/>
      <c r="T6540" s="355"/>
    </row>
    <row r="6541" spans="14:20" x14ac:dyDescent="0.25">
      <c r="N6541" s="514"/>
      <c r="R6541" s="293"/>
      <c r="S6541" s="316"/>
      <c r="T6541" s="355"/>
    </row>
    <row r="6542" spans="14:20" x14ac:dyDescent="0.25">
      <c r="N6542" s="514"/>
      <c r="R6542" s="293"/>
      <c r="S6542" s="316"/>
      <c r="T6542" s="355"/>
    </row>
    <row r="6543" spans="14:20" x14ac:dyDescent="0.25">
      <c r="N6543" s="514"/>
      <c r="R6543" s="293"/>
      <c r="S6543" s="316"/>
      <c r="T6543" s="355"/>
    </row>
    <row r="6544" spans="14:20" x14ac:dyDescent="0.25">
      <c r="N6544" s="514"/>
      <c r="R6544" s="293"/>
      <c r="S6544" s="316"/>
      <c r="T6544" s="355"/>
    </row>
    <row r="6545" spans="14:20" x14ac:dyDescent="0.25">
      <c r="N6545" s="514"/>
      <c r="R6545" s="293"/>
      <c r="S6545" s="316"/>
      <c r="T6545" s="355"/>
    </row>
    <row r="6546" spans="14:20" x14ac:dyDescent="0.25">
      <c r="N6546" s="514"/>
      <c r="R6546" s="293"/>
      <c r="S6546" s="316"/>
      <c r="T6546" s="355"/>
    </row>
    <row r="6547" spans="14:20" x14ac:dyDescent="0.25">
      <c r="N6547" s="514"/>
      <c r="R6547" s="293"/>
      <c r="S6547" s="316"/>
      <c r="T6547" s="355"/>
    </row>
    <row r="6548" spans="14:20" x14ac:dyDescent="0.25">
      <c r="N6548" s="514"/>
      <c r="R6548" s="293"/>
      <c r="S6548" s="316"/>
      <c r="T6548" s="355"/>
    </row>
    <row r="6549" spans="14:20" x14ac:dyDescent="0.25">
      <c r="N6549" s="514"/>
      <c r="R6549" s="293"/>
      <c r="S6549" s="316"/>
      <c r="T6549" s="355"/>
    </row>
    <row r="6550" spans="14:20" x14ac:dyDescent="0.25">
      <c r="N6550" s="514"/>
      <c r="R6550" s="293"/>
      <c r="S6550" s="316"/>
      <c r="T6550" s="355"/>
    </row>
    <row r="6551" spans="14:20" x14ac:dyDescent="0.25">
      <c r="N6551" s="514"/>
      <c r="R6551" s="293"/>
      <c r="S6551" s="316"/>
      <c r="T6551" s="355"/>
    </row>
    <row r="6552" spans="14:20" x14ac:dyDescent="0.25">
      <c r="N6552" s="514"/>
      <c r="R6552" s="293"/>
      <c r="S6552" s="316"/>
      <c r="T6552" s="355"/>
    </row>
    <row r="6553" spans="14:20" x14ac:dyDescent="0.25">
      <c r="N6553" s="514"/>
      <c r="R6553" s="293"/>
      <c r="S6553" s="316"/>
      <c r="T6553" s="355"/>
    </row>
    <row r="6554" spans="14:20" x14ac:dyDescent="0.25">
      <c r="N6554" s="514"/>
      <c r="R6554" s="293"/>
      <c r="S6554" s="316"/>
      <c r="T6554" s="355"/>
    </row>
    <row r="6555" spans="14:20" x14ac:dyDescent="0.25">
      <c r="N6555" s="514"/>
      <c r="R6555" s="293"/>
      <c r="S6555" s="316"/>
      <c r="T6555" s="355"/>
    </row>
    <row r="6556" spans="14:20" x14ac:dyDescent="0.25">
      <c r="N6556" s="514"/>
      <c r="R6556" s="293"/>
      <c r="S6556" s="316"/>
      <c r="T6556" s="355"/>
    </row>
    <row r="6557" spans="14:20" x14ac:dyDescent="0.25">
      <c r="N6557" s="514"/>
      <c r="R6557" s="293"/>
      <c r="S6557" s="316"/>
      <c r="T6557" s="355"/>
    </row>
    <row r="6558" spans="14:20" x14ac:dyDescent="0.25">
      <c r="N6558" s="514"/>
      <c r="R6558" s="293"/>
      <c r="S6558" s="316"/>
      <c r="T6558" s="355"/>
    </row>
    <row r="6559" spans="14:20" x14ac:dyDescent="0.25">
      <c r="N6559" s="514"/>
      <c r="R6559" s="293"/>
      <c r="S6559" s="316"/>
      <c r="T6559" s="355"/>
    </row>
    <row r="6560" spans="14:20" x14ac:dyDescent="0.25">
      <c r="N6560" s="514"/>
      <c r="R6560" s="293"/>
      <c r="S6560" s="316"/>
      <c r="T6560" s="355"/>
    </row>
    <row r="6561" spans="14:20" x14ac:dyDescent="0.25">
      <c r="N6561" s="514"/>
      <c r="R6561" s="293"/>
      <c r="S6561" s="316"/>
      <c r="T6561" s="355"/>
    </row>
    <row r="6562" spans="14:20" x14ac:dyDescent="0.25">
      <c r="N6562" s="514"/>
      <c r="R6562" s="293"/>
      <c r="S6562" s="316"/>
      <c r="T6562" s="355"/>
    </row>
    <row r="6563" spans="14:20" x14ac:dyDescent="0.25">
      <c r="N6563" s="514"/>
      <c r="R6563" s="293"/>
      <c r="S6563" s="316"/>
      <c r="T6563" s="355"/>
    </row>
    <row r="6564" spans="14:20" x14ac:dyDescent="0.25">
      <c r="N6564" s="514"/>
      <c r="R6564" s="293"/>
      <c r="S6564" s="316"/>
      <c r="T6564" s="355"/>
    </row>
    <row r="6565" spans="14:20" x14ac:dyDescent="0.25">
      <c r="N6565" s="514"/>
      <c r="R6565" s="293"/>
      <c r="S6565" s="316"/>
      <c r="T6565" s="355"/>
    </row>
    <row r="6566" spans="14:20" x14ac:dyDescent="0.25">
      <c r="N6566" s="514"/>
      <c r="R6566" s="293"/>
      <c r="S6566" s="316"/>
      <c r="T6566" s="355"/>
    </row>
    <row r="6567" spans="14:20" x14ac:dyDescent="0.25">
      <c r="N6567" s="514"/>
      <c r="R6567" s="293"/>
      <c r="S6567" s="316"/>
      <c r="T6567" s="355"/>
    </row>
    <row r="6568" spans="14:20" x14ac:dyDescent="0.25">
      <c r="N6568" s="514"/>
      <c r="R6568" s="293"/>
      <c r="S6568" s="316"/>
      <c r="T6568" s="355"/>
    </row>
    <row r="6569" spans="14:20" x14ac:dyDescent="0.25">
      <c r="N6569" s="514"/>
      <c r="R6569" s="293"/>
      <c r="S6569" s="316"/>
      <c r="T6569" s="355"/>
    </row>
    <row r="6570" spans="14:20" x14ac:dyDescent="0.25">
      <c r="N6570" s="514"/>
      <c r="R6570" s="293"/>
      <c r="S6570" s="316"/>
      <c r="T6570" s="355"/>
    </row>
    <row r="6571" spans="14:20" x14ac:dyDescent="0.25">
      <c r="N6571" s="514"/>
      <c r="R6571" s="293"/>
      <c r="S6571" s="316"/>
      <c r="T6571" s="355"/>
    </row>
    <row r="6572" spans="14:20" x14ac:dyDescent="0.25">
      <c r="N6572" s="514"/>
      <c r="R6572" s="293"/>
      <c r="S6572" s="316"/>
      <c r="T6572" s="355"/>
    </row>
    <row r="6573" spans="14:20" x14ac:dyDescent="0.25">
      <c r="N6573" s="514"/>
      <c r="R6573" s="293"/>
      <c r="S6573" s="316"/>
      <c r="T6573" s="355"/>
    </row>
    <row r="6574" spans="14:20" x14ac:dyDescent="0.25">
      <c r="N6574" s="514"/>
      <c r="R6574" s="293"/>
      <c r="S6574" s="316"/>
      <c r="T6574" s="355"/>
    </row>
    <row r="6575" spans="14:20" x14ac:dyDescent="0.25">
      <c r="N6575" s="514"/>
      <c r="R6575" s="293"/>
      <c r="S6575" s="316"/>
      <c r="T6575" s="355"/>
    </row>
    <row r="6576" spans="14:20" x14ac:dyDescent="0.25">
      <c r="N6576" s="514"/>
      <c r="R6576" s="293"/>
      <c r="S6576" s="316"/>
      <c r="T6576" s="355"/>
    </row>
    <row r="6577" spans="14:20" x14ac:dyDescent="0.25">
      <c r="N6577" s="514"/>
      <c r="R6577" s="293"/>
      <c r="S6577" s="316"/>
      <c r="T6577" s="355"/>
    </row>
    <row r="6578" spans="14:20" x14ac:dyDescent="0.25">
      <c r="N6578" s="514"/>
      <c r="R6578" s="293"/>
      <c r="S6578" s="316"/>
      <c r="T6578" s="355"/>
    </row>
    <row r="6579" spans="14:20" x14ac:dyDescent="0.25">
      <c r="N6579" s="514"/>
      <c r="R6579" s="293"/>
      <c r="S6579" s="316"/>
      <c r="T6579" s="355"/>
    </row>
    <row r="6580" spans="14:20" x14ac:dyDescent="0.25">
      <c r="N6580" s="514"/>
      <c r="R6580" s="293"/>
      <c r="S6580" s="316"/>
      <c r="T6580" s="355"/>
    </row>
    <row r="6581" spans="14:20" x14ac:dyDescent="0.25">
      <c r="N6581" s="514"/>
      <c r="R6581" s="293"/>
      <c r="S6581" s="316"/>
      <c r="T6581" s="355"/>
    </row>
    <row r="6582" spans="14:20" x14ac:dyDescent="0.25">
      <c r="N6582" s="514"/>
      <c r="R6582" s="293"/>
      <c r="S6582" s="316"/>
      <c r="T6582" s="355"/>
    </row>
    <row r="6583" spans="14:20" x14ac:dyDescent="0.25">
      <c r="N6583" s="514"/>
      <c r="R6583" s="293"/>
      <c r="S6583" s="316"/>
      <c r="T6583" s="355"/>
    </row>
    <row r="6584" spans="14:20" x14ac:dyDescent="0.25">
      <c r="N6584" s="514"/>
      <c r="R6584" s="293"/>
      <c r="S6584" s="316"/>
      <c r="T6584" s="355"/>
    </row>
    <row r="6585" spans="14:20" x14ac:dyDescent="0.25">
      <c r="N6585" s="514"/>
      <c r="R6585" s="293"/>
      <c r="S6585" s="316"/>
      <c r="T6585" s="355"/>
    </row>
    <row r="6586" spans="14:20" x14ac:dyDescent="0.25">
      <c r="N6586" s="514"/>
      <c r="R6586" s="293"/>
      <c r="S6586" s="316"/>
      <c r="T6586" s="355"/>
    </row>
    <row r="6587" spans="14:20" x14ac:dyDescent="0.25">
      <c r="N6587" s="514"/>
      <c r="R6587" s="293"/>
      <c r="S6587" s="316"/>
      <c r="T6587" s="355"/>
    </row>
    <row r="6588" spans="14:20" x14ac:dyDescent="0.25">
      <c r="N6588" s="514"/>
      <c r="R6588" s="293"/>
      <c r="S6588" s="316"/>
      <c r="T6588" s="355"/>
    </row>
    <row r="6589" spans="14:20" x14ac:dyDescent="0.25">
      <c r="N6589" s="514"/>
      <c r="R6589" s="293"/>
      <c r="S6589" s="316"/>
      <c r="T6589" s="355"/>
    </row>
    <row r="6590" spans="14:20" x14ac:dyDescent="0.25">
      <c r="N6590" s="514"/>
      <c r="R6590" s="293"/>
      <c r="S6590" s="316"/>
      <c r="T6590" s="355"/>
    </row>
    <row r="6591" spans="14:20" x14ac:dyDescent="0.25">
      <c r="N6591" s="514"/>
      <c r="R6591" s="293"/>
      <c r="S6591" s="316"/>
      <c r="T6591" s="355"/>
    </row>
    <row r="6592" spans="14:20" x14ac:dyDescent="0.25">
      <c r="N6592" s="514"/>
      <c r="R6592" s="293"/>
      <c r="S6592" s="316"/>
      <c r="T6592" s="355"/>
    </row>
    <row r="6593" spans="14:20" x14ac:dyDescent="0.25">
      <c r="N6593" s="514"/>
      <c r="R6593" s="293"/>
      <c r="S6593" s="316"/>
      <c r="T6593" s="355"/>
    </row>
    <row r="6594" spans="14:20" x14ac:dyDescent="0.25">
      <c r="N6594" s="514"/>
      <c r="R6594" s="293"/>
      <c r="S6594" s="316"/>
      <c r="T6594" s="355"/>
    </row>
    <row r="6595" spans="14:20" x14ac:dyDescent="0.25">
      <c r="N6595" s="514"/>
      <c r="R6595" s="293"/>
      <c r="S6595" s="316"/>
      <c r="T6595" s="355"/>
    </row>
    <row r="6596" spans="14:20" x14ac:dyDescent="0.25">
      <c r="N6596" s="514"/>
      <c r="R6596" s="293"/>
      <c r="S6596" s="316"/>
      <c r="T6596" s="355"/>
    </row>
    <row r="6597" spans="14:20" x14ac:dyDescent="0.25">
      <c r="N6597" s="514"/>
      <c r="R6597" s="293"/>
      <c r="S6597" s="316"/>
      <c r="T6597" s="355"/>
    </row>
    <row r="6598" spans="14:20" x14ac:dyDescent="0.25">
      <c r="N6598" s="514"/>
      <c r="R6598" s="293"/>
      <c r="S6598" s="316"/>
      <c r="T6598" s="355"/>
    </row>
    <row r="6599" spans="14:20" x14ac:dyDescent="0.25">
      <c r="N6599" s="514"/>
      <c r="R6599" s="293"/>
      <c r="S6599" s="316"/>
      <c r="T6599" s="355"/>
    </row>
    <row r="6600" spans="14:20" x14ac:dyDescent="0.25">
      <c r="N6600" s="514"/>
      <c r="R6600" s="293"/>
      <c r="S6600" s="316"/>
      <c r="T6600" s="355"/>
    </row>
    <row r="6601" spans="14:20" x14ac:dyDescent="0.25">
      <c r="N6601" s="514"/>
      <c r="R6601" s="293"/>
      <c r="S6601" s="316"/>
      <c r="T6601" s="355"/>
    </row>
    <row r="6602" spans="14:20" x14ac:dyDescent="0.25">
      <c r="N6602" s="514"/>
      <c r="R6602" s="293"/>
      <c r="S6602" s="316"/>
      <c r="T6602" s="355"/>
    </row>
    <row r="6603" spans="14:20" x14ac:dyDescent="0.25">
      <c r="N6603" s="514"/>
      <c r="R6603" s="293"/>
      <c r="S6603" s="316"/>
      <c r="T6603" s="355"/>
    </row>
    <row r="6604" spans="14:20" x14ac:dyDescent="0.25">
      <c r="N6604" s="514"/>
      <c r="R6604" s="293"/>
      <c r="S6604" s="316"/>
      <c r="T6604" s="355"/>
    </row>
    <row r="6605" spans="14:20" x14ac:dyDescent="0.25">
      <c r="N6605" s="514"/>
      <c r="R6605" s="293"/>
      <c r="S6605" s="316"/>
      <c r="T6605" s="355"/>
    </row>
    <row r="6606" spans="14:20" x14ac:dyDescent="0.25">
      <c r="N6606" s="514"/>
      <c r="R6606" s="293"/>
      <c r="S6606" s="316"/>
      <c r="T6606" s="355"/>
    </row>
    <row r="6607" spans="14:20" x14ac:dyDescent="0.25">
      <c r="N6607" s="514"/>
      <c r="R6607" s="293"/>
      <c r="S6607" s="316"/>
      <c r="T6607" s="355"/>
    </row>
    <row r="6608" spans="14:20" x14ac:dyDescent="0.25">
      <c r="N6608" s="514"/>
      <c r="R6608" s="293"/>
      <c r="S6608" s="316"/>
      <c r="T6608" s="355"/>
    </row>
    <row r="6609" spans="14:20" x14ac:dyDescent="0.25">
      <c r="N6609" s="514"/>
      <c r="R6609" s="293"/>
      <c r="S6609" s="316"/>
      <c r="T6609" s="355"/>
    </row>
    <row r="6610" spans="14:20" x14ac:dyDescent="0.25">
      <c r="N6610" s="514"/>
      <c r="R6610" s="293"/>
      <c r="S6610" s="316"/>
      <c r="T6610" s="355"/>
    </row>
    <row r="6611" spans="14:20" x14ac:dyDescent="0.25">
      <c r="N6611" s="514"/>
      <c r="R6611" s="293"/>
      <c r="S6611" s="316"/>
      <c r="T6611" s="355"/>
    </row>
    <row r="6612" spans="14:20" x14ac:dyDescent="0.25">
      <c r="N6612" s="514"/>
      <c r="R6612" s="293"/>
      <c r="S6612" s="316"/>
      <c r="T6612" s="355"/>
    </row>
    <row r="6613" spans="14:20" x14ac:dyDescent="0.25">
      <c r="N6613" s="514"/>
      <c r="R6613" s="293"/>
      <c r="S6613" s="316"/>
      <c r="T6613" s="355"/>
    </row>
    <row r="6614" spans="14:20" x14ac:dyDescent="0.25">
      <c r="N6614" s="514"/>
      <c r="R6614" s="293"/>
      <c r="S6614" s="316"/>
      <c r="T6614" s="355"/>
    </row>
    <row r="6615" spans="14:20" x14ac:dyDescent="0.25">
      <c r="N6615" s="514"/>
      <c r="R6615" s="293"/>
      <c r="S6615" s="316"/>
      <c r="T6615" s="355"/>
    </row>
    <row r="6616" spans="14:20" x14ac:dyDescent="0.25">
      <c r="N6616" s="514"/>
      <c r="R6616" s="293"/>
      <c r="S6616" s="316"/>
      <c r="T6616" s="355"/>
    </row>
    <row r="6617" spans="14:20" x14ac:dyDescent="0.25">
      <c r="N6617" s="514"/>
      <c r="R6617" s="293"/>
      <c r="S6617" s="316"/>
      <c r="T6617" s="355"/>
    </row>
    <row r="6618" spans="14:20" x14ac:dyDescent="0.25">
      <c r="N6618" s="514"/>
      <c r="R6618" s="293"/>
      <c r="S6618" s="316"/>
      <c r="T6618" s="355"/>
    </row>
    <row r="6619" spans="14:20" x14ac:dyDescent="0.25">
      <c r="N6619" s="514"/>
      <c r="R6619" s="293"/>
      <c r="S6619" s="316"/>
      <c r="T6619" s="355"/>
    </row>
    <row r="6620" spans="14:20" x14ac:dyDescent="0.25">
      <c r="N6620" s="514"/>
      <c r="R6620" s="293"/>
      <c r="S6620" s="316"/>
      <c r="T6620" s="355"/>
    </row>
    <row r="6621" spans="14:20" x14ac:dyDescent="0.25">
      <c r="N6621" s="514"/>
      <c r="R6621" s="293"/>
      <c r="S6621" s="316"/>
      <c r="T6621" s="355"/>
    </row>
    <row r="6622" spans="14:20" x14ac:dyDescent="0.25">
      <c r="N6622" s="514"/>
      <c r="R6622" s="293"/>
      <c r="S6622" s="316"/>
      <c r="T6622" s="355"/>
    </row>
    <row r="6623" spans="14:20" x14ac:dyDescent="0.25">
      <c r="N6623" s="514"/>
      <c r="R6623" s="293"/>
      <c r="S6623" s="316"/>
      <c r="T6623" s="355"/>
    </row>
    <row r="6624" spans="14:20" x14ac:dyDescent="0.25">
      <c r="N6624" s="514"/>
      <c r="R6624" s="293"/>
      <c r="S6624" s="316"/>
      <c r="T6624" s="355"/>
    </row>
    <row r="6625" spans="14:20" x14ac:dyDescent="0.25">
      <c r="N6625" s="514"/>
      <c r="R6625" s="293"/>
      <c r="S6625" s="316"/>
      <c r="T6625" s="355"/>
    </row>
    <row r="6626" spans="14:20" x14ac:dyDescent="0.25">
      <c r="N6626" s="514"/>
      <c r="R6626" s="293"/>
      <c r="S6626" s="316"/>
      <c r="T6626" s="355"/>
    </row>
    <row r="6627" spans="14:20" x14ac:dyDescent="0.25">
      <c r="N6627" s="514"/>
      <c r="R6627" s="293"/>
      <c r="S6627" s="316"/>
      <c r="T6627" s="355"/>
    </row>
    <row r="6628" spans="14:20" x14ac:dyDescent="0.25">
      <c r="N6628" s="514"/>
      <c r="R6628" s="293"/>
      <c r="S6628" s="316"/>
      <c r="T6628" s="355"/>
    </row>
    <row r="6629" spans="14:20" x14ac:dyDescent="0.25">
      <c r="N6629" s="514"/>
      <c r="R6629" s="293"/>
      <c r="S6629" s="316"/>
      <c r="T6629" s="355"/>
    </row>
    <row r="6630" spans="14:20" x14ac:dyDescent="0.25">
      <c r="N6630" s="514"/>
      <c r="R6630" s="293"/>
      <c r="S6630" s="316"/>
      <c r="T6630" s="355"/>
    </row>
    <row r="6631" spans="14:20" x14ac:dyDescent="0.25">
      <c r="N6631" s="514"/>
      <c r="R6631" s="293"/>
      <c r="S6631" s="316"/>
      <c r="T6631" s="355"/>
    </row>
    <row r="6632" spans="14:20" x14ac:dyDescent="0.25">
      <c r="N6632" s="514"/>
      <c r="R6632" s="293"/>
      <c r="S6632" s="316"/>
      <c r="T6632" s="355"/>
    </row>
    <row r="6633" spans="14:20" x14ac:dyDescent="0.25">
      <c r="N6633" s="514"/>
      <c r="R6633" s="293"/>
      <c r="S6633" s="316"/>
      <c r="T6633" s="355"/>
    </row>
    <row r="6634" spans="14:20" x14ac:dyDescent="0.25">
      <c r="N6634" s="514"/>
      <c r="R6634" s="293"/>
      <c r="S6634" s="316"/>
      <c r="T6634" s="355"/>
    </row>
    <row r="6635" spans="14:20" x14ac:dyDescent="0.25">
      <c r="N6635" s="514"/>
      <c r="R6635" s="293"/>
      <c r="S6635" s="316"/>
      <c r="T6635" s="355"/>
    </row>
    <row r="6636" spans="14:20" x14ac:dyDescent="0.25">
      <c r="N6636" s="514"/>
      <c r="R6636" s="293"/>
      <c r="S6636" s="316"/>
      <c r="T6636" s="355"/>
    </row>
    <row r="6637" spans="14:20" x14ac:dyDescent="0.25">
      <c r="N6637" s="514"/>
      <c r="R6637" s="293"/>
      <c r="S6637" s="316"/>
      <c r="T6637" s="355"/>
    </row>
    <row r="6638" spans="14:20" x14ac:dyDescent="0.25">
      <c r="N6638" s="514"/>
      <c r="R6638" s="293"/>
      <c r="S6638" s="316"/>
      <c r="T6638" s="355"/>
    </row>
    <row r="6639" spans="14:20" x14ac:dyDescent="0.25">
      <c r="N6639" s="514"/>
      <c r="R6639" s="293"/>
      <c r="S6639" s="316"/>
      <c r="T6639" s="355"/>
    </row>
    <row r="6640" spans="14:20" x14ac:dyDescent="0.25">
      <c r="N6640" s="514"/>
      <c r="R6640" s="293"/>
      <c r="S6640" s="316"/>
      <c r="T6640" s="355"/>
    </row>
    <row r="6641" spans="14:20" x14ac:dyDescent="0.25">
      <c r="N6641" s="514"/>
      <c r="R6641" s="293"/>
      <c r="S6641" s="316"/>
      <c r="T6641" s="355"/>
    </row>
    <row r="6642" spans="14:20" x14ac:dyDescent="0.25">
      <c r="N6642" s="514"/>
      <c r="R6642" s="293"/>
      <c r="S6642" s="316"/>
      <c r="T6642" s="355"/>
    </row>
    <row r="6643" spans="14:20" x14ac:dyDescent="0.25">
      <c r="N6643" s="514"/>
      <c r="R6643" s="293"/>
      <c r="S6643" s="316"/>
      <c r="T6643" s="355"/>
    </row>
    <row r="6644" spans="14:20" x14ac:dyDescent="0.25">
      <c r="N6644" s="514"/>
      <c r="R6644" s="293"/>
      <c r="S6644" s="316"/>
      <c r="T6644" s="355"/>
    </row>
    <row r="6645" spans="14:20" x14ac:dyDescent="0.25">
      <c r="N6645" s="514"/>
      <c r="R6645" s="293"/>
      <c r="S6645" s="316"/>
      <c r="T6645" s="355"/>
    </row>
    <row r="6646" spans="14:20" x14ac:dyDescent="0.25">
      <c r="N6646" s="514"/>
      <c r="R6646" s="293"/>
      <c r="S6646" s="316"/>
      <c r="T6646" s="355"/>
    </row>
    <row r="6647" spans="14:20" x14ac:dyDescent="0.25">
      <c r="N6647" s="514"/>
      <c r="R6647" s="293"/>
      <c r="S6647" s="316"/>
      <c r="T6647" s="355"/>
    </row>
    <row r="6648" spans="14:20" x14ac:dyDescent="0.25">
      <c r="N6648" s="514"/>
      <c r="R6648" s="293"/>
      <c r="S6648" s="316"/>
      <c r="T6648" s="355"/>
    </row>
    <row r="6649" spans="14:20" x14ac:dyDescent="0.25">
      <c r="N6649" s="514"/>
      <c r="R6649" s="293"/>
      <c r="S6649" s="316"/>
      <c r="T6649" s="355"/>
    </row>
    <row r="6650" spans="14:20" x14ac:dyDescent="0.25">
      <c r="N6650" s="514"/>
      <c r="R6650" s="293"/>
      <c r="S6650" s="316"/>
      <c r="T6650" s="355"/>
    </row>
    <row r="6651" spans="14:20" x14ac:dyDescent="0.25">
      <c r="N6651" s="514"/>
      <c r="R6651" s="293"/>
      <c r="S6651" s="316"/>
      <c r="T6651" s="355"/>
    </row>
    <row r="6652" spans="14:20" x14ac:dyDescent="0.25">
      <c r="N6652" s="514"/>
      <c r="R6652" s="293"/>
      <c r="S6652" s="316"/>
      <c r="T6652" s="355"/>
    </row>
    <row r="6653" spans="14:20" x14ac:dyDescent="0.25">
      <c r="N6653" s="514"/>
      <c r="R6653" s="293"/>
      <c r="S6653" s="316"/>
      <c r="T6653" s="355"/>
    </row>
    <row r="6654" spans="14:20" x14ac:dyDescent="0.25">
      <c r="N6654" s="514"/>
      <c r="R6654" s="293"/>
      <c r="S6654" s="316"/>
      <c r="T6654" s="355"/>
    </row>
    <row r="6655" spans="14:20" x14ac:dyDescent="0.25">
      <c r="N6655" s="514"/>
      <c r="R6655" s="293"/>
      <c r="S6655" s="316"/>
      <c r="T6655" s="355"/>
    </row>
    <row r="6656" spans="14:20" x14ac:dyDescent="0.25">
      <c r="N6656" s="514"/>
      <c r="R6656" s="293"/>
      <c r="S6656" s="316"/>
      <c r="T6656" s="355"/>
    </row>
    <row r="6657" spans="14:20" x14ac:dyDescent="0.25">
      <c r="N6657" s="514"/>
      <c r="R6657" s="293"/>
      <c r="S6657" s="316"/>
      <c r="T6657" s="355"/>
    </row>
    <row r="6658" spans="14:20" x14ac:dyDescent="0.25">
      <c r="N6658" s="514"/>
      <c r="R6658" s="293"/>
      <c r="S6658" s="316"/>
      <c r="T6658" s="355"/>
    </row>
    <row r="6659" spans="14:20" x14ac:dyDescent="0.25">
      <c r="N6659" s="514"/>
      <c r="R6659" s="293"/>
      <c r="S6659" s="316"/>
      <c r="T6659" s="355"/>
    </row>
    <row r="6660" spans="14:20" x14ac:dyDescent="0.25">
      <c r="N6660" s="514"/>
      <c r="R6660" s="293"/>
      <c r="S6660" s="316"/>
      <c r="T6660" s="355"/>
    </row>
    <row r="6661" spans="14:20" x14ac:dyDescent="0.25">
      <c r="N6661" s="514"/>
      <c r="R6661" s="293"/>
      <c r="S6661" s="316"/>
      <c r="T6661" s="355"/>
    </row>
    <row r="6662" spans="14:20" x14ac:dyDescent="0.25">
      <c r="N6662" s="514"/>
      <c r="R6662" s="293"/>
      <c r="S6662" s="316"/>
      <c r="T6662" s="355"/>
    </row>
    <row r="6663" spans="14:20" x14ac:dyDescent="0.25">
      <c r="N6663" s="514"/>
      <c r="R6663" s="293"/>
      <c r="S6663" s="316"/>
      <c r="T6663" s="355"/>
    </row>
    <row r="6664" spans="14:20" x14ac:dyDescent="0.25">
      <c r="N6664" s="514"/>
      <c r="R6664" s="293"/>
      <c r="S6664" s="316"/>
      <c r="T6664" s="355"/>
    </row>
    <row r="6665" spans="14:20" x14ac:dyDescent="0.25">
      <c r="N6665" s="514"/>
      <c r="R6665" s="293"/>
      <c r="S6665" s="316"/>
      <c r="T6665" s="355"/>
    </row>
    <row r="6666" spans="14:20" x14ac:dyDescent="0.25">
      <c r="N6666" s="514"/>
      <c r="R6666" s="293"/>
      <c r="S6666" s="316"/>
      <c r="T6666" s="355"/>
    </row>
    <row r="6667" spans="14:20" x14ac:dyDescent="0.25">
      <c r="N6667" s="514"/>
      <c r="R6667" s="293"/>
      <c r="S6667" s="316"/>
      <c r="T6667" s="355"/>
    </row>
    <row r="6668" spans="14:20" x14ac:dyDescent="0.25">
      <c r="N6668" s="514"/>
      <c r="R6668" s="293"/>
      <c r="S6668" s="316"/>
      <c r="T6668" s="355"/>
    </row>
    <row r="6669" spans="14:20" x14ac:dyDescent="0.25">
      <c r="N6669" s="514"/>
      <c r="R6669" s="293"/>
      <c r="S6669" s="316"/>
      <c r="T6669" s="355"/>
    </row>
    <row r="6670" spans="14:20" x14ac:dyDescent="0.25">
      <c r="N6670" s="514"/>
      <c r="R6670" s="293"/>
      <c r="S6670" s="316"/>
      <c r="T6670" s="355"/>
    </row>
    <row r="6671" spans="14:20" x14ac:dyDescent="0.25">
      <c r="N6671" s="514"/>
      <c r="R6671" s="293"/>
      <c r="S6671" s="316"/>
      <c r="T6671" s="355"/>
    </row>
    <row r="6672" spans="14:20" x14ac:dyDescent="0.25">
      <c r="N6672" s="514"/>
      <c r="R6672" s="293"/>
      <c r="S6672" s="316"/>
      <c r="T6672" s="355"/>
    </row>
    <row r="6673" spans="14:20" x14ac:dyDescent="0.25">
      <c r="N6673" s="514"/>
      <c r="R6673" s="293"/>
      <c r="S6673" s="316"/>
      <c r="T6673" s="355"/>
    </row>
    <row r="6674" spans="14:20" x14ac:dyDescent="0.25">
      <c r="N6674" s="514"/>
      <c r="R6674" s="293"/>
      <c r="S6674" s="316"/>
      <c r="T6674" s="355"/>
    </row>
    <row r="6675" spans="14:20" x14ac:dyDescent="0.25">
      <c r="N6675" s="514"/>
      <c r="R6675" s="293"/>
      <c r="S6675" s="316"/>
      <c r="T6675" s="355"/>
    </row>
    <row r="6676" spans="14:20" x14ac:dyDescent="0.25">
      <c r="N6676" s="514"/>
      <c r="R6676" s="293"/>
      <c r="S6676" s="316"/>
      <c r="T6676" s="355"/>
    </row>
    <row r="6677" spans="14:20" x14ac:dyDescent="0.25">
      <c r="N6677" s="514"/>
      <c r="R6677" s="293"/>
      <c r="S6677" s="316"/>
      <c r="T6677" s="355"/>
    </row>
    <row r="6678" spans="14:20" x14ac:dyDescent="0.25">
      <c r="N6678" s="514"/>
      <c r="R6678" s="293"/>
      <c r="S6678" s="316"/>
      <c r="T6678" s="355"/>
    </row>
    <row r="6679" spans="14:20" x14ac:dyDescent="0.25">
      <c r="N6679" s="514"/>
      <c r="R6679" s="293"/>
      <c r="S6679" s="316"/>
      <c r="T6679" s="355"/>
    </row>
    <row r="6680" spans="14:20" x14ac:dyDescent="0.25">
      <c r="N6680" s="514"/>
      <c r="R6680" s="293"/>
      <c r="S6680" s="316"/>
      <c r="T6680" s="355"/>
    </row>
    <row r="6681" spans="14:20" x14ac:dyDescent="0.25">
      <c r="N6681" s="514"/>
      <c r="R6681" s="293"/>
      <c r="S6681" s="316"/>
      <c r="T6681" s="355"/>
    </row>
    <row r="6682" spans="14:20" x14ac:dyDescent="0.25">
      <c r="N6682" s="514"/>
      <c r="R6682" s="293"/>
      <c r="S6682" s="316"/>
      <c r="T6682" s="355"/>
    </row>
    <row r="6683" spans="14:20" x14ac:dyDescent="0.25">
      <c r="N6683" s="514"/>
      <c r="R6683" s="293"/>
      <c r="S6683" s="316"/>
      <c r="T6683" s="355"/>
    </row>
    <row r="6684" spans="14:20" x14ac:dyDescent="0.25">
      <c r="N6684" s="514"/>
      <c r="R6684" s="293"/>
      <c r="S6684" s="316"/>
      <c r="T6684" s="355"/>
    </row>
    <row r="6685" spans="14:20" x14ac:dyDescent="0.25">
      <c r="N6685" s="514"/>
      <c r="R6685" s="293"/>
      <c r="S6685" s="316"/>
      <c r="T6685" s="355"/>
    </row>
    <row r="6686" spans="14:20" x14ac:dyDescent="0.25">
      <c r="N6686" s="514"/>
      <c r="R6686" s="293"/>
      <c r="S6686" s="316"/>
      <c r="T6686" s="355"/>
    </row>
    <row r="6687" spans="14:20" x14ac:dyDescent="0.25">
      <c r="N6687" s="514"/>
      <c r="R6687" s="293"/>
      <c r="S6687" s="316"/>
      <c r="T6687" s="355"/>
    </row>
    <row r="6688" spans="14:20" x14ac:dyDescent="0.25">
      <c r="N6688" s="514"/>
      <c r="R6688" s="293"/>
      <c r="S6688" s="316"/>
      <c r="T6688" s="355"/>
    </row>
    <row r="6689" spans="14:20" x14ac:dyDescent="0.25">
      <c r="N6689" s="514"/>
      <c r="R6689" s="293"/>
      <c r="S6689" s="316"/>
      <c r="T6689" s="355"/>
    </row>
    <row r="6690" spans="14:20" x14ac:dyDescent="0.25">
      <c r="N6690" s="514"/>
      <c r="R6690" s="293"/>
      <c r="S6690" s="316"/>
      <c r="T6690" s="355"/>
    </row>
    <row r="6691" spans="14:20" x14ac:dyDescent="0.25">
      <c r="N6691" s="514"/>
      <c r="R6691" s="293"/>
      <c r="S6691" s="316"/>
      <c r="T6691" s="355"/>
    </row>
    <row r="6692" spans="14:20" x14ac:dyDescent="0.25">
      <c r="N6692" s="514"/>
      <c r="R6692" s="293"/>
      <c r="S6692" s="316"/>
      <c r="T6692" s="355"/>
    </row>
    <row r="6693" spans="14:20" x14ac:dyDescent="0.25">
      <c r="N6693" s="514"/>
      <c r="R6693" s="293"/>
      <c r="S6693" s="316"/>
      <c r="T6693" s="355"/>
    </row>
    <row r="6694" spans="14:20" x14ac:dyDescent="0.25">
      <c r="N6694" s="514"/>
      <c r="R6694" s="293"/>
      <c r="S6694" s="316"/>
      <c r="T6694" s="355"/>
    </row>
    <row r="6695" spans="14:20" x14ac:dyDescent="0.25">
      <c r="N6695" s="514"/>
      <c r="R6695" s="293"/>
      <c r="S6695" s="316"/>
      <c r="T6695" s="355"/>
    </row>
    <row r="6696" spans="14:20" x14ac:dyDescent="0.25">
      <c r="N6696" s="514"/>
      <c r="R6696" s="293"/>
      <c r="S6696" s="316"/>
      <c r="T6696" s="355"/>
    </row>
    <row r="6697" spans="14:20" x14ac:dyDescent="0.25">
      <c r="N6697" s="514"/>
      <c r="R6697" s="293"/>
      <c r="S6697" s="316"/>
      <c r="T6697" s="355"/>
    </row>
    <row r="6698" spans="14:20" x14ac:dyDescent="0.25">
      <c r="N6698" s="514"/>
      <c r="R6698" s="293"/>
      <c r="S6698" s="316"/>
      <c r="T6698" s="355"/>
    </row>
    <row r="6699" spans="14:20" x14ac:dyDescent="0.25">
      <c r="N6699" s="514"/>
      <c r="R6699" s="293"/>
      <c r="S6699" s="316"/>
      <c r="T6699" s="355"/>
    </row>
    <row r="6700" spans="14:20" x14ac:dyDescent="0.25">
      <c r="N6700" s="514"/>
      <c r="R6700" s="293"/>
      <c r="S6700" s="316"/>
      <c r="T6700" s="355"/>
    </row>
    <row r="6701" spans="14:20" x14ac:dyDescent="0.25">
      <c r="N6701" s="514"/>
      <c r="R6701" s="293"/>
      <c r="S6701" s="316"/>
      <c r="T6701" s="355"/>
    </row>
    <row r="6702" spans="14:20" x14ac:dyDescent="0.25">
      <c r="N6702" s="514"/>
      <c r="R6702" s="293"/>
      <c r="S6702" s="316"/>
      <c r="T6702" s="355"/>
    </row>
    <row r="6703" spans="14:20" x14ac:dyDescent="0.25">
      <c r="N6703" s="514"/>
      <c r="R6703" s="293"/>
      <c r="S6703" s="316"/>
      <c r="T6703" s="355"/>
    </row>
    <row r="6704" spans="14:20" x14ac:dyDescent="0.25">
      <c r="N6704" s="514"/>
      <c r="R6704" s="293"/>
      <c r="S6704" s="316"/>
      <c r="T6704" s="355"/>
    </row>
    <row r="6705" spans="14:20" x14ac:dyDescent="0.25">
      <c r="N6705" s="514"/>
      <c r="R6705" s="293"/>
      <c r="S6705" s="316"/>
      <c r="T6705" s="355"/>
    </row>
    <row r="6706" spans="14:20" x14ac:dyDescent="0.25">
      <c r="N6706" s="514"/>
      <c r="R6706" s="293"/>
      <c r="S6706" s="316"/>
      <c r="T6706" s="355"/>
    </row>
    <row r="6707" spans="14:20" x14ac:dyDescent="0.25">
      <c r="N6707" s="514"/>
      <c r="R6707" s="293"/>
      <c r="S6707" s="316"/>
      <c r="T6707" s="355"/>
    </row>
    <row r="6708" spans="14:20" x14ac:dyDescent="0.25">
      <c r="N6708" s="514"/>
      <c r="R6708" s="293"/>
      <c r="S6708" s="316"/>
      <c r="T6708" s="355"/>
    </row>
    <row r="6709" spans="14:20" x14ac:dyDescent="0.25">
      <c r="N6709" s="514"/>
      <c r="R6709" s="293"/>
      <c r="S6709" s="316"/>
      <c r="T6709" s="355"/>
    </row>
    <row r="6710" spans="14:20" x14ac:dyDescent="0.25">
      <c r="N6710" s="514"/>
      <c r="R6710" s="293"/>
      <c r="S6710" s="316"/>
      <c r="T6710" s="355"/>
    </row>
    <row r="6711" spans="14:20" x14ac:dyDescent="0.25">
      <c r="N6711" s="514"/>
      <c r="R6711" s="293"/>
      <c r="S6711" s="316"/>
      <c r="T6711" s="355"/>
    </row>
    <row r="6712" spans="14:20" x14ac:dyDescent="0.25">
      <c r="N6712" s="514"/>
      <c r="R6712" s="293"/>
      <c r="S6712" s="316"/>
      <c r="T6712" s="355"/>
    </row>
    <row r="6713" spans="14:20" x14ac:dyDescent="0.25">
      <c r="N6713" s="514"/>
      <c r="R6713" s="293"/>
      <c r="S6713" s="316"/>
      <c r="T6713" s="355"/>
    </row>
    <row r="6714" spans="14:20" x14ac:dyDescent="0.25">
      <c r="N6714" s="514"/>
      <c r="R6714" s="293"/>
      <c r="S6714" s="316"/>
      <c r="T6714" s="355"/>
    </row>
    <row r="6715" spans="14:20" x14ac:dyDescent="0.25">
      <c r="N6715" s="514"/>
      <c r="R6715" s="293"/>
      <c r="S6715" s="316"/>
      <c r="T6715" s="355"/>
    </row>
    <row r="6716" spans="14:20" x14ac:dyDescent="0.25">
      <c r="N6716" s="514"/>
      <c r="R6716" s="293"/>
      <c r="S6716" s="316"/>
      <c r="T6716" s="355"/>
    </row>
    <row r="6717" spans="14:20" x14ac:dyDescent="0.25">
      <c r="N6717" s="514"/>
      <c r="R6717" s="293"/>
      <c r="S6717" s="316"/>
      <c r="T6717" s="355"/>
    </row>
    <row r="6718" spans="14:20" x14ac:dyDescent="0.25">
      <c r="N6718" s="514"/>
      <c r="R6718" s="293"/>
      <c r="S6718" s="316"/>
      <c r="T6718" s="355"/>
    </row>
    <row r="6719" spans="14:20" x14ac:dyDescent="0.25">
      <c r="N6719" s="514"/>
      <c r="R6719" s="293"/>
      <c r="S6719" s="316"/>
      <c r="T6719" s="355"/>
    </row>
    <row r="6720" spans="14:20" x14ac:dyDescent="0.25">
      <c r="N6720" s="514"/>
      <c r="R6720" s="293"/>
      <c r="S6720" s="316"/>
      <c r="T6720" s="355"/>
    </row>
    <row r="6721" spans="14:20" x14ac:dyDescent="0.25">
      <c r="N6721" s="514"/>
      <c r="R6721" s="293"/>
      <c r="S6721" s="316"/>
      <c r="T6721" s="355"/>
    </row>
    <row r="6722" spans="14:20" x14ac:dyDescent="0.25">
      <c r="N6722" s="514"/>
      <c r="R6722" s="293"/>
      <c r="S6722" s="316"/>
      <c r="T6722" s="355"/>
    </row>
    <row r="6723" spans="14:20" x14ac:dyDescent="0.25">
      <c r="N6723" s="514"/>
      <c r="R6723" s="293"/>
      <c r="S6723" s="316"/>
      <c r="T6723" s="355"/>
    </row>
    <row r="6724" spans="14:20" x14ac:dyDescent="0.25">
      <c r="N6724" s="514"/>
      <c r="R6724" s="293"/>
      <c r="S6724" s="316"/>
      <c r="T6724" s="355"/>
    </row>
    <row r="6725" spans="14:20" x14ac:dyDescent="0.25">
      <c r="N6725" s="514"/>
      <c r="R6725" s="293"/>
      <c r="S6725" s="316"/>
      <c r="T6725" s="355"/>
    </row>
    <row r="6726" spans="14:20" x14ac:dyDescent="0.25">
      <c r="N6726" s="514"/>
      <c r="R6726" s="293"/>
      <c r="S6726" s="316"/>
      <c r="T6726" s="355"/>
    </row>
    <row r="6727" spans="14:20" x14ac:dyDescent="0.25">
      <c r="N6727" s="514"/>
      <c r="R6727" s="293"/>
      <c r="S6727" s="316"/>
      <c r="T6727" s="355"/>
    </row>
    <row r="6728" spans="14:20" x14ac:dyDescent="0.25">
      <c r="N6728" s="514"/>
      <c r="R6728" s="293"/>
      <c r="S6728" s="316"/>
      <c r="T6728" s="355"/>
    </row>
    <row r="6729" spans="14:20" x14ac:dyDescent="0.25">
      <c r="N6729" s="514"/>
      <c r="R6729" s="293"/>
      <c r="S6729" s="316"/>
      <c r="T6729" s="355"/>
    </row>
    <row r="6730" spans="14:20" x14ac:dyDescent="0.25">
      <c r="N6730" s="514"/>
      <c r="R6730" s="293"/>
      <c r="S6730" s="316"/>
      <c r="T6730" s="355"/>
    </row>
    <row r="6731" spans="14:20" x14ac:dyDescent="0.25">
      <c r="N6731" s="514"/>
      <c r="R6731" s="293"/>
      <c r="S6731" s="316"/>
      <c r="T6731" s="355"/>
    </row>
    <row r="6732" spans="14:20" x14ac:dyDescent="0.25">
      <c r="N6732" s="514"/>
      <c r="R6732" s="293"/>
      <c r="S6732" s="316"/>
      <c r="T6732" s="355"/>
    </row>
    <row r="6733" spans="14:20" x14ac:dyDescent="0.25">
      <c r="N6733" s="514"/>
      <c r="R6733" s="293"/>
      <c r="S6733" s="316"/>
      <c r="T6733" s="355"/>
    </row>
    <row r="6734" spans="14:20" x14ac:dyDescent="0.25">
      <c r="N6734" s="514"/>
      <c r="R6734" s="293"/>
      <c r="S6734" s="316"/>
      <c r="T6734" s="355"/>
    </row>
    <row r="6735" spans="14:20" x14ac:dyDescent="0.25">
      <c r="N6735" s="514"/>
      <c r="R6735" s="293"/>
      <c r="S6735" s="316"/>
      <c r="T6735" s="355"/>
    </row>
    <row r="6736" spans="14:20" x14ac:dyDescent="0.25">
      <c r="N6736" s="514"/>
      <c r="R6736" s="293"/>
      <c r="S6736" s="316"/>
      <c r="T6736" s="355"/>
    </row>
    <row r="6737" spans="14:20" x14ac:dyDescent="0.25">
      <c r="N6737" s="514"/>
      <c r="R6737" s="293"/>
      <c r="S6737" s="316"/>
      <c r="T6737" s="355"/>
    </row>
    <row r="6738" spans="14:20" x14ac:dyDescent="0.25">
      <c r="N6738" s="514"/>
      <c r="R6738" s="293"/>
      <c r="S6738" s="316"/>
      <c r="T6738" s="355"/>
    </row>
    <row r="6739" spans="14:20" x14ac:dyDescent="0.25">
      <c r="N6739" s="514"/>
      <c r="R6739" s="293"/>
      <c r="S6739" s="316"/>
      <c r="T6739" s="355"/>
    </row>
    <row r="6740" spans="14:20" x14ac:dyDescent="0.25">
      <c r="N6740" s="514"/>
      <c r="R6740" s="293"/>
      <c r="S6740" s="316"/>
      <c r="T6740" s="355"/>
    </row>
    <row r="6741" spans="14:20" x14ac:dyDescent="0.25">
      <c r="N6741" s="514"/>
      <c r="R6741" s="293"/>
      <c r="S6741" s="316"/>
      <c r="T6741" s="355"/>
    </row>
    <row r="6742" spans="14:20" x14ac:dyDescent="0.25">
      <c r="N6742" s="514"/>
      <c r="R6742" s="293"/>
      <c r="S6742" s="316"/>
      <c r="T6742" s="355"/>
    </row>
    <row r="6743" spans="14:20" x14ac:dyDescent="0.25">
      <c r="N6743" s="514"/>
      <c r="R6743" s="293"/>
      <c r="S6743" s="316"/>
      <c r="T6743" s="355"/>
    </row>
    <row r="6744" spans="14:20" x14ac:dyDescent="0.25">
      <c r="N6744" s="514"/>
      <c r="R6744" s="293"/>
      <c r="S6744" s="316"/>
      <c r="T6744" s="355"/>
    </row>
    <row r="6745" spans="14:20" x14ac:dyDescent="0.25">
      <c r="N6745" s="514"/>
      <c r="R6745" s="293"/>
      <c r="S6745" s="316"/>
      <c r="T6745" s="355"/>
    </row>
    <row r="6746" spans="14:20" x14ac:dyDescent="0.25">
      <c r="N6746" s="514"/>
      <c r="R6746" s="293"/>
      <c r="S6746" s="316"/>
      <c r="T6746" s="355"/>
    </row>
    <row r="6747" spans="14:20" x14ac:dyDescent="0.25">
      <c r="N6747" s="514"/>
      <c r="R6747" s="293"/>
      <c r="S6747" s="316"/>
      <c r="T6747" s="355"/>
    </row>
    <row r="6748" spans="14:20" x14ac:dyDescent="0.25">
      <c r="N6748" s="514"/>
      <c r="R6748" s="293"/>
      <c r="S6748" s="316"/>
      <c r="T6748" s="355"/>
    </row>
    <row r="6749" spans="14:20" x14ac:dyDescent="0.25">
      <c r="N6749" s="514"/>
      <c r="R6749" s="293"/>
      <c r="S6749" s="316"/>
      <c r="T6749" s="355"/>
    </row>
    <row r="6750" spans="14:20" x14ac:dyDescent="0.25">
      <c r="N6750" s="514"/>
      <c r="R6750" s="293"/>
      <c r="S6750" s="316"/>
      <c r="T6750" s="355"/>
    </row>
    <row r="6751" spans="14:20" x14ac:dyDescent="0.25">
      <c r="N6751" s="514"/>
      <c r="R6751" s="293"/>
      <c r="S6751" s="316"/>
      <c r="T6751" s="355"/>
    </row>
    <row r="6752" spans="14:20" x14ac:dyDescent="0.25">
      <c r="N6752" s="514"/>
      <c r="R6752" s="293"/>
      <c r="S6752" s="316"/>
      <c r="T6752" s="355"/>
    </row>
    <row r="6753" spans="14:20" x14ac:dyDescent="0.25">
      <c r="N6753" s="514"/>
      <c r="R6753" s="293"/>
      <c r="S6753" s="316"/>
      <c r="T6753" s="355"/>
    </row>
    <row r="6754" spans="14:20" x14ac:dyDescent="0.25">
      <c r="N6754" s="514"/>
      <c r="R6754" s="293"/>
      <c r="S6754" s="316"/>
      <c r="T6754" s="355"/>
    </row>
    <row r="6755" spans="14:20" x14ac:dyDescent="0.25">
      <c r="N6755" s="514"/>
      <c r="R6755" s="293"/>
      <c r="S6755" s="316"/>
      <c r="T6755" s="355"/>
    </row>
    <row r="6756" spans="14:20" x14ac:dyDescent="0.25">
      <c r="N6756" s="514"/>
      <c r="R6756" s="293"/>
      <c r="S6756" s="316"/>
      <c r="T6756" s="355"/>
    </row>
    <row r="6757" spans="14:20" x14ac:dyDescent="0.25">
      <c r="N6757" s="514"/>
      <c r="R6757" s="293"/>
      <c r="S6757" s="316"/>
      <c r="T6757" s="355"/>
    </row>
    <row r="6758" spans="14:20" x14ac:dyDescent="0.25">
      <c r="N6758" s="514"/>
      <c r="R6758" s="293"/>
      <c r="S6758" s="316"/>
      <c r="T6758" s="355"/>
    </row>
    <row r="6759" spans="14:20" x14ac:dyDescent="0.25">
      <c r="N6759" s="514"/>
      <c r="R6759" s="293"/>
      <c r="S6759" s="316"/>
      <c r="T6759" s="355"/>
    </row>
    <row r="6760" spans="14:20" x14ac:dyDescent="0.25">
      <c r="N6760" s="514"/>
      <c r="R6760" s="293"/>
      <c r="S6760" s="316"/>
      <c r="T6760" s="355"/>
    </row>
    <row r="6761" spans="14:20" x14ac:dyDescent="0.25">
      <c r="N6761" s="514"/>
      <c r="R6761" s="293"/>
      <c r="S6761" s="316"/>
      <c r="T6761" s="355"/>
    </row>
    <row r="6762" spans="14:20" x14ac:dyDescent="0.25">
      <c r="N6762" s="514"/>
      <c r="R6762" s="293"/>
      <c r="S6762" s="316"/>
      <c r="T6762" s="355"/>
    </row>
    <row r="6763" spans="14:20" x14ac:dyDescent="0.25">
      <c r="N6763" s="514"/>
      <c r="R6763" s="293"/>
      <c r="S6763" s="316"/>
      <c r="T6763" s="355"/>
    </row>
    <row r="6764" spans="14:20" x14ac:dyDescent="0.25">
      <c r="N6764" s="514"/>
      <c r="R6764" s="293"/>
      <c r="S6764" s="316"/>
      <c r="T6764" s="355"/>
    </row>
    <row r="6765" spans="14:20" x14ac:dyDescent="0.25">
      <c r="N6765" s="514"/>
      <c r="R6765" s="293"/>
      <c r="S6765" s="316"/>
      <c r="T6765" s="355"/>
    </row>
    <row r="6766" spans="14:20" x14ac:dyDescent="0.25">
      <c r="N6766" s="514"/>
      <c r="R6766" s="293"/>
      <c r="S6766" s="316"/>
      <c r="T6766" s="355"/>
    </row>
    <row r="6767" spans="14:20" x14ac:dyDescent="0.25">
      <c r="N6767" s="514"/>
      <c r="R6767" s="293"/>
      <c r="S6767" s="316"/>
      <c r="T6767" s="355"/>
    </row>
    <row r="6768" spans="14:20" x14ac:dyDescent="0.25">
      <c r="N6768" s="514"/>
      <c r="R6768" s="293"/>
      <c r="S6768" s="316"/>
      <c r="T6768" s="355"/>
    </row>
    <row r="6769" spans="14:20" x14ac:dyDescent="0.25">
      <c r="N6769" s="514"/>
      <c r="R6769" s="293"/>
      <c r="S6769" s="316"/>
      <c r="T6769" s="355"/>
    </row>
    <row r="6770" spans="14:20" x14ac:dyDescent="0.25">
      <c r="N6770" s="514"/>
      <c r="R6770" s="293"/>
      <c r="S6770" s="316"/>
      <c r="T6770" s="355"/>
    </row>
    <row r="6771" spans="14:20" x14ac:dyDescent="0.25">
      <c r="N6771" s="514"/>
      <c r="R6771" s="293"/>
      <c r="S6771" s="316"/>
      <c r="T6771" s="355"/>
    </row>
    <row r="6772" spans="14:20" x14ac:dyDescent="0.25">
      <c r="N6772" s="514"/>
      <c r="R6772" s="293"/>
      <c r="S6772" s="316"/>
      <c r="T6772" s="355"/>
    </row>
    <row r="6773" spans="14:20" x14ac:dyDescent="0.25">
      <c r="N6773" s="514"/>
      <c r="R6773" s="293"/>
      <c r="S6773" s="316"/>
      <c r="T6773" s="355"/>
    </row>
    <row r="6774" spans="14:20" x14ac:dyDescent="0.25">
      <c r="N6774" s="514"/>
      <c r="R6774" s="293"/>
      <c r="S6774" s="316"/>
      <c r="T6774" s="355"/>
    </row>
    <row r="6775" spans="14:20" x14ac:dyDescent="0.25">
      <c r="N6775" s="514"/>
      <c r="R6775" s="293"/>
      <c r="S6775" s="316"/>
      <c r="T6775" s="355"/>
    </row>
    <row r="6776" spans="14:20" x14ac:dyDescent="0.25">
      <c r="N6776" s="514"/>
      <c r="R6776" s="293"/>
      <c r="S6776" s="316"/>
      <c r="T6776" s="355"/>
    </row>
    <row r="6777" spans="14:20" x14ac:dyDescent="0.25">
      <c r="N6777" s="514"/>
      <c r="R6777" s="293"/>
      <c r="S6777" s="316"/>
      <c r="T6777" s="355"/>
    </row>
    <row r="6778" spans="14:20" x14ac:dyDescent="0.25">
      <c r="N6778" s="514"/>
      <c r="R6778" s="293"/>
      <c r="S6778" s="316"/>
      <c r="T6778" s="355"/>
    </row>
    <row r="6779" spans="14:20" x14ac:dyDescent="0.25">
      <c r="N6779" s="514"/>
      <c r="R6779" s="293"/>
      <c r="S6779" s="316"/>
      <c r="T6779" s="355"/>
    </row>
    <row r="6780" spans="14:20" x14ac:dyDescent="0.25">
      <c r="N6780" s="514"/>
      <c r="R6780" s="293"/>
      <c r="S6780" s="316"/>
      <c r="T6780" s="355"/>
    </row>
    <row r="6781" spans="14:20" x14ac:dyDescent="0.25">
      <c r="N6781" s="514"/>
      <c r="R6781" s="293"/>
      <c r="S6781" s="316"/>
      <c r="T6781" s="355"/>
    </row>
    <row r="6782" spans="14:20" x14ac:dyDescent="0.25">
      <c r="N6782" s="514"/>
      <c r="R6782" s="293"/>
      <c r="S6782" s="316"/>
      <c r="T6782" s="355"/>
    </row>
    <row r="6783" spans="14:20" x14ac:dyDescent="0.25">
      <c r="N6783" s="514"/>
      <c r="R6783" s="293"/>
      <c r="S6783" s="316"/>
      <c r="T6783" s="355"/>
    </row>
    <row r="6784" spans="14:20" x14ac:dyDescent="0.25">
      <c r="N6784" s="514"/>
      <c r="R6784" s="293"/>
      <c r="S6784" s="316"/>
      <c r="T6784" s="355"/>
    </row>
    <row r="6785" spans="14:20" x14ac:dyDescent="0.25">
      <c r="N6785" s="514"/>
      <c r="R6785" s="293"/>
      <c r="S6785" s="316"/>
      <c r="T6785" s="355"/>
    </row>
    <row r="6786" spans="14:20" x14ac:dyDescent="0.25">
      <c r="N6786" s="514"/>
      <c r="R6786" s="293"/>
      <c r="S6786" s="316"/>
      <c r="T6786" s="355"/>
    </row>
    <row r="6787" spans="14:20" x14ac:dyDescent="0.25">
      <c r="N6787" s="514"/>
      <c r="R6787" s="293"/>
      <c r="S6787" s="316"/>
      <c r="T6787" s="355"/>
    </row>
    <row r="6788" spans="14:20" x14ac:dyDescent="0.25">
      <c r="N6788" s="514"/>
      <c r="R6788" s="293"/>
      <c r="S6788" s="316"/>
      <c r="T6788" s="355"/>
    </row>
    <row r="6789" spans="14:20" x14ac:dyDescent="0.25">
      <c r="N6789" s="514"/>
      <c r="R6789" s="293"/>
      <c r="S6789" s="316"/>
      <c r="T6789" s="355"/>
    </row>
    <row r="6790" spans="14:20" x14ac:dyDescent="0.25">
      <c r="N6790" s="514"/>
      <c r="R6790" s="293"/>
      <c r="S6790" s="316"/>
      <c r="T6790" s="355"/>
    </row>
    <row r="6791" spans="14:20" x14ac:dyDescent="0.25">
      <c r="N6791" s="514"/>
      <c r="R6791" s="293"/>
      <c r="S6791" s="316"/>
      <c r="T6791" s="355"/>
    </row>
    <row r="6792" spans="14:20" x14ac:dyDescent="0.25">
      <c r="N6792" s="514"/>
      <c r="R6792" s="293"/>
      <c r="S6792" s="316"/>
      <c r="T6792" s="355"/>
    </row>
    <row r="6793" spans="14:20" x14ac:dyDescent="0.25">
      <c r="N6793" s="514"/>
      <c r="R6793" s="293"/>
      <c r="S6793" s="316"/>
      <c r="T6793" s="355"/>
    </row>
    <row r="6794" spans="14:20" x14ac:dyDescent="0.25">
      <c r="N6794" s="514"/>
      <c r="R6794" s="293"/>
      <c r="S6794" s="316"/>
      <c r="T6794" s="355"/>
    </row>
    <row r="6795" spans="14:20" x14ac:dyDescent="0.25">
      <c r="N6795" s="514"/>
      <c r="R6795" s="293"/>
      <c r="S6795" s="316"/>
      <c r="T6795" s="355"/>
    </row>
    <row r="6796" spans="14:20" x14ac:dyDescent="0.25">
      <c r="N6796" s="514"/>
      <c r="R6796" s="293"/>
      <c r="S6796" s="316"/>
      <c r="T6796" s="355"/>
    </row>
    <row r="6797" spans="14:20" x14ac:dyDescent="0.25">
      <c r="N6797" s="514"/>
      <c r="R6797" s="293"/>
      <c r="S6797" s="316"/>
      <c r="T6797" s="355"/>
    </row>
    <row r="6798" spans="14:20" x14ac:dyDescent="0.25">
      <c r="N6798" s="514"/>
      <c r="R6798" s="293"/>
      <c r="S6798" s="316"/>
      <c r="T6798" s="355"/>
    </row>
    <row r="6799" spans="14:20" x14ac:dyDescent="0.25">
      <c r="N6799" s="514"/>
      <c r="R6799" s="293"/>
      <c r="S6799" s="316"/>
      <c r="T6799" s="355"/>
    </row>
    <row r="6800" spans="14:20" x14ac:dyDescent="0.25">
      <c r="N6800" s="514"/>
      <c r="R6800" s="293"/>
      <c r="S6800" s="316"/>
      <c r="T6800" s="355"/>
    </row>
    <row r="6801" spans="14:20" x14ac:dyDescent="0.25">
      <c r="N6801" s="514"/>
      <c r="R6801" s="293"/>
      <c r="S6801" s="316"/>
      <c r="T6801" s="355"/>
    </row>
    <row r="6802" spans="14:20" x14ac:dyDescent="0.25">
      <c r="N6802" s="514"/>
      <c r="R6802" s="293"/>
      <c r="S6802" s="316"/>
      <c r="T6802" s="355"/>
    </row>
    <row r="6803" spans="14:20" x14ac:dyDescent="0.25">
      <c r="N6803" s="514"/>
      <c r="R6803" s="293"/>
      <c r="S6803" s="316"/>
      <c r="T6803" s="355"/>
    </row>
    <row r="6804" spans="14:20" x14ac:dyDescent="0.25">
      <c r="N6804" s="514"/>
      <c r="R6804" s="293"/>
      <c r="S6804" s="316"/>
      <c r="T6804" s="355"/>
    </row>
    <row r="6805" spans="14:20" x14ac:dyDescent="0.25">
      <c r="N6805" s="514"/>
      <c r="R6805" s="293"/>
      <c r="S6805" s="316"/>
      <c r="T6805" s="355"/>
    </row>
    <row r="6806" spans="14:20" x14ac:dyDescent="0.25">
      <c r="N6806" s="514"/>
      <c r="R6806" s="293"/>
      <c r="S6806" s="316"/>
      <c r="T6806" s="355"/>
    </row>
    <row r="6807" spans="14:20" x14ac:dyDescent="0.25">
      <c r="N6807" s="514"/>
      <c r="R6807" s="293"/>
      <c r="S6807" s="316"/>
      <c r="T6807" s="355"/>
    </row>
    <row r="6808" spans="14:20" x14ac:dyDescent="0.25">
      <c r="N6808" s="514"/>
      <c r="R6808" s="293"/>
      <c r="S6808" s="316"/>
      <c r="T6808" s="355"/>
    </row>
    <row r="6809" spans="14:20" x14ac:dyDescent="0.25">
      <c r="N6809" s="514"/>
      <c r="R6809" s="293"/>
      <c r="S6809" s="316"/>
      <c r="T6809" s="355"/>
    </row>
    <row r="6810" spans="14:20" x14ac:dyDescent="0.25">
      <c r="N6810" s="514"/>
      <c r="R6810" s="293"/>
      <c r="S6810" s="316"/>
      <c r="T6810" s="355"/>
    </row>
    <row r="6811" spans="14:20" x14ac:dyDescent="0.25">
      <c r="N6811" s="514"/>
      <c r="R6811" s="293"/>
      <c r="S6811" s="316"/>
      <c r="T6811" s="355"/>
    </row>
    <row r="6812" spans="14:20" x14ac:dyDescent="0.25">
      <c r="N6812" s="514"/>
      <c r="R6812" s="293"/>
      <c r="S6812" s="316"/>
      <c r="T6812" s="355"/>
    </row>
    <row r="6813" spans="14:20" x14ac:dyDescent="0.25">
      <c r="N6813" s="514"/>
      <c r="R6813" s="293"/>
      <c r="S6813" s="316"/>
      <c r="T6813" s="355"/>
    </row>
    <row r="6814" spans="14:20" x14ac:dyDescent="0.25">
      <c r="N6814" s="514"/>
      <c r="R6814" s="293"/>
      <c r="S6814" s="316"/>
      <c r="T6814" s="355"/>
    </row>
    <row r="6815" spans="14:20" x14ac:dyDescent="0.25">
      <c r="N6815" s="514"/>
      <c r="R6815" s="293"/>
      <c r="S6815" s="316"/>
      <c r="T6815" s="355"/>
    </row>
    <row r="6816" spans="14:20" x14ac:dyDescent="0.25">
      <c r="N6816" s="514"/>
      <c r="R6816" s="293"/>
      <c r="S6816" s="316"/>
      <c r="T6816" s="355"/>
    </row>
    <row r="6817" spans="14:20" x14ac:dyDescent="0.25">
      <c r="N6817" s="514"/>
      <c r="R6817" s="293"/>
      <c r="S6817" s="316"/>
      <c r="T6817" s="355"/>
    </row>
    <row r="6818" spans="14:20" x14ac:dyDescent="0.25">
      <c r="N6818" s="514"/>
      <c r="R6818" s="293"/>
      <c r="S6818" s="316"/>
      <c r="T6818" s="355"/>
    </row>
    <row r="6819" spans="14:20" x14ac:dyDescent="0.25">
      <c r="N6819" s="514"/>
      <c r="R6819" s="293"/>
      <c r="S6819" s="316"/>
      <c r="T6819" s="355"/>
    </row>
    <row r="6820" spans="14:20" x14ac:dyDescent="0.25">
      <c r="N6820" s="514"/>
      <c r="R6820" s="293"/>
      <c r="S6820" s="316"/>
      <c r="T6820" s="355"/>
    </row>
    <row r="6821" spans="14:20" x14ac:dyDescent="0.25">
      <c r="N6821" s="514"/>
      <c r="R6821" s="293"/>
      <c r="S6821" s="316"/>
      <c r="T6821" s="355"/>
    </row>
    <row r="6822" spans="14:20" x14ac:dyDescent="0.25">
      <c r="N6822" s="514"/>
      <c r="R6822" s="293"/>
      <c r="S6822" s="316"/>
      <c r="T6822" s="355"/>
    </row>
    <row r="6823" spans="14:20" x14ac:dyDescent="0.25">
      <c r="N6823" s="514"/>
      <c r="R6823" s="293"/>
      <c r="S6823" s="316"/>
      <c r="T6823" s="355"/>
    </row>
    <row r="6824" spans="14:20" x14ac:dyDescent="0.25">
      <c r="N6824" s="514"/>
      <c r="R6824" s="293"/>
      <c r="S6824" s="316"/>
      <c r="T6824" s="355"/>
    </row>
    <row r="6825" spans="14:20" x14ac:dyDescent="0.25">
      <c r="N6825" s="514"/>
      <c r="R6825" s="293"/>
      <c r="S6825" s="316"/>
      <c r="T6825" s="355"/>
    </row>
    <row r="6826" spans="14:20" x14ac:dyDescent="0.25">
      <c r="N6826" s="514"/>
      <c r="R6826" s="293"/>
      <c r="S6826" s="316"/>
      <c r="T6826" s="355"/>
    </row>
    <row r="6827" spans="14:20" x14ac:dyDescent="0.25">
      <c r="N6827" s="514"/>
      <c r="R6827" s="293"/>
      <c r="S6827" s="316"/>
      <c r="T6827" s="355"/>
    </row>
    <row r="6828" spans="14:20" x14ac:dyDescent="0.25">
      <c r="N6828" s="514"/>
      <c r="R6828" s="293"/>
      <c r="S6828" s="316"/>
      <c r="T6828" s="355"/>
    </row>
    <row r="6829" spans="14:20" x14ac:dyDescent="0.25">
      <c r="N6829" s="514"/>
      <c r="R6829" s="293"/>
      <c r="S6829" s="316"/>
      <c r="T6829" s="355"/>
    </row>
    <row r="6830" spans="14:20" x14ac:dyDescent="0.25">
      <c r="N6830" s="514"/>
      <c r="R6830" s="293"/>
      <c r="S6830" s="316"/>
      <c r="T6830" s="355"/>
    </row>
    <row r="6831" spans="14:20" x14ac:dyDescent="0.25">
      <c r="N6831" s="514"/>
      <c r="R6831" s="293"/>
      <c r="S6831" s="316"/>
      <c r="T6831" s="355"/>
    </row>
    <row r="6832" spans="14:20" x14ac:dyDescent="0.25">
      <c r="N6832" s="514"/>
      <c r="R6832" s="293"/>
      <c r="S6832" s="316"/>
      <c r="T6832" s="355"/>
    </row>
    <row r="6833" spans="14:20" x14ac:dyDescent="0.25">
      <c r="N6833" s="514"/>
      <c r="R6833" s="293"/>
      <c r="S6833" s="316"/>
      <c r="T6833" s="355"/>
    </row>
    <row r="6834" spans="14:20" x14ac:dyDescent="0.25">
      <c r="N6834" s="514"/>
      <c r="R6834" s="293"/>
      <c r="S6834" s="316"/>
      <c r="T6834" s="355"/>
    </row>
    <row r="6835" spans="14:20" x14ac:dyDescent="0.25">
      <c r="N6835" s="514"/>
      <c r="R6835" s="293"/>
      <c r="S6835" s="316"/>
      <c r="T6835" s="355"/>
    </row>
    <row r="6836" spans="14:20" x14ac:dyDescent="0.25">
      <c r="N6836" s="514"/>
      <c r="R6836" s="293"/>
      <c r="S6836" s="316"/>
      <c r="T6836" s="355"/>
    </row>
    <row r="6837" spans="14:20" x14ac:dyDescent="0.25">
      <c r="N6837" s="514"/>
      <c r="R6837" s="293"/>
      <c r="S6837" s="316"/>
      <c r="T6837" s="355"/>
    </row>
    <row r="6838" spans="14:20" x14ac:dyDescent="0.25">
      <c r="N6838" s="514"/>
      <c r="R6838" s="293"/>
      <c r="S6838" s="316"/>
      <c r="T6838" s="355"/>
    </row>
    <row r="6839" spans="14:20" x14ac:dyDescent="0.25">
      <c r="N6839" s="514"/>
      <c r="R6839" s="293"/>
      <c r="S6839" s="316"/>
      <c r="T6839" s="355"/>
    </row>
    <row r="6840" spans="14:20" x14ac:dyDescent="0.25">
      <c r="N6840" s="514"/>
      <c r="R6840" s="293"/>
      <c r="S6840" s="316"/>
      <c r="T6840" s="355"/>
    </row>
    <row r="6841" spans="14:20" x14ac:dyDescent="0.25">
      <c r="N6841" s="514"/>
      <c r="R6841" s="293"/>
      <c r="S6841" s="316"/>
      <c r="T6841" s="355"/>
    </row>
    <row r="6842" spans="14:20" x14ac:dyDescent="0.25">
      <c r="N6842" s="514"/>
      <c r="R6842" s="293"/>
      <c r="S6842" s="316"/>
      <c r="T6842" s="355"/>
    </row>
    <row r="6843" spans="14:20" x14ac:dyDescent="0.25">
      <c r="N6843" s="514"/>
      <c r="R6843" s="293"/>
      <c r="S6843" s="316"/>
      <c r="T6843" s="355"/>
    </row>
    <row r="6844" spans="14:20" x14ac:dyDescent="0.25">
      <c r="N6844" s="514"/>
      <c r="R6844" s="293"/>
      <c r="S6844" s="316"/>
      <c r="T6844" s="355"/>
    </row>
    <row r="6845" spans="14:20" x14ac:dyDescent="0.25">
      <c r="N6845" s="514"/>
      <c r="R6845" s="293"/>
      <c r="S6845" s="316"/>
      <c r="T6845" s="355"/>
    </row>
    <row r="6846" spans="14:20" x14ac:dyDescent="0.25">
      <c r="N6846" s="514"/>
      <c r="R6846" s="293"/>
      <c r="S6846" s="316"/>
      <c r="T6846" s="355"/>
    </row>
    <row r="6847" spans="14:20" x14ac:dyDescent="0.25">
      <c r="N6847" s="514"/>
      <c r="R6847" s="293"/>
      <c r="S6847" s="316"/>
      <c r="T6847" s="355"/>
    </row>
    <row r="6848" spans="14:20" x14ac:dyDescent="0.25">
      <c r="N6848" s="514"/>
      <c r="R6848" s="293"/>
      <c r="S6848" s="316"/>
      <c r="T6848" s="355"/>
    </row>
    <row r="6849" spans="14:20" x14ac:dyDescent="0.25">
      <c r="N6849" s="514"/>
      <c r="R6849" s="293"/>
      <c r="S6849" s="316"/>
      <c r="T6849" s="355"/>
    </row>
    <row r="6850" spans="14:20" x14ac:dyDescent="0.25">
      <c r="N6850" s="514"/>
      <c r="R6850" s="293"/>
      <c r="S6850" s="316"/>
      <c r="T6850" s="355"/>
    </row>
    <row r="6851" spans="14:20" x14ac:dyDescent="0.25">
      <c r="N6851" s="514"/>
      <c r="R6851" s="293"/>
      <c r="S6851" s="316"/>
      <c r="T6851" s="355"/>
    </row>
    <row r="6852" spans="14:20" x14ac:dyDescent="0.25">
      <c r="N6852" s="514"/>
      <c r="R6852" s="293"/>
      <c r="S6852" s="316"/>
      <c r="T6852" s="355"/>
    </row>
    <row r="6853" spans="14:20" x14ac:dyDescent="0.25">
      <c r="N6853" s="514"/>
      <c r="R6853" s="293"/>
      <c r="S6853" s="316"/>
      <c r="T6853" s="355"/>
    </row>
    <row r="6854" spans="14:20" x14ac:dyDescent="0.25">
      <c r="N6854" s="514"/>
      <c r="R6854" s="293"/>
      <c r="S6854" s="316"/>
      <c r="T6854" s="355"/>
    </row>
    <row r="6855" spans="14:20" x14ac:dyDescent="0.25">
      <c r="N6855" s="514"/>
      <c r="R6855" s="293"/>
      <c r="S6855" s="316"/>
      <c r="T6855" s="355"/>
    </row>
    <row r="6856" spans="14:20" x14ac:dyDescent="0.25">
      <c r="N6856" s="514"/>
      <c r="R6856" s="293"/>
      <c r="S6856" s="316"/>
      <c r="T6856" s="355"/>
    </row>
    <row r="6857" spans="14:20" x14ac:dyDescent="0.25">
      <c r="N6857" s="514"/>
      <c r="R6857" s="293"/>
      <c r="S6857" s="316"/>
      <c r="T6857" s="355"/>
    </row>
    <row r="6858" spans="14:20" x14ac:dyDescent="0.25">
      <c r="N6858" s="514"/>
      <c r="R6858" s="293"/>
      <c r="S6858" s="316"/>
      <c r="T6858" s="355"/>
    </row>
    <row r="6859" spans="14:20" x14ac:dyDescent="0.25">
      <c r="N6859" s="514"/>
      <c r="R6859" s="293"/>
      <c r="S6859" s="316"/>
      <c r="T6859" s="355"/>
    </row>
    <row r="6860" spans="14:20" x14ac:dyDescent="0.25">
      <c r="N6860" s="514"/>
      <c r="R6860" s="293"/>
      <c r="S6860" s="316"/>
      <c r="T6860" s="355"/>
    </row>
    <row r="6861" spans="14:20" x14ac:dyDescent="0.25">
      <c r="N6861" s="514"/>
      <c r="R6861" s="293"/>
      <c r="S6861" s="316"/>
      <c r="T6861" s="355"/>
    </row>
    <row r="6862" spans="14:20" x14ac:dyDescent="0.25">
      <c r="N6862" s="514"/>
      <c r="R6862" s="293"/>
      <c r="S6862" s="316"/>
      <c r="T6862" s="355"/>
    </row>
    <row r="6863" spans="14:20" x14ac:dyDescent="0.25">
      <c r="N6863" s="514"/>
      <c r="R6863" s="293"/>
      <c r="S6863" s="316"/>
      <c r="T6863" s="355"/>
    </row>
    <row r="6864" spans="14:20" x14ac:dyDescent="0.25">
      <c r="N6864" s="514"/>
      <c r="R6864" s="293"/>
      <c r="S6864" s="316"/>
      <c r="T6864" s="355"/>
    </row>
    <row r="6865" spans="14:20" x14ac:dyDescent="0.25">
      <c r="N6865" s="514"/>
      <c r="R6865" s="293"/>
      <c r="S6865" s="316"/>
      <c r="T6865" s="355"/>
    </row>
    <row r="6866" spans="14:20" x14ac:dyDescent="0.25">
      <c r="N6866" s="514"/>
      <c r="R6866" s="293"/>
      <c r="S6866" s="316"/>
      <c r="T6866" s="355"/>
    </row>
    <row r="6867" spans="14:20" x14ac:dyDescent="0.25">
      <c r="N6867" s="514"/>
      <c r="R6867" s="293"/>
      <c r="S6867" s="316"/>
      <c r="T6867" s="355"/>
    </row>
    <row r="6868" spans="14:20" x14ac:dyDescent="0.25">
      <c r="N6868" s="514"/>
      <c r="R6868" s="293"/>
      <c r="S6868" s="316"/>
      <c r="T6868" s="355"/>
    </row>
    <row r="6869" spans="14:20" x14ac:dyDescent="0.25">
      <c r="N6869" s="514"/>
      <c r="R6869" s="293"/>
      <c r="S6869" s="316"/>
      <c r="T6869" s="355"/>
    </row>
    <row r="6870" spans="14:20" x14ac:dyDescent="0.25">
      <c r="N6870" s="514"/>
      <c r="R6870" s="293"/>
      <c r="S6870" s="316"/>
      <c r="T6870" s="355"/>
    </row>
    <row r="6871" spans="14:20" x14ac:dyDescent="0.25">
      <c r="N6871" s="514"/>
      <c r="R6871" s="293"/>
      <c r="S6871" s="316"/>
      <c r="T6871" s="355"/>
    </row>
    <row r="6872" spans="14:20" x14ac:dyDescent="0.25">
      <c r="N6872" s="514"/>
      <c r="R6872" s="293"/>
      <c r="S6872" s="316"/>
      <c r="T6872" s="355"/>
    </row>
    <row r="6873" spans="14:20" x14ac:dyDescent="0.25">
      <c r="N6873" s="514"/>
      <c r="R6873" s="293"/>
      <c r="S6873" s="316"/>
      <c r="T6873" s="355"/>
    </row>
    <row r="6874" spans="14:20" x14ac:dyDescent="0.25">
      <c r="N6874" s="514"/>
      <c r="R6874" s="293"/>
      <c r="S6874" s="316"/>
      <c r="T6874" s="355"/>
    </row>
    <row r="6875" spans="14:20" x14ac:dyDescent="0.25">
      <c r="N6875" s="514"/>
      <c r="R6875" s="293"/>
      <c r="S6875" s="316"/>
      <c r="T6875" s="355"/>
    </row>
    <row r="6876" spans="14:20" x14ac:dyDescent="0.25">
      <c r="N6876" s="514"/>
      <c r="R6876" s="293"/>
      <c r="S6876" s="316"/>
      <c r="T6876" s="355"/>
    </row>
    <row r="6877" spans="14:20" x14ac:dyDescent="0.25">
      <c r="N6877" s="514"/>
      <c r="R6877" s="293"/>
      <c r="S6877" s="316"/>
      <c r="T6877" s="355"/>
    </row>
    <row r="6878" spans="14:20" x14ac:dyDescent="0.25">
      <c r="N6878" s="514"/>
      <c r="R6878" s="293"/>
      <c r="S6878" s="316"/>
      <c r="T6878" s="355"/>
    </row>
    <row r="6879" spans="14:20" x14ac:dyDescent="0.25">
      <c r="N6879" s="514"/>
      <c r="R6879" s="293"/>
      <c r="S6879" s="316"/>
      <c r="T6879" s="355"/>
    </row>
    <row r="6880" spans="14:20" x14ac:dyDescent="0.25">
      <c r="N6880" s="514"/>
      <c r="R6880" s="293"/>
      <c r="S6880" s="316"/>
      <c r="T6880" s="355"/>
    </row>
    <row r="6881" spans="14:20" x14ac:dyDescent="0.25">
      <c r="N6881" s="514"/>
      <c r="R6881" s="293"/>
      <c r="S6881" s="316"/>
      <c r="T6881" s="355"/>
    </row>
    <row r="6882" spans="14:20" x14ac:dyDescent="0.25">
      <c r="N6882" s="514"/>
      <c r="R6882" s="293"/>
      <c r="S6882" s="316"/>
      <c r="T6882" s="355"/>
    </row>
    <row r="6883" spans="14:20" x14ac:dyDescent="0.25">
      <c r="N6883" s="514"/>
      <c r="R6883" s="293"/>
      <c r="S6883" s="316"/>
      <c r="T6883" s="355"/>
    </row>
    <row r="6884" spans="14:20" x14ac:dyDescent="0.25">
      <c r="N6884" s="514"/>
      <c r="R6884" s="293"/>
      <c r="S6884" s="316"/>
      <c r="T6884" s="355"/>
    </row>
    <row r="6885" spans="14:20" x14ac:dyDescent="0.25">
      <c r="N6885" s="514"/>
      <c r="R6885" s="293"/>
      <c r="S6885" s="316"/>
      <c r="T6885" s="355"/>
    </row>
    <row r="6886" spans="14:20" x14ac:dyDescent="0.25">
      <c r="N6886" s="514"/>
      <c r="R6886" s="293"/>
      <c r="S6886" s="316"/>
      <c r="T6886" s="355"/>
    </row>
    <row r="6887" spans="14:20" x14ac:dyDescent="0.25">
      <c r="N6887" s="514"/>
      <c r="R6887" s="293"/>
      <c r="S6887" s="316"/>
      <c r="T6887" s="355"/>
    </row>
    <row r="6888" spans="14:20" x14ac:dyDescent="0.25">
      <c r="N6888" s="514"/>
      <c r="R6888" s="293"/>
      <c r="S6888" s="316"/>
      <c r="T6888" s="355"/>
    </row>
    <row r="6889" spans="14:20" x14ac:dyDescent="0.25">
      <c r="N6889" s="514"/>
      <c r="R6889" s="293"/>
      <c r="S6889" s="316"/>
      <c r="T6889" s="355"/>
    </row>
    <row r="6890" spans="14:20" x14ac:dyDescent="0.25">
      <c r="N6890" s="514"/>
      <c r="R6890" s="293"/>
      <c r="S6890" s="316"/>
      <c r="T6890" s="355"/>
    </row>
    <row r="6891" spans="14:20" x14ac:dyDescent="0.25">
      <c r="N6891" s="514"/>
      <c r="R6891" s="293"/>
      <c r="S6891" s="316"/>
      <c r="T6891" s="355"/>
    </row>
    <row r="6892" spans="14:20" x14ac:dyDescent="0.25">
      <c r="N6892" s="514"/>
      <c r="R6892" s="293"/>
      <c r="S6892" s="316"/>
      <c r="T6892" s="355"/>
    </row>
    <row r="6893" spans="14:20" x14ac:dyDescent="0.25">
      <c r="N6893" s="514"/>
      <c r="R6893" s="293"/>
      <c r="S6893" s="316"/>
      <c r="T6893" s="355"/>
    </row>
    <row r="6894" spans="14:20" x14ac:dyDescent="0.25">
      <c r="N6894" s="514"/>
      <c r="R6894" s="293"/>
      <c r="S6894" s="316"/>
      <c r="T6894" s="355"/>
    </row>
    <row r="6895" spans="14:20" x14ac:dyDescent="0.25">
      <c r="N6895" s="514"/>
      <c r="R6895" s="293"/>
      <c r="S6895" s="316"/>
      <c r="T6895" s="355"/>
    </row>
    <row r="6896" spans="14:20" x14ac:dyDescent="0.25">
      <c r="N6896" s="514"/>
      <c r="R6896" s="293"/>
      <c r="S6896" s="316"/>
      <c r="T6896" s="355"/>
    </row>
    <row r="6897" spans="14:20" x14ac:dyDescent="0.25">
      <c r="N6897" s="514"/>
      <c r="R6897" s="293"/>
      <c r="S6897" s="316"/>
      <c r="T6897" s="355"/>
    </row>
    <row r="6898" spans="14:20" x14ac:dyDescent="0.25">
      <c r="N6898" s="514"/>
      <c r="R6898" s="293"/>
      <c r="S6898" s="316"/>
      <c r="T6898" s="355"/>
    </row>
    <row r="6899" spans="14:20" x14ac:dyDescent="0.25">
      <c r="N6899" s="514"/>
      <c r="R6899" s="293"/>
      <c r="S6899" s="316"/>
      <c r="T6899" s="355"/>
    </row>
    <row r="6900" spans="14:20" x14ac:dyDescent="0.25">
      <c r="N6900" s="514"/>
      <c r="R6900" s="293"/>
      <c r="S6900" s="316"/>
      <c r="T6900" s="355"/>
    </row>
    <row r="6901" spans="14:20" x14ac:dyDescent="0.25">
      <c r="N6901" s="514"/>
      <c r="R6901" s="293"/>
      <c r="S6901" s="316"/>
      <c r="T6901" s="355"/>
    </row>
    <row r="6902" spans="14:20" x14ac:dyDescent="0.25">
      <c r="N6902" s="514"/>
      <c r="R6902" s="293"/>
      <c r="S6902" s="316"/>
      <c r="T6902" s="355"/>
    </row>
    <row r="6903" spans="14:20" x14ac:dyDescent="0.25">
      <c r="N6903" s="514"/>
      <c r="R6903" s="293"/>
      <c r="S6903" s="316"/>
      <c r="T6903" s="355"/>
    </row>
    <row r="6904" spans="14:20" x14ac:dyDescent="0.25">
      <c r="N6904" s="514"/>
      <c r="R6904" s="293"/>
      <c r="S6904" s="316"/>
      <c r="T6904" s="355"/>
    </row>
    <row r="6905" spans="14:20" x14ac:dyDescent="0.25">
      <c r="N6905" s="514"/>
      <c r="R6905" s="293"/>
      <c r="S6905" s="316"/>
      <c r="T6905" s="355"/>
    </row>
    <row r="6906" spans="14:20" x14ac:dyDescent="0.25">
      <c r="N6906" s="514"/>
      <c r="R6906" s="293"/>
      <c r="S6906" s="316"/>
      <c r="T6906" s="355"/>
    </row>
    <row r="6907" spans="14:20" x14ac:dyDescent="0.25">
      <c r="N6907" s="514"/>
      <c r="R6907" s="293"/>
      <c r="S6907" s="316"/>
      <c r="T6907" s="355"/>
    </row>
    <row r="6908" spans="14:20" x14ac:dyDescent="0.25">
      <c r="N6908" s="514"/>
      <c r="R6908" s="293"/>
      <c r="S6908" s="316"/>
      <c r="T6908" s="355"/>
    </row>
    <row r="6909" spans="14:20" x14ac:dyDescent="0.25">
      <c r="N6909" s="514"/>
      <c r="R6909" s="293"/>
      <c r="S6909" s="316"/>
      <c r="T6909" s="355"/>
    </row>
    <row r="6910" spans="14:20" x14ac:dyDescent="0.25">
      <c r="N6910" s="514"/>
      <c r="R6910" s="293"/>
      <c r="S6910" s="316"/>
      <c r="T6910" s="355"/>
    </row>
    <row r="6911" spans="14:20" x14ac:dyDescent="0.25">
      <c r="N6911" s="514"/>
      <c r="R6911" s="293"/>
      <c r="S6911" s="316"/>
      <c r="T6911" s="355"/>
    </row>
    <row r="6912" spans="14:20" x14ac:dyDescent="0.25">
      <c r="N6912" s="514"/>
      <c r="R6912" s="293"/>
      <c r="S6912" s="316"/>
      <c r="T6912" s="355"/>
    </row>
    <row r="6913" spans="14:20" x14ac:dyDescent="0.25">
      <c r="N6913" s="514"/>
      <c r="R6913" s="293"/>
      <c r="S6913" s="316"/>
      <c r="T6913" s="355"/>
    </row>
    <row r="6914" spans="14:20" x14ac:dyDescent="0.25">
      <c r="N6914" s="514"/>
      <c r="R6914" s="293"/>
      <c r="S6914" s="316"/>
      <c r="T6914" s="355"/>
    </row>
    <row r="6915" spans="14:20" x14ac:dyDescent="0.25">
      <c r="N6915" s="514"/>
      <c r="R6915" s="293"/>
      <c r="S6915" s="316"/>
      <c r="T6915" s="355"/>
    </row>
    <row r="6916" spans="14:20" x14ac:dyDescent="0.25">
      <c r="N6916" s="514"/>
      <c r="R6916" s="293"/>
      <c r="S6916" s="316"/>
      <c r="T6916" s="355"/>
    </row>
    <row r="6917" spans="14:20" x14ac:dyDescent="0.25">
      <c r="N6917" s="514"/>
      <c r="R6917" s="293"/>
      <c r="S6917" s="316"/>
      <c r="T6917" s="355"/>
    </row>
    <row r="6918" spans="14:20" x14ac:dyDescent="0.25">
      <c r="N6918" s="514"/>
      <c r="R6918" s="293"/>
      <c r="S6918" s="316"/>
      <c r="T6918" s="355"/>
    </row>
    <row r="6919" spans="14:20" x14ac:dyDescent="0.25">
      <c r="N6919" s="514"/>
      <c r="R6919" s="293"/>
      <c r="S6919" s="316"/>
      <c r="T6919" s="355"/>
    </row>
    <row r="6920" spans="14:20" x14ac:dyDescent="0.25">
      <c r="N6920" s="514"/>
      <c r="R6920" s="293"/>
      <c r="S6920" s="316"/>
      <c r="T6920" s="355"/>
    </row>
    <row r="6921" spans="14:20" x14ac:dyDescent="0.25">
      <c r="N6921" s="514"/>
      <c r="R6921" s="293"/>
      <c r="S6921" s="316"/>
      <c r="T6921" s="355"/>
    </row>
    <row r="6922" spans="14:20" x14ac:dyDescent="0.25">
      <c r="N6922" s="514"/>
      <c r="R6922" s="293"/>
      <c r="S6922" s="316"/>
      <c r="T6922" s="355"/>
    </row>
    <row r="6923" spans="14:20" x14ac:dyDescent="0.25">
      <c r="N6923" s="514"/>
      <c r="R6923" s="293"/>
      <c r="S6923" s="316"/>
      <c r="T6923" s="355"/>
    </row>
    <row r="6924" spans="14:20" x14ac:dyDescent="0.25">
      <c r="N6924" s="514"/>
      <c r="R6924" s="293"/>
      <c r="S6924" s="316"/>
      <c r="T6924" s="355"/>
    </row>
    <row r="6925" spans="14:20" x14ac:dyDescent="0.25">
      <c r="N6925" s="514"/>
      <c r="R6925" s="293"/>
      <c r="S6925" s="316"/>
      <c r="T6925" s="355"/>
    </row>
    <row r="6926" spans="14:20" x14ac:dyDescent="0.25">
      <c r="N6926" s="514"/>
      <c r="R6926" s="293"/>
      <c r="S6926" s="316"/>
      <c r="T6926" s="355"/>
    </row>
    <row r="6927" spans="14:20" x14ac:dyDescent="0.25">
      <c r="N6927" s="514"/>
      <c r="R6927" s="293"/>
      <c r="S6927" s="316"/>
      <c r="T6927" s="355"/>
    </row>
    <row r="6928" spans="14:20" x14ac:dyDescent="0.25">
      <c r="N6928" s="514"/>
      <c r="R6928" s="293"/>
      <c r="S6928" s="316"/>
      <c r="T6928" s="355"/>
    </row>
    <row r="6929" spans="14:20" x14ac:dyDescent="0.25">
      <c r="N6929" s="514"/>
      <c r="R6929" s="293"/>
      <c r="S6929" s="316"/>
      <c r="T6929" s="355"/>
    </row>
    <row r="6930" spans="14:20" x14ac:dyDescent="0.25">
      <c r="N6930" s="514"/>
      <c r="R6930" s="293"/>
      <c r="S6930" s="316"/>
      <c r="T6930" s="355"/>
    </row>
    <row r="6931" spans="14:20" x14ac:dyDescent="0.25">
      <c r="N6931" s="514"/>
      <c r="R6931" s="293"/>
      <c r="S6931" s="316"/>
      <c r="T6931" s="355"/>
    </row>
    <row r="6932" spans="14:20" x14ac:dyDescent="0.25">
      <c r="N6932" s="514"/>
      <c r="R6932" s="293"/>
      <c r="S6932" s="316"/>
      <c r="T6932" s="355"/>
    </row>
    <row r="6933" spans="14:20" x14ac:dyDescent="0.25">
      <c r="N6933" s="514"/>
      <c r="R6933" s="293"/>
      <c r="S6933" s="316"/>
      <c r="T6933" s="355"/>
    </row>
    <row r="6934" spans="14:20" x14ac:dyDescent="0.25">
      <c r="N6934" s="514"/>
      <c r="R6934" s="293"/>
      <c r="S6934" s="316"/>
      <c r="T6934" s="355"/>
    </row>
    <row r="6935" spans="14:20" x14ac:dyDescent="0.25">
      <c r="N6935" s="514"/>
      <c r="R6935" s="293"/>
      <c r="S6935" s="316"/>
      <c r="T6935" s="355"/>
    </row>
    <row r="6936" spans="14:20" x14ac:dyDescent="0.25">
      <c r="N6936" s="514"/>
      <c r="R6936" s="293"/>
      <c r="S6936" s="316"/>
      <c r="T6936" s="355"/>
    </row>
    <row r="6937" spans="14:20" x14ac:dyDescent="0.25">
      <c r="N6937" s="514"/>
      <c r="R6937" s="293"/>
      <c r="S6937" s="316"/>
      <c r="T6937" s="355"/>
    </row>
    <row r="6938" spans="14:20" x14ac:dyDescent="0.25">
      <c r="N6938" s="514"/>
      <c r="R6938" s="293"/>
      <c r="S6938" s="316"/>
      <c r="T6938" s="355"/>
    </row>
    <row r="6939" spans="14:20" x14ac:dyDescent="0.25">
      <c r="N6939" s="514"/>
      <c r="R6939" s="293"/>
      <c r="S6939" s="316"/>
      <c r="T6939" s="355"/>
    </row>
    <row r="6940" spans="14:20" x14ac:dyDescent="0.25">
      <c r="N6940" s="514"/>
      <c r="R6940" s="293"/>
      <c r="S6940" s="316"/>
      <c r="T6940" s="355"/>
    </row>
    <row r="6941" spans="14:20" x14ac:dyDescent="0.25">
      <c r="N6941" s="514"/>
      <c r="R6941" s="293"/>
      <c r="S6941" s="316"/>
      <c r="T6941" s="355"/>
    </row>
    <row r="6942" spans="14:20" x14ac:dyDescent="0.25">
      <c r="N6942" s="514"/>
      <c r="R6942" s="293"/>
      <c r="S6942" s="316"/>
      <c r="T6942" s="355"/>
    </row>
    <row r="6943" spans="14:20" x14ac:dyDescent="0.25">
      <c r="N6943" s="514"/>
      <c r="R6943" s="293"/>
      <c r="S6943" s="316"/>
      <c r="T6943" s="355"/>
    </row>
    <row r="6944" spans="14:20" x14ac:dyDescent="0.25">
      <c r="N6944" s="514"/>
      <c r="R6944" s="293"/>
      <c r="S6944" s="316"/>
      <c r="T6944" s="355"/>
    </row>
    <row r="6945" spans="14:20" x14ac:dyDescent="0.25">
      <c r="N6945" s="514"/>
      <c r="R6945" s="293"/>
      <c r="S6945" s="316"/>
      <c r="T6945" s="355"/>
    </row>
    <row r="6946" spans="14:20" x14ac:dyDescent="0.25">
      <c r="N6946" s="514"/>
      <c r="R6946" s="293"/>
      <c r="S6946" s="316"/>
      <c r="T6946" s="355"/>
    </row>
    <row r="6947" spans="14:20" x14ac:dyDescent="0.25">
      <c r="N6947" s="514"/>
      <c r="R6947" s="293"/>
      <c r="S6947" s="316"/>
      <c r="T6947" s="355"/>
    </row>
    <row r="6948" spans="14:20" x14ac:dyDescent="0.25">
      <c r="N6948" s="514"/>
      <c r="R6948" s="293"/>
      <c r="S6948" s="316"/>
      <c r="T6948" s="355"/>
    </row>
    <row r="6949" spans="14:20" x14ac:dyDescent="0.25">
      <c r="N6949" s="514"/>
      <c r="R6949" s="293"/>
      <c r="S6949" s="316"/>
      <c r="T6949" s="355"/>
    </row>
    <row r="6950" spans="14:20" x14ac:dyDescent="0.25">
      <c r="N6950" s="514"/>
      <c r="R6950" s="293"/>
      <c r="S6950" s="316"/>
      <c r="T6950" s="355"/>
    </row>
    <row r="6951" spans="14:20" x14ac:dyDescent="0.25">
      <c r="N6951" s="514"/>
      <c r="R6951" s="293"/>
      <c r="S6951" s="316"/>
      <c r="T6951" s="355"/>
    </row>
    <row r="6952" spans="14:20" x14ac:dyDescent="0.25">
      <c r="N6952" s="514"/>
      <c r="R6952" s="293"/>
      <c r="S6952" s="316"/>
      <c r="T6952" s="355"/>
    </row>
    <row r="6953" spans="14:20" x14ac:dyDescent="0.25">
      <c r="N6953" s="514"/>
      <c r="R6953" s="293"/>
      <c r="S6953" s="316"/>
      <c r="T6953" s="355"/>
    </row>
    <row r="6954" spans="14:20" x14ac:dyDescent="0.25">
      <c r="N6954" s="514"/>
      <c r="R6954" s="293"/>
      <c r="S6954" s="316"/>
      <c r="T6954" s="355"/>
    </row>
    <row r="6955" spans="14:20" x14ac:dyDescent="0.25">
      <c r="N6955" s="514"/>
      <c r="R6955" s="293"/>
      <c r="S6955" s="316"/>
      <c r="T6955" s="355"/>
    </row>
    <row r="6956" spans="14:20" x14ac:dyDescent="0.25">
      <c r="N6956" s="514"/>
      <c r="R6956" s="293"/>
      <c r="S6956" s="316"/>
      <c r="T6956" s="355"/>
    </row>
    <row r="6957" spans="14:20" x14ac:dyDescent="0.25">
      <c r="N6957" s="514"/>
      <c r="R6957" s="293"/>
      <c r="S6957" s="316"/>
      <c r="T6957" s="355"/>
    </row>
    <row r="6958" spans="14:20" x14ac:dyDescent="0.25">
      <c r="N6958" s="514"/>
      <c r="R6958" s="293"/>
      <c r="S6958" s="316"/>
      <c r="T6958" s="355"/>
    </row>
    <row r="6959" spans="14:20" x14ac:dyDescent="0.25">
      <c r="N6959" s="514"/>
      <c r="R6959" s="293"/>
      <c r="S6959" s="316"/>
      <c r="T6959" s="355"/>
    </row>
    <row r="6960" spans="14:20" x14ac:dyDescent="0.25">
      <c r="N6960" s="514"/>
      <c r="R6960" s="293"/>
      <c r="S6960" s="316"/>
      <c r="T6960" s="355"/>
    </row>
    <row r="6961" spans="14:20" x14ac:dyDescent="0.25">
      <c r="N6961" s="514"/>
      <c r="R6961" s="293"/>
      <c r="S6961" s="316"/>
      <c r="T6961" s="355"/>
    </row>
    <row r="6962" spans="14:20" x14ac:dyDescent="0.25">
      <c r="N6962" s="514"/>
      <c r="R6962" s="293"/>
      <c r="S6962" s="316"/>
      <c r="T6962" s="355"/>
    </row>
    <row r="6963" spans="14:20" x14ac:dyDescent="0.25">
      <c r="N6963" s="514"/>
      <c r="R6963" s="293"/>
      <c r="S6963" s="316"/>
      <c r="T6963" s="355"/>
    </row>
    <row r="6964" spans="14:20" x14ac:dyDescent="0.25">
      <c r="N6964" s="514"/>
      <c r="R6964" s="293"/>
      <c r="S6964" s="316"/>
      <c r="T6964" s="355"/>
    </row>
    <row r="6965" spans="14:20" x14ac:dyDescent="0.25">
      <c r="N6965" s="514"/>
      <c r="R6965" s="293"/>
      <c r="S6965" s="316"/>
      <c r="T6965" s="355"/>
    </row>
    <row r="6966" spans="14:20" x14ac:dyDescent="0.25">
      <c r="N6966" s="514"/>
      <c r="R6966" s="293"/>
      <c r="S6966" s="316"/>
      <c r="T6966" s="355"/>
    </row>
    <row r="6967" spans="14:20" x14ac:dyDescent="0.25">
      <c r="N6967" s="514"/>
      <c r="R6967" s="293"/>
      <c r="S6967" s="316"/>
      <c r="T6967" s="355"/>
    </row>
    <row r="6968" spans="14:20" x14ac:dyDescent="0.25">
      <c r="N6968" s="514"/>
      <c r="R6968" s="293"/>
      <c r="S6968" s="316"/>
      <c r="T6968" s="355"/>
    </row>
    <row r="6969" spans="14:20" x14ac:dyDescent="0.25">
      <c r="N6969" s="514"/>
      <c r="R6969" s="293"/>
      <c r="S6969" s="316"/>
      <c r="T6969" s="355"/>
    </row>
    <row r="6970" spans="14:20" x14ac:dyDescent="0.25">
      <c r="N6970" s="514"/>
      <c r="R6970" s="293"/>
      <c r="S6970" s="316"/>
      <c r="T6970" s="355"/>
    </row>
    <row r="6971" spans="14:20" x14ac:dyDescent="0.25">
      <c r="N6971" s="514"/>
      <c r="R6971" s="293"/>
      <c r="S6971" s="316"/>
      <c r="T6971" s="355"/>
    </row>
    <row r="6972" spans="14:20" x14ac:dyDescent="0.25">
      <c r="N6972" s="514"/>
      <c r="R6972" s="293"/>
      <c r="S6972" s="316"/>
      <c r="T6972" s="355"/>
    </row>
    <row r="6973" spans="14:20" x14ac:dyDescent="0.25">
      <c r="N6973" s="514"/>
      <c r="R6973" s="293"/>
      <c r="S6973" s="316"/>
      <c r="T6973" s="355"/>
    </row>
    <row r="6974" spans="14:20" x14ac:dyDescent="0.25">
      <c r="N6974" s="514"/>
      <c r="R6974" s="293"/>
      <c r="S6974" s="316"/>
      <c r="T6974" s="355"/>
    </row>
    <row r="6975" spans="14:20" x14ac:dyDescent="0.25">
      <c r="N6975" s="514"/>
      <c r="R6975" s="293"/>
      <c r="S6975" s="316"/>
      <c r="T6975" s="355"/>
    </row>
    <row r="6976" spans="14:20" x14ac:dyDescent="0.25">
      <c r="N6976" s="514"/>
      <c r="R6976" s="293"/>
      <c r="S6976" s="316"/>
      <c r="T6976" s="355"/>
    </row>
    <row r="6977" spans="14:20" x14ac:dyDescent="0.25">
      <c r="N6977" s="514"/>
      <c r="R6977" s="293"/>
      <c r="S6977" s="316"/>
      <c r="T6977" s="355"/>
    </row>
    <row r="6978" spans="14:20" x14ac:dyDescent="0.25">
      <c r="N6978" s="514"/>
      <c r="R6978" s="293"/>
      <c r="S6978" s="316"/>
      <c r="T6978" s="355"/>
    </row>
    <row r="6979" spans="14:20" x14ac:dyDescent="0.25">
      <c r="N6979" s="514"/>
      <c r="R6979" s="293"/>
      <c r="S6979" s="316"/>
      <c r="T6979" s="355"/>
    </row>
    <row r="6980" spans="14:20" x14ac:dyDescent="0.25">
      <c r="N6980" s="514"/>
      <c r="R6980" s="293"/>
      <c r="S6980" s="316"/>
      <c r="T6980" s="355"/>
    </row>
    <row r="6981" spans="14:20" x14ac:dyDescent="0.25">
      <c r="N6981" s="514"/>
      <c r="R6981" s="293"/>
      <c r="S6981" s="316"/>
      <c r="T6981" s="355"/>
    </row>
    <row r="6982" spans="14:20" x14ac:dyDescent="0.25">
      <c r="N6982" s="514"/>
      <c r="R6982" s="293"/>
      <c r="S6982" s="316"/>
      <c r="T6982" s="355"/>
    </row>
    <row r="6983" spans="14:20" x14ac:dyDescent="0.25">
      <c r="N6983" s="514"/>
      <c r="R6983" s="293"/>
      <c r="S6983" s="316"/>
      <c r="T6983" s="355"/>
    </row>
    <row r="6984" spans="14:20" x14ac:dyDescent="0.25">
      <c r="N6984" s="514"/>
      <c r="R6984" s="293"/>
      <c r="S6984" s="316"/>
      <c r="T6984" s="355"/>
    </row>
    <row r="6985" spans="14:20" x14ac:dyDescent="0.25">
      <c r="N6985" s="514"/>
      <c r="R6985" s="293"/>
      <c r="S6985" s="316"/>
      <c r="T6985" s="355"/>
    </row>
    <row r="6986" spans="14:20" x14ac:dyDescent="0.25">
      <c r="N6986" s="514"/>
      <c r="R6986" s="293"/>
      <c r="S6986" s="316"/>
      <c r="T6986" s="355"/>
    </row>
    <row r="6987" spans="14:20" x14ac:dyDescent="0.25">
      <c r="N6987" s="514"/>
      <c r="R6987" s="293"/>
      <c r="S6987" s="316"/>
      <c r="T6987" s="355"/>
    </row>
    <row r="6988" spans="14:20" x14ac:dyDescent="0.25">
      <c r="N6988" s="514"/>
      <c r="R6988" s="293"/>
      <c r="S6988" s="316"/>
      <c r="T6988" s="355"/>
    </row>
    <row r="6989" spans="14:20" x14ac:dyDescent="0.25">
      <c r="N6989" s="514"/>
      <c r="R6989" s="293"/>
      <c r="S6989" s="316"/>
      <c r="T6989" s="355"/>
    </row>
    <row r="6990" spans="14:20" x14ac:dyDescent="0.25">
      <c r="N6990" s="514"/>
      <c r="R6990" s="293"/>
      <c r="S6990" s="316"/>
      <c r="T6990" s="355"/>
    </row>
    <row r="6991" spans="14:20" x14ac:dyDescent="0.25">
      <c r="N6991" s="514"/>
      <c r="R6991" s="293"/>
      <c r="S6991" s="316"/>
      <c r="T6991" s="355"/>
    </row>
    <row r="6992" spans="14:20" x14ac:dyDescent="0.25">
      <c r="N6992" s="514"/>
      <c r="R6992" s="293"/>
      <c r="S6992" s="316"/>
      <c r="T6992" s="355"/>
    </row>
    <row r="6993" spans="14:20" x14ac:dyDescent="0.25">
      <c r="N6993" s="514"/>
      <c r="R6993" s="293"/>
      <c r="S6993" s="316"/>
      <c r="T6993" s="355"/>
    </row>
    <row r="6994" spans="14:20" x14ac:dyDescent="0.25">
      <c r="N6994" s="514"/>
      <c r="R6994" s="293"/>
      <c r="S6994" s="316"/>
      <c r="T6994" s="355"/>
    </row>
    <row r="6995" spans="14:20" x14ac:dyDescent="0.25">
      <c r="N6995" s="514"/>
      <c r="R6995" s="293"/>
      <c r="S6995" s="316"/>
      <c r="T6995" s="355"/>
    </row>
    <row r="6996" spans="14:20" x14ac:dyDescent="0.25">
      <c r="N6996" s="514"/>
      <c r="R6996" s="293"/>
      <c r="S6996" s="316"/>
      <c r="T6996" s="355"/>
    </row>
    <row r="6997" spans="14:20" x14ac:dyDescent="0.25">
      <c r="N6997" s="514"/>
      <c r="R6997" s="293"/>
      <c r="S6997" s="316"/>
      <c r="T6997" s="355"/>
    </row>
    <row r="6998" spans="14:20" x14ac:dyDescent="0.25">
      <c r="N6998" s="514"/>
      <c r="R6998" s="293"/>
      <c r="S6998" s="316"/>
      <c r="T6998" s="355"/>
    </row>
    <row r="6999" spans="14:20" x14ac:dyDescent="0.25">
      <c r="N6999" s="514"/>
      <c r="R6999" s="293"/>
      <c r="S6999" s="316"/>
      <c r="T6999" s="355"/>
    </row>
    <row r="7000" spans="14:20" x14ac:dyDescent="0.25">
      <c r="N7000" s="514"/>
      <c r="R7000" s="293"/>
      <c r="S7000" s="316"/>
      <c r="T7000" s="355"/>
    </row>
    <row r="7001" spans="14:20" x14ac:dyDescent="0.25">
      <c r="N7001" s="514"/>
      <c r="R7001" s="293"/>
      <c r="S7001" s="316"/>
      <c r="T7001" s="355"/>
    </row>
    <row r="7002" spans="14:20" x14ac:dyDescent="0.25">
      <c r="N7002" s="514"/>
      <c r="R7002" s="293"/>
      <c r="S7002" s="316"/>
      <c r="T7002" s="355"/>
    </row>
    <row r="7003" spans="14:20" x14ac:dyDescent="0.25">
      <c r="N7003" s="514"/>
      <c r="R7003" s="293"/>
      <c r="S7003" s="316"/>
      <c r="T7003" s="355"/>
    </row>
    <row r="7004" spans="14:20" x14ac:dyDescent="0.25">
      <c r="N7004" s="514"/>
      <c r="R7004" s="293"/>
      <c r="S7004" s="316"/>
      <c r="T7004" s="355"/>
    </row>
    <row r="7005" spans="14:20" x14ac:dyDescent="0.25">
      <c r="N7005" s="514"/>
      <c r="R7005" s="293"/>
      <c r="S7005" s="316"/>
      <c r="T7005" s="355"/>
    </row>
    <row r="7006" spans="14:20" x14ac:dyDescent="0.25">
      <c r="N7006" s="514"/>
      <c r="R7006" s="293"/>
      <c r="S7006" s="316"/>
      <c r="T7006" s="355"/>
    </row>
    <row r="7007" spans="14:20" x14ac:dyDescent="0.25">
      <c r="N7007" s="514"/>
      <c r="R7007" s="293"/>
      <c r="S7007" s="316"/>
      <c r="T7007" s="355"/>
    </row>
    <row r="7008" spans="14:20" x14ac:dyDescent="0.25">
      <c r="N7008" s="514"/>
      <c r="R7008" s="293"/>
      <c r="S7008" s="316"/>
      <c r="T7008" s="355"/>
    </row>
    <row r="7009" spans="14:20" x14ac:dyDescent="0.25">
      <c r="N7009" s="514"/>
      <c r="R7009" s="293"/>
      <c r="S7009" s="316"/>
      <c r="T7009" s="355"/>
    </row>
    <row r="7010" spans="14:20" x14ac:dyDescent="0.25">
      <c r="N7010" s="514"/>
      <c r="R7010" s="293"/>
      <c r="S7010" s="316"/>
      <c r="T7010" s="355"/>
    </row>
    <row r="7011" spans="14:20" x14ac:dyDescent="0.25">
      <c r="N7011" s="514"/>
      <c r="R7011" s="293"/>
      <c r="S7011" s="316"/>
      <c r="T7011" s="355"/>
    </row>
    <row r="7012" spans="14:20" x14ac:dyDescent="0.25">
      <c r="N7012" s="514"/>
      <c r="R7012" s="293"/>
      <c r="S7012" s="316"/>
      <c r="T7012" s="355"/>
    </row>
    <row r="7013" spans="14:20" x14ac:dyDescent="0.25">
      <c r="N7013" s="514"/>
      <c r="R7013" s="293"/>
      <c r="S7013" s="316"/>
      <c r="T7013" s="355"/>
    </row>
    <row r="7014" spans="14:20" x14ac:dyDescent="0.25">
      <c r="N7014" s="514"/>
      <c r="R7014" s="293"/>
      <c r="S7014" s="316"/>
      <c r="T7014" s="355"/>
    </row>
    <row r="7015" spans="14:20" x14ac:dyDescent="0.25">
      <c r="N7015" s="514"/>
      <c r="R7015" s="293"/>
      <c r="S7015" s="316"/>
      <c r="T7015" s="355"/>
    </row>
    <row r="7016" spans="14:20" x14ac:dyDescent="0.25">
      <c r="N7016" s="514"/>
      <c r="R7016" s="293"/>
      <c r="S7016" s="316"/>
      <c r="T7016" s="355"/>
    </row>
    <row r="7017" spans="14:20" x14ac:dyDescent="0.25">
      <c r="N7017" s="514"/>
      <c r="R7017" s="293"/>
      <c r="S7017" s="316"/>
      <c r="T7017" s="355"/>
    </row>
    <row r="7018" spans="14:20" x14ac:dyDescent="0.25">
      <c r="N7018" s="514"/>
      <c r="R7018" s="293"/>
      <c r="S7018" s="316"/>
      <c r="T7018" s="355"/>
    </row>
    <row r="7019" spans="14:20" x14ac:dyDescent="0.25">
      <c r="N7019" s="514"/>
      <c r="R7019" s="293"/>
      <c r="S7019" s="316"/>
      <c r="T7019" s="355"/>
    </row>
    <row r="7020" spans="14:20" x14ac:dyDescent="0.25">
      <c r="N7020" s="514"/>
      <c r="R7020" s="293"/>
      <c r="S7020" s="316"/>
      <c r="T7020" s="355"/>
    </row>
    <row r="7021" spans="14:20" x14ac:dyDescent="0.25">
      <c r="N7021" s="514"/>
      <c r="R7021" s="293"/>
      <c r="S7021" s="316"/>
      <c r="T7021" s="355"/>
    </row>
    <row r="7022" spans="14:20" x14ac:dyDescent="0.25">
      <c r="N7022" s="514"/>
      <c r="R7022" s="293"/>
      <c r="S7022" s="316"/>
      <c r="T7022" s="355"/>
    </row>
    <row r="7023" spans="14:20" x14ac:dyDescent="0.25">
      <c r="N7023" s="514"/>
      <c r="R7023" s="293"/>
      <c r="S7023" s="316"/>
      <c r="T7023" s="355"/>
    </row>
    <row r="7024" spans="14:20" x14ac:dyDescent="0.25">
      <c r="N7024" s="514"/>
      <c r="R7024" s="293"/>
      <c r="S7024" s="316"/>
      <c r="T7024" s="355"/>
    </row>
    <row r="7025" spans="14:20" x14ac:dyDescent="0.25">
      <c r="N7025" s="514"/>
      <c r="R7025" s="293"/>
      <c r="S7025" s="316"/>
      <c r="T7025" s="355"/>
    </row>
    <row r="7026" spans="14:20" x14ac:dyDescent="0.25">
      <c r="N7026" s="514"/>
      <c r="R7026" s="293"/>
      <c r="S7026" s="316"/>
      <c r="T7026" s="355"/>
    </row>
    <row r="7027" spans="14:20" x14ac:dyDescent="0.25">
      <c r="N7027" s="514"/>
      <c r="R7027" s="293"/>
      <c r="S7027" s="316"/>
      <c r="T7027" s="355"/>
    </row>
    <row r="7028" spans="14:20" x14ac:dyDescent="0.25">
      <c r="N7028" s="514"/>
      <c r="R7028" s="293"/>
      <c r="S7028" s="316"/>
      <c r="T7028" s="355"/>
    </row>
    <row r="7029" spans="14:20" x14ac:dyDescent="0.25">
      <c r="N7029" s="514"/>
      <c r="R7029" s="293"/>
      <c r="S7029" s="316"/>
      <c r="T7029" s="355"/>
    </row>
    <row r="7030" spans="14:20" x14ac:dyDescent="0.25">
      <c r="N7030" s="514"/>
      <c r="R7030" s="293"/>
      <c r="S7030" s="316"/>
      <c r="T7030" s="355"/>
    </row>
    <row r="7031" spans="14:20" x14ac:dyDescent="0.25">
      <c r="N7031" s="514"/>
      <c r="R7031" s="293"/>
      <c r="S7031" s="316"/>
      <c r="T7031" s="355"/>
    </row>
    <row r="7032" spans="14:20" x14ac:dyDescent="0.25">
      <c r="N7032" s="514"/>
      <c r="R7032" s="293"/>
      <c r="S7032" s="316"/>
      <c r="T7032" s="355"/>
    </row>
    <row r="7033" spans="14:20" x14ac:dyDescent="0.25">
      <c r="N7033" s="514"/>
      <c r="R7033" s="293"/>
      <c r="S7033" s="316"/>
      <c r="T7033" s="355"/>
    </row>
    <row r="7034" spans="14:20" x14ac:dyDescent="0.25">
      <c r="N7034" s="514"/>
      <c r="R7034" s="293"/>
      <c r="S7034" s="316"/>
      <c r="T7034" s="355"/>
    </row>
    <row r="7035" spans="14:20" x14ac:dyDescent="0.25">
      <c r="N7035" s="514"/>
      <c r="R7035" s="293"/>
      <c r="S7035" s="316"/>
      <c r="T7035" s="355"/>
    </row>
    <row r="7036" spans="14:20" x14ac:dyDescent="0.25">
      <c r="N7036" s="514"/>
      <c r="R7036" s="293"/>
      <c r="S7036" s="316"/>
      <c r="T7036" s="355"/>
    </row>
    <row r="7037" spans="14:20" x14ac:dyDescent="0.25">
      <c r="N7037" s="514"/>
      <c r="R7037" s="293"/>
      <c r="S7037" s="316"/>
      <c r="T7037" s="355"/>
    </row>
    <row r="7038" spans="14:20" x14ac:dyDescent="0.25">
      <c r="N7038" s="514"/>
      <c r="R7038" s="293"/>
      <c r="S7038" s="316"/>
      <c r="T7038" s="355"/>
    </row>
    <row r="7039" spans="14:20" x14ac:dyDescent="0.25">
      <c r="N7039" s="514"/>
      <c r="R7039" s="293"/>
      <c r="S7039" s="316"/>
      <c r="T7039" s="355"/>
    </row>
    <row r="7040" spans="14:20" x14ac:dyDescent="0.25">
      <c r="N7040" s="514"/>
      <c r="R7040" s="293"/>
      <c r="S7040" s="316"/>
      <c r="T7040" s="355"/>
    </row>
    <row r="7041" spans="14:20" x14ac:dyDescent="0.25">
      <c r="N7041" s="514"/>
      <c r="R7041" s="293"/>
      <c r="S7041" s="316"/>
      <c r="T7041" s="355"/>
    </row>
    <row r="7042" spans="14:20" x14ac:dyDescent="0.25">
      <c r="N7042" s="514"/>
      <c r="R7042" s="293"/>
      <c r="S7042" s="316"/>
      <c r="T7042" s="355"/>
    </row>
    <row r="7043" spans="14:20" x14ac:dyDescent="0.25">
      <c r="N7043" s="514"/>
      <c r="R7043" s="293"/>
      <c r="S7043" s="316"/>
      <c r="T7043" s="355"/>
    </row>
    <row r="7044" spans="14:20" x14ac:dyDescent="0.25">
      <c r="N7044" s="514"/>
      <c r="R7044" s="293"/>
      <c r="S7044" s="316"/>
      <c r="T7044" s="355"/>
    </row>
    <row r="7045" spans="14:20" x14ac:dyDescent="0.25">
      <c r="N7045" s="514"/>
      <c r="R7045" s="293"/>
      <c r="S7045" s="316"/>
      <c r="T7045" s="355"/>
    </row>
    <row r="7046" spans="14:20" x14ac:dyDescent="0.25">
      <c r="N7046" s="514"/>
      <c r="R7046" s="293"/>
      <c r="S7046" s="316"/>
      <c r="T7046" s="355"/>
    </row>
    <row r="7047" spans="14:20" x14ac:dyDescent="0.25">
      <c r="N7047" s="514"/>
      <c r="R7047" s="293"/>
      <c r="S7047" s="316"/>
      <c r="T7047" s="355"/>
    </row>
    <row r="7048" spans="14:20" x14ac:dyDescent="0.25">
      <c r="N7048" s="514"/>
      <c r="R7048" s="293"/>
      <c r="S7048" s="316"/>
      <c r="T7048" s="355"/>
    </row>
    <row r="7049" spans="14:20" x14ac:dyDescent="0.25">
      <c r="N7049" s="514"/>
      <c r="R7049" s="293"/>
      <c r="S7049" s="316"/>
      <c r="T7049" s="355"/>
    </row>
    <row r="7050" spans="14:20" x14ac:dyDescent="0.25">
      <c r="N7050" s="514"/>
      <c r="R7050" s="293"/>
      <c r="S7050" s="316"/>
      <c r="T7050" s="355"/>
    </row>
    <row r="7051" spans="14:20" x14ac:dyDescent="0.25">
      <c r="N7051" s="514"/>
      <c r="R7051" s="293"/>
      <c r="S7051" s="316"/>
      <c r="T7051" s="355"/>
    </row>
    <row r="7052" spans="14:20" x14ac:dyDescent="0.25">
      <c r="N7052" s="514"/>
      <c r="R7052" s="293"/>
      <c r="S7052" s="316"/>
      <c r="T7052" s="355"/>
    </row>
    <row r="7053" spans="14:20" x14ac:dyDescent="0.25">
      <c r="N7053" s="514"/>
      <c r="R7053" s="293"/>
      <c r="S7053" s="316"/>
      <c r="T7053" s="355"/>
    </row>
    <row r="7054" spans="14:20" x14ac:dyDescent="0.25">
      <c r="N7054" s="514"/>
      <c r="R7054" s="293"/>
      <c r="S7054" s="316"/>
      <c r="T7054" s="355"/>
    </row>
    <row r="7055" spans="14:20" x14ac:dyDescent="0.25">
      <c r="N7055" s="514"/>
      <c r="R7055" s="293"/>
      <c r="S7055" s="316"/>
      <c r="T7055" s="355"/>
    </row>
    <row r="7056" spans="14:20" x14ac:dyDescent="0.25">
      <c r="N7056" s="514"/>
      <c r="R7056" s="293"/>
      <c r="S7056" s="316"/>
      <c r="T7056" s="355"/>
    </row>
    <row r="7057" spans="14:20" x14ac:dyDescent="0.25">
      <c r="N7057" s="514"/>
      <c r="R7057" s="293"/>
      <c r="S7057" s="316"/>
      <c r="T7057" s="355"/>
    </row>
    <row r="7058" spans="14:20" x14ac:dyDescent="0.25">
      <c r="N7058" s="514"/>
      <c r="R7058" s="293"/>
      <c r="S7058" s="316"/>
      <c r="T7058" s="355"/>
    </row>
    <row r="7059" spans="14:20" x14ac:dyDescent="0.25">
      <c r="N7059" s="514"/>
      <c r="R7059" s="293"/>
      <c r="S7059" s="316"/>
      <c r="T7059" s="355"/>
    </row>
    <row r="7060" spans="14:20" x14ac:dyDescent="0.25">
      <c r="N7060" s="514"/>
      <c r="R7060" s="293"/>
      <c r="S7060" s="316"/>
      <c r="T7060" s="355"/>
    </row>
    <row r="7061" spans="14:20" x14ac:dyDescent="0.25">
      <c r="N7061" s="514"/>
      <c r="R7061" s="293"/>
      <c r="S7061" s="316"/>
      <c r="T7061" s="355"/>
    </row>
    <row r="7062" spans="14:20" x14ac:dyDescent="0.25">
      <c r="N7062" s="514"/>
      <c r="R7062" s="293"/>
      <c r="S7062" s="316"/>
      <c r="T7062" s="355"/>
    </row>
    <row r="7063" spans="14:20" x14ac:dyDescent="0.25">
      <c r="N7063" s="514"/>
      <c r="R7063" s="293"/>
      <c r="S7063" s="316"/>
      <c r="T7063" s="355"/>
    </row>
    <row r="7064" spans="14:20" x14ac:dyDescent="0.25">
      <c r="N7064" s="514"/>
      <c r="R7064" s="293"/>
      <c r="S7064" s="316"/>
      <c r="T7064" s="355"/>
    </row>
    <row r="7065" spans="14:20" x14ac:dyDescent="0.25">
      <c r="N7065" s="514"/>
      <c r="R7065" s="293"/>
      <c r="S7065" s="316"/>
      <c r="T7065" s="355"/>
    </row>
    <row r="7066" spans="14:20" x14ac:dyDescent="0.25">
      <c r="N7066" s="514"/>
      <c r="R7066" s="293"/>
      <c r="S7066" s="316"/>
      <c r="T7066" s="355"/>
    </row>
    <row r="7067" spans="14:20" x14ac:dyDescent="0.25">
      <c r="N7067" s="514"/>
      <c r="R7067" s="293"/>
      <c r="S7067" s="316"/>
      <c r="T7067" s="355"/>
    </row>
    <row r="7068" spans="14:20" x14ac:dyDescent="0.25">
      <c r="N7068" s="514"/>
      <c r="R7068" s="293"/>
      <c r="S7068" s="316"/>
      <c r="T7068" s="355"/>
    </row>
    <row r="7069" spans="14:20" x14ac:dyDescent="0.25">
      <c r="N7069" s="514"/>
      <c r="R7069" s="293"/>
      <c r="S7069" s="316"/>
      <c r="T7069" s="355"/>
    </row>
    <row r="7070" spans="14:20" x14ac:dyDescent="0.25">
      <c r="N7070" s="514"/>
      <c r="R7070" s="293"/>
      <c r="S7070" s="316"/>
      <c r="T7070" s="355"/>
    </row>
    <row r="7071" spans="14:20" x14ac:dyDescent="0.25">
      <c r="N7071" s="514"/>
      <c r="R7071" s="293"/>
      <c r="S7071" s="316"/>
      <c r="T7071" s="355"/>
    </row>
    <row r="7072" spans="14:20" x14ac:dyDescent="0.25">
      <c r="N7072" s="514"/>
      <c r="R7072" s="293"/>
      <c r="S7072" s="316"/>
      <c r="T7072" s="355"/>
    </row>
    <row r="7073" spans="14:20" x14ac:dyDescent="0.25">
      <c r="N7073" s="514"/>
      <c r="R7073" s="293"/>
      <c r="S7073" s="316"/>
      <c r="T7073" s="355"/>
    </row>
    <row r="7074" spans="14:20" x14ac:dyDescent="0.25">
      <c r="N7074" s="514"/>
      <c r="R7074" s="293"/>
      <c r="S7074" s="316"/>
      <c r="T7074" s="355"/>
    </row>
    <row r="7075" spans="14:20" x14ac:dyDescent="0.25">
      <c r="N7075" s="514"/>
      <c r="R7075" s="293"/>
      <c r="S7075" s="316"/>
      <c r="T7075" s="355"/>
    </row>
    <row r="7076" spans="14:20" x14ac:dyDescent="0.25">
      <c r="N7076" s="514"/>
      <c r="R7076" s="293"/>
      <c r="S7076" s="316"/>
      <c r="T7076" s="355"/>
    </row>
    <row r="7077" spans="14:20" x14ac:dyDescent="0.25">
      <c r="N7077" s="514"/>
      <c r="R7077" s="293"/>
      <c r="S7077" s="316"/>
      <c r="T7077" s="355"/>
    </row>
    <row r="7078" spans="14:20" x14ac:dyDescent="0.25">
      <c r="N7078" s="514"/>
      <c r="R7078" s="293"/>
      <c r="S7078" s="316"/>
      <c r="T7078" s="355"/>
    </row>
    <row r="7079" spans="14:20" x14ac:dyDescent="0.25">
      <c r="N7079" s="514"/>
      <c r="R7079" s="293"/>
      <c r="S7079" s="316"/>
      <c r="T7079" s="355"/>
    </row>
    <row r="7080" spans="14:20" x14ac:dyDescent="0.25">
      <c r="N7080" s="514"/>
      <c r="R7080" s="293"/>
      <c r="S7080" s="316"/>
      <c r="T7080" s="355"/>
    </row>
    <row r="7081" spans="14:20" x14ac:dyDescent="0.25">
      <c r="N7081" s="514"/>
      <c r="R7081" s="293"/>
      <c r="S7081" s="316"/>
      <c r="T7081" s="355"/>
    </row>
    <row r="7082" spans="14:20" x14ac:dyDescent="0.25">
      <c r="N7082" s="514"/>
      <c r="R7082" s="293"/>
      <c r="S7082" s="316"/>
      <c r="T7082" s="355"/>
    </row>
    <row r="7083" spans="14:20" x14ac:dyDescent="0.25">
      <c r="N7083" s="514"/>
      <c r="R7083" s="293"/>
      <c r="S7083" s="316"/>
      <c r="T7083" s="355"/>
    </row>
    <row r="7084" spans="14:20" x14ac:dyDescent="0.25">
      <c r="N7084" s="514"/>
      <c r="R7084" s="293"/>
      <c r="S7084" s="316"/>
      <c r="T7084" s="355"/>
    </row>
    <row r="7085" spans="14:20" x14ac:dyDescent="0.25">
      <c r="N7085" s="514"/>
      <c r="R7085" s="293"/>
      <c r="S7085" s="316"/>
      <c r="T7085" s="355"/>
    </row>
    <row r="7086" spans="14:20" x14ac:dyDescent="0.25">
      <c r="N7086" s="514"/>
      <c r="R7086" s="293"/>
      <c r="S7086" s="316"/>
      <c r="T7086" s="355"/>
    </row>
    <row r="7087" spans="14:20" x14ac:dyDescent="0.25">
      <c r="N7087" s="514"/>
      <c r="R7087" s="293"/>
      <c r="S7087" s="316"/>
      <c r="T7087" s="355"/>
    </row>
    <row r="7088" spans="14:20" x14ac:dyDescent="0.25">
      <c r="N7088" s="514"/>
      <c r="R7088" s="293"/>
      <c r="S7088" s="316"/>
      <c r="T7088" s="355"/>
    </row>
    <row r="7089" spans="14:20" x14ac:dyDescent="0.25">
      <c r="N7089" s="514"/>
      <c r="R7089" s="293"/>
      <c r="S7089" s="316"/>
      <c r="T7089" s="355"/>
    </row>
    <row r="7090" spans="14:20" x14ac:dyDescent="0.25">
      <c r="N7090" s="514"/>
      <c r="R7090" s="293"/>
      <c r="S7090" s="316"/>
      <c r="T7090" s="355"/>
    </row>
    <row r="7091" spans="14:20" x14ac:dyDescent="0.25">
      <c r="N7091" s="514"/>
      <c r="R7091" s="293"/>
      <c r="S7091" s="316"/>
      <c r="T7091" s="355"/>
    </row>
    <row r="7092" spans="14:20" x14ac:dyDescent="0.25">
      <c r="N7092" s="514"/>
      <c r="R7092" s="293"/>
      <c r="S7092" s="316"/>
      <c r="T7092" s="355"/>
    </row>
    <row r="7093" spans="14:20" x14ac:dyDescent="0.25">
      <c r="N7093" s="514"/>
      <c r="R7093" s="293"/>
      <c r="S7093" s="316"/>
      <c r="T7093" s="355"/>
    </row>
    <row r="7094" spans="14:20" x14ac:dyDescent="0.25">
      <c r="N7094" s="514"/>
      <c r="R7094" s="293"/>
      <c r="S7094" s="316"/>
      <c r="T7094" s="355"/>
    </row>
    <row r="7095" spans="14:20" x14ac:dyDescent="0.25">
      <c r="N7095" s="514"/>
      <c r="R7095" s="293"/>
      <c r="S7095" s="316"/>
      <c r="T7095" s="355"/>
    </row>
    <row r="7096" spans="14:20" x14ac:dyDescent="0.25">
      <c r="N7096" s="514"/>
      <c r="R7096" s="293"/>
      <c r="S7096" s="316"/>
      <c r="T7096" s="355"/>
    </row>
    <row r="7097" spans="14:20" x14ac:dyDescent="0.25">
      <c r="N7097" s="514"/>
      <c r="R7097" s="293"/>
      <c r="S7097" s="316"/>
      <c r="T7097" s="355"/>
    </row>
    <row r="7098" spans="14:20" x14ac:dyDescent="0.25">
      <c r="N7098" s="514"/>
      <c r="R7098" s="293"/>
      <c r="S7098" s="316"/>
      <c r="T7098" s="355"/>
    </row>
    <row r="7099" spans="14:20" x14ac:dyDescent="0.25">
      <c r="N7099" s="514"/>
      <c r="R7099" s="293"/>
      <c r="S7099" s="316"/>
      <c r="T7099" s="355"/>
    </row>
    <row r="7100" spans="14:20" x14ac:dyDescent="0.25">
      <c r="N7100" s="514"/>
      <c r="R7100" s="293"/>
      <c r="S7100" s="316"/>
      <c r="T7100" s="355"/>
    </row>
    <row r="7101" spans="14:20" x14ac:dyDescent="0.25">
      <c r="N7101" s="514"/>
      <c r="R7101" s="293"/>
      <c r="S7101" s="316"/>
      <c r="T7101" s="355"/>
    </row>
    <row r="7102" spans="14:20" x14ac:dyDescent="0.25">
      <c r="N7102" s="514"/>
      <c r="R7102" s="293"/>
      <c r="S7102" s="316"/>
      <c r="T7102" s="355"/>
    </row>
    <row r="7103" spans="14:20" x14ac:dyDescent="0.25">
      <c r="N7103" s="514"/>
      <c r="R7103" s="293"/>
      <c r="S7103" s="316"/>
      <c r="T7103" s="355"/>
    </row>
    <row r="7104" spans="14:20" x14ac:dyDescent="0.25">
      <c r="N7104" s="514"/>
      <c r="R7104" s="293"/>
      <c r="S7104" s="316"/>
      <c r="T7104" s="355"/>
    </row>
    <row r="7105" spans="14:20" x14ac:dyDescent="0.25">
      <c r="N7105" s="514"/>
      <c r="R7105" s="293"/>
      <c r="S7105" s="316"/>
      <c r="T7105" s="355"/>
    </row>
    <row r="7106" spans="14:20" x14ac:dyDescent="0.25">
      <c r="N7106" s="514"/>
      <c r="R7106" s="293"/>
      <c r="S7106" s="316"/>
      <c r="T7106" s="355"/>
    </row>
    <row r="7107" spans="14:20" x14ac:dyDescent="0.25">
      <c r="N7107" s="514"/>
      <c r="R7107" s="293"/>
      <c r="S7107" s="316"/>
      <c r="T7107" s="355"/>
    </row>
    <row r="7108" spans="14:20" x14ac:dyDescent="0.25">
      <c r="N7108" s="514"/>
      <c r="R7108" s="293"/>
      <c r="S7108" s="316"/>
      <c r="T7108" s="355"/>
    </row>
    <row r="7109" spans="14:20" x14ac:dyDescent="0.25">
      <c r="N7109" s="514"/>
      <c r="R7109" s="293"/>
      <c r="S7109" s="316"/>
      <c r="T7109" s="355"/>
    </row>
    <row r="7110" spans="14:20" x14ac:dyDescent="0.25">
      <c r="N7110" s="514"/>
      <c r="R7110" s="293"/>
      <c r="S7110" s="316"/>
      <c r="T7110" s="355"/>
    </row>
    <row r="7111" spans="14:20" x14ac:dyDescent="0.25">
      <c r="N7111" s="514"/>
      <c r="R7111" s="293"/>
      <c r="S7111" s="316"/>
      <c r="T7111" s="355"/>
    </row>
    <row r="7112" spans="14:20" x14ac:dyDescent="0.25">
      <c r="N7112" s="514"/>
      <c r="R7112" s="293"/>
      <c r="S7112" s="316"/>
      <c r="T7112" s="355"/>
    </row>
    <row r="7113" spans="14:20" x14ac:dyDescent="0.25">
      <c r="N7113" s="514"/>
      <c r="R7113" s="293"/>
      <c r="S7113" s="316"/>
      <c r="T7113" s="355"/>
    </row>
    <row r="7114" spans="14:20" x14ac:dyDescent="0.25">
      <c r="N7114" s="514"/>
      <c r="R7114" s="293"/>
      <c r="S7114" s="316"/>
      <c r="T7114" s="355"/>
    </row>
    <row r="7115" spans="14:20" x14ac:dyDescent="0.25">
      <c r="N7115" s="514"/>
      <c r="R7115" s="293"/>
      <c r="S7115" s="316"/>
      <c r="T7115" s="355"/>
    </row>
    <row r="7116" spans="14:20" x14ac:dyDescent="0.25">
      <c r="N7116" s="514"/>
      <c r="R7116" s="293"/>
      <c r="S7116" s="316"/>
      <c r="T7116" s="355"/>
    </row>
    <row r="7117" spans="14:20" x14ac:dyDescent="0.25">
      <c r="N7117" s="514"/>
      <c r="R7117" s="293"/>
      <c r="S7117" s="316"/>
      <c r="T7117" s="355"/>
    </row>
    <row r="7118" spans="14:20" x14ac:dyDescent="0.25">
      <c r="N7118" s="514"/>
      <c r="R7118" s="293"/>
      <c r="S7118" s="316"/>
      <c r="T7118" s="355"/>
    </row>
    <row r="7119" spans="14:20" x14ac:dyDescent="0.25">
      <c r="N7119" s="514"/>
      <c r="R7119" s="293"/>
      <c r="S7119" s="316"/>
      <c r="T7119" s="355"/>
    </row>
    <row r="7120" spans="14:20" x14ac:dyDescent="0.25">
      <c r="N7120" s="514"/>
      <c r="R7120" s="293"/>
      <c r="S7120" s="316"/>
      <c r="T7120" s="355"/>
    </row>
    <row r="7121" spans="14:20" x14ac:dyDescent="0.25">
      <c r="N7121" s="514"/>
      <c r="R7121" s="293"/>
      <c r="S7121" s="316"/>
      <c r="T7121" s="355"/>
    </row>
    <row r="7122" spans="14:20" x14ac:dyDescent="0.25">
      <c r="N7122" s="514"/>
      <c r="R7122" s="293"/>
      <c r="S7122" s="316"/>
      <c r="T7122" s="355"/>
    </row>
    <row r="7123" spans="14:20" x14ac:dyDescent="0.25">
      <c r="N7123" s="514"/>
      <c r="R7123" s="293"/>
      <c r="S7123" s="316"/>
      <c r="T7123" s="355"/>
    </row>
    <row r="7124" spans="14:20" x14ac:dyDescent="0.25">
      <c r="N7124" s="514"/>
      <c r="R7124" s="293"/>
      <c r="S7124" s="316"/>
      <c r="T7124" s="355"/>
    </row>
    <row r="7125" spans="14:20" x14ac:dyDescent="0.25">
      <c r="N7125" s="514"/>
      <c r="R7125" s="293"/>
      <c r="S7125" s="316"/>
      <c r="T7125" s="355"/>
    </row>
    <row r="7126" spans="14:20" x14ac:dyDescent="0.25">
      <c r="N7126" s="514"/>
      <c r="R7126" s="293"/>
      <c r="S7126" s="316"/>
      <c r="T7126" s="355"/>
    </row>
    <row r="7127" spans="14:20" x14ac:dyDescent="0.25">
      <c r="N7127" s="514"/>
      <c r="R7127" s="293"/>
      <c r="S7127" s="316"/>
      <c r="T7127" s="355"/>
    </row>
    <row r="7128" spans="14:20" x14ac:dyDescent="0.25">
      <c r="N7128" s="514"/>
      <c r="R7128" s="293"/>
      <c r="S7128" s="316"/>
      <c r="T7128" s="355"/>
    </row>
    <row r="7129" spans="14:20" x14ac:dyDescent="0.25">
      <c r="N7129" s="514"/>
      <c r="R7129" s="293"/>
      <c r="S7129" s="316"/>
      <c r="T7129" s="355"/>
    </row>
    <row r="7130" spans="14:20" x14ac:dyDescent="0.25">
      <c r="N7130" s="514"/>
      <c r="R7130" s="293"/>
      <c r="S7130" s="316"/>
      <c r="T7130" s="355"/>
    </row>
    <row r="7131" spans="14:20" x14ac:dyDescent="0.25">
      <c r="N7131" s="514"/>
      <c r="R7131" s="293"/>
      <c r="S7131" s="316"/>
      <c r="T7131" s="355"/>
    </row>
    <row r="7132" spans="14:20" x14ac:dyDescent="0.25">
      <c r="N7132" s="514"/>
      <c r="R7132" s="293"/>
      <c r="S7132" s="316"/>
      <c r="T7132" s="355"/>
    </row>
    <row r="7133" spans="14:20" x14ac:dyDescent="0.25">
      <c r="N7133" s="514"/>
      <c r="R7133" s="293"/>
      <c r="S7133" s="316"/>
      <c r="T7133" s="355"/>
    </row>
    <row r="7134" spans="14:20" x14ac:dyDescent="0.25">
      <c r="N7134" s="514"/>
      <c r="R7134" s="293"/>
      <c r="S7134" s="316"/>
      <c r="T7134" s="355"/>
    </row>
    <row r="7135" spans="14:20" x14ac:dyDescent="0.25">
      <c r="N7135" s="514"/>
      <c r="R7135" s="293"/>
      <c r="S7135" s="316"/>
      <c r="T7135" s="355"/>
    </row>
    <row r="7136" spans="14:20" x14ac:dyDescent="0.25">
      <c r="N7136" s="514"/>
      <c r="R7136" s="293"/>
      <c r="S7136" s="316"/>
      <c r="T7136" s="355"/>
    </row>
    <row r="7137" spans="14:20" x14ac:dyDescent="0.25">
      <c r="N7137" s="514"/>
      <c r="R7137" s="293"/>
      <c r="S7137" s="316"/>
      <c r="T7137" s="355"/>
    </row>
    <row r="7138" spans="14:20" x14ac:dyDescent="0.25">
      <c r="N7138" s="514"/>
      <c r="R7138" s="293"/>
      <c r="S7138" s="316"/>
      <c r="T7138" s="355"/>
    </row>
    <row r="7139" spans="14:20" x14ac:dyDescent="0.25">
      <c r="N7139" s="514"/>
      <c r="R7139" s="293"/>
      <c r="S7139" s="316"/>
      <c r="T7139" s="355"/>
    </row>
    <row r="7140" spans="14:20" x14ac:dyDescent="0.25">
      <c r="N7140" s="514"/>
      <c r="R7140" s="293"/>
      <c r="S7140" s="316"/>
      <c r="T7140" s="355"/>
    </row>
    <row r="7141" spans="14:20" x14ac:dyDescent="0.25">
      <c r="N7141" s="514"/>
      <c r="R7141" s="293"/>
      <c r="S7141" s="316"/>
      <c r="T7141" s="355"/>
    </row>
    <row r="7142" spans="14:20" x14ac:dyDescent="0.25">
      <c r="N7142" s="514"/>
      <c r="R7142" s="293"/>
      <c r="S7142" s="316"/>
      <c r="T7142" s="355"/>
    </row>
    <row r="7143" spans="14:20" x14ac:dyDescent="0.25">
      <c r="N7143" s="514"/>
      <c r="R7143" s="293"/>
      <c r="S7143" s="316"/>
      <c r="T7143" s="355"/>
    </row>
    <row r="7144" spans="14:20" x14ac:dyDescent="0.25">
      <c r="N7144" s="514"/>
      <c r="R7144" s="293"/>
      <c r="S7144" s="316"/>
      <c r="T7144" s="355"/>
    </row>
    <row r="7145" spans="14:20" x14ac:dyDescent="0.25">
      <c r="N7145" s="514"/>
      <c r="R7145" s="293"/>
      <c r="S7145" s="316"/>
      <c r="T7145" s="355"/>
    </row>
    <row r="7146" spans="14:20" x14ac:dyDescent="0.25">
      <c r="N7146" s="514"/>
      <c r="R7146" s="293"/>
      <c r="S7146" s="316"/>
      <c r="T7146" s="355"/>
    </row>
    <row r="7147" spans="14:20" x14ac:dyDescent="0.25">
      <c r="N7147" s="514"/>
      <c r="R7147" s="293"/>
      <c r="S7147" s="316"/>
      <c r="T7147" s="355"/>
    </row>
    <row r="7148" spans="14:20" x14ac:dyDescent="0.25">
      <c r="N7148" s="514"/>
      <c r="R7148" s="293"/>
      <c r="S7148" s="316"/>
      <c r="T7148" s="355"/>
    </row>
    <row r="7149" spans="14:20" x14ac:dyDescent="0.25">
      <c r="N7149" s="514"/>
      <c r="R7149" s="293"/>
      <c r="S7149" s="316"/>
      <c r="T7149" s="355"/>
    </row>
    <row r="7150" spans="14:20" x14ac:dyDescent="0.25">
      <c r="N7150" s="514"/>
      <c r="R7150" s="293"/>
      <c r="S7150" s="316"/>
      <c r="T7150" s="355"/>
    </row>
    <row r="7151" spans="14:20" x14ac:dyDescent="0.25">
      <c r="N7151" s="514"/>
      <c r="R7151" s="293"/>
      <c r="S7151" s="316"/>
      <c r="T7151" s="355"/>
    </row>
    <row r="7152" spans="14:20" x14ac:dyDescent="0.25">
      <c r="N7152" s="514"/>
      <c r="R7152" s="293"/>
      <c r="S7152" s="316"/>
      <c r="T7152" s="355"/>
    </row>
    <row r="7153" spans="14:20" x14ac:dyDescent="0.25">
      <c r="N7153" s="514"/>
      <c r="R7153" s="293"/>
      <c r="S7153" s="316"/>
      <c r="T7153" s="355"/>
    </row>
    <row r="7154" spans="14:20" x14ac:dyDescent="0.25">
      <c r="N7154" s="514"/>
      <c r="R7154" s="293"/>
      <c r="S7154" s="316"/>
      <c r="T7154" s="355"/>
    </row>
    <row r="7155" spans="14:20" x14ac:dyDescent="0.25">
      <c r="N7155" s="514"/>
      <c r="R7155" s="293"/>
      <c r="S7155" s="316"/>
      <c r="T7155" s="355"/>
    </row>
    <row r="7156" spans="14:20" x14ac:dyDescent="0.25">
      <c r="N7156" s="514"/>
      <c r="R7156" s="293"/>
      <c r="S7156" s="316"/>
      <c r="T7156" s="355"/>
    </row>
    <row r="7157" spans="14:20" x14ac:dyDescent="0.25">
      <c r="N7157" s="514"/>
      <c r="R7157" s="293"/>
      <c r="S7157" s="316"/>
      <c r="T7157" s="355"/>
    </row>
    <row r="7158" spans="14:20" x14ac:dyDescent="0.25">
      <c r="N7158" s="514"/>
      <c r="R7158" s="293"/>
      <c r="S7158" s="316"/>
      <c r="T7158" s="355"/>
    </row>
    <row r="7159" spans="14:20" x14ac:dyDescent="0.25">
      <c r="N7159" s="514"/>
      <c r="R7159" s="293"/>
      <c r="S7159" s="316"/>
      <c r="T7159" s="355"/>
    </row>
    <row r="7160" spans="14:20" x14ac:dyDescent="0.25">
      <c r="N7160" s="514"/>
      <c r="R7160" s="293"/>
      <c r="S7160" s="316"/>
      <c r="T7160" s="355"/>
    </row>
    <row r="7161" spans="14:20" x14ac:dyDescent="0.25">
      <c r="N7161" s="514"/>
      <c r="R7161" s="293"/>
      <c r="S7161" s="316"/>
      <c r="T7161" s="355"/>
    </row>
    <row r="7162" spans="14:20" x14ac:dyDescent="0.25">
      <c r="N7162" s="514"/>
      <c r="R7162" s="293"/>
      <c r="S7162" s="316"/>
      <c r="T7162" s="355"/>
    </row>
    <row r="7163" spans="14:20" x14ac:dyDescent="0.25">
      <c r="N7163" s="514"/>
      <c r="R7163" s="293"/>
      <c r="S7163" s="316"/>
      <c r="T7163" s="355"/>
    </row>
    <row r="7164" spans="14:20" x14ac:dyDescent="0.25">
      <c r="N7164" s="514"/>
      <c r="R7164" s="293"/>
      <c r="S7164" s="316"/>
      <c r="T7164" s="355"/>
    </row>
    <row r="7165" spans="14:20" x14ac:dyDescent="0.25">
      <c r="N7165" s="514"/>
      <c r="R7165" s="293"/>
      <c r="S7165" s="316"/>
      <c r="T7165" s="355"/>
    </row>
    <row r="7166" spans="14:20" x14ac:dyDescent="0.25">
      <c r="N7166" s="514"/>
      <c r="R7166" s="293"/>
      <c r="S7166" s="316"/>
      <c r="T7166" s="355"/>
    </row>
    <row r="7167" spans="14:20" x14ac:dyDescent="0.25">
      <c r="N7167" s="514"/>
      <c r="R7167" s="293"/>
      <c r="S7167" s="316"/>
      <c r="T7167" s="355"/>
    </row>
    <row r="7168" spans="14:20" x14ac:dyDescent="0.25">
      <c r="N7168" s="514"/>
      <c r="R7168" s="293"/>
      <c r="S7168" s="316"/>
      <c r="T7168" s="355"/>
    </row>
    <row r="7169" spans="14:20" x14ac:dyDescent="0.25">
      <c r="N7169" s="514"/>
      <c r="R7169" s="293"/>
      <c r="S7169" s="316"/>
      <c r="T7169" s="355"/>
    </row>
    <row r="7170" spans="14:20" x14ac:dyDescent="0.25">
      <c r="N7170" s="514"/>
      <c r="R7170" s="293"/>
      <c r="S7170" s="316"/>
      <c r="T7170" s="355"/>
    </row>
    <row r="7171" spans="14:20" x14ac:dyDescent="0.25">
      <c r="N7171" s="514"/>
      <c r="R7171" s="293"/>
      <c r="S7171" s="316"/>
      <c r="T7171" s="355"/>
    </row>
    <row r="7172" spans="14:20" x14ac:dyDescent="0.25">
      <c r="N7172" s="514"/>
      <c r="R7172" s="293"/>
      <c r="S7172" s="316"/>
      <c r="T7172" s="355"/>
    </row>
    <row r="7173" spans="14:20" x14ac:dyDescent="0.25">
      <c r="N7173" s="514"/>
      <c r="R7173" s="293"/>
      <c r="S7173" s="316"/>
      <c r="T7173" s="355"/>
    </row>
    <row r="7174" spans="14:20" x14ac:dyDescent="0.25">
      <c r="N7174" s="514"/>
      <c r="R7174" s="293"/>
      <c r="S7174" s="316"/>
      <c r="T7174" s="355"/>
    </row>
    <row r="7175" spans="14:20" x14ac:dyDescent="0.25">
      <c r="N7175" s="514"/>
      <c r="R7175" s="293"/>
      <c r="S7175" s="316"/>
      <c r="T7175" s="355"/>
    </row>
    <row r="7176" spans="14:20" x14ac:dyDescent="0.25">
      <c r="N7176" s="514"/>
      <c r="R7176" s="293"/>
      <c r="S7176" s="316"/>
      <c r="T7176" s="355"/>
    </row>
    <row r="7177" spans="14:20" x14ac:dyDescent="0.25">
      <c r="N7177" s="514"/>
      <c r="R7177" s="293"/>
      <c r="S7177" s="316"/>
      <c r="T7177" s="355"/>
    </row>
    <row r="7178" spans="14:20" x14ac:dyDescent="0.25">
      <c r="N7178" s="514"/>
      <c r="R7178" s="293"/>
      <c r="S7178" s="316"/>
      <c r="T7178" s="355"/>
    </row>
    <row r="7179" spans="14:20" x14ac:dyDescent="0.25">
      <c r="N7179" s="514"/>
      <c r="R7179" s="293"/>
      <c r="S7179" s="316"/>
      <c r="T7179" s="355"/>
    </row>
    <row r="7180" spans="14:20" x14ac:dyDescent="0.25">
      <c r="N7180" s="514"/>
      <c r="R7180" s="293"/>
      <c r="S7180" s="316"/>
      <c r="T7180" s="355"/>
    </row>
    <row r="7181" spans="14:20" x14ac:dyDescent="0.25">
      <c r="N7181" s="514"/>
      <c r="R7181" s="293"/>
      <c r="S7181" s="316"/>
      <c r="T7181" s="355"/>
    </row>
    <row r="7182" spans="14:20" x14ac:dyDescent="0.25">
      <c r="N7182" s="514"/>
      <c r="R7182" s="293"/>
      <c r="S7182" s="316"/>
      <c r="T7182" s="355"/>
    </row>
    <row r="7183" spans="14:20" x14ac:dyDescent="0.25">
      <c r="N7183" s="514"/>
      <c r="R7183" s="293"/>
      <c r="S7183" s="316"/>
      <c r="T7183" s="355"/>
    </row>
    <row r="7184" spans="14:20" x14ac:dyDescent="0.25">
      <c r="N7184" s="514"/>
      <c r="R7184" s="293"/>
      <c r="S7184" s="316"/>
      <c r="T7184" s="355"/>
    </row>
    <row r="7185" spans="14:20" x14ac:dyDescent="0.25">
      <c r="N7185" s="514"/>
      <c r="R7185" s="293"/>
      <c r="S7185" s="316"/>
      <c r="T7185" s="355"/>
    </row>
    <row r="7186" spans="14:20" x14ac:dyDescent="0.25">
      <c r="N7186" s="514"/>
      <c r="R7186" s="293"/>
      <c r="S7186" s="316"/>
      <c r="T7186" s="355"/>
    </row>
    <row r="7187" spans="14:20" x14ac:dyDescent="0.25">
      <c r="N7187" s="514"/>
      <c r="R7187" s="293"/>
      <c r="S7187" s="316"/>
      <c r="T7187" s="355"/>
    </row>
    <row r="7188" spans="14:20" x14ac:dyDescent="0.25">
      <c r="N7188" s="514"/>
      <c r="R7188" s="293"/>
      <c r="S7188" s="316"/>
      <c r="T7188" s="355"/>
    </row>
    <row r="7189" spans="14:20" x14ac:dyDescent="0.25">
      <c r="N7189" s="514"/>
      <c r="R7189" s="293"/>
      <c r="S7189" s="316"/>
      <c r="T7189" s="355"/>
    </row>
    <row r="7190" spans="14:20" x14ac:dyDescent="0.25">
      <c r="N7190" s="514"/>
      <c r="R7190" s="293"/>
      <c r="S7190" s="316"/>
      <c r="T7190" s="355"/>
    </row>
    <row r="7191" spans="14:20" x14ac:dyDescent="0.25">
      <c r="N7191" s="514"/>
      <c r="R7191" s="293"/>
      <c r="S7191" s="316"/>
      <c r="T7191" s="355"/>
    </row>
    <row r="7192" spans="14:20" x14ac:dyDescent="0.25">
      <c r="N7192" s="514"/>
      <c r="R7192" s="293"/>
      <c r="S7192" s="316"/>
      <c r="T7192" s="355"/>
    </row>
    <row r="7193" spans="14:20" x14ac:dyDescent="0.25">
      <c r="N7193" s="514"/>
      <c r="R7193" s="293"/>
      <c r="S7193" s="316"/>
      <c r="T7193" s="355"/>
    </row>
    <row r="7194" spans="14:20" x14ac:dyDescent="0.25">
      <c r="N7194" s="514"/>
      <c r="R7194" s="293"/>
      <c r="S7194" s="316"/>
      <c r="T7194" s="355"/>
    </row>
    <row r="7195" spans="14:20" x14ac:dyDescent="0.25">
      <c r="N7195" s="514"/>
      <c r="R7195" s="293"/>
      <c r="S7195" s="316"/>
      <c r="T7195" s="355"/>
    </row>
    <row r="7196" spans="14:20" x14ac:dyDescent="0.25">
      <c r="N7196" s="514"/>
      <c r="R7196" s="293"/>
      <c r="S7196" s="316"/>
      <c r="T7196" s="355"/>
    </row>
    <row r="7197" spans="14:20" x14ac:dyDescent="0.25">
      <c r="N7197" s="514"/>
      <c r="R7197" s="293"/>
      <c r="S7197" s="316"/>
      <c r="T7197" s="355"/>
    </row>
    <row r="7198" spans="14:20" x14ac:dyDescent="0.25">
      <c r="N7198" s="514"/>
      <c r="R7198" s="293"/>
      <c r="S7198" s="316"/>
      <c r="T7198" s="355"/>
    </row>
    <row r="7199" spans="14:20" x14ac:dyDescent="0.25">
      <c r="N7199" s="514"/>
      <c r="R7199" s="293"/>
      <c r="S7199" s="316"/>
      <c r="T7199" s="355"/>
    </row>
    <row r="7200" spans="14:20" x14ac:dyDescent="0.25">
      <c r="N7200" s="514"/>
      <c r="R7200" s="293"/>
      <c r="S7200" s="316"/>
      <c r="T7200" s="355"/>
    </row>
    <row r="7201" spans="14:20" x14ac:dyDescent="0.25">
      <c r="N7201" s="514"/>
      <c r="R7201" s="293"/>
      <c r="S7201" s="316"/>
      <c r="T7201" s="355"/>
    </row>
    <row r="7202" spans="14:20" x14ac:dyDescent="0.25">
      <c r="N7202" s="514"/>
      <c r="R7202" s="293"/>
      <c r="S7202" s="316"/>
      <c r="T7202" s="355"/>
    </row>
    <row r="7203" spans="14:20" x14ac:dyDescent="0.25">
      <c r="N7203" s="514"/>
      <c r="R7203" s="293"/>
      <c r="S7203" s="316"/>
      <c r="T7203" s="355"/>
    </row>
    <row r="7204" spans="14:20" x14ac:dyDescent="0.25">
      <c r="N7204" s="514"/>
      <c r="R7204" s="293"/>
      <c r="S7204" s="316"/>
      <c r="T7204" s="355"/>
    </row>
    <row r="7205" spans="14:20" x14ac:dyDescent="0.25">
      <c r="N7205" s="514"/>
      <c r="R7205" s="293"/>
      <c r="S7205" s="316"/>
      <c r="T7205" s="355"/>
    </row>
    <row r="7206" spans="14:20" x14ac:dyDescent="0.25">
      <c r="N7206" s="514"/>
      <c r="R7206" s="293"/>
      <c r="S7206" s="316"/>
      <c r="T7206" s="355"/>
    </row>
    <row r="7207" spans="14:20" x14ac:dyDescent="0.25">
      <c r="N7207" s="514"/>
      <c r="R7207" s="293"/>
      <c r="S7207" s="316"/>
      <c r="T7207" s="355"/>
    </row>
    <row r="7208" spans="14:20" x14ac:dyDescent="0.25">
      <c r="N7208" s="514"/>
      <c r="R7208" s="293"/>
      <c r="S7208" s="316"/>
      <c r="T7208" s="355"/>
    </row>
    <row r="7209" spans="14:20" x14ac:dyDescent="0.25">
      <c r="N7209" s="514"/>
      <c r="R7209" s="293"/>
      <c r="S7209" s="316"/>
      <c r="T7209" s="355"/>
    </row>
    <row r="7210" spans="14:20" x14ac:dyDescent="0.25">
      <c r="N7210" s="514"/>
      <c r="R7210" s="293"/>
      <c r="S7210" s="316"/>
      <c r="T7210" s="355"/>
    </row>
    <row r="7211" spans="14:20" x14ac:dyDescent="0.25">
      <c r="N7211" s="514"/>
      <c r="R7211" s="293"/>
      <c r="S7211" s="316"/>
      <c r="T7211" s="355"/>
    </row>
    <row r="7212" spans="14:20" x14ac:dyDescent="0.25">
      <c r="N7212" s="514"/>
      <c r="R7212" s="293"/>
      <c r="S7212" s="316"/>
      <c r="T7212" s="355"/>
    </row>
    <row r="7213" spans="14:20" x14ac:dyDescent="0.25">
      <c r="N7213" s="514"/>
      <c r="R7213" s="293"/>
      <c r="S7213" s="316"/>
      <c r="T7213" s="355"/>
    </row>
    <row r="7214" spans="14:20" x14ac:dyDescent="0.25">
      <c r="N7214" s="514"/>
      <c r="R7214" s="293"/>
      <c r="S7214" s="316"/>
      <c r="T7214" s="355"/>
    </row>
    <row r="7215" spans="14:20" x14ac:dyDescent="0.25">
      <c r="N7215" s="514"/>
      <c r="R7215" s="293"/>
      <c r="S7215" s="316"/>
      <c r="T7215" s="355"/>
    </row>
    <row r="7216" spans="14:20" x14ac:dyDescent="0.25">
      <c r="N7216" s="514"/>
      <c r="R7216" s="293"/>
      <c r="S7216" s="316"/>
      <c r="T7216" s="355"/>
    </row>
    <row r="7217" spans="14:20" x14ac:dyDescent="0.25">
      <c r="N7217" s="514"/>
      <c r="R7217" s="293"/>
      <c r="S7217" s="316"/>
      <c r="T7217" s="355"/>
    </row>
    <row r="7218" spans="14:20" x14ac:dyDescent="0.25">
      <c r="N7218" s="514"/>
      <c r="R7218" s="293"/>
      <c r="S7218" s="316"/>
      <c r="T7218" s="355"/>
    </row>
    <row r="7219" spans="14:20" x14ac:dyDescent="0.25">
      <c r="N7219" s="514"/>
      <c r="R7219" s="293"/>
      <c r="S7219" s="316"/>
      <c r="T7219" s="355"/>
    </row>
    <row r="7220" spans="14:20" x14ac:dyDescent="0.25">
      <c r="N7220" s="514"/>
      <c r="R7220" s="293"/>
      <c r="S7220" s="316"/>
      <c r="T7220" s="355"/>
    </row>
    <row r="7221" spans="14:20" x14ac:dyDescent="0.25">
      <c r="N7221" s="514"/>
      <c r="R7221" s="293"/>
      <c r="S7221" s="316"/>
      <c r="T7221" s="355"/>
    </row>
    <row r="7222" spans="14:20" x14ac:dyDescent="0.25">
      <c r="N7222" s="514"/>
      <c r="R7222" s="293"/>
      <c r="S7222" s="316"/>
      <c r="T7222" s="355"/>
    </row>
    <row r="7223" spans="14:20" x14ac:dyDescent="0.25">
      <c r="N7223" s="514"/>
      <c r="R7223" s="293"/>
      <c r="S7223" s="316"/>
      <c r="T7223" s="355"/>
    </row>
    <row r="7224" spans="14:20" x14ac:dyDescent="0.25">
      <c r="N7224" s="514"/>
      <c r="R7224" s="293"/>
      <c r="S7224" s="316"/>
      <c r="T7224" s="355"/>
    </row>
    <row r="7225" spans="14:20" x14ac:dyDescent="0.25">
      <c r="N7225" s="514"/>
      <c r="R7225" s="293"/>
      <c r="S7225" s="316"/>
      <c r="T7225" s="355"/>
    </row>
    <row r="7226" spans="14:20" x14ac:dyDescent="0.25">
      <c r="N7226" s="514"/>
      <c r="R7226" s="293"/>
      <c r="S7226" s="316"/>
      <c r="T7226" s="355"/>
    </row>
    <row r="7227" spans="14:20" x14ac:dyDescent="0.25">
      <c r="N7227" s="514"/>
      <c r="R7227" s="293"/>
      <c r="S7227" s="316"/>
      <c r="T7227" s="355"/>
    </row>
    <row r="7228" spans="14:20" x14ac:dyDescent="0.25">
      <c r="N7228" s="514"/>
      <c r="R7228" s="293"/>
      <c r="S7228" s="316"/>
      <c r="T7228" s="355"/>
    </row>
    <row r="7229" spans="14:20" x14ac:dyDescent="0.25">
      <c r="N7229" s="514"/>
      <c r="R7229" s="293"/>
      <c r="S7229" s="316"/>
      <c r="T7229" s="355"/>
    </row>
    <row r="7230" spans="14:20" x14ac:dyDescent="0.25">
      <c r="N7230" s="514"/>
      <c r="R7230" s="293"/>
      <c r="S7230" s="316"/>
      <c r="T7230" s="355"/>
    </row>
    <row r="7231" spans="14:20" x14ac:dyDescent="0.25">
      <c r="N7231" s="514"/>
      <c r="R7231" s="293"/>
      <c r="S7231" s="316"/>
      <c r="T7231" s="355"/>
    </row>
    <row r="7232" spans="14:20" x14ac:dyDescent="0.25">
      <c r="N7232" s="514"/>
      <c r="R7232" s="293"/>
      <c r="S7232" s="316"/>
      <c r="T7232" s="355"/>
    </row>
    <row r="7233" spans="14:20" x14ac:dyDescent="0.25">
      <c r="N7233" s="514"/>
      <c r="R7233" s="293"/>
      <c r="S7233" s="316"/>
      <c r="T7233" s="355"/>
    </row>
    <row r="7234" spans="14:20" x14ac:dyDescent="0.25">
      <c r="N7234" s="514"/>
      <c r="R7234" s="293"/>
      <c r="S7234" s="316"/>
      <c r="T7234" s="355"/>
    </row>
    <row r="7235" spans="14:20" x14ac:dyDescent="0.25">
      <c r="N7235" s="514"/>
      <c r="R7235" s="293"/>
      <c r="S7235" s="316"/>
      <c r="T7235" s="355"/>
    </row>
    <row r="7236" spans="14:20" x14ac:dyDescent="0.25">
      <c r="N7236" s="514"/>
      <c r="R7236" s="293"/>
      <c r="S7236" s="316"/>
      <c r="T7236" s="355"/>
    </row>
    <row r="7237" spans="14:20" x14ac:dyDescent="0.25">
      <c r="N7237" s="514"/>
      <c r="R7237" s="293"/>
      <c r="S7237" s="316"/>
      <c r="T7237" s="355"/>
    </row>
    <row r="7238" spans="14:20" x14ac:dyDescent="0.25">
      <c r="N7238" s="514"/>
      <c r="R7238" s="293"/>
      <c r="S7238" s="316"/>
      <c r="T7238" s="355"/>
    </row>
    <row r="7239" spans="14:20" x14ac:dyDescent="0.25">
      <c r="N7239" s="514"/>
      <c r="R7239" s="293"/>
      <c r="S7239" s="316"/>
      <c r="T7239" s="355"/>
    </row>
    <row r="7240" spans="14:20" x14ac:dyDescent="0.25">
      <c r="N7240" s="514"/>
      <c r="R7240" s="293"/>
      <c r="S7240" s="316"/>
      <c r="T7240" s="355"/>
    </row>
    <row r="7241" spans="14:20" x14ac:dyDescent="0.25">
      <c r="N7241" s="514"/>
      <c r="R7241" s="293"/>
      <c r="S7241" s="316"/>
      <c r="T7241" s="355"/>
    </row>
    <row r="7242" spans="14:20" x14ac:dyDescent="0.25">
      <c r="N7242" s="514"/>
      <c r="R7242" s="293"/>
      <c r="S7242" s="316"/>
      <c r="T7242" s="355"/>
    </row>
    <row r="7243" spans="14:20" x14ac:dyDescent="0.25">
      <c r="N7243" s="514"/>
      <c r="R7243" s="293"/>
      <c r="S7243" s="316"/>
      <c r="T7243" s="355"/>
    </row>
    <row r="7244" spans="14:20" x14ac:dyDescent="0.25">
      <c r="N7244" s="514"/>
      <c r="R7244" s="293"/>
      <c r="S7244" s="316"/>
      <c r="T7244" s="355"/>
    </row>
    <row r="7245" spans="14:20" x14ac:dyDescent="0.25">
      <c r="N7245" s="514"/>
      <c r="R7245" s="293"/>
      <c r="S7245" s="316"/>
      <c r="T7245" s="355"/>
    </row>
    <row r="7246" spans="14:20" x14ac:dyDescent="0.25">
      <c r="N7246" s="514"/>
      <c r="R7246" s="293"/>
      <c r="S7246" s="316"/>
      <c r="T7246" s="355"/>
    </row>
    <row r="7247" spans="14:20" x14ac:dyDescent="0.25">
      <c r="N7247" s="514"/>
      <c r="R7247" s="293"/>
      <c r="S7247" s="316"/>
      <c r="T7247" s="355"/>
    </row>
    <row r="7248" spans="14:20" x14ac:dyDescent="0.25">
      <c r="N7248" s="514"/>
      <c r="R7248" s="293"/>
      <c r="S7248" s="316"/>
      <c r="T7248" s="355"/>
    </row>
    <row r="7249" spans="14:20" x14ac:dyDescent="0.25">
      <c r="N7249" s="514"/>
      <c r="R7249" s="293"/>
      <c r="S7249" s="316"/>
      <c r="T7249" s="355"/>
    </row>
    <row r="7250" spans="14:20" x14ac:dyDescent="0.25">
      <c r="N7250" s="514"/>
      <c r="R7250" s="293"/>
      <c r="S7250" s="316"/>
      <c r="T7250" s="355"/>
    </row>
    <row r="7251" spans="14:20" x14ac:dyDescent="0.25">
      <c r="N7251" s="514"/>
      <c r="R7251" s="293"/>
      <c r="S7251" s="316"/>
      <c r="T7251" s="355"/>
    </row>
    <row r="7252" spans="14:20" x14ac:dyDescent="0.25">
      <c r="N7252" s="514"/>
      <c r="R7252" s="293"/>
      <c r="S7252" s="316"/>
      <c r="T7252" s="355"/>
    </row>
    <row r="7253" spans="14:20" x14ac:dyDescent="0.25">
      <c r="N7253" s="514"/>
      <c r="R7253" s="293"/>
      <c r="S7253" s="316"/>
      <c r="T7253" s="355"/>
    </row>
    <row r="7254" spans="14:20" x14ac:dyDescent="0.25">
      <c r="N7254" s="514"/>
      <c r="R7254" s="293"/>
      <c r="S7254" s="316"/>
      <c r="T7254" s="355"/>
    </row>
    <row r="7255" spans="14:20" x14ac:dyDescent="0.25">
      <c r="N7255" s="514"/>
      <c r="R7255" s="293"/>
      <c r="S7255" s="316"/>
      <c r="T7255" s="355"/>
    </row>
    <row r="7256" spans="14:20" x14ac:dyDescent="0.25">
      <c r="N7256" s="514"/>
      <c r="R7256" s="293"/>
      <c r="S7256" s="316"/>
      <c r="T7256" s="355"/>
    </row>
    <row r="7257" spans="14:20" x14ac:dyDescent="0.25">
      <c r="N7257" s="514"/>
      <c r="R7257" s="293"/>
      <c r="S7257" s="316"/>
      <c r="T7257" s="355"/>
    </row>
    <row r="7258" spans="14:20" x14ac:dyDescent="0.25">
      <c r="N7258" s="514"/>
      <c r="R7258" s="293"/>
      <c r="S7258" s="316"/>
      <c r="T7258" s="355"/>
    </row>
    <row r="7259" spans="14:20" x14ac:dyDescent="0.25">
      <c r="N7259" s="514"/>
      <c r="R7259" s="293"/>
      <c r="S7259" s="316"/>
      <c r="T7259" s="355"/>
    </row>
    <row r="7260" spans="14:20" x14ac:dyDescent="0.25">
      <c r="N7260" s="514"/>
      <c r="R7260" s="293"/>
      <c r="S7260" s="316"/>
      <c r="T7260" s="355"/>
    </row>
    <row r="7261" spans="14:20" x14ac:dyDescent="0.25">
      <c r="N7261" s="514"/>
      <c r="R7261" s="293"/>
      <c r="S7261" s="316"/>
      <c r="T7261" s="355"/>
    </row>
    <row r="7262" spans="14:20" x14ac:dyDescent="0.25">
      <c r="N7262" s="514"/>
      <c r="R7262" s="293"/>
      <c r="S7262" s="316"/>
      <c r="T7262" s="355"/>
    </row>
    <row r="7263" spans="14:20" x14ac:dyDescent="0.25">
      <c r="N7263" s="514"/>
      <c r="R7263" s="293"/>
      <c r="S7263" s="316"/>
      <c r="T7263" s="355"/>
    </row>
    <row r="7264" spans="14:20" x14ac:dyDescent="0.25">
      <c r="N7264" s="514"/>
      <c r="R7264" s="293"/>
      <c r="S7264" s="316"/>
      <c r="T7264" s="355"/>
    </row>
    <row r="7265" spans="14:20" x14ac:dyDescent="0.25">
      <c r="N7265" s="514"/>
      <c r="R7265" s="293"/>
      <c r="S7265" s="316"/>
      <c r="T7265" s="355"/>
    </row>
    <row r="7266" spans="14:20" x14ac:dyDescent="0.25">
      <c r="N7266" s="514"/>
      <c r="R7266" s="293"/>
      <c r="S7266" s="316"/>
      <c r="T7266" s="355"/>
    </row>
    <row r="7267" spans="14:20" x14ac:dyDescent="0.25">
      <c r="N7267" s="514"/>
      <c r="R7267" s="293"/>
      <c r="S7267" s="316"/>
      <c r="T7267" s="355"/>
    </row>
    <row r="7268" spans="14:20" x14ac:dyDescent="0.25">
      <c r="N7268" s="514"/>
      <c r="R7268" s="293"/>
      <c r="S7268" s="316"/>
      <c r="T7268" s="355"/>
    </row>
    <row r="7269" spans="14:20" x14ac:dyDescent="0.25">
      <c r="N7269" s="514"/>
      <c r="R7269" s="293"/>
      <c r="S7269" s="316"/>
      <c r="T7269" s="355"/>
    </row>
    <row r="7270" spans="14:20" x14ac:dyDescent="0.25">
      <c r="N7270" s="514"/>
      <c r="R7270" s="293"/>
      <c r="S7270" s="316"/>
      <c r="T7270" s="355"/>
    </row>
    <row r="7271" spans="14:20" x14ac:dyDescent="0.25">
      <c r="N7271" s="514"/>
      <c r="R7271" s="293"/>
      <c r="S7271" s="316"/>
      <c r="T7271" s="355"/>
    </row>
    <row r="7272" spans="14:20" x14ac:dyDescent="0.25">
      <c r="N7272" s="514"/>
      <c r="R7272" s="293"/>
      <c r="S7272" s="316"/>
      <c r="T7272" s="355"/>
    </row>
    <row r="7273" spans="14:20" x14ac:dyDescent="0.25">
      <c r="N7273" s="514"/>
      <c r="R7273" s="293"/>
      <c r="S7273" s="316"/>
      <c r="T7273" s="355"/>
    </row>
    <row r="7274" spans="14:20" x14ac:dyDescent="0.25">
      <c r="N7274" s="514"/>
      <c r="R7274" s="293"/>
      <c r="S7274" s="316"/>
      <c r="T7274" s="355"/>
    </row>
    <row r="7275" spans="14:20" x14ac:dyDescent="0.25">
      <c r="N7275" s="514"/>
      <c r="R7275" s="293"/>
      <c r="S7275" s="316"/>
      <c r="T7275" s="355"/>
    </row>
    <row r="7276" spans="14:20" x14ac:dyDescent="0.25">
      <c r="N7276" s="514"/>
      <c r="R7276" s="293"/>
      <c r="S7276" s="316"/>
      <c r="T7276" s="355"/>
    </row>
    <row r="7277" spans="14:20" x14ac:dyDescent="0.25">
      <c r="N7277" s="514"/>
      <c r="R7277" s="293"/>
      <c r="S7277" s="316"/>
      <c r="T7277" s="355"/>
    </row>
    <row r="7278" spans="14:20" x14ac:dyDescent="0.25">
      <c r="N7278" s="514"/>
      <c r="R7278" s="293"/>
      <c r="S7278" s="316"/>
      <c r="T7278" s="355"/>
    </row>
    <row r="7279" spans="14:20" x14ac:dyDescent="0.25">
      <c r="N7279" s="514"/>
      <c r="R7279" s="293"/>
      <c r="S7279" s="316"/>
      <c r="T7279" s="355"/>
    </row>
    <row r="7280" spans="14:20" x14ac:dyDescent="0.25">
      <c r="N7280" s="514"/>
      <c r="R7280" s="293"/>
      <c r="S7280" s="316"/>
      <c r="T7280" s="355"/>
    </row>
    <row r="7281" spans="14:20" x14ac:dyDescent="0.25">
      <c r="N7281" s="514"/>
      <c r="R7281" s="293"/>
      <c r="S7281" s="316"/>
      <c r="T7281" s="355"/>
    </row>
    <row r="7282" spans="14:20" x14ac:dyDescent="0.25">
      <c r="N7282" s="514"/>
      <c r="R7282" s="293"/>
      <c r="S7282" s="316"/>
      <c r="T7282" s="355"/>
    </row>
    <row r="7283" spans="14:20" x14ac:dyDescent="0.25">
      <c r="N7283" s="514"/>
      <c r="R7283" s="293"/>
      <c r="S7283" s="316"/>
      <c r="T7283" s="355"/>
    </row>
    <row r="7284" spans="14:20" x14ac:dyDescent="0.25">
      <c r="N7284" s="514"/>
      <c r="R7284" s="293"/>
      <c r="S7284" s="316"/>
      <c r="T7284" s="355"/>
    </row>
    <row r="7285" spans="14:20" x14ac:dyDescent="0.25">
      <c r="N7285" s="514"/>
      <c r="R7285" s="293"/>
      <c r="S7285" s="316"/>
      <c r="T7285" s="355"/>
    </row>
    <row r="7286" spans="14:20" x14ac:dyDescent="0.25">
      <c r="N7286" s="514"/>
      <c r="R7286" s="293"/>
      <c r="S7286" s="316"/>
      <c r="T7286" s="355"/>
    </row>
    <row r="7287" spans="14:20" x14ac:dyDescent="0.25">
      <c r="N7287" s="514"/>
      <c r="R7287" s="293"/>
      <c r="S7287" s="316"/>
      <c r="T7287" s="355"/>
    </row>
    <row r="7288" spans="14:20" x14ac:dyDescent="0.25">
      <c r="N7288" s="514"/>
      <c r="R7288" s="293"/>
      <c r="S7288" s="316"/>
      <c r="T7288" s="355"/>
    </row>
    <row r="7289" spans="14:20" x14ac:dyDescent="0.25">
      <c r="N7289" s="514"/>
      <c r="R7289" s="293"/>
      <c r="S7289" s="316"/>
      <c r="T7289" s="355"/>
    </row>
    <row r="7290" spans="14:20" x14ac:dyDescent="0.25">
      <c r="N7290" s="514"/>
      <c r="R7290" s="293"/>
      <c r="S7290" s="316"/>
      <c r="T7290" s="355"/>
    </row>
    <row r="7291" spans="14:20" x14ac:dyDescent="0.25">
      <c r="N7291" s="514"/>
      <c r="R7291" s="293"/>
      <c r="S7291" s="316"/>
      <c r="T7291" s="355"/>
    </row>
    <row r="7292" spans="14:20" x14ac:dyDescent="0.25">
      <c r="N7292" s="514"/>
      <c r="R7292" s="293"/>
      <c r="S7292" s="316"/>
      <c r="T7292" s="355"/>
    </row>
    <row r="7293" spans="14:20" x14ac:dyDescent="0.25">
      <c r="N7293" s="514"/>
      <c r="R7293" s="293"/>
      <c r="S7293" s="316"/>
      <c r="T7293" s="355"/>
    </row>
    <row r="7294" spans="14:20" x14ac:dyDescent="0.25">
      <c r="N7294" s="514"/>
      <c r="R7294" s="293"/>
      <c r="S7294" s="316"/>
      <c r="T7294" s="355"/>
    </row>
    <row r="7295" spans="14:20" x14ac:dyDescent="0.25">
      <c r="N7295" s="514"/>
      <c r="R7295" s="293"/>
      <c r="S7295" s="316"/>
      <c r="T7295" s="355"/>
    </row>
    <row r="7296" spans="14:20" x14ac:dyDescent="0.25">
      <c r="N7296" s="514"/>
      <c r="R7296" s="293"/>
      <c r="S7296" s="316"/>
      <c r="T7296" s="355"/>
    </row>
    <row r="7297" spans="14:20" x14ac:dyDescent="0.25">
      <c r="N7297" s="514"/>
      <c r="R7297" s="293"/>
      <c r="S7297" s="316"/>
      <c r="T7297" s="355"/>
    </row>
    <row r="7298" spans="14:20" x14ac:dyDescent="0.25">
      <c r="N7298" s="514"/>
      <c r="R7298" s="293"/>
      <c r="S7298" s="316"/>
      <c r="T7298" s="355"/>
    </row>
    <row r="7299" spans="14:20" x14ac:dyDescent="0.25">
      <c r="N7299" s="514"/>
      <c r="R7299" s="293"/>
      <c r="S7299" s="316"/>
      <c r="T7299" s="355"/>
    </row>
    <row r="7300" spans="14:20" x14ac:dyDescent="0.25">
      <c r="N7300" s="514"/>
      <c r="R7300" s="293"/>
      <c r="S7300" s="316"/>
      <c r="T7300" s="355"/>
    </row>
    <row r="7301" spans="14:20" x14ac:dyDescent="0.25">
      <c r="N7301" s="514"/>
      <c r="R7301" s="293"/>
      <c r="S7301" s="316"/>
      <c r="T7301" s="355"/>
    </row>
    <row r="7302" spans="14:20" x14ac:dyDescent="0.25">
      <c r="N7302" s="514"/>
      <c r="R7302" s="293"/>
      <c r="S7302" s="316"/>
      <c r="T7302" s="355"/>
    </row>
    <row r="7303" spans="14:20" x14ac:dyDescent="0.25">
      <c r="N7303" s="514"/>
      <c r="R7303" s="293"/>
      <c r="S7303" s="316"/>
      <c r="T7303" s="355"/>
    </row>
    <row r="7304" spans="14:20" x14ac:dyDescent="0.25">
      <c r="N7304" s="514"/>
      <c r="R7304" s="293"/>
      <c r="S7304" s="316"/>
      <c r="T7304" s="355"/>
    </row>
    <row r="7305" spans="14:20" x14ac:dyDescent="0.25">
      <c r="N7305" s="514"/>
      <c r="R7305" s="293"/>
      <c r="S7305" s="316"/>
      <c r="T7305" s="355"/>
    </row>
    <row r="7306" spans="14:20" x14ac:dyDescent="0.25">
      <c r="N7306" s="514"/>
      <c r="R7306" s="293"/>
      <c r="S7306" s="316"/>
      <c r="T7306" s="355"/>
    </row>
    <row r="7307" spans="14:20" x14ac:dyDescent="0.25">
      <c r="N7307" s="514"/>
      <c r="R7307" s="293"/>
      <c r="S7307" s="316"/>
      <c r="T7307" s="355"/>
    </row>
    <row r="7308" spans="14:20" x14ac:dyDescent="0.25">
      <c r="N7308" s="514"/>
      <c r="R7308" s="293"/>
      <c r="S7308" s="316"/>
      <c r="T7308" s="355"/>
    </row>
    <row r="7309" spans="14:20" x14ac:dyDescent="0.25">
      <c r="N7309" s="514"/>
      <c r="R7309" s="293"/>
      <c r="S7309" s="316"/>
      <c r="T7309" s="355"/>
    </row>
    <row r="7310" spans="14:20" x14ac:dyDescent="0.25">
      <c r="N7310" s="514"/>
      <c r="R7310" s="293"/>
      <c r="S7310" s="316"/>
      <c r="T7310" s="355"/>
    </row>
    <row r="7311" spans="14:20" x14ac:dyDescent="0.25">
      <c r="N7311" s="514"/>
      <c r="R7311" s="293"/>
      <c r="S7311" s="316"/>
      <c r="T7311" s="355"/>
    </row>
    <row r="7312" spans="14:20" x14ac:dyDescent="0.25">
      <c r="N7312" s="514"/>
      <c r="R7312" s="293"/>
      <c r="S7312" s="316"/>
      <c r="T7312" s="355"/>
    </row>
    <row r="7313" spans="14:20" x14ac:dyDescent="0.25">
      <c r="N7313" s="514"/>
      <c r="R7313" s="293"/>
      <c r="S7313" s="316"/>
      <c r="T7313" s="355"/>
    </row>
    <row r="7314" spans="14:20" x14ac:dyDescent="0.25">
      <c r="N7314" s="514"/>
      <c r="R7314" s="293"/>
      <c r="S7314" s="316"/>
      <c r="T7314" s="355"/>
    </row>
    <row r="7315" spans="14:20" x14ac:dyDescent="0.25">
      <c r="N7315" s="514"/>
      <c r="R7315" s="293"/>
      <c r="S7315" s="316"/>
      <c r="T7315" s="355"/>
    </row>
    <row r="7316" spans="14:20" x14ac:dyDescent="0.25">
      <c r="N7316" s="514"/>
      <c r="R7316" s="293"/>
      <c r="S7316" s="316"/>
      <c r="T7316" s="355"/>
    </row>
    <row r="7317" spans="14:20" x14ac:dyDescent="0.25">
      <c r="N7317" s="514"/>
      <c r="R7317" s="293"/>
      <c r="S7317" s="316"/>
      <c r="T7317" s="355"/>
    </row>
    <row r="7318" spans="14:20" x14ac:dyDescent="0.25">
      <c r="N7318" s="514"/>
      <c r="R7318" s="293"/>
      <c r="S7318" s="316"/>
      <c r="T7318" s="355"/>
    </row>
    <row r="7319" spans="14:20" x14ac:dyDescent="0.25">
      <c r="N7319" s="514"/>
      <c r="R7319" s="293"/>
      <c r="S7319" s="316"/>
      <c r="T7319" s="355"/>
    </row>
    <row r="7320" spans="14:20" x14ac:dyDescent="0.25">
      <c r="N7320" s="514"/>
      <c r="R7320" s="293"/>
      <c r="S7320" s="316"/>
      <c r="T7320" s="355"/>
    </row>
    <row r="7321" spans="14:20" x14ac:dyDescent="0.25">
      <c r="N7321" s="514"/>
      <c r="R7321" s="293"/>
      <c r="S7321" s="316"/>
      <c r="T7321" s="355"/>
    </row>
    <row r="7322" spans="14:20" x14ac:dyDescent="0.25">
      <c r="N7322" s="514"/>
      <c r="R7322" s="293"/>
      <c r="S7322" s="316"/>
      <c r="T7322" s="355"/>
    </row>
    <row r="7323" spans="14:20" x14ac:dyDescent="0.25">
      <c r="N7323" s="514"/>
      <c r="R7323" s="293"/>
      <c r="S7323" s="316"/>
      <c r="T7323" s="355"/>
    </row>
    <row r="7324" spans="14:20" x14ac:dyDescent="0.25">
      <c r="N7324" s="514"/>
      <c r="R7324" s="293"/>
      <c r="S7324" s="316"/>
      <c r="T7324" s="355"/>
    </row>
    <row r="7325" spans="14:20" x14ac:dyDescent="0.25">
      <c r="N7325" s="514"/>
      <c r="R7325" s="293"/>
      <c r="S7325" s="316"/>
      <c r="T7325" s="355"/>
    </row>
    <row r="7326" spans="14:20" x14ac:dyDescent="0.25">
      <c r="N7326" s="514"/>
      <c r="R7326" s="293"/>
      <c r="S7326" s="316"/>
      <c r="T7326" s="355"/>
    </row>
    <row r="7327" spans="14:20" x14ac:dyDescent="0.25">
      <c r="N7327" s="514"/>
      <c r="R7327" s="293"/>
      <c r="S7327" s="316"/>
      <c r="T7327" s="355"/>
    </row>
    <row r="7328" spans="14:20" x14ac:dyDescent="0.25">
      <c r="N7328" s="514"/>
      <c r="R7328" s="293"/>
      <c r="S7328" s="316"/>
      <c r="T7328" s="355"/>
    </row>
    <row r="7329" spans="14:20" x14ac:dyDescent="0.25">
      <c r="N7329" s="514"/>
      <c r="R7329" s="293"/>
      <c r="S7329" s="316"/>
      <c r="T7329" s="355"/>
    </row>
    <row r="7330" spans="14:20" x14ac:dyDescent="0.25">
      <c r="N7330" s="514"/>
      <c r="R7330" s="293"/>
      <c r="S7330" s="316"/>
      <c r="T7330" s="355"/>
    </row>
    <row r="7331" spans="14:20" x14ac:dyDescent="0.25">
      <c r="N7331" s="514"/>
      <c r="R7331" s="293"/>
      <c r="S7331" s="316"/>
      <c r="T7331" s="355"/>
    </row>
    <row r="7332" spans="14:20" x14ac:dyDescent="0.25">
      <c r="N7332" s="514"/>
      <c r="R7332" s="293"/>
      <c r="S7332" s="316"/>
      <c r="T7332" s="355"/>
    </row>
    <row r="7333" spans="14:20" x14ac:dyDescent="0.25">
      <c r="N7333" s="514"/>
      <c r="R7333" s="293"/>
      <c r="S7333" s="316"/>
      <c r="T7333" s="355"/>
    </row>
    <row r="7334" spans="14:20" x14ac:dyDescent="0.25">
      <c r="N7334" s="514"/>
      <c r="R7334" s="293"/>
      <c r="S7334" s="316"/>
      <c r="T7334" s="355"/>
    </row>
    <row r="7335" spans="14:20" x14ac:dyDescent="0.25">
      <c r="N7335" s="514"/>
      <c r="R7335" s="293"/>
      <c r="S7335" s="316"/>
      <c r="T7335" s="355"/>
    </row>
    <row r="7336" spans="14:20" x14ac:dyDescent="0.25">
      <c r="N7336" s="514"/>
      <c r="R7336" s="293"/>
      <c r="S7336" s="316"/>
      <c r="T7336" s="355"/>
    </row>
    <row r="7337" spans="14:20" x14ac:dyDescent="0.25">
      <c r="N7337" s="514"/>
      <c r="R7337" s="293"/>
      <c r="S7337" s="316"/>
      <c r="T7337" s="355"/>
    </row>
    <row r="7338" spans="14:20" x14ac:dyDescent="0.25">
      <c r="N7338" s="514"/>
      <c r="R7338" s="293"/>
      <c r="S7338" s="316"/>
      <c r="T7338" s="355"/>
    </row>
    <row r="7339" spans="14:20" x14ac:dyDescent="0.25">
      <c r="N7339" s="514"/>
      <c r="R7339" s="293"/>
      <c r="S7339" s="316"/>
      <c r="T7339" s="355"/>
    </row>
    <row r="7340" spans="14:20" x14ac:dyDescent="0.25">
      <c r="N7340" s="514"/>
      <c r="R7340" s="293"/>
      <c r="S7340" s="316"/>
      <c r="T7340" s="355"/>
    </row>
    <row r="7341" spans="14:20" x14ac:dyDescent="0.25">
      <c r="N7341" s="514"/>
      <c r="R7341" s="293"/>
      <c r="S7341" s="316"/>
      <c r="T7341" s="355"/>
    </row>
    <row r="7342" spans="14:20" x14ac:dyDescent="0.25">
      <c r="N7342" s="514"/>
      <c r="R7342" s="293"/>
      <c r="S7342" s="316"/>
      <c r="T7342" s="355"/>
    </row>
    <row r="7343" spans="14:20" x14ac:dyDescent="0.25">
      <c r="N7343" s="514"/>
      <c r="R7343" s="293"/>
      <c r="S7343" s="316"/>
      <c r="T7343" s="355"/>
    </row>
    <row r="7344" spans="14:20" x14ac:dyDescent="0.25">
      <c r="N7344" s="514"/>
      <c r="R7344" s="293"/>
      <c r="S7344" s="316"/>
      <c r="T7344" s="355"/>
    </row>
    <row r="7345" spans="14:20" x14ac:dyDescent="0.25">
      <c r="N7345" s="514"/>
      <c r="R7345" s="293"/>
      <c r="S7345" s="316"/>
      <c r="T7345" s="355"/>
    </row>
    <row r="7346" spans="14:20" x14ac:dyDescent="0.25">
      <c r="N7346" s="514"/>
      <c r="R7346" s="293"/>
      <c r="S7346" s="316"/>
      <c r="T7346" s="355"/>
    </row>
    <row r="7347" spans="14:20" x14ac:dyDescent="0.25">
      <c r="N7347" s="514"/>
      <c r="R7347" s="293"/>
      <c r="S7347" s="316"/>
      <c r="T7347" s="355"/>
    </row>
    <row r="7348" spans="14:20" x14ac:dyDescent="0.25">
      <c r="N7348" s="514"/>
      <c r="R7348" s="293"/>
      <c r="S7348" s="316"/>
      <c r="T7348" s="355"/>
    </row>
    <row r="7349" spans="14:20" x14ac:dyDescent="0.25">
      <c r="N7349" s="514"/>
      <c r="R7349" s="293"/>
      <c r="S7349" s="316"/>
      <c r="T7349" s="355"/>
    </row>
    <row r="7350" spans="14:20" x14ac:dyDescent="0.25">
      <c r="N7350" s="514"/>
      <c r="R7350" s="293"/>
      <c r="S7350" s="316"/>
      <c r="T7350" s="355"/>
    </row>
    <row r="7351" spans="14:20" x14ac:dyDescent="0.25">
      <c r="N7351" s="514"/>
      <c r="R7351" s="293"/>
      <c r="S7351" s="316"/>
      <c r="T7351" s="355"/>
    </row>
    <row r="7352" spans="14:20" x14ac:dyDescent="0.25">
      <c r="N7352" s="514"/>
      <c r="R7352" s="293"/>
      <c r="S7352" s="316"/>
      <c r="T7352" s="355"/>
    </row>
    <row r="7353" spans="14:20" x14ac:dyDescent="0.25">
      <c r="N7353" s="514"/>
      <c r="R7353" s="293"/>
      <c r="S7353" s="316"/>
      <c r="T7353" s="355"/>
    </row>
    <row r="7354" spans="14:20" x14ac:dyDescent="0.25">
      <c r="N7354" s="514"/>
      <c r="R7354" s="293"/>
      <c r="S7354" s="316"/>
      <c r="T7354" s="355"/>
    </row>
    <row r="7355" spans="14:20" x14ac:dyDescent="0.25">
      <c r="N7355" s="514"/>
      <c r="R7355" s="293"/>
      <c r="S7355" s="316"/>
      <c r="T7355" s="355"/>
    </row>
    <row r="7356" spans="14:20" x14ac:dyDescent="0.25">
      <c r="N7356" s="514"/>
      <c r="R7356" s="293"/>
      <c r="S7356" s="316"/>
      <c r="T7356" s="355"/>
    </row>
    <row r="7357" spans="14:20" x14ac:dyDescent="0.25">
      <c r="N7357" s="514"/>
      <c r="R7357" s="293"/>
      <c r="S7357" s="316"/>
      <c r="T7357" s="355"/>
    </row>
    <row r="7358" spans="14:20" x14ac:dyDescent="0.25">
      <c r="N7358" s="514"/>
      <c r="R7358" s="293"/>
      <c r="S7358" s="316"/>
      <c r="T7358" s="355"/>
    </row>
    <row r="7359" spans="14:20" x14ac:dyDescent="0.25">
      <c r="N7359" s="514"/>
      <c r="R7359" s="293"/>
      <c r="S7359" s="316"/>
      <c r="T7359" s="355"/>
    </row>
    <row r="7360" spans="14:20" x14ac:dyDescent="0.25">
      <c r="N7360" s="514"/>
      <c r="R7360" s="293"/>
      <c r="S7360" s="316"/>
      <c r="T7360" s="355"/>
    </row>
    <row r="7361" spans="14:20" x14ac:dyDescent="0.25">
      <c r="N7361" s="514"/>
      <c r="R7361" s="293"/>
      <c r="S7361" s="316"/>
      <c r="T7361" s="355"/>
    </row>
    <row r="7362" spans="14:20" x14ac:dyDescent="0.25">
      <c r="N7362" s="514"/>
      <c r="R7362" s="293"/>
      <c r="S7362" s="316"/>
      <c r="T7362" s="355"/>
    </row>
    <row r="7363" spans="14:20" x14ac:dyDescent="0.25">
      <c r="N7363" s="514"/>
      <c r="R7363" s="293"/>
      <c r="S7363" s="316"/>
      <c r="T7363" s="355"/>
    </row>
    <row r="7364" spans="14:20" x14ac:dyDescent="0.25">
      <c r="N7364" s="514"/>
      <c r="R7364" s="293"/>
      <c r="S7364" s="316"/>
      <c r="T7364" s="355"/>
    </row>
    <row r="7365" spans="14:20" x14ac:dyDescent="0.25">
      <c r="N7365" s="514"/>
      <c r="R7365" s="293"/>
      <c r="S7365" s="316"/>
      <c r="T7365" s="355"/>
    </row>
    <row r="7366" spans="14:20" x14ac:dyDescent="0.25">
      <c r="N7366" s="514"/>
      <c r="R7366" s="293"/>
      <c r="S7366" s="316"/>
      <c r="T7366" s="355"/>
    </row>
    <row r="7367" spans="14:20" x14ac:dyDescent="0.25">
      <c r="N7367" s="514"/>
      <c r="R7367" s="293"/>
      <c r="S7367" s="316"/>
      <c r="T7367" s="355"/>
    </row>
    <row r="7368" spans="14:20" x14ac:dyDescent="0.25">
      <c r="N7368" s="514"/>
      <c r="R7368" s="293"/>
      <c r="S7368" s="316"/>
      <c r="T7368" s="355"/>
    </row>
    <row r="7369" spans="14:20" x14ac:dyDescent="0.25">
      <c r="N7369" s="514"/>
      <c r="R7369" s="293"/>
      <c r="S7369" s="316"/>
      <c r="T7369" s="355"/>
    </row>
    <row r="7370" spans="14:20" x14ac:dyDescent="0.25">
      <c r="N7370" s="514"/>
      <c r="R7370" s="293"/>
      <c r="S7370" s="316"/>
      <c r="T7370" s="355"/>
    </row>
    <row r="7371" spans="14:20" x14ac:dyDescent="0.25">
      <c r="N7371" s="514"/>
      <c r="R7371" s="293"/>
      <c r="S7371" s="316"/>
      <c r="T7371" s="355"/>
    </row>
    <row r="7372" spans="14:20" x14ac:dyDescent="0.25">
      <c r="N7372" s="514"/>
      <c r="R7372" s="293"/>
      <c r="S7372" s="316"/>
      <c r="T7372" s="355"/>
    </row>
    <row r="7373" spans="14:20" x14ac:dyDescent="0.25">
      <c r="N7373" s="514"/>
      <c r="R7373" s="293"/>
      <c r="S7373" s="316"/>
      <c r="T7373" s="355"/>
    </row>
    <row r="7374" spans="14:20" x14ac:dyDescent="0.25">
      <c r="N7374" s="514"/>
      <c r="R7374" s="293"/>
      <c r="S7374" s="316"/>
      <c r="T7374" s="355"/>
    </row>
    <row r="7375" spans="14:20" x14ac:dyDescent="0.25">
      <c r="N7375" s="514"/>
      <c r="R7375" s="293"/>
      <c r="S7375" s="316"/>
      <c r="T7375" s="355"/>
    </row>
    <row r="7376" spans="14:20" x14ac:dyDescent="0.25">
      <c r="N7376" s="514"/>
      <c r="R7376" s="293"/>
      <c r="S7376" s="316"/>
      <c r="T7376" s="355"/>
    </row>
    <row r="7377" spans="14:20" x14ac:dyDescent="0.25">
      <c r="N7377" s="514"/>
      <c r="R7377" s="293"/>
      <c r="S7377" s="316"/>
      <c r="T7377" s="355"/>
    </row>
    <row r="7378" spans="14:20" x14ac:dyDescent="0.25">
      <c r="N7378" s="514"/>
      <c r="R7378" s="293"/>
      <c r="S7378" s="316"/>
      <c r="T7378" s="355"/>
    </row>
    <row r="7379" spans="14:20" x14ac:dyDescent="0.25">
      <c r="N7379" s="514"/>
      <c r="R7379" s="293"/>
      <c r="S7379" s="316"/>
      <c r="T7379" s="355"/>
    </row>
    <row r="7380" spans="14:20" x14ac:dyDescent="0.25">
      <c r="N7380" s="514"/>
      <c r="R7380" s="293"/>
      <c r="S7380" s="316"/>
      <c r="T7380" s="355"/>
    </row>
    <row r="7381" spans="14:20" x14ac:dyDescent="0.25">
      <c r="N7381" s="514"/>
      <c r="R7381" s="293"/>
      <c r="S7381" s="316"/>
      <c r="T7381" s="355"/>
    </row>
    <row r="7382" spans="14:20" x14ac:dyDescent="0.25">
      <c r="N7382" s="514"/>
      <c r="R7382" s="293"/>
      <c r="S7382" s="316"/>
      <c r="T7382" s="355"/>
    </row>
    <row r="7383" spans="14:20" x14ac:dyDescent="0.25">
      <c r="N7383" s="514"/>
      <c r="R7383" s="293"/>
      <c r="S7383" s="316"/>
      <c r="T7383" s="355"/>
    </row>
    <row r="7384" spans="14:20" x14ac:dyDescent="0.25">
      <c r="N7384" s="514"/>
      <c r="R7384" s="293"/>
      <c r="S7384" s="316"/>
      <c r="T7384" s="355"/>
    </row>
    <row r="7385" spans="14:20" x14ac:dyDescent="0.25">
      <c r="N7385" s="514"/>
      <c r="R7385" s="293"/>
      <c r="S7385" s="316"/>
      <c r="T7385" s="355"/>
    </row>
    <row r="7386" spans="14:20" x14ac:dyDescent="0.25">
      <c r="N7386" s="514"/>
      <c r="R7386" s="293"/>
      <c r="S7386" s="316"/>
      <c r="T7386" s="355"/>
    </row>
    <row r="7387" spans="14:20" x14ac:dyDescent="0.25">
      <c r="N7387" s="514"/>
      <c r="R7387" s="293"/>
      <c r="S7387" s="316"/>
      <c r="T7387" s="355"/>
    </row>
    <row r="7388" spans="14:20" x14ac:dyDescent="0.25">
      <c r="N7388" s="514"/>
      <c r="R7388" s="293"/>
      <c r="S7388" s="316"/>
      <c r="T7388" s="355"/>
    </row>
    <row r="7389" spans="14:20" x14ac:dyDescent="0.25">
      <c r="N7389" s="514"/>
      <c r="R7389" s="293"/>
      <c r="S7389" s="316"/>
      <c r="T7389" s="355"/>
    </row>
    <row r="7390" spans="14:20" x14ac:dyDescent="0.25">
      <c r="N7390" s="514"/>
      <c r="R7390" s="293"/>
      <c r="S7390" s="316"/>
      <c r="T7390" s="355"/>
    </row>
    <row r="7391" spans="14:20" x14ac:dyDescent="0.25">
      <c r="N7391" s="514"/>
      <c r="R7391" s="293"/>
      <c r="S7391" s="316"/>
      <c r="T7391" s="355"/>
    </row>
    <row r="7392" spans="14:20" x14ac:dyDescent="0.25">
      <c r="N7392" s="514"/>
      <c r="R7392" s="293"/>
      <c r="S7392" s="316"/>
      <c r="T7392" s="355"/>
    </row>
    <row r="7393" spans="14:20" x14ac:dyDescent="0.25">
      <c r="N7393" s="514"/>
      <c r="R7393" s="293"/>
      <c r="S7393" s="316"/>
      <c r="T7393" s="355"/>
    </row>
    <row r="7394" spans="14:20" x14ac:dyDescent="0.25">
      <c r="N7394" s="514"/>
      <c r="R7394" s="293"/>
      <c r="S7394" s="316"/>
      <c r="T7394" s="355"/>
    </row>
    <row r="7395" spans="14:20" x14ac:dyDescent="0.25">
      <c r="N7395" s="514"/>
      <c r="R7395" s="293"/>
      <c r="S7395" s="316"/>
      <c r="T7395" s="355"/>
    </row>
    <row r="7396" spans="14:20" x14ac:dyDescent="0.25">
      <c r="N7396" s="514"/>
      <c r="R7396" s="293"/>
      <c r="S7396" s="316"/>
      <c r="T7396" s="355"/>
    </row>
    <row r="7397" spans="14:20" x14ac:dyDescent="0.25">
      <c r="N7397" s="514"/>
      <c r="R7397" s="293"/>
      <c r="S7397" s="316"/>
      <c r="T7397" s="355"/>
    </row>
    <row r="7398" spans="14:20" x14ac:dyDescent="0.25">
      <c r="N7398" s="514"/>
      <c r="R7398" s="293"/>
      <c r="S7398" s="316"/>
      <c r="T7398" s="355"/>
    </row>
    <row r="7399" spans="14:20" x14ac:dyDescent="0.25">
      <c r="N7399" s="514"/>
      <c r="R7399" s="293"/>
      <c r="S7399" s="316"/>
      <c r="T7399" s="355"/>
    </row>
    <row r="7400" spans="14:20" x14ac:dyDescent="0.25">
      <c r="N7400" s="514"/>
      <c r="R7400" s="293"/>
      <c r="S7400" s="316"/>
      <c r="T7400" s="355"/>
    </row>
    <row r="7401" spans="14:20" x14ac:dyDescent="0.25">
      <c r="N7401" s="514"/>
      <c r="R7401" s="293"/>
      <c r="S7401" s="316"/>
      <c r="T7401" s="355"/>
    </row>
    <row r="7402" spans="14:20" x14ac:dyDescent="0.25">
      <c r="N7402" s="514"/>
      <c r="R7402" s="293"/>
      <c r="S7402" s="316"/>
      <c r="T7402" s="355"/>
    </row>
    <row r="7403" spans="14:20" x14ac:dyDescent="0.25">
      <c r="N7403" s="514"/>
      <c r="R7403" s="293"/>
      <c r="S7403" s="316"/>
      <c r="T7403" s="355"/>
    </row>
    <row r="7404" spans="14:20" x14ac:dyDescent="0.25">
      <c r="N7404" s="514"/>
      <c r="R7404" s="293"/>
      <c r="S7404" s="316"/>
      <c r="T7404" s="355"/>
    </row>
    <row r="7405" spans="14:20" x14ac:dyDescent="0.25">
      <c r="N7405" s="514"/>
      <c r="R7405" s="293"/>
      <c r="S7405" s="316"/>
      <c r="T7405" s="355"/>
    </row>
    <row r="7406" spans="14:20" x14ac:dyDescent="0.25">
      <c r="N7406" s="514"/>
      <c r="R7406" s="293"/>
      <c r="S7406" s="316"/>
      <c r="T7406" s="355"/>
    </row>
    <row r="7407" spans="14:20" x14ac:dyDescent="0.25">
      <c r="N7407" s="514"/>
      <c r="R7407" s="293"/>
      <c r="S7407" s="316"/>
      <c r="T7407" s="355"/>
    </row>
    <row r="7408" spans="14:20" x14ac:dyDescent="0.25">
      <c r="N7408" s="514"/>
      <c r="R7408" s="293"/>
      <c r="S7408" s="316"/>
      <c r="T7408" s="355"/>
    </row>
    <row r="7409" spans="14:20" x14ac:dyDescent="0.25">
      <c r="N7409" s="514"/>
      <c r="R7409" s="293"/>
      <c r="S7409" s="316"/>
      <c r="T7409" s="355"/>
    </row>
    <row r="7410" spans="14:20" x14ac:dyDescent="0.25">
      <c r="N7410" s="514"/>
      <c r="R7410" s="293"/>
      <c r="S7410" s="316"/>
      <c r="T7410" s="355"/>
    </row>
    <row r="7411" spans="14:20" x14ac:dyDescent="0.25">
      <c r="N7411" s="514"/>
      <c r="R7411" s="293"/>
      <c r="S7411" s="316"/>
      <c r="T7411" s="355"/>
    </row>
    <row r="7412" spans="14:20" x14ac:dyDescent="0.25">
      <c r="N7412" s="514"/>
      <c r="R7412" s="293"/>
      <c r="S7412" s="316"/>
      <c r="T7412" s="355"/>
    </row>
    <row r="7413" spans="14:20" x14ac:dyDescent="0.25">
      <c r="N7413" s="514"/>
      <c r="R7413" s="293"/>
      <c r="S7413" s="316"/>
      <c r="T7413" s="355"/>
    </row>
    <row r="7414" spans="14:20" x14ac:dyDescent="0.25">
      <c r="N7414" s="514"/>
      <c r="R7414" s="293"/>
      <c r="S7414" s="316"/>
      <c r="T7414" s="355"/>
    </row>
    <row r="7415" spans="14:20" x14ac:dyDescent="0.25">
      <c r="N7415" s="514"/>
      <c r="R7415" s="293"/>
      <c r="S7415" s="316"/>
      <c r="T7415" s="355"/>
    </row>
    <row r="7416" spans="14:20" x14ac:dyDescent="0.25">
      <c r="N7416" s="514"/>
      <c r="R7416" s="293"/>
      <c r="S7416" s="316"/>
      <c r="T7416" s="355"/>
    </row>
    <row r="7417" spans="14:20" x14ac:dyDescent="0.25">
      <c r="N7417" s="514"/>
      <c r="R7417" s="293"/>
      <c r="S7417" s="316"/>
      <c r="T7417" s="355"/>
    </row>
    <row r="7418" spans="14:20" x14ac:dyDescent="0.25">
      <c r="N7418" s="514"/>
      <c r="R7418" s="293"/>
      <c r="S7418" s="316"/>
      <c r="T7418" s="355"/>
    </row>
    <row r="7419" spans="14:20" x14ac:dyDescent="0.25">
      <c r="N7419" s="514"/>
      <c r="R7419" s="293"/>
      <c r="S7419" s="316"/>
      <c r="T7419" s="355"/>
    </row>
    <row r="7420" spans="14:20" x14ac:dyDescent="0.25">
      <c r="N7420" s="514"/>
      <c r="R7420" s="293"/>
      <c r="S7420" s="316"/>
      <c r="T7420" s="355"/>
    </row>
    <row r="7421" spans="14:20" x14ac:dyDescent="0.25">
      <c r="N7421" s="514"/>
      <c r="R7421" s="293"/>
      <c r="S7421" s="316"/>
      <c r="T7421" s="355"/>
    </row>
    <row r="7422" spans="14:20" x14ac:dyDescent="0.25">
      <c r="N7422" s="514"/>
      <c r="R7422" s="293"/>
      <c r="S7422" s="316"/>
      <c r="T7422" s="355"/>
    </row>
    <row r="7423" spans="14:20" x14ac:dyDescent="0.25">
      <c r="N7423" s="514"/>
      <c r="R7423" s="293"/>
      <c r="S7423" s="316"/>
      <c r="T7423" s="355"/>
    </row>
    <row r="7424" spans="14:20" x14ac:dyDescent="0.25">
      <c r="N7424" s="514"/>
      <c r="R7424" s="293"/>
      <c r="S7424" s="316"/>
      <c r="T7424" s="355"/>
    </row>
    <row r="7425" spans="14:20" x14ac:dyDescent="0.25">
      <c r="N7425" s="514"/>
      <c r="R7425" s="293"/>
      <c r="S7425" s="316"/>
      <c r="T7425" s="355"/>
    </row>
    <row r="7426" spans="14:20" x14ac:dyDescent="0.25">
      <c r="N7426" s="514"/>
      <c r="R7426" s="293"/>
      <c r="S7426" s="316"/>
      <c r="T7426" s="355"/>
    </row>
    <row r="7427" spans="14:20" x14ac:dyDescent="0.25">
      <c r="N7427" s="514"/>
      <c r="R7427" s="293"/>
      <c r="S7427" s="316"/>
      <c r="T7427" s="355"/>
    </row>
    <row r="7428" spans="14:20" x14ac:dyDescent="0.25">
      <c r="N7428" s="514"/>
      <c r="R7428" s="293"/>
      <c r="S7428" s="316"/>
      <c r="T7428" s="355"/>
    </row>
    <row r="7429" spans="14:20" x14ac:dyDescent="0.25">
      <c r="N7429" s="514"/>
      <c r="R7429" s="293"/>
      <c r="S7429" s="316"/>
      <c r="T7429" s="355"/>
    </row>
    <row r="7430" spans="14:20" x14ac:dyDescent="0.25">
      <c r="N7430" s="514"/>
      <c r="R7430" s="293"/>
      <c r="S7430" s="316"/>
      <c r="T7430" s="355"/>
    </row>
    <row r="7431" spans="14:20" x14ac:dyDescent="0.25">
      <c r="N7431" s="514"/>
      <c r="R7431" s="293"/>
      <c r="S7431" s="316"/>
      <c r="T7431" s="355"/>
    </row>
    <row r="7432" spans="14:20" x14ac:dyDescent="0.25">
      <c r="N7432" s="514"/>
      <c r="R7432" s="293"/>
      <c r="S7432" s="316"/>
      <c r="T7432" s="355"/>
    </row>
    <row r="7433" spans="14:20" x14ac:dyDescent="0.25">
      <c r="N7433" s="514"/>
      <c r="R7433" s="293"/>
      <c r="S7433" s="316"/>
      <c r="T7433" s="355"/>
    </row>
    <row r="7434" spans="14:20" x14ac:dyDescent="0.25">
      <c r="N7434" s="514"/>
      <c r="R7434" s="293"/>
      <c r="S7434" s="316"/>
      <c r="T7434" s="355"/>
    </row>
    <row r="7435" spans="14:20" x14ac:dyDescent="0.25">
      <c r="N7435" s="514"/>
      <c r="R7435" s="293"/>
      <c r="S7435" s="316"/>
      <c r="T7435" s="355"/>
    </row>
    <row r="7436" spans="14:20" x14ac:dyDescent="0.25">
      <c r="N7436" s="514"/>
      <c r="R7436" s="293"/>
      <c r="S7436" s="316"/>
      <c r="T7436" s="355"/>
    </row>
    <row r="7437" spans="14:20" x14ac:dyDescent="0.25">
      <c r="N7437" s="514"/>
      <c r="R7437" s="293"/>
      <c r="S7437" s="316"/>
      <c r="T7437" s="355"/>
    </row>
    <row r="7438" spans="14:20" x14ac:dyDescent="0.25">
      <c r="N7438" s="514"/>
      <c r="R7438" s="293"/>
      <c r="S7438" s="316"/>
      <c r="T7438" s="355"/>
    </row>
    <row r="7439" spans="14:20" x14ac:dyDescent="0.25">
      <c r="N7439" s="514"/>
      <c r="R7439" s="293"/>
      <c r="S7439" s="316"/>
      <c r="T7439" s="355"/>
    </row>
    <row r="7440" spans="14:20" x14ac:dyDescent="0.25">
      <c r="N7440" s="514"/>
      <c r="R7440" s="293"/>
      <c r="S7440" s="316"/>
      <c r="T7440" s="355"/>
    </row>
    <row r="7441" spans="14:20" x14ac:dyDescent="0.25">
      <c r="N7441" s="514"/>
      <c r="R7441" s="293"/>
      <c r="S7441" s="316"/>
      <c r="T7441" s="355"/>
    </row>
    <row r="7442" spans="14:20" x14ac:dyDescent="0.25">
      <c r="N7442" s="514"/>
      <c r="R7442" s="293"/>
      <c r="S7442" s="316"/>
      <c r="T7442" s="355"/>
    </row>
    <row r="7443" spans="14:20" x14ac:dyDescent="0.25">
      <c r="N7443" s="514"/>
      <c r="R7443" s="293"/>
      <c r="S7443" s="316"/>
      <c r="T7443" s="355"/>
    </row>
    <row r="7444" spans="14:20" x14ac:dyDescent="0.25">
      <c r="N7444" s="514"/>
      <c r="R7444" s="293"/>
      <c r="S7444" s="316"/>
      <c r="T7444" s="355"/>
    </row>
    <row r="7445" spans="14:20" x14ac:dyDescent="0.25">
      <c r="N7445" s="514"/>
      <c r="R7445" s="293"/>
      <c r="S7445" s="316"/>
      <c r="T7445" s="355"/>
    </row>
    <row r="7446" spans="14:20" x14ac:dyDescent="0.25">
      <c r="N7446" s="514"/>
      <c r="R7446" s="293"/>
      <c r="S7446" s="316"/>
      <c r="T7446" s="355"/>
    </row>
    <row r="7447" spans="14:20" x14ac:dyDescent="0.25">
      <c r="N7447" s="514"/>
      <c r="R7447" s="293"/>
      <c r="S7447" s="316"/>
      <c r="T7447" s="355"/>
    </row>
    <row r="7448" spans="14:20" x14ac:dyDescent="0.25">
      <c r="N7448" s="514"/>
      <c r="R7448" s="293"/>
      <c r="S7448" s="316"/>
      <c r="T7448" s="355"/>
    </row>
    <row r="7449" spans="14:20" x14ac:dyDescent="0.25">
      <c r="N7449" s="514"/>
      <c r="R7449" s="293"/>
      <c r="S7449" s="316"/>
      <c r="T7449" s="355"/>
    </row>
    <row r="7450" spans="14:20" x14ac:dyDescent="0.25">
      <c r="N7450" s="514"/>
      <c r="R7450" s="293"/>
      <c r="S7450" s="316"/>
      <c r="T7450" s="355"/>
    </row>
    <row r="7451" spans="14:20" x14ac:dyDescent="0.25">
      <c r="N7451" s="514"/>
      <c r="R7451" s="293"/>
      <c r="S7451" s="316"/>
      <c r="T7451" s="355"/>
    </row>
    <row r="7452" spans="14:20" x14ac:dyDescent="0.25">
      <c r="N7452" s="514"/>
      <c r="R7452" s="293"/>
      <c r="S7452" s="316"/>
      <c r="T7452" s="355"/>
    </row>
    <row r="7453" spans="14:20" x14ac:dyDescent="0.25">
      <c r="N7453" s="514"/>
      <c r="R7453" s="293"/>
      <c r="S7453" s="316"/>
      <c r="T7453" s="355"/>
    </row>
    <row r="7454" spans="14:20" x14ac:dyDescent="0.25">
      <c r="N7454" s="514"/>
      <c r="R7454" s="293"/>
      <c r="S7454" s="316"/>
      <c r="T7454" s="355"/>
    </row>
    <row r="7455" spans="14:20" x14ac:dyDescent="0.25">
      <c r="N7455" s="514"/>
      <c r="R7455" s="293"/>
      <c r="S7455" s="316"/>
      <c r="T7455" s="355"/>
    </row>
    <row r="7456" spans="14:20" x14ac:dyDescent="0.25">
      <c r="N7456" s="514"/>
      <c r="R7456" s="293"/>
      <c r="S7456" s="316"/>
      <c r="T7456" s="355"/>
    </row>
    <row r="7457" spans="14:20" x14ac:dyDescent="0.25">
      <c r="N7457" s="514"/>
      <c r="R7457" s="293"/>
      <c r="S7457" s="316"/>
      <c r="T7457" s="355"/>
    </row>
    <row r="7458" spans="14:20" x14ac:dyDescent="0.25">
      <c r="N7458" s="514"/>
      <c r="R7458" s="293"/>
      <c r="S7458" s="316"/>
      <c r="T7458" s="355"/>
    </row>
    <row r="7459" spans="14:20" x14ac:dyDescent="0.25">
      <c r="N7459" s="514"/>
      <c r="R7459" s="293"/>
      <c r="S7459" s="316"/>
      <c r="T7459" s="355"/>
    </row>
    <row r="7460" spans="14:20" x14ac:dyDescent="0.25">
      <c r="N7460" s="514"/>
      <c r="R7460" s="293"/>
      <c r="S7460" s="316"/>
      <c r="T7460" s="355"/>
    </row>
    <row r="7461" spans="14:20" x14ac:dyDescent="0.25">
      <c r="N7461" s="514"/>
      <c r="R7461" s="293"/>
      <c r="S7461" s="316"/>
      <c r="T7461" s="355"/>
    </row>
    <row r="7462" spans="14:20" x14ac:dyDescent="0.25">
      <c r="N7462" s="514"/>
      <c r="R7462" s="293"/>
      <c r="S7462" s="316"/>
      <c r="T7462" s="355"/>
    </row>
    <row r="7463" spans="14:20" x14ac:dyDescent="0.25">
      <c r="N7463" s="514"/>
      <c r="R7463" s="293"/>
      <c r="S7463" s="316"/>
      <c r="T7463" s="355"/>
    </row>
    <row r="7464" spans="14:20" x14ac:dyDescent="0.25">
      <c r="N7464" s="514"/>
      <c r="R7464" s="293"/>
      <c r="S7464" s="316"/>
      <c r="T7464" s="355"/>
    </row>
    <row r="7465" spans="14:20" x14ac:dyDescent="0.25">
      <c r="N7465" s="514"/>
      <c r="R7465" s="293"/>
      <c r="S7465" s="316"/>
      <c r="T7465" s="355"/>
    </row>
    <row r="7466" spans="14:20" x14ac:dyDescent="0.25">
      <c r="N7466" s="514"/>
      <c r="R7466" s="293"/>
      <c r="S7466" s="316"/>
      <c r="T7466" s="355"/>
    </row>
    <row r="7467" spans="14:20" x14ac:dyDescent="0.25">
      <c r="N7467" s="514"/>
      <c r="R7467" s="293"/>
      <c r="S7467" s="316"/>
      <c r="T7467" s="355"/>
    </row>
    <row r="7468" spans="14:20" x14ac:dyDescent="0.25">
      <c r="N7468" s="514"/>
      <c r="R7468" s="293"/>
      <c r="S7468" s="316"/>
      <c r="T7468" s="355"/>
    </row>
    <row r="7469" spans="14:20" x14ac:dyDescent="0.25">
      <c r="N7469" s="514"/>
      <c r="R7469" s="293"/>
      <c r="S7469" s="316"/>
      <c r="T7469" s="355"/>
    </row>
    <row r="7470" spans="14:20" x14ac:dyDescent="0.25">
      <c r="N7470" s="514"/>
      <c r="R7470" s="293"/>
      <c r="S7470" s="316"/>
      <c r="T7470" s="355"/>
    </row>
    <row r="7471" spans="14:20" x14ac:dyDescent="0.25">
      <c r="N7471" s="514"/>
      <c r="R7471" s="293"/>
      <c r="S7471" s="316"/>
      <c r="T7471" s="355"/>
    </row>
    <row r="7472" spans="14:20" x14ac:dyDescent="0.25">
      <c r="N7472" s="514"/>
      <c r="R7472" s="293"/>
      <c r="S7472" s="316"/>
      <c r="T7472" s="355"/>
    </row>
    <row r="7473" spans="14:20" x14ac:dyDescent="0.25">
      <c r="N7473" s="514"/>
      <c r="R7473" s="293"/>
      <c r="S7473" s="316"/>
      <c r="T7473" s="355"/>
    </row>
    <row r="7474" spans="14:20" x14ac:dyDescent="0.25">
      <c r="N7474" s="514"/>
      <c r="R7474" s="293"/>
      <c r="S7474" s="316"/>
      <c r="T7474" s="355"/>
    </row>
    <row r="7475" spans="14:20" x14ac:dyDescent="0.25">
      <c r="N7475" s="514"/>
      <c r="R7475" s="293"/>
      <c r="S7475" s="316"/>
      <c r="T7475" s="355"/>
    </row>
    <row r="7476" spans="14:20" x14ac:dyDescent="0.25">
      <c r="N7476" s="514"/>
      <c r="R7476" s="293"/>
      <c r="S7476" s="316"/>
      <c r="T7476" s="355"/>
    </row>
    <row r="7477" spans="14:20" x14ac:dyDescent="0.25">
      <c r="N7477" s="514"/>
      <c r="R7477" s="293"/>
      <c r="S7477" s="316"/>
      <c r="T7477" s="355"/>
    </row>
    <row r="7478" spans="14:20" x14ac:dyDescent="0.25">
      <c r="N7478" s="514"/>
      <c r="R7478" s="293"/>
      <c r="S7478" s="316"/>
      <c r="T7478" s="355"/>
    </row>
    <row r="7479" spans="14:20" x14ac:dyDescent="0.25">
      <c r="N7479" s="514"/>
      <c r="R7479" s="293"/>
      <c r="S7479" s="316"/>
      <c r="T7479" s="355"/>
    </row>
    <row r="7480" spans="14:20" x14ac:dyDescent="0.25">
      <c r="N7480" s="514"/>
      <c r="R7480" s="293"/>
      <c r="S7480" s="316"/>
      <c r="T7480" s="355"/>
    </row>
    <row r="7481" spans="14:20" x14ac:dyDescent="0.25">
      <c r="N7481" s="514"/>
      <c r="R7481" s="293"/>
      <c r="S7481" s="316"/>
      <c r="T7481" s="355"/>
    </row>
    <row r="7482" spans="14:20" x14ac:dyDescent="0.25">
      <c r="N7482" s="514"/>
      <c r="R7482" s="293"/>
      <c r="S7482" s="316"/>
      <c r="T7482" s="355"/>
    </row>
    <row r="7483" spans="14:20" x14ac:dyDescent="0.25">
      <c r="N7483" s="514"/>
      <c r="R7483" s="293"/>
      <c r="S7483" s="316"/>
      <c r="T7483" s="355"/>
    </row>
    <row r="7484" spans="14:20" x14ac:dyDescent="0.25">
      <c r="N7484" s="514"/>
      <c r="R7484" s="293"/>
      <c r="S7484" s="316"/>
      <c r="T7484" s="355"/>
    </row>
    <row r="7485" spans="14:20" x14ac:dyDescent="0.25">
      <c r="N7485" s="514"/>
      <c r="R7485" s="293"/>
      <c r="S7485" s="316"/>
      <c r="T7485" s="355"/>
    </row>
    <row r="7486" spans="14:20" x14ac:dyDescent="0.25">
      <c r="N7486" s="514"/>
      <c r="R7486" s="293"/>
      <c r="S7486" s="316"/>
      <c r="T7486" s="355"/>
    </row>
    <row r="7487" spans="14:20" x14ac:dyDescent="0.25">
      <c r="N7487" s="514"/>
      <c r="R7487" s="293"/>
      <c r="S7487" s="316"/>
      <c r="T7487" s="355"/>
    </row>
    <row r="7488" spans="14:20" x14ac:dyDescent="0.25">
      <c r="N7488" s="514"/>
      <c r="R7488" s="293"/>
      <c r="S7488" s="316"/>
      <c r="T7488" s="355"/>
    </row>
    <row r="7489" spans="14:20" x14ac:dyDescent="0.25">
      <c r="N7489" s="514"/>
      <c r="R7489" s="293"/>
      <c r="S7489" s="316"/>
      <c r="T7489" s="355"/>
    </row>
    <row r="7490" spans="14:20" x14ac:dyDescent="0.25">
      <c r="N7490" s="514"/>
      <c r="R7490" s="293"/>
      <c r="S7490" s="316"/>
      <c r="T7490" s="355"/>
    </row>
    <row r="7491" spans="14:20" x14ac:dyDescent="0.25">
      <c r="N7491" s="514"/>
      <c r="R7491" s="293"/>
      <c r="S7491" s="316"/>
      <c r="T7491" s="355"/>
    </row>
    <row r="7492" spans="14:20" x14ac:dyDescent="0.25">
      <c r="N7492" s="514"/>
      <c r="R7492" s="293"/>
      <c r="S7492" s="316"/>
      <c r="T7492" s="355"/>
    </row>
    <row r="7493" spans="14:20" x14ac:dyDescent="0.25">
      <c r="N7493" s="514"/>
      <c r="R7493" s="293"/>
      <c r="S7493" s="316"/>
      <c r="T7493" s="355"/>
    </row>
    <row r="7494" spans="14:20" x14ac:dyDescent="0.25">
      <c r="N7494" s="514"/>
      <c r="R7494" s="293"/>
      <c r="S7494" s="316"/>
      <c r="T7494" s="355"/>
    </row>
    <row r="7495" spans="14:20" x14ac:dyDescent="0.25">
      <c r="N7495" s="514"/>
      <c r="R7495" s="293"/>
      <c r="S7495" s="316"/>
      <c r="T7495" s="355"/>
    </row>
    <row r="7496" spans="14:20" x14ac:dyDescent="0.25">
      <c r="N7496" s="514"/>
      <c r="R7496" s="293"/>
      <c r="S7496" s="316"/>
      <c r="T7496" s="355"/>
    </row>
    <row r="7497" spans="14:20" x14ac:dyDescent="0.25">
      <c r="N7497" s="514"/>
      <c r="R7497" s="293"/>
      <c r="S7497" s="316"/>
      <c r="T7497" s="355"/>
    </row>
    <row r="7498" spans="14:20" x14ac:dyDescent="0.25">
      <c r="N7498" s="514"/>
      <c r="R7498" s="293"/>
      <c r="S7498" s="316"/>
      <c r="T7498" s="355"/>
    </row>
    <row r="7499" spans="14:20" x14ac:dyDescent="0.25">
      <c r="N7499" s="514"/>
      <c r="R7499" s="293"/>
      <c r="S7499" s="316"/>
      <c r="T7499" s="355"/>
    </row>
    <row r="7500" spans="14:20" x14ac:dyDescent="0.25">
      <c r="N7500" s="514"/>
      <c r="R7500" s="293"/>
      <c r="S7500" s="316"/>
      <c r="T7500" s="355"/>
    </row>
    <row r="7501" spans="14:20" x14ac:dyDescent="0.25">
      <c r="N7501" s="514"/>
      <c r="R7501" s="293"/>
      <c r="S7501" s="316"/>
      <c r="T7501" s="355"/>
    </row>
    <row r="7502" spans="14:20" x14ac:dyDescent="0.25">
      <c r="N7502" s="514"/>
      <c r="R7502" s="293"/>
      <c r="S7502" s="316"/>
      <c r="T7502" s="355"/>
    </row>
    <row r="7503" spans="14:20" x14ac:dyDescent="0.25">
      <c r="N7503" s="514"/>
      <c r="R7503" s="293"/>
      <c r="S7503" s="316"/>
      <c r="T7503" s="355"/>
    </row>
    <row r="7504" spans="14:20" x14ac:dyDescent="0.25">
      <c r="N7504" s="514"/>
      <c r="R7504" s="293"/>
      <c r="S7504" s="316"/>
      <c r="T7504" s="355"/>
    </row>
    <row r="7505" spans="14:20" x14ac:dyDescent="0.25">
      <c r="N7505" s="514"/>
      <c r="R7505" s="293"/>
      <c r="S7505" s="316"/>
      <c r="T7505" s="355"/>
    </row>
    <row r="7506" spans="14:20" x14ac:dyDescent="0.25">
      <c r="N7506" s="514"/>
      <c r="R7506" s="293"/>
      <c r="S7506" s="316"/>
      <c r="T7506" s="355"/>
    </row>
    <row r="7507" spans="14:20" x14ac:dyDescent="0.25">
      <c r="N7507" s="514"/>
      <c r="R7507" s="293"/>
      <c r="S7507" s="316"/>
      <c r="T7507" s="355"/>
    </row>
    <row r="7508" spans="14:20" x14ac:dyDescent="0.25">
      <c r="N7508" s="514"/>
      <c r="R7508" s="293"/>
      <c r="S7508" s="316"/>
      <c r="T7508" s="355"/>
    </row>
    <row r="7509" spans="14:20" x14ac:dyDescent="0.25">
      <c r="N7509" s="514"/>
      <c r="R7509" s="293"/>
      <c r="S7509" s="316"/>
      <c r="T7509" s="355"/>
    </row>
    <row r="7510" spans="14:20" x14ac:dyDescent="0.25">
      <c r="N7510" s="514"/>
      <c r="R7510" s="293"/>
      <c r="S7510" s="316"/>
      <c r="T7510" s="355"/>
    </row>
    <row r="7511" spans="14:20" x14ac:dyDescent="0.25">
      <c r="N7511" s="514"/>
      <c r="R7511" s="293"/>
      <c r="S7511" s="316"/>
      <c r="T7511" s="355"/>
    </row>
    <row r="7512" spans="14:20" x14ac:dyDescent="0.25">
      <c r="N7512" s="514"/>
      <c r="R7512" s="293"/>
      <c r="S7512" s="316"/>
      <c r="T7512" s="355"/>
    </row>
    <row r="7513" spans="14:20" x14ac:dyDescent="0.25">
      <c r="N7513" s="514"/>
      <c r="R7513" s="293"/>
      <c r="S7513" s="316"/>
      <c r="T7513" s="355"/>
    </row>
    <row r="7514" spans="14:20" x14ac:dyDescent="0.25">
      <c r="N7514" s="514"/>
      <c r="R7514" s="293"/>
      <c r="S7514" s="316"/>
      <c r="T7514" s="355"/>
    </row>
    <row r="7515" spans="14:20" x14ac:dyDescent="0.25">
      <c r="N7515" s="514"/>
      <c r="R7515" s="293"/>
      <c r="S7515" s="316"/>
      <c r="T7515" s="355"/>
    </row>
    <row r="7516" spans="14:20" x14ac:dyDescent="0.25">
      <c r="N7516" s="514"/>
      <c r="R7516" s="293"/>
      <c r="S7516" s="316"/>
      <c r="T7516" s="355"/>
    </row>
    <row r="7517" spans="14:20" x14ac:dyDescent="0.25">
      <c r="N7517" s="514"/>
      <c r="R7517" s="293"/>
      <c r="S7517" s="316"/>
      <c r="T7517" s="355"/>
    </row>
    <row r="7518" spans="14:20" x14ac:dyDescent="0.25">
      <c r="N7518" s="514"/>
      <c r="R7518" s="293"/>
      <c r="S7518" s="316"/>
      <c r="T7518" s="355"/>
    </row>
    <row r="7519" spans="14:20" x14ac:dyDescent="0.25">
      <c r="N7519" s="514"/>
      <c r="R7519" s="293"/>
      <c r="S7519" s="316"/>
      <c r="T7519" s="355"/>
    </row>
    <row r="7520" spans="14:20" x14ac:dyDescent="0.25">
      <c r="N7520" s="514"/>
      <c r="R7520" s="293"/>
      <c r="S7520" s="316"/>
      <c r="T7520" s="355"/>
    </row>
    <row r="7521" spans="14:20" x14ac:dyDescent="0.25">
      <c r="N7521" s="514"/>
      <c r="R7521" s="293"/>
      <c r="S7521" s="316"/>
      <c r="T7521" s="355"/>
    </row>
    <row r="7522" spans="14:20" x14ac:dyDescent="0.25">
      <c r="N7522" s="514"/>
      <c r="R7522" s="293"/>
      <c r="S7522" s="316"/>
      <c r="T7522" s="355"/>
    </row>
    <row r="7523" spans="14:20" x14ac:dyDescent="0.25">
      <c r="N7523" s="514"/>
      <c r="R7523" s="293"/>
      <c r="S7523" s="316"/>
      <c r="T7523" s="355"/>
    </row>
    <row r="7524" spans="14:20" x14ac:dyDescent="0.25">
      <c r="N7524" s="514"/>
      <c r="R7524" s="293"/>
      <c r="S7524" s="316"/>
      <c r="T7524" s="355"/>
    </row>
    <row r="7525" spans="14:20" x14ac:dyDescent="0.25">
      <c r="N7525" s="514"/>
      <c r="R7525" s="293"/>
      <c r="S7525" s="316"/>
      <c r="T7525" s="355"/>
    </row>
    <row r="7526" spans="14:20" x14ac:dyDescent="0.25">
      <c r="N7526" s="514"/>
      <c r="R7526" s="293"/>
      <c r="S7526" s="316"/>
      <c r="T7526" s="355"/>
    </row>
    <row r="7527" spans="14:20" x14ac:dyDescent="0.25">
      <c r="N7527" s="514"/>
      <c r="R7527" s="293"/>
      <c r="S7527" s="316"/>
      <c r="T7527" s="355"/>
    </row>
    <row r="7528" spans="14:20" x14ac:dyDescent="0.25">
      <c r="N7528" s="514"/>
      <c r="R7528" s="293"/>
      <c r="S7528" s="316"/>
      <c r="T7528" s="355"/>
    </row>
    <row r="7529" spans="14:20" x14ac:dyDescent="0.25">
      <c r="N7529" s="514"/>
      <c r="R7529" s="293"/>
      <c r="S7529" s="316"/>
      <c r="T7529" s="355"/>
    </row>
    <row r="7530" spans="14:20" x14ac:dyDescent="0.25">
      <c r="N7530" s="514"/>
      <c r="R7530" s="293"/>
      <c r="S7530" s="316"/>
      <c r="T7530" s="355"/>
    </row>
    <row r="7531" spans="14:20" x14ac:dyDescent="0.25">
      <c r="N7531" s="514"/>
      <c r="R7531" s="293"/>
      <c r="S7531" s="316"/>
      <c r="T7531" s="355"/>
    </row>
    <row r="7532" spans="14:20" x14ac:dyDescent="0.25">
      <c r="N7532" s="514"/>
      <c r="R7532" s="293"/>
      <c r="S7532" s="316"/>
      <c r="T7532" s="355"/>
    </row>
    <row r="7533" spans="14:20" x14ac:dyDescent="0.25">
      <c r="N7533" s="514"/>
      <c r="R7533" s="293"/>
      <c r="S7533" s="316"/>
      <c r="T7533" s="355"/>
    </row>
    <row r="7534" spans="14:20" x14ac:dyDescent="0.25">
      <c r="N7534" s="514"/>
      <c r="R7534" s="293"/>
      <c r="S7534" s="316"/>
      <c r="T7534" s="355"/>
    </row>
    <row r="7535" spans="14:20" x14ac:dyDescent="0.25">
      <c r="N7535" s="514"/>
      <c r="R7535" s="293"/>
      <c r="S7535" s="316"/>
      <c r="T7535" s="355"/>
    </row>
    <row r="7536" spans="14:20" x14ac:dyDescent="0.25">
      <c r="N7536" s="514"/>
      <c r="R7536" s="293"/>
      <c r="S7536" s="316"/>
      <c r="T7536" s="355"/>
    </row>
    <row r="7537" spans="14:20" x14ac:dyDescent="0.25">
      <c r="N7537" s="514"/>
      <c r="R7537" s="293"/>
      <c r="S7537" s="316"/>
      <c r="T7537" s="355"/>
    </row>
    <row r="7538" spans="14:20" x14ac:dyDescent="0.25">
      <c r="N7538" s="514"/>
      <c r="R7538" s="293"/>
      <c r="S7538" s="316"/>
      <c r="T7538" s="355"/>
    </row>
    <row r="7539" spans="14:20" x14ac:dyDescent="0.25">
      <c r="N7539" s="514"/>
      <c r="R7539" s="293"/>
      <c r="S7539" s="316"/>
      <c r="T7539" s="355"/>
    </row>
    <row r="7540" spans="14:20" x14ac:dyDescent="0.25">
      <c r="N7540" s="514"/>
      <c r="R7540" s="293"/>
      <c r="S7540" s="316"/>
      <c r="T7540" s="355"/>
    </row>
    <row r="7541" spans="14:20" x14ac:dyDescent="0.25">
      <c r="N7541" s="514"/>
      <c r="R7541" s="293"/>
      <c r="S7541" s="316"/>
      <c r="T7541" s="355"/>
    </row>
    <row r="7542" spans="14:20" x14ac:dyDescent="0.25">
      <c r="N7542" s="514"/>
      <c r="R7542" s="293"/>
      <c r="S7542" s="316"/>
      <c r="T7542" s="355"/>
    </row>
    <row r="7543" spans="14:20" x14ac:dyDescent="0.25">
      <c r="N7543" s="514"/>
      <c r="R7543" s="293"/>
      <c r="S7543" s="316"/>
      <c r="T7543" s="355"/>
    </row>
    <row r="7544" spans="14:20" x14ac:dyDescent="0.25">
      <c r="N7544" s="514"/>
      <c r="R7544" s="293"/>
      <c r="S7544" s="316"/>
      <c r="T7544" s="355"/>
    </row>
    <row r="7545" spans="14:20" x14ac:dyDescent="0.25">
      <c r="N7545" s="514"/>
      <c r="R7545" s="293"/>
      <c r="S7545" s="316"/>
      <c r="T7545" s="355"/>
    </row>
    <row r="7546" spans="14:20" x14ac:dyDescent="0.25">
      <c r="N7546" s="514"/>
      <c r="R7546" s="293"/>
      <c r="S7546" s="316"/>
      <c r="T7546" s="355"/>
    </row>
    <row r="7547" spans="14:20" x14ac:dyDescent="0.25">
      <c r="N7547" s="514"/>
      <c r="R7547" s="293"/>
      <c r="S7547" s="316"/>
      <c r="T7547" s="355"/>
    </row>
    <row r="7548" spans="14:20" x14ac:dyDescent="0.25">
      <c r="N7548" s="514"/>
      <c r="R7548" s="293"/>
      <c r="S7548" s="316"/>
      <c r="T7548" s="355"/>
    </row>
    <row r="7549" spans="14:20" x14ac:dyDescent="0.25">
      <c r="N7549" s="514"/>
      <c r="R7549" s="293"/>
      <c r="S7549" s="316"/>
      <c r="T7549" s="355"/>
    </row>
    <row r="7550" spans="14:20" x14ac:dyDescent="0.25">
      <c r="N7550" s="514"/>
      <c r="R7550" s="293"/>
      <c r="S7550" s="316"/>
      <c r="T7550" s="355"/>
    </row>
    <row r="7551" spans="14:20" x14ac:dyDescent="0.25">
      <c r="N7551" s="514"/>
      <c r="R7551" s="293"/>
      <c r="S7551" s="316"/>
      <c r="T7551" s="355"/>
    </row>
    <row r="7552" spans="14:20" x14ac:dyDescent="0.25">
      <c r="N7552" s="514"/>
      <c r="R7552" s="293"/>
      <c r="S7552" s="316"/>
      <c r="T7552" s="355"/>
    </row>
    <row r="7553" spans="14:20" x14ac:dyDescent="0.25">
      <c r="N7553" s="514"/>
      <c r="R7553" s="293"/>
      <c r="S7553" s="316"/>
      <c r="T7553" s="355"/>
    </row>
    <row r="7554" spans="14:20" x14ac:dyDescent="0.25">
      <c r="N7554" s="514"/>
      <c r="R7554" s="293"/>
      <c r="S7554" s="316"/>
      <c r="T7554" s="355"/>
    </row>
    <row r="7555" spans="14:20" x14ac:dyDescent="0.25">
      <c r="N7555" s="514"/>
      <c r="R7555" s="293"/>
      <c r="S7555" s="316"/>
      <c r="T7555" s="355"/>
    </row>
    <row r="7556" spans="14:20" x14ac:dyDescent="0.25">
      <c r="N7556" s="514"/>
      <c r="R7556" s="293"/>
      <c r="S7556" s="316"/>
      <c r="T7556" s="355"/>
    </row>
    <row r="7557" spans="14:20" x14ac:dyDescent="0.25">
      <c r="N7557" s="514"/>
      <c r="R7557" s="293"/>
      <c r="S7557" s="316"/>
      <c r="T7557" s="355"/>
    </row>
    <row r="7558" spans="14:20" x14ac:dyDescent="0.25">
      <c r="N7558" s="514"/>
      <c r="R7558" s="293"/>
      <c r="S7558" s="316"/>
      <c r="T7558" s="355"/>
    </row>
    <row r="7559" spans="14:20" x14ac:dyDescent="0.25">
      <c r="N7559" s="514"/>
      <c r="R7559" s="293"/>
      <c r="S7559" s="316"/>
      <c r="T7559" s="355"/>
    </row>
    <row r="7560" spans="14:20" x14ac:dyDescent="0.25">
      <c r="N7560" s="514"/>
      <c r="R7560" s="293"/>
      <c r="S7560" s="316"/>
      <c r="T7560" s="355"/>
    </row>
    <row r="7561" spans="14:20" x14ac:dyDescent="0.25">
      <c r="N7561" s="514"/>
      <c r="R7561" s="293"/>
      <c r="S7561" s="316"/>
      <c r="T7561" s="355"/>
    </row>
    <row r="7562" spans="14:20" x14ac:dyDescent="0.25">
      <c r="N7562" s="514"/>
      <c r="R7562" s="293"/>
      <c r="S7562" s="316"/>
      <c r="T7562" s="355"/>
    </row>
    <row r="7563" spans="14:20" x14ac:dyDescent="0.25">
      <c r="N7563" s="514"/>
      <c r="R7563" s="293"/>
      <c r="S7563" s="316"/>
      <c r="T7563" s="355"/>
    </row>
    <row r="7564" spans="14:20" x14ac:dyDescent="0.25">
      <c r="N7564" s="514"/>
      <c r="R7564" s="293"/>
      <c r="S7564" s="316"/>
      <c r="T7564" s="355"/>
    </row>
    <row r="7565" spans="14:20" x14ac:dyDescent="0.25">
      <c r="N7565" s="514"/>
      <c r="R7565" s="293"/>
      <c r="S7565" s="316"/>
      <c r="T7565" s="355"/>
    </row>
    <row r="7566" spans="14:20" x14ac:dyDescent="0.25">
      <c r="N7566" s="514"/>
      <c r="R7566" s="293"/>
      <c r="S7566" s="316"/>
      <c r="T7566" s="355"/>
    </row>
    <row r="7567" spans="14:20" x14ac:dyDescent="0.25">
      <c r="N7567" s="514"/>
      <c r="R7567" s="293"/>
      <c r="S7567" s="316"/>
      <c r="T7567" s="355"/>
    </row>
    <row r="7568" spans="14:20" x14ac:dyDescent="0.25">
      <c r="N7568" s="514"/>
      <c r="R7568" s="293"/>
      <c r="S7568" s="316"/>
      <c r="T7568" s="355"/>
    </row>
    <row r="7569" spans="14:20" x14ac:dyDescent="0.25">
      <c r="N7569" s="514"/>
      <c r="R7569" s="293"/>
      <c r="S7569" s="316"/>
      <c r="T7569" s="355"/>
    </row>
    <row r="7570" spans="14:20" x14ac:dyDescent="0.25">
      <c r="N7570" s="514"/>
      <c r="R7570" s="293"/>
      <c r="S7570" s="316"/>
      <c r="T7570" s="355"/>
    </row>
    <row r="7571" spans="14:20" x14ac:dyDescent="0.25">
      <c r="N7571" s="514"/>
      <c r="R7571" s="293"/>
      <c r="S7571" s="316"/>
      <c r="T7571" s="355"/>
    </row>
    <row r="7572" spans="14:20" x14ac:dyDescent="0.25">
      <c r="N7572" s="514"/>
      <c r="R7572" s="293"/>
      <c r="S7572" s="316"/>
      <c r="T7572" s="355"/>
    </row>
    <row r="7573" spans="14:20" x14ac:dyDescent="0.25">
      <c r="N7573" s="514"/>
      <c r="R7573" s="293"/>
      <c r="S7573" s="316"/>
      <c r="T7573" s="355"/>
    </row>
    <row r="7574" spans="14:20" x14ac:dyDescent="0.25">
      <c r="N7574" s="514"/>
      <c r="R7574" s="293"/>
      <c r="S7574" s="316"/>
      <c r="T7574" s="355"/>
    </row>
    <row r="7575" spans="14:20" x14ac:dyDescent="0.25">
      <c r="N7575" s="514"/>
      <c r="R7575" s="293"/>
      <c r="S7575" s="316"/>
      <c r="T7575" s="355"/>
    </row>
    <row r="7576" spans="14:20" x14ac:dyDescent="0.25">
      <c r="N7576" s="514"/>
      <c r="R7576" s="293"/>
      <c r="S7576" s="316"/>
      <c r="T7576" s="355"/>
    </row>
    <row r="7577" spans="14:20" x14ac:dyDescent="0.25">
      <c r="N7577" s="514"/>
      <c r="R7577" s="293"/>
      <c r="S7577" s="316"/>
      <c r="T7577" s="355"/>
    </row>
    <row r="7578" spans="14:20" x14ac:dyDescent="0.25">
      <c r="N7578" s="514"/>
      <c r="R7578" s="293"/>
      <c r="S7578" s="316"/>
      <c r="T7578" s="355"/>
    </row>
    <row r="7579" spans="14:20" x14ac:dyDescent="0.25">
      <c r="N7579" s="514"/>
      <c r="R7579" s="293"/>
      <c r="S7579" s="316"/>
      <c r="T7579" s="355"/>
    </row>
    <row r="7580" spans="14:20" x14ac:dyDescent="0.25">
      <c r="N7580" s="514"/>
      <c r="R7580" s="293"/>
      <c r="S7580" s="316"/>
      <c r="T7580" s="355"/>
    </row>
    <row r="7581" spans="14:20" x14ac:dyDescent="0.25">
      <c r="N7581" s="514"/>
      <c r="R7581" s="293"/>
      <c r="S7581" s="316"/>
      <c r="T7581" s="355"/>
    </row>
    <row r="7582" spans="14:20" x14ac:dyDescent="0.25">
      <c r="N7582" s="514"/>
      <c r="R7582" s="293"/>
      <c r="S7582" s="316"/>
      <c r="T7582" s="355"/>
    </row>
    <row r="7583" spans="14:20" x14ac:dyDescent="0.25">
      <c r="N7583" s="514"/>
      <c r="R7583" s="293"/>
      <c r="S7583" s="316"/>
      <c r="T7583" s="355"/>
    </row>
    <row r="7584" spans="14:20" x14ac:dyDescent="0.25">
      <c r="N7584" s="514"/>
      <c r="R7584" s="293"/>
      <c r="S7584" s="316"/>
      <c r="T7584" s="355"/>
    </row>
    <row r="7585" spans="14:20" x14ac:dyDescent="0.25">
      <c r="N7585" s="514"/>
      <c r="R7585" s="293"/>
      <c r="S7585" s="316"/>
      <c r="T7585" s="355"/>
    </row>
    <row r="7586" spans="14:20" x14ac:dyDescent="0.25">
      <c r="N7586" s="514"/>
      <c r="R7586" s="293"/>
      <c r="S7586" s="316"/>
      <c r="T7586" s="355"/>
    </row>
    <row r="7587" spans="14:20" x14ac:dyDescent="0.25">
      <c r="N7587" s="514"/>
      <c r="R7587" s="293"/>
      <c r="S7587" s="316"/>
      <c r="T7587" s="355"/>
    </row>
    <row r="7588" spans="14:20" x14ac:dyDescent="0.25">
      <c r="N7588" s="514"/>
      <c r="R7588" s="293"/>
      <c r="S7588" s="316"/>
      <c r="T7588" s="355"/>
    </row>
    <row r="7589" spans="14:20" x14ac:dyDescent="0.25">
      <c r="N7589" s="514"/>
      <c r="R7589" s="293"/>
      <c r="S7589" s="316"/>
      <c r="T7589" s="355"/>
    </row>
    <row r="7590" spans="14:20" x14ac:dyDescent="0.25">
      <c r="N7590" s="514"/>
      <c r="R7590" s="293"/>
      <c r="S7590" s="316"/>
      <c r="T7590" s="355"/>
    </row>
    <row r="7591" spans="14:20" x14ac:dyDescent="0.25">
      <c r="N7591" s="514"/>
      <c r="R7591" s="293"/>
      <c r="S7591" s="316"/>
      <c r="T7591" s="355"/>
    </row>
    <row r="7592" spans="14:20" x14ac:dyDescent="0.25">
      <c r="N7592" s="514"/>
      <c r="R7592" s="293"/>
      <c r="S7592" s="316"/>
      <c r="T7592" s="355"/>
    </row>
    <row r="7593" spans="14:20" x14ac:dyDescent="0.25">
      <c r="N7593" s="514"/>
      <c r="R7593" s="293"/>
      <c r="S7593" s="316"/>
      <c r="T7593" s="355"/>
    </row>
    <row r="7594" spans="14:20" x14ac:dyDescent="0.25">
      <c r="N7594" s="514"/>
      <c r="R7594" s="293"/>
      <c r="S7594" s="316"/>
      <c r="T7594" s="355"/>
    </row>
    <row r="7595" spans="14:20" x14ac:dyDescent="0.25">
      <c r="N7595" s="514"/>
      <c r="R7595" s="293"/>
      <c r="S7595" s="316"/>
      <c r="T7595" s="355"/>
    </row>
    <row r="7596" spans="14:20" x14ac:dyDescent="0.25">
      <c r="N7596" s="514"/>
      <c r="R7596" s="293"/>
      <c r="S7596" s="316"/>
      <c r="T7596" s="355"/>
    </row>
    <row r="7597" spans="14:20" x14ac:dyDescent="0.25">
      <c r="N7597" s="514"/>
      <c r="R7597" s="293"/>
      <c r="S7597" s="316"/>
      <c r="T7597" s="355"/>
    </row>
    <row r="7598" spans="14:20" x14ac:dyDescent="0.25">
      <c r="N7598" s="514"/>
      <c r="R7598" s="293"/>
      <c r="S7598" s="316"/>
      <c r="T7598" s="355"/>
    </row>
    <row r="7599" spans="14:20" x14ac:dyDescent="0.25">
      <c r="N7599" s="514"/>
      <c r="R7599" s="293"/>
      <c r="S7599" s="316"/>
      <c r="T7599" s="355"/>
    </row>
    <row r="7600" spans="14:20" x14ac:dyDescent="0.25">
      <c r="N7600" s="514"/>
      <c r="R7600" s="293"/>
      <c r="S7600" s="316"/>
      <c r="T7600" s="355"/>
    </row>
    <row r="7601" spans="14:20" x14ac:dyDescent="0.25">
      <c r="N7601" s="514"/>
      <c r="R7601" s="293"/>
      <c r="S7601" s="316"/>
      <c r="T7601" s="355"/>
    </row>
    <row r="7602" spans="14:20" x14ac:dyDescent="0.25">
      <c r="N7602" s="514"/>
      <c r="R7602" s="293"/>
      <c r="S7602" s="316"/>
      <c r="T7602" s="355"/>
    </row>
    <row r="7603" spans="14:20" x14ac:dyDescent="0.25">
      <c r="N7603" s="514"/>
      <c r="R7603" s="293"/>
      <c r="S7603" s="316"/>
      <c r="T7603" s="355"/>
    </row>
    <row r="7604" spans="14:20" x14ac:dyDescent="0.25">
      <c r="N7604" s="514"/>
      <c r="R7604" s="293"/>
      <c r="S7604" s="316"/>
      <c r="T7604" s="355"/>
    </row>
    <row r="7605" spans="14:20" x14ac:dyDescent="0.25">
      <c r="N7605" s="514"/>
      <c r="R7605" s="293"/>
      <c r="S7605" s="316"/>
      <c r="T7605" s="355"/>
    </row>
    <row r="7606" spans="14:20" x14ac:dyDescent="0.25">
      <c r="N7606" s="514"/>
      <c r="R7606" s="293"/>
      <c r="S7606" s="316"/>
      <c r="T7606" s="355"/>
    </row>
    <row r="7607" spans="14:20" x14ac:dyDescent="0.25">
      <c r="N7607" s="514"/>
      <c r="R7607" s="293"/>
      <c r="S7607" s="316"/>
      <c r="T7607" s="355"/>
    </row>
    <row r="7608" spans="14:20" x14ac:dyDescent="0.25">
      <c r="N7608" s="514"/>
      <c r="R7608" s="293"/>
      <c r="S7608" s="316"/>
      <c r="T7608" s="355"/>
    </row>
    <row r="7609" spans="14:20" x14ac:dyDescent="0.25">
      <c r="N7609" s="514"/>
      <c r="R7609" s="293"/>
      <c r="S7609" s="316"/>
      <c r="T7609" s="355"/>
    </row>
    <row r="7610" spans="14:20" x14ac:dyDescent="0.25">
      <c r="N7610" s="514"/>
      <c r="R7610" s="293"/>
      <c r="S7610" s="316"/>
      <c r="T7610" s="355"/>
    </row>
    <row r="7611" spans="14:20" x14ac:dyDescent="0.25">
      <c r="N7611" s="514"/>
      <c r="R7611" s="293"/>
      <c r="S7611" s="316"/>
      <c r="T7611" s="355"/>
    </row>
    <row r="7612" spans="14:20" x14ac:dyDescent="0.25">
      <c r="N7612" s="514"/>
      <c r="R7612" s="293"/>
      <c r="S7612" s="316"/>
      <c r="T7612" s="355"/>
    </row>
    <row r="7613" spans="14:20" x14ac:dyDescent="0.25">
      <c r="N7613" s="514"/>
      <c r="R7613" s="293"/>
      <c r="S7613" s="316"/>
      <c r="T7613" s="355"/>
    </row>
    <row r="7614" spans="14:20" x14ac:dyDescent="0.25">
      <c r="N7614" s="514"/>
      <c r="R7614" s="293"/>
      <c r="S7614" s="316"/>
      <c r="T7614" s="355"/>
    </row>
    <row r="7615" spans="14:20" x14ac:dyDescent="0.25">
      <c r="N7615" s="514"/>
      <c r="R7615" s="293"/>
      <c r="S7615" s="316"/>
      <c r="T7615" s="355"/>
    </row>
    <row r="7616" spans="14:20" x14ac:dyDescent="0.25">
      <c r="N7616" s="514"/>
      <c r="R7616" s="293"/>
      <c r="S7616" s="316"/>
      <c r="T7616" s="355"/>
    </row>
    <row r="7617" spans="14:20" x14ac:dyDescent="0.25">
      <c r="N7617" s="514"/>
      <c r="R7617" s="293"/>
      <c r="S7617" s="316"/>
      <c r="T7617" s="355"/>
    </row>
    <row r="7618" spans="14:20" x14ac:dyDescent="0.25">
      <c r="N7618" s="514"/>
      <c r="R7618" s="293"/>
      <c r="S7618" s="316"/>
      <c r="T7618" s="355"/>
    </row>
    <row r="7619" spans="14:20" x14ac:dyDescent="0.25">
      <c r="N7619" s="514"/>
      <c r="R7619" s="293"/>
      <c r="S7619" s="316"/>
      <c r="T7619" s="355"/>
    </row>
    <row r="7620" spans="14:20" x14ac:dyDescent="0.25">
      <c r="N7620" s="514"/>
      <c r="R7620" s="293"/>
      <c r="S7620" s="316"/>
      <c r="T7620" s="355"/>
    </row>
    <row r="7621" spans="14:20" x14ac:dyDescent="0.25">
      <c r="N7621" s="514"/>
      <c r="R7621" s="293"/>
      <c r="S7621" s="316"/>
      <c r="T7621" s="355"/>
    </row>
    <row r="7622" spans="14:20" x14ac:dyDescent="0.25">
      <c r="N7622" s="514"/>
      <c r="R7622" s="293"/>
      <c r="S7622" s="316"/>
      <c r="T7622" s="355"/>
    </row>
    <row r="7623" spans="14:20" x14ac:dyDescent="0.25">
      <c r="N7623" s="514"/>
      <c r="R7623" s="293"/>
      <c r="S7623" s="316"/>
      <c r="T7623" s="355"/>
    </row>
    <row r="7624" spans="14:20" x14ac:dyDescent="0.25">
      <c r="N7624" s="514"/>
      <c r="R7624" s="293"/>
      <c r="S7624" s="316"/>
      <c r="T7624" s="355"/>
    </row>
    <row r="7625" spans="14:20" x14ac:dyDescent="0.25">
      <c r="N7625" s="514"/>
      <c r="R7625" s="293"/>
      <c r="S7625" s="316"/>
      <c r="T7625" s="355"/>
    </row>
    <row r="7626" spans="14:20" x14ac:dyDescent="0.25">
      <c r="N7626" s="514"/>
      <c r="R7626" s="293"/>
      <c r="S7626" s="316"/>
      <c r="T7626" s="355"/>
    </row>
    <row r="7627" spans="14:20" x14ac:dyDescent="0.25">
      <c r="N7627" s="514"/>
      <c r="R7627" s="293"/>
      <c r="S7627" s="316"/>
      <c r="T7627" s="355"/>
    </row>
    <row r="7628" spans="14:20" x14ac:dyDescent="0.25">
      <c r="N7628" s="514"/>
      <c r="R7628" s="293"/>
      <c r="S7628" s="316"/>
      <c r="T7628" s="355"/>
    </row>
    <row r="7629" spans="14:20" x14ac:dyDescent="0.25">
      <c r="N7629" s="514"/>
      <c r="R7629" s="293"/>
      <c r="S7629" s="316"/>
      <c r="T7629" s="355"/>
    </row>
    <row r="7630" spans="14:20" x14ac:dyDescent="0.25">
      <c r="N7630" s="514"/>
      <c r="R7630" s="293"/>
      <c r="S7630" s="316"/>
      <c r="T7630" s="355"/>
    </row>
    <row r="7631" spans="14:20" x14ac:dyDescent="0.25">
      <c r="N7631" s="514"/>
      <c r="R7631" s="293"/>
      <c r="S7631" s="316"/>
      <c r="T7631" s="355"/>
    </row>
    <row r="7632" spans="14:20" x14ac:dyDescent="0.25">
      <c r="N7632" s="514"/>
      <c r="R7632" s="293"/>
      <c r="S7632" s="316"/>
      <c r="T7632" s="355"/>
    </row>
    <row r="7633" spans="14:20" x14ac:dyDescent="0.25">
      <c r="N7633" s="514"/>
      <c r="R7633" s="293"/>
      <c r="S7633" s="316"/>
      <c r="T7633" s="355"/>
    </row>
    <row r="7634" spans="14:20" x14ac:dyDescent="0.25">
      <c r="N7634" s="514"/>
      <c r="R7634" s="293"/>
      <c r="S7634" s="316"/>
      <c r="T7634" s="355"/>
    </row>
    <row r="7635" spans="14:20" x14ac:dyDescent="0.25">
      <c r="N7635" s="514"/>
      <c r="R7635" s="293"/>
      <c r="S7635" s="316"/>
      <c r="T7635" s="355"/>
    </row>
    <row r="7636" spans="14:20" x14ac:dyDescent="0.25">
      <c r="N7636" s="514"/>
      <c r="R7636" s="293"/>
      <c r="S7636" s="316"/>
      <c r="T7636" s="355"/>
    </row>
    <row r="7637" spans="14:20" x14ac:dyDescent="0.25">
      <c r="N7637" s="514"/>
      <c r="R7637" s="293"/>
      <c r="S7637" s="316"/>
      <c r="T7637" s="355"/>
    </row>
    <row r="7638" spans="14:20" x14ac:dyDescent="0.25">
      <c r="N7638" s="514"/>
      <c r="R7638" s="293"/>
      <c r="S7638" s="316"/>
      <c r="T7638" s="355"/>
    </row>
    <row r="7639" spans="14:20" x14ac:dyDescent="0.25">
      <c r="N7639" s="514"/>
      <c r="R7639" s="293"/>
      <c r="S7639" s="316"/>
      <c r="T7639" s="355"/>
    </row>
    <row r="7640" spans="14:20" x14ac:dyDescent="0.25">
      <c r="N7640" s="514"/>
      <c r="R7640" s="293"/>
      <c r="S7640" s="316"/>
      <c r="T7640" s="355"/>
    </row>
    <row r="7641" spans="14:20" x14ac:dyDescent="0.25">
      <c r="N7641" s="514"/>
      <c r="R7641" s="293"/>
      <c r="S7641" s="316"/>
      <c r="T7641" s="355"/>
    </row>
    <row r="7642" spans="14:20" x14ac:dyDescent="0.25">
      <c r="N7642" s="514"/>
      <c r="R7642" s="293"/>
      <c r="S7642" s="316"/>
      <c r="T7642" s="355"/>
    </row>
    <row r="7643" spans="14:20" x14ac:dyDescent="0.25">
      <c r="N7643" s="514"/>
      <c r="R7643" s="293"/>
      <c r="S7643" s="316"/>
      <c r="T7643" s="355"/>
    </row>
    <row r="7644" spans="14:20" x14ac:dyDescent="0.25">
      <c r="N7644" s="514"/>
      <c r="R7644" s="293"/>
      <c r="S7644" s="316"/>
      <c r="T7644" s="355"/>
    </row>
    <row r="7645" spans="14:20" x14ac:dyDescent="0.25">
      <c r="N7645" s="514"/>
      <c r="R7645" s="293"/>
      <c r="S7645" s="316"/>
      <c r="T7645" s="355"/>
    </row>
    <row r="7646" spans="14:20" x14ac:dyDescent="0.25">
      <c r="N7646" s="514"/>
      <c r="R7646" s="293"/>
      <c r="S7646" s="316"/>
      <c r="T7646" s="355"/>
    </row>
    <row r="7647" spans="14:20" x14ac:dyDescent="0.25">
      <c r="N7647" s="514"/>
      <c r="R7647" s="293"/>
      <c r="S7647" s="316"/>
      <c r="T7647" s="355"/>
    </row>
    <row r="7648" spans="14:20" x14ac:dyDescent="0.25">
      <c r="N7648" s="514"/>
      <c r="R7648" s="293"/>
      <c r="S7648" s="316"/>
      <c r="T7648" s="355"/>
    </row>
    <row r="7649" spans="14:20" x14ac:dyDescent="0.25">
      <c r="N7649" s="514"/>
      <c r="R7649" s="293"/>
      <c r="S7649" s="316"/>
      <c r="T7649" s="355"/>
    </row>
    <row r="7650" spans="14:20" x14ac:dyDescent="0.25">
      <c r="N7650" s="514"/>
      <c r="R7650" s="293"/>
      <c r="S7650" s="316"/>
      <c r="T7650" s="355"/>
    </row>
    <row r="7651" spans="14:20" x14ac:dyDescent="0.25">
      <c r="N7651" s="514"/>
      <c r="R7651" s="293"/>
      <c r="S7651" s="316"/>
      <c r="T7651" s="355"/>
    </row>
    <row r="7652" spans="14:20" x14ac:dyDescent="0.25">
      <c r="N7652" s="514"/>
      <c r="R7652" s="293"/>
      <c r="S7652" s="316"/>
      <c r="T7652" s="355"/>
    </row>
    <row r="7653" spans="14:20" x14ac:dyDescent="0.25">
      <c r="N7653" s="514"/>
      <c r="R7653" s="293"/>
      <c r="S7653" s="316"/>
      <c r="T7653" s="355"/>
    </row>
    <row r="7654" spans="14:20" x14ac:dyDescent="0.25">
      <c r="N7654" s="514"/>
      <c r="R7654" s="293"/>
      <c r="S7654" s="316"/>
      <c r="T7654" s="355"/>
    </row>
    <row r="7655" spans="14:20" x14ac:dyDescent="0.25">
      <c r="N7655" s="514"/>
      <c r="R7655" s="293"/>
      <c r="S7655" s="316"/>
      <c r="T7655" s="355"/>
    </row>
    <row r="7656" spans="14:20" x14ac:dyDescent="0.25">
      <c r="N7656" s="514"/>
      <c r="R7656" s="293"/>
      <c r="S7656" s="316"/>
      <c r="T7656" s="355"/>
    </row>
    <row r="7657" spans="14:20" x14ac:dyDescent="0.25">
      <c r="N7657" s="514"/>
      <c r="R7657" s="293"/>
      <c r="S7657" s="316"/>
      <c r="T7657" s="355"/>
    </row>
    <row r="7658" spans="14:20" x14ac:dyDescent="0.25">
      <c r="N7658" s="514"/>
      <c r="R7658" s="293"/>
      <c r="S7658" s="316"/>
      <c r="T7658" s="355"/>
    </row>
    <row r="7659" spans="14:20" x14ac:dyDescent="0.25">
      <c r="N7659" s="514"/>
      <c r="R7659" s="293"/>
      <c r="S7659" s="316"/>
      <c r="T7659" s="355"/>
    </row>
    <row r="7660" spans="14:20" x14ac:dyDescent="0.25">
      <c r="N7660" s="514"/>
      <c r="R7660" s="293"/>
      <c r="S7660" s="316"/>
      <c r="T7660" s="355"/>
    </row>
    <row r="7661" spans="14:20" x14ac:dyDescent="0.25">
      <c r="N7661" s="514"/>
      <c r="R7661" s="293"/>
      <c r="S7661" s="316"/>
      <c r="T7661" s="355"/>
    </row>
    <row r="7662" spans="14:20" x14ac:dyDescent="0.25">
      <c r="N7662" s="514"/>
      <c r="R7662" s="293"/>
      <c r="S7662" s="316"/>
      <c r="T7662" s="355"/>
    </row>
    <row r="7663" spans="14:20" x14ac:dyDescent="0.25">
      <c r="N7663" s="514"/>
      <c r="R7663" s="293"/>
      <c r="S7663" s="316"/>
      <c r="T7663" s="355"/>
    </row>
    <row r="7664" spans="14:20" x14ac:dyDescent="0.25">
      <c r="N7664" s="514"/>
      <c r="R7664" s="293"/>
      <c r="S7664" s="316"/>
      <c r="T7664" s="355"/>
    </row>
    <row r="7665" spans="14:20" x14ac:dyDescent="0.25">
      <c r="N7665" s="514"/>
      <c r="R7665" s="293"/>
      <c r="S7665" s="316"/>
      <c r="T7665" s="355"/>
    </row>
    <row r="7666" spans="14:20" x14ac:dyDescent="0.25">
      <c r="N7666" s="514"/>
      <c r="R7666" s="293"/>
      <c r="S7666" s="316"/>
      <c r="T7666" s="355"/>
    </row>
    <row r="7667" spans="14:20" x14ac:dyDescent="0.25">
      <c r="N7667" s="514"/>
      <c r="R7667" s="293"/>
      <c r="S7667" s="316"/>
      <c r="T7667" s="355"/>
    </row>
    <row r="7668" spans="14:20" x14ac:dyDescent="0.25">
      <c r="N7668" s="514"/>
      <c r="R7668" s="293"/>
      <c r="S7668" s="316"/>
      <c r="T7668" s="355"/>
    </row>
    <row r="7669" spans="14:20" x14ac:dyDescent="0.25">
      <c r="N7669" s="514"/>
      <c r="R7669" s="293"/>
      <c r="S7669" s="316"/>
      <c r="T7669" s="355"/>
    </row>
    <row r="7670" spans="14:20" x14ac:dyDescent="0.25">
      <c r="N7670" s="514"/>
      <c r="R7670" s="293"/>
      <c r="S7670" s="316"/>
      <c r="T7670" s="355"/>
    </row>
    <row r="7671" spans="14:20" x14ac:dyDescent="0.25">
      <c r="N7671" s="514"/>
      <c r="R7671" s="293"/>
      <c r="S7671" s="316"/>
      <c r="T7671" s="355"/>
    </row>
    <row r="7672" spans="14:20" x14ac:dyDescent="0.25">
      <c r="N7672" s="514"/>
      <c r="R7672" s="293"/>
      <c r="S7672" s="316"/>
      <c r="T7672" s="355"/>
    </row>
    <row r="7673" spans="14:20" x14ac:dyDescent="0.25">
      <c r="N7673" s="514"/>
      <c r="R7673" s="293"/>
      <c r="S7673" s="316"/>
      <c r="T7673" s="355"/>
    </row>
    <row r="7674" spans="14:20" x14ac:dyDescent="0.25">
      <c r="N7674" s="514"/>
      <c r="R7674" s="293"/>
      <c r="S7674" s="316"/>
      <c r="T7674" s="355"/>
    </row>
    <row r="7675" spans="14:20" x14ac:dyDescent="0.25">
      <c r="N7675" s="514"/>
      <c r="R7675" s="293"/>
      <c r="S7675" s="316"/>
      <c r="T7675" s="355"/>
    </row>
    <row r="7676" spans="14:20" x14ac:dyDescent="0.25">
      <c r="N7676" s="514"/>
      <c r="R7676" s="293"/>
      <c r="S7676" s="316"/>
      <c r="T7676" s="355"/>
    </row>
    <row r="7677" spans="14:20" x14ac:dyDescent="0.25">
      <c r="N7677" s="514"/>
      <c r="R7677" s="293"/>
      <c r="S7677" s="316"/>
      <c r="T7677" s="355"/>
    </row>
    <row r="7678" spans="14:20" x14ac:dyDescent="0.25">
      <c r="N7678" s="514"/>
      <c r="R7678" s="293"/>
      <c r="S7678" s="316"/>
      <c r="T7678" s="355"/>
    </row>
    <row r="7679" spans="14:20" x14ac:dyDescent="0.25">
      <c r="N7679" s="514"/>
      <c r="R7679" s="293"/>
      <c r="S7679" s="316"/>
      <c r="T7679" s="355"/>
    </row>
    <row r="7680" spans="14:20" x14ac:dyDescent="0.25">
      <c r="N7680" s="514"/>
      <c r="R7680" s="293"/>
      <c r="S7680" s="316"/>
      <c r="T7680" s="355"/>
    </row>
    <row r="7681" spans="14:20" x14ac:dyDescent="0.25">
      <c r="N7681" s="514"/>
      <c r="R7681" s="293"/>
      <c r="S7681" s="316"/>
      <c r="T7681" s="355"/>
    </row>
    <row r="7682" spans="14:20" x14ac:dyDescent="0.25">
      <c r="N7682" s="514"/>
      <c r="R7682" s="293"/>
      <c r="S7682" s="316"/>
      <c r="T7682" s="355"/>
    </row>
    <row r="7683" spans="14:20" x14ac:dyDescent="0.25">
      <c r="N7683" s="514"/>
      <c r="R7683" s="293"/>
      <c r="S7683" s="316"/>
      <c r="T7683" s="355"/>
    </row>
    <row r="7684" spans="14:20" x14ac:dyDescent="0.25">
      <c r="N7684" s="514"/>
      <c r="R7684" s="293"/>
      <c r="S7684" s="316"/>
      <c r="T7684" s="355"/>
    </row>
    <row r="7685" spans="14:20" x14ac:dyDescent="0.25">
      <c r="N7685" s="514"/>
      <c r="R7685" s="293"/>
      <c r="S7685" s="316"/>
      <c r="T7685" s="355"/>
    </row>
    <row r="7686" spans="14:20" x14ac:dyDescent="0.25">
      <c r="N7686" s="514"/>
      <c r="R7686" s="293"/>
      <c r="S7686" s="316"/>
      <c r="T7686" s="355"/>
    </row>
    <row r="7687" spans="14:20" x14ac:dyDescent="0.25">
      <c r="N7687" s="514"/>
      <c r="R7687" s="293"/>
      <c r="S7687" s="316"/>
      <c r="T7687" s="355"/>
    </row>
    <row r="7688" spans="14:20" x14ac:dyDescent="0.25">
      <c r="N7688" s="514"/>
      <c r="R7688" s="293"/>
      <c r="S7688" s="316"/>
      <c r="T7688" s="355"/>
    </row>
    <row r="7689" spans="14:20" x14ac:dyDescent="0.25">
      <c r="N7689" s="514"/>
      <c r="R7689" s="293"/>
      <c r="S7689" s="316"/>
      <c r="T7689" s="355"/>
    </row>
    <row r="7690" spans="14:20" x14ac:dyDescent="0.25">
      <c r="N7690" s="514"/>
      <c r="R7690" s="293"/>
      <c r="S7690" s="316"/>
      <c r="T7690" s="355"/>
    </row>
    <row r="7691" spans="14:20" x14ac:dyDescent="0.25">
      <c r="N7691" s="514"/>
      <c r="R7691" s="293"/>
      <c r="S7691" s="316"/>
      <c r="T7691" s="355"/>
    </row>
    <row r="7692" spans="14:20" x14ac:dyDescent="0.25">
      <c r="N7692" s="514"/>
      <c r="R7692" s="293"/>
      <c r="S7692" s="316"/>
      <c r="T7692" s="355"/>
    </row>
    <row r="7693" spans="14:20" x14ac:dyDescent="0.25">
      <c r="N7693" s="514"/>
      <c r="R7693" s="293"/>
      <c r="S7693" s="316"/>
      <c r="T7693" s="355"/>
    </row>
    <row r="7694" spans="14:20" x14ac:dyDescent="0.25">
      <c r="N7694" s="514"/>
      <c r="R7694" s="293"/>
      <c r="S7694" s="316"/>
      <c r="T7694" s="355"/>
    </row>
    <row r="7695" spans="14:20" x14ac:dyDescent="0.25">
      <c r="N7695" s="514"/>
      <c r="R7695" s="293"/>
      <c r="S7695" s="316"/>
      <c r="T7695" s="355"/>
    </row>
    <row r="7696" spans="14:20" x14ac:dyDescent="0.25">
      <c r="N7696" s="514"/>
      <c r="R7696" s="293"/>
      <c r="S7696" s="316"/>
      <c r="T7696" s="355"/>
    </row>
    <row r="7697" spans="14:20" x14ac:dyDescent="0.25">
      <c r="N7697" s="514"/>
      <c r="R7697" s="293"/>
      <c r="S7697" s="316"/>
      <c r="T7697" s="355"/>
    </row>
    <row r="7698" spans="14:20" x14ac:dyDescent="0.25">
      <c r="N7698" s="514"/>
      <c r="R7698" s="293"/>
      <c r="S7698" s="316"/>
      <c r="T7698" s="355"/>
    </row>
    <row r="7699" spans="14:20" x14ac:dyDescent="0.25">
      <c r="N7699" s="514"/>
      <c r="R7699" s="293"/>
      <c r="S7699" s="316"/>
      <c r="T7699" s="355"/>
    </row>
    <row r="7700" spans="14:20" x14ac:dyDescent="0.25">
      <c r="N7700" s="514"/>
      <c r="R7700" s="293"/>
      <c r="S7700" s="316"/>
      <c r="T7700" s="355"/>
    </row>
    <row r="7701" spans="14:20" x14ac:dyDescent="0.25">
      <c r="N7701" s="514"/>
      <c r="R7701" s="293"/>
      <c r="S7701" s="316"/>
      <c r="T7701" s="355"/>
    </row>
    <row r="7702" spans="14:20" x14ac:dyDescent="0.25">
      <c r="N7702" s="514"/>
      <c r="R7702" s="293"/>
      <c r="S7702" s="316"/>
      <c r="T7702" s="355"/>
    </row>
    <row r="7703" spans="14:20" x14ac:dyDescent="0.25">
      <c r="N7703" s="514"/>
      <c r="R7703" s="293"/>
      <c r="S7703" s="316"/>
      <c r="T7703" s="355"/>
    </row>
    <row r="7704" spans="14:20" x14ac:dyDescent="0.25">
      <c r="N7704" s="514"/>
      <c r="R7704" s="293"/>
      <c r="S7704" s="316"/>
      <c r="T7704" s="355"/>
    </row>
    <row r="7705" spans="14:20" x14ac:dyDescent="0.25">
      <c r="N7705" s="514"/>
      <c r="R7705" s="293"/>
      <c r="S7705" s="316"/>
      <c r="T7705" s="355"/>
    </row>
    <row r="7706" spans="14:20" x14ac:dyDescent="0.25">
      <c r="N7706" s="514"/>
      <c r="R7706" s="293"/>
      <c r="S7706" s="316"/>
      <c r="T7706" s="355"/>
    </row>
    <row r="7707" spans="14:20" x14ac:dyDescent="0.25">
      <c r="N7707" s="514"/>
      <c r="R7707" s="293"/>
      <c r="S7707" s="316"/>
      <c r="T7707" s="355"/>
    </row>
    <row r="7708" spans="14:20" x14ac:dyDescent="0.25">
      <c r="N7708" s="514"/>
      <c r="R7708" s="293"/>
      <c r="S7708" s="316"/>
      <c r="T7708" s="355"/>
    </row>
    <row r="7709" spans="14:20" x14ac:dyDescent="0.25">
      <c r="N7709" s="514"/>
      <c r="R7709" s="293"/>
      <c r="S7709" s="316"/>
      <c r="T7709" s="355"/>
    </row>
    <row r="7710" spans="14:20" x14ac:dyDescent="0.25">
      <c r="N7710" s="514"/>
      <c r="R7710" s="293"/>
      <c r="S7710" s="316"/>
      <c r="T7710" s="355"/>
    </row>
    <row r="7711" spans="14:20" x14ac:dyDescent="0.25">
      <c r="N7711" s="514"/>
      <c r="R7711" s="293"/>
      <c r="S7711" s="316"/>
      <c r="T7711" s="355"/>
    </row>
    <row r="7712" spans="14:20" x14ac:dyDescent="0.25">
      <c r="N7712" s="514"/>
      <c r="R7712" s="293"/>
      <c r="S7712" s="316"/>
      <c r="T7712" s="355"/>
    </row>
    <row r="7713" spans="14:20" x14ac:dyDescent="0.25">
      <c r="N7713" s="514"/>
      <c r="R7713" s="293"/>
      <c r="S7713" s="316"/>
      <c r="T7713" s="355"/>
    </row>
    <row r="7714" spans="14:20" x14ac:dyDescent="0.25">
      <c r="N7714" s="514"/>
      <c r="R7714" s="293"/>
      <c r="S7714" s="316"/>
      <c r="T7714" s="355"/>
    </row>
    <row r="7715" spans="14:20" x14ac:dyDescent="0.25">
      <c r="N7715" s="514"/>
      <c r="R7715" s="293"/>
      <c r="S7715" s="316"/>
      <c r="T7715" s="355"/>
    </row>
    <row r="7716" spans="14:20" x14ac:dyDescent="0.25">
      <c r="N7716" s="514"/>
      <c r="R7716" s="293"/>
      <c r="S7716" s="316"/>
      <c r="T7716" s="355"/>
    </row>
    <row r="7717" spans="14:20" x14ac:dyDescent="0.25">
      <c r="N7717" s="514"/>
      <c r="R7717" s="293"/>
      <c r="S7717" s="316"/>
      <c r="T7717" s="355"/>
    </row>
    <row r="7718" spans="14:20" x14ac:dyDescent="0.25">
      <c r="N7718" s="514"/>
      <c r="R7718" s="293"/>
      <c r="S7718" s="316"/>
      <c r="T7718" s="355"/>
    </row>
    <row r="7719" spans="14:20" x14ac:dyDescent="0.25">
      <c r="N7719" s="514"/>
      <c r="R7719" s="293"/>
      <c r="S7719" s="316"/>
      <c r="T7719" s="355"/>
    </row>
    <row r="7720" spans="14:20" x14ac:dyDescent="0.25">
      <c r="N7720" s="514"/>
      <c r="R7720" s="293"/>
      <c r="S7720" s="316"/>
      <c r="T7720" s="355"/>
    </row>
    <row r="7721" spans="14:20" x14ac:dyDescent="0.25">
      <c r="N7721" s="514"/>
      <c r="R7721" s="293"/>
      <c r="S7721" s="316"/>
      <c r="T7721" s="355"/>
    </row>
    <row r="7722" spans="14:20" x14ac:dyDescent="0.25">
      <c r="N7722" s="514"/>
      <c r="R7722" s="293"/>
      <c r="S7722" s="316"/>
      <c r="T7722" s="355"/>
    </row>
    <row r="7723" spans="14:20" x14ac:dyDescent="0.25">
      <c r="N7723" s="514"/>
      <c r="R7723" s="293"/>
      <c r="S7723" s="316"/>
      <c r="T7723" s="355"/>
    </row>
    <row r="7724" spans="14:20" x14ac:dyDescent="0.25">
      <c r="N7724" s="514"/>
      <c r="R7724" s="293"/>
      <c r="S7724" s="316"/>
      <c r="T7724" s="355"/>
    </row>
    <row r="7725" spans="14:20" x14ac:dyDescent="0.25">
      <c r="N7725" s="514"/>
      <c r="R7725" s="293"/>
      <c r="S7725" s="316"/>
      <c r="T7725" s="355"/>
    </row>
    <row r="7726" spans="14:20" x14ac:dyDescent="0.25">
      <c r="N7726" s="514"/>
      <c r="R7726" s="293"/>
      <c r="S7726" s="316"/>
      <c r="T7726" s="355"/>
    </row>
    <row r="7727" spans="14:20" x14ac:dyDescent="0.25">
      <c r="N7727" s="514"/>
      <c r="R7727" s="293"/>
      <c r="S7727" s="316"/>
      <c r="T7727" s="355"/>
    </row>
    <row r="7728" spans="14:20" x14ac:dyDescent="0.25">
      <c r="N7728" s="514"/>
      <c r="R7728" s="293"/>
      <c r="S7728" s="316"/>
      <c r="T7728" s="355"/>
    </row>
    <row r="7729" spans="14:20" x14ac:dyDescent="0.25">
      <c r="N7729" s="514"/>
      <c r="R7729" s="293"/>
      <c r="S7729" s="316"/>
      <c r="T7729" s="355"/>
    </row>
    <row r="7730" spans="14:20" x14ac:dyDescent="0.25">
      <c r="N7730" s="514"/>
      <c r="R7730" s="293"/>
      <c r="S7730" s="316"/>
      <c r="T7730" s="355"/>
    </row>
    <row r="7731" spans="14:20" x14ac:dyDescent="0.25">
      <c r="N7731" s="514"/>
      <c r="R7731" s="293"/>
      <c r="S7731" s="316"/>
      <c r="T7731" s="355"/>
    </row>
    <row r="7732" spans="14:20" x14ac:dyDescent="0.25">
      <c r="N7732" s="514"/>
      <c r="R7732" s="293"/>
      <c r="S7732" s="316"/>
      <c r="T7732" s="355"/>
    </row>
    <row r="7733" spans="14:20" x14ac:dyDescent="0.25">
      <c r="N7733" s="514"/>
      <c r="R7733" s="293"/>
      <c r="S7733" s="316"/>
      <c r="T7733" s="355"/>
    </row>
    <row r="7734" spans="14:20" x14ac:dyDescent="0.25">
      <c r="N7734" s="514"/>
      <c r="R7734" s="293"/>
      <c r="S7734" s="316"/>
      <c r="T7734" s="355"/>
    </row>
    <row r="7735" spans="14:20" x14ac:dyDescent="0.25">
      <c r="N7735" s="514"/>
      <c r="R7735" s="293"/>
      <c r="S7735" s="316"/>
      <c r="T7735" s="355"/>
    </row>
    <row r="7736" spans="14:20" x14ac:dyDescent="0.25">
      <c r="N7736" s="514"/>
      <c r="R7736" s="293"/>
      <c r="S7736" s="316"/>
      <c r="T7736" s="355"/>
    </row>
    <row r="7737" spans="14:20" x14ac:dyDescent="0.25">
      <c r="N7737" s="514"/>
      <c r="R7737" s="293"/>
      <c r="S7737" s="316"/>
      <c r="T7737" s="355"/>
    </row>
    <row r="7738" spans="14:20" x14ac:dyDescent="0.25">
      <c r="N7738" s="514"/>
      <c r="R7738" s="293"/>
      <c r="S7738" s="316"/>
      <c r="T7738" s="355"/>
    </row>
    <row r="7739" spans="14:20" x14ac:dyDescent="0.25">
      <c r="N7739" s="514"/>
      <c r="R7739" s="293"/>
      <c r="S7739" s="316"/>
      <c r="T7739" s="355"/>
    </row>
    <row r="7740" spans="14:20" x14ac:dyDescent="0.25">
      <c r="N7740" s="514"/>
      <c r="R7740" s="293"/>
      <c r="S7740" s="316"/>
      <c r="T7740" s="355"/>
    </row>
    <row r="7741" spans="14:20" x14ac:dyDescent="0.25">
      <c r="N7741" s="514"/>
      <c r="R7741" s="293"/>
      <c r="S7741" s="316"/>
      <c r="T7741" s="355"/>
    </row>
    <row r="7742" spans="14:20" x14ac:dyDescent="0.25">
      <c r="N7742" s="514"/>
      <c r="R7742" s="293"/>
      <c r="S7742" s="316"/>
      <c r="T7742" s="355"/>
    </row>
    <row r="7743" spans="14:20" x14ac:dyDescent="0.25">
      <c r="N7743" s="514"/>
      <c r="R7743" s="293"/>
      <c r="S7743" s="316"/>
      <c r="T7743" s="355"/>
    </row>
    <row r="7744" spans="14:20" x14ac:dyDescent="0.25">
      <c r="N7744" s="514"/>
      <c r="R7744" s="293"/>
      <c r="S7744" s="316"/>
      <c r="T7744" s="355"/>
    </row>
    <row r="7745" spans="14:20" x14ac:dyDescent="0.25">
      <c r="N7745" s="514"/>
      <c r="R7745" s="293"/>
      <c r="S7745" s="316"/>
      <c r="T7745" s="355"/>
    </row>
    <row r="7746" spans="14:20" x14ac:dyDescent="0.25">
      <c r="N7746" s="514"/>
      <c r="R7746" s="293"/>
      <c r="S7746" s="316"/>
      <c r="T7746" s="355"/>
    </row>
    <row r="7747" spans="14:20" x14ac:dyDescent="0.25">
      <c r="N7747" s="514"/>
      <c r="R7747" s="293"/>
      <c r="S7747" s="316"/>
      <c r="T7747" s="355"/>
    </row>
    <row r="7748" spans="14:20" x14ac:dyDescent="0.25">
      <c r="N7748" s="514"/>
      <c r="R7748" s="293"/>
      <c r="S7748" s="316"/>
      <c r="T7748" s="355"/>
    </row>
    <row r="7749" spans="14:20" x14ac:dyDescent="0.25">
      <c r="N7749" s="514"/>
      <c r="R7749" s="293"/>
      <c r="S7749" s="316"/>
      <c r="T7749" s="355"/>
    </row>
    <row r="7750" spans="14:20" x14ac:dyDescent="0.25">
      <c r="N7750" s="514"/>
      <c r="R7750" s="293"/>
      <c r="S7750" s="316"/>
      <c r="T7750" s="355"/>
    </row>
    <row r="7751" spans="14:20" x14ac:dyDescent="0.25">
      <c r="N7751" s="514"/>
      <c r="R7751" s="293"/>
      <c r="S7751" s="316"/>
      <c r="T7751" s="355"/>
    </row>
    <row r="7752" spans="14:20" x14ac:dyDescent="0.25">
      <c r="N7752" s="514"/>
      <c r="R7752" s="293"/>
      <c r="S7752" s="316"/>
      <c r="T7752" s="355"/>
    </row>
    <row r="7753" spans="14:20" x14ac:dyDescent="0.25">
      <c r="N7753" s="514"/>
      <c r="R7753" s="293"/>
      <c r="S7753" s="316"/>
      <c r="T7753" s="355"/>
    </row>
    <row r="7754" spans="14:20" x14ac:dyDescent="0.25">
      <c r="N7754" s="514"/>
      <c r="R7754" s="293"/>
      <c r="S7754" s="316"/>
      <c r="T7754" s="355"/>
    </row>
    <row r="7755" spans="14:20" x14ac:dyDescent="0.25">
      <c r="N7755" s="514"/>
      <c r="R7755" s="293"/>
      <c r="S7755" s="316"/>
      <c r="T7755" s="355"/>
    </row>
    <row r="7756" spans="14:20" x14ac:dyDescent="0.25">
      <c r="N7756" s="514"/>
      <c r="R7756" s="293"/>
      <c r="S7756" s="316"/>
      <c r="T7756" s="355"/>
    </row>
    <row r="7757" spans="14:20" x14ac:dyDescent="0.25">
      <c r="N7757" s="514"/>
      <c r="R7757" s="293"/>
      <c r="S7757" s="316"/>
      <c r="T7757" s="355"/>
    </row>
    <row r="7758" spans="14:20" x14ac:dyDescent="0.25">
      <c r="N7758" s="514"/>
      <c r="R7758" s="293"/>
      <c r="S7758" s="316"/>
      <c r="T7758" s="355"/>
    </row>
    <row r="7759" spans="14:20" x14ac:dyDescent="0.25">
      <c r="N7759" s="514"/>
      <c r="R7759" s="293"/>
      <c r="S7759" s="316"/>
      <c r="T7759" s="355"/>
    </row>
    <row r="7760" spans="14:20" x14ac:dyDescent="0.25">
      <c r="N7760" s="514"/>
      <c r="R7760" s="293"/>
      <c r="S7760" s="316"/>
      <c r="T7760" s="355"/>
    </row>
    <row r="7761" spans="14:20" x14ac:dyDescent="0.25">
      <c r="N7761" s="514"/>
      <c r="R7761" s="293"/>
      <c r="S7761" s="316"/>
      <c r="T7761" s="355"/>
    </row>
    <row r="7762" spans="14:20" x14ac:dyDescent="0.25">
      <c r="N7762" s="514"/>
      <c r="R7762" s="293"/>
      <c r="S7762" s="316"/>
      <c r="T7762" s="355"/>
    </row>
    <row r="7763" spans="14:20" x14ac:dyDescent="0.25">
      <c r="N7763" s="514"/>
      <c r="R7763" s="293"/>
      <c r="S7763" s="316"/>
      <c r="T7763" s="355"/>
    </row>
    <row r="7764" spans="14:20" x14ac:dyDescent="0.25">
      <c r="N7764" s="514"/>
      <c r="R7764" s="293"/>
      <c r="S7764" s="316"/>
      <c r="T7764" s="355"/>
    </row>
    <row r="7765" spans="14:20" x14ac:dyDescent="0.25">
      <c r="N7765" s="514"/>
      <c r="R7765" s="293"/>
      <c r="S7765" s="316"/>
      <c r="T7765" s="355"/>
    </row>
    <row r="7766" spans="14:20" x14ac:dyDescent="0.25">
      <c r="N7766" s="514"/>
      <c r="R7766" s="293"/>
      <c r="S7766" s="316"/>
      <c r="T7766" s="355"/>
    </row>
    <row r="7767" spans="14:20" x14ac:dyDescent="0.25">
      <c r="N7767" s="514"/>
      <c r="R7767" s="293"/>
      <c r="S7767" s="316"/>
      <c r="T7767" s="355"/>
    </row>
    <row r="7768" spans="14:20" x14ac:dyDescent="0.25">
      <c r="N7768" s="514"/>
      <c r="R7768" s="293"/>
      <c r="S7768" s="316"/>
      <c r="T7768" s="355"/>
    </row>
    <row r="7769" spans="14:20" x14ac:dyDescent="0.25">
      <c r="N7769" s="514"/>
      <c r="R7769" s="293"/>
      <c r="S7769" s="316"/>
      <c r="T7769" s="355"/>
    </row>
    <row r="7770" spans="14:20" x14ac:dyDescent="0.25">
      <c r="N7770" s="514"/>
      <c r="R7770" s="293"/>
      <c r="S7770" s="316"/>
      <c r="T7770" s="355"/>
    </row>
    <row r="7771" spans="14:20" x14ac:dyDescent="0.25">
      <c r="N7771" s="514"/>
      <c r="R7771" s="293"/>
      <c r="S7771" s="316"/>
      <c r="T7771" s="355"/>
    </row>
    <row r="7772" spans="14:20" x14ac:dyDescent="0.25">
      <c r="N7772" s="514"/>
      <c r="R7772" s="293"/>
      <c r="S7772" s="316"/>
      <c r="T7772" s="355"/>
    </row>
    <row r="7773" spans="14:20" x14ac:dyDescent="0.25">
      <c r="N7773" s="514"/>
      <c r="R7773" s="293"/>
      <c r="S7773" s="316"/>
      <c r="T7773" s="355"/>
    </row>
    <row r="7774" spans="14:20" x14ac:dyDescent="0.25">
      <c r="N7774" s="514"/>
      <c r="R7774" s="293"/>
      <c r="S7774" s="316"/>
      <c r="T7774" s="355"/>
    </row>
    <row r="7775" spans="14:20" x14ac:dyDescent="0.25">
      <c r="N7775" s="514"/>
      <c r="R7775" s="293"/>
      <c r="S7775" s="316"/>
      <c r="T7775" s="355"/>
    </row>
    <row r="7776" spans="14:20" x14ac:dyDescent="0.25">
      <c r="N7776" s="514"/>
      <c r="R7776" s="293"/>
      <c r="S7776" s="316"/>
      <c r="T7776" s="355"/>
    </row>
    <row r="7777" spans="14:20" x14ac:dyDescent="0.25">
      <c r="N7777" s="514"/>
      <c r="R7777" s="293"/>
      <c r="S7777" s="316"/>
      <c r="T7777" s="355"/>
    </row>
    <row r="7778" spans="14:20" x14ac:dyDescent="0.25">
      <c r="N7778" s="514"/>
      <c r="R7778" s="293"/>
      <c r="S7778" s="316"/>
      <c r="T7778" s="355"/>
    </row>
    <row r="7779" spans="14:20" x14ac:dyDescent="0.25">
      <c r="N7779" s="514"/>
      <c r="R7779" s="293"/>
      <c r="S7779" s="316"/>
      <c r="T7779" s="355"/>
    </row>
    <row r="7780" spans="14:20" x14ac:dyDescent="0.25">
      <c r="N7780" s="514"/>
      <c r="R7780" s="293"/>
      <c r="S7780" s="316"/>
      <c r="T7780" s="355"/>
    </row>
    <row r="7781" spans="14:20" x14ac:dyDescent="0.25">
      <c r="N7781" s="514"/>
      <c r="R7781" s="293"/>
      <c r="S7781" s="316"/>
      <c r="T7781" s="355"/>
    </row>
    <row r="7782" spans="14:20" x14ac:dyDescent="0.25">
      <c r="N7782" s="514"/>
      <c r="R7782" s="293"/>
      <c r="S7782" s="316"/>
      <c r="T7782" s="355"/>
    </row>
    <row r="7783" spans="14:20" x14ac:dyDescent="0.25">
      <c r="N7783" s="514"/>
      <c r="R7783" s="293"/>
      <c r="S7783" s="316"/>
      <c r="T7783" s="355"/>
    </row>
    <row r="7784" spans="14:20" x14ac:dyDescent="0.25">
      <c r="N7784" s="514"/>
      <c r="R7784" s="293"/>
      <c r="S7784" s="316"/>
      <c r="T7784" s="355"/>
    </row>
    <row r="7785" spans="14:20" x14ac:dyDescent="0.25">
      <c r="N7785" s="514"/>
      <c r="R7785" s="293"/>
      <c r="S7785" s="316"/>
      <c r="T7785" s="355"/>
    </row>
    <row r="7786" spans="14:20" x14ac:dyDescent="0.25">
      <c r="N7786" s="514"/>
      <c r="R7786" s="293"/>
      <c r="S7786" s="316"/>
      <c r="T7786" s="355"/>
    </row>
    <row r="7787" spans="14:20" x14ac:dyDescent="0.25">
      <c r="N7787" s="514"/>
      <c r="R7787" s="293"/>
      <c r="S7787" s="316"/>
      <c r="T7787" s="355"/>
    </row>
    <row r="7788" spans="14:20" x14ac:dyDescent="0.25">
      <c r="N7788" s="514"/>
      <c r="R7788" s="293"/>
      <c r="S7788" s="316"/>
      <c r="T7788" s="355"/>
    </row>
    <row r="7789" spans="14:20" x14ac:dyDescent="0.25">
      <c r="N7789" s="514"/>
      <c r="R7789" s="293"/>
      <c r="S7789" s="316"/>
      <c r="T7789" s="355"/>
    </row>
    <row r="7790" spans="14:20" x14ac:dyDescent="0.25">
      <c r="N7790" s="514"/>
      <c r="R7790" s="293"/>
      <c r="S7790" s="316"/>
      <c r="T7790" s="355"/>
    </row>
    <row r="7791" spans="14:20" x14ac:dyDescent="0.25">
      <c r="N7791" s="514"/>
      <c r="R7791" s="293"/>
      <c r="S7791" s="316"/>
      <c r="T7791" s="355"/>
    </row>
    <row r="7792" spans="14:20" x14ac:dyDescent="0.25">
      <c r="N7792" s="514"/>
      <c r="R7792" s="293"/>
      <c r="S7792" s="316"/>
      <c r="T7792" s="355"/>
    </row>
    <row r="7793" spans="14:20" x14ac:dyDescent="0.25">
      <c r="N7793" s="514"/>
      <c r="R7793" s="293"/>
      <c r="S7793" s="316"/>
      <c r="T7793" s="355"/>
    </row>
    <row r="7794" spans="14:20" x14ac:dyDescent="0.25">
      <c r="N7794" s="514"/>
      <c r="R7794" s="293"/>
      <c r="S7794" s="316"/>
      <c r="T7794" s="355"/>
    </row>
    <row r="7795" spans="14:20" x14ac:dyDescent="0.25">
      <c r="N7795" s="514"/>
      <c r="R7795" s="293"/>
      <c r="S7795" s="316"/>
      <c r="T7795" s="355"/>
    </row>
    <row r="7796" spans="14:20" x14ac:dyDescent="0.25">
      <c r="N7796" s="514"/>
      <c r="R7796" s="293"/>
      <c r="S7796" s="316"/>
      <c r="T7796" s="355"/>
    </row>
    <row r="7797" spans="14:20" x14ac:dyDescent="0.25">
      <c r="N7797" s="514"/>
      <c r="R7797" s="293"/>
      <c r="S7797" s="316"/>
      <c r="T7797" s="355"/>
    </row>
    <row r="7798" spans="14:20" x14ac:dyDescent="0.25">
      <c r="N7798" s="514"/>
      <c r="R7798" s="293"/>
      <c r="S7798" s="316"/>
      <c r="T7798" s="355"/>
    </row>
    <row r="7799" spans="14:20" x14ac:dyDescent="0.25">
      <c r="N7799" s="514"/>
      <c r="R7799" s="293"/>
      <c r="S7799" s="316"/>
      <c r="T7799" s="355"/>
    </row>
    <row r="7800" spans="14:20" x14ac:dyDescent="0.25">
      <c r="N7800" s="514"/>
      <c r="R7800" s="293"/>
      <c r="S7800" s="316"/>
      <c r="T7800" s="355"/>
    </row>
    <row r="7801" spans="14:20" x14ac:dyDescent="0.25">
      <c r="N7801" s="514"/>
      <c r="R7801" s="293"/>
      <c r="S7801" s="316"/>
      <c r="T7801" s="355"/>
    </row>
    <row r="7802" spans="14:20" x14ac:dyDescent="0.25">
      <c r="N7802" s="514"/>
      <c r="R7802" s="293"/>
      <c r="S7802" s="316"/>
      <c r="T7802" s="355"/>
    </row>
    <row r="7803" spans="14:20" x14ac:dyDescent="0.25">
      <c r="N7803" s="514"/>
      <c r="R7803" s="293"/>
      <c r="S7803" s="316"/>
      <c r="T7803" s="355"/>
    </row>
    <row r="7804" spans="14:20" x14ac:dyDescent="0.25">
      <c r="N7804" s="514"/>
      <c r="R7804" s="293"/>
      <c r="S7804" s="316"/>
      <c r="T7804" s="355"/>
    </row>
    <row r="7805" spans="14:20" x14ac:dyDescent="0.25">
      <c r="N7805" s="514"/>
      <c r="R7805" s="293"/>
      <c r="S7805" s="316"/>
      <c r="T7805" s="355"/>
    </row>
    <row r="7806" spans="14:20" x14ac:dyDescent="0.25">
      <c r="N7806" s="514"/>
      <c r="R7806" s="293"/>
      <c r="S7806" s="316"/>
      <c r="T7806" s="355"/>
    </row>
    <row r="7807" spans="14:20" x14ac:dyDescent="0.25">
      <c r="N7807" s="514"/>
      <c r="R7807" s="293"/>
      <c r="S7807" s="316"/>
      <c r="T7807" s="355"/>
    </row>
    <row r="7808" spans="14:20" x14ac:dyDescent="0.25">
      <c r="N7808" s="514"/>
      <c r="R7808" s="293"/>
      <c r="S7808" s="316"/>
      <c r="T7808" s="355"/>
    </row>
    <row r="7809" spans="14:20" x14ac:dyDescent="0.25">
      <c r="N7809" s="514"/>
      <c r="R7809" s="293"/>
      <c r="S7809" s="316"/>
      <c r="T7809" s="355"/>
    </row>
    <row r="7810" spans="14:20" x14ac:dyDescent="0.25">
      <c r="N7810" s="514"/>
      <c r="R7810" s="293"/>
      <c r="S7810" s="316"/>
      <c r="T7810" s="355"/>
    </row>
    <row r="7811" spans="14:20" x14ac:dyDescent="0.25">
      <c r="N7811" s="514"/>
      <c r="R7811" s="293"/>
      <c r="S7811" s="316"/>
      <c r="T7811" s="355"/>
    </row>
    <row r="7812" spans="14:20" x14ac:dyDescent="0.25">
      <c r="N7812" s="514"/>
      <c r="R7812" s="293"/>
      <c r="S7812" s="316"/>
      <c r="T7812" s="355"/>
    </row>
    <row r="7813" spans="14:20" x14ac:dyDescent="0.25">
      <c r="N7813" s="514"/>
      <c r="R7813" s="293"/>
      <c r="S7813" s="316"/>
      <c r="T7813" s="355"/>
    </row>
    <row r="7814" spans="14:20" x14ac:dyDescent="0.25">
      <c r="N7814" s="514"/>
      <c r="R7814" s="293"/>
      <c r="S7814" s="316"/>
      <c r="T7814" s="355"/>
    </row>
    <row r="7815" spans="14:20" x14ac:dyDescent="0.25">
      <c r="N7815" s="514"/>
      <c r="R7815" s="293"/>
      <c r="S7815" s="316"/>
      <c r="T7815" s="355"/>
    </row>
    <row r="7816" spans="14:20" x14ac:dyDescent="0.25">
      <c r="N7816" s="514"/>
      <c r="R7816" s="293"/>
      <c r="S7816" s="316"/>
      <c r="T7816" s="355"/>
    </row>
    <row r="7817" spans="14:20" x14ac:dyDescent="0.25">
      <c r="N7817" s="514"/>
      <c r="R7817" s="293"/>
      <c r="S7817" s="316"/>
      <c r="T7817" s="355"/>
    </row>
    <row r="7818" spans="14:20" x14ac:dyDescent="0.25">
      <c r="N7818" s="514"/>
      <c r="R7818" s="293"/>
      <c r="S7818" s="316"/>
      <c r="T7818" s="355"/>
    </row>
    <row r="7819" spans="14:20" x14ac:dyDescent="0.25">
      <c r="N7819" s="514"/>
      <c r="R7819" s="293"/>
      <c r="S7819" s="316"/>
      <c r="T7819" s="355"/>
    </row>
    <row r="7820" spans="14:20" x14ac:dyDescent="0.25">
      <c r="N7820" s="514"/>
      <c r="R7820" s="293"/>
      <c r="S7820" s="316"/>
      <c r="T7820" s="355"/>
    </row>
    <row r="7821" spans="14:20" x14ac:dyDescent="0.25">
      <c r="N7821" s="514"/>
      <c r="R7821" s="293"/>
      <c r="S7821" s="316"/>
      <c r="T7821" s="355"/>
    </row>
    <row r="7822" spans="14:20" x14ac:dyDescent="0.25">
      <c r="N7822" s="514"/>
      <c r="R7822" s="293"/>
      <c r="S7822" s="316"/>
      <c r="T7822" s="355"/>
    </row>
    <row r="7823" spans="14:20" x14ac:dyDescent="0.25">
      <c r="N7823" s="514"/>
      <c r="R7823" s="293"/>
      <c r="S7823" s="316"/>
      <c r="T7823" s="355"/>
    </row>
    <row r="7824" spans="14:20" x14ac:dyDescent="0.25">
      <c r="N7824" s="514"/>
      <c r="R7824" s="293"/>
      <c r="S7824" s="316"/>
      <c r="T7824" s="355"/>
    </row>
    <row r="7825" spans="14:20" x14ac:dyDescent="0.25">
      <c r="N7825" s="514"/>
      <c r="R7825" s="293"/>
      <c r="S7825" s="316"/>
      <c r="T7825" s="355"/>
    </row>
    <row r="7826" spans="14:20" x14ac:dyDescent="0.25">
      <c r="N7826" s="514"/>
      <c r="R7826" s="293"/>
      <c r="S7826" s="316"/>
      <c r="T7826" s="355"/>
    </row>
    <row r="7827" spans="14:20" x14ac:dyDescent="0.25">
      <c r="N7827" s="514"/>
      <c r="R7827" s="293"/>
      <c r="S7827" s="316"/>
      <c r="T7827" s="355"/>
    </row>
    <row r="7828" spans="14:20" x14ac:dyDescent="0.25">
      <c r="N7828" s="514"/>
      <c r="R7828" s="293"/>
      <c r="S7828" s="316"/>
      <c r="T7828" s="355"/>
    </row>
    <row r="7829" spans="14:20" x14ac:dyDescent="0.25">
      <c r="N7829" s="514"/>
      <c r="R7829" s="293"/>
      <c r="S7829" s="316"/>
      <c r="T7829" s="355"/>
    </row>
    <row r="7830" spans="14:20" x14ac:dyDescent="0.25">
      <c r="N7830" s="514"/>
      <c r="R7830" s="293"/>
      <c r="S7830" s="316"/>
      <c r="T7830" s="355"/>
    </row>
    <row r="7831" spans="14:20" x14ac:dyDescent="0.25">
      <c r="N7831" s="514"/>
      <c r="R7831" s="293"/>
      <c r="S7831" s="316"/>
      <c r="T7831" s="355"/>
    </row>
    <row r="7832" spans="14:20" x14ac:dyDescent="0.25">
      <c r="N7832" s="514"/>
      <c r="R7832" s="293"/>
      <c r="S7832" s="316"/>
      <c r="T7832" s="355"/>
    </row>
    <row r="7833" spans="14:20" x14ac:dyDescent="0.25">
      <c r="N7833" s="514"/>
      <c r="R7833" s="293"/>
      <c r="S7833" s="316"/>
      <c r="T7833" s="355"/>
    </row>
    <row r="7834" spans="14:20" x14ac:dyDescent="0.25">
      <c r="N7834" s="514"/>
      <c r="R7834" s="293"/>
      <c r="S7834" s="316"/>
      <c r="T7834" s="355"/>
    </row>
    <row r="7835" spans="14:20" x14ac:dyDescent="0.25">
      <c r="N7835" s="514"/>
      <c r="R7835" s="293"/>
      <c r="S7835" s="316"/>
      <c r="T7835" s="355"/>
    </row>
    <row r="7836" spans="14:20" x14ac:dyDescent="0.25">
      <c r="N7836" s="514"/>
      <c r="R7836" s="293"/>
      <c r="S7836" s="316"/>
      <c r="T7836" s="355"/>
    </row>
    <row r="7837" spans="14:20" x14ac:dyDescent="0.25">
      <c r="N7837" s="514"/>
      <c r="R7837" s="293"/>
      <c r="S7837" s="316"/>
      <c r="T7837" s="355"/>
    </row>
    <row r="7838" spans="14:20" x14ac:dyDescent="0.25">
      <c r="N7838" s="514"/>
      <c r="R7838" s="293"/>
      <c r="S7838" s="316"/>
      <c r="T7838" s="355"/>
    </row>
    <row r="7839" spans="14:20" x14ac:dyDescent="0.25">
      <c r="N7839" s="514"/>
      <c r="R7839" s="293"/>
      <c r="S7839" s="316"/>
      <c r="T7839" s="355"/>
    </row>
    <row r="7840" spans="14:20" x14ac:dyDescent="0.25">
      <c r="N7840" s="514"/>
      <c r="R7840" s="293"/>
      <c r="S7840" s="316"/>
      <c r="T7840" s="355"/>
    </row>
    <row r="7841" spans="14:20" x14ac:dyDescent="0.25">
      <c r="N7841" s="514"/>
      <c r="R7841" s="293"/>
      <c r="S7841" s="316"/>
      <c r="T7841" s="355"/>
    </row>
    <row r="7842" spans="14:20" x14ac:dyDescent="0.25">
      <c r="N7842" s="514"/>
      <c r="R7842" s="293"/>
      <c r="S7842" s="316"/>
      <c r="T7842" s="355"/>
    </row>
    <row r="7843" spans="14:20" x14ac:dyDescent="0.25">
      <c r="N7843" s="514"/>
      <c r="R7843" s="293"/>
      <c r="S7843" s="316"/>
      <c r="T7843" s="355"/>
    </row>
    <row r="7844" spans="14:20" x14ac:dyDescent="0.25">
      <c r="N7844" s="514"/>
      <c r="R7844" s="293"/>
      <c r="S7844" s="316"/>
      <c r="T7844" s="355"/>
    </row>
    <row r="7845" spans="14:20" x14ac:dyDescent="0.25">
      <c r="N7845" s="514"/>
      <c r="R7845" s="293"/>
      <c r="S7845" s="316"/>
      <c r="T7845" s="355"/>
    </row>
    <row r="7846" spans="14:20" x14ac:dyDescent="0.25">
      <c r="N7846" s="514"/>
      <c r="R7846" s="293"/>
      <c r="S7846" s="316"/>
      <c r="T7846" s="355"/>
    </row>
    <row r="7847" spans="14:20" x14ac:dyDescent="0.25">
      <c r="N7847" s="514"/>
      <c r="R7847" s="293"/>
      <c r="S7847" s="316"/>
      <c r="T7847" s="355"/>
    </row>
    <row r="7848" spans="14:20" x14ac:dyDescent="0.25">
      <c r="N7848" s="514"/>
      <c r="R7848" s="293"/>
      <c r="S7848" s="316"/>
      <c r="T7848" s="355"/>
    </row>
    <row r="7849" spans="14:20" x14ac:dyDescent="0.25">
      <c r="N7849" s="514"/>
      <c r="R7849" s="293"/>
      <c r="S7849" s="316"/>
      <c r="T7849" s="355"/>
    </row>
    <row r="7850" spans="14:20" x14ac:dyDescent="0.25">
      <c r="N7850" s="514"/>
      <c r="R7850" s="293"/>
      <c r="S7850" s="316"/>
      <c r="T7850" s="355"/>
    </row>
    <row r="7851" spans="14:20" x14ac:dyDescent="0.25">
      <c r="N7851" s="514"/>
      <c r="R7851" s="293"/>
      <c r="S7851" s="316"/>
      <c r="T7851" s="355"/>
    </row>
    <row r="7852" spans="14:20" x14ac:dyDescent="0.25">
      <c r="N7852" s="514"/>
      <c r="R7852" s="293"/>
      <c r="S7852" s="316"/>
      <c r="T7852" s="355"/>
    </row>
    <row r="7853" spans="14:20" x14ac:dyDescent="0.25">
      <c r="N7853" s="514"/>
      <c r="R7853" s="293"/>
      <c r="S7853" s="316"/>
      <c r="T7853" s="355"/>
    </row>
    <row r="7854" spans="14:20" x14ac:dyDescent="0.25">
      <c r="N7854" s="514"/>
      <c r="R7854" s="293"/>
      <c r="S7854" s="316"/>
      <c r="T7854" s="355"/>
    </row>
    <row r="7855" spans="14:20" x14ac:dyDescent="0.25">
      <c r="N7855" s="514"/>
      <c r="R7855" s="293"/>
      <c r="S7855" s="316"/>
      <c r="T7855" s="355"/>
    </row>
    <row r="7856" spans="14:20" x14ac:dyDescent="0.25">
      <c r="N7856" s="514"/>
      <c r="R7856" s="293"/>
      <c r="S7856" s="316"/>
      <c r="T7856" s="355"/>
    </row>
    <row r="7857" spans="14:20" x14ac:dyDescent="0.25">
      <c r="N7857" s="514"/>
      <c r="R7857" s="293"/>
      <c r="S7857" s="316"/>
      <c r="T7857" s="355"/>
    </row>
    <row r="7858" spans="14:20" x14ac:dyDescent="0.25">
      <c r="N7858" s="514"/>
      <c r="R7858" s="293"/>
      <c r="S7858" s="316"/>
      <c r="T7858" s="355"/>
    </row>
    <row r="7859" spans="14:20" x14ac:dyDescent="0.25">
      <c r="N7859" s="514"/>
      <c r="R7859" s="293"/>
      <c r="S7859" s="316"/>
      <c r="T7859" s="355"/>
    </row>
    <row r="7860" spans="14:20" x14ac:dyDescent="0.25">
      <c r="N7860" s="514"/>
      <c r="R7860" s="293"/>
      <c r="S7860" s="316"/>
      <c r="T7860" s="355"/>
    </row>
    <row r="7861" spans="14:20" x14ac:dyDescent="0.25">
      <c r="N7861" s="514"/>
      <c r="R7861" s="293"/>
      <c r="S7861" s="316"/>
      <c r="T7861" s="355"/>
    </row>
    <row r="7862" spans="14:20" x14ac:dyDescent="0.25">
      <c r="N7862" s="514"/>
      <c r="R7862" s="293"/>
      <c r="S7862" s="316"/>
      <c r="T7862" s="355"/>
    </row>
    <row r="7863" spans="14:20" x14ac:dyDescent="0.25">
      <c r="N7863" s="514"/>
      <c r="R7863" s="293"/>
      <c r="S7863" s="316"/>
      <c r="T7863" s="355"/>
    </row>
    <row r="7864" spans="14:20" x14ac:dyDescent="0.25">
      <c r="N7864" s="514"/>
      <c r="R7864" s="293"/>
      <c r="S7864" s="316"/>
      <c r="T7864" s="355"/>
    </row>
    <row r="7865" spans="14:20" x14ac:dyDescent="0.25">
      <c r="N7865" s="514"/>
      <c r="R7865" s="293"/>
      <c r="S7865" s="316"/>
      <c r="T7865" s="355"/>
    </row>
    <row r="7866" spans="14:20" x14ac:dyDescent="0.25">
      <c r="N7866" s="514"/>
      <c r="R7866" s="293"/>
      <c r="S7866" s="316"/>
      <c r="T7866" s="355"/>
    </row>
    <row r="7867" spans="14:20" x14ac:dyDescent="0.25">
      <c r="N7867" s="514"/>
      <c r="R7867" s="293"/>
      <c r="S7867" s="316"/>
      <c r="T7867" s="355"/>
    </row>
    <row r="7868" spans="14:20" x14ac:dyDescent="0.25">
      <c r="N7868" s="514"/>
      <c r="R7868" s="293"/>
      <c r="S7868" s="316"/>
      <c r="T7868" s="355"/>
    </row>
    <row r="7869" spans="14:20" x14ac:dyDescent="0.25">
      <c r="N7869" s="514"/>
      <c r="R7869" s="293"/>
      <c r="S7869" s="316"/>
      <c r="T7869" s="355"/>
    </row>
    <row r="7870" spans="14:20" x14ac:dyDescent="0.25">
      <c r="N7870" s="514"/>
      <c r="R7870" s="293"/>
      <c r="S7870" s="316"/>
      <c r="T7870" s="355"/>
    </row>
    <row r="7871" spans="14:20" x14ac:dyDescent="0.25">
      <c r="N7871" s="514"/>
      <c r="R7871" s="293"/>
      <c r="S7871" s="316"/>
      <c r="T7871" s="355"/>
    </row>
    <row r="7872" spans="14:20" x14ac:dyDescent="0.25">
      <c r="N7872" s="514"/>
      <c r="R7872" s="293"/>
      <c r="S7872" s="316"/>
      <c r="T7872" s="355"/>
    </row>
    <row r="7873" spans="14:20" x14ac:dyDescent="0.25">
      <c r="N7873" s="514"/>
      <c r="R7873" s="293"/>
      <c r="S7873" s="316"/>
      <c r="T7873" s="355"/>
    </row>
    <row r="7874" spans="14:20" x14ac:dyDescent="0.25">
      <c r="N7874" s="514"/>
      <c r="R7874" s="293"/>
      <c r="S7874" s="316"/>
      <c r="T7874" s="355"/>
    </row>
    <row r="7875" spans="14:20" x14ac:dyDescent="0.25">
      <c r="N7875" s="514"/>
      <c r="R7875" s="293"/>
      <c r="S7875" s="316"/>
      <c r="T7875" s="355"/>
    </row>
    <row r="7876" spans="14:20" x14ac:dyDescent="0.25">
      <c r="N7876" s="514"/>
      <c r="R7876" s="293"/>
      <c r="S7876" s="316"/>
      <c r="T7876" s="355"/>
    </row>
    <row r="7877" spans="14:20" x14ac:dyDescent="0.25">
      <c r="N7877" s="514"/>
      <c r="R7877" s="293"/>
      <c r="S7877" s="316"/>
      <c r="T7877" s="355"/>
    </row>
    <row r="7878" spans="14:20" x14ac:dyDescent="0.25">
      <c r="N7878" s="514"/>
      <c r="R7878" s="293"/>
      <c r="S7878" s="316"/>
      <c r="T7878" s="355"/>
    </row>
    <row r="7879" spans="14:20" x14ac:dyDescent="0.25">
      <c r="N7879" s="514"/>
      <c r="R7879" s="293"/>
      <c r="S7879" s="316"/>
      <c r="T7879" s="355"/>
    </row>
    <row r="7880" spans="14:20" x14ac:dyDescent="0.25">
      <c r="N7880" s="514"/>
      <c r="R7880" s="293"/>
      <c r="S7880" s="316"/>
      <c r="T7880" s="355"/>
    </row>
    <row r="7881" spans="14:20" x14ac:dyDescent="0.25">
      <c r="N7881" s="514"/>
      <c r="R7881" s="293"/>
      <c r="S7881" s="316"/>
      <c r="T7881" s="355"/>
    </row>
    <row r="7882" spans="14:20" x14ac:dyDescent="0.25">
      <c r="N7882" s="514"/>
      <c r="R7882" s="293"/>
      <c r="S7882" s="316"/>
      <c r="T7882" s="355"/>
    </row>
    <row r="7883" spans="14:20" x14ac:dyDescent="0.25">
      <c r="N7883" s="514"/>
      <c r="R7883" s="293"/>
      <c r="S7883" s="316"/>
      <c r="T7883" s="355"/>
    </row>
    <row r="7884" spans="14:20" x14ac:dyDescent="0.25">
      <c r="N7884" s="514"/>
      <c r="R7884" s="293"/>
      <c r="S7884" s="316"/>
      <c r="T7884" s="355"/>
    </row>
    <row r="7885" spans="14:20" x14ac:dyDescent="0.25">
      <c r="N7885" s="514"/>
      <c r="R7885" s="293"/>
      <c r="S7885" s="316"/>
      <c r="T7885" s="355"/>
    </row>
    <row r="7886" spans="14:20" x14ac:dyDescent="0.25">
      <c r="N7886" s="514"/>
      <c r="R7886" s="293"/>
      <c r="S7886" s="316"/>
      <c r="T7886" s="355"/>
    </row>
    <row r="7887" spans="14:20" x14ac:dyDescent="0.25">
      <c r="N7887" s="514"/>
      <c r="R7887" s="293"/>
      <c r="S7887" s="316"/>
      <c r="T7887" s="355"/>
    </row>
    <row r="7888" spans="14:20" x14ac:dyDescent="0.25">
      <c r="N7888" s="514"/>
      <c r="R7888" s="293"/>
      <c r="S7888" s="316"/>
      <c r="T7888" s="355"/>
    </row>
    <row r="7889" spans="14:20" x14ac:dyDescent="0.25">
      <c r="N7889" s="514"/>
      <c r="R7889" s="293"/>
      <c r="S7889" s="316"/>
      <c r="T7889" s="355"/>
    </row>
    <row r="7890" spans="14:20" x14ac:dyDescent="0.25">
      <c r="N7890" s="514"/>
      <c r="R7890" s="293"/>
      <c r="S7890" s="316"/>
      <c r="T7890" s="355"/>
    </row>
    <row r="7891" spans="14:20" x14ac:dyDescent="0.25">
      <c r="N7891" s="514"/>
      <c r="R7891" s="293"/>
      <c r="S7891" s="316"/>
      <c r="T7891" s="355"/>
    </row>
    <row r="7892" spans="14:20" x14ac:dyDescent="0.25">
      <c r="N7892" s="514"/>
      <c r="R7892" s="293"/>
      <c r="S7892" s="316"/>
      <c r="T7892" s="355"/>
    </row>
    <row r="7893" spans="14:20" x14ac:dyDescent="0.25">
      <c r="N7893" s="514"/>
      <c r="R7893" s="293"/>
      <c r="S7893" s="316"/>
      <c r="T7893" s="355"/>
    </row>
    <row r="7894" spans="14:20" x14ac:dyDescent="0.25">
      <c r="N7894" s="514"/>
      <c r="R7894" s="293"/>
      <c r="S7894" s="316"/>
      <c r="T7894" s="355"/>
    </row>
    <row r="7895" spans="14:20" x14ac:dyDescent="0.25">
      <c r="N7895" s="514"/>
      <c r="R7895" s="293"/>
      <c r="S7895" s="316"/>
      <c r="T7895" s="355"/>
    </row>
    <row r="7896" spans="14:20" x14ac:dyDescent="0.25">
      <c r="N7896" s="514"/>
      <c r="R7896" s="293"/>
      <c r="S7896" s="316"/>
      <c r="T7896" s="355"/>
    </row>
    <row r="7897" spans="14:20" x14ac:dyDescent="0.25">
      <c r="N7897" s="514"/>
      <c r="R7897" s="293"/>
      <c r="S7897" s="316"/>
      <c r="T7897" s="355"/>
    </row>
    <row r="7898" spans="14:20" x14ac:dyDescent="0.25">
      <c r="N7898" s="514"/>
      <c r="R7898" s="293"/>
      <c r="S7898" s="316"/>
      <c r="T7898" s="355"/>
    </row>
    <row r="7899" spans="14:20" x14ac:dyDescent="0.25">
      <c r="N7899" s="514"/>
      <c r="R7899" s="293"/>
      <c r="S7899" s="316"/>
      <c r="T7899" s="355"/>
    </row>
    <row r="7900" spans="14:20" x14ac:dyDescent="0.25">
      <c r="N7900" s="514"/>
      <c r="R7900" s="293"/>
      <c r="S7900" s="316"/>
      <c r="T7900" s="355"/>
    </row>
    <row r="7901" spans="14:20" x14ac:dyDescent="0.25">
      <c r="N7901" s="514"/>
      <c r="R7901" s="293"/>
      <c r="S7901" s="316"/>
      <c r="T7901" s="355"/>
    </row>
    <row r="7902" spans="14:20" x14ac:dyDescent="0.25">
      <c r="N7902" s="514"/>
      <c r="R7902" s="293"/>
      <c r="S7902" s="316"/>
      <c r="T7902" s="355"/>
    </row>
    <row r="7903" spans="14:20" x14ac:dyDescent="0.25">
      <c r="N7903" s="514"/>
      <c r="R7903" s="293"/>
      <c r="S7903" s="316"/>
      <c r="T7903" s="355"/>
    </row>
    <row r="7904" spans="14:20" x14ac:dyDescent="0.25">
      <c r="N7904" s="514"/>
      <c r="R7904" s="293"/>
      <c r="S7904" s="316"/>
      <c r="T7904" s="355"/>
    </row>
    <row r="7905" spans="14:20" x14ac:dyDescent="0.25">
      <c r="N7905" s="514"/>
      <c r="R7905" s="293"/>
      <c r="S7905" s="316"/>
      <c r="T7905" s="355"/>
    </row>
    <row r="7906" spans="14:20" x14ac:dyDescent="0.25">
      <c r="N7906" s="514"/>
      <c r="R7906" s="293"/>
      <c r="S7906" s="316"/>
      <c r="T7906" s="355"/>
    </row>
    <row r="7907" spans="14:20" x14ac:dyDescent="0.25">
      <c r="N7907" s="514"/>
      <c r="R7907" s="293"/>
      <c r="S7907" s="316"/>
      <c r="T7907" s="355"/>
    </row>
    <row r="7908" spans="14:20" x14ac:dyDescent="0.25">
      <c r="N7908" s="514"/>
      <c r="R7908" s="293"/>
      <c r="S7908" s="316"/>
      <c r="T7908" s="355"/>
    </row>
    <row r="7909" spans="14:20" x14ac:dyDescent="0.25">
      <c r="N7909" s="514"/>
      <c r="R7909" s="293"/>
      <c r="S7909" s="316"/>
      <c r="T7909" s="355"/>
    </row>
    <row r="7910" spans="14:20" x14ac:dyDescent="0.25">
      <c r="N7910" s="514"/>
      <c r="R7910" s="293"/>
      <c r="S7910" s="316"/>
      <c r="T7910" s="355"/>
    </row>
    <row r="7911" spans="14:20" x14ac:dyDescent="0.25">
      <c r="N7911" s="514"/>
      <c r="R7911" s="293"/>
      <c r="S7911" s="316"/>
      <c r="T7911" s="355"/>
    </row>
    <row r="7912" spans="14:20" x14ac:dyDescent="0.25">
      <c r="N7912" s="514"/>
      <c r="R7912" s="293"/>
      <c r="S7912" s="316"/>
      <c r="T7912" s="355"/>
    </row>
    <row r="7913" spans="14:20" x14ac:dyDescent="0.25">
      <c r="N7913" s="514"/>
      <c r="R7913" s="293"/>
      <c r="S7913" s="316"/>
      <c r="T7913" s="355"/>
    </row>
    <row r="7914" spans="14:20" x14ac:dyDescent="0.25">
      <c r="N7914" s="514"/>
      <c r="R7914" s="293"/>
      <c r="S7914" s="316"/>
      <c r="T7914" s="355"/>
    </row>
    <row r="7915" spans="14:20" x14ac:dyDescent="0.25">
      <c r="N7915" s="514"/>
      <c r="R7915" s="293"/>
      <c r="S7915" s="316"/>
      <c r="T7915" s="355"/>
    </row>
    <row r="7916" spans="14:20" x14ac:dyDescent="0.25">
      <c r="N7916" s="514"/>
      <c r="R7916" s="293"/>
      <c r="S7916" s="316"/>
      <c r="T7916" s="355"/>
    </row>
    <row r="7917" spans="14:20" x14ac:dyDescent="0.25">
      <c r="N7917" s="514"/>
      <c r="R7917" s="293"/>
      <c r="S7917" s="316"/>
      <c r="T7917" s="355"/>
    </row>
    <row r="7918" spans="14:20" x14ac:dyDescent="0.25">
      <c r="N7918" s="514"/>
      <c r="R7918" s="293"/>
      <c r="S7918" s="316"/>
      <c r="T7918" s="355"/>
    </row>
    <row r="7919" spans="14:20" x14ac:dyDescent="0.25">
      <c r="N7919" s="514"/>
      <c r="R7919" s="293"/>
      <c r="S7919" s="316"/>
      <c r="T7919" s="355"/>
    </row>
    <row r="7920" spans="14:20" x14ac:dyDescent="0.25">
      <c r="N7920" s="514"/>
      <c r="R7920" s="293"/>
      <c r="S7920" s="316"/>
      <c r="T7920" s="355"/>
    </row>
    <row r="7921" spans="14:20" x14ac:dyDescent="0.25">
      <c r="N7921" s="514"/>
      <c r="R7921" s="293"/>
      <c r="S7921" s="316"/>
      <c r="T7921" s="355"/>
    </row>
    <row r="7922" spans="14:20" x14ac:dyDescent="0.25">
      <c r="N7922" s="514"/>
      <c r="R7922" s="293"/>
      <c r="S7922" s="316"/>
      <c r="T7922" s="355"/>
    </row>
    <row r="7923" spans="14:20" x14ac:dyDescent="0.25">
      <c r="N7923" s="514"/>
      <c r="R7923" s="293"/>
      <c r="S7923" s="316"/>
      <c r="T7923" s="355"/>
    </row>
    <row r="7924" spans="14:20" x14ac:dyDescent="0.25">
      <c r="N7924" s="514"/>
      <c r="R7924" s="293"/>
      <c r="S7924" s="316"/>
      <c r="T7924" s="355"/>
    </row>
    <row r="7925" spans="14:20" x14ac:dyDescent="0.25">
      <c r="N7925" s="514"/>
      <c r="R7925" s="293"/>
      <c r="S7925" s="316"/>
      <c r="T7925" s="355"/>
    </row>
    <row r="7926" spans="14:20" x14ac:dyDescent="0.25">
      <c r="N7926" s="514"/>
      <c r="R7926" s="293"/>
      <c r="S7926" s="316"/>
      <c r="T7926" s="355"/>
    </row>
    <row r="7927" spans="14:20" x14ac:dyDescent="0.25">
      <c r="N7927" s="514"/>
      <c r="R7927" s="293"/>
      <c r="S7927" s="316"/>
      <c r="T7927" s="355"/>
    </row>
    <row r="7928" spans="14:20" x14ac:dyDescent="0.25">
      <c r="N7928" s="514"/>
      <c r="R7928" s="293"/>
      <c r="S7928" s="316"/>
      <c r="T7928" s="355"/>
    </row>
    <row r="7929" spans="14:20" x14ac:dyDescent="0.25">
      <c r="N7929" s="514"/>
      <c r="R7929" s="293"/>
      <c r="S7929" s="316"/>
      <c r="T7929" s="355"/>
    </row>
    <row r="7930" spans="14:20" x14ac:dyDescent="0.25">
      <c r="N7930" s="514"/>
      <c r="R7930" s="293"/>
      <c r="S7930" s="316"/>
      <c r="T7930" s="355"/>
    </row>
    <row r="7931" spans="14:20" x14ac:dyDescent="0.25">
      <c r="N7931" s="514"/>
      <c r="R7931" s="293"/>
      <c r="S7931" s="316"/>
      <c r="T7931" s="355"/>
    </row>
    <row r="7932" spans="14:20" x14ac:dyDescent="0.25">
      <c r="N7932" s="514"/>
      <c r="R7932" s="293"/>
      <c r="S7932" s="316"/>
      <c r="T7932" s="355"/>
    </row>
    <row r="7933" spans="14:20" x14ac:dyDescent="0.25">
      <c r="N7933" s="514"/>
      <c r="R7933" s="293"/>
      <c r="S7933" s="316"/>
      <c r="T7933" s="355"/>
    </row>
    <row r="7934" spans="14:20" x14ac:dyDescent="0.25">
      <c r="N7934" s="514"/>
      <c r="R7934" s="293"/>
      <c r="S7934" s="316"/>
      <c r="T7934" s="355"/>
    </row>
    <row r="7935" spans="14:20" x14ac:dyDescent="0.25">
      <c r="N7935" s="514"/>
      <c r="R7935" s="293"/>
      <c r="S7935" s="316"/>
      <c r="T7935" s="355"/>
    </row>
    <row r="7936" spans="14:20" x14ac:dyDescent="0.25">
      <c r="N7936" s="514"/>
      <c r="R7936" s="293"/>
      <c r="S7936" s="316"/>
      <c r="T7936" s="355"/>
    </row>
    <row r="7937" spans="14:20" x14ac:dyDescent="0.25">
      <c r="N7937" s="514"/>
      <c r="R7937" s="293"/>
      <c r="S7937" s="316"/>
      <c r="T7937" s="355"/>
    </row>
    <row r="7938" spans="14:20" x14ac:dyDescent="0.25">
      <c r="N7938" s="514"/>
      <c r="R7938" s="293"/>
      <c r="S7938" s="316"/>
      <c r="T7938" s="355"/>
    </row>
    <row r="7939" spans="14:20" x14ac:dyDescent="0.25">
      <c r="N7939" s="514"/>
      <c r="R7939" s="293"/>
      <c r="S7939" s="316"/>
      <c r="T7939" s="355"/>
    </row>
    <row r="7940" spans="14:20" x14ac:dyDescent="0.25">
      <c r="N7940" s="514"/>
      <c r="R7940" s="293"/>
      <c r="S7940" s="316"/>
      <c r="T7940" s="355"/>
    </row>
    <row r="7941" spans="14:20" x14ac:dyDescent="0.25">
      <c r="N7941" s="514"/>
      <c r="R7941" s="293"/>
      <c r="S7941" s="316"/>
      <c r="T7941" s="355"/>
    </row>
    <row r="7942" spans="14:20" x14ac:dyDescent="0.25">
      <c r="N7942" s="514"/>
      <c r="R7942" s="293"/>
      <c r="S7942" s="316"/>
      <c r="T7942" s="355"/>
    </row>
    <row r="7943" spans="14:20" x14ac:dyDescent="0.25">
      <c r="N7943" s="514"/>
      <c r="R7943" s="293"/>
      <c r="S7943" s="316"/>
      <c r="T7943" s="355"/>
    </row>
    <row r="7944" spans="14:20" x14ac:dyDescent="0.25">
      <c r="N7944" s="514"/>
      <c r="R7944" s="293"/>
      <c r="S7944" s="316"/>
      <c r="T7944" s="355"/>
    </row>
    <row r="7945" spans="14:20" x14ac:dyDescent="0.25">
      <c r="N7945" s="514"/>
      <c r="R7945" s="293"/>
      <c r="S7945" s="316"/>
      <c r="T7945" s="355"/>
    </row>
    <row r="7946" spans="14:20" x14ac:dyDescent="0.25">
      <c r="N7946" s="514"/>
      <c r="R7946" s="293"/>
      <c r="S7946" s="316"/>
      <c r="T7946" s="355"/>
    </row>
    <row r="7947" spans="14:20" x14ac:dyDescent="0.25">
      <c r="N7947" s="514"/>
      <c r="R7947" s="293"/>
      <c r="S7947" s="316"/>
      <c r="T7947" s="355"/>
    </row>
    <row r="7948" spans="14:20" x14ac:dyDescent="0.25">
      <c r="N7948" s="514"/>
      <c r="R7948" s="293"/>
      <c r="S7948" s="316"/>
      <c r="T7948" s="355"/>
    </row>
    <row r="7949" spans="14:20" x14ac:dyDescent="0.25">
      <c r="N7949" s="514"/>
      <c r="R7949" s="293"/>
      <c r="S7949" s="316"/>
      <c r="T7949" s="355"/>
    </row>
    <row r="7950" spans="14:20" x14ac:dyDescent="0.25">
      <c r="N7950" s="514"/>
      <c r="R7950" s="293"/>
      <c r="S7950" s="316"/>
      <c r="T7950" s="355"/>
    </row>
    <row r="7951" spans="14:20" x14ac:dyDescent="0.25">
      <c r="N7951" s="514"/>
      <c r="R7951" s="293"/>
      <c r="S7951" s="316"/>
      <c r="T7951" s="355"/>
    </row>
    <row r="7952" spans="14:20" x14ac:dyDescent="0.25">
      <c r="N7952" s="514"/>
      <c r="R7952" s="293"/>
      <c r="S7952" s="316"/>
      <c r="T7952" s="355"/>
    </row>
    <row r="7953" spans="14:20" x14ac:dyDescent="0.25">
      <c r="N7953" s="514"/>
      <c r="R7953" s="293"/>
      <c r="S7953" s="316"/>
      <c r="T7953" s="355"/>
    </row>
    <row r="7954" spans="14:20" x14ac:dyDescent="0.25">
      <c r="N7954" s="514"/>
      <c r="R7954" s="293"/>
      <c r="S7954" s="316"/>
      <c r="T7954" s="355"/>
    </row>
    <row r="7955" spans="14:20" x14ac:dyDescent="0.25">
      <c r="N7955" s="514"/>
      <c r="R7955" s="293"/>
      <c r="S7955" s="316"/>
      <c r="T7955" s="355"/>
    </row>
    <row r="7956" spans="14:20" x14ac:dyDescent="0.25">
      <c r="N7956" s="514"/>
      <c r="R7956" s="293"/>
      <c r="S7956" s="316"/>
      <c r="T7956" s="355"/>
    </row>
    <row r="7957" spans="14:20" x14ac:dyDescent="0.25">
      <c r="N7957" s="514"/>
      <c r="R7957" s="293"/>
      <c r="S7957" s="316"/>
      <c r="T7957" s="355"/>
    </row>
    <row r="7958" spans="14:20" x14ac:dyDescent="0.25">
      <c r="N7958" s="514"/>
      <c r="R7958" s="293"/>
      <c r="S7958" s="316"/>
      <c r="T7958" s="355"/>
    </row>
    <row r="7959" spans="14:20" x14ac:dyDescent="0.25">
      <c r="N7959" s="514"/>
      <c r="R7959" s="293"/>
      <c r="S7959" s="316"/>
      <c r="T7959" s="355"/>
    </row>
    <row r="7960" spans="14:20" x14ac:dyDescent="0.25">
      <c r="N7960" s="514"/>
      <c r="R7960" s="293"/>
      <c r="S7960" s="316"/>
      <c r="T7960" s="355"/>
    </row>
    <row r="7961" spans="14:20" x14ac:dyDescent="0.25">
      <c r="N7961" s="514"/>
      <c r="R7961" s="293"/>
      <c r="S7961" s="316"/>
      <c r="T7961" s="355"/>
    </row>
    <row r="7962" spans="14:20" x14ac:dyDescent="0.25">
      <c r="N7962" s="514"/>
      <c r="R7962" s="293"/>
      <c r="S7962" s="316"/>
      <c r="T7962" s="355"/>
    </row>
    <row r="7963" spans="14:20" x14ac:dyDescent="0.25">
      <c r="N7963" s="514"/>
      <c r="R7963" s="293"/>
      <c r="S7963" s="316"/>
      <c r="T7963" s="355"/>
    </row>
    <row r="7964" spans="14:20" x14ac:dyDescent="0.25">
      <c r="N7964" s="514"/>
      <c r="R7964" s="293"/>
      <c r="S7964" s="316"/>
      <c r="T7964" s="355"/>
    </row>
    <row r="7965" spans="14:20" x14ac:dyDescent="0.25">
      <c r="N7965" s="514"/>
      <c r="R7965" s="293"/>
      <c r="S7965" s="316"/>
      <c r="T7965" s="355"/>
    </row>
    <row r="7966" spans="14:20" x14ac:dyDescent="0.25">
      <c r="N7966" s="514"/>
      <c r="R7966" s="293"/>
      <c r="S7966" s="316"/>
      <c r="T7966" s="355"/>
    </row>
    <row r="7967" spans="14:20" x14ac:dyDescent="0.25">
      <c r="N7967" s="514"/>
      <c r="R7967" s="293"/>
      <c r="S7967" s="316"/>
      <c r="T7967" s="355"/>
    </row>
    <row r="7968" spans="14:20" x14ac:dyDescent="0.25">
      <c r="N7968" s="514"/>
      <c r="R7968" s="293"/>
      <c r="S7968" s="316"/>
      <c r="T7968" s="355"/>
    </row>
    <row r="7969" spans="14:20" x14ac:dyDescent="0.25">
      <c r="N7969" s="514"/>
      <c r="R7969" s="293"/>
      <c r="S7969" s="316"/>
      <c r="T7969" s="355"/>
    </row>
    <row r="7970" spans="14:20" x14ac:dyDescent="0.25">
      <c r="N7970" s="514"/>
      <c r="R7970" s="293"/>
      <c r="S7970" s="316"/>
      <c r="T7970" s="355"/>
    </row>
    <row r="7971" spans="14:20" x14ac:dyDescent="0.25">
      <c r="N7971" s="514"/>
      <c r="R7971" s="293"/>
      <c r="S7971" s="316"/>
      <c r="T7971" s="355"/>
    </row>
    <row r="7972" spans="14:20" x14ac:dyDescent="0.25">
      <c r="N7972" s="514"/>
      <c r="R7972" s="293"/>
      <c r="S7972" s="316"/>
      <c r="T7972" s="355"/>
    </row>
    <row r="7973" spans="14:20" x14ac:dyDescent="0.25">
      <c r="N7973" s="514"/>
      <c r="R7973" s="293"/>
      <c r="S7973" s="316"/>
      <c r="T7973" s="355"/>
    </row>
    <row r="7974" spans="14:20" x14ac:dyDescent="0.25">
      <c r="N7974" s="514"/>
      <c r="R7974" s="293"/>
      <c r="S7974" s="316"/>
      <c r="T7974" s="355"/>
    </row>
    <row r="7975" spans="14:20" x14ac:dyDescent="0.25">
      <c r="N7975" s="514"/>
      <c r="R7975" s="293"/>
      <c r="S7975" s="316"/>
      <c r="T7975" s="355"/>
    </row>
    <row r="7976" spans="14:20" x14ac:dyDescent="0.25">
      <c r="N7976" s="514"/>
      <c r="R7976" s="293"/>
      <c r="S7976" s="316"/>
      <c r="T7976" s="355"/>
    </row>
    <row r="7977" spans="14:20" x14ac:dyDescent="0.25">
      <c r="N7977" s="514"/>
      <c r="R7977" s="293"/>
      <c r="S7977" s="316"/>
      <c r="T7977" s="355"/>
    </row>
    <row r="7978" spans="14:20" x14ac:dyDescent="0.25">
      <c r="N7978" s="514"/>
      <c r="R7978" s="293"/>
      <c r="S7978" s="316"/>
      <c r="T7978" s="355"/>
    </row>
    <row r="7979" spans="14:20" x14ac:dyDescent="0.25">
      <c r="N7979" s="514"/>
      <c r="R7979" s="293"/>
      <c r="S7979" s="316"/>
      <c r="T7979" s="355"/>
    </row>
    <row r="7980" spans="14:20" x14ac:dyDescent="0.25">
      <c r="N7980" s="514"/>
      <c r="R7980" s="293"/>
      <c r="S7980" s="316"/>
      <c r="T7980" s="355"/>
    </row>
    <row r="7981" spans="14:20" x14ac:dyDescent="0.25">
      <c r="N7981" s="514"/>
      <c r="R7981" s="293"/>
      <c r="S7981" s="316"/>
      <c r="T7981" s="355"/>
    </row>
    <row r="7982" spans="14:20" x14ac:dyDescent="0.25">
      <c r="N7982" s="514"/>
      <c r="R7982" s="293"/>
      <c r="S7982" s="316"/>
      <c r="T7982" s="355"/>
    </row>
    <row r="7983" spans="14:20" x14ac:dyDescent="0.25">
      <c r="N7983" s="514"/>
      <c r="R7983" s="293"/>
      <c r="S7983" s="316"/>
      <c r="T7983" s="355"/>
    </row>
    <row r="7984" spans="14:20" x14ac:dyDescent="0.25">
      <c r="N7984" s="514"/>
      <c r="R7984" s="293"/>
      <c r="S7984" s="316"/>
      <c r="T7984" s="355"/>
    </row>
    <row r="7985" spans="14:20" x14ac:dyDescent="0.25">
      <c r="N7985" s="514"/>
      <c r="R7985" s="293"/>
      <c r="S7985" s="316"/>
      <c r="T7985" s="355"/>
    </row>
    <row r="7986" spans="14:20" x14ac:dyDescent="0.25">
      <c r="N7986" s="514"/>
      <c r="R7986" s="293"/>
      <c r="S7986" s="316"/>
      <c r="T7986" s="355"/>
    </row>
    <row r="7987" spans="14:20" x14ac:dyDescent="0.25">
      <c r="N7987" s="514"/>
      <c r="R7987" s="293"/>
      <c r="S7987" s="316"/>
      <c r="T7987" s="355"/>
    </row>
    <row r="7988" spans="14:20" x14ac:dyDescent="0.25">
      <c r="N7988" s="514"/>
      <c r="R7988" s="293"/>
      <c r="S7988" s="316"/>
      <c r="T7988" s="355"/>
    </row>
    <row r="7989" spans="14:20" x14ac:dyDescent="0.25">
      <c r="N7989" s="514"/>
      <c r="R7989" s="293"/>
      <c r="S7989" s="316"/>
      <c r="T7989" s="355"/>
    </row>
    <row r="7990" spans="14:20" x14ac:dyDescent="0.25">
      <c r="N7990" s="514"/>
      <c r="R7990" s="293"/>
      <c r="S7990" s="316"/>
      <c r="T7990" s="355"/>
    </row>
    <row r="7991" spans="14:20" x14ac:dyDescent="0.25">
      <c r="N7991" s="514"/>
      <c r="R7991" s="293"/>
      <c r="S7991" s="316"/>
      <c r="T7991" s="355"/>
    </row>
    <row r="7992" spans="14:20" x14ac:dyDescent="0.25">
      <c r="N7992" s="514"/>
      <c r="R7992" s="293"/>
      <c r="S7992" s="316"/>
      <c r="T7992" s="355"/>
    </row>
    <row r="7993" spans="14:20" x14ac:dyDescent="0.25">
      <c r="N7993" s="514"/>
      <c r="R7993" s="293"/>
      <c r="S7993" s="316"/>
      <c r="T7993" s="355"/>
    </row>
    <row r="7994" spans="14:20" x14ac:dyDescent="0.25">
      <c r="N7994" s="514"/>
      <c r="R7994" s="293"/>
      <c r="S7994" s="316"/>
      <c r="T7994" s="355"/>
    </row>
    <row r="7995" spans="14:20" x14ac:dyDescent="0.25">
      <c r="N7995" s="514"/>
      <c r="R7995" s="293"/>
      <c r="S7995" s="316"/>
      <c r="T7995" s="355"/>
    </row>
    <row r="7996" spans="14:20" x14ac:dyDescent="0.25">
      <c r="N7996" s="514"/>
      <c r="R7996" s="293"/>
      <c r="S7996" s="316"/>
      <c r="T7996" s="355"/>
    </row>
    <row r="7997" spans="14:20" x14ac:dyDescent="0.25">
      <c r="N7997" s="514"/>
      <c r="R7997" s="293"/>
      <c r="S7997" s="316"/>
      <c r="T7997" s="355"/>
    </row>
    <row r="7998" spans="14:20" x14ac:dyDescent="0.25">
      <c r="N7998" s="514"/>
      <c r="R7998" s="293"/>
      <c r="S7998" s="316"/>
      <c r="T7998" s="355"/>
    </row>
    <row r="7999" spans="14:20" x14ac:dyDescent="0.25">
      <c r="N7999" s="514"/>
      <c r="R7999" s="293"/>
      <c r="S7999" s="316"/>
      <c r="T7999" s="355"/>
    </row>
    <row r="8000" spans="14:20" x14ac:dyDescent="0.25">
      <c r="N8000" s="514"/>
      <c r="R8000" s="293"/>
      <c r="S8000" s="316"/>
      <c r="T8000" s="355"/>
    </row>
    <row r="8001" spans="14:20" x14ac:dyDescent="0.25">
      <c r="N8001" s="514"/>
      <c r="R8001" s="293"/>
      <c r="S8001" s="316"/>
      <c r="T8001" s="355"/>
    </row>
    <row r="8002" spans="14:20" x14ac:dyDescent="0.25">
      <c r="N8002" s="514"/>
      <c r="R8002" s="293"/>
      <c r="S8002" s="316"/>
      <c r="T8002" s="355"/>
    </row>
    <row r="8003" spans="14:20" x14ac:dyDescent="0.25">
      <c r="N8003" s="514"/>
      <c r="R8003" s="293"/>
      <c r="S8003" s="316"/>
      <c r="T8003" s="355"/>
    </row>
    <row r="8004" spans="14:20" x14ac:dyDescent="0.25">
      <c r="N8004" s="514"/>
      <c r="R8004" s="293"/>
      <c r="S8004" s="316"/>
      <c r="T8004" s="355"/>
    </row>
    <row r="8005" spans="14:20" x14ac:dyDescent="0.25">
      <c r="N8005" s="514"/>
      <c r="R8005" s="293"/>
      <c r="S8005" s="316"/>
      <c r="T8005" s="355"/>
    </row>
    <row r="8006" spans="14:20" x14ac:dyDescent="0.25">
      <c r="N8006" s="514"/>
      <c r="R8006" s="293"/>
      <c r="S8006" s="316"/>
      <c r="T8006" s="355"/>
    </row>
    <row r="8007" spans="14:20" x14ac:dyDescent="0.25">
      <c r="N8007" s="514"/>
      <c r="R8007" s="293"/>
      <c r="S8007" s="316"/>
      <c r="T8007" s="355"/>
    </row>
    <row r="8008" spans="14:20" x14ac:dyDescent="0.25">
      <c r="N8008" s="514"/>
      <c r="R8008" s="293"/>
      <c r="S8008" s="316"/>
      <c r="T8008" s="355"/>
    </row>
    <row r="8009" spans="14:20" x14ac:dyDescent="0.25">
      <c r="N8009" s="514"/>
      <c r="R8009" s="293"/>
      <c r="S8009" s="316"/>
      <c r="T8009" s="355"/>
    </row>
    <row r="8010" spans="14:20" x14ac:dyDescent="0.25">
      <c r="N8010" s="514"/>
      <c r="R8010" s="293"/>
      <c r="S8010" s="316"/>
      <c r="T8010" s="355"/>
    </row>
    <row r="8011" spans="14:20" x14ac:dyDescent="0.25">
      <c r="N8011" s="514"/>
      <c r="R8011" s="293"/>
      <c r="S8011" s="316"/>
      <c r="T8011" s="355"/>
    </row>
    <row r="8012" spans="14:20" x14ac:dyDescent="0.25">
      <c r="N8012" s="514"/>
      <c r="R8012" s="293"/>
      <c r="S8012" s="316"/>
      <c r="T8012" s="355"/>
    </row>
    <row r="8013" spans="14:20" x14ac:dyDescent="0.25">
      <c r="N8013" s="514"/>
      <c r="R8013" s="293"/>
      <c r="S8013" s="316"/>
      <c r="T8013" s="355"/>
    </row>
    <row r="8014" spans="14:20" x14ac:dyDescent="0.25">
      <c r="N8014" s="514"/>
      <c r="R8014" s="293"/>
      <c r="S8014" s="316"/>
      <c r="T8014" s="355"/>
    </row>
    <row r="8015" spans="14:20" x14ac:dyDescent="0.25">
      <c r="N8015" s="514"/>
      <c r="R8015" s="293"/>
      <c r="S8015" s="316"/>
      <c r="T8015" s="355"/>
    </row>
    <row r="8016" spans="14:20" x14ac:dyDescent="0.25">
      <c r="N8016" s="514"/>
      <c r="R8016" s="293"/>
      <c r="S8016" s="316"/>
      <c r="T8016" s="355"/>
    </row>
    <row r="8017" spans="14:20" x14ac:dyDescent="0.25">
      <c r="N8017" s="514"/>
      <c r="R8017" s="293"/>
      <c r="S8017" s="316"/>
      <c r="T8017" s="355"/>
    </row>
    <row r="8018" spans="14:20" x14ac:dyDescent="0.25">
      <c r="N8018" s="514"/>
      <c r="R8018" s="293"/>
      <c r="S8018" s="316"/>
      <c r="T8018" s="355"/>
    </row>
    <row r="8019" spans="14:20" x14ac:dyDescent="0.25">
      <c r="N8019" s="514"/>
      <c r="R8019" s="293"/>
      <c r="S8019" s="316"/>
      <c r="T8019" s="355"/>
    </row>
    <row r="8020" spans="14:20" x14ac:dyDescent="0.25">
      <c r="N8020" s="514"/>
      <c r="R8020" s="293"/>
      <c r="S8020" s="316"/>
      <c r="T8020" s="355"/>
    </row>
    <row r="8021" spans="14:20" x14ac:dyDescent="0.25">
      <c r="N8021" s="514"/>
      <c r="R8021" s="293"/>
      <c r="S8021" s="316"/>
      <c r="T8021" s="355"/>
    </row>
    <row r="8022" spans="14:20" x14ac:dyDescent="0.25">
      <c r="N8022" s="514"/>
      <c r="R8022" s="293"/>
      <c r="S8022" s="316"/>
      <c r="T8022" s="355"/>
    </row>
    <row r="8023" spans="14:20" x14ac:dyDescent="0.25">
      <c r="N8023" s="514"/>
      <c r="R8023" s="293"/>
      <c r="S8023" s="316"/>
      <c r="T8023" s="355"/>
    </row>
    <row r="8024" spans="14:20" x14ac:dyDescent="0.25">
      <c r="N8024" s="514"/>
      <c r="R8024" s="293"/>
      <c r="S8024" s="316"/>
      <c r="T8024" s="355"/>
    </row>
    <row r="8025" spans="14:20" x14ac:dyDescent="0.25">
      <c r="N8025" s="514"/>
      <c r="R8025" s="293"/>
      <c r="S8025" s="316"/>
      <c r="T8025" s="355"/>
    </row>
    <row r="8026" spans="14:20" x14ac:dyDescent="0.25">
      <c r="N8026" s="514"/>
      <c r="R8026" s="293"/>
      <c r="S8026" s="316"/>
      <c r="T8026" s="355"/>
    </row>
    <row r="8027" spans="14:20" x14ac:dyDescent="0.25">
      <c r="N8027" s="514"/>
      <c r="R8027" s="293"/>
      <c r="S8027" s="316"/>
      <c r="T8027" s="355"/>
    </row>
    <row r="8028" spans="14:20" x14ac:dyDescent="0.25">
      <c r="N8028" s="514"/>
      <c r="R8028" s="293"/>
      <c r="S8028" s="316"/>
      <c r="T8028" s="355"/>
    </row>
    <row r="8029" spans="14:20" x14ac:dyDescent="0.25">
      <c r="N8029" s="514"/>
      <c r="R8029" s="293"/>
      <c r="S8029" s="316"/>
      <c r="T8029" s="355"/>
    </row>
    <row r="8030" spans="14:20" x14ac:dyDescent="0.25">
      <c r="N8030" s="514"/>
      <c r="R8030" s="293"/>
      <c r="S8030" s="316"/>
      <c r="T8030" s="355"/>
    </row>
    <row r="8031" spans="14:20" x14ac:dyDescent="0.25">
      <c r="N8031" s="514"/>
      <c r="R8031" s="293"/>
      <c r="S8031" s="316"/>
      <c r="T8031" s="355"/>
    </row>
    <row r="8032" spans="14:20" x14ac:dyDescent="0.25">
      <c r="N8032" s="514"/>
      <c r="R8032" s="293"/>
      <c r="S8032" s="316"/>
      <c r="T8032" s="355"/>
    </row>
    <row r="8033" spans="14:20" x14ac:dyDescent="0.25">
      <c r="N8033" s="514"/>
      <c r="R8033" s="293"/>
      <c r="S8033" s="316"/>
      <c r="T8033" s="355"/>
    </row>
    <row r="8034" spans="14:20" x14ac:dyDescent="0.25">
      <c r="N8034" s="514"/>
      <c r="R8034" s="293"/>
      <c r="S8034" s="316"/>
      <c r="T8034" s="355"/>
    </row>
    <row r="8035" spans="14:20" x14ac:dyDescent="0.25">
      <c r="N8035" s="514"/>
      <c r="R8035" s="293"/>
      <c r="S8035" s="316"/>
      <c r="T8035" s="355"/>
    </row>
    <row r="8036" spans="14:20" x14ac:dyDescent="0.25">
      <c r="N8036" s="514"/>
      <c r="R8036" s="293"/>
      <c r="S8036" s="316"/>
      <c r="T8036" s="355"/>
    </row>
    <row r="8037" spans="14:20" x14ac:dyDescent="0.25">
      <c r="N8037" s="514"/>
      <c r="R8037" s="293"/>
      <c r="S8037" s="316"/>
      <c r="T8037" s="355"/>
    </row>
    <row r="8038" spans="14:20" x14ac:dyDescent="0.25">
      <c r="N8038" s="514"/>
      <c r="R8038" s="293"/>
      <c r="S8038" s="316"/>
      <c r="T8038" s="355"/>
    </row>
    <row r="8039" spans="14:20" x14ac:dyDescent="0.25">
      <c r="N8039" s="514"/>
      <c r="R8039" s="293"/>
      <c r="S8039" s="316"/>
      <c r="T8039" s="355"/>
    </row>
    <row r="8040" spans="14:20" x14ac:dyDescent="0.25">
      <c r="N8040" s="514"/>
      <c r="R8040" s="293"/>
      <c r="S8040" s="316"/>
      <c r="T8040" s="355"/>
    </row>
    <row r="8041" spans="14:20" x14ac:dyDescent="0.25">
      <c r="N8041" s="514"/>
      <c r="R8041" s="293"/>
      <c r="S8041" s="316"/>
      <c r="T8041" s="355"/>
    </row>
    <row r="8042" spans="14:20" x14ac:dyDescent="0.25">
      <c r="N8042" s="514"/>
      <c r="R8042" s="293"/>
      <c r="S8042" s="316"/>
      <c r="T8042" s="355"/>
    </row>
    <row r="8043" spans="14:20" x14ac:dyDescent="0.25">
      <c r="N8043" s="514"/>
      <c r="R8043" s="293"/>
      <c r="S8043" s="316"/>
      <c r="T8043" s="355"/>
    </row>
    <row r="8044" spans="14:20" x14ac:dyDescent="0.25">
      <c r="N8044" s="514"/>
      <c r="R8044" s="293"/>
      <c r="S8044" s="316"/>
      <c r="T8044" s="355"/>
    </row>
    <row r="8045" spans="14:20" x14ac:dyDescent="0.25">
      <c r="N8045" s="514"/>
      <c r="R8045" s="293"/>
      <c r="S8045" s="316"/>
      <c r="T8045" s="355"/>
    </row>
    <row r="8046" spans="14:20" x14ac:dyDescent="0.25">
      <c r="N8046" s="514"/>
      <c r="R8046" s="293"/>
      <c r="S8046" s="316"/>
      <c r="T8046" s="355"/>
    </row>
    <row r="8047" spans="14:20" x14ac:dyDescent="0.25">
      <c r="N8047" s="514"/>
      <c r="R8047" s="293"/>
      <c r="S8047" s="316"/>
      <c r="T8047" s="355"/>
    </row>
    <row r="8048" spans="14:20" x14ac:dyDescent="0.25">
      <c r="N8048" s="514"/>
      <c r="R8048" s="293"/>
      <c r="S8048" s="316"/>
      <c r="T8048" s="355"/>
    </row>
    <row r="8049" spans="14:20" x14ac:dyDescent="0.25">
      <c r="N8049" s="514"/>
      <c r="R8049" s="293"/>
      <c r="S8049" s="316"/>
      <c r="T8049" s="355"/>
    </row>
    <row r="8050" spans="14:20" x14ac:dyDescent="0.25">
      <c r="N8050" s="514"/>
      <c r="R8050" s="293"/>
      <c r="S8050" s="316"/>
      <c r="T8050" s="355"/>
    </row>
    <row r="8051" spans="14:20" x14ac:dyDescent="0.25">
      <c r="N8051" s="514"/>
      <c r="R8051" s="293"/>
      <c r="S8051" s="316"/>
      <c r="T8051" s="355"/>
    </row>
    <row r="8052" spans="14:20" x14ac:dyDescent="0.25">
      <c r="N8052" s="514"/>
      <c r="R8052" s="293"/>
      <c r="S8052" s="316"/>
      <c r="T8052" s="355"/>
    </row>
    <row r="8053" spans="14:20" x14ac:dyDescent="0.25">
      <c r="N8053" s="514"/>
      <c r="R8053" s="293"/>
      <c r="S8053" s="316"/>
      <c r="T8053" s="355"/>
    </row>
    <row r="8054" spans="14:20" x14ac:dyDescent="0.25">
      <c r="N8054" s="514"/>
      <c r="R8054" s="293"/>
      <c r="S8054" s="316"/>
      <c r="T8054" s="355"/>
    </row>
    <row r="8055" spans="14:20" x14ac:dyDescent="0.25">
      <c r="N8055" s="514"/>
      <c r="R8055" s="293"/>
      <c r="S8055" s="316"/>
      <c r="T8055" s="355"/>
    </row>
    <row r="8056" spans="14:20" x14ac:dyDescent="0.25">
      <c r="N8056" s="514"/>
      <c r="R8056" s="293"/>
      <c r="S8056" s="316"/>
      <c r="T8056" s="355"/>
    </row>
    <row r="8057" spans="14:20" x14ac:dyDescent="0.25">
      <c r="N8057" s="514"/>
      <c r="R8057" s="293"/>
      <c r="S8057" s="316"/>
      <c r="T8057" s="355"/>
    </row>
    <row r="8058" spans="14:20" x14ac:dyDescent="0.25">
      <c r="N8058" s="514"/>
      <c r="R8058" s="293"/>
      <c r="S8058" s="316"/>
      <c r="T8058" s="355"/>
    </row>
    <row r="8059" spans="14:20" x14ac:dyDescent="0.25">
      <c r="N8059" s="514"/>
      <c r="R8059" s="293"/>
      <c r="S8059" s="316"/>
      <c r="T8059" s="355"/>
    </row>
    <row r="8060" spans="14:20" x14ac:dyDescent="0.25">
      <c r="N8060" s="514"/>
      <c r="R8060" s="293"/>
      <c r="S8060" s="316"/>
      <c r="T8060" s="355"/>
    </row>
    <row r="8061" spans="14:20" x14ac:dyDescent="0.25">
      <c r="N8061" s="514"/>
      <c r="R8061" s="293"/>
      <c r="S8061" s="316"/>
      <c r="T8061" s="355"/>
    </row>
    <row r="8062" spans="14:20" x14ac:dyDescent="0.25">
      <c r="N8062" s="514"/>
      <c r="R8062" s="293"/>
      <c r="S8062" s="316"/>
      <c r="T8062" s="355"/>
    </row>
    <row r="8063" spans="14:20" x14ac:dyDescent="0.25">
      <c r="N8063" s="514"/>
      <c r="R8063" s="293"/>
      <c r="S8063" s="316"/>
      <c r="T8063" s="355"/>
    </row>
    <row r="8064" spans="14:20" x14ac:dyDescent="0.25">
      <c r="N8064" s="514"/>
      <c r="R8064" s="293"/>
      <c r="S8064" s="316"/>
      <c r="T8064" s="355"/>
    </row>
    <row r="8065" spans="14:20" x14ac:dyDescent="0.25">
      <c r="N8065" s="514"/>
      <c r="R8065" s="293"/>
      <c r="S8065" s="316"/>
      <c r="T8065" s="355"/>
    </row>
    <row r="8066" spans="14:20" x14ac:dyDescent="0.25">
      <c r="N8066" s="514"/>
      <c r="R8066" s="293"/>
      <c r="S8066" s="316"/>
      <c r="T8066" s="355"/>
    </row>
    <row r="8067" spans="14:20" x14ac:dyDescent="0.25">
      <c r="N8067" s="514"/>
      <c r="R8067" s="293"/>
      <c r="S8067" s="316"/>
      <c r="T8067" s="355"/>
    </row>
    <row r="8068" spans="14:20" x14ac:dyDescent="0.25">
      <c r="N8068" s="514"/>
      <c r="R8068" s="293"/>
      <c r="S8068" s="316"/>
      <c r="T8068" s="355"/>
    </row>
    <row r="8069" spans="14:20" x14ac:dyDescent="0.25">
      <c r="N8069" s="514"/>
      <c r="R8069" s="293"/>
      <c r="S8069" s="316"/>
      <c r="T8069" s="355"/>
    </row>
    <row r="8070" spans="14:20" x14ac:dyDescent="0.25">
      <c r="N8070" s="514"/>
      <c r="R8070" s="293"/>
      <c r="S8070" s="316"/>
      <c r="T8070" s="355"/>
    </row>
    <row r="8071" spans="14:20" x14ac:dyDescent="0.25">
      <c r="N8071" s="514"/>
      <c r="R8071" s="293"/>
      <c r="S8071" s="316"/>
      <c r="T8071" s="355"/>
    </row>
    <row r="8072" spans="14:20" x14ac:dyDescent="0.25">
      <c r="N8072" s="514"/>
      <c r="R8072" s="293"/>
      <c r="S8072" s="316"/>
      <c r="T8072" s="355"/>
    </row>
    <row r="8073" spans="14:20" x14ac:dyDescent="0.25">
      <c r="N8073" s="514"/>
      <c r="R8073" s="293"/>
      <c r="S8073" s="316"/>
      <c r="T8073" s="355"/>
    </row>
    <row r="8074" spans="14:20" x14ac:dyDescent="0.25">
      <c r="N8074" s="514"/>
      <c r="R8074" s="293"/>
      <c r="S8074" s="316"/>
      <c r="T8074" s="355"/>
    </row>
    <row r="8075" spans="14:20" x14ac:dyDescent="0.25">
      <c r="N8075" s="514"/>
      <c r="R8075" s="293"/>
      <c r="S8075" s="316"/>
      <c r="T8075" s="355"/>
    </row>
    <row r="8076" spans="14:20" x14ac:dyDescent="0.25">
      <c r="N8076" s="514"/>
      <c r="R8076" s="293"/>
      <c r="S8076" s="316"/>
      <c r="T8076" s="355"/>
    </row>
    <row r="8077" spans="14:20" x14ac:dyDescent="0.25">
      <c r="N8077" s="514"/>
      <c r="R8077" s="293"/>
      <c r="S8077" s="316"/>
      <c r="T8077" s="355"/>
    </row>
    <row r="8078" spans="14:20" x14ac:dyDescent="0.25">
      <c r="N8078" s="514"/>
      <c r="R8078" s="293"/>
      <c r="S8078" s="316"/>
      <c r="T8078" s="355"/>
    </row>
    <row r="8079" spans="14:20" x14ac:dyDescent="0.25">
      <c r="N8079" s="514"/>
      <c r="R8079" s="293"/>
      <c r="S8079" s="316"/>
      <c r="T8079" s="355"/>
    </row>
    <row r="8080" spans="14:20" x14ac:dyDescent="0.25">
      <c r="N8080" s="514"/>
      <c r="R8080" s="293"/>
      <c r="S8080" s="316"/>
      <c r="T8080" s="355"/>
    </row>
    <row r="8081" spans="14:20" x14ac:dyDescent="0.25">
      <c r="N8081" s="514"/>
      <c r="R8081" s="293"/>
      <c r="S8081" s="316"/>
      <c r="T8081" s="355"/>
    </row>
    <row r="8082" spans="14:20" x14ac:dyDescent="0.25">
      <c r="N8082" s="514"/>
      <c r="R8082" s="293"/>
      <c r="S8082" s="316"/>
      <c r="T8082" s="355"/>
    </row>
    <row r="8083" spans="14:20" x14ac:dyDescent="0.25">
      <c r="N8083" s="514"/>
      <c r="R8083" s="293"/>
      <c r="S8083" s="316"/>
      <c r="T8083" s="355"/>
    </row>
    <row r="8084" spans="14:20" x14ac:dyDescent="0.25">
      <c r="N8084" s="514"/>
      <c r="R8084" s="293"/>
      <c r="S8084" s="316"/>
      <c r="T8084" s="355"/>
    </row>
    <row r="8085" spans="14:20" x14ac:dyDescent="0.25">
      <c r="N8085" s="514"/>
      <c r="R8085" s="293"/>
      <c r="S8085" s="316"/>
      <c r="T8085" s="355"/>
    </row>
    <row r="8086" spans="14:20" x14ac:dyDescent="0.25">
      <c r="N8086" s="514"/>
      <c r="R8086" s="293"/>
      <c r="S8086" s="316"/>
      <c r="T8086" s="355"/>
    </row>
    <row r="8087" spans="14:20" x14ac:dyDescent="0.25">
      <c r="N8087" s="514"/>
      <c r="R8087" s="293"/>
      <c r="S8087" s="316"/>
      <c r="T8087" s="355"/>
    </row>
    <row r="8088" spans="14:20" x14ac:dyDescent="0.25">
      <c r="N8088" s="514"/>
      <c r="R8088" s="293"/>
      <c r="S8088" s="316"/>
      <c r="T8088" s="355"/>
    </row>
    <row r="8089" spans="14:20" x14ac:dyDescent="0.25">
      <c r="N8089" s="514"/>
      <c r="R8089" s="293"/>
      <c r="S8089" s="316"/>
      <c r="T8089" s="355"/>
    </row>
    <row r="8090" spans="14:20" x14ac:dyDescent="0.25">
      <c r="N8090" s="514"/>
      <c r="R8090" s="293"/>
      <c r="S8090" s="316"/>
      <c r="T8090" s="355"/>
    </row>
    <row r="8091" spans="14:20" x14ac:dyDescent="0.25">
      <c r="N8091" s="514"/>
      <c r="R8091" s="293"/>
      <c r="S8091" s="316"/>
      <c r="T8091" s="355"/>
    </row>
    <row r="8092" spans="14:20" x14ac:dyDescent="0.25">
      <c r="N8092" s="514"/>
      <c r="R8092" s="293"/>
      <c r="S8092" s="316"/>
      <c r="T8092" s="355"/>
    </row>
    <row r="8093" spans="14:20" x14ac:dyDescent="0.25">
      <c r="N8093" s="514"/>
      <c r="R8093" s="293"/>
      <c r="S8093" s="316"/>
      <c r="T8093" s="355"/>
    </row>
    <row r="8094" spans="14:20" x14ac:dyDescent="0.25">
      <c r="N8094" s="514"/>
      <c r="R8094" s="293"/>
      <c r="S8094" s="316"/>
      <c r="T8094" s="355"/>
    </row>
    <row r="8095" spans="14:20" x14ac:dyDescent="0.25">
      <c r="N8095" s="514"/>
      <c r="R8095" s="293"/>
      <c r="S8095" s="316"/>
      <c r="T8095" s="355"/>
    </row>
    <row r="8096" spans="14:20" x14ac:dyDescent="0.25">
      <c r="N8096" s="514"/>
      <c r="R8096" s="293"/>
      <c r="S8096" s="316"/>
      <c r="T8096" s="355"/>
    </row>
    <row r="8097" spans="14:20" x14ac:dyDescent="0.25">
      <c r="N8097" s="514"/>
      <c r="R8097" s="293"/>
      <c r="S8097" s="316"/>
      <c r="T8097" s="355"/>
    </row>
    <row r="8098" spans="14:20" x14ac:dyDescent="0.25">
      <c r="N8098" s="514"/>
      <c r="R8098" s="293"/>
      <c r="S8098" s="316"/>
      <c r="T8098" s="355"/>
    </row>
    <row r="8099" spans="14:20" x14ac:dyDescent="0.25">
      <c r="N8099" s="514"/>
      <c r="R8099" s="293"/>
      <c r="S8099" s="316"/>
      <c r="T8099" s="355"/>
    </row>
    <row r="8100" spans="14:20" x14ac:dyDescent="0.25">
      <c r="N8100" s="514"/>
      <c r="R8100" s="293"/>
      <c r="S8100" s="316"/>
      <c r="T8100" s="355"/>
    </row>
    <row r="8101" spans="14:20" x14ac:dyDescent="0.25">
      <c r="N8101" s="514"/>
      <c r="R8101" s="293"/>
      <c r="S8101" s="316"/>
      <c r="T8101" s="355"/>
    </row>
    <row r="8102" spans="14:20" x14ac:dyDescent="0.25">
      <c r="N8102" s="514"/>
      <c r="R8102" s="293"/>
      <c r="S8102" s="316"/>
      <c r="T8102" s="355"/>
    </row>
    <row r="8103" spans="14:20" x14ac:dyDescent="0.25">
      <c r="N8103" s="514"/>
      <c r="R8103" s="293"/>
      <c r="S8103" s="316"/>
      <c r="T8103" s="355"/>
    </row>
    <row r="8104" spans="14:20" x14ac:dyDescent="0.25">
      <c r="N8104" s="514"/>
      <c r="R8104" s="293"/>
      <c r="S8104" s="316"/>
      <c r="T8104" s="355"/>
    </row>
    <row r="8105" spans="14:20" x14ac:dyDescent="0.25">
      <c r="N8105" s="514"/>
      <c r="R8105" s="293"/>
      <c r="S8105" s="316"/>
      <c r="T8105" s="355"/>
    </row>
    <row r="8106" spans="14:20" x14ac:dyDescent="0.25">
      <c r="N8106" s="514"/>
      <c r="R8106" s="293"/>
      <c r="S8106" s="316"/>
      <c r="T8106" s="355"/>
    </row>
    <row r="8107" spans="14:20" x14ac:dyDescent="0.25">
      <c r="N8107" s="514"/>
      <c r="R8107" s="293"/>
      <c r="S8107" s="316"/>
      <c r="T8107" s="355"/>
    </row>
    <row r="8108" spans="14:20" x14ac:dyDescent="0.25">
      <c r="N8108" s="514"/>
      <c r="R8108" s="293"/>
      <c r="S8108" s="316"/>
      <c r="T8108" s="355"/>
    </row>
    <row r="8109" spans="14:20" x14ac:dyDescent="0.25">
      <c r="N8109" s="514"/>
      <c r="R8109" s="293"/>
      <c r="S8109" s="316"/>
      <c r="T8109" s="355"/>
    </row>
    <row r="8110" spans="14:20" x14ac:dyDescent="0.25">
      <c r="N8110" s="514"/>
      <c r="R8110" s="293"/>
      <c r="S8110" s="316"/>
      <c r="T8110" s="355"/>
    </row>
    <row r="8111" spans="14:20" x14ac:dyDescent="0.25">
      <c r="N8111" s="514"/>
      <c r="R8111" s="293"/>
      <c r="S8111" s="316"/>
      <c r="T8111" s="355"/>
    </row>
    <row r="8112" spans="14:20" x14ac:dyDescent="0.25">
      <c r="N8112" s="514"/>
      <c r="R8112" s="293"/>
      <c r="S8112" s="316"/>
      <c r="T8112" s="355"/>
    </row>
    <row r="8113" spans="14:20" x14ac:dyDescent="0.25">
      <c r="N8113" s="514"/>
      <c r="R8113" s="293"/>
      <c r="S8113" s="316"/>
      <c r="T8113" s="355"/>
    </row>
    <row r="8114" spans="14:20" x14ac:dyDescent="0.25">
      <c r="N8114" s="514"/>
      <c r="R8114" s="293"/>
      <c r="S8114" s="316"/>
      <c r="T8114" s="355"/>
    </row>
    <row r="8115" spans="14:20" x14ac:dyDescent="0.25">
      <c r="N8115" s="514"/>
      <c r="R8115" s="293"/>
      <c r="S8115" s="316"/>
      <c r="T8115" s="355"/>
    </row>
    <row r="8116" spans="14:20" x14ac:dyDescent="0.25">
      <c r="N8116" s="514"/>
      <c r="R8116" s="293"/>
      <c r="S8116" s="316"/>
      <c r="T8116" s="355"/>
    </row>
    <row r="8117" spans="14:20" x14ac:dyDescent="0.25">
      <c r="N8117" s="514"/>
      <c r="R8117" s="293"/>
      <c r="S8117" s="316"/>
      <c r="T8117" s="355"/>
    </row>
    <row r="8118" spans="14:20" x14ac:dyDescent="0.25">
      <c r="N8118" s="514"/>
      <c r="R8118" s="293"/>
      <c r="S8118" s="316"/>
      <c r="T8118" s="355"/>
    </row>
    <row r="8119" spans="14:20" x14ac:dyDescent="0.25">
      <c r="N8119" s="514"/>
      <c r="R8119" s="293"/>
      <c r="S8119" s="316"/>
      <c r="T8119" s="355"/>
    </row>
    <row r="8120" spans="14:20" x14ac:dyDescent="0.25">
      <c r="N8120" s="514"/>
      <c r="R8120" s="293"/>
      <c r="S8120" s="316"/>
      <c r="T8120" s="355"/>
    </row>
    <row r="8121" spans="14:20" x14ac:dyDescent="0.25">
      <c r="N8121" s="514"/>
      <c r="R8121" s="293"/>
      <c r="S8121" s="316"/>
      <c r="T8121" s="355"/>
    </row>
    <row r="8122" spans="14:20" x14ac:dyDescent="0.25">
      <c r="N8122" s="514"/>
      <c r="R8122" s="293"/>
      <c r="S8122" s="316"/>
      <c r="T8122" s="355"/>
    </row>
    <row r="8123" spans="14:20" x14ac:dyDescent="0.25">
      <c r="N8123" s="514"/>
      <c r="R8123" s="293"/>
      <c r="S8123" s="316"/>
      <c r="T8123" s="355"/>
    </row>
    <row r="8124" spans="14:20" x14ac:dyDescent="0.25">
      <c r="N8124" s="514"/>
      <c r="R8124" s="293"/>
      <c r="S8124" s="316"/>
      <c r="T8124" s="355"/>
    </row>
    <row r="8125" spans="14:20" x14ac:dyDescent="0.25">
      <c r="N8125" s="514"/>
      <c r="R8125" s="293"/>
      <c r="S8125" s="316"/>
      <c r="T8125" s="355"/>
    </row>
    <row r="8126" spans="14:20" x14ac:dyDescent="0.25">
      <c r="N8126" s="514"/>
      <c r="R8126" s="293"/>
      <c r="S8126" s="316"/>
      <c r="T8126" s="355"/>
    </row>
    <row r="8127" spans="14:20" x14ac:dyDescent="0.25">
      <c r="N8127" s="514"/>
      <c r="R8127" s="293"/>
      <c r="S8127" s="316"/>
      <c r="T8127" s="355"/>
    </row>
    <row r="8128" spans="14:20" x14ac:dyDescent="0.25">
      <c r="N8128" s="514"/>
      <c r="R8128" s="293"/>
      <c r="S8128" s="316"/>
      <c r="T8128" s="355"/>
    </row>
    <row r="8129" spans="14:20" x14ac:dyDescent="0.25">
      <c r="N8129" s="514"/>
      <c r="R8129" s="293"/>
      <c r="S8129" s="316"/>
      <c r="T8129" s="355"/>
    </row>
    <row r="8130" spans="14:20" x14ac:dyDescent="0.25">
      <c r="N8130" s="514"/>
      <c r="R8130" s="293"/>
      <c r="S8130" s="316"/>
      <c r="T8130" s="355"/>
    </row>
    <row r="8131" spans="14:20" x14ac:dyDescent="0.25">
      <c r="N8131" s="514"/>
      <c r="R8131" s="293"/>
      <c r="S8131" s="316"/>
      <c r="T8131" s="355"/>
    </row>
    <row r="8132" spans="14:20" x14ac:dyDescent="0.25">
      <c r="N8132" s="514"/>
      <c r="R8132" s="293"/>
      <c r="S8132" s="316"/>
      <c r="T8132" s="355"/>
    </row>
    <row r="8133" spans="14:20" x14ac:dyDescent="0.25">
      <c r="N8133" s="514"/>
      <c r="R8133" s="293"/>
      <c r="S8133" s="316"/>
      <c r="T8133" s="355"/>
    </row>
    <row r="8134" spans="14:20" x14ac:dyDescent="0.25">
      <c r="N8134" s="514"/>
      <c r="R8134" s="293"/>
      <c r="S8134" s="316"/>
      <c r="T8134" s="355"/>
    </row>
    <row r="8135" spans="14:20" x14ac:dyDescent="0.25">
      <c r="N8135" s="514"/>
      <c r="R8135" s="293"/>
      <c r="S8135" s="316"/>
      <c r="T8135" s="355"/>
    </row>
    <row r="8136" spans="14:20" x14ac:dyDescent="0.25">
      <c r="N8136" s="514"/>
      <c r="R8136" s="293"/>
      <c r="S8136" s="316"/>
      <c r="T8136" s="355"/>
    </row>
    <row r="8137" spans="14:20" x14ac:dyDescent="0.25">
      <c r="N8137" s="514"/>
      <c r="R8137" s="293"/>
      <c r="S8137" s="316"/>
      <c r="T8137" s="355"/>
    </row>
    <row r="8138" spans="14:20" x14ac:dyDescent="0.25">
      <c r="N8138" s="514"/>
      <c r="R8138" s="293"/>
      <c r="S8138" s="316"/>
      <c r="T8138" s="355"/>
    </row>
    <row r="8139" spans="14:20" x14ac:dyDescent="0.25">
      <c r="N8139" s="514"/>
      <c r="R8139" s="293"/>
      <c r="S8139" s="316"/>
      <c r="T8139" s="355"/>
    </row>
    <row r="8140" spans="14:20" x14ac:dyDescent="0.25">
      <c r="N8140" s="514"/>
      <c r="R8140" s="293"/>
      <c r="S8140" s="316"/>
      <c r="T8140" s="355"/>
    </row>
    <row r="8141" spans="14:20" x14ac:dyDescent="0.25">
      <c r="N8141" s="514"/>
      <c r="R8141" s="293"/>
      <c r="S8141" s="316"/>
      <c r="T8141" s="355"/>
    </row>
    <row r="8142" spans="14:20" x14ac:dyDescent="0.25">
      <c r="N8142" s="514"/>
      <c r="R8142" s="293"/>
      <c r="S8142" s="316"/>
      <c r="T8142" s="355"/>
    </row>
    <row r="8143" spans="14:20" x14ac:dyDescent="0.25">
      <c r="N8143" s="514"/>
      <c r="R8143" s="293"/>
      <c r="S8143" s="316"/>
      <c r="T8143" s="355"/>
    </row>
    <row r="8144" spans="14:20" x14ac:dyDescent="0.25">
      <c r="N8144" s="514"/>
      <c r="R8144" s="293"/>
      <c r="S8144" s="316"/>
      <c r="T8144" s="355"/>
    </row>
    <row r="8145" spans="14:20" x14ac:dyDescent="0.25">
      <c r="N8145" s="514"/>
      <c r="R8145" s="293"/>
      <c r="S8145" s="316"/>
      <c r="T8145" s="355"/>
    </row>
    <row r="8146" spans="14:20" x14ac:dyDescent="0.25">
      <c r="N8146" s="514"/>
      <c r="R8146" s="293"/>
      <c r="S8146" s="316"/>
      <c r="T8146" s="355"/>
    </row>
    <row r="8147" spans="14:20" x14ac:dyDescent="0.25">
      <c r="N8147" s="514"/>
      <c r="R8147" s="293"/>
      <c r="S8147" s="316"/>
      <c r="T8147" s="355"/>
    </row>
    <row r="8148" spans="14:20" x14ac:dyDescent="0.25">
      <c r="N8148" s="514"/>
      <c r="R8148" s="293"/>
      <c r="S8148" s="316"/>
      <c r="T8148" s="355"/>
    </row>
    <row r="8149" spans="14:20" x14ac:dyDescent="0.25">
      <c r="N8149" s="514"/>
      <c r="R8149" s="293"/>
      <c r="S8149" s="316"/>
      <c r="T8149" s="355"/>
    </row>
    <row r="8150" spans="14:20" x14ac:dyDescent="0.25">
      <c r="N8150" s="514"/>
      <c r="R8150" s="293"/>
      <c r="S8150" s="316"/>
      <c r="T8150" s="355"/>
    </row>
    <row r="8151" spans="14:20" x14ac:dyDescent="0.25">
      <c r="N8151" s="514"/>
      <c r="R8151" s="293"/>
      <c r="S8151" s="316"/>
      <c r="T8151" s="355"/>
    </row>
    <row r="8152" spans="14:20" x14ac:dyDescent="0.25">
      <c r="N8152" s="514"/>
      <c r="R8152" s="293"/>
      <c r="S8152" s="316"/>
      <c r="T8152" s="355"/>
    </row>
    <row r="8153" spans="14:20" x14ac:dyDescent="0.25">
      <c r="N8153" s="514"/>
      <c r="R8153" s="293"/>
      <c r="S8153" s="316"/>
      <c r="T8153" s="355"/>
    </row>
    <row r="8154" spans="14:20" x14ac:dyDescent="0.25">
      <c r="N8154" s="514"/>
      <c r="R8154" s="293"/>
      <c r="S8154" s="316"/>
      <c r="T8154" s="355"/>
    </row>
    <row r="8155" spans="14:20" x14ac:dyDescent="0.25">
      <c r="N8155" s="514"/>
      <c r="R8155" s="293"/>
      <c r="S8155" s="316"/>
      <c r="T8155" s="355"/>
    </row>
    <row r="8156" spans="14:20" x14ac:dyDescent="0.25">
      <c r="N8156" s="514"/>
      <c r="R8156" s="293"/>
      <c r="S8156" s="316"/>
      <c r="T8156" s="355"/>
    </row>
    <row r="8157" spans="14:20" x14ac:dyDescent="0.25">
      <c r="N8157" s="514"/>
      <c r="R8157" s="293"/>
      <c r="S8157" s="316"/>
      <c r="T8157" s="355"/>
    </row>
    <row r="8158" spans="14:20" x14ac:dyDescent="0.25">
      <c r="N8158" s="514"/>
      <c r="R8158" s="293"/>
      <c r="S8158" s="316"/>
      <c r="T8158" s="355"/>
    </row>
    <row r="8159" spans="14:20" x14ac:dyDescent="0.25">
      <c r="N8159" s="514"/>
      <c r="R8159" s="293"/>
      <c r="S8159" s="316"/>
      <c r="T8159" s="355"/>
    </row>
    <row r="8160" spans="14:20" x14ac:dyDescent="0.25">
      <c r="N8160" s="514"/>
      <c r="R8160" s="293"/>
      <c r="S8160" s="316"/>
      <c r="T8160" s="355"/>
    </row>
    <row r="8161" spans="14:20" x14ac:dyDescent="0.25">
      <c r="N8161" s="514"/>
      <c r="R8161" s="293"/>
      <c r="S8161" s="316"/>
      <c r="T8161" s="355"/>
    </row>
    <row r="8162" spans="14:20" x14ac:dyDescent="0.25">
      <c r="N8162" s="514"/>
      <c r="R8162" s="293"/>
      <c r="S8162" s="316"/>
      <c r="T8162" s="355"/>
    </row>
    <row r="8163" spans="14:20" x14ac:dyDescent="0.25">
      <c r="N8163" s="514"/>
      <c r="R8163" s="293"/>
      <c r="S8163" s="316"/>
      <c r="T8163" s="355"/>
    </row>
    <row r="8164" spans="14:20" x14ac:dyDescent="0.25">
      <c r="N8164" s="514"/>
      <c r="R8164" s="293"/>
      <c r="S8164" s="316"/>
      <c r="T8164" s="355"/>
    </row>
    <row r="8165" spans="14:20" x14ac:dyDescent="0.25">
      <c r="N8165" s="514"/>
      <c r="R8165" s="293"/>
      <c r="S8165" s="316"/>
      <c r="T8165" s="355"/>
    </row>
    <row r="8166" spans="14:20" x14ac:dyDescent="0.25">
      <c r="N8166" s="514"/>
      <c r="R8166" s="293"/>
      <c r="S8166" s="316"/>
      <c r="T8166" s="355"/>
    </row>
    <row r="8167" spans="14:20" x14ac:dyDescent="0.25">
      <c r="N8167" s="514"/>
      <c r="R8167" s="293"/>
      <c r="S8167" s="316"/>
      <c r="T8167" s="355"/>
    </row>
    <row r="8168" spans="14:20" x14ac:dyDescent="0.25">
      <c r="N8168" s="514"/>
      <c r="R8168" s="293"/>
      <c r="S8168" s="316"/>
      <c r="T8168" s="355"/>
    </row>
    <row r="8169" spans="14:20" x14ac:dyDescent="0.25">
      <c r="N8169" s="514"/>
      <c r="R8169" s="293"/>
      <c r="S8169" s="316"/>
      <c r="T8169" s="355"/>
    </row>
    <row r="8170" spans="14:20" x14ac:dyDescent="0.25">
      <c r="N8170" s="514"/>
      <c r="R8170" s="293"/>
      <c r="S8170" s="316"/>
      <c r="T8170" s="355"/>
    </row>
    <row r="8171" spans="14:20" x14ac:dyDescent="0.25">
      <c r="N8171" s="514"/>
      <c r="R8171" s="293"/>
      <c r="S8171" s="316"/>
      <c r="T8171" s="355"/>
    </row>
    <row r="8172" spans="14:20" x14ac:dyDescent="0.25">
      <c r="N8172" s="514"/>
      <c r="R8172" s="293"/>
      <c r="S8172" s="316"/>
      <c r="T8172" s="355"/>
    </row>
    <row r="8173" spans="14:20" x14ac:dyDescent="0.25">
      <c r="N8173" s="514"/>
      <c r="R8173" s="293"/>
      <c r="S8173" s="316"/>
      <c r="T8173" s="355"/>
    </row>
    <row r="8174" spans="14:20" x14ac:dyDescent="0.25">
      <c r="N8174" s="514"/>
      <c r="R8174" s="293"/>
      <c r="S8174" s="316"/>
      <c r="T8174" s="355"/>
    </row>
    <row r="8175" spans="14:20" x14ac:dyDescent="0.25">
      <c r="N8175" s="514"/>
      <c r="R8175" s="293"/>
      <c r="S8175" s="316"/>
      <c r="T8175" s="355"/>
    </row>
    <row r="8176" spans="14:20" x14ac:dyDescent="0.25">
      <c r="N8176" s="514"/>
      <c r="R8176" s="293"/>
      <c r="S8176" s="316"/>
      <c r="T8176" s="355"/>
    </row>
    <row r="8177" spans="14:20" x14ac:dyDescent="0.25">
      <c r="N8177" s="514"/>
      <c r="R8177" s="293"/>
      <c r="S8177" s="316"/>
      <c r="T8177" s="355"/>
    </row>
    <row r="8178" spans="14:20" x14ac:dyDescent="0.25">
      <c r="N8178" s="514"/>
      <c r="R8178" s="293"/>
      <c r="S8178" s="316"/>
      <c r="T8178" s="355"/>
    </row>
    <row r="8179" spans="14:20" x14ac:dyDescent="0.25">
      <c r="N8179" s="514"/>
      <c r="R8179" s="293"/>
      <c r="S8179" s="316"/>
      <c r="T8179" s="355"/>
    </row>
    <row r="8180" spans="14:20" x14ac:dyDescent="0.25">
      <c r="N8180" s="514"/>
      <c r="R8180" s="293"/>
      <c r="S8180" s="316"/>
      <c r="T8180" s="355"/>
    </row>
    <row r="8181" spans="14:20" x14ac:dyDescent="0.25">
      <c r="N8181" s="514"/>
      <c r="R8181" s="293"/>
      <c r="S8181" s="316"/>
      <c r="T8181" s="355"/>
    </row>
    <row r="8182" spans="14:20" x14ac:dyDescent="0.25">
      <c r="N8182" s="514"/>
      <c r="R8182" s="293"/>
      <c r="S8182" s="316"/>
      <c r="T8182" s="355"/>
    </row>
    <row r="8183" spans="14:20" x14ac:dyDescent="0.25">
      <c r="N8183" s="514"/>
      <c r="R8183" s="293"/>
      <c r="S8183" s="316"/>
      <c r="T8183" s="355"/>
    </row>
    <row r="8184" spans="14:20" x14ac:dyDescent="0.25">
      <c r="N8184" s="514"/>
      <c r="R8184" s="293"/>
      <c r="S8184" s="316"/>
      <c r="T8184" s="355"/>
    </row>
    <row r="8185" spans="14:20" x14ac:dyDescent="0.25">
      <c r="N8185" s="514"/>
      <c r="R8185" s="293"/>
      <c r="S8185" s="316"/>
      <c r="T8185" s="355"/>
    </row>
    <row r="8186" spans="14:20" x14ac:dyDescent="0.25">
      <c r="N8186" s="514"/>
      <c r="R8186" s="293"/>
      <c r="S8186" s="316"/>
      <c r="T8186" s="355"/>
    </row>
    <row r="8187" spans="14:20" x14ac:dyDescent="0.25">
      <c r="N8187" s="514"/>
      <c r="R8187" s="293"/>
      <c r="S8187" s="316"/>
      <c r="T8187" s="355"/>
    </row>
    <row r="8188" spans="14:20" x14ac:dyDescent="0.25">
      <c r="N8188" s="514"/>
      <c r="R8188" s="293"/>
      <c r="S8188" s="316"/>
      <c r="T8188" s="355"/>
    </row>
    <row r="8189" spans="14:20" x14ac:dyDescent="0.25">
      <c r="N8189" s="514"/>
      <c r="R8189" s="293"/>
      <c r="S8189" s="316"/>
      <c r="T8189" s="355"/>
    </row>
    <row r="8190" spans="14:20" x14ac:dyDescent="0.25">
      <c r="N8190" s="514"/>
      <c r="R8190" s="293"/>
      <c r="S8190" s="316"/>
      <c r="T8190" s="355"/>
    </row>
    <row r="8191" spans="14:20" x14ac:dyDescent="0.25">
      <c r="N8191" s="514"/>
      <c r="R8191" s="293"/>
      <c r="S8191" s="316"/>
      <c r="T8191" s="355"/>
    </row>
    <row r="8192" spans="14:20" x14ac:dyDescent="0.25">
      <c r="N8192" s="514"/>
      <c r="R8192" s="293"/>
      <c r="S8192" s="316"/>
      <c r="T8192" s="355"/>
    </row>
    <row r="8193" spans="14:20" x14ac:dyDescent="0.25">
      <c r="N8193" s="514"/>
      <c r="R8193" s="293"/>
      <c r="S8193" s="316"/>
      <c r="T8193" s="355"/>
    </row>
    <row r="8194" spans="14:20" x14ac:dyDescent="0.25">
      <c r="N8194" s="514"/>
      <c r="R8194" s="293"/>
      <c r="S8194" s="316"/>
      <c r="T8194" s="355"/>
    </row>
    <row r="8195" spans="14:20" x14ac:dyDescent="0.25">
      <c r="N8195" s="514"/>
      <c r="R8195" s="293"/>
      <c r="S8195" s="316"/>
      <c r="T8195" s="355"/>
    </row>
    <row r="8196" spans="14:20" x14ac:dyDescent="0.25">
      <c r="N8196" s="514"/>
      <c r="R8196" s="293"/>
      <c r="S8196" s="316"/>
      <c r="T8196" s="355"/>
    </row>
    <row r="8197" spans="14:20" x14ac:dyDescent="0.25">
      <c r="N8197" s="514"/>
      <c r="R8197" s="293"/>
      <c r="S8197" s="316"/>
      <c r="T8197" s="355"/>
    </row>
    <row r="8198" spans="14:20" x14ac:dyDescent="0.25">
      <c r="N8198" s="514"/>
      <c r="R8198" s="293"/>
      <c r="S8198" s="316"/>
      <c r="T8198" s="355"/>
    </row>
    <row r="8199" spans="14:20" x14ac:dyDescent="0.25">
      <c r="N8199" s="514"/>
      <c r="R8199" s="293"/>
      <c r="S8199" s="316"/>
      <c r="T8199" s="355"/>
    </row>
    <row r="8200" spans="14:20" x14ac:dyDescent="0.25">
      <c r="N8200" s="514"/>
      <c r="R8200" s="293"/>
      <c r="S8200" s="316"/>
      <c r="T8200" s="355"/>
    </row>
    <row r="8201" spans="14:20" x14ac:dyDescent="0.25">
      <c r="N8201" s="514"/>
      <c r="R8201" s="293"/>
      <c r="S8201" s="316"/>
      <c r="T8201" s="355"/>
    </row>
    <row r="8202" spans="14:20" x14ac:dyDescent="0.25">
      <c r="N8202" s="514"/>
      <c r="R8202" s="293"/>
      <c r="S8202" s="316"/>
      <c r="T8202" s="355"/>
    </row>
    <row r="8203" spans="14:20" x14ac:dyDescent="0.25">
      <c r="N8203" s="514"/>
      <c r="R8203" s="293"/>
      <c r="S8203" s="316"/>
      <c r="T8203" s="355"/>
    </row>
    <row r="8204" spans="14:20" x14ac:dyDescent="0.25">
      <c r="N8204" s="514"/>
      <c r="R8204" s="293"/>
      <c r="S8204" s="316"/>
      <c r="T8204" s="355"/>
    </row>
    <row r="8205" spans="14:20" x14ac:dyDescent="0.25">
      <c r="N8205" s="514"/>
      <c r="R8205" s="293"/>
      <c r="S8205" s="316"/>
      <c r="T8205" s="355"/>
    </row>
    <row r="8206" spans="14:20" x14ac:dyDescent="0.25">
      <c r="N8206" s="514"/>
      <c r="R8206" s="293"/>
      <c r="S8206" s="316"/>
      <c r="T8206" s="355"/>
    </row>
    <row r="8207" spans="14:20" x14ac:dyDescent="0.25">
      <c r="N8207" s="514"/>
      <c r="R8207" s="293"/>
      <c r="S8207" s="316"/>
      <c r="T8207" s="355"/>
    </row>
    <row r="8208" spans="14:20" x14ac:dyDescent="0.25">
      <c r="N8208" s="514"/>
      <c r="R8208" s="293"/>
      <c r="S8208" s="316"/>
      <c r="T8208" s="355"/>
    </row>
    <row r="8209" spans="14:20" x14ac:dyDescent="0.25">
      <c r="N8209" s="514"/>
      <c r="R8209" s="293"/>
      <c r="S8209" s="316"/>
      <c r="T8209" s="355"/>
    </row>
    <row r="8210" spans="14:20" x14ac:dyDescent="0.25">
      <c r="N8210" s="514"/>
      <c r="R8210" s="293"/>
      <c r="S8210" s="316"/>
      <c r="T8210" s="355"/>
    </row>
    <row r="8211" spans="14:20" x14ac:dyDescent="0.25">
      <c r="N8211" s="514"/>
      <c r="R8211" s="293"/>
      <c r="S8211" s="316"/>
      <c r="T8211" s="355"/>
    </row>
    <row r="8212" spans="14:20" x14ac:dyDescent="0.25">
      <c r="N8212" s="514"/>
      <c r="R8212" s="293"/>
      <c r="S8212" s="316"/>
      <c r="T8212" s="355"/>
    </row>
    <row r="8213" spans="14:20" x14ac:dyDescent="0.25">
      <c r="N8213" s="514"/>
      <c r="R8213" s="293"/>
      <c r="S8213" s="316"/>
      <c r="T8213" s="355"/>
    </row>
    <row r="8214" spans="14:20" x14ac:dyDescent="0.25">
      <c r="N8214" s="514"/>
      <c r="R8214" s="293"/>
      <c r="S8214" s="316"/>
      <c r="T8214" s="355"/>
    </row>
    <row r="8215" spans="14:20" x14ac:dyDescent="0.25">
      <c r="N8215" s="514"/>
      <c r="R8215" s="293"/>
      <c r="S8215" s="316"/>
      <c r="T8215" s="355"/>
    </row>
    <row r="8216" spans="14:20" x14ac:dyDescent="0.25">
      <c r="N8216" s="514"/>
      <c r="R8216" s="293"/>
      <c r="S8216" s="316"/>
      <c r="T8216" s="355"/>
    </row>
    <row r="8217" spans="14:20" x14ac:dyDescent="0.25">
      <c r="N8217" s="514"/>
      <c r="R8217" s="293"/>
      <c r="S8217" s="316"/>
      <c r="T8217" s="355"/>
    </row>
    <row r="8218" spans="14:20" x14ac:dyDescent="0.25">
      <c r="N8218" s="514"/>
      <c r="R8218" s="293"/>
      <c r="S8218" s="316"/>
      <c r="T8218" s="355"/>
    </row>
    <row r="8219" spans="14:20" x14ac:dyDescent="0.25">
      <c r="N8219" s="514"/>
      <c r="R8219" s="293"/>
      <c r="S8219" s="316"/>
      <c r="T8219" s="355"/>
    </row>
    <row r="8220" spans="14:20" x14ac:dyDescent="0.25">
      <c r="N8220" s="514"/>
      <c r="R8220" s="293"/>
      <c r="S8220" s="316"/>
      <c r="T8220" s="355"/>
    </row>
    <row r="8221" spans="14:20" x14ac:dyDescent="0.25">
      <c r="N8221" s="514"/>
      <c r="R8221" s="293"/>
      <c r="S8221" s="316"/>
      <c r="T8221" s="355"/>
    </row>
    <row r="8222" spans="14:20" x14ac:dyDescent="0.25">
      <c r="N8222" s="514"/>
      <c r="R8222" s="293"/>
      <c r="S8222" s="316"/>
      <c r="T8222" s="355"/>
    </row>
    <row r="8223" spans="14:20" x14ac:dyDescent="0.25">
      <c r="N8223" s="514"/>
      <c r="R8223" s="293"/>
      <c r="S8223" s="316"/>
      <c r="T8223" s="355"/>
    </row>
    <row r="8224" spans="14:20" x14ac:dyDescent="0.25">
      <c r="N8224" s="514"/>
      <c r="R8224" s="293"/>
      <c r="S8224" s="316"/>
      <c r="T8224" s="355"/>
    </row>
    <row r="8225" spans="14:20" x14ac:dyDescent="0.25">
      <c r="N8225" s="514"/>
      <c r="R8225" s="293"/>
      <c r="S8225" s="316"/>
      <c r="T8225" s="355"/>
    </row>
    <row r="8226" spans="14:20" x14ac:dyDescent="0.25">
      <c r="N8226" s="514"/>
      <c r="R8226" s="293"/>
      <c r="S8226" s="316"/>
      <c r="T8226" s="355"/>
    </row>
    <row r="8227" spans="14:20" x14ac:dyDescent="0.25">
      <c r="N8227" s="514"/>
      <c r="R8227" s="293"/>
      <c r="S8227" s="316"/>
      <c r="T8227" s="355"/>
    </row>
    <row r="8228" spans="14:20" x14ac:dyDescent="0.25">
      <c r="N8228" s="514"/>
      <c r="R8228" s="293"/>
      <c r="S8228" s="316"/>
      <c r="T8228" s="355"/>
    </row>
    <row r="8229" spans="14:20" x14ac:dyDescent="0.25">
      <c r="N8229" s="514"/>
      <c r="R8229" s="293"/>
      <c r="S8229" s="316"/>
      <c r="T8229" s="355"/>
    </row>
    <row r="8230" spans="14:20" x14ac:dyDescent="0.25">
      <c r="N8230" s="514"/>
      <c r="R8230" s="293"/>
      <c r="S8230" s="316"/>
      <c r="T8230" s="355"/>
    </row>
    <row r="8231" spans="14:20" x14ac:dyDescent="0.25">
      <c r="N8231" s="514"/>
      <c r="R8231" s="293"/>
      <c r="S8231" s="316"/>
      <c r="T8231" s="355"/>
    </row>
    <row r="8232" spans="14:20" x14ac:dyDescent="0.25">
      <c r="N8232" s="514"/>
      <c r="R8232" s="293"/>
      <c r="S8232" s="316"/>
      <c r="T8232" s="355"/>
    </row>
    <row r="8233" spans="14:20" x14ac:dyDescent="0.25">
      <c r="N8233" s="514"/>
      <c r="R8233" s="293"/>
      <c r="S8233" s="316"/>
      <c r="T8233" s="355"/>
    </row>
    <row r="8234" spans="14:20" x14ac:dyDescent="0.25">
      <c r="N8234" s="514"/>
      <c r="R8234" s="293"/>
      <c r="S8234" s="316"/>
      <c r="T8234" s="355"/>
    </row>
    <row r="8235" spans="14:20" x14ac:dyDescent="0.25">
      <c r="N8235" s="514"/>
      <c r="R8235" s="293"/>
      <c r="S8235" s="316"/>
      <c r="T8235" s="355"/>
    </row>
    <row r="8236" spans="14:20" x14ac:dyDescent="0.25">
      <c r="N8236" s="514"/>
      <c r="R8236" s="293"/>
      <c r="S8236" s="316"/>
      <c r="T8236" s="355"/>
    </row>
    <row r="8237" spans="14:20" x14ac:dyDescent="0.25">
      <c r="N8237" s="514"/>
      <c r="R8237" s="293"/>
      <c r="S8237" s="316"/>
      <c r="T8237" s="355"/>
    </row>
    <row r="8238" spans="14:20" x14ac:dyDescent="0.25">
      <c r="N8238" s="514"/>
      <c r="R8238" s="293"/>
      <c r="S8238" s="316"/>
      <c r="T8238" s="355"/>
    </row>
    <row r="8239" spans="14:20" x14ac:dyDescent="0.25">
      <c r="N8239" s="514"/>
      <c r="R8239" s="293"/>
      <c r="S8239" s="316"/>
      <c r="T8239" s="355"/>
    </row>
    <row r="8240" spans="14:20" x14ac:dyDescent="0.25">
      <c r="N8240" s="514"/>
      <c r="R8240" s="293"/>
      <c r="S8240" s="316"/>
      <c r="T8240" s="355"/>
    </row>
    <row r="8241" spans="14:20" x14ac:dyDescent="0.25">
      <c r="N8241" s="514"/>
      <c r="R8241" s="293"/>
      <c r="S8241" s="316"/>
      <c r="T8241" s="355"/>
    </row>
    <row r="8242" spans="14:20" x14ac:dyDescent="0.25">
      <c r="N8242" s="514"/>
      <c r="R8242" s="293"/>
      <c r="S8242" s="316"/>
      <c r="T8242" s="355"/>
    </row>
    <row r="8243" spans="14:20" x14ac:dyDescent="0.25">
      <c r="N8243" s="514"/>
      <c r="R8243" s="293"/>
      <c r="S8243" s="316"/>
      <c r="T8243" s="355"/>
    </row>
    <row r="8244" spans="14:20" x14ac:dyDescent="0.25">
      <c r="N8244" s="514"/>
      <c r="R8244" s="293"/>
      <c r="S8244" s="316"/>
      <c r="T8244" s="355"/>
    </row>
    <row r="8245" spans="14:20" x14ac:dyDescent="0.25">
      <c r="N8245" s="514"/>
      <c r="R8245" s="293"/>
      <c r="S8245" s="316"/>
      <c r="T8245" s="355"/>
    </row>
    <row r="8246" spans="14:20" x14ac:dyDescent="0.25">
      <c r="N8246" s="514"/>
      <c r="R8246" s="293"/>
      <c r="S8246" s="316"/>
      <c r="T8246" s="355"/>
    </row>
    <row r="8247" spans="14:20" x14ac:dyDescent="0.25">
      <c r="N8247" s="514"/>
      <c r="R8247" s="293"/>
      <c r="S8247" s="316"/>
      <c r="T8247" s="355"/>
    </row>
    <row r="8248" spans="14:20" x14ac:dyDescent="0.25">
      <c r="N8248" s="514"/>
      <c r="R8248" s="293"/>
      <c r="S8248" s="316"/>
      <c r="T8248" s="355"/>
    </row>
    <row r="8249" spans="14:20" x14ac:dyDescent="0.25">
      <c r="N8249" s="514"/>
      <c r="R8249" s="293"/>
      <c r="S8249" s="316"/>
      <c r="T8249" s="355"/>
    </row>
    <row r="8250" spans="14:20" x14ac:dyDescent="0.25">
      <c r="N8250" s="514"/>
      <c r="R8250" s="293"/>
      <c r="S8250" s="316"/>
      <c r="T8250" s="355"/>
    </row>
    <row r="8251" spans="14:20" x14ac:dyDescent="0.25">
      <c r="N8251" s="514"/>
      <c r="R8251" s="293"/>
      <c r="S8251" s="316"/>
      <c r="T8251" s="355"/>
    </row>
    <row r="8252" spans="14:20" x14ac:dyDescent="0.25">
      <c r="N8252" s="514"/>
      <c r="R8252" s="293"/>
      <c r="S8252" s="316"/>
      <c r="T8252" s="355"/>
    </row>
    <row r="8253" spans="14:20" x14ac:dyDescent="0.25">
      <c r="N8253" s="514"/>
      <c r="R8253" s="293"/>
      <c r="S8253" s="316"/>
      <c r="T8253" s="355"/>
    </row>
    <row r="8254" spans="14:20" x14ac:dyDescent="0.25">
      <c r="N8254" s="514"/>
      <c r="R8254" s="293"/>
      <c r="S8254" s="316"/>
      <c r="T8254" s="355"/>
    </row>
    <row r="8255" spans="14:20" x14ac:dyDescent="0.25">
      <c r="N8255" s="514"/>
      <c r="R8255" s="293"/>
      <c r="S8255" s="316"/>
      <c r="T8255" s="355"/>
    </row>
    <row r="8256" spans="14:20" x14ac:dyDescent="0.25">
      <c r="N8256" s="514"/>
      <c r="R8256" s="293"/>
      <c r="S8256" s="316"/>
      <c r="T8256" s="355"/>
    </row>
    <row r="8257" spans="14:20" x14ac:dyDescent="0.25">
      <c r="N8257" s="514"/>
      <c r="R8257" s="293"/>
      <c r="S8257" s="316"/>
      <c r="T8257" s="355"/>
    </row>
    <row r="8258" spans="14:20" x14ac:dyDescent="0.25">
      <c r="N8258" s="514"/>
      <c r="R8258" s="293"/>
      <c r="S8258" s="316"/>
      <c r="T8258" s="355"/>
    </row>
    <row r="8259" spans="14:20" x14ac:dyDescent="0.25">
      <c r="N8259" s="514"/>
      <c r="R8259" s="293"/>
      <c r="S8259" s="316"/>
      <c r="T8259" s="355"/>
    </row>
    <row r="8260" spans="14:20" x14ac:dyDescent="0.25">
      <c r="N8260" s="514"/>
      <c r="R8260" s="293"/>
      <c r="S8260" s="316"/>
      <c r="T8260" s="355"/>
    </row>
    <row r="8261" spans="14:20" x14ac:dyDescent="0.25">
      <c r="N8261" s="514"/>
      <c r="R8261" s="293"/>
      <c r="S8261" s="316"/>
      <c r="T8261" s="355"/>
    </row>
    <row r="8262" spans="14:20" x14ac:dyDescent="0.25">
      <c r="N8262" s="514"/>
      <c r="R8262" s="293"/>
      <c r="S8262" s="316"/>
      <c r="T8262" s="355"/>
    </row>
    <row r="8263" spans="14:20" x14ac:dyDescent="0.25">
      <c r="N8263" s="514"/>
      <c r="R8263" s="293"/>
      <c r="S8263" s="316"/>
      <c r="T8263" s="355"/>
    </row>
    <row r="8264" spans="14:20" x14ac:dyDescent="0.25">
      <c r="N8264" s="514"/>
      <c r="R8264" s="293"/>
      <c r="S8264" s="316"/>
      <c r="T8264" s="355"/>
    </row>
    <row r="8265" spans="14:20" x14ac:dyDescent="0.25">
      <c r="N8265" s="514"/>
      <c r="R8265" s="293"/>
      <c r="S8265" s="316"/>
      <c r="T8265" s="355"/>
    </row>
    <row r="8266" spans="14:20" x14ac:dyDescent="0.25">
      <c r="N8266" s="514"/>
      <c r="R8266" s="293"/>
      <c r="S8266" s="316"/>
      <c r="T8266" s="355"/>
    </row>
    <row r="8267" spans="14:20" x14ac:dyDescent="0.25">
      <c r="N8267" s="514"/>
      <c r="R8267" s="293"/>
      <c r="S8267" s="316"/>
      <c r="T8267" s="355"/>
    </row>
    <row r="8268" spans="14:20" x14ac:dyDescent="0.25">
      <c r="N8268" s="514"/>
      <c r="R8268" s="293"/>
      <c r="S8268" s="316"/>
      <c r="T8268" s="355"/>
    </row>
    <row r="8269" spans="14:20" x14ac:dyDescent="0.25">
      <c r="N8269" s="514"/>
      <c r="R8269" s="293"/>
      <c r="S8269" s="316"/>
      <c r="T8269" s="355"/>
    </row>
    <row r="8270" spans="14:20" x14ac:dyDescent="0.25">
      <c r="N8270" s="514"/>
      <c r="R8270" s="293"/>
      <c r="S8270" s="316"/>
      <c r="T8270" s="355"/>
    </row>
    <row r="8271" spans="14:20" x14ac:dyDescent="0.25">
      <c r="N8271" s="514"/>
      <c r="R8271" s="293"/>
      <c r="S8271" s="316"/>
      <c r="T8271" s="355"/>
    </row>
    <row r="8272" spans="14:20" x14ac:dyDescent="0.25">
      <c r="N8272" s="514"/>
      <c r="R8272" s="293"/>
      <c r="S8272" s="316"/>
      <c r="T8272" s="355"/>
    </row>
    <row r="8273" spans="14:20" x14ac:dyDescent="0.25">
      <c r="N8273" s="514"/>
      <c r="R8273" s="293"/>
      <c r="S8273" s="316"/>
      <c r="T8273" s="355"/>
    </row>
    <row r="8274" spans="14:20" x14ac:dyDescent="0.25">
      <c r="N8274" s="514"/>
      <c r="R8274" s="293"/>
      <c r="S8274" s="316"/>
      <c r="T8274" s="355"/>
    </row>
    <row r="8275" spans="14:20" x14ac:dyDescent="0.25">
      <c r="N8275" s="514"/>
      <c r="R8275" s="293"/>
      <c r="S8275" s="316"/>
      <c r="T8275" s="355"/>
    </row>
    <row r="8276" spans="14:20" x14ac:dyDescent="0.25">
      <c r="N8276" s="514"/>
      <c r="R8276" s="293"/>
      <c r="S8276" s="316"/>
      <c r="T8276" s="355"/>
    </row>
    <row r="8277" spans="14:20" x14ac:dyDescent="0.25">
      <c r="N8277" s="514"/>
      <c r="R8277" s="293"/>
      <c r="S8277" s="316"/>
      <c r="T8277" s="355"/>
    </row>
    <row r="8278" spans="14:20" x14ac:dyDescent="0.25">
      <c r="N8278" s="514"/>
      <c r="R8278" s="293"/>
      <c r="S8278" s="316"/>
      <c r="T8278" s="355"/>
    </row>
    <row r="8279" spans="14:20" x14ac:dyDescent="0.25">
      <c r="N8279" s="514"/>
      <c r="R8279" s="293"/>
      <c r="S8279" s="316"/>
      <c r="T8279" s="355"/>
    </row>
    <row r="8280" spans="14:20" x14ac:dyDescent="0.25">
      <c r="N8280" s="514"/>
      <c r="R8280" s="293"/>
      <c r="S8280" s="316"/>
      <c r="T8280" s="355"/>
    </row>
    <row r="8281" spans="14:20" x14ac:dyDescent="0.25">
      <c r="N8281" s="514"/>
      <c r="R8281" s="293"/>
      <c r="S8281" s="316"/>
      <c r="T8281" s="355"/>
    </row>
    <row r="8282" spans="14:20" x14ac:dyDescent="0.25">
      <c r="N8282" s="514"/>
      <c r="R8282" s="293"/>
      <c r="S8282" s="316"/>
      <c r="T8282" s="355"/>
    </row>
    <row r="8283" spans="14:20" x14ac:dyDescent="0.25">
      <c r="N8283" s="514"/>
      <c r="R8283" s="293"/>
      <c r="S8283" s="316"/>
      <c r="T8283" s="355"/>
    </row>
    <row r="8284" spans="14:20" x14ac:dyDescent="0.25">
      <c r="N8284" s="514"/>
      <c r="R8284" s="293"/>
      <c r="S8284" s="316"/>
      <c r="T8284" s="355"/>
    </row>
    <row r="8285" spans="14:20" x14ac:dyDescent="0.25">
      <c r="N8285" s="514"/>
      <c r="R8285" s="293"/>
      <c r="S8285" s="316"/>
      <c r="T8285" s="355"/>
    </row>
    <row r="8286" spans="14:20" x14ac:dyDescent="0.25">
      <c r="N8286" s="514"/>
      <c r="R8286" s="293"/>
      <c r="S8286" s="316"/>
      <c r="T8286" s="355"/>
    </row>
    <row r="8287" spans="14:20" x14ac:dyDescent="0.25">
      <c r="N8287" s="514"/>
      <c r="R8287" s="293"/>
      <c r="S8287" s="316"/>
      <c r="T8287" s="355"/>
    </row>
    <row r="8288" spans="14:20" x14ac:dyDescent="0.25">
      <c r="N8288" s="514"/>
      <c r="R8288" s="293"/>
      <c r="S8288" s="316"/>
      <c r="T8288" s="355"/>
    </row>
    <row r="8289" spans="14:20" x14ac:dyDescent="0.25">
      <c r="N8289" s="514"/>
      <c r="R8289" s="293"/>
      <c r="S8289" s="316"/>
      <c r="T8289" s="355"/>
    </row>
    <row r="8290" spans="14:20" x14ac:dyDescent="0.25">
      <c r="N8290" s="514"/>
      <c r="R8290" s="293"/>
      <c r="S8290" s="316"/>
      <c r="T8290" s="355"/>
    </row>
    <row r="8291" spans="14:20" x14ac:dyDescent="0.25">
      <c r="N8291" s="514"/>
      <c r="R8291" s="293"/>
      <c r="S8291" s="316"/>
      <c r="T8291" s="355"/>
    </row>
    <row r="8292" spans="14:20" x14ac:dyDescent="0.25">
      <c r="N8292" s="514"/>
      <c r="R8292" s="293"/>
      <c r="S8292" s="316"/>
      <c r="T8292" s="355"/>
    </row>
    <row r="8293" spans="14:20" x14ac:dyDescent="0.25">
      <c r="N8293" s="514"/>
      <c r="R8293" s="293"/>
      <c r="S8293" s="316"/>
      <c r="T8293" s="355"/>
    </row>
    <row r="8294" spans="14:20" x14ac:dyDescent="0.25">
      <c r="N8294" s="514"/>
      <c r="R8294" s="293"/>
      <c r="S8294" s="316"/>
      <c r="T8294" s="355"/>
    </row>
    <row r="8295" spans="14:20" x14ac:dyDescent="0.25">
      <c r="N8295" s="514"/>
      <c r="R8295" s="293"/>
      <c r="S8295" s="316"/>
      <c r="T8295" s="355"/>
    </row>
    <row r="8296" spans="14:20" x14ac:dyDescent="0.25">
      <c r="N8296" s="514"/>
      <c r="R8296" s="293"/>
      <c r="S8296" s="316"/>
      <c r="T8296" s="355"/>
    </row>
    <row r="8297" spans="14:20" x14ac:dyDescent="0.25">
      <c r="N8297" s="514"/>
      <c r="R8297" s="293"/>
      <c r="S8297" s="316"/>
      <c r="T8297" s="355"/>
    </row>
    <row r="8298" spans="14:20" x14ac:dyDescent="0.25">
      <c r="N8298" s="514"/>
      <c r="R8298" s="293"/>
      <c r="S8298" s="316"/>
      <c r="T8298" s="355"/>
    </row>
    <row r="8299" spans="14:20" x14ac:dyDescent="0.25">
      <c r="N8299" s="514"/>
      <c r="R8299" s="293"/>
      <c r="S8299" s="316"/>
      <c r="T8299" s="355"/>
    </row>
    <row r="8300" spans="14:20" x14ac:dyDescent="0.25">
      <c r="N8300" s="514"/>
      <c r="R8300" s="293"/>
      <c r="S8300" s="316"/>
      <c r="T8300" s="355"/>
    </row>
    <row r="8301" spans="14:20" x14ac:dyDescent="0.25">
      <c r="N8301" s="514"/>
      <c r="R8301" s="293"/>
      <c r="S8301" s="316"/>
      <c r="T8301" s="355"/>
    </row>
    <row r="8302" spans="14:20" x14ac:dyDescent="0.25">
      <c r="N8302" s="514"/>
      <c r="R8302" s="293"/>
      <c r="S8302" s="316"/>
      <c r="T8302" s="355"/>
    </row>
    <row r="8303" spans="14:20" x14ac:dyDescent="0.25">
      <c r="N8303" s="514"/>
      <c r="R8303" s="293"/>
      <c r="S8303" s="316"/>
      <c r="T8303" s="355"/>
    </row>
    <row r="8304" spans="14:20" x14ac:dyDescent="0.25">
      <c r="N8304" s="514"/>
      <c r="R8304" s="293"/>
      <c r="S8304" s="316"/>
      <c r="T8304" s="355"/>
    </row>
    <row r="8305" spans="14:20" x14ac:dyDescent="0.25">
      <c r="N8305" s="514"/>
      <c r="R8305" s="293"/>
      <c r="S8305" s="316"/>
      <c r="T8305" s="355"/>
    </row>
    <row r="8306" spans="14:20" x14ac:dyDescent="0.25">
      <c r="N8306" s="514"/>
      <c r="R8306" s="293"/>
      <c r="S8306" s="316"/>
      <c r="T8306" s="355"/>
    </row>
    <row r="8307" spans="14:20" x14ac:dyDescent="0.25">
      <c r="N8307" s="514"/>
      <c r="R8307" s="293"/>
      <c r="S8307" s="316"/>
      <c r="T8307" s="355"/>
    </row>
    <row r="8308" spans="14:20" x14ac:dyDescent="0.25">
      <c r="N8308" s="514"/>
      <c r="R8308" s="293"/>
      <c r="S8308" s="316"/>
      <c r="T8308" s="355"/>
    </row>
    <row r="8309" spans="14:20" x14ac:dyDescent="0.25">
      <c r="N8309" s="514"/>
      <c r="R8309" s="293"/>
      <c r="S8309" s="316"/>
      <c r="T8309" s="355"/>
    </row>
    <row r="8310" spans="14:20" x14ac:dyDescent="0.25">
      <c r="N8310" s="514"/>
      <c r="R8310" s="293"/>
      <c r="S8310" s="316"/>
      <c r="T8310" s="355"/>
    </row>
    <row r="8311" spans="14:20" x14ac:dyDescent="0.25">
      <c r="N8311" s="514"/>
      <c r="R8311" s="293"/>
      <c r="S8311" s="316"/>
      <c r="T8311" s="355"/>
    </row>
    <row r="8312" spans="14:20" x14ac:dyDescent="0.25">
      <c r="N8312" s="514"/>
      <c r="R8312" s="293"/>
      <c r="S8312" s="316"/>
      <c r="T8312" s="355"/>
    </row>
    <row r="8313" spans="14:20" x14ac:dyDescent="0.25">
      <c r="N8313" s="514"/>
      <c r="R8313" s="293"/>
      <c r="S8313" s="316"/>
      <c r="T8313" s="355"/>
    </row>
    <row r="8314" spans="14:20" x14ac:dyDescent="0.25">
      <c r="N8314" s="514"/>
      <c r="R8314" s="293"/>
      <c r="S8314" s="316"/>
      <c r="T8314" s="355"/>
    </row>
    <row r="8315" spans="14:20" x14ac:dyDescent="0.25">
      <c r="N8315" s="514"/>
      <c r="R8315" s="293"/>
      <c r="S8315" s="316"/>
      <c r="T8315" s="355"/>
    </row>
    <row r="8316" spans="14:20" x14ac:dyDescent="0.25">
      <c r="N8316" s="514"/>
      <c r="R8316" s="293"/>
      <c r="S8316" s="316"/>
      <c r="T8316" s="355"/>
    </row>
    <row r="8317" spans="14:20" x14ac:dyDescent="0.25">
      <c r="N8317" s="514"/>
      <c r="R8317" s="293"/>
      <c r="S8317" s="316"/>
      <c r="T8317" s="355"/>
    </row>
    <row r="8318" spans="14:20" x14ac:dyDescent="0.25">
      <c r="N8318" s="514"/>
      <c r="R8318" s="293"/>
      <c r="S8318" s="316"/>
      <c r="T8318" s="355"/>
    </row>
    <row r="8319" spans="14:20" x14ac:dyDescent="0.25">
      <c r="N8319" s="514"/>
      <c r="R8319" s="293"/>
      <c r="S8319" s="316"/>
      <c r="T8319" s="355"/>
    </row>
    <row r="8320" spans="14:20" x14ac:dyDescent="0.25">
      <c r="N8320" s="514"/>
      <c r="R8320" s="293"/>
      <c r="S8320" s="316"/>
      <c r="T8320" s="355"/>
    </row>
    <row r="8321" spans="14:20" x14ac:dyDescent="0.25">
      <c r="N8321" s="514"/>
      <c r="R8321" s="293"/>
      <c r="S8321" s="316"/>
      <c r="T8321" s="355"/>
    </row>
    <row r="8322" spans="14:20" x14ac:dyDescent="0.25">
      <c r="N8322" s="514"/>
      <c r="R8322" s="293"/>
      <c r="S8322" s="316"/>
      <c r="T8322" s="355"/>
    </row>
    <row r="8323" spans="14:20" x14ac:dyDescent="0.25">
      <c r="N8323" s="514"/>
      <c r="R8323" s="293"/>
      <c r="S8323" s="316"/>
      <c r="T8323" s="355"/>
    </row>
    <row r="8324" spans="14:20" x14ac:dyDescent="0.25">
      <c r="N8324" s="514"/>
      <c r="R8324" s="293"/>
      <c r="S8324" s="316"/>
      <c r="T8324" s="355"/>
    </row>
    <row r="8325" spans="14:20" x14ac:dyDescent="0.25">
      <c r="N8325" s="514"/>
      <c r="R8325" s="293"/>
      <c r="S8325" s="316"/>
      <c r="T8325" s="355"/>
    </row>
    <row r="8326" spans="14:20" x14ac:dyDescent="0.25">
      <c r="N8326" s="514"/>
      <c r="R8326" s="293"/>
      <c r="S8326" s="316"/>
      <c r="T8326" s="355"/>
    </row>
    <row r="8327" spans="14:20" x14ac:dyDescent="0.25">
      <c r="N8327" s="514"/>
      <c r="R8327" s="293"/>
      <c r="S8327" s="316"/>
      <c r="T8327" s="355"/>
    </row>
    <row r="8328" spans="14:20" x14ac:dyDescent="0.25">
      <c r="N8328" s="514"/>
      <c r="R8328" s="293"/>
      <c r="S8328" s="316"/>
      <c r="T8328" s="355"/>
    </row>
    <row r="8329" spans="14:20" x14ac:dyDescent="0.25">
      <c r="N8329" s="514"/>
      <c r="R8329" s="293"/>
      <c r="S8329" s="316"/>
      <c r="T8329" s="355"/>
    </row>
    <row r="8330" spans="14:20" x14ac:dyDescent="0.25">
      <c r="N8330" s="514"/>
      <c r="R8330" s="293"/>
      <c r="S8330" s="316"/>
      <c r="T8330" s="355"/>
    </row>
    <row r="8331" spans="14:20" x14ac:dyDescent="0.25">
      <c r="N8331" s="514"/>
      <c r="R8331" s="293"/>
      <c r="S8331" s="316"/>
      <c r="T8331" s="355"/>
    </row>
    <row r="8332" spans="14:20" x14ac:dyDescent="0.25">
      <c r="N8332" s="514"/>
      <c r="R8332" s="293"/>
      <c r="S8332" s="316"/>
      <c r="T8332" s="355"/>
    </row>
    <row r="8333" spans="14:20" x14ac:dyDescent="0.25">
      <c r="N8333" s="514"/>
      <c r="R8333" s="293"/>
      <c r="S8333" s="316"/>
      <c r="T8333" s="355"/>
    </row>
    <row r="8334" spans="14:20" x14ac:dyDescent="0.25">
      <c r="N8334" s="514"/>
      <c r="R8334" s="293"/>
      <c r="S8334" s="316"/>
      <c r="T8334" s="355"/>
    </row>
    <row r="8335" spans="14:20" x14ac:dyDescent="0.25">
      <c r="N8335" s="514"/>
      <c r="R8335" s="293"/>
      <c r="S8335" s="316"/>
      <c r="T8335" s="355"/>
    </row>
    <row r="8336" spans="14:20" x14ac:dyDescent="0.25">
      <c r="N8336" s="514"/>
      <c r="R8336" s="293"/>
      <c r="S8336" s="316"/>
      <c r="T8336" s="355"/>
    </row>
    <row r="8337" spans="14:20" x14ac:dyDescent="0.25">
      <c r="N8337" s="514"/>
      <c r="R8337" s="293"/>
      <c r="S8337" s="316"/>
      <c r="T8337" s="355"/>
    </row>
    <row r="8338" spans="14:20" x14ac:dyDescent="0.25">
      <c r="N8338" s="514"/>
      <c r="R8338" s="293"/>
      <c r="S8338" s="316"/>
      <c r="T8338" s="355"/>
    </row>
    <row r="8339" spans="14:20" x14ac:dyDescent="0.25">
      <c r="N8339" s="514"/>
      <c r="R8339" s="293"/>
      <c r="S8339" s="316"/>
      <c r="T8339" s="355"/>
    </row>
    <row r="8340" spans="14:20" x14ac:dyDescent="0.25">
      <c r="N8340" s="514"/>
      <c r="R8340" s="293"/>
      <c r="S8340" s="316"/>
      <c r="T8340" s="355"/>
    </row>
    <row r="8341" spans="14:20" x14ac:dyDescent="0.25">
      <c r="N8341" s="514"/>
      <c r="R8341" s="293"/>
      <c r="S8341" s="316"/>
      <c r="T8341" s="355"/>
    </row>
    <row r="8342" spans="14:20" x14ac:dyDescent="0.25">
      <c r="N8342" s="514"/>
      <c r="R8342" s="293"/>
      <c r="S8342" s="316"/>
      <c r="T8342" s="355"/>
    </row>
    <row r="8343" spans="14:20" x14ac:dyDescent="0.25">
      <c r="N8343" s="514"/>
      <c r="R8343" s="293"/>
      <c r="S8343" s="316"/>
      <c r="T8343" s="355"/>
    </row>
    <row r="8344" spans="14:20" x14ac:dyDescent="0.25">
      <c r="N8344" s="514"/>
      <c r="R8344" s="293"/>
      <c r="S8344" s="316"/>
      <c r="T8344" s="355"/>
    </row>
    <row r="8345" spans="14:20" x14ac:dyDescent="0.25">
      <c r="N8345" s="514"/>
      <c r="R8345" s="293"/>
      <c r="S8345" s="316"/>
      <c r="T8345" s="355"/>
    </row>
    <row r="8346" spans="14:20" x14ac:dyDescent="0.25">
      <c r="N8346" s="514"/>
      <c r="R8346" s="293"/>
      <c r="S8346" s="316"/>
      <c r="T8346" s="355"/>
    </row>
    <row r="8347" spans="14:20" x14ac:dyDescent="0.25">
      <c r="N8347" s="514"/>
      <c r="R8347" s="293"/>
      <c r="S8347" s="316"/>
      <c r="T8347" s="355"/>
    </row>
    <row r="8348" spans="14:20" x14ac:dyDescent="0.25">
      <c r="N8348" s="514"/>
      <c r="R8348" s="293"/>
      <c r="S8348" s="316"/>
      <c r="T8348" s="355"/>
    </row>
    <row r="8349" spans="14:20" x14ac:dyDescent="0.25">
      <c r="N8349" s="514"/>
      <c r="R8349" s="293"/>
      <c r="S8349" s="316"/>
      <c r="T8349" s="355"/>
    </row>
    <row r="8350" spans="14:20" x14ac:dyDescent="0.25">
      <c r="N8350" s="514"/>
      <c r="R8350" s="293"/>
      <c r="S8350" s="316"/>
      <c r="T8350" s="355"/>
    </row>
    <row r="8351" spans="14:20" x14ac:dyDescent="0.25">
      <c r="N8351" s="514"/>
      <c r="R8351" s="293"/>
      <c r="S8351" s="316"/>
      <c r="T8351" s="355"/>
    </row>
    <row r="8352" spans="14:20" x14ac:dyDescent="0.25">
      <c r="N8352" s="514"/>
      <c r="R8352" s="293"/>
      <c r="S8352" s="316"/>
      <c r="T8352" s="355"/>
    </row>
    <row r="8353" spans="14:20" x14ac:dyDescent="0.25">
      <c r="N8353" s="514"/>
      <c r="R8353" s="293"/>
      <c r="S8353" s="316"/>
      <c r="T8353" s="355"/>
    </row>
    <row r="8354" spans="14:20" x14ac:dyDescent="0.25">
      <c r="N8354" s="514"/>
      <c r="R8354" s="293"/>
      <c r="S8354" s="316"/>
      <c r="T8354" s="355"/>
    </row>
    <row r="8355" spans="14:20" x14ac:dyDescent="0.25">
      <c r="N8355" s="514"/>
      <c r="R8355" s="293"/>
      <c r="S8355" s="316"/>
      <c r="T8355" s="355"/>
    </row>
    <row r="8356" spans="14:20" x14ac:dyDescent="0.25">
      <c r="N8356" s="514"/>
      <c r="R8356" s="293"/>
      <c r="S8356" s="316"/>
      <c r="T8356" s="355"/>
    </row>
    <row r="8357" spans="14:20" x14ac:dyDescent="0.25">
      <c r="N8357" s="514"/>
      <c r="R8357" s="293"/>
      <c r="S8357" s="316"/>
      <c r="T8357" s="355"/>
    </row>
    <row r="8358" spans="14:20" x14ac:dyDescent="0.25">
      <c r="N8358" s="514"/>
      <c r="R8358" s="293"/>
      <c r="S8358" s="316"/>
      <c r="T8358" s="355"/>
    </row>
    <row r="8359" spans="14:20" x14ac:dyDescent="0.25">
      <c r="N8359" s="514"/>
      <c r="R8359" s="293"/>
      <c r="S8359" s="316"/>
      <c r="T8359" s="355"/>
    </row>
    <row r="8360" spans="14:20" x14ac:dyDescent="0.25">
      <c r="N8360" s="514"/>
      <c r="R8360" s="293"/>
      <c r="S8360" s="316"/>
      <c r="T8360" s="355"/>
    </row>
    <row r="8361" spans="14:20" x14ac:dyDescent="0.25">
      <c r="N8361" s="514"/>
      <c r="R8361" s="293"/>
      <c r="S8361" s="316"/>
      <c r="T8361" s="355"/>
    </row>
    <row r="8362" spans="14:20" x14ac:dyDescent="0.25">
      <c r="N8362" s="514"/>
      <c r="R8362" s="293"/>
      <c r="S8362" s="316"/>
      <c r="T8362" s="355"/>
    </row>
    <row r="8363" spans="14:20" x14ac:dyDescent="0.25">
      <c r="N8363" s="514"/>
      <c r="R8363" s="293"/>
      <c r="S8363" s="316"/>
      <c r="T8363" s="355"/>
    </row>
    <row r="8364" spans="14:20" x14ac:dyDescent="0.25">
      <c r="N8364" s="514"/>
      <c r="R8364" s="293"/>
      <c r="S8364" s="316"/>
      <c r="T8364" s="355"/>
    </row>
    <row r="8365" spans="14:20" x14ac:dyDescent="0.25">
      <c r="N8365" s="514"/>
      <c r="R8365" s="293"/>
      <c r="S8365" s="316"/>
      <c r="T8365" s="355"/>
    </row>
    <row r="8366" spans="14:20" x14ac:dyDescent="0.25">
      <c r="N8366" s="514"/>
      <c r="R8366" s="293"/>
      <c r="S8366" s="316"/>
      <c r="T8366" s="355"/>
    </row>
    <row r="8367" spans="14:20" x14ac:dyDescent="0.25">
      <c r="N8367" s="514"/>
      <c r="R8367" s="293"/>
      <c r="S8367" s="316"/>
      <c r="T8367" s="355"/>
    </row>
    <row r="8368" spans="14:20" x14ac:dyDescent="0.25">
      <c r="N8368" s="514"/>
      <c r="R8368" s="293"/>
      <c r="S8368" s="316"/>
      <c r="T8368" s="355"/>
    </row>
    <row r="8369" spans="14:20" x14ac:dyDescent="0.25">
      <c r="N8369" s="514"/>
      <c r="R8369" s="293"/>
      <c r="S8369" s="316"/>
      <c r="T8369" s="355"/>
    </row>
    <row r="8370" spans="14:20" x14ac:dyDescent="0.25">
      <c r="N8370" s="514"/>
      <c r="R8370" s="293"/>
      <c r="S8370" s="316"/>
      <c r="T8370" s="355"/>
    </row>
    <row r="8371" spans="14:20" x14ac:dyDescent="0.25">
      <c r="N8371" s="514"/>
      <c r="R8371" s="293"/>
      <c r="S8371" s="316"/>
      <c r="T8371" s="355"/>
    </row>
    <row r="8372" spans="14:20" x14ac:dyDescent="0.25">
      <c r="N8372" s="514"/>
      <c r="R8372" s="293"/>
      <c r="S8372" s="316"/>
      <c r="T8372" s="355"/>
    </row>
    <row r="8373" spans="14:20" x14ac:dyDescent="0.25">
      <c r="N8373" s="514"/>
      <c r="R8373" s="293"/>
      <c r="S8373" s="316"/>
      <c r="T8373" s="355"/>
    </row>
    <row r="8374" spans="14:20" x14ac:dyDescent="0.25">
      <c r="N8374" s="514"/>
      <c r="R8374" s="293"/>
      <c r="S8374" s="316"/>
      <c r="T8374" s="355"/>
    </row>
    <row r="8375" spans="14:20" x14ac:dyDescent="0.25">
      <c r="N8375" s="514"/>
      <c r="R8375" s="293"/>
      <c r="S8375" s="316"/>
      <c r="T8375" s="355"/>
    </row>
    <row r="8376" spans="14:20" x14ac:dyDescent="0.25">
      <c r="N8376" s="514"/>
      <c r="R8376" s="293"/>
      <c r="S8376" s="316"/>
      <c r="T8376" s="355"/>
    </row>
    <row r="8377" spans="14:20" x14ac:dyDescent="0.25">
      <c r="N8377" s="514"/>
      <c r="R8377" s="293"/>
      <c r="S8377" s="316"/>
      <c r="T8377" s="355"/>
    </row>
    <row r="8378" spans="14:20" x14ac:dyDescent="0.25">
      <c r="N8378" s="514"/>
      <c r="R8378" s="293"/>
      <c r="S8378" s="316"/>
      <c r="T8378" s="355"/>
    </row>
    <row r="8379" spans="14:20" x14ac:dyDescent="0.25">
      <c r="N8379" s="514"/>
      <c r="R8379" s="293"/>
      <c r="S8379" s="316"/>
      <c r="T8379" s="355"/>
    </row>
    <row r="8380" spans="14:20" x14ac:dyDescent="0.25">
      <c r="N8380" s="514"/>
      <c r="R8380" s="293"/>
      <c r="S8380" s="316"/>
      <c r="T8380" s="355"/>
    </row>
    <row r="8381" spans="14:20" x14ac:dyDescent="0.25">
      <c r="N8381" s="514"/>
      <c r="R8381" s="293"/>
      <c r="S8381" s="316"/>
      <c r="T8381" s="355"/>
    </row>
    <row r="8382" spans="14:20" x14ac:dyDescent="0.25">
      <c r="N8382" s="514"/>
      <c r="R8382" s="293"/>
      <c r="S8382" s="316"/>
      <c r="T8382" s="355"/>
    </row>
    <row r="8383" spans="14:20" x14ac:dyDescent="0.25">
      <c r="N8383" s="514"/>
      <c r="R8383" s="293"/>
      <c r="S8383" s="316"/>
      <c r="T8383" s="355"/>
    </row>
    <row r="8384" spans="14:20" x14ac:dyDescent="0.25">
      <c r="N8384" s="514"/>
      <c r="R8384" s="293"/>
      <c r="S8384" s="316"/>
      <c r="T8384" s="355"/>
    </row>
    <row r="8385" spans="14:20" x14ac:dyDescent="0.25">
      <c r="N8385" s="514"/>
      <c r="R8385" s="293"/>
      <c r="S8385" s="316"/>
      <c r="T8385" s="355"/>
    </row>
    <row r="8386" spans="14:20" x14ac:dyDescent="0.25">
      <c r="N8386" s="514"/>
      <c r="R8386" s="293"/>
      <c r="S8386" s="316"/>
      <c r="T8386" s="355"/>
    </row>
    <row r="8387" spans="14:20" x14ac:dyDescent="0.25">
      <c r="N8387" s="514"/>
      <c r="R8387" s="293"/>
      <c r="S8387" s="316"/>
      <c r="T8387" s="355"/>
    </row>
    <row r="8388" spans="14:20" x14ac:dyDescent="0.25">
      <c r="N8388" s="514"/>
      <c r="R8388" s="293"/>
      <c r="S8388" s="316"/>
      <c r="T8388" s="355"/>
    </row>
    <row r="8389" spans="14:20" x14ac:dyDescent="0.25">
      <c r="N8389" s="514"/>
      <c r="R8389" s="293"/>
      <c r="S8389" s="316"/>
      <c r="T8389" s="355"/>
    </row>
    <row r="8390" spans="14:20" x14ac:dyDescent="0.25">
      <c r="N8390" s="514"/>
      <c r="R8390" s="293"/>
      <c r="S8390" s="316"/>
      <c r="T8390" s="355"/>
    </row>
    <row r="8391" spans="14:20" x14ac:dyDescent="0.25">
      <c r="N8391" s="514"/>
      <c r="R8391" s="293"/>
      <c r="S8391" s="316"/>
      <c r="T8391" s="355"/>
    </row>
    <row r="8392" spans="14:20" x14ac:dyDescent="0.25">
      <c r="N8392" s="514"/>
      <c r="R8392" s="293"/>
      <c r="S8392" s="316"/>
      <c r="T8392" s="355"/>
    </row>
    <row r="8393" spans="14:20" x14ac:dyDescent="0.25">
      <c r="N8393" s="514"/>
      <c r="R8393" s="293"/>
      <c r="S8393" s="316"/>
      <c r="T8393" s="355"/>
    </row>
    <row r="8394" spans="14:20" x14ac:dyDescent="0.25">
      <c r="N8394" s="514"/>
      <c r="R8394" s="293"/>
      <c r="S8394" s="316"/>
      <c r="T8394" s="355"/>
    </row>
    <row r="8395" spans="14:20" x14ac:dyDescent="0.25">
      <c r="N8395" s="514"/>
      <c r="R8395" s="293"/>
      <c r="S8395" s="316"/>
      <c r="T8395" s="355"/>
    </row>
    <row r="8396" spans="14:20" x14ac:dyDescent="0.25">
      <c r="N8396" s="514"/>
      <c r="R8396" s="293"/>
      <c r="S8396" s="316"/>
      <c r="T8396" s="355"/>
    </row>
    <row r="8397" spans="14:20" x14ac:dyDescent="0.25">
      <c r="N8397" s="514"/>
      <c r="R8397" s="293"/>
      <c r="S8397" s="316"/>
      <c r="T8397" s="355"/>
    </row>
    <row r="8398" spans="14:20" x14ac:dyDescent="0.25">
      <c r="N8398" s="514"/>
      <c r="R8398" s="293"/>
      <c r="S8398" s="316"/>
      <c r="T8398" s="355"/>
    </row>
    <row r="8399" spans="14:20" x14ac:dyDescent="0.25">
      <c r="N8399" s="514"/>
      <c r="R8399" s="293"/>
      <c r="S8399" s="316"/>
      <c r="T8399" s="355"/>
    </row>
    <row r="8400" spans="14:20" x14ac:dyDescent="0.25">
      <c r="N8400" s="514"/>
      <c r="R8400" s="293"/>
      <c r="S8400" s="316"/>
      <c r="T8400" s="355"/>
    </row>
    <row r="8401" spans="14:20" x14ac:dyDescent="0.25">
      <c r="N8401" s="514"/>
      <c r="R8401" s="293"/>
      <c r="S8401" s="316"/>
      <c r="T8401" s="355"/>
    </row>
    <row r="8402" spans="14:20" x14ac:dyDescent="0.25">
      <c r="N8402" s="514"/>
      <c r="R8402" s="293"/>
      <c r="S8402" s="316"/>
      <c r="T8402" s="355"/>
    </row>
    <row r="8403" spans="14:20" x14ac:dyDescent="0.25">
      <c r="N8403" s="514"/>
      <c r="R8403" s="293"/>
      <c r="S8403" s="316"/>
      <c r="T8403" s="355"/>
    </row>
    <row r="8404" spans="14:20" x14ac:dyDescent="0.25">
      <c r="N8404" s="514"/>
      <c r="R8404" s="293"/>
      <c r="S8404" s="316"/>
      <c r="T8404" s="355"/>
    </row>
    <row r="8405" spans="14:20" x14ac:dyDescent="0.25">
      <c r="N8405" s="514"/>
      <c r="R8405" s="293"/>
      <c r="S8405" s="316"/>
      <c r="T8405" s="355"/>
    </row>
    <row r="8406" spans="14:20" x14ac:dyDescent="0.25">
      <c r="N8406" s="514"/>
      <c r="R8406" s="293"/>
      <c r="S8406" s="316"/>
      <c r="T8406" s="355"/>
    </row>
    <row r="8407" spans="14:20" x14ac:dyDescent="0.25">
      <c r="N8407" s="514"/>
      <c r="R8407" s="293"/>
      <c r="S8407" s="316"/>
      <c r="T8407" s="355"/>
    </row>
    <row r="8408" spans="14:20" x14ac:dyDescent="0.25">
      <c r="N8408" s="514"/>
      <c r="R8408" s="293"/>
      <c r="S8408" s="316"/>
      <c r="T8408" s="355"/>
    </row>
    <row r="8409" spans="14:20" x14ac:dyDescent="0.25">
      <c r="N8409" s="514"/>
      <c r="R8409" s="293"/>
      <c r="S8409" s="316"/>
      <c r="T8409" s="355"/>
    </row>
    <row r="8410" spans="14:20" x14ac:dyDescent="0.25">
      <c r="N8410" s="514"/>
      <c r="R8410" s="293"/>
      <c r="S8410" s="316"/>
      <c r="T8410" s="355"/>
    </row>
    <row r="8411" spans="14:20" x14ac:dyDescent="0.25">
      <c r="N8411" s="514"/>
      <c r="R8411" s="293"/>
      <c r="S8411" s="316"/>
      <c r="T8411" s="355"/>
    </row>
    <row r="8412" spans="14:20" x14ac:dyDescent="0.25">
      <c r="N8412" s="514"/>
      <c r="R8412" s="293"/>
      <c r="S8412" s="316"/>
      <c r="T8412" s="355"/>
    </row>
    <row r="8413" spans="14:20" x14ac:dyDescent="0.25">
      <c r="N8413" s="514"/>
      <c r="R8413" s="293"/>
      <c r="S8413" s="316"/>
      <c r="T8413" s="355"/>
    </row>
    <row r="8414" spans="14:20" x14ac:dyDescent="0.25">
      <c r="N8414" s="514"/>
      <c r="R8414" s="293"/>
      <c r="S8414" s="316"/>
      <c r="T8414" s="355"/>
    </row>
    <row r="8415" spans="14:20" x14ac:dyDescent="0.25">
      <c r="N8415" s="514"/>
      <c r="R8415" s="293"/>
      <c r="S8415" s="316"/>
      <c r="T8415" s="355"/>
    </row>
    <row r="8416" spans="14:20" x14ac:dyDescent="0.25">
      <c r="N8416" s="514"/>
      <c r="R8416" s="293"/>
      <c r="S8416" s="316"/>
      <c r="T8416" s="355"/>
    </row>
    <row r="8417" spans="14:20" x14ac:dyDescent="0.25">
      <c r="N8417" s="514"/>
      <c r="R8417" s="293"/>
      <c r="S8417" s="316"/>
      <c r="T8417" s="355"/>
    </row>
    <row r="8418" spans="14:20" x14ac:dyDescent="0.25">
      <c r="N8418" s="514"/>
      <c r="R8418" s="293"/>
      <c r="S8418" s="316"/>
      <c r="T8418" s="355"/>
    </row>
    <row r="8419" spans="14:20" x14ac:dyDescent="0.25">
      <c r="N8419" s="514"/>
      <c r="R8419" s="293"/>
      <c r="S8419" s="316"/>
      <c r="T8419" s="355"/>
    </row>
    <row r="8420" spans="14:20" x14ac:dyDescent="0.25">
      <c r="N8420" s="514"/>
      <c r="R8420" s="293"/>
      <c r="S8420" s="316"/>
      <c r="T8420" s="355"/>
    </row>
    <row r="8421" spans="14:20" x14ac:dyDescent="0.25">
      <c r="N8421" s="514"/>
      <c r="R8421" s="293"/>
      <c r="S8421" s="316"/>
      <c r="T8421" s="355"/>
    </row>
    <row r="8422" spans="14:20" x14ac:dyDescent="0.25">
      <c r="N8422" s="514"/>
      <c r="R8422" s="293"/>
      <c r="S8422" s="316"/>
      <c r="T8422" s="355"/>
    </row>
    <row r="8423" spans="14:20" x14ac:dyDescent="0.25">
      <c r="N8423" s="514"/>
      <c r="R8423" s="293"/>
      <c r="S8423" s="316"/>
      <c r="T8423" s="355"/>
    </row>
    <row r="8424" spans="14:20" x14ac:dyDescent="0.25">
      <c r="N8424" s="514"/>
      <c r="R8424" s="293"/>
      <c r="S8424" s="316"/>
      <c r="T8424" s="355"/>
    </row>
    <row r="8425" spans="14:20" x14ac:dyDescent="0.25">
      <c r="N8425" s="514"/>
      <c r="R8425" s="293"/>
      <c r="S8425" s="316"/>
      <c r="T8425" s="355"/>
    </row>
    <row r="8426" spans="14:20" x14ac:dyDescent="0.25">
      <c r="N8426" s="514"/>
      <c r="R8426" s="293"/>
      <c r="S8426" s="316"/>
      <c r="T8426" s="355"/>
    </row>
    <row r="8427" spans="14:20" x14ac:dyDescent="0.25">
      <c r="N8427" s="514"/>
      <c r="R8427" s="293"/>
      <c r="S8427" s="316"/>
      <c r="T8427" s="355"/>
    </row>
    <row r="8428" spans="14:20" x14ac:dyDescent="0.25">
      <c r="N8428" s="514"/>
      <c r="R8428" s="293"/>
      <c r="S8428" s="316"/>
      <c r="T8428" s="355"/>
    </row>
    <row r="8429" spans="14:20" x14ac:dyDescent="0.25">
      <c r="N8429" s="514"/>
      <c r="R8429" s="293"/>
      <c r="S8429" s="316"/>
      <c r="T8429" s="355"/>
    </row>
    <row r="8430" spans="14:20" x14ac:dyDescent="0.25">
      <c r="N8430" s="514"/>
      <c r="R8430" s="293"/>
      <c r="S8430" s="316"/>
      <c r="T8430" s="355"/>
    </row>
    <row r="8431" spans="14:20" x14ac:dyDescent="0.25">
      <c r="N8431" s="514"/>
      <c r="R8431" s="293"/>
      <c r="S8431" s="316"/>
      <c r="T8431" s="355"/>
    </row>
    <row r="8432" spans="14:20" x14ac:dyDescent="0.25">
      <c r="N8432" s="514"/>
      <c r="R8432" s="293"/>
      <c r="S8432" s="316"/>
      <c r="T8432" s="355"/>
    </row>
    <row r="8433" spans="14:20" x14ac:dyDescent="0.25">
      <c r="N8433" s="514"/>
      <c r="R8433" s="293"/>
      <c r="S8433" s="316"/>
      <c r="T8433" s="355"/>
    </row>
    <row r="8434" spans="14:20" x14ac:dyDescent="0.25">
      <c r="N8434" s="514"/>
      <c r="R8434" s="293"/>
      <c r="S8434" s="316"/>
      <c r="T8434" s="355"/>
    </row>
    <row r="8435" spans="14:20" x14ac:dyDescent="0.25">
      <c r="N8435" s="514"/>
      <c r="R8435" s="293"/>
      <c r="S8435" s="316"/>
      <c r="T8435" s="355"/>
    </row>
    <row r="8436" spans="14:20" x14ac:dyDescent="0.25">
      <c r="N8436" s="514"/>
      <c r="R8436" s="293"/>
      <c r="S8436" s="316"/>
      <c r="T8436" s="355"/>
    </row>
    <row r="8437" spans="14:20" x14ac:dyDescent="0.25">
      <c r="N8437" s="514"/>
      <c r="R8437" s="293"/>
      <c r="S8437" s="316"/>
      <c r="T8437" s="355"/>
    </row>
    <row r="8438" spans="14:20" x14ac:dyDescent="0.25">
      <c r="N8438" s="514"/>
      <c r="R8438" s="293"/>
      <c r="S8438" s="316"/>
      <c r="T8438" s="355"/>
    </row>
    <row r="8439" spans="14:20" x14ac:dyDescent="0.25">
      <c r="N8439" s="514"/>
      <c r="R8439" s="293"/>
      <c r="S8439" s="316"/>
      <c r="T8439" s="355"/>
    </row>
    <row r="8440" spans="14:20" x14ac:dyDescent="0.25">
      <c r="N8440" s="514"/>
      <c r="R8440" s="293"/>
      <c r="S8440" s="316"/>
      <c r="T8440" s="355"/>
    </row>
    <row r="8441" spans="14:20" x14ac:dyDescent="0.25">
      <c r="N8441" s="514"/>
      <c r="R8441" s="293"/>
      <c r="S8441" s="316"/>
      <c r="T8441" s="355"/>
    </row>
    <row r="8442" spans="14:20" x14ac:dyDescent="0.25">
      <c r="N8442" s="514"/>
      <c r="R8442" s="293"/>
      <c r="S8442" s="316"/>
      <c r="T8442" s="355"/>
    </row>
    <row r="8443" spans="14:20" x14ac:dyDescent="0.25">
      <c r="N8443" s="514"/>
      <c r="R8443" s="293"/>
      <c r="S8443" s="316"/>
      <c r="T8443" s="355"/>
    </row>
    <row r="8444" spans="14:20" x14ac:dyDescent="0.25">
      <c r="N8444" s="514"/>
      <c r="R8444" s="293"/>
      <c r="S8444" s="316"/>
      <c r="T8444" s="355"/>
    </row>
    <row r="8445" spans="14:20" x14ac:dyDescent="0.25">
      <c r="N8445" s="514"/>
      <c r="R8445" s="293"/>
      <c r="S8445" s="316"/>
      <c r="T8445" s="355"/>
    </row>
    <row r="8446" spans="14:20" x14ac:dyDescent="0.25">
      <c r="N8446" s="514"/>
      <c r="R8446" s="293"/>
      <c r="S8446" s="316"/>
      <c r="T8446" s="355"/>
    </row>
    <row r="8447" spans="14:20" x14ac:dyDescent="0.25">
      <c r="N8447" s="514"/>
      <c r="R8447" s="293"/>
      <c r="S8447" s="316"/>
      <c r="T8447" s="355"/>
    </row>
    <row r="8448" spans="14:20" x14ac:dyDescent="0.25">
      <c r="N8448" s="514"/>
      <c r="R8448" s="293"/>
      <c r="S8448" s="316"/>
      <c r="T8448" s="355"/>
    </row>
    <row r="8449" spans="14:20" x14ac:dyDescent="0.25">
      <c r="N8449" s="514"/>
      <c r="R8449" s="293"/>
      <c r="S8449" s="316"/>
      <c r="T8449" s="355"/>
    </row>
    <row r="8450" spans="14:20" x14ac:dyDescent="0.25">
      <c r="N8450" s="514"/>
      <c r="R8450" s="293"/>
      <c r="S8450" s="316"/>
      <c r="T8450" s="355"/>
    </row>
    <row r="8451" spans="14:20" x14ac:dyDescent="0.25">
      <c r="N8451" s="514"/>
      <c r="R8451" s="293"/>
      <c r="S8451" s="316"/>
      <c r="T8451" s="355"/>
    </row>
    <row r="8452" spans="14:20" x14ac:dyDescent="0.25">
      <c r="N8452" s="514"/>
      <c r="R8452" s="293"/>
      <c r="S8452" s="316"/>
      <c r="T8452" s="355"/>
    </row>
    <row r="8453" spans="14:20" x14ac:dyDescent="0.25">
      <c r="N8453" s="514"/>
      <c r="R8453" s="293"/>
      <c r="S8453" s="316"/>
      <c r="T8453" s="355"/>
    </row>
    <row r="8454" spans="14:20" x14ac:dyDescent="0.25">
      <c r="N8454" s="514"/>
      <c r="R8454" s="293"/>
      <c r="S8454" s="316"/>
      <c r="T8454" s="355"/>
    </row>
    <row r="8455" spans="14:20" x14ac:dyDescent="0.25">
      <c r="N8455" s="514"/>
      <c r="R8455" s="293"/>
      <c r="S8455" s="316"/>
      <c r="T8455" s="355"/>
    </row>
    <row r="8456" spans="14:20" x14ac:dyDescent="0.25">
      <c r="N8456" s="514"/>
      <c r="R8456" s="293"/>
      <c r="S8456" s="316"/>
      <c r="T8456" s="355"/>
    </row>
    <row r="8457" spans="14:20" x14ac:dyDescent="0.25">
      <c r="N8457" s="514"/>
      <c r="R8457" s="293"/>
      <c r="S8457" s="316"/>
      <c r="T8457" s="355"/>
    </row>
    <row r="8458" spans="14:20" x14ac:dyDescent="0.25">
      <c r="N8458" s="514"/>
      <c r="R8458" s="293"/>
      <c r="S8458" s="316"/>
      <c r="T8458" s="355"/>
    </row>
    <row r="8459" spans="14:20" x14ac:dyDescent="0.25">
      <c r="N8459" s="514"/>
      <c r="R8459" s="293"/>
      <c r="S8459" s="316"/>
      <c r="T8459" s="355"/>
    </row>
    <row r="8460" spans="14:20" x14ac:dyDescent="0.25">
      <c r="N8460" s="514"/>
      <c r="R8460" s="293"/>
      <c r="S8460" s="316"/>
      <c r="T8460" s="355"/>
    </row>
    <row r="8461" spans="14:20" x14ac:dyDescent="0.25">
      <c r="N8461" s="514"/>
      <c r="R8461" s="293"/>
      <c r="S8461" s="316"/>
      <c r="T8461" s="355"/>
    </row>
    <row r="8462" spans="14:20" x14ac:dyDescent="0.25">
      <c r="N8462" s="514"/>
      <c r="R8462" s="293"/>
      <c r="S8462" s="316"/>
      <c r="T8462" s="355"/>
    </row>
    <row r="8463" spans="14:20" x14ac:dyDescent="0.25">
      <c r="N8463" s="514"/>
      <c r="R8463" s="293"/>
      <c r="S8463" s="316"/>
      <c r="T8463" s="355"/>
    </row>
    <row r="8464" spans="14:20" x14ac:dyDescent="0.25">
      <c r="N8464" s="514"/>
      <c r="R8464" s="293"/>
      <c r="S8464" s="316"/>
      <c r="T8464" s="355"/>
    </row>
    <row r="8465" spans="14:20" x14ac:dyDescent="0.25">
      <c r="N8465" s="514"/>
      <c r="R8465" s="293"/>
      <c r="S8465" s="316"/>
      <c r="T8465" s="355"/>
    </row>
    <row r="8466" spans="14:20" x14ac:dyDescent="0.25">
      <c r="N8466" s="514"/>
      <c r="R8466" s="293"/>
      <c r="S8466" s="316"/>
      <c r="T8466" s="355"/>
    </row>
    <row r="8467" spans="14:20" x14ac:dyDescent="0.25">
      <c r="N8467" s="514"/>
      <c r="R8467" s="293"/>
      <c r="S8467" s="316"/>
      <c r="T8467" s="355"/>
    </row>
    <row r="8468" spans="14:20" x14ac:dyDescent="0.25">
      <c r="N8468" s="514"/>
      <c r="R8468" s="293"/>
      <c r="S8468" s="316"/>
      <c r="T8468" s="355"/>
    </row>
    <row r="8469" spans="14:20" x14ac:dyDescent="0.25">
      <c r="N8469" s="514"/>
      <c r="R8469" s="293"/>
      <c r="S8469" s="316"/>
      <c r="T8469" s="355"/>
    </row>
    <row r="8470" spans="14:20" x14ac:dyDescent="0.25">
      <c r="N8470" s="514"/>
      <c r="R8470" s="293"/>
      <c r="S8470" s="316"/>
      <c r="T8470" s="355"/>
    </row>
    <row r="8471" spans="14:20" x14ac:dyDescent="0.25">
      <c r="N8471" s="514"/>
      <c r="R8471" s="293"/>
      <c r="S8471" s="316"/>
      <c r="T8471" s="355"/>
    </row>
    <row r="8472" spans="14:20" x14ac:dyDescent="0.25">
      <c r="N8472" s="514"/>
      <c r="R8472" s="293"/>
      <c r="S8472" s="316"/>
      <c r="T8472" s="355"/>
    </row>
    <row r="8473" spans="14:20" x14ac:dyDescent="0.25">
      <c r="N8473" s="514"/>
      <c r="R8473" s="293"/>
      <c r="S8473" s="316"/>
      <c r="T8473" s="355"/>
    </row>
    <row r="8474" spans="14:20" x14ac:dyDescent="0.25">
      <c r="N8474" s="514"/>
      <c r="R8474" s="293"/>
      <c r="S8474" s="316"/>
      <c r="T8474" s="355"/>
    </row>
    <row r="8475" spans="14:20" x14ac:dyDescent="0.25">
      <c r="N8475" s="514"/>
      <c r="R8475" s="293"/>
      <c r="S8475" s="316"/>
      <c r="T8475" s="355"/>
    </row>
    <row r="8476" spans="14:20" x14ac:dyDescent="0.25">
      <c r="N8476" s="514"/>
      <c r="R8476" s="293"/>
      <c r="S8476" s="316"/>
      <c r="T8476" s="355"/>
    </row>
    <row r="8477" spans="14:20" x14ac:dyDescent="0.25">
      <c r="N8477" s="514"/>
      <c r="R8477" s="293"/>
      <c r="S8477" s="316"/>
      <c r="T8477" s="355"/>
    </row>
    <row r="8478" spans="14:20" x14ac:dyDescent="0.25">
      <c r="N8478" s="514"/>
      <c r="R8478" s="293"/>
      <c r="S8478" s="316"/>
      <c r="T8478" s="355"/>
    </row>
    <row r="8479" spans="14:20" x14ac:dyDescent="0.25">
      <c r="N8479" s="514"/>
      <c r="R8479" s="293"/>
      <c r="S8479" s="316"/>
      <c r="T8479" s="355"/>
    </row>
    <row r="8480" spans="14:20" x14ac:dyDescent="0.25">
      <c r="N8480" s="514"/>
      <c r="R8480" s="293"/>
      <c r="S8480" s="316"/>
      <c r="T8480" s="355"/>
    </row>
    <row r="8481" spans="14:20" x14ac:dyDescent="0.25">
      <c r="N8481" s="514"/>
      <c r="R8481" s="293"/>
      <c r="S8481" s="316"/>
      <c r="T8481" s="355"/>
    </row>
    <row r="8482" spans="14:20" x14ac:dyDescent="0.25">
      <c r="N8482" s="514"/>
      <c r="R8482" s="293"/>
      <c r="S8482" s="316"/>
      <c r="T8482" s="355"/>
    </row>
    <row r="8483" spans="14:20" x14ac:dyDescent="0.25">
      <c r="N8483" s="514"/>
      <c r="R8483" s="293"/>
      <c r="S8483" s="316"/>
      <c r="T8483" s="355"/>
    </row>
    <row r="8484" spans="14:20" x14ac:dyDescent="0.25">
      <c r="N8484" s="514"/>
      <c r="R8484" s="293"/>
      <c r="S8484" s="316"/>
      <c r="T8484" s="355"/>
    </row>
    <row r="8485" spans="14:20" x14ac:dyDescent="0.25">
      <c r="N8485" s="514"/>
      <c r="R8485" s="293"/>
      <c r="S8485" s="316"/>
      <c r="T8485" s="355"/>
    </row>
    <row r="8486" spans="14:20" x14ac:dyDescent="0.25">
      <c r="N8486" s="514"/>
      <c r="R8486" s="293"/>
      <c r="S8486" s="316"/>
      <c r="T8486" s="355"/>
    </row>
    <row r="8487" spans="14:20" x14ac:dyDescent="0.25">
      <c r="N8487" s="514"/>
      <c r="R8487" s="293"/>
      <c r="S8487" s="316"/>
      <c r="T8487" s="355"/>
    </row>
    <row r="8488" spans="14:20" x14ac:dyDescent="0.25">
      <c r="N8488" s="514"/>
      <c r="R8488" s="293"/>
      <c r="S8488" s="316"/>
      <c r="T8488" s="355"/>
    </row>
    <row r="8489" spans="14:20" x14ac:dyDescent="0.25">
      <c r="N8489" s="514"/>
      <c r="R8489" s="293"/>
      <c r="S8489" s="316"/>
      <c r="T8489" s="355"/>
    </row>
    <row r="8490" spans="14:20" x14ac:dyDescent="0.25">
      <c r="N8490" s="514"/>
      <c r="R8490" s="293"/>
      <c r="S8490" s="316"/>
      <c r="T8490" s="355"/>
    </row>
    <row r="8491" spans="14:20" x14ac:dyDescent="0.25">
      <c r="N8491" s="514"/>
      <c r="R8491" s="293"/>
      <c r="S8491" s="316"/>
      <c r="T8491" s="355"/>
    </row>
    <row r="8492" spans="14:20" x14ac:dyDescent="0.25">
      <c r="N8492" s="514"/>
      <c r="R8492" s="293"/>
      <c r="S8492" s="316"/>
      <c r="T8492" s="355"/>
    </row>
    <row r="8493" spans="14:20" x14ac:dyDescent="0.25">
      <c r="N8493" s="514"/>
      <c r="R8493" s="293"/>
      <c r="S8493" s="316"/>
      <c r="T8493" s="355"/>
    </row>
    <row r="8494" spans="14:20" x14ac:dyDescent="0.25">
      <c r="N8494" s="514"/>
      <c r="R8494" s="293"/>
      <c r="S8494" s="316"/>
      <c r="T8494" s="355"/>
    </row>
    <row r="8495" spans="14:20" x14ac:dyDescent="0.25">
      <c r="N8495" s="514"/>
      <c r="R8495" s="293"/>
      <c r="S8495" s="316"/>
      <c r="T8495" s="355"/>
    </row>
    <row r="8496" spans="14:20" x14ac:dyDescent="0.25">
      <c r="N8496" s="514"/>
      <c r="R8496" s="293"/>
      <c r="S8496" s="316"/>
      <c r="T8496" s="355"/>
    </row>
    <row r="8497" spans="14:20" x14ac:dyDescent="0.25">
      <c r="N8497" s="514"/>
      <c r="R8497" s="293"/>
      <c r="S8497" s="316"/>
      <c r="T8497" s="355"/>
    </row>
    <row r="8498" spans="14:20" x14ac:dyDescent="0.25">
      <c r="N8498" s="514"/>
      <c r="R8498" s="293"/>
      <c r="S8498" s="316"/>
      <c r="T8498" s="355"/>
    </row>
    <row r="8499" spans="14:20" x14ac:dyDescent="0.25">
      <c r="N8499" s="514"/>
      <c r="R8499" s="293"/>
      <c r="S8499" s="316"/>
      <c r="T8499" s="355"/>
    </row>
    <row r="8500" spans="14:20" x14ac:dyDescent="0.25">
      <c r="N8500" s="514"/>
      <c r="R8500" s="293"/>
      <c r="S8500" s="316"/>
      <c r="T8500" s="355"/>
    </row>
    <row r="8501" spans="14:20" x14ac:dyDescent="0.25">
      <c r="N8501" s="514"/>
      <c r="R8501" s="293"/>
      <c r="S8501" s="316"/>
      <c r="T8501" s="355"/>
    </row>
    <row r="8502" spans="14:20" x14ac:dyDescent="0.25">
      <c r="N8502" s="514"/>
      <c r="R8502" s="293"/>
      <c r="S8502" s="316"/>
      <c r="T8502" s="355"/>
    </row>
    <row r="8503" spans="14:20" x14ac:dyDescent="0.25">
      <c r="N8503" s="514"/>
      <c r="R8503" s="293"/>
      <c r="S8503" s="316"/>
      <c r="T8503" s="355"/>
    </row>
    <row r="8504" spans="14:20" x14ac:dyDescent="0.25">
      <c r="N8504" s="514"/>
      <c r="R8504" s="293"/>
      <c r="S8504" s="316"/>
      <c r="T8504" s="355"/>
    </row>
    <row r="8505" spans="14:20" x14ac:dyDescent="0.25">
      <c r="N8505" s="514"/>
      <c r="R8505" s="293"/>
      <c r="S8505" s="316"/>
      <c r="T8505" s="355"/>
    </row>
    <row r="8506" spans="14:20" x14ac:dyDescent="0.25">
      <c r="N8506" s="514"/>
      <c r="R8506" s="293"/>
      <c r="S8506" s="316"/>
      <c r="T8506" s="355"/>
    </row>
    <row r="8507" spans="14:20" x14ac:dyDescent="0.25">
      <c r="N8507" s="514"/>
      <c r="R8507" s="293"/>
      <c r="S8507" s="316"/>
      <c r="T8507" s="355"/>
    </row>
    <row r="8508" spans="14:20" x14ac:dyDescent="0.25">
      <c r="N8508" s="514"/>
      <c r="R8508" s="293"/>
      <c r="S8508" s="316"/>
      <c r="T8508" s="355"/>
    </row>
    <row r="8509" spans="14:20" x14ac:dyDescent="0.25">
      <c r="N8509" s="514"/>
      <c r="R8509" s="293"/>
      <c r="S8509" s="316"/>
      <c r="T8509" s="355"/>
    </row>
    <row r="8510" spans="14:20" x14ac:dyDescent="0.25">
      <c r="N8510" s="514"/>
      <c r="R8510" s="293"/>
      <c r="S8510" s="316"/>
      <c r="T8510" s="355"/>
    </row>
    <row r="8511" spans="14:20" x14ac:dyDescent="0.25">
      <c r="N8511" s="514"/>
      <c r="R8511" s="293"/>
      <c r="S8511" s="316"/>
      <c r="T8511" s="355"/>
    </row>
    <row r="8512" spans="14:20" x14ac:dyDescent="0.25">
      <c r="N8512" s="514"/>
      <c r="R8512" s="293"/>
      <c r="S8512" s="316"/>
      <c r="T8512" s="355"/>
    </row>
    <row r="8513" spans="14:20" x14ac:dyDescent="0.25">
      <c r="N8513" s="514"/>
      <c r="R8513" s="293"/>
      <c r="S8513" s="316"/>
      <c r="T8513" s="355"/>
    </row>
    <row r="8514" spans="14:20" x14ac:dyDescent="0.25">
      <c r="N8514" s="514"/>
      <c r="R8514" s="293"/>
      <c r="S8514" s="316"/>
      <c r="T8514" s="355"/>
    </row>
    <row r="8515" spans="14:20" x14ac:dyDescent="0.25">
      <c r="N8515" s="514"/>
      <c r="R8515" s="293"/>
      <c r="S8515" s="316"/>
      <c r="T8515" s="355"/>
    </row>
    <row r="8516" spans="14:20" x14ac:dyDescent="0.25">
      <c r="N8516" s="514"/>
      <c r="R8516" s="293"/>
      <c r="S8516" s="316"/>
      <c r="T8516" s="355"/>
    </row>
    <row r="8517" spans="14:20" x14ac:dyDescent="0.25">
      <c r="N8517" s="514"/>
      <c r="R8517" s="293"/>
      <c r="S8517" s="316"/>
      <c r="T8517" s="355"/>
    </row>
    <row r="8518" spans="14:20" x14ac:dyDescent="0.25">
      <c r="N8518" s="514"/>
      <c r="R8518" s="293"/>
      <c r="S8518" s="316"/>
      <c r="T8518" s="355"/>
    </row>
    <row r="8519" spans="14:20" x14ac:dyDescent="0.25">
      <c r="N8519" s="514"/>
      <c r="R8519" s="293"/>
      <c r="S8519" s="316"/>
      <c r="T8519" s="355"/>
    </row>
    <row r="8520" spans="14:20" x14ac:dyDescent="0.25">
      <c r="N8520" s="514"/>
      <c r="R8520" s="293"/>
      <c r="S8520" s="316"/>
      <c r="T8520" s="355"/>
    </row>
    <row r="8521" spans="14:20" x14ac:dyDescent="0.25">
      <c r="N8521" s="514"/>
      <c r="R8521" s="293"/>
      <c r="S8521" s="316"/>
      <c r="T8521" s="355"/>
    </row>
    <row r="8522" spans="14:20" x14ac:dyDescent="0.25">
      <c r="N8522" s="514"/>
      <c r="R8522" s="293"/>
      <c r="S8522" s="316"/>
      <c r="T8522" s="355"/>
    </row>
    <row r="8523" spans="14:20" x14ac:dyDescent="0.25">
      <c r="N8523" s="514"/>
      <c r="R8523" s="293"/>
      <c r="S8523" s="316"/>
      <c r="T8523" s="355"/>
    </row>
    <row r="8524" spans="14:20" x14ac:dyDescent="0.25">
      <c r="N8524" s="514"/>
      <c r="R8524" s="293"/>
      <c r="S8524" s="316"/>
      <c r="T8524" s="355"/>
    </row>
    <row r="8525" spans="14:20" x14ac:dyDescent="0.25">
      <c r="N8525" s="514"/>
      <c r="R8525" s="293"/>
      <c r="S8525" s="316"/>
      <c r="T8525" s="355"/>
    </row>
    <row r="8526" spans="14:20" x14ac:dyDescent="0.25">
      <c r="N8526" s="514"/>
      <c r="R8526" s="293"/>
      <c r="S8526" s="316"/>
      <c r="T8526" s="355"/>
    </row>
    <row r="8527" spans="14:20" x14ac:dyDescent="0.25">
      <c r="N8527" s="514"/>
      <c r="R8527" s="293"/>
      <c r="S8527" s="316"/>
      <c r="T8527" s="355"/>
    </row>
    <row r="8528" spans="14:20" x14ac:dyDescent="0.25">
      <c r="N8528" s="514"/>
      <c r="R8528" s="293"/>
      <c r="S8528" s="316"/>
      <c r="T8528" s="355"/>
    </row>
    <row r="8529" spans="14:20" x14ac:dyDescent="0.25">
      <c r="N8529" s="514"/>
      <c r="R8529" s="293"/>
      <c r="S8529" s="316"/>
      <c r="T8529" s="355"/>
    </row>
    <row r="8530" spans="14:20" x14ac:dyDescent="0.25">
      <c r="N8530" s="514"/>
      <c r="R8530" s="293"/>
      <c r="S8530" s="316"/>
      <c r="T8530" s="355"/>
    </row>
    <row r="8531" spans="14:20" x14ac:dyDescent="0.25">
      <c r="N8531" s="514"/>
      <c r="R8531" s="293"/>
      <c r="S8531" s="316"/>
      <c r="T8531" s="355"/>
    </row>
    <row r="8532" spans="14:20" x14ac:dyDescent="0.25">
      <c r="N8532" s="514"/>
      <c r="R8532" s="293"/>
      <c r="S8532" s="316"/>
      <c r="T8532" s="355"/>
    </row>
    <row r="8533" spans="14:20" x14ac:dyDescent="0.25">
      <c r="N8533" s="514"/>
      <c r="R8533" s="293"/>
      <c r="S8533" s="316"/>
      <c r="T8533" s="355"/>
    </row>
    <row r="8534" spans="14:20" x14ac:dyDescent="0.25">
      <c r="N8534" s="514"/>
      <c r="R8534" s="293"/>
      <c r="S8534" s="316"/>
      <c r="T8534" s="355"/>
    </row>
    <row r="8535" spans="14:20" x14ac:dyDescent="0.25">
      <c r="N8535" s="514"/>
      <c r="R8535" s="293"/>
      <c r="S8535" s="316"/>
      <c r="T8535" s="355"/>
    </row>
    <row r="8536" spans="14:20" x14ac:dyDescent="0.25">
      <c r="N8536" s="514"/>
      <c r="R8536" s="293"/>
      <c r="S8536" s="316"/>
      <c r="T8536" s="355"/>
    </row>
    <row r="8537" spans="14:20" x14ac:dyDescent="0.25">
      <c r="N8537" s="514"/>
      <c r="R8537" s="293"/>
      <c r="S8537" s="316"/>
      <c r="T8537" s="355"/>
    </row>
    <row r="8538" spans="14:20" x14ac:dyDescent="0.25">
      <c r="N8538" s="514"/>
      <c r="R8538" s="293"/>
      <c r="S8538" s="316"/>
      <c r="T8538" s="355"/>
    </row>
    <row r="8539" spans="14:20" x14ac:dyDescent="0.25">
      <c r="N8539" s="514"/>
      <c r="R8539" s="293"/>
      <c r="S8539" s="316"/>
      <c r="T8539" s="355"/>
    </row>
    <row r="8540" spans="14:20" x14ac:dyDescent="0.25">
      <c r="N8540" s="514"/>
      <c r="R8540" s="293"/>
      <c r="S8540" s="316"/>
      <c r="T8540" s="355"/>
    </row>
    <row r="8541" spans="14:20" x14ac:dyDescent="0.25">
      <c r="N8541" s="514"/>
      <c r="R8541" s="293"/>
      <c r="S8541" s="316"/>
      <c r="T8541" s="355"/>
    </row>
    <row r="8542" spans="14:20" x14ac:dyDescent="0.25">
      <c r="N8542" s="514"/>
      <c r="R8542" s="293"/>
      <c r="S8542" s="316"/>
      <c r="T8542" s="355"/>
    </row>
    <row r="8543" spans="14:20" x14ac:dyDescent="0.25">
      <c r="N8543" s="514"/>
      <c r="R8543" s="293"/>
      <c r="S8543" s="316"/>
      <c r="T8543" s="355"/>
    </row>
    <row r="8544" spans="14:20" x14ac:dyDescent="0.25">
      <c r="N8544" s="514"/>
      <c r="R8544" s="293"/>
      <c r="S8544" s="316"/>
      <c r="T8544" s="355"/>
    </row>
    <row r="8545" spans="14:20" x14ac:dyDescent="0.25">
      <c r="N8545" s="514"/>
      <c r="R8545" s="293"/>
      <c r="S8545" s="316"/>
      <c r="T8545" s="355"/>
    </row>
    <row r="8546" spans="14:20" x14ac:dyDescent="0.25">
      <c r="N8546" s="514"/>
      <c r="R8546" s="293"/>
      <c r="S8546" s="316"/>
      <c r="T8546" s="355"/>
    </row>
    <row r="8547" spans="14:20" x14ac:dyDescent="0.25">
      <c r="N8547" s="514"/>
      <c r="R8547" s="293"/>
      <c r="S8547" s="316"/>
      <c r="T8547" s="355"/>
    </row>
    <row r="8548" spans="14:20" x14ac:dyDescent="0.25">
      <c r="N8548" s="514"/>
      <c r="R8548" s="293"/>
      <c r="S8548" s="316"/>
      <c r="T8548" s="355"/>
    </row>
    <row r="8549" spans="14:20" x14ac:dyDescent="0.25">
      <c r="N8549" s="514"/>
      <c r="R8549" s="293"/>
      <c r="S8549" s="316"/>
      <c r="T8549" s="355"/>
    </row>
    <row r="8550" spans="14:20" x14ac:dyDescent="0.25">
      <c r="N8550" s="514"/>
      <c r="R8550" s="293"/>
      <c r="S8550" s="316"/>
      <c r="T8550" s="355"/>
    </row>
    <row r="8551" spans="14:20" x14ac:dyDescent="0.25">
      <c r="N8551" s="514"/>
      <c r="R8551" s="293"/>
      <c r="S8551" s="316"/>
      <c r="T8551" s="355"/>
    </row>
    <row r="8552" spans="14:20" x14ac:dyDescent="0.25">
      <c r="N8552" s="514"/>
      <c r="R8552" s="293"/>
      <c r="S8552" s="316"/>
      <c r="T8552" s="355"/>
    </row>
    <row r="8553" spans="14:20" x14ac:dyDescent="0.25">
      <c r="N8553" s="514"/>
      <c r="R8553" s="293"/>
      <c r="S8553" s="316"/>
      <c r="T8553" s="355"/>
    </row>
    <row r="8554" spans="14:20" x14ac:dyDescent="0.25">
      <c r="N8554" s="514"/>
      <c r="R8554" s="293"/>
      <c r="S8554" s="316"/>
      <c r="T8554" s="355"/>
    </row>
    <row r="8555" spans="14:20" x14ac:dyDescent="0.25">
      <c r="N8555" s="514"/>
      <c r="R8555" s="293"/>
      <c r="S8555" s="316"/>
      <c r="T8555" s="355"/>
    </row>
    <row r="8556" spans="14:20" x14ac:dyDescent="0.25">
      <c r="N8556" s="514"/>
      <c r="R8556" s="293"/>
      <c r="S8556" s="316"/>
      <c r="T8556" s="355"/>
    </row>
    <row r="8557" spans="14:20" x14ac:dyDescent="0.25">
      <c r="N8557" s="514"/>
      <c r="R8557" s="293"/>
      <c r="S8557" s="316"/>
      <c r="T8557" s="355"/>
    </row>
    <row r="8558" spans="14:20" x14ac:dyDescent="0.25">
      <c r="N8558" s="514"/>
      <c r="R8558" s="293"/>
      <c r="S8558" s="316"/>
      <c r="T8558" s="355"/>
    </row>
    <row r="8559" spans="14:20" x14ac:dyDescent="0.25">
      <c r="N8559" s="514"/>
      <c r="R8559" s="293"/>
      <c r="S8559" s="316"/>
      <c r="T8559" s="355"/>
    </row>
    <row r="8560" spans="14:20" x14ac:dyDescent="0.25">
      <c r="N8560" s="514"/>
      <c r="R8560" s="293"/>
      <c r="S8560" s="316"/>
      <c r="T8560" s="355"/>
    </row>
    <row r="8561" spans="14:20" x14ac:dyDescent="0.25">
      <c r="N8561" s="514"/>
      <c r="R8561" s="293"/>
      <c r="S8561" s="316"/>
      <c r="T8561" s="355"/>
    </row>
    <row r="8562" spans="14:20" x14ac:dyDescent="0.25">
      <c r="N8562" s="514"/>
      <c r="R8562" s="293"/>
      <c r="S8562" s="316"/>
      <c r="T8562" s="355"/>
    </row>
    <row r="8563" spans="14:20" x14ac:dyDescent="0.25">
      <c r="N8563" s="514"/>
      <c r="R8563" s="293"/>
      <c r="S8563" s="316"/>
      <c r="T8563" s="355"/>
    </row>
    <row r="8564" spans="14:20" x14ac:dyDescent="0.25">
      <c r="N8564" s="514"/>
      <c r="R8564" s="293"/>
      <c r="S8564" s="316"/>
      <c r="T8564" s="355"/>
    </row>
    <row r="8565" spans="14:20" x14ac:dyDescent="0.25">
      <c r="N8565" s="514"/>
      <c r="R8565" s="293"/>
      <c r="S8565" s="316"/>
      <c r="T8565" s="355"/>
    </row>
    <row r="8566" spans="14:20" x14ac:dyDescent="0.25">
      <c r="N8566" s="514"/>
      <c r="R8566" s="293"/>
      <c r="S8566" s="316"/>
      <c r="T8566" s="355"/>
    </row>
    <row r="8567" spans="14:20" x14ac:dyDescent="0.25">
      <c r="N8567" s="514"/>
      <c r="R8567" s="293"/>
      <c r="S8567" s="316"/>
      <c r="T8567" s="355"/>
    </row>
    <row r="8568" spans="14:20" x14ac:dyDescent="0.25">
      <c r="N8568" s="514"/>
      <c r="R8568" s="293"/>
      <c r="S8568" s="316"/>
      <c r="T8568" s="355"/>
    </row>
    <row r="8569" spans="14:20" x14ac:dyDescent="0.25">
      <c r="N8569" s="514"/>
      <c r="R8569" s="293"/>
      <c r="S8569" s="316"/>
      <c r="T8569" s="355"/>
    </row>
    <row r="8570" spans="14:20" x14ac:dyDescent="0.25">
      <c r="N8570" s="514"/>
      <c r="R8570" s="293"/>
      <c r="S8570" s="316"/>
      <c r="T8570" s="355"/>
    </row>
    <row r="8571" spans="14:20" x14ac:dyDescent="0.25">
      <c r="N8571" s="514"/>
      <c r="R8571" s="293"/>
      <c r="S8571" s="316"/>
      <c r="T8571" s="355"/>
    </row>
    <row r="8572" spans="14:20" x14ac:dyDescent="0.25">
      <c r="N8572" s="514"/>
      <c r="R8572" s="293"/>
      <c r="S8572" s="316"/>
      <c r="T8572" s="355"/>
    </row>
    <row r="8573" spans="14:20" x14ac:dyDescent="0.25">
      <c r="N8573" s="514"/>
      <c r="R8573" s="293"/>
      <c r="S8573" s="316"/>
      <c r="T8573" s="355"/>
    </row>
    <row r="8574" spans="14:20" x14ac:dyDescent="0.25">
      <c r="N8574" s="514"/>
      <c r="R8574" s="293"/>
      <c r="S8574" s="316"/>
      <c r="T8574" s="355"/>
    </row>
    <row r="8575" spans="14:20" x14ac:dyDescent="0.25">
      <c r="N8575" s="514"/>
      <c r="R8575" s="293"/>
      <c r="S8575" s="316"/>
      <c r="T8575" s="355"/>
    </row>
    <row r="8576" spans="14:20" x14ac:dyDescent="0.25">
      <c r="N8576" s="514"/>
      <c r="R8576" s="293"/>
      <c r="S8576" s="316"/>
      <c r="T8576" s="355"/>
    </row>
    <row r="8577" spans="14:20" x14ac:dyDescent="0.25">
      <c r="N8577" s="514"/>
      <c r="R8577" s="293"/>
      <c r="S8577" s="316"/>
      <c r="T8577" s="355"/>
    </row>
    <row r="8578" spans="14:20" x14ac:dyDescent="0.25">
      <c r="N8578" s="514"/>
      <c r="R8578" s="293"/>
      <c r="S8578" s="316"/>
      <c r="T8578" s="355"/>
    </row>
    <row r="8579" spans="14:20" x14ac:dyDescent="0.25">
      <c r="N8579" s="514"/>
      <c r="R8579" s="293"/>
      <c r="S8579" s="316"/>
      <c r="T8579" s="355"/>
    </row>
    <row r="8580" spans="14:20" x14ac:dyDescent="0.25">
      <c r="N8580" s="514"/>
      <c r="R8580" s="293"/>
      <c r="S8580" s="316"/>
      <c r="T8580" s="355"/>
    </row>
    <row r="8581" spans="14:20" x14ac:dyDescent="0.25">
      <c r="N8581" s="514"/>
      <c r="R8581" s="293"/>
      <c r="S8581" s="316"/>
      <c r="T8581" s="355"/>
    </row>
    <row r="8582" spans="14:20" x14ac:dyDescent="0.25">
      <c r="N8582" s="514"/>
      <c r="R8582" s="293"/>
      <c r="S8582" s="316"/>
      <c r="T8582" s="355"/>
    </row>
    <row r="8583" spans="14:20" x14ac:dyDescent="0.25">
      <c r="N8583" s="514"/>
      <c r="R8583" s="293"/>
      <c r="S8583" s="316"/>
      <c r="T8583" s="355"/>
    </row>
    <row r="8584" spans="14:20" x14ac:dyDescent="0.25">
      <c r="N8584" s="514"/>
      <c r="R8584" s="293"/>
      <c r="S8584" s="316"/>
      <c r="T8584" s="355"/>
    </row>
    <row r="8585" spans="14:20" x14ac:dyDescent="0.25">
      <c r="N8585" s="514"/>
      <c r="R8585" s="293"/>
      <c r="S8585" s="316"/>
      <c r="T8585" s="355"/>
    </row>
    <row r="8586" spans="14:20" x14ac:dyDescent="0.25">
      <c r="N8586" s="514"/>
      <c r="R8586" s="293"/>
      <c r="S8586" s="316"/>
      <c r="T8586" s="355"/>
    </row>
    <row r="8587" spans="14:20" x14ac:dyDescent="0.25">
      <c r="N8587" s="514"/>
      <c r="R8587" s="293"/>
      <c r="S8587" s="316"/>
      <c r="T8587" s="355"/>
    </row>
    <row r="8588" spans="14:20" x14ac:dyDescent="0.25">
      <c r="N8588" s="514"/>
      <c r="R8588" s="293"/>
      <c r="S8588" s="316"/>
      <c r="T8588" s="355"/>
    </row>
    <row r="8589" spans="14:20" x14ac:dyDescent="0.25">
      <c r="N8589" s="514"/>
      <c r="R8589" s="293"/>
      <c r="S8589" s="316"/>
      <c r="T8589" s="355"/>
    </row>
    <row r="8590" spans="14:20" x14ac:dyDescent="0.25">
      <c r="N8590" s="514"/>
      <c r="R8590" s="293"/>
      <c r="S8590" s="316"/>
      <c r="T8590" s="355"/>
    </row>
    <row r="8591" spans="14:20" x14ac:dyDescent="0.25">
      <c r="N8591" s="514"/>
      <c r="R8591" s="293"/>
      <c r="S8591" s="316"/>
      <c r="T8591" s="355"/>
    </row>
    <row r="8592" spans="14:20" x14ac:dyDescent="0.25">
      <c r="N8592" s="514"/>
      <c r="R8592" s="293"/>
      <c r="S8592" s="316"/>
      <c r="T8592" s="355"/>
    </row>
    <row r="8593" spans="14:20" x14ac:dyDescent="0.25">
      <c r="N8593" s="514"/>
      <c r="R8593" s="293"/>
      <c r="S8593" s="316"/>
      <c r="T8593" s="355"/>
    </row>
    <row r="8594" spans="14:20" x14ac:dyDescent="0.25">
      <c r="N8594" s="514"/>
      <c r="R8594" s="293"/>
      <c r="S8594" s="316"/>
      <c r="T8594" s="355"/>
    </row>
    <row r="8595" spans="14:20" x14ac:dyDescent="0.25">
      <c r="N8595" s="514"/>
      <c r="R8595" s="293"/>
      <c r="S8595" s="316"/>
      <c r="T8595" s="355"/>
    </row>
    <row r="8596" spans="14:20" x14ac:dyDescent="0.25">
      <c r="N8596" s="514"/>
      <c r="R8596" s="293"/>
      <c r="S8596" s="316"/>
      <c r="T8596" s="355"/>
    </row>
    <row r="8597" spans="14:20" x14ac:dyDescent="0.25">
      <c r="N8597" s="514"/>
      <c r="R8597" s="293"/>
      <c r="S8597" s="316"/>
      <c r="T8597" s="355"/>
    </row>
    <row r="8598" spans="14:20" x14ac:dyDescent="0.25">
      <c r="N8598" s="514"/>
      <c r="R8598" s="293"/>
      <c r="S8598" s="316"/>
      <c r="T8598" s="355"/>
    </row>
    <row r="8599" spans="14:20" x14ac:dyDescent="0.25">
      <c r="N8599" s="514"/>
      <c r="R8599" s="293"/>
      <c r="S8599" s="316"/>
      <c r="T8599" s="355"/>
    </row>
    <row r="8600" spans="14:20" x14ac:dyDescent="0.25">
      <c r="N8600" s="514"/>
      <c r="R8600" s="293"/>
      <c r="S8600" s="316"/>
      <c r="T8600" s="355"/>
    </row>
    <row r="8601" spans="14:20" x14ac:dyDescent="0.25">
      <c r="N8601" s="514"/>
      <c r="R8601" s="293"/>
      <c r="S8601" s="316"/>
      <c r="T8601" s="355"/>
    </row>
    <row r="8602" spans="14:20" x14ac:dyDescent="0.25">
      <c r="N8602" s="514"/>
      <c r="R8602" s="293"/>
      <c r="S8602" s="316"/>
      <c r="T8602" s="355"/>
    </row>
    <row r="8603" spans="14:20" x14ac:dyDescent="0.25">
      <c r="N8603" s="514"/>
      <c r="R8603" s="293"/>
      <c r="S8603" s="316"/>
      <c r="T8603" s="355"/>
    </row>
    <row r="8604" spans="14:20" x14ac:dyDescent="0.25">
      <c r="N8604" s="514"/>
      <c r="R8604" s="293"/>
      <c r="S8604" s="316"/>
      <c r="T8604" s="355"/>
    </row>
    <row r="8605" spans="14:20" x14ac:dyDescent="0.25">
      <c r="N8605" s="514"/>
      <c r="R8605" s="293"/>
      <c r="S8605" s="316"/>
      <c r="T8605" s="355"/>
    </row>
    <row r="8606" spans="14:20" x14ac:dyDescent="0.25">
      <c r="N8606" s="514"/>
      <c r="R8606" s="293"/>
      <c r="S8606" s="316"/>
      <c r="T8606" s="355"/>
    </row>
    <row r="8607" spans="14:20" x14ac:dyDescent="0.25">
      <c r="N8607" s="514"/>
      <c r="R8607" s="293"/>
      <c r="S8607" s="316"/>
      <c r="T8607" s="355"/>
    </row>
    <row r="8608" spans="14:20" x14ac:dyDescent="0.25">
      <c r="N8608" s="514"/>
      <c r="R8608" s="293"/>
      <c r="S8608" s="316"/>
      <c r="T8608" s="355"/>
    </row>
    <row r="8609" spans="14:20" x14ac:dyDescent="0.25">
      <c r="N8609" s="514"/>
      <c r="R8609" s="293"/>
      <c r="S8609" s="316"/>
      <c r="T8609" s="355"/>
    </row>
    <row r="8610" spans="14:20" x14ac:dyDescent="0.25">
      <c r="N8610" s="514"/>
      <c r="R8610" s="293"/>
      <c r="S8610" s="316"/>
      <c r="T8610" s="355"/>
    </row>
    <row r="8611" spans="14:20" x14ac:dyDescent="0.25">
      <c r="N8611" s="514"/>
      <c r="R8611" s="293"/>
      <c r="S8611" s="316"/>
      <c r="T8611" s="355"/>
    </row>
    <row r="8612" spans="14:20" x14ac:dyDescent="0.25">
      <c r="N8612" s="514"/>
      <c r="R8612" s="293"/>
      <c r="S8612" s="316"/>
      <c r="T8612" s="355"/>
    </row>
    <row r="8613" spans="14:20" x14ac:dyDescent="0.25">
      <c r="N8613" s="514"/>
      <c r="R8613" s="293"/>
      <c r="S8613" s="316"/>
      <c r="T8613" s="355"/>
    </row>
    <row r="8614" spans="14:20" x14ac:dyDescent="0.25">
      <c r="N8614" s="514"/>
      <c r="R8614" s="293"/>
      <c r="S8614" s="316"/>
      <c r="T8614" s="355"/>
    </row>
    <row r="8615" spans="14:20" x14ac:dyDescent="0.25">
      <c r="N8615" s="514"/>
      <c r="R8615" s="293"/>
      <c r="S8615" s="316"/>
      <c r="T8615" s="355"/>
    </row>
    <row r="8616" spans="14:20" x14ac:dyDescent="0.25">
      <c r="N8616" s="514"/>
      <c r="R8616" s="293"/>
      <c r="S8616" s="316"/>
      <c r="T8616" s="355"/>
    </row>
    <row r="8617" spans="14:20" x14ac:dyDescent="0.25">
      <c r="N8617" s="514"/>
      <c r="R8617" s="293"/>
      <c r="S8617" s="316"/>
      <c r="T8617" s="355"/>
    </row>
    <row r="8618" spans="14:20" x14ac:dyDescent="0.25">
      <c r="N8618" s="514"/>
      <c r="R8618" s="293"/>
      <c r="S8618" s="316"/>
      <c r="T8618" s="355"/>
    </row>
    <row r="8619" spans="14:20" x14ac:dyDescent="0.25">
      <c r="N8619" s="514"/>
      <c r="R8619" s="293"/>
      <c r="S8619" s="316"/>
      <c r="T8619" s="355"/>
    </row>
    <row r="8620" spans="14:20" x14ac:dyDescent="0.25">
      <c r="N8620" s="514"/>
      <c r="R8620" s="293"/>
      <c r="S8620" s="316"/>
      <c r="T8620" s="355"/>
    </row>
    <row r="8621" spans="14:20" x14ac:dyDescent="0.25">
      <c r="N8621" s="514"/>
      <c r="R8621" s="293"/>
      <c r="S8621" s="316"/>
      <c r="T8621" s="355"/>
    </row>
    <row r="8622" spans="14:20" x14ac:dyDescent="0.25">
      <c r="N8622" s="514"/>
      <c r="R8622" s="293"/>
      <c r="S8622" s="316"/>
      <c r="T8622" s="355"/>
    </row>
    <row r="8623" spans="14:20" x14ac:dyDescent="0.25">
      <c r="N8623" s="514"/>
      <c r="R8623" s="293"/>
      <c r="S8623" s="316"/>
      <c r="T8623" s="355"/>
    </row>
    <row r="8624" spans="14:20" x14ac:dyDescent="0.25">
      <c r="N8624" s="514"/>
      <c r="R8624" s="293"/>
      <c r="S8624" s="316"/>
      <c r="T8624" s="355"/>
    </row>
    <row r="8625" spans="14:20" x14ac:dyDescent="0.25">
      <c r="N8625" s="514"/>
      <c r="R8625" s="293"/>
      <c r="S8625" s="316"/>
      <c r="T8625" s="355"/>
    </row>
    <row r="8626" spans="14:20" x14ac:dyDescent="0.25">
      <c r="N8626" s="514"/>
      <c r="R8626" s="293"/>
      <c r="S8626" s="316"/>
      <c r="T8626" s="355"/>
    </row>
    <row r="8627" spans="14:20" x14ac:dyDescent="0.25">
      <c r="N8627" s="514"/>
      <c r="R8627" s="293"/>
      <c r="S8627" s="316"/>
      <c r="T8627" s="355"/>
    </row>
    <row r="8628" spans="14:20" x14ac:dyDescent="0.25">
      <c r="N8628" s="514"/>
      <c r="R8628" s="293"/>
      <c r="S8628" s="316"/>
      <c r="T8628" s="355"/>
    </row>
    <row r="8629" spans="14:20" x14ac:dyDescent="0.25">
      <c r="N8629" s="514"/>
      <c r="R8629" s="293"/>
      <c r="S8629" s="316"/>
      <c r="T8629" s="355"/>
    </row>
    <row r="8630" spans="14:20" x14ac:dyDescent="0.25">
      <c r="N8630" s="514"/>
      <c r="R8630" s="293"/>
      <c r="S8630" s="316"/>
      <c r="T8630" s="355"/>
    </row>
    <row r="8631" spans="14:20" x14ac:dyDescent="0.25">
      <c r="N8631" s="514"/>
      <c r="R8631" s="293"/>
      <c r="S8631" s="316"/>
      <c r="T8631" s="355"/>
    </row>
    <row r="8632" spans="14:20" x14ac:dyDescent="0.25">
      <c r="N8632" s="514"/>
      <c r="R8632" s="293"/>
      <c r="S8632" s="316"/>
      <c r="T8632" s="355"/>
    </row>
    <row r="8633" spans="14:20" x14ac:dyDescent="0.25">
      <c r="N8633" s="514"/>
      <c r="R8633" s="293"/>
      <c r="S8633" s="316"/>
      <c r="T8633" s="355"/>
    </row>
    <row r="8634" spans="14:20" x14ac:dyDescent="0.25">
      <c r="N8634" s="514"/>
      <c r="R8634" s="293"/>
      <c r="S8634" s="316"/>
      <c r="T8634" s="355"/>
    </row>
    <row r="8635" spans="14:20" x14ac:dyDescent="0.25">
      <c r="N8635" s="514"/>
      <c r="R8635" s="293"/>
      <c r="S8635" s="316"/>
      <c r="T8635" s="355"/>
    </row>
    <row r="8636" spans="14:20" x14ac:dyDescent="0.25">
      <c r="N8636" s="514"/>
      <c r="R8636" s="293"/>
      <c r="S8636" s="316"/>
      <c r="T8636" s="355"/>
    </row>
    <row r="8637" spans="14:20" x14ac:dyDescent="0.25">
      <c r="N8637" s="514"/>
      <c r="R8637" s="293"/>
      <c r="S8637" s="316"/>
      <c r="T8637" s="355"/>
    </row>
    <row r="8638" spans="14:20" x14ac:dyDescent="0.25">
      <c r="N8638" s="514"/>
      <c r="R8638" s="293"/>
      <c r="S8638" s="316"/>
      <c r="T8638" s="355"/>
    </row>
    <row r="8639" spans="14:20" x14ac:dyDescent="0.25">
      <c r="N8639" s="514"/>
      <c r="R8639" s="293"/>
      <c r="S8639" s="316"/>
      <c r="T8639" s="355"/>
    </row>
    <row r="8640" spans="14:20" x14ac:dyDescent="0.25">
      <c r="N8640" s="514"/>
      <c r="R8640" s="293"/>
      <c r="S8640" s="316"/>
      <c r="T8640" s="355"/>
    </row>
    <row r="8641" spans="14:20" x14ac:dyDescent="0.25">
      <c r="N8641" s="514"/>
      <c r="R8641" s="293"/>
      <c r="S8641" s="316"/>
      <c r="T8641" s="355"/>
    </row>
    <row r="8642" spans="14:20" x14ac:dyDescent="0.25">
      <c r="N8642" s="514"/>
      <c r="R8642" s="293"/>
      <c r="S8642" s="316"/>
      <c r="T8642" s="355"/>
    </row>
    <row r="8643" spans="14:20" x14ac:dyDescent="0.25">
      <c r="N8643" s="514"/>
      <c r="R8643" s="293"/>
      <c r="S8643" s="316"/>
      <c r="T8643" s="355"/>
    </row>
    <row r="8644" spans="14:20" x14ac:dyDescent="0.25">
      <c r="N8644" s="514"/>
      <c r="R8644" s="293"/>
      <c r="S8644" s="316"/>
      <c r="T8644" s="355"/>
    </row>
    <row r="8645" spans="14:20" x14ac:dyDescent="0.25">
      <c r="N8645" s="514"/>
      <c r="R8645" s="293"/>
      <c r="S8645" s="316"/>
      <c r="T8645" s="355"/>
    </row>
    <row r="8646" spans="14:20" x14ac:dyDescent="0.25">
      <c r="N8646" s="514"/>
      <c r="R8646" s="293"/>
      <c r="S8646" s="316"/>
      <c r="T8646" s="355"/>
    </row>
    <row r="8647" spans="14:20" x14ac:dyDescent="0.25">
      <c r="N8647" s="514"/>
      <c r="R8647" s="293"/>
      <c r="S8647" s="316"/>
      <c r="T8647" s="355"/>
    </row>
    <row r="8648" spans="14:20" x14ac:dyDescent="0.25">
      <c r="N8648" s="514"/>
      <c r="R8648" s="293"/>
      <c r="S8648" s="316"/>
      <c r="T8648" s="355"/>
    </row>
    <row r="8649" spans="14:20" x14ac:dyDescent="0.25">
      <c r="N8649" s="514"/>
      <c r="R8649" s="293"/>
      <c r="S8649" s="316"/>
      <c r="T8649" s="355"/>
    </row>
    <row r="8650" spans="14:20" x14ac:dyDescent="0.25">
      <c r="N8650" s="514"/>
      <c r="R8650" s="293"/>
      <c r="S8650" s="316"/>
      <c r="T8650" s="355"/>
    </row>
    <row r="8651" spans="14:20" x14ac:dyDescent="0.25">
      <c r="N8651" s="514"/>
      <c r="R8651" s="293"/>
      <c r="S8651" s="316"/>
      <c r="T8651" s="355"/>
    </row>
    <row r="8652" spans="14:20" x14ac:dyDescent="0.25">
      <c r="N8652" s="514"/>
      <c r="R8652" s="293"/>
      <c r="S8652" s="316"/>
      <c r="T8652" s="355"/>
    </row>
    <row r="8653" spans="14:20" x14ac:dyDescent="0.25">
      <c r="N8653" s="514"/>
      <c r="R8653" s="293"/>
      <c r="S8653" s="316"/>
      <c r="T8653" s="355"/>
    </row>
    <row r="8654" spans="14:20" x14ac:dyDescent="0.25">
      <c r="N8654" s="514"/>
      <c r="R8654" s="293"/>
      <c r="S8654" s="316"/>
      <c r="T8654" s="355"/>
    </row>
    <row r="8655" spans="14:20" x14ac:dyDescent="0.25">
      <c r="N8655" s="514"/>
      <c r="R8655" s="293"/>
      <c r="S8655" s="316"/>
      <c r="T8655" s="355"/>
    </row>
    <row r="8656" spans="14:20" x14ac:dyDescent="0.25">
      <c r="N8656" s="514"/>
      <c r="R8656" s="293"/>
      <c r="S8656" s="316"/>
      <c r="T8656" s="355"/>
    </row>
    <row r="8657" spans="14:20" x14ac:dyDescent="0.25">
      <c r="N8657" s="514"/>
      <c r="R8657" s="293"/>
      <c r="S8657" s="316"/>
      <c r="T8657" s="355"/>
    </row>
    <row r="8658" spans="14:20" x14ac:dyDescent="0.25">
      <c r="N8658" s="514"/>
      <c r="R8658" s="293"/>
      <c r="S8658" s="316"/>
      <c r="T8658" s="355"/>
    </row>
    <row r="8659" spans="14:20" x14ac:dyDescent="0.25">
      <c r="N8659" s="514"/>
      <c r="R8659" s="293"/>
      <c r="S8659" s="316"/>
      <c r="T8659" s="355"/>
    </row>
    <row r="8660" spans="14:20" x14ac:dyDescent="0.25">
      <c r="N8660" s="514"/>
      <c r="R8660" s="293"/>
      <c r="S8660" s="316"/>
      <c r="T8660" s="355"/>
    </row>
    <row r="8661" spans="14:20" x14ac:dyDescent="0.25">
      <c r="N8661" s="514"/>
      <c r="R8661" s="293"/>
      <c r="S8661" s="316"/>
      <c r="T8661" s="355"/>
    </row>
    <row r="8662" spans="14:20" x14ac:dyDescent="0.25">
      <c r="N8662" s="514"/>
      <c r="R8662" s="293"/>
      <c r="S8662" s="316"/>
      <c r="T8662" s="355"/>
    </row>
    <row r="8663" spans="14:20" x14ac:dyDescent="0.25">
      <c r="N8663" s="514"/>
      <c r="R8663" s="293"/>
      <c r="S8663" s="316"/>
      <c r="T8663" s="355"/>
    </row>
    <row r="8664" spans="14:20" x14ac:dyDescent="0.25">
      <c r="N8664" s="514"/>
      <c r="R8664" s="293"/>
      <c r="S8664" s="316"/>
      <c r="T8664" s="355"/>
    </row>
    <row r="8665" spans="14:20" x14ac:dyDescent="0.25">
      <c r="N8665" s="514"/>
      <c r="R8665" s="293"/>
      <c r="S8665" s="316"/>
      <c r="T8665" s="355"/>
    </row>
    <row r="8666" spans="14:20" x14ac:dyDescent="0.25">
      <c r="N8666" s="514"/>
      <c r="R8666" s="293"/>
      <c r="S8666" s="316"/>
      <c r="T8666" s="355"/>
    </row>
    <row r="8667" spans="14:20" x14ac:dyDescent="0.25">
      <c r="N8667" s="514"/>
      <c r="R8667" s="293"/>
      <c r="S8667" s="316"/>
      <c r="T8667" s="355"/>
    </row>
    <row r="8668" spans="14:20" x14ac:dyDescent="0.25">
      <c r="N8668" s="514"/>
      <c r="R8668" s="293"/>
      <c r="S8668" s="316"/>
      <c r="T8668" s="355"/>
    </row>
    <row r="8669" spans="14:20" x14ac:dyDescent="0.25">
      <c r="N8669" s="514"/>
      <c r="R8669" s="293"/>
      <c r="S8669" s="316"/>
      <c r="T8669" s="355"/>
    </row>
    <row r="8670" spans="14:20" x14ac:dyDescent="0.25">
      <c r="N8670" s="514"/>
      <c r="R8670" s="293"/>
      <c r="S8670" s="316"/>
      <c r="T8670" s="355"/>
    </row>
    <row r="8671" spans="14:20" x14ac:dyDescent="0.25">
      <c r="N8671" s="514"/>
      <c r="R8671" s="293"/>
      <c r="S8671" s="316"/>
      <c r="T8671" s="355"/>
    </row>
    <row r="8672" spans="14:20" x14ac:dyDescent="0.25">
      <c r="N8672" s="514"/>
      <c r="R8672" s="293"/>
      <c r="S8672" s="316"/>
      <c r="T8672" s="355"/>
    </row>
    <row r="8673" spans="14:20" x14ac:dyDescent="0.25">
      <c r="N8673" s="514"/>
      <c r="R8673" s="293"/>
      <c r="S8673" s="316"/>
      <c r="T8673" s="355"/>
    </row>
    <row r="8674" spans="14:20" x14ac:dyDescent="0.25">
      <c r="N8674" s="514"/>
      <c r="R8674" s="293"/>
      <c r="S8674" s="316"/>
      <c r="T8674" s="355"/>
    </row>
    <row r="8675" spans="14:20" x14ac:dyDescent="0.25">
      <c r="N8675" s="514"/>
      <c r="R8675" s="293"/>
      <c r="S8675" s="316"/>
      <c r="T8675" s="355"/>
    </row>
    <row r="8676" spans="14:20" x14ac:dyDescent="0.25">
      <c r="N8676" s="514"/>
      <c r="R8676" s="293"/>
      <c r="S8676" s="316"/>
      <c r="T8676" s="355"/>
    </row>
    <row r="8677" spans="14:20" x14ac:dyDescent="0.25">
      <c r="N8677" s="514"/>
      <c r="R8677" s="293"/>
      <c r="S8677" s="316"/>
      <c r="T8677" s="355"/>
    </row>
    <row r="8678" spans="14:20" x14ac:dyDescent="0.25">
      <c r="N8678" s="514"/>
      <c r="R8678" s="293"/>
      <c r="S8678" s="316"/>
      <c r="T8678" s="355"/>
    </row>
    <row r="8679" spans="14:20" x14ac:dyDescent="0.25">
      <c r="N8679" s="514"/>
      <c r="R8679" s="293"/>
      <c r="S8679" s="316"/>
      <c r="T8679" s="355"/>
    </row>
    <row r="8680" spans="14:20" x14ac:dyDescent="0.25">
      <c r="N8680" s="514"/>
      <c r="R8680" s="293"/>
      <c r="S8680" s="316"/>
      <c r="T8680" s="355"/>
    </row>
    <row r="8681" spans="14:20" x14ac:dyDescent="0.25">
      <c r="N8681" s="514"/>
      <c r="R8681" s="293"/>
      <c r="S8681" s="316"/>
      <c r="T8681" s="355"/>
    </row>
    <row r="8682" spans="14:20" x14ac:dyDescent="0.25">
      <c r="N8682" s="514"/>
      <c r="R8682" s="293"/>
      <c r="S8682" s="316"/>
      <c r="T8682" s="355"/>
    </row>
    <row r="8683" spans="14:20" x14ac:dyDescent="0.25">
      <c r="N8683" s="514"/>
      <c r="R8683" s="293"/>
      <c r="S8683" s="316"/>
      <c r="T8683" s="355"/>
    </row>
    <row r="8684" spans="14:20" x14ac:dyDescent="0.25">
      <c r="N8684" s="514"/>
      <c r="R8684" s="293"/>
      <c r="S8684" s="316"/>
      <c r="T8684" s="355"/>
    </row>
    <row r="8685" spans="14:20" x14ac:dyDescent="0.25">
      <c r="N8685" s="514"/>
      <c r="R8685" s="293"/>
      <c r="S8685" s="316"/>
      <c r="T8685" s="355"/>
    </row>
    <row r="8686" spans="14:20" x14ac:dyDescent="0.25">
      <c r="N8686" s="514"/>
      <c r="R8686" s="293"/>
      <c r="S8686" s="316"/>
      <c r="T8686" s="355"/>
    </row>
    <row r="8687" spans="14:20" x14ac:dyDescent="0.25">
      <c r="N8687" s="514"/>
      <c r="R8687" s="293"/>
      <c r="S8687" s="316"/>
      <c r="T8687" s="355"/>
    </row>
    <row r="8688" spans="14:20" x14ac:dyDescent="0.25">
      <c r="N8688" s="514"/>
      <c r="R8688" s="293"/>
      <c r="S8688" s="316"/>
      <c r="T8688" s="355"/>
    </row>
    <row r="8689" spans="14:20" x14ac:dyDescent="0.25">
      <c r="N8689" s="514"/>
      <c r="R8689" s="293"/>
      <c r="S8689" s="316"/>
      <c r="T8689" s="355"/>
    </row>
    <row r="8690" spans="14:20" x14ac:dyDescent="0.25">
      <c r="N8690" s="514"/>
      <c r="R8690" s="293"/>
      <c r="S8690" s="316"/>
      <c r="T8690" s="355"/>
    </row>
    <row r="8691" spans="14:20" x14ac:dyDescent="0.25">
      <c r="N8691" s="514"/>
      <c r="R8691" s="293"/>
      <c r="S8691" s="316"/>
      <c r="T8691" s="355"/>
    </row>
    <row r="8692" spans="14:20" x14ac:dyDescent="0.25">
      <c r="N8692" s="514"/>
      <c r="R8692" s="293"/>
      <c r="S8692" s="316"/>
      <c r="T8692" s="355"/>
    </row>
    <row r="8693" spans="14:20" x14ac:dyDescent="0.25">
      <c r="N8693" s="514"/>
      <c r="R8693" s="293"/>
      <c r="S8693" s="316"/>
      <c r="T8693" s="355"/>
    </row>
    <row r="8694" spans="14:20" x14ac:dyDescent="0.25">
      <c r="N8694" s="514"/>
      <c r="R8694" s="293"/>
      <c r="S8694" s="316"/>
      <c r="T8694" s="355"/>
    </row>
    <row r="8695" spans="14:20" x14ac:dyDescent="0.25">
      <c r="N8695" s="514"/>
      <c r="R8695" s="293"/>
      <c r="S8695" s="316"/>
      <c r="T8695" s="355"/>
    </row>
    <row r="8696" spans="14:20" x14ac:dyDescent="0.25">
      <c r="N8696" s="514"/>
      <c r="R8696" s="293"/>
      <c r="S8696" s="316"/>
      <c r="T8696" s="355"/>
    </row>
    <row r="8697" spans="14:20" x14ac:dyDescent="0.25">
      <c r="N8697" s="514"/>
      <c r="R8697" s="293"/>
      <c r="S8697" s="316"/>
      <c r="T8697" s="355"/>
    </row>
    <row r="8698" spans="14:20" x14ac:dyDescent="0.25">
      <c r="N8698" s="514"/>
      <c r="R8698" s="293"/>
      <c r="S8698" s="316"/>
      <c r="T8698" s="355"/>
    </row>
    <row r="8699" spans="14:20" x14ac:dyDescent="0.25">
      <c r="N8699" s="514"/>
      <c r="R8699" s="293"/>
      <c r="S8699" s="316"/>
      <c r="T8699" s="355"/>
    </row>
    <row r="8700" spans="14:20" x14ac:dyDescent="0.25">
      <c r="N8700" s="514"/>
      <c r="R8700" s="293"/>
      <c r="S8700" s="316"/>
      <c r="T8700" s="355"/>
    </row>
    <row r="8701" spans="14:20" x14ac:dyDescent="0.25">
      <c r="N8701" s="514"/>
      <c r="R8701" s="293"/>
      <c r="S8701" s="316"/>
      <c r="T8701" s="355"/>
    </row>
    <row r="8702" spans="14:20" x14ac:dyDescent="0.25">
      <c r="N8702" s="514"/>
      <c r="R8702" s="293"/>
      <c r="S8702" s="316"/>
      <c r="T8702" s="355"/>
    </row>
    <row r="8703" spans="14:20" x14ac:dyDescent="0.25">
      <c r="N8703" s="514"/>
      <c r="R8703" s="293"/>
      <c r="S8703" s="316"/>
      <c r="T8703" s="355"/>
    </row>
    <row r="8704" spans="14:20" x14ac:dyDescent="0.25">
      <c r="N8704" s="514"/>
      <c r="R8704" s="293"/>
      <c r="S8704" s="316"/>
      <c r="T8704" s="355"/>
    </row>
    <row r="8705" spans="14:20" x14ac:dyDescent="0.25">
      <c r="N8705" s="514"/>
      <c r="R8705" s="293"/>
      <c r="S8705" s="316"/>
      <c r="T8705" s="355"/>
    </row>
    <row r="8706" spans="14:20" x14ac:dyDescent="0.25">
      <c r="N8706" s="514"/>
      <c r="R8706" s="293"/>
      <c r="S8706" s="316"/>
      <c r="T8706" s="355"/>
    </row>
    <row r="8707" spans="14:20" x14ac:dyDescent="0.25">
      <c r="N8707" s="514"/>
      <c r="R8707" s="293"/>
      <c r="S8707" s="316"/>
      <c r="T8707" s="355"/>
    </row>
    <row r="8708" spans="14:20" x14ac:dyDescent="0.25">
      <c r="N8708" s="514"/>
      <c r="R8708" s="293"/>
      <c r="S8708" s="316"/>
      <c r="T8708" s="355"/>
    </row>
    <row r="8709" spans="14:20" x14ac:dyDescent="0.25">
      <c r="N8709" s="514"/>
      <c r="R8709" s="293"/>
      <c r="S8709" s="316"/>
      <c r="T8709" s="355"/>
    </row>
    <row r="8710" spans="14:20" x14ac:dyDescent="0.25">
      <c r="N8710" s="514"/>
      <c r="R8710" s="293"/>
      <c r="S8710" s="316"/>
      <c r="T8710" s="355"/>
    </row>
    <row r="8711" spans="14:20" x14ac:dyDescent="0.25">
      <c r="N8711" s="514"/>
      <c r="R8711" s="293"/>
      <c r="S8711" s="316"/>
      <c r="T8711" s="355"/>
    </row>
    <row r="8712" spans="14:20" x14ac:dyDescent="0.25">
      <c r="N8712" s="514"/>
      <c r="R8712" s="293"/>
      <c r="S8712" s="316"/>
      <c r="T8712" s="355"/>
    </row>
    <row r="8713" spans="14:20" x14ac:dyDescent="0.25">
      <c r="N8713" s="514"/>
      <c r="R8713" s="293"/>
      <c r="S8713" s="316"/>
      <c r="T8713" s="355"/>
    </row>
    <row r="8714" spans="14:20" x14ac:dyDescent="0.25">
      <c r="N8714" s="514"/>
      <c r="R8714" s="293"/>
      <c r="S8714" s="316"/>
      <c r="T8714" s="355"/>
    </row>
    <row r="8715" spans="14:20" x14ac:dyDescent="0.25">
      <c r="N8715" s="514"/>
      <c r="R8715" s="293"/>
      <c r="S8715" s="316"/>
      <c r="T8715" s="355"/>
    </row>
    <row r="8716" spans="14:20" x14ac:dyDescent="0.25">
      <c r="N8716" s="514"/>
      <c r="R8716" s="293"/>
      <c r="S8716" s="316"/>
      <c r="T8716" s="355"/>
    </row>
    <row r="8717" spans="14:20" x14ac:dyDescent="0.25">
      <c r="N8717" s="514"/>
      <c r="R8717" s="293"/>
      <c r="S8717" s="316"/>
      <c r="T8717" s="355"/>
    </row>
    <row r="8718" spans="14:20" x14ac:dyDescent="0.25">
      <c r="N8718" s="514"/>
      <c r="R8718" s="293"/>
      <c r="S8718" s="316"/>
      <c r="T8718" s="355"/>
    </row>
    <row r="8719" spans="14:20" x14ac:dyDescent="0.25">
      <c r="N8719" s="514"/>
      <c r="R8719" s="293"/>
      <c r="S8719" s="316"/>
      <c r="T8719" s="355"/>
    </row>
    <row r="8720" spans="14:20" x14ac:dyDescent="0.25">
      <c r="N8720" s="514"/>
      <c r="R8720" s="293"/>
      <c r="S8720" s="316"/>
      <c r="T8720" s="355"/>
    </row>
    <row r="8721" spans="14:20" x14ac:dyDescent="0.25">
      <c r="N8721" s="514"/>
      <c r="R8721" s="293"/>
      <c r="S8721" s="316"/>
      <c r="T8721" s="355"/>
    </row>
    <row r="8722" spans="14:20" x14ac:dyDescent="0.25">
      <c r="N8722" s="514"/>
      <c r="R8722" s="293"/>
      <c r="S8722" s="316"/>
      <c r="T8722" s="355"/>
    </row>
    <row r="8723" spans="14:20" x14ac:dyDescent="0.25">
      <c r="N8723" s="514"/>
      <c r="R8723" s="293"/>
      <c r="S8723" s="316"/>
      <c r="T8723" s="355"/>
    </row>
    <row r="8724" spans="14:20" x14ac:dyDescent="0.25">
      <c r="N8724" s="514"/>
      <c r="R8724" s="293"/>
      <c r="S8724" s="316"/>
      <c r="T8724" s="355"/>
    </row>
    <row r="8725" spans="14:20" x14ac:dyDescent="0.25">
      <c r="N8725" s="514"/>
      <c r="R8725" s="293"/>
      <c r="S8725" s="316"/>
      <c r="T8725" s="355"/>
    </row>
    <row r="8726" spans="14:20" x14ac:dyDescent="0.25">
      <c r="N8726" s="514"/>
      <c r="R8726" s="293"/>
      <c r="S8726" s="316"/>
      <c r="T8726" s="355"/>
    </row>
    <row r="8727" spans="14:20" x14ac:dyDescent="0.25">
      <c r="N8727" s="514"/>
      <c r="R8727" s="293"/>
      <c r="S8727" s="316"/>
      <c r="T8727" s="355"/>
    </row>
    <row r="8728" spans="14:20" x14ac:dyDescent="0.25">
      <c r="N8728" s="514"/>
      <c r="R8728" s="293"/>
      <c r="S8728" s="316"/>
      <c r="T8728" s="355"/>
    </row>
    <row r="8729" spans="14:20" x14ac:dyDescent="0.25">
      <c r="N8729" s="514"/>
      <c r="R8729" s="293"/>
      <c r="S8729" s="316"/>
      <c r="T8729" s="355"/>
    </row>
    <row r="8730" spans="14:20" x14ac:dyDescent="0.25">
      <c r="N8730" s="514"/>
      <c r="R8730" s="293"/>
      <c r="S8730" s="316"/>
      <c r="T8730" s="355"/>
    </row>
    <row r="8731" spans="14:20" x14ac:dyDescent="0.25">
      <c r="N8731" s="514"/>
      <c r="R8731" s="293"/>
      <c r="S8731" s="316"/>
      <c r="T8731" s="355"/>
    </row>
    <row r="8732" spans="14:20" x14ac:dyDescent="0.25">
      <c r="N8732" s="514"/>
      <c r="R8732" s="293"/>
      <c r="S8732" s="316"/>
      <c r="T8732" s="355"/>
    </row>
    <row r="8733" spans="14:20" x14ac:dyDescent="0.25">
      <c r="N8733" s="514"/>
      <c r="R8733" s="293"/>
      <c r="S8733" s="316"/>
      <c r="T8733" s="355"/>
    </row>
    <row r="8734" spans="14:20" x14ac:dyDescent="0.25">
      <c r="N8734" s="514"/>
      <c r="R8734" s="293"/>
      <c r="S8734" s="316"/>
      <c r="T8734" s="355"/>
    </row>
    <row r="8735" spans="14:20" x14ac:dyDescent="0.25">
      <c r="N8735" s="514"/>
      <c r="R8735" s="293"/>
      <c r="S8735" s="316"/>
      <c r="T8735" s="355"/>
    </row>
    <row r="8736" spans="14:20" x14ac:dyDescent="0.25">
      <c r="N8736" s="514"/>
      <c r="R8736" s="293"/>
      <c r="S8736" s="316"/>
      <c r="T8736" s="355"/>
    </row>
    <row r="8737" spans="14:20" x14ac:dyDescent="0.25">
      <c r="N8737" s="514"/>
      <c r="R8737" s="293"/>
      <c r="S8737" s="316"/>
      <c r="T8737" s="355"/>
    </row>
    <row r="8738" spans="14:20" x14ac:dyDescent="0.25">
      <c r="N8738" s="514"/>
      <c r="R8738" s="293"/>
      <c r="S8738" s="316"/>
      <c r="T8738" s="355"/>
    </row>
    <row r="8739" spans="14:20" x14ac:dyDescent="0.25">
      <c r="N8739" s="514"/>
      <c r="R8739" s="293"/>
      <c r="S8739" s="316"/>
      <c r="T8739" s="355"/>
    </row>
    <row r="8740" spans="14:20" x14ac:dyDescent="0.25">
      <c r="N8740" s="514"/>
      <c r="R8740" s="293"/>
      <c r="S8740" s="316"/>
      <c r="T8740" s="355"/>
    </row>
    <row r="8741" spans="14:20" x14ac:dyDescent="0.25">
      <c r="N8741" s="514"/>
      <c r="R8741" s="293"/>
      <c r="S8741" s="316"/>
      <c r="T8741" s="355"/>
    </row>
    <row r="8742" spans="14:20" x14ac:dyDescent="0.25">
      <c r="N8742" s="514"/>
      <c r="R8742" s="293"/>
      <c r="S8742" s="316"/>
      <c r="T8742" s="355"/>
    </row>
    <row r="8743" spans="14:20" x14ac:dyDescent="0.25">
      <c r="N8743" s="514"/>
      <c r="R8743" s="293"/>
      <c r="S8743" s="316"/>
      <c r="T8743" s="355"/>
    </row>
    <row r="8744" spans="14:20" x14ac:dyDescent="0.25">
      <c r="N8744" s="514"/>
      <c r="R8744" s="293"/>
      <c r="S8744" s="316"/>
      <c r="T8744" s="355"/>
    </row>
    <row r="8745" spans="14:20" x14ac:dyDescent="0.25">
      <c r="N8745" s="514"/>
      <c r="R8745" s="293"/>
      <c r="S8745" s="316"/>
      <c r="T8745" s="355"/>
    </row>
    <row r="8746" spans="14:20" x14ac:dyDescent="0.25">
      <c r="N8746" s="514"/>
      <c r="R8746" s="293"/>
      <c r="S8746" s="316"/>
      <c r="T8746" s="355"/>
    </row>
    <row r="8747" spans="14:20" x14ac:dyDescent="0.25">
      <c r="N8747" s="514"/>
      <c r="R8747" s="293"/>
      <c r="S8747" s="316"/>
      <c r="T8747" s="355"/>
    </row>
    <row r="8748" spans="14:20" x14ac:dyDescent="0.25">
      <c r="N8748" s="514"/>
      <c r="R8748" s="293"/>
      <c r="S8748" s="316"/>
      <c r="T8748" s="355"/>
    </row>
    <row r="8749" spans="14:20" x14ac:dyDescent="0.25">
      <c r="N8749" s="514"/>
      <c r="R8749" s="293"/>
      <c r="S8749" s="316"/>
      <c r="T8749" s="355"/>
    </row>
    <row r="8750" spans="14:20" x14ac:dyDescent="0.25">
      <c r="N8750" s="514"/>
      <c r="R8750" s="293"/>
      <c r="S8750" s="316"/>
      <c r="T8750" s="355"/>
    </row>
    <row r="8751" spans="14:20" x14ac:dyDescent="0.25">
      <c r="N8751" s="514"/>
      <c r="R8751" s="293"/>
      <c r="S8751" s="316"/>
      <c r="T8751" s="355"/>
    </row>
    <row r="8752" spans="14:20" x14ac:dyDescent="0.25">
      <c r="N8752" s="514"/>
      <c r="R8752" s="293"/>
      <c r="S8752" s="316"/>
      <c r="T8752" s="355"/>
    </row>
    <row r="8753" spans="14:20" x14ac:dyDescent="0.25">
      <c r="N8753" s="514"/>
      <c r="R8753" s="293"/>
      <c r="S8753" s="316"/>
      <c r="T8753" s="355"/>
    </row>
    <row r="8754" spans="14:20" x14ac:dyDescent="0.25">
      <c r="N8754" s="514"/>
      <c r="R8754" s="293"/>
      <c r="S8754" s="316"/>
      <c r="T8754" s="355"/>
    </row>
    <row r="8755" spans="14:20" x14ac:dyDescent="0.25">
      <c r="N8755" s="514"/>
      <c r="R8755" s="293"/>
      <c r="S8755" s="316"/>
      <c r="T8755" s="355"/>
    </row>
    <row r="8756" spans="14:20" x14ac:dyDescent="0.25">
      <c r="N8756" s="514"/>
      <c r="R8756" s="293"/>
      <c r="S8756" s="316"/>
      <c r="T8756" s="355"/>
    </row>
    <row r="8757" spans="14:20" x14ac:dyDescent="0.25">
      <c r="N8757" s="514"/>
      <c r="R8757" s="293"/>
      <c r="S8757" s="316"/>
      <c r="T8757" s="355"/>
    </row>
    <row r="8758" spans="14:20" x14ac:dyDescent="0.25">
      <c r="N8758" s="514"/>
      <c r="R8758" s="293"/>
      <c r="S8758" s="316"/>
      <c r="T8758" s="355"/>
    </row>
    <row r="8759" spans="14:20" x14ac:dyDescent="0.25">
      <c r="N8759" s="514"/>
      <c r="R8759" s="293"/>
      <c r="S8759" s="316"/>
      <c r="T8759" s="355"/>
    </row>
    <row r="8760" spans="14:20" x14ac:dyDescent="0.25">
      <c r="N8760" s="514"/>
      <c r="R8760" s="293"/>
      <c r="S8760" s="316"/>
      <c r="T8760" s="355"/>
    </row>
    <row r="8761" spans="14:20" x14ac:dyDescent="0.25">
      <c r="N8761" s="514"/>
      <c r="R8761" s="293"/>
      <c r="S8761" s="316"/>
      <c r="T8761" s="355"/>
    </row>
    <row r="8762" spans="14:20" x14ac:dyDescent="0.25">
      <c r="N8762" s="514"/>
      <c r="R8762" s="293"/>
      <c r="S8762" s="316"/>
      <c r="T8762" s="355"/>
    </row>
    <row r="8763" spans="14:20" x14ac:dyDescent="0.25">
      <c r="N8763" s="514"/>
      <c r="R8763" s="293"/>
      <c r="S8763" s="316"/>
      <c r="T8763" s="355"/>
    </row>
    <row r="8764" spans="14:20" x14ac:dyDescent="0.25">
      <c r="N8764" s="514"/>
      <c r="R8764" s="293"/>
      <c r="S8764" s="316"/>
      <c r="T8764" s="355"/>
    </row>
    <row r="8765" spans="14:20" x14ac:dyDescent="0.25">
      <c r="N8765" s="514"/>
      <c r="R8765" s="293"/>
      <c r="S8765" s="316"/>
      <c r="T8765" s="355"/>
    </row>
    <row r="8766" spans="14:20" x14ac:dyDescent="0.25">
      <c r="N8766" s="514"/>
      <c r="R8766" s="293"/>
      <c r="S8766" s="316"/>
      <c r="T8766" s="355"/>
    </row>
    <row r="8767" spans="14:20" x14ac:dyDescent="0.25">
      <c r="N8767" s="514"/>
      <c r="R8767" s="293"/>
      <c r="S8767" s="316"/>
      <c r="T8767" s="355"/>
    </row>
    <row r="8768" spans="14:20" x14ac:dyDescent="0.25">
      <c r="N8768" s="514"/>
      <c r="R8768" s="293"/>
      <c r="S8768" s="316"/>
      <c r="T8768" s="355"/>
    </row>
    <row r="8769" spans="14:20" x14ac:dyDescent="0.25">
      <c r="N8769" s="514"/>
      <c r="R8769" s="293"/>
      <c r="S8769" s="316"/>
      <c r="T8769" s="355"/>
    </row>
    <row r="8770" spans="14:20" x14ac:dyDescent="0.25">
      <c r="N8770" s="514"/>
      <c r="R8770" s="293"/>
      <c r="S8770" s="316"/>
      <c r="T8770" s="355"/>
    </row>
    <row r="8771" spans="14:20" x14ac:dyDescent="0.25">
      <c r="N8771" s="514"/>
      <c r="R8771" s="293"/>
      <c r="S8771" s="316"/>
      <c r="T8771" s="355"/>
    </row>
    <row r="8772" spans="14:20" x14ac:dyDescent="0.25">
      <c r="N8772" s="514"/>
      <c r="R8772" s="293"/>
      <c r="S8772" s="316"/>
      <c r="T8772" s="355"/>
    </row>
    <row r="8773" spans="14:20" x14ac:dyDescent="0.25">
      <c r="N8773" s="514"/>
      <c r="R8773" s="293"/>
      <c r="S8773" s="316"/>
      <c r="T8773" s="355"/>
    </row>
    <row r="8774" spans="14:20" x14ac:dyDescent="0.25">
      <c r="N8774" s="514"/>
      <c r="R8774" s="293"/>
      <c r="S8774" s="316"/>
      <c r="T8774" s="355"/>
    </row>
    <row r="8775" spans="14:20" x14ac:dyDescent="0.25">
      <c r="N8775" s="514"/>
      <c r="R8775" s="293"/>
      <c r="S8775" s="316"/>
      <c r="T8775" s="355"/>
    </row>
    <row r="8776" spans="14:20" x14ac:dyDescent="0.25">
      <c r="N8776" s="514"/>
      <c r="R8776" s="293"/>
      <c r="S8776" s="316"/>
      <c r="T8776" s="355"/>
    </row>
    <row r="8777" spans="14:20" x14ac:dyDescent="0.25">
      <c r="N8777" s="514"/>
      <c r="R8777" s="293"/>
      <c r="S8777" s="316"/>
      <c r="T8777" s="355"/>
    </row>
    <row r="8778" spans="14:20" x14ac:dyDescent="0.25">
      <c r="N8778" s="514"/>
      <c r="R8778" s="293"/>
      <c r="S8778" s="316"/>
      <c r="T8778" s="355"/>
    </row>
    <row r="8779" spans="14:20" x14ac:dyDescent="0.25">
      <c r="N8779" s="514"/>
      <c r="R8779" s="293"/>
      <c r="S8779" s="316"/>
      <c r="T8779" s="355"/>
    </row>
    <row r="8780" spans="14:20" x14ac:dyDescent="0.25">
      <c r="N8780" s="514"/>
      <c r="R8780" s="293"/>
      <c r="S8780" s="316"/>
      <c r="T8780" s="355"/>
    </row>
    <row r="8781" spans="14:20" x14ac:dyDescent="0.25">
      <c r="N8781" s="514"/>
      <c r="R8781" s="293"/>
      <c r="S8781" s="316"/>
      <c r="T8781" s="355"/>
    </row>
    <row r="8782" spans="14:20" x14ac:dyDescent="0.25">
      <c r="N8782" s="514"/>
      <c r="R8782" s="293"/>
      <c r="S8782" s="316"/>
      <c r="T8782" s="355"/>
    </row>
    <row r="8783" spans="14:20" x14ac:dyDescent="0.25">
      <c r="N8783" s="514"/>
      <c r="R8783" s="293"/>
      <c r="S8783" s="316"/>
      <c r="T8783" s="355"/>
    </row>
    <row r="8784" spans="14:20" x14ac:dyDescent="0.25">
      <c r="N8784" s="514"/>
      <c r="R8784" s="293"/>
      <c r="S8784" s="316"/>
      <c r="T8784" s="355"/>
    </row>
    <row r="8785" spans="14:20" x14ac:dyDescent="0.25">
      <c r="N8785" s="514"/>
      <c r="R8785" s="293"/>
      <c r="S8785" s="316"/>
      <c r="T8785" s="355"/>
    </row>
    <row r="8786" spans="14:20" x14ac:dyDescent="0.25">
      <c r="N8786" s="514"/>
      <c r="R8786" s="293"/>
      <c r="S8786" s="316"/>
      <c r="T8786" s="355"/>
    </row>
    <row r="8787" spans="14:20" x14ac:dyDescent="0.25">
      <c r="N8787" s="514"/>
      <c r="R8787" s="293"/>
      <c r="S8787" s="316"/>
      <c r="T8787" s="355"/>
    </row>
    <row r="8788" spans="14:20" x14ac:dyDescent="0.25">
      <c r="N8788" s="514"/>
      <c r="R8788" s="293"/>
      <c r="S8788" s="316"/>
      <c r="T8788" s="355"/>
    </row>
    <row r="8789" spans="14:20" x14ac:dyDescent="0.25">
      <c r="N8789" s="514"/>
      <c r="R8789" s="293"/>
      <c r="S8789" s="316"/>
      <c r="T8789" s="355"/>
    </row>
    <row r="8790" spans="14:20" x14ac:dyDescent="0.25">
      <c r="N8790" s="514"/>
      <c r="R8790" s="293"/>
      <c r="S8790" s="316"/>
      <c r="T8790" s="355"/>
    </row>
    <row r="8791" spans="14:20" x14ac:dyDescent="0.25">
      <c r="N8791" s="514"/>
      <c r="R8791" s="293"/>
      <c r="S8791" s="316"/>
      <c r="T8791" s="355"/>
    </row>
    <row r="8792" spans="14:20" x14ac:dyDescent="0.25">
      <c r="N8792" s="514"/>
      <c r="R8792" s="293"/>
      <c r="S8792" s="316"/>
      <c r="T8792" s="355"/>
    </row>
    <row r="8793" spans="14:20" x14ac:dyDescent="0.25">
      <c r="N8793" s="514"/>
      <c r="R8793" s="293"/>
      <c r="S8793" s="316"/>
      <c r="T8793" s="355"/>
    </row>
    <row r="8794" spans="14:20" x14ac:dyDescent="0.25">
      <c r="N8794" s="514"/>
      <c r="R8794" s="293"/>
      <c r="S8794" s="316"/>
      <c r="T8794" s="355"/>
    </row>
    <row r="8795" spans="14:20" x14ac:dyDescent="0.25">
      <c r="N8795" s="514"/>
      <c r="R8795" s="293"/>
      <c r="S8795" s="316"/>
      <c r="T8795" s="355"/>
    </row>
    <row r="8796" spans="14:20" x14ac:dyDescent="0.25">
      <c r="N8796" s="514"/>
      <c r="R8796" s="293"/>
      <c r="S8796" s="316"/>
      <c r="T8796" s="355"/>
    </row>
    <row r="8797" spans="14:20" x14ac:dyDescent="0.25">
      <c r="N8797" s="514"/>
      <c r="R8797" s="293"/>
      <c r="S8797" s="316"/>
      <c r="T8797" s="355"/>
    </row>
    <row r="8798" spans="14:20" x14ac:dyDescent="0.25">
      <c r="N8798" s="514"/>
      <c r="R8798" s="293"/>
      <c r="S8798" s="316"/>
      <c r="T8798" s="355"/>
    </row>
    <row r="8799" spans="14:20" x14ac:dyDescent="0.25">
      <c r="N8799" s="514"/>
      <c r="R8799" s="293"/>
      <c r="S8799" s="316"/>
      <c r="T8799" s="355"/>
    </row>
    <row r="8800" spans="14:20" x14ac:dyDescent="0.25">
      <c r="N8800" s="514"/>
      <c r="R8800" s="293"/>
      <c r="S8800" s="316"/>
      <c r="T8800" s="355"/>
    </row>
    <row r="8801" spans="14:20" x14ac:dyDescent="0.25">
      <c r="N8801" s="514"/>
      <c r="R8801" s="293"/>
      <c r="S8801" s="316"/>
      <c r="T8801" s="355"/>
    </row>
    <row r="8802" spans="14:20" x14ac:dyDescent="0.25">
      <c r="N8802" s="514"/>
      <c r="R8802" s="293"/>
      <c r="S8802" s="316"/>
      <c r="T8802" s="355"/>
    </row>
    <row r="8803" spans="14:20" x14ac:dyDescent="0.25">
      <c r="N8803" s="514"/>
      <c r="R8803" s="293"/>
      <c r="S8803" s="316"/>
      <c r="T8803" s="355"/>
    </row>
    <row r="8804" spans="14:20" x14ac:dyDescent="0.25">
      <c r="N8804" s="514"/>
      <c r="R8804" s="293"/>
      <c r="S8804" s="316"/>
      <c r="T8804" s="355"/>
    </row>
    <row r="8805" spans="14:20" x14ac:dyDescent="0.25">
      <c r="N8805" s="514"/>
      <c r="R8805" s="293"/>
      <c r="S8805" s="316"/>
      <c r="T8805" s="355"/>
    </row>
    <row r="8806" spans="14:20" x14ac:dyDescent="0.25">
      <c r="N8806" s="514"/>
      <c r="R8806" s="293"/>
      <c r="S8806" s="316"/>
      <c r="T8806" s="355"/>
    </row>
    <row r="8807" spans="14:20" x14ac:dyDescent="0.25">
      <c r="N8807" s="514"/>
      <c r="R8807" s="293"/>
      <c r="S8807" s="316"/>
      <c r="T8807" s="355"/>
    </row>
    <row r="8808" spans="14:20" x14ac:dyDescent="0.25">
      <c r="N8808" s="514"/>
      <c r="R8808" s="293"/>
      <c r="S8808" s="316"/>
      <c r="T8808" s="355"/>
    </row>
    <row r="8809" spans="14:20" x14ac:dyDescent="0.25">
      <c r="N8809" s="514"/>
      <c r="R8809" s="293"/>
      <c r="S8809" s="316"/>
      <c r="T8809" s="355"/>
    </row>
    <row r="8810" spans="14:20" x14ac:dyDescent="0.25">
      <c r="N8810" s="514"/>
      <c r="R8810" s="293"/>
      <c r="S8810" s="316"/>
      <c r="T8810" s="355"/>
    </row>
    <row r="8811" spans="14:20" x14ac:dyDescent="0.25">
      <c r="N8811" s="514"/>
      <c r="R8811" s="293"/>
      <c r="S8811" s="316"/>
      <c r="T8811" s="355"/>
    </row>
    <row r="8812" spans="14:20" x14ac:dyDescent="0.25">
      <c r="N8812" s="514"/>
      <c r="R8812" s="293"/>
      <c r="S8812" s="316"/>
      <c r="T8812" s="355"/>
    </row>
    <row r="8813" spans="14:20" x14ac:dyDescent="0.25">
      <c r="N8813" s="514"/>
      <c r="R8813" s="293"/>
      <c r="S8813" s="316"/>
      <c r="T8813" s="355"/>
    </row>
    <row r="8814" spans="14:20" x14ac:dyDescent="0.25">
      <c r="N8814" s="514"/>
      <c r="R8814" s="293"/>
      <c r="S8814" s="316"/>
      <c r="T8814" s="355"/>
    </row>
    <row r="8815" spans="14:20" x14ac:dyDescent="0.25">
      <c r="N8815" s="514"/>
      <c r="R8815" s="293"/>
      <c r="S8815" s="316"/>
      <c r="T8815" s="355"/>
    </row>
    <row r="8816" spans="14:20" x14ac:dyDescent="0.25">
      <c r="N8816" s="514"/>
      <c r="R8816" s="293"/>
      <c r="S8816" s="316"/>
      <c r="T8816" s="355"/>
    </row>
    <row r="8817" spans="14:20" x14ac:dyDescent="0.25">
      <c r="N8817" s="514"/>
      <c r="R8817" s="293"/>
      <c r="S8817" s="316"/>
      <c r="T8817" s="355"/>
    </row>
    <row r="8818" spans="14:20" x14ac:dyDescent="0.25">
      <c r="N8818" s="514"/>
      <c r="R8818" s="293"/>
      <c r="S8818" s="316"/>
      <c r="T8818" s="355"/>
    </row>
    <row r="8819" spans="14:20" x14ac:dyDescent="0.25">
      <c r="N8819" s="514"/>
      <c r="R8819" s="293"/>
      <c r="S8819" s="316"/>
      <c r="T8819" s="355"/>
    </row>
    <row r="8820" spans="14:20" x14ac:dyDescent="0.25">
      <c r="N8820" s="514"/>
      <c r="R8820" s="293"/>
      <c r="S8820" s="316"/>
      <c r="T8820" s="355"/>
    </row>
    <row r="8821" spans="14:20" x14ac:dyDescent="0.25">
      <c r="N8821" s="514"/>
      <c r="R8821" s="293"/>
      <c r="S8821" s="316"/>
      <c r="T8821" s="355"/>
    </row>
    <row r="8822" spans="14:20" x14ac:dyDescent="0.25">
      <c r="N8822" s="514"/>
      <c r="R8822" s="293"/>
      <c r="S8822" s="316"/>
      <c r="T8822" s="355"/>
    </row>
    <row r="8823" spans="14:20" x14ac:dyDescent="0.25">
      <c r="N8823" s="514"/>
      <c r="R8823" s="293"/>
      <c r="S8823" s="316"/>
      <c r="T8823" s="355"/>
    </row>
    <row r="8824" spans="14:20" x14ac:dyDescent="0.25">
      <c r="N8824" s="514"/>
      <c r="R8824" s="293"/>
      <c r="S8824" s="316"/>
      <c r="T8824" s="355"/>
    </row>
    <row r="8825" spans="14:20" x14ac:dyDescent="0.25">
      <c r="N8825" s="514"/>
      <c r="R8825" s="293"/>
      <c r="S8825" s="316"/>
      <c r="T8825" s="355"/>
    </row>
    <row r="8826" spans="14:20" x14ac:dyDescent="0.25">
      <c r="N8826" s="514"/>
      <c r="R8826" s="293"/>
      <c r="S8826" s="316"/>
      <c r="T8826" s="355"/>
    </row>
    <row r="8827" spans="14:20" x14ac:dyDescent="0.25">
      <c r="N8827" s="514"/>
      <c r="R8827" s="293"/>
      <c r="S8827" s="316"/>
      <c r="T8827" s="355"/>
    </row>
    <row r="8828" spans="14:20" x14ac:dyDescent="0.25">
      <c r="N8828" s="514"/>
      <c r="R8828" s="293"/>
      <c r="S8828" s="316"/>
      <c r="T8828" s="355"/>
    </row>
    <row r="8829" spans="14:20" x14ac:dyDescent="0.25">
      <c r="N8829" s="514"/>
      <c r="R8829" s="293"/>
      <c r="S8829" s="316"/>
      <c r="T8829" s="355"/>
    </row>
    <row r="8830" spans="14:20" x14ac:dyDescent="0.25">
      <c r="N8830" s="514"/>
      <c r="R8830" s="293"/>
      <c r="S8830" s="316"/>
      <c r="T8830" s="355"/>
    </row>
    <row r="8831" spans="14:20" x14ac:dyDescent="0.25">
      <c r="N8831" s="514"/>
      <c r="R8831" s="293"/>
      <c r="S8831" s="316"/>
      <c r="T8831" s="355"/>
    </row>
    <row r="8832" spans="14:20" x14ac:dyDescent="0.25">
      <c r="N8832" s="514"/>
      <c r="R8832" s="293"/>
      <c r="S8832" s="316"/>
      <c r="T8832" s="355"/>
    </row>
    <row r="8833" spans="14:20" x14ac:dyDescent="0.25">
      <c r="N8833" s="514"/>
      <c r="R8833" s="293"/>
      <c r="S8833" s="316"/>
      <c r="T8833" s="355"/>
    </row>
    <row r="8834" spans="14:20" x14ac:dyDescent="0.25">
      <c r="N8834" s="514"/>
      <c r="R8834" s="293"/>
      <c r="S8834" s="316"/>
      <c r="T8834" s="355"/>
    </row>
    <row r="8835" spans="14:20" x14ac:dyDescent="0.25">
      <c r="N8835" s="514"/>
      <c r="R8835" s="293"/>
      <c r="S8835" s="316"/>
      <c r="T8835" s="355"/>
    </row>
    <row r="8836" spans="14:20" x14ac:dyDescent="0.25">
      <c r="N8836" s="514"/>
      <c r="R8836" s="293"/>
      <c r="S8836" s="316"/>
      <c r="T8836" s="355"/>
    </row>
    <row r="8837" spans="14:20" x14ac:dyDescent="0.25">
      <c r="N8837" s="514"/>
      <c r="R8837" s="293"/>
      <c r="S8837" s="316"/>
      <c r="T8837" s="355"/>
    </row>
    <row r="8838" spans="14:20" x14ac:dyDescent="0.25">
      <c r="N8838" s="514"/>
      <c r="R8838" s="293"/>
      <c r="S8838" s="316"/>
      <c r="T8838" s="355"/>
    </row>
    <row r="8839" spans="14:20" x14ac:dyDescent="0.25">
      <c r="N8839" s="514"/>
      <c r="R8839" s="293"/>
      <c r="S8839" s="316"/>
      <c r="T8839" s="355"/>
    </row>
    <row r="8840" spans="14:20" x14ac:dyDescent="0.25">
      <c r="N8840" s="514"/>
      <c r="R8840" s="293"/>
      <c r="S8840" s="316"/>
      <c r="T8840" s="355"/>
    </row>
    <row r="8841" spans="14:20" x14ac:dyDescent="0.25">
      <c r="N8841" s="514"/>
      <c r="R8841" s="293"/>
      <c r="S8841" s="316"/>
      <c r="T8841" s="355"/>
    </row>
    <row r="8842" spans="14:20" x14ac:dyDescent="0.25">
      <c r="N8842" s="514"/>
      <c r="R8842" s="293"/>
      <c r="S8842" s="316"/>
      <c r="T8842" s="355"/>
    </row>
    <row r="8843" spans="14:20" x14ac:dyDescent="0.25">
      <c r="N8843" s="514"/>
      <c r="R8843" s="293"/>
      <c r="S8843" s="316"/>
      <c r="T8843" s="355"/>
    </row>
    <row r="8844" spans="14:20" x14ac:dyDescent="0.25">
      <c r="N8844" s="514"/>
      <c r="R8844" s="293"/>
      <c r="S8844" s="316"/>
      <c r="T8844" s="355"/>
    </row>
    <row r="8845" spans="14:20" x14ac:dyDescent="0.25">
      <c r="N8845" s="514"/>
      <c r="R8845" s="293"/>
      <c r="S8845" s="316"/>
      <c r="T8845" s="355"/>
    </row>
    <row r="8846" spans="14:20" x14ac:dyDescent="0.25">
      <c r="N8846" s="514"/>
      <c r="R8846" s="293"/>
      <c r="S8846" s="316"/>
      <c r="T8846" s="355"/>
    </row>
    <row r="8847" spans="14:20" x14ac:dyDescent="0.25">
      <c r="N8847" s="514"/>
      <c r="R8847" s="293"/>
      <c r="S8847" s="316"/>
      <c r="T8847" s="355"/>
    </row>
    <row r="8848" spans="14:20" x14ac:dyDescent="0.25">
      <c r="N8848" s="514"/>
      <c r="R8848" s="293"/>
      <c r="S8848" s="316"/>
      <c r="T8848" s="355"/>
    </row>
    <row r="8849" spans="14:20" x14ac:dyDescent="0.25">
      <c r="N8849" s="514"/>
      <c r="R8849" s="293"/>
      <c r="S8849" s="316"/>
      <c r="T8849" s="355"/>
    </row>
    <row r="8850" spans="14:20" x14ac:dyDescent="0.25">
      <c r="N8850" s="514"/>
      <c r="R8850" s="293"/>
      <c r="S8850" s="316"/>
      <c r="T8850" s="355"/>
    </row>
    <row r="8851" spans="14:20" x14ac:dyDescent="0.25">
      <c r="N8851" s="514"/>
      <c r="R8851" s="293"/>
      <c r="S8851" s="316"/>
      <c r="T8851" s="355"/>
    </row>
    <row r="8852" spans="14:20" x14ac:dyDescent="0.25">
      <c r="N8852" s="514"/>
      <c r="R8852" s="293"/>
      <c r="S8852" s="316"/>
      <c r="T8852" s="355"/>
    </row>
    <row r="8853" spans="14:20" x14ac:dyDescent="0.25">
      <c r="N8853" s="514"/>
      <c r="R8853" s="293"/>
      <c r="S8853" s="316"/>
      <c r="T8853" s="355"/>
    </row>
    <row r="8854" spans="14:20" x14ac:dyDescent="0.25">
      <c r="N8854" s="514"/>
      <c r="R8854" s="293"/>
      <c r="S8854" s="316"/>
      <c r="T8854" s="355"/>
    </row>
    <row r="8855" spans="14:20" x14ac:dyDescent="0.25">
      <c r="N8855" s="514"/>
      <c r="R8855" s="293"/>
      <c r="S8855" s="316"/>
      <c r="T8855" s="355"/>
    </row>
    <row r="8856" spans="14:20" x14ac:dyDescent="0.25">
      <c r="N8856" s="514"/>
      <c r="R8856" s="293"/>
      <c r="S8856" s="316"/>
      <c r="T8856" s="355"/>
    </row>
    <row r="8857" spans="14:20" x14ac:dyDescent="0.25">
      <c r="N8857" s="514"/>
      <c r="R8857" s="293"/>
      <c r="S8857" s="316"/>
      <c r="T8857" s="355"/>
    </row>
    <row r="8858" spans="14:20" x14ac:dyDescent="0.25">
      <c r="N8858" s="514"/>
      <c r="R8858" s="293"/>
      <c r="S8858" s="316"/>
      <c r="T8858" s="355"/>
    </row>
    <row r="8859" spans="14:20" x14ac:dyDescent="0.25">
      <c r="N8859" s="514"/>
      <c r="R8859" s="293"/>
      <c r="S8859" s="316"/>
      <c r="T8859" s="355"/>
    </row>
    <row r="8860" spans="14:20" x14ac:dyDescent="0.25">
      <c r="N8860" s="514"/>
      <c r="R8860" s="293"/>
      <c r="S8860" s="316"/>
      <c r="T8860" s="355"/>
    </row>
    <row r="8861" spans="14:20" x14ac:dyDescent="0.25">
      <c r="N8861" s="514"/>
      <c r="R8861" s="293"/>
      <c r="S8861" s="316"/>
      <c r="T8861" s="355"/>
    </row>
    <row r="8862" spans="14:20" x14ac:dyDescent="0.25">
      <c r="N8862" s="514"/>
      <c r="R8862" s="293"/>
      <c r="S8862" s="316"/>
      <c r="T8862" s="355"/>
    </row>
    <row r="8863" spans="14:20" x14ac:dyDescent="0.25">
      <c r="N8863" s="514"/>
      <c r="R8863" s="293"/>
      <c r="S8863" s="316"/>
      <c r="T8863" s="355"/>
    </row>
    <row r="8864" spans="14:20" x14ac:dyDescent="0.25">
      <c r="N8864" s="514"/>
      <c r="R8864" s="293"/>
      <c r="S8864" s="316"/>
      <c r="T8864" s="355"/>
    </row>
    <row r="8865" spans="14:20" x14ac:dyDescent="0.25">
      <c r="N8865" s="514"/>
      <c r="R8865" s="293"/>
      <c r="S8865" s="316"/>
      <c r="T8865" s="355"/>
    </row>
    <row r="8866" spans="14:20" x14ac:dyDescent="0.25">
      <c r="N8866" s="514"/>
      <c r="R8866" s="293"/>
      <c r="S8866" s="316"/>
      <c r="T8866" s="355"/>
    </row>
    <row r="8867" spans="14:20" x14ac:dyDescent="0.25">
      <c r="N8867" s="514"/>
      <c r="R8867" s="293"/>
      <c r="S8867" s="316"/>
      <c r="T8867" s="355"/>
    </row>
    <row r="8868" spans="14:20" x14ac:dyDescent="0.25">
      <c r="N8868" s="514"/>
      <c r="R8868" s="293"/>
      <c r="S8868" s="316"/>
      <c r="T8868" s="355"/>
    </row>
    <row r="8869" spans="14:20" x14ac:dyDescent="0.25">
      <c r="N8869" s="514"/>
      <c r="R8869" s="293"/>
      <c r="S8869" s="316"/>
      <c r="T8869" s="355"/>
    </row>
    <row r="8870" spans="14:20" x14ac:dyDescent="0.25">
      <c r="N8870" s="514"/>
      <c r="R8870" s="293"/>
      <c r="S8870" s="316"/>
      <c r="T8870" s="355"/>
    </row>
    <row r="8871" spans="14:20" x14ac:dyDescent="0.25">
      <c r="N8871" s="514"/>
      <c r="R8871" s="293"/>
      <c r="S8871" s="316"/>
      <c r="T8871" s="355"/>
    </row>
    <row r="8872" spans="14:20" x14ac:dyDescent="0.25">
      <c r="N8872" s="514"/>
      <c r="R8872" s="293"/>
      <c r="S8872" s="316"/>
      <c r="T8872" s="355"/>
    </row>
    <row r="8873" spans="14:20" x14ac:dyDescent="0.25">
      <c r="N8873" s="514"/>
      <c r="R8873" s="293"/>
      <c r="S8873" s="316"/>
      <c r="T8873" s="355"/>
    </row>
    <row r="8874" spans="14:20" x14ac:dyDescent="0.25">
      <c r="N8874" s="514"/>
      <c r="R8874" s="293"/>
      <c r="S8874" s="316"/>
      <c r="T8874" s="355"/>
    </row>
    <row r="8875" spans="14:20" x14ac:dyDescent="0.25">
      <c r="N8875" s="514"/>
      <c r="R8875" s="293"/>
      <c r="S8875" s="316"/>
      <c r="T8875" s="355"/>
    </row>
    <row r="8876" spans="14:20" x14ac:dyDescent="0.25">
      <c r="N8876" s="514"/>
      <c r="R8876" s="293"/>
      <c r="S8876" s="316"/>
      <c r="T8876" s="355"/>
    </row>
    <row r="8877" spans="14:20" x14ac:dyDescent="0.25">
      <c r="N8877" s="514"/>
      <c r="R8877" s="293"/>
      <c r="S8877" s="316"/>
      <c r="T8877" s="355"/>
    </row>
    <row r="8878" spans="14:20" x14ac:dyDescent="0.25">
      <c r="N8878" s="514"/>
      <c r="R8878" s="293"/>
      <c r="S8878" s="316"/>
      <c r="T8878" s="355"/>
    </row>
    <row r="8879" spans="14:20" x14ac:dyDescent="0.25">
      <c r="N8879" s="514"/>
      <c r="R8879" s="293"/>
      <c r="S8879" s="316"/>
      <c r="T8879" s="355"/>
    </row>
    <row r="8880" spans="14:20" x14ac:dyDescent="0.25">
      <c r="N8880" s="514"/>
      <c r="R8880" s="293"/>
      <c r="S8880" s="316"/>
      <c r="T8880" s="355"/>
    </row>
    <row r="8881" spans="14:20" x14ac:dyDescent="0.25">
      <c r="N8881" s="514"/>
      <c r="R8881" s="293"/>
      <c r="S8881" s="316"/>
      <c r="T8881" s="355"/>
    </row>
    <row r="8882" spans="14:20" x14ac:dyDescent="0.25">
      <c r="N8882" s="514"/>
      <c r="R8882" s="293"/>
      <c r="S8882" s="316"/>
      <c r="T8882" s="355"/>
    </row>
    <row r="8883" spans="14:20" x14ac:dyDescent="0.25">
      <c r="N8883" s="514"/>
      <c r="R8883" s="293"/>
      <c r="S8883" s="316"/>
      <c r="T8883" s="355"/>
    </row>
    <row r="8884" spans="14:20" x14ac:dyDescent="0.25">
      <c r="N8884" s="514"/>
      <c r="R8884" s="293"/>
      <c r="S8884" s="316"/>
      <c r="T8884" s="355"/>
    </row>
    <row r="8885" spans="14:20" x14ac:dyDescent="0.25">
      <c r="N8885" s="514"/>
      <c r="R8885" s="293"/>
      <c r="S8885" s="316"/>
      <c r="T8885" s="355"/>
    </row>
    <row r="8886" spans="14:20" x14ac:dyDescent="0.25">
      <c r="N8886" s="514"/>
      <c r="R8886" s="293"/>
      <c r="S8886" s="316"/>
      <c r="T8886" s="355"/>
    </row>
    <row r="8887" spans="14:20" x14ac:dyDescent="0.25">
      <c r="N8887" s="514"/>
      <c r="R8887" s="293"/>
      <c r="S8887" s="316"/>
      <c r="T8887" s="355"/>
    </row>
    <row r="8888" spans="14:20" x14ac:dyDescent="0.25">
      <c r="N8888" s="514"/>
      <c r="R8888" s="293"/>
      <c r="S8888" s="316"/>
      <c r="T8888" s="355"/>
    </row>
    <row r="8889" spans="14:20" x14ac:dyDescent="0.25">
      <c r="N8889" s="514"/>
      <c r="R8889" s="293"/>
      <c r="S8889" s="316"/>
      <c r="T8889" s="355"/>
    </row>
    <row r="8890" spans="14:20" x14ac:dyDescent="0.25">
      <c r="N8890" s="514"/>
      <c r="R8890" s="293"/>
      <c r="S8890" s="316"/>
      <c r="T8890" s="355"/>
    </row>
    <row r="8891" spans="14:20" x14ac:dyDescent="0.25">
      <c r="N8891" s="514"/>
      <c r="R8891" s="293"/>
      <c r="S8891" s="316"/>
      <c r="T8891" s="355"/>
    </row>
    <row r="8892" spans="14:20" x14ac:dyDescent="0.25">
      <c r="N8892" s="514"/>
      <c r="R8892" s="293"/>
      <c r="S8892" s="316"/>
      <c r="T8892" s="355"/>
    </row>
    <row r="8893" spans="14:20" x14ac:dyDescent="0.25">
      <c r="N8893" s="514"/>
      <c r="R8893" s="293"/>
      <c r="S8893" s="316"/>
      <c r="T8893" s="355"/>
    </row>
    <row r="8894" spans="14:20" x14ac:dyDescent="0.25">
      <c r="N8894" s="514"/>
      <c r="R8894" s="293"/>
      <c r="S8894" s="316"/>
      <c r="T8894" s="355"/>
    </row>
    <row r="8895" spans="14:20" x14ac:dyDescent="0.25">
      <c r="N8895" s="514"/>
      <c r="R8895" s="293"/>
      <c r="S8895" s="316"/>
      <c r="T8895" s="355"/>
    </row>
    <row r="8896" spans="14:20" x14ac:dyDescent="0.25">
      <c r="N8896" s="514"/>
      <c r="R8896" s="293"/>
      <c r="S8896" s="316"/>
      <c r="T8896" s="355"/>
    </row>
    <row r="8897" spans="14:20" x14ac:dyDescent="0.25">
      <c r="N8897" s="514"/>
      <c r="R8897" s="293"/>
      <c r="S8897" s="316"/>
      <c r="T8897" s="355"/>
    </row>
    <row r="8898" spans="14:20" x14ac:dyDescent="0.25">
      <c r="N8898" s="514"/>
      <c r="R8898" s="293"/>
      <c r="S8898" s="316"/>
      <c r="T8898" s="355"/>
    </row>
    <row r="8899" spans="14:20" x14ac:dyDescent="0.25">
      <c r="N8899" s="514"/>
      <c r="R8899" s="293"/>
      <c r="S8899" s="316"/>
      <c r="T8899" s="355"/>
    </row>
    <row r="8900" spans="14:20" x14ac:dyDescent="0.25">
      <c r="N8900" s="514"/>
      <c r="R8900" s="293"/>
      <c r="S8900" s="316"/>
      <c r="T8900" s="355"/>
    </row>
    <row r="8901" spans="14:20" x14ac:dyDescent="0.25">
      <c r="N8901" s="514"/>
      <c r="R8901" s="293"/>
      <c r="S8901" s="316"/>
      <c r="T8901" s="355"/>
    </row>
    <row r="8902" spans="14:20" x14ac:dyDescent="0.25">
      <c r="N8902" s="514"/>
      <c r="R8902" s="293"/>
      <c r="S8902" s="316"/>
      <c r="T8902" s="355"/>
    </row>
    <row r="8903" spans="14:20" x14ac:dyDescent="0.25">
      <c r="N8903" s="514"/>
      <c r="R8903" s="293"/>
      <c r="S8903" s="316"/>
      <c r="T8903" s="355"/>
    </row>
    <row r="8904" spans="14:20" x14ac:dyDescent="0.25">
      <c r="N8904" s="514"/>
      <c r="R8904" s="293"/>
      <c r="S8904" s="316"/>
      <c r="T8904" s="355"/>
    </row>
    <row r="8905" spans="14:20" x14ac:dyDescent="0.25">
      <c r="N8905" s="514"/>
      <c r="R8905" s="293"/>
      <c r="S8905" s="316"/>
      <c r="T8905" s="355"/>
    </row>
    <row r="8906" spans="14:20" x14ac:dyDescent="0.25">
      <c r="N8906" s="514"/>
      <c r="R8906" s="293"/>
      <c r="S8906" s="316"/>
      <c r="T8906" s="355"/>
    </row>
    <row r="8907" spans="14:20" x14ac:dyDescent="0.25">
      <c r="N8907" s="514"/>
      <c r="R8907" s="293"/>
      <c r="S8907" s="316"/>
      <c r="T8907" s="355"/>
    </row>
    <row r="8908" spans="14:20" x14ac:dyDescent="0.25">
      <c r="N8908" s="514"/>
      <c r="R8908" s="293"/>
      <c r="S8908" s="316"/>
      <c r="T8908" s="355"/>
    </row>
    <row r="8909" spans="14:20" x14ac:dyDescent="0.25">
      <c r="N8909" s="514"/>
      <c r="R8909" s="293"/>
      <c r="S8909" s="316"/>
      <c r="T8909" s="355"/>
    </row>
    <row r="8910" spans="14:20" x14ac:dyDescent="0.25">
      <c r="N8910" s="514"/>
      <c r="R8910" s="293"/>
      <c r="S8910" s="316"/>
      <c r="T8910" s="355"/>
    </row>
    <row r="8911" spans="14:20" x14ac:dyDescent="0.25">
      <c r="N8911" s="514"/>
      <c r="R8911" s="293"/>
      <c r="S8911" s="316"/>
      <c r="T8911" s="355"/>
    </row>
    <row r="8912" spans="14:20" x14ac:dyDescent="0.25">
      <c r="N8912" s="514"/>
      <c r="R8912" s="293"/>
      <c r="S8912" s="316"/>
      <c r="T8912" s="355"/>
    </row>
    <row r="8913" spans="14:20" x14ac:dyDescent="0.25">
      <c r="N8913" s="514"/>
      <c r="R8913" s="293"/>
      <c r="S8913" s="316"/>
      <c r="T8913" s="355"/>
    </row>
    <row r="8914" spans="14:20" x14ac:dyDescent="0.25">
      <c r="N8914" s="514"/>
      <c r="R8914" s="293"/>
      <c r="S8914" s="316"/>
      <c r="T8914" s="355"/>
    </row>
    <row r="8915" spans="14:20" x14ac:dyDescent="0.25">
      <c r="N8915" s="514"/>
      <c r="R8915" s="293"/>
      <c r="S8915" s="316"/>
      <c r="T8915" s="355"/>
    </row>
    <row r="8916" spans="14:20" x14ac:dyDescent="0.25">
      <c r="N8916" s="514"/>
      <c r="R8916" s="293"/>
      <c r="S8916" s="316"/>
      <c r="T8916" s="355"/>
    </row>
    <row r="8917" spans="14:20" x14ac:dyDescent="0.25">
      <c r="N8917" s="514"/>
      <c r="R8917" s="293"/>
      <c r="S8917" s="316"/>
      <c r="T8917" s="355"/>
    </row>
    <row r="8918" spans="14:20" x14ac:dyDescent="0.25">
      <c r="N8918" s="514"/>
      <c r="R8918" s="293"/>
      <c r="S8918" s="316"/>
      <c r="T8918" s="355"/>
    </row>
    <row r="8919" spans="14:20" x14ac:dyDescent="0.25">
      <c r="N8919" s="514"/>
      <c r="R8919" s="293"/>
      <c r="S8919" s="316"/>
      <c r="T8919" s="355"/>
    </row>
    <row r="8920" spans="14:20" x14ac:dyDescent="0.25">
      <c r="N8920" s="514"/>
      <c r="R8920" s="293"/>
      <c r="S8920" s="316"/>
      <c r="T8920" s="355"/>
    </row>
    <row r="8921" spans="14:20" x14ac:dyDescent="0.25">
      <c r="N8921" s="514"/>
      <c r="R8921" s="293"/>
      <c r="S8921" s="316"/>
      <c r="T8921" s="355"/>
    </row>
    <row r="8922" spans="14:20" x14ac:dyDescent="0.25">
      <c r="N8922" s="514"/>
      <c r="R8922" s="293"/>
      <c r="S8922" s="316"/>
      <c r="T8922" s="355"/>
    </row>
    <row r="8923" spans="14:20" x14ac:dyDescent="0.25">
      <c r="N8923" s="514"/>
      <c r="R8923" s="293"/>
      <c r="S8923" s="316"/>
      <c r="T8923" s="355"/>
    </row>
    <row r="8924" spans="14:20" x14ac:dyDescent="0.25">
      <c r="N8924" s="514"/>
      <c r="R8924" s="293"/>
      <c r="S8924" s="316"/>
      <c r="T8924" s="355"/>
    </row>
    <row r="8925" spans="14:20" x14ac:dyDescent="0.25">
      <c r="N8925" s="514"/>
      <c r="R8925" s="293"/>
      <c r="S8925" s="316"/>
      <c r="T8925" s="355"/>
    </row>
    <row r="8926" spans="14:20" x14ac:dyDescent="0.25">
      <c r="N8926" s="514"/>
      <c r="R8926" s="293"/>
      <c r="S8926" s="316"/>
      <c r="T8926" s="355"/>
    </row>
    <row r="8927" spans="14:20" x14ac:dyDescent="0.25">
      <c r="N8927" s="514"/>
      <c r="R8927" s="293"/>
      <c r="S8927" s="316"/>
      <c r="T8927" s="355"/>
    </row>
    <row r="8928" spans="14:20" x14ac:dyDescent="0.25">
      <c r="N8928" s="514"/>
      <c r="R8928" s="293"/>
      <c r="S8928" s="316"/>
      <c r="T8928" s="355"/>
    </row>
    <row r="8929" spans="14:20" x14ac:dyDescent="0.25">
      <c r="N8929" s="514"/>
      <c r="R8929" s="293"/>
      <c r="S8929" s="316"/>
      <c r="T8929" s="355"/>
    </row>
    <row r="8930" spans="14:20" x14ac:dyDescent="0.25">
      <c r="N8930" s="514"/>
      <c r="R8930" s="293"/>
      <c r="S8930" s="316"/>
      <c r="T8930" s="355"/>
    </row>
    <row r="8931" spans="14:20" x14ac:dyDescent="0.25">
      <c r="N8931" s="514"/>
      <c r="R8931" s="293"/>
      <c r="S8931" s="316"/>
      <c r="T8931" s="355"/>
    </row>
    <row r="8932" spans="14:20" x14ac:dyDescent="0.25">
      <c r="N8932" s="514"/>
      <c r="R8932" s="293"/>
      <c r="S8932" s="316"/>
      <c r="T8932" s="355"/>
    </row>
    <row r="8933" spans="14:20" x14ac:dyDescent="0.25">
      <c r="N8933" s="514"/>
      <c r="R8933" s="293"/>
      <c r="S8933" s="316"/>
      <c r="T8933" s="355"/>
    </row>
    <row r="8934" spans="14:20" x14ac:dyDescent="0.25">
      <c r="N8934" s="514"/>
      <c r="R8934" s="293"/>
      <c r="S8934" s="316"/>
      <c r="T8934" s="355"/>
    </row>
    <row r="8935" spans="14:20" x14ac:dyDescent="0.25">
      <c r="N8935" s="514"/>
      <c r="R8935" s="293"/>
      <c r="S8935" s="316"/>
      <c r="T8935" s="355"/>
    </row>
    <row r="8936" spans="14:20" x14ac:dyDescent="0.25">
      <c r="N8936" s="514"/>
      <c r="R8936" s="293"/>
      <c r="S8936" s="316"/>
      <c r="T8936" s="355"/>
    </row>
    <row r="8937" spans="14:20" x14ac:dyDescent="0.25">
      <c r="N8937" s="514"/>
      <c r="R8937" s="293"/>
      <c r="S8937" s="316"/>
      <c r="T8937" s="355"/>
    </row>
    <row r="8938" spans="14:20" x14ac:dyDescent="0.25">
      <c r="N8938" s="514"/>
      <c r="R8938" s="293"/>
      <c r="S8938" s="316"/>
      <c r="T8938" s="355"/>
    </row>
    <row r="8939" spans="14:20" x14ac:dyDescent="0.25">
      <c r="N8939" s="514"/>
      <c r="R8939" s="293"/>
      <c r="S8939" s="316"/>
      <c r="T8939" s="355"/>
    </row>
    <row r="8940" spans="14:20" x14ac:dyDescent="0.25">
      <c r="N8940" s="514"/>
      <c r="R8940" s="293"/>
      <c r="S8940" s="316"/>
      <c r="T8940" s="355"/>
    </row>
    <row r="8941" spans="14:20" x14ac:dyDescent="0.25">
      <c r="N8941" s="514"/>
      <c r="R8941" s="293"/>
      <c r="S8941" s="316"/>
      <c r="T8941" s="355"/>
    </row>
    <row r="8942" spans="14:20" x14ac:dyDescent="0.25">
      <c r="N8942" s="514"/>
      <c r="R8942" s="293"/>
      <c r="S8942" s="316"/>
      <c r="T8942" s="355"/>
    </row>
    <row r="8943" spans="14:20" x14ac:dyDescent="0.25">
      <c r="N8943" s="514"/>
      <c r="R8943" s="293"/>
      <c r="S8943" s="316"/>
      <c r="T8943" s="355"/>
    </row>
    <row r="8944" spans="14:20" x14ac:dyDescent="0.25">
      <c r="N8944" s="514"/>
      <c r="R8944" s="293"/>
      <c r="S8944" s="316"/>
      <c r="T8944" s="355"/>
    </row>
    <row r="8945" spans="14:20" x14ac:dyDescent="0.25">
      <c r="N8945" s="514"/>
      <c r="R8945" s="293"/>
      <c r="S8945" s="316"/>
      <c r="T8945" s="355"/>
    </row>
    <row r="8946" spans="14:20" x14ac:dyDescent="0.25">
      <c r="N8946" s="514"/>
      <c r="R8946" s="293"/>
      <c r="S8946" s="316"/>
      <c r="T8946" s="355"/>
    </row>
    <row r="8947" spans="14:20" x14ac:dyDescent="0.25">
      <c r="N8947" s="514"/>
      <c r="R8947" s="293"/>
      <c r="S8947" s="316"/>
      <c r="T8947" s="355"/>
    </row>
    <row r="8948" spans="14:20" x14ac:dyDescent="0.25">
      <c r="N8948" s="514"/>
      <c r="R8948" s="293"/>
      <c r="S8948" s="316"/>
      <c r="T8948" s="355"/>
    </row>
    <row r="8949" spans="14:20" x14ac:dyDescent="0.25">
      <c r="N8949" s="514"/>
      <c r="R8949" s="293"/>
      <c r="S8949" s="316"/>
      <c r="T8949" s="355"/>
    </row>
    <row r="8950" spans="14:20" x14ac:dyDescent="0.25">
      <c r="N8950" s="514"/>
      <c r="R8950" s="293"/>
      <c r="S8950" s="316"/>
      <c r="T8950" s="355"/>
    </row>
    <row r="8951" spans="14:20" x14ac:dyDescent="0.25">
      <c r="N8951" s="514"/>
      <c r="R8951" s="293"/>
      <c r="S8951" s="316"/>
      <c r="T8951" s="355"/>
    </row>
    <row r="8952" spans="14:20" x14ac:dyDescent="0.25">
      <c r="N8952" s="514"/>
      <c r="R8952" s="293"/>
      <c r="S8952" s="316"/>
      <c r="T8952" s="355"/>
    </row>
    <row r="8953" spans="14:20" x14ac:dyDescent="0.25">
      <c r="N8953" s="514"/>
      <c r="R8953" s="293"/>
      <c r="S8953" s="316"/>
      <c r="T8953" s="355"/>
    </row>
    <row r="8954" spans="14:20" x14ac:dyDescent="0.25">
      <c r="N8954" s="514"/>
      <c r="R8954" s="293"/>
      <c r="S8954" s="316"/>
      <c r="T8954" s="355"/>
    </row>
    <row r="8955" spans="14:20" x14ac:dyDescent="0.25">
      <c r="N8955" s="514"/>
      <c r="R8955" s="293"/>
      <c r="S8955" s="316"/>
      <c r="T8955" s="355"/>
    </row>
    <row r="8956" spans="14:20" x14ac:dyDescent="0.25">
      <c r="N8956" s="514"/>
      <c r="R8956" s="293"/>
      <c r="S8956" s="316"/>
      <c r="T8956" s="355"/>
    </row>
    <row r="8957" spans="14:20" x14ac:dyDescent="0.25">
      <c r="N8957" s="514"/>
      <c r="R8957" s="293"/>
      <c r="S8957" s="316"/>
      <c r="T8957" s="355"/>
    </row>
    <row r="8958" spans="14:20" x14ac:dyDescent="0.25">
      <c r="N8958" s="514"/>
      <c r="R8958" s="293"/>
      <c r="S8958" s="316"/>
      <c r="T8958" s="355"/>
    </row>
    <row r="8959" spans="14:20" x14ac:dyDescent="0.25">
      <c r="N8959" s="514"/>
      <c r="R8959" s="293"/>
      <c r="S8959" s="316"/>
      <c r="T8959" s="355"/>
    </row>
    <row r="8960" spans="14:20" x14ac:dyDescent="0.25">
      <c r="N8960" s="514"/>
      <c r="R8960" s="293"/>
      <c r="S8960" s="316"/>
      <c r="T8960" s="355"/>
    </row>
    <row r="8961" spans="14:20" x14ac:dyDescent="0.25">
      <c r="N8961" s="514"/>
      <c r="R8961" s="293"/>
      <c r="S8961" s="316"/>
      <c r="T8961" s="355"/>
    </row>
    <row r="8962" spans="14:20" x14ac:dyDescent="0.25">
      <c r="N8962" s="514"/>
      <c r="R8962" s="293"/>
      <c r="S8962" s="316"/>
      <c r="T8962" s="355"/>
    </row>
    <row r="8963" spans="14:20" x14ac:dyDescent="0.25">
      <c r="N8963" s="514"/>
      <c r="R8963" s="293"/>
      <c r="S8963" s="316"/>
      <c r="T8963" s="355"/>
    </row>
    <row r="8964" spans="14:20" x14ac:dyDescent="0.25">
      <c r="N8964" s="514"/>
      <c r="R8964" s="293"/>
      <c r="S8964" s="316"/>
      <c r="T8964" s="355"/>
    </row>
    <row r="8965" spans="14:20" x14ac:dyDescent="0.25">
      <c r="N8965" s="514"/>
      <c r="R8965" s="293"/>
      <c r="S8965" s="316"/>
      <c r="T8965" s="355"/>
    </row>
    <row r="8966" spans="14:20" x14ac:dyDescent="0.25">
      <c r="N8966" s="514"/>
      <c r="R8966" s="293"/>
      <c r="S8966" s="316"/>
      <c r="T8966" s="355"/>
    </row>
    <row r="8967" spans="14:20" x14ac:dyDescent="0.25">
      <c r="N8967" s="514"/>
      <c r="R8967" s="293"/>
      <c r="S8967" s="316"/>
      <c r="T8967" s="355"/>
    </row>
    <row r="8968" spans="14:20" x14ac:dyDescent="0.25">
      <c r="N8968" s="514"/>
      <c r="R8968" s="293"/>
      <c r="S8968" s="316"/>
      <c r="T8968" s="355"/>
    </row>
    <row r="8969" spans="14:20" x14ac:dyDescent="0.25">
      <c r="N8969" s="514"/>
      <c r="R8969" s="293"/>
      <c r="S8969" s="316"/>
      <c r="T8969" s="355"/>
    </row>
    <row r="8970" spans="14:20" x14ac:dyDescent="0.25">
      <c r="N8970" s="514"/>
      <c r="R8970" s="293"/>
      <c r="S8970" s="316"/>
      <c r="T8970" s="355"/>
    </row>
    <row r="8971" spans="14:20" x14ac:dyDescent="0.25">
      <c r="N8971" s="514"/>
      <c r="R8971" s="293"/>
      <c r="S8971" s="316"/>
      <c r="T8971" s="355"/>
    </row>
    <row r="8972" spans="14:20" x14ac:dyDescent="0.25">
      <c r="N8972" s="514"/>
      <c r="R8972" s="293"/>
      <c r="S8972" s="316"/>
      <c r="T8972" s="355"/>
    </row>
    <row r="8973" spans="14:20" x14ac:dyDescent="0.25">
      <c r="N8973" s="514"/>
      <c r="R8973" s="293"/>
      <c r="S8973" s="316"/>
      <c r="T8973" s="355"/>
    </row>
    <row r="8974" spans="14:20" x14ac:dyDescent="0.25">
      <c r="N8974" s="514"/>
      <c r="R8974" s="293"/>
      <c r="S8974" s="316"/>
      <c r="T8974" s="355"/>
    </row>
    <row r="8975" spans="14:20" x14ac:dyDescent="0.25">
      <c r="N8975" s="514"/>
      <c r="R8975" s="293"/>
      <c r="S8975" s="316"/>
      <c r="T8975" s="355"/>
    </row>
    <row r="8976" spans="14:20" x14ac:dyDescent="0.25">
      <c r="N8976" s="514"/>
      <c r="R8976" s="293"/>
      <c r="S8976" s="316"/>
      <c r="T8976" s="355"/>
    </row>
    <row r="8977" spans="14:20" x14ac:dyDescent="0.25">
      <c r="N8977" s="514"/>
      <c r="R8977" s="293"/>
      <c r="S8977" s="316"/>
      <c r="T8977" s="355"/>
    </row>
    <row r="8978" spans="14:20" x14ac:dyDescent="0.25">
      <c r="N8978" s="514"/>
      <c r="R8978" s="293"/>
      <c r="S8978" s="316"/>
      <c r="T8978" s="355"/>
    </row>
    <row r="8979" spans="14:20" x14ac:dyDescent="0.25">
      <c r="N8979" s="514"/>
      <c r="R8979" s="293"/>
      <c r="S8979" s="316"/>
      <c r="T8979" s="355"/>
    </row>
    <row r="8980" spans="14:20" x14ac:dyDescent="0.25">
      <c r="N8980" s="514"/>
      <c r="R8980" s="293"/>
      <c r="S8980" s="316"/>
      <c r="T8980" s="355"/>
    </row>
    <row r="8981" spans="14:20" x14ac:dyDescent="0.25">
      <c r="N8981" s="514"/>
      <c r="R8981" s="293"/>
      <c r="S8981" s="316"/>
      <c r="T8981" s="355"/>
    </row>
    <row r="8982" spans="14:20" x14ac:dyDescent="0.25">
      <c r="N8982" s="514"/>
      <c r="R8982" s="293"/>
      <c r="S8982" s="316"/>
      <c r="T8982" s="355"/>
    </row>
    <row r="8983" spans="14:20" x14ac:dyDescent="0.25">
      <c r="N8983" s="514"/>
      <c r="R8983" s="293"/>
      <c r="S8983" s="316"/>
      <c r="T8983" s="355"/>
    </row>
    <row r="8984" spans="14:20" x14ac:dyDescent="0.25">
      <c r="N8984" s="514"/>
      <c r="R8984" s="293"/>
      <c r="S8984" s="316"/>
      <c r="T8984" s="355"/>
    </row>
    <row r="8985" spans="14:20" x14ac:dyDescent="0.25">
      <c r="N8985" s="514"/>
      <c r="R8985" s="293"/>
      <c r="S8985" s="316"/>
      <c r="T8985" s="355"/>
    </row>
    <row r="8986" spans="14:20" x14ac:dyDescent="0.25">
      <c r="N8986" s="514"/>
      <c r="R8986" s="293"/>
      <c r="S8986" s="316"/>
      <c r="T8986" s="355"/>
    </row>
    <row r="8987" spans="14:20" x14ac:dyDescent="0.25">
      <c r="N8987" s="514"/>
      <c r="R8987" s="293"/>
      <c r="S8987" s="316"/>
      <c r="T8987" s="355"/>
    </row>
    <row r="8988" spans="14:20" x14ac:dyDescent="0.25">
      <c r="N8988" s="514"/>
      <c r="R8988" s="293"/>
      <c r="S8988" s="316"/>
      <c r="T8988" s="355"/>
    </row>
    <row r="8989" spans="14:20" x14ac:dyDescent="0.25">
      <c r="N8989" s="514"/>
      <c r="R8989" s="293"/>
      <c r="S8989" s="316"/>
      <c r="T8989" s="355"/>
    </row>
    <row r="8990" spans="14:20" x14ac:dyDescent="0.25">
      <c r="N8990" s="514"/>
      <c r="R8990" s="293"/>
      <c r="S8990" s="316"/>
      <c r="T8990" s="355"/>
    </row>
    <row r="8991" spans="14:20" x14ac:dyDescent="0.25">
      <c r="N8991" s="514"/>
      <c r="R8991" s="293"/>
      <c r="S8991" s="316"/>
      <c r="T8991" s="355"/>
    </row>
    <row r="8992" spans="14:20" x14ac:dyDescent="0.25">
      <c r="N8992" s="514"/>
      <c r="R8992" s="293"/>
      <c r="S8992" s="316"/>
      <c r="T8992" s="355"/>
    </row>
    <row r="8993" spans="14:20" x14ac:dyDescent="0.25">
      <c r="N8993" s="514"/>
      <c r="R8993" s="293"/>
      <c r="S8993" s="316"/>
      <c r="T8993" s="355"/>
    </row>
    <row r="8994" spans="14:20" x14ac:dyDescent="0.25">
      <c r="N8994" s="514"/>
      <c r="R8994" s="293"/>
      <c r="S8994" s="316"/>
      <c r="T8994" s="355"/>
    </row>
    <row r="8995" spans="14:20" x14ac:dyDescent="0.25">
      <c r="N8995" s="514"/>
      <c r="R8995" s="293"/>
      <c r="S8995" s="316"/>
      <c r="T8995" s="355"/>
    </row>
    <row r="8996" spans="14:20" x14ac:dyDescent="0.25">
      <c r="N8996" s="514"/>
      <c r="R8996" s="293"/>
      <c r="S8996" s="316"/>
      <c r="T8996" s="355"/>
    </row>
    <row r="8997" spans="14:20" x14ac:dyDescent="0.25">
      <c r="N8997" s="514"/>
      <c r="R8997" s="293"/>
      <c r="S8997" s="316"/>
      <c r="T8997" s="355"/>
    </row>
    <row r="8998" spans="14:20" x14ac:dyDescent="0.25">
      <c r="N8998" s="514"/>
      <c r="R8998" s="293"/>
      <c r="S8998" s="316"/>
      <c r="T8998" s="355"/>
    </row>
    <row r="8999" spans="14:20" x14ac:dyDescent="0.25">
      <c r="N8999" s="514"/>
      <c r="R8999" s="293"/>
      <c r="S8999" s="316"/>
      <c r="T8999" s="355"/>
    </row>
    <row r="9000" spans="14:20" x14ac:dyDescent="0.25">
      <c r="N9000" s="514"/>
      <c r="R9000" s="293"/>
      <c r="S9000" s="316"/>
      <c r="T9000" s="355"/>
    </row>
    <row r="9001" spans="14:20" x14ac:dyDescent="0.25">
      <c r="N9001" s="514"/>
      <c r="R9001" s="293"/>
      <c r="S9001" s="316"/>
      <c r="T9001" s="355"/>
    </row>
    <row r="9002" spans="14:20" x14ac:dyDescent="0.25">
      <c r="N9002" s="514"/>
      <c r="R9002" s="293"/>
      <c r="S9002" s="316"/>
      <c r="T9002" s="355"/>
    </row>
    <row r="9003" spans="14:20" x14ac:dyDescent="0.25">
      <c r="N9003" s="514"/>
      <c r="R9003" s="293"/>
      <c r="S9003" s="316"/>
      <c r="T9003" s="355"/>
    </row>
    <row r="9004" spans="14:20" x14ac:dyDescent="0.25">
      <c r="N9004" s="514"/>
      <c r="R9004" s="293"/>
      <c r="S9004" s="316"/>
      <c r="T9004" s="355"/>
    </row>
    <row r="9005" spans="14:20" x14ac:dyDescent="0.25">
      <c r="N9005" s="514"/>
      <c r="R9005" s="293"/>
      <c r="S9005" s="316"/>
      <c r="T9005" s="355"/>
    </row>
    <row r="9006" spans="14:20" x14ac:dyDescent="0.25">
      <c r="N9006" s="514"/>
      <c r="R9006" s="293"/>
      <c r="S9006" s="316"/>
      <c r="T9006" s="355"/>
    </row>
    <row r="9007" spans="14:20" x14ac:dyDescent="0.25">
      <c r="N9007" s="514"/>
      <c r="R9007" s="293"/>
      <c r="S9007" s="316"/>
      <c r="T9007" s="355"/>
    </row>
    <row r="9008" spans="14:20" x14ac:dyDescent="0.25">
      <c r="N9008" s="514"/>
      <c r="R9008" s="293"/>
      <c r="S9008" s="316"/>
      <c r="T9008" s="355"/>
    </row>
    <row r="9009" spans="14:20" x14ac:dyDescent="0.25">
      <c r="N9009" s="514"/>
      <c r="R9009" s="293"/>
      <c r="S9009" s="316"/>
      <c r="T9009" s="355"/>
    </row>
    <row r="9010" spans="14:20" x14ac:dyDescent="0.25">
      <c r="N9010" s="514"/>
      <c r="R9010" s="293"/>
      <c r="S9010" s="316"/>
      <c r="T9010" s="355"/>
    </row>
    <row r="9011" spans="14:20" x14ac:dyDescent="0.25">
      <c r="N9011" s="514"/>
      <c r="R9011" s="293"/>
      <c r="S9011" s="316"/>
      <c r="T9011" s="355"/>
    </row>
    <row r="9012" spans="14:20" x14ac:dyDescent="0.25">
      <c r="N9012" s="514"/>
      <c r="R9012" s="293"/>
      <c r="S9012" s="316"/>
      <c r="T9012" s="355"/>
    </row>
    <row r="9013" spans="14:20" x14ac:dyDescent="0.25">
      <c r="N9013" s="514"/>
      <c r="R9013" s="293"/>
      <c r="S9013" s="316"/>
      <c r="T9013" s="355"/>
    </row>
    <row r="9014" spans="14:20" x14ac:dyDescent="0.25">
      <c r="N9014" s="514"/>
      <c r="R9014" s="293"/>
      <c r="S9014" s="316"/>
      <c r="T9014" s="355"/>
    </row>
    <row r="9015" spans="14:20" x14ac:dyDescent="0.25">
      <c r="N9015" s="514"/>
      <c r="R9015" s="293"/>
      <c r="S9015" s="316"/>
      <c r="T9015" s="355"/>
    </row>
    <row r="9016" spans="14:20" x14ac:dyDescent="0.25">
      <c r="N9016" s="514"/>
      <c r="R9016" s="293"/>
      <c r="S9016" s="316"/>
      <c r="T9016" s="355"/>
    </row>
    <row r="9017" spans="14:20" x14ac:dyDescent="0.25">
      <c r="N9017" s="514"/>
      <c r="R9017" s="293"/>
      <c r="S9017" s="316"/>
      <c r="T9017" s="355"/>
    </row>
    <row r="9018" spans="14:20" x14ac:dyDescent="0.25">
      <c r="N9018" s="514"/>
      <c r="R9018" s="293"/>
      <c r="S9018" s="316"/>
      <c r="T9018" s="355"/>
    </row>
    <row r="9019" spans="14:20" x14ac:dyDescent="0.25">
      <c r="N9019" s="514"/>
      <c r="R9019" s="293"/>
      <c r="S9019" s="316"/>
      <c r="T9019" s="355"/>
    </row>
    <row r="9020" spans="14:20" x14ac:dyDescent="0.25">
      <c r="N9020" s="514"/>
      <c r="R9020" s="293"/>
      <c r="S9020" s="316"/>
      <c r="T9020" s="355"/>
    </row>
    <row r="9021" spans="14:20" x14ac:dyDescent="0.25">
      <c r="N9021" s="514"/>
      <c r="R9021" s="293"/>
      <c r="S9021" s="316"/>
      <c r="T9021" s="355"/>
    </row>
    <row r="9022" spans="14:20" x14ac:dyDescent="0.25">
      <c r="N9022" s="514"/>
      <c r="R9022" s="293"/>
      <c r="S9022" s="316"/>
      <c r="T9022" s="355"/>
    </row>
    <row r="9023" spans="14:20" x14ac:dyDescent="0.25">
      <c r="N9023" s="514"/>
      <c r="R9023" s="293"/>
      <c r="S9023" s="316"/>
      <c r="T9023" s="355"/>
    </row>
    <row r="9024" spans="14:20" x14ac:dyDescent="0.25">
      <c r="N9024" s="514"/>
      <c r="R9024" s="293"/>
      <c r="S9024" s="316"/>
      <c r="T9024" s="355"/>
    </row>
    <row r="9025" spans="14:20" x14ac:dyDescent="0.25">
      <c r="N9025" s="514"/>
      <c r="R9025" s="293"/>
      <c r="S9025" s="316"/>
      <c r="T9025" s="355"/>
    </row>
    <row r="9026" spans="14:20" x14ac:dyDescent="0.25">
      <c r="N9026" s="514"/>
      <c r="R9026" s="293"/>
      <c r="S9026" s="316"/>
      <c r="T9026" s="355"/>
    </row>
    <row r="9027" spans="14:20" x14ac:dyDescent="0.25">
      <c r="N9027" s="514"/>
      <c r="R9027" s="293"/>
      <c r="S9027" s="316"/>
      <c r="T9027" s="355"/>
    </row>
    <row r="9028" spans="14:20" x14ac:dyDescent="0.25">
      <c r="N9028" s="514"/>
      <c r="R9028" s="293"/>
      <c r="S9028" s="316"/>
      <c r="T9028" s="355"/>
    </row>
    <row r="9029" spans="14:20" x14ac:dyDescent="0.25">
      <c r="N9029" s="514"/>
      <c r="R9029" s="293"/>
      <c r="S9029" s="316"/>
      <c r="T9029" s="355"/>
    </row>
    <row r="9030" spans="14:20" x14ac:dyDescent="0.25">
      <c r="N9030" s="514"/>
      <c r="R9030" s="293"/>
      <c r="S9030" s="316"/>
      <c r="T9030" s="355"/>
    </row>
    <row r="9031" spans="14:20" x14ac:dyDescent="0.25">
      <c r="N9031" s="514"/>
      <c r="R9031" s="293"/>
      <c r="S9031" s="316"/>
      <c r="T9031" s="355"/>
    </row>
    <row r="9032" spans="14:20" x14ac:dyDescent="0.25">
      <c r="N9032" s="514"/>
      <c r="R9032" s="293"/>
      <c r="S9032" s="316"/>
      <c r="T9032" s="355"/>
    </row>
    <row r="9033" spans="14:20" x14ac:dyDescent="0.25">
      <c r="N9033" s="514"/>
      <c r="R9033" s="293"/>
      <c r="S9033" s="316"/>
      <c r="T9033" s="355"/>
    </row>
    <row r="9034" spans="14:20" x14ac:dyDescent="0.25">
      <c r="N9034" s="514"/>
      <c r="R9034" s="293"/>
      <c r="S9034" s="316"/>
      <c r="T9034" s="355"/>
    </row>
    <row r="9035" spans="14:20" x14ac:dyDescent="0.25">
      <c r="N9035" s="514"/>
      <c r="R9035" s="293"/>
      <c r="S9035" s="316"/>
      <c r="T9035" s="355"/>
    </row>
    <row r="9036" spans="14:20" x14ac:dyDescent="0.25">
      <c r="N9036" s="514"/>
      <c r="R9036" s="293"/>
      <c r="S9036" s="316"/>
      <c r="T9036" s="355"/>
    </row>
    <row r="9037" spans="14:20" x14ac:dyDescent="0.25">
      <c r="N9037" s="514"/>
      <c r="R9037" s="293"/>
      <c r="S9037" s="316"/>
      <c r="T9037" s="355"/>
    </row>
    <row r="9038" spans="14:20" x14ac:dyDescent="0.25">
      <c r="N9038" s="514"/>
      <c r="R9038" s="293"/>
      <c r="S9038" s="316"/>
      <c r="T9038" s="355"/>
    </row>
    <row r="9039" spans="14:20" x14ac:dyDescent="0.25">
      <c r="N9039" s="514"/>
      <c r="R9039" s="293"/>
      <c r="S9039" s="316"/>
      <c r="T9039" s="355"/>
    </row>
    <row r="9040" spans="14:20" x14ac:dyDescent="0.25">
      <c r="N9040" s="514"/>
      <c r="R9040" s="293"/>
      <c r="S9040" s="316"/>
      <c r="T9040" s="355"/>
    </row>
    <row r="9041" spans="14:20" x14ac:dyDescent="0.25">
      <c r="N9041" s="514"/>
      <c r="R9041" s="293"/>
      <c r="S9041" s="316"/>
      <c r="T9041" s="355"/>
    </row>
    <row r="9042" spans="14:20" x14ac:dyDescent="0.25">
      <c r="N9042" s="514"/>
      <c r="R9042" s="293"/>
      <c r="S9042" s="316"/>
      <c r="T9042" s="355"/>
    </row>
    <row r="9043" spans="14:20" x14ac:dyDescent="0.25">
      <c r="N9043" s="514"/>
      <c r="R9043" s="293"/>
      <c r="S9043" s="316"/>
      <c r="T9043" s="355"/>
    </row>
    <row r="9044" spans="14:20" x14ac:dyDescent="0.25">
      <c r="N9044" s="514"/>
      <c r="R9044" s="293"/>
      <c r="S9044" s="316"/>
      <c r="T9044" s="355"/>
    </row>
    <row r="9045" spans="14:20" x14ac:dyDescent="0.25">
      <c r="N9045" s="514"/>
      <c r="R9045" s="293"/>
      <c r="S9045" s="316"/>
      <c r="T9045" s="355"/>
    </row>
    <row r="9046" spans="14:20" x14ac:dyDescent="0.25">
      <c r="N9046" s="514"/>
      <c r="R9046" s="293"/>
      <c r="S9046" s="316"/>
      <c r="T9046" s="355"/>
    </row>
    <row r="9047" spans="14:20" x14ac:dyDescent="0.25">
      <c r="N9047" s="514"/>
      <c r="R9047" s="293"/>
      <c r="S9047" s="316"/>
      <c r="T9047" s="355"/>
    </row>
    <row r="9048" spans="14:20" x14ac:dyDescent="0.25">
      <c r="N9048" s="514"/>
      <c r="R9048" s="293"/>
      <c r="S9048" s="316"/>
      <c r="T9048" s="355"/>
    </row>
    <row r="9049" spans="14:20" x14ac:dyDescent="0.25">
      <c r="N9049" s="514"/>
      <c r="R9049" s="293"/>
      <c r="S9049" s="316"/>
      <c r="T9049" s="355"/>
    </row>
    <row r="9050" spans="14:20" x14ac:dyDescent="0.25">
      <c r="N9050" s="514"/>
      <c r="R9050" s="293"/>
      <c r="S9050" s="316"/>
      <c r="T9050" s="355"/>
    </row>
    <row r="9051" spans="14:20" x14ac:dyDescent="0.25">
      <c r="N9051" s="514"/>
      <c r="R9051" s="293"/>
      <c r="S9051" s="316"/>
      <c r="T9051" s="355"/>
    </row>
    <row r="9052" spans="14:20" x14ac:dyDescent="0.25">
      <c r="N9052" s="514"/>
      <c r="R9052" s="293"/>
      <c r="S9052" s="316"/>
      <c r="T9052" s="355"/>
    </row>
    <row r="9053" spans="14:20" x14ac:dyDescent="0.25">
      <c r="N9053" s="514"/>
      <c r="R9053" s="293"/>
      <c r="S9053" s="316"/>
      <c r="T9053" s="355"/>
    </row>
    <row r="9054" spans="14:20" x14ac:dyDescent="0.25">
      <c r="N9054" s="514"/>
      <c r="R9054" s="293"/>
      <c r="S9054" s="316"/>
      <c r="T9054" s="355"/>
    </row>
    <row r="9055" spans="14:20" x14ac:dyDescent="0.25">
      <c r="N9055" s="514"/>
      <c r="R9055" s="293"/>
      <c r="S9055" s="316"/>
      <c r="T9055" s="355"/>
    </row>
    <row r="9056" spans="14:20" x14ac:dyDescent="0.25">
      <c r="N9056" s="514"/>
      <c r="R9056" s="293"/>
      <c r="S9056" s="316"/>
      <c r="T9056" s="355"/>
    </row>
    <row r="9057" spans="14:20" x14ac:dyDescent="0.25">
      <c r="N9057" s="514"/>
      <c r="R9057" s="293"/>
      <c r="S9057" s="316"/>
      <c r="T9057" s="355"/>
    </row>
    <row r="9058" spans="14:20" x14ac:dyDescent="0.25">
      <c r="N9058" s="514"/>
      <c r="R9058" s="293"/>
      <c r="S9058" s="316"/>
      <c r="T9058" s="355"/>
    </row>
    <row r="9059" spans="14:20" x14ac:dyDescent="0.25">
      <c r="N9059" s="514"/>
      <c r="R9059" s="293"/>
      <c r="S9059" s="316"/>
      <c r="T9059" s="355"/>
    </row>
    <row r="9060" spans="14:20" x14ac:dyDescent="0.25">
      <c r="N9060" s="514"/>
      <c r="R9060" s="293"/>
      <c r="S9060" s="316"/>
      <c r="T9060" s="355"/>
    </row>
    <row r="9061" spans="14:20" x14ac:dyDescent="0.25">
      <c r="N9061" s="514"/>
      <c r="R9061" s="293"/>
      <c r="S9061" s="316"/>
      <c r="T9061" s="355"/>
    </row>
    <row r="9062" spans="14:20" x14ac:dyDescent="0.25">
      <c r="N9062" s="514"/>
      <c r="R9062" s="293"/>
      <c r="S9062" s="316"/>
      <c r="T9062" s="355"/>
    </row>
    <row r="9063" spans="14:20" x14ac:dyDescent="0.25">
      <c r="N9063" s="514"/>
      <c r="R9063" s="293"/>
      <c r="S9063" s="316"/>
      <c r="T9063" s="355"/>
    </row>
    <row r="9064" spans="14:20" x14ac:dyDescent="0.25">
      <c r="N9064" s="514"/>
      <c r="R9064" s="293"/>
      <c r="S9064" s="316"/>
      <c r="T9064" s="355"/>
    </row>
    <row r="9065" spans="14:20" x14ac:dyDescent="0.25">
      <c r="N9065" s="514"/>
      <c r="R9065" s="293"/>
      <c r="S9065" s="316"/>
      <c r="T9065" s="355"/>
    </row>
    <row r="9066" spans="14:20" x14ac:dyDescent="0.25">
      <c r="N9066" s="514"/>
      <c r="R9066" s="293"/>
      <c r="S9066" s="316"/>
      <c r="T9066" s="355"/>
    </row>
    <row r="9067" spans="14:20" x14ac:dyDescent="0.25">
      <c r="N9067" s="514"/>
      <c r="R9067" s="293"/>
      <c r="S9067" s="316"/>
      <c r="T9067" s="355"/>
    </row>
    <row r="9068" spans="14:20" x14ac:dyDescent="0.25">
      <c r="N9068" s="514"/>
      <c r="R9068" s="293"/>
      <c r="S9068" s="316"/>
      <c r="T9068" s="355"/>
    </row>
    <row r="9069" spans="14:20" x14ac:dyDescent="0.25">
      <c r="N9069" s="514"/>
      <c r="R9069" s="293"/>
      <c r="S9069" s="316"/>
      <c r="T9069" s="355"/>
    </row>
    <row r="9070" spans="14:20" x14ac:dyDescent="0.25">
      <c r="N9070" s="514"/>
      <c r="R9070" s="293"/>
      <c r="S9070" s="316"/>
      <c r="T9070" s="355"/>
    </row>
    <row r="9071" spans="14:20" x14ac:dyDescent="0.25">
      <c r="N9071" s="514"/>
      <c r="R9071" s="293"/>
      <c r="S9071" s="316"/>
      <c r="T9071" s="355"/>
    </row>
    <row r="9072" spans="14:20" x14ac:dyDescent="0.25">
      <c r="N9072" s="514"/>
      <c r="R9072" s="293"/>
      <c r="S9072" s="316"/>
      <c r="T9072" s="355"/>
    </row>
    <row r="9073" spans="14:20" x14ac:dyDescent="0.25">
      <c r="N9073" s="514"/>
      <c r="R9073" s="293"/>
      <c r="S9073" s="316"/>
      <c r="T9073" s="355"/>
    </row>
    <row r="9074" spans="14:20" x14ac:dyDescent="0.25">
      <c r="N9074" s="514"/>
      <c r="R9074" s="293"/>
      <c r="S9074" s="316"/>
      <c r="T9074" s="355"/>
    </row>
    <row r="9075" spans="14:20" x14ac:dyDescent="0.25">
      <c r="N9075" s="514"/>
      <c r="R9075" s="293"/>
      <c r="S9075" s="316"/>
      <c r="T9075" s="355"/>
    </row>
    <row r="9076" spans="14:20" x14ac:dyDescent="0.25">
      <c r="N9076" s="514"/>
      <c r="R9076" s="293"/>
      <c r="S9076" s="316"/>
      <c r="T9076" s="355"/>
    </row>
    <row r="9077" spans="14:20" x14ac:dyDescent="0.25">
      <c r="N9077" s="514"/>
      <c r="R9077" s="293"/>
      <c r="S9077" s="316"/>
      <c r="T9077" s="355"/>
    </row>
    <row r="9078" spans="14:20" x14ac:dyDescent="0.25">
      <c r="N9078" s="514"/>
      <c r="R9078" s="293"/>
      <c r="S9078" s="316"/>
      <c r="T9078" s="355"/>
    </row>
    <row r="9079" spans="14:20" x14ac:dyDescent="0.25">
      <c r="N9079" s="514"/>
      <c r="R9079" s="293"/>
      <c r="S9079" s="316"/>
      <c r="T9079" s="355"/>
    </row>
    <row r="9080" spans="14:20" x14ac:dyDescent="0.25">
      <c r="N9080" s="514"/>
      <c r="R9080" s="293"/>
      <c r="S9080" s="316"/>
      <c r="T9080" s="355"/>
    </row>
    <row r="9081" spans="14:20" x14ac:dyDescent="0.25">
      <c r="N9081" s="514"/>
      <c r="R9081" s="293"/>
      <c r="S9081" s="316"/>
      <c r="T9081" s="355"/>
    </row>
    <row r="9082" spans="14:20" x14ac:dyDescent="0.25">
      <c r="N9082" s="514"/>
      <c r="R9082" s="293"/>
      <c r="S9082" s="316"/>
      <c r="T9082" s="355"/>
    </row>
    <row r="9083" spans="14:20" x14ac:dyDescent="0.25">
      <c r="N9083" s="514"/>
      <c r="R9083" s="293"/>
      <c r="S9083" s="316"/>
      <c r="T9083" s="355"/>
    </row>
    <row r="9084" spans="14:20" x14ac:dyDescent="0.25">
      <c r="N9084" s="514"/>
      <c r="R9084" s="293"/>
      <c r="S9084" s="316"/>
      <c r="T9084" s="355"/>
    </row>
    <row r="9085" spans="14:20" x14ac:dyDescent="0.25">
      <c r="N9085" s="514"/>
      <c r="R9085" s="293"/>
      <c r="S9085" s="316"/>
      <c r="T9085" s="355"/>
    </row>
    <row r="9086" spans="14:20" x14ac:dyDescent="0.25">
      <c r="N9086" s="514"/>
      <c r="R9086" s="293"/>
      <c r="S9086" s="316"/>
      <c r="T9086" s="355"/>
    </row>
    <row r="9087" spans="14:20" x14ac:dyDescent="0.25">
      <c r="N9087" s="514"/>
      <c r="R9087" s="293"/>
      <c r="S9087" s="316"/>
      <c r="T9087" s="355"/>
    </row>
    <row r="9088" spans="14:20" x14ac:dyDescent="0.25">
      <c r="N9088" s="514"/>
      <c r="R9088" s="293"/>
      <c r="S9088" s="316"/>
      <c r="T9088" s="355"/>
    </row>
    <row r="9089" spans="14:20" x14ac:dyDescent="0.25">
      <c r="N9089" s="514"/>
      <c r="R9089" s="293"/>
      <c r="S9089" s="316"/>
      <c r="T9089" s="355"/>
    </row>
    <row r="9090" spans="14:20" x14ac:dyDescent="0.25">
      <c r="N9090" s="514"/>
      <c r="R9090" s="293"/>
      <c r="S9090" s="316"/>
      <c r="T9090" s="355"/>
    </row>
    <row r="9091" spans="14:20" x14ac:dyDescent="0.25">
      <c r="N9091" s="514"/>
      <c r="R9091" s="293"/>
      <c r="S9091" s="316"/>
      <c r="T9091" s="355"/>
    </row>
    <row r="9092" spans="14:20" x14ac:dyDescent="0.25">
      <c r="N9092" s="514"/>
      <c r="R9092" s="293"/>
      <c r="S9092" s="316"/>
      <c r="T9092" s="355"/>
    </row>
    <row r="9093" spans="14:20" x14ac:dyDescent="0.25">
      <c r="N9093" s="514"/>
      <c r="R9093" s="293"/>
      <c r="S9093" s="316"/>
      <c r="T9093" s="355"/>
    </row>
    <row r="9094" spans="14:20" x14ac:dyDescent="0.25">
      <c r="N9094" s="514"/>
      <c r="R9094" s="293"/>
      <c r="S9094" s="316"/>
      <c r="T9094" s="355"/>
    </row>
    <row r="9095" spans="14:20" x14ac:dyDescent="0.25">
      <c r="N9095" s="514"/>
      <c r="R9095" s="293"/>
      <c r="S9095" s="316"/>
      <c r="T9095" s="355"/>
    </row>
    <row r="9096" spans="14:20" x14ac:dyDescent="0.25">
      <c r="N9096" s="514"/>
      <c r="R9096" s="293"/>
      <c r="S9096" s="316"/>
      <c r="T9096" s="355"/>
    </row>
    <row r="9097" spans="14:20" x14ac:dyDescent="0.25">
      <c r="N9097" s="514"/>
      <c r="R9097" s="293"/>
      <c r="S9097" s="316"/>
      <c r="T9097" s="355"/>
    </row>
    <row r="9098" spans="14:20" x14ac:dyDescent="0.25">
      <c r="N9098" s="514"/>
      <c r="R9098" s="293"/>
      <c r="S9098" s="316"/>
      <c r="T9098" s="355"/>
    </row>
    <row r="9099" spans="14:20" x14ac:dyDescent="0.25">
      <c r="N9099" s="514"/>
      <c r="R9099" s="293"/>
      <c r="S9099" s="316"/>
      <c r="T9099" s="355"/>
    </row>
    <row r="9100" spans="14:20" x14ac:dyDescent="0.25">
      <c r="N9100" s="514"/>
      <c r="R9100" s="293"/>
      <c r="S9100" s="316"/>
      <c r="T9100" s="355"/>
    </row>
    <row r="9101" spans="14:20" x14ac:dyDescent="0.25">
      <c r="N9101" s="514"/>
      <c r="R9101" s="293"/>
      <c r="S9101" s="316"/>
      <c r="T9101" s="355"/>
    </row>
    <row r="9102" spans="14:20" x14ac:dyDescent="0.25">
      <c r="N9102" s="514"/>
      <c r="R9102" s="293"/>
      <c r="S9102" s="316"/>
      <c r="T9102" s="355"/>
    </row>
    <row r="9103" spans="14:20" x14ac:dyDescent="0.25">
      <c r="N9103" s="514"/>
      <c r="R9103" s="293"/>
      <c r="S9103" s="316"/>
      <c r="T9103" s="355"/>
    </row>
    <row r="9104" spans="14:20" x14ac:dyDescent="0.25">
      <c r="N9104" s="514"/>
      <c r="R9104" s="293"/>
      <c r="S9104" s="316"/>
      <c r="T9104" s="355"/>
    </row>
    <row r="9105" spans="14:20" x14ac:dyDescent="0.25">
      <c r="N9105" s="514"/>
      <c r="R9105" s="293"/>
      <c r="S9105" s="316"/>
      <c r="T9105" s="355"/>
    </row>
    <row r="9106" spans="14:20" x14ac:dyDescent="0.25">
      <c r="N9106" s="514"/>
      <c r="R9106" s="293"/>
      <c r="S9106" s="316"/>
      <c r="T9106" s="355"/>
    </row>
    <row r="9107" spans="14:20" x14ac:dyDescent="0.25">
      <c r="N9107" s="514"/>
      <c r="R9107" s="293"/>
      <c r="S9107" s="316"/>
      <c r="T9107" s="355"/>
    </row>
    <row r="9108" spans="14:20" x14ac:dyDescent="0.25">
      <c r="N9108" s="514"/>
      <c r="R9108" s="293"/>
      <c r="S9108" s="316"/>
      <c r="T9108" s="355"/>
    </row>
    <row r="9109" spans="14:20" x14ac:dyDescent="0.25">
      <c r="N9109" s="514"/>
      <c r="R9109" s="293"/>
      <c r="S9109" s="316"/>
      <c r="T9109" s="355"/>
    </row>
    <row r="9110" spans="14:20" x14ac:dyDescent="0.25">
      <c r="N9110" s="514"/>
      <c r="R9110" s="293"/>
      <c r="S9110" s="316"/>
      <c r="T9110" s="355"/>
    </row>
    <row r="9111" spans="14:20" x14ac:dyDescent="0.25">
      <c r="N9111" s="514"/>
      <c r="R9111" s="293"/>
      <c r="S9111" s="316"/>
      <c r="T9111" s="355"/>
    </row>
    <row r="9112" spans="14:20" x14ac:dyDescent="0.25">
      <c r="N9112" s="514"/>
      <c r="R9112" s="293"/>
      <c r="S9112" s="316"/>
      <c r="T9112" s="355"/>
    </row>
    <row r="9113" spans="14:20" x14ac:dyDescent="0.25">
      <c r="N9113" s="514"/>
      <c r="R9113" s="293"/>
      <c r="S9113" s="316"/>
      <c r="T9113" s="355"/>
    </row>
    <row r="9114" spans="14:20" x14ac:dyDescent="0.25">
      <c r="N9114" s="514"/>
      <c r="R9114" s="293"/>
      <c r="S9114" s="316"/>
      <c r="T9114" s="355"/>
    </row>
    <row r="9115" spans="14:20" x14ac:dyDescent="0.25">
      <c r="N9115" s="514"/>
      <c r="R9115" s="293"/>
      <c r="S9115" s="316"/>
      <c r="T9115" s="355"/>
    </row>
    <row r="9116" spans="14:20" x14ac:dyDescent="0.25">
      <c r="N9116" s="514"/>
      <c r="R9116" s="293"/>
      <c r="S9116" s="316"/>
      <c r="T9116" s="355"/>
    </row>
    <row r="9117" spans="14:20" x14ac:dyDescent="0.25">
      <c r="N9117" s="514"/>
      <c r="R9117" s="293"/>
      <c r="S9117" s="316"/>
      <c r="T9117" s="355"/>
    </row>
    <row r="9118" spans="14:20" x14ac:dyDescent="0.25">
      <c r="N9118" s="514"/>
      <c r="R9118" s="293"/>
      <c r="S9118" s="316"/>
      <c r="T9118" s="355"/>
    </row>
    <row r="9119" spans="14:20" x14ac:dyDescent="0.25">
      <c r="N9119" s="514"/>
      <c r="R9119" s="293"/>
      <c r="S9119" s="316"/>
      <c r="T9119" s="355"/>
    </row>
    <row r="9120" spans="14:20" x14ac:dyDescent="0.25">
      <c r="N9120" s="514"/>
      <c r="R9120" s="293"/>
      <c r="S9120" s="316"/>
      <c r="T9120" s="355"/>
    </row>
    <row r="9121" spans="14:20" x14ac:dyDescent="0.25">
      <c r="N9121" s="514"/>
      <c r="R9121" s="293"/>
      <c r="S9121" s="316"/>
      <c r="T9121" s="355"/>
    </row>
    <row r="9122" spans="14:20" x14ac:dyDescent="0.25">
      <c r="N9122" s="514"/>
      <c r="R9122" s="293"/>
      <c r="S9122" s="316"/>
      <c r="T9122" s="355"/>
    </row>
    <row r="9123" spans="14:20" x14ac:dyDescent="0.25">
      <c r="N9123" s="514"/>
      <c r="R9123" s="293"/>
      <c r="S9123" s="316"/>
      <c r="T9123" s="355"/>
    </row>
    <row r="9124" spans="14:20" x14ac:dyDescent="0.25">
      <c r="N9124" s="514"/>
      <c r="R9124" s="293"/>
      <c r="S9124" s="316"/>
      <c r="T9124" s="355"/>
    </row>
    <row r="9125" spans="14:20" x14ac:dyDescent="0.25">
      <c r="N9125" s="514"/>
      <c r="R9125" s="293"/>
      <c r="S9125" s="316"/>
      <c r="T9125" s="355"/>
    </row>
    <row r="9126" spans="14:20" x14ac:dyDescent="0.25">
      <c r="N9126" s="514"/>
      <c r="R9126" s="293"/>
      <c r="S9126" s="316"/>
      <c r="T9126" s="355"/>
    </row>
    <row r="9127" spans="14:20" x14ac:dyDescent="0.25">
      <c r="N9127" s="514"/>
      <c r="R9127" s="293"/>
      <c r="S9127" s="316"/>
      <c r="T9127" s="355"/>
    </row>
    <row r="9128" spans="14:20" x14ac:dyDescent="0.25">
      <c r="N9128" s="514"/>
      <c r="R9128" s="293"/>
      <c r="S9128" s="316"/>
      <c r="T9128" s="355"/>
    </row>
    <row r="9129" spans="14:20" x14ac:dyDescent="0.25">
      <c r="N9129" s="514"/>
      <c r="R9129" s="293"/>
      <c r="S9129" s="316"/>
      <c r="T9129" s="355"/>
    </row>
    <row r="9130" spans="14:20" x14ac:dyDescent="0.25">
      <c r="N9130" s="514"/>
      <c r="R9130" s="293"/>
      <c r="S9130" s="316"/>
      <c r="T9130" s="355"/>
    </row>
    <row r="9131" spans="14:20" x14ac:dyDescent="0.25">
      <c r="N9131" s="514"/>
      <c r="R9131" s="293"/>
      <c r="S9131" s="316"/>
      <c r="T9131" s="355"/>
    </row>
    <row r="9132" spans="14:20" x14ac:dyDescent="0.25">
      <c r="N9132" s="514"/>
      <c r="R9132" s="293"/>
      <c r="S9132" s="316"/>
      <c r="T9132" s="355"/>
    </row>
    <row r="9133" spans="14:20" x14ac:dyDescent="0.25">
      <c r="N9133" s="514"/>
      <c r="R9133" s="293"/>
      <c r="S9133" s="316"/>
      <c r="T9133" s="355"/>
    </row>
    <row r="9134" spans="14:20" x14ac:dyDescent="0.25">
      <c r="N9134" s="514"/>
      <c r="R9134" s="293"/>
      <c r="S9134" s="316"/>
      <c r="T9134" s="355"/>
    </row>
    <row r="9135" spans="14:20" x14ac:dyDescent="0.25">
      <c r="N9135" s="514"/>
      <c r="R9135" s="293"/>
      <c r="S9135" s="316"/>
      <c r="T9135" s="355"/>
    </row>
    <row r="9136" spans="14:20" x14ac:dyDescent="0.25">
      <c r="N9136" s="514"/>
      <c r="R9136" s="293"/>
      <c r="S9136" s="316"/>
      <c r="T9136" s="355"/>
    </row>
    <row r="9137" spans="14:20" x14ac:dyDescent="0.25">
      <c r="N9137" s="514"/>
      <c r="R9137" s="293"/>
      <c r="S9137" s="316"/>
      <c r="T9137" s="355"/>
    </row>
    <row r="9138" spans="14:20" x14ac:dyDescent="0.25">
      <c r="N9138" s="514"/>
      <c r="R9138" s="293"/>
      <c r="S9138" s="316"/>
      <c r="T9138" s="355"/>
    </row>
    <row r="9139" spans="14:20" x14ac:dyDescent="0.25">
      <c r="N9139" s="514"/>
      <c r="R9139" s="293"/>
      <c r="S9139" s="316"/>
      <c r="T9139" s="355"/>
    </row>
    <row r="9140" spans="14:20" x14ac:dyDescent="0.25">
      <c r="N9140" s="514"/>
      <c r="R9140" s="293"/>
      <c r="S9140" s="316"/>
      <c r="T9140" s="355"/>
    </row>
    <row r="9141" spans="14:20" x14ac:dyDescent="0.25">
      <c r="N9141" s="514"/>
      <c r="R9141" s="293"/>
      <c r="S9141" s="316"/>
      <c r="T9141" s="355"/>
    </row>
    <row r="9142" spans="14:20" x14ac:dyDescent="0.25">
      <c r="N9142" s="514"/>
      <c r="R9142" s="293"/>
      <c r="S9142" s="316"/>
      <c r="T9142" s="355"/>
    </row>
    <row r="9143" spans="14:20" x14ac:dyDescent="0.25">
      <c r="N9143" s="514"/>
      <c r="R9143" s="293"/>
      <c r="S9143" s="316"/>
      <c r="T9143" s="355"/>
    </row>
    <row r="9144" spans="14:20" x14ac:dyDescent="0.25">
      <c r="N9144" s="514"/>
      <c r="R9144" s="293"/>
      <c r="S9144" s="316"/>
      <c r="T9144" s="355"/>
    </row>
    <row r="9145" spans="14:20" x14ac:dyDescent="0.25">
      <c r="N9145" s="514"/>
      <c r="R9145" s="293"/>
      <c r="S9145" s="316"/>
      <c r="T9145" s="355"/>
    </row>
    <row r="9146" spans="14:20" x14ac:dyDescent="0.25">
      <c r="N9146" s="514"/>
      <c r="R9146" s="293"/>
      <c r="S9146" s="316"/>
      <c r="T9146" s="355"/>
    </row>
    <row r="9147" spans="14:20" x14ac:dyDescent="0.25">
      <c r="N9147" s="514"/>
      <c r="R9147" s="293"/>
      <c r="S9147" s="316"/>
      <c r="T9147" s="355"/>
    </row>
    <row r="9148" spans="14:20" x14ac:dyDescent="0.25">
      <c r="N9148" s="514"/>
      <c r="R9148" s="293"/>
      <c r="S9148" s="316"/>
      <c r="T9148" s="355"/>
    </row>
    <row r="9149" spans="14:20" x14ac:dyDescent="0.25">
      <c r="N9149" s="514"/>
      <c r="R9149" s="293"/>
      <c r="S9149" s="316"/>
      <c r="T9149" s="355"/>
    </row>
    <row r="9150" spans="14:20" x14ac:dyDescent="0.25">
      <c r="N9150" s="514"/>
      <c r="R9150" s="293"/>
      <c r="S9150" s="316"/>
      <c r="T9150" s="355"/>
    </row>
    <row r="9151" spans="14:20" x14ac:dyDescent="0.25">
      <c r="N9151" s="514"/>
      <c r="R9151" s="293"/>
      <c r="S9151" s="316"/>
      <c r="T9151" s="355"/>
    </row>
    <row r="9152" spans="14:20" x14ac:dyDescent="0.25">
      <c r="N9152" s="514"/>
      <c r="R9152" s="293"/>
      <c r="S9152" s="316"/>
      <c r="T9152" s="355"/>
    </row>
    <row r="9153" spans="14:20" x14ac:dyDescent="0.25">
      <c r="N9153" s="514"/>
      <c r="R9153" s="293"/>
      <c r="S9153" s="316"/>
      <c r="T9153" s="355"/>
    </row>
    <row r="9154" spans="14:20" x14ac:dyDescent="0.25">
      <c r="N9154" s="514"/>
      <c r="R9154" s="293"/>
      <c r="S9154" s="316"/>
      <c r="T9154" s="355"/>
    </row>
    <row r="9155" spans="14:20" x14ac:dyDescent="0.25">
      <c r="N9155" s="514"/>
      <c r="R9155" s="293"/>
      <c r="S9155" s="316"/>
      <c r="T9155" s="355"/>
    </row>
    <row r="9156" spans="14:20" x14ac:dyDescent="0.25">
      <c r="N9156" s="514"/>
      <c r="R9156" s="293"/>
      <c r="S9156" s="316"/>
      <c r="T9156" s="355"/>
    </row>
    <row r="9157" spans="14:20" x14ac:dyDescent="0.25">
      <c r="N9157" s="514"/>
      <c r="R9157" s="293"/>
      <c r="S9157" s="316"/>
      <c r="T9157" s="355"/>
    </row>
    <row r="9158" spans="14:20" x14ac:dyDescent="0.25">
      <c r="N9158" s="514"/>
      <c r="R9158" s="293"/>
      <c r="S9158" s="316"/>
      <c r="T9158" s="355"/>
    </row>
    <row r="9159" spans="14:20" x14ac:dyDescent="0.25">
      <c r="N9159" s="514"/>
      <c r="R9159" s="293"/>
      <c r="S9159" s="316"/>
      <c r="T9159" s="355"/>
    </row>
    <row r="9160" spans="14:20" x14ac:dyDescent="0.25">
      <c r="N9160" s="514"/>
      <c r="R9160" s="293"/>
      <c r="S9160" s="316"/>
      <c r="T9160" s="355"/>
    </row>
    <row r="9161" spans="14:20" x14ac:dyDescent="0.25">
      <c r="N9161" s="514"/>
      <c r="R9161" s="293"/>
      <c r="S9161" s="316"/>
      <c r="T9161" s="355"/>
    </row>
    <row r="9162" spans="14:20" x14ac:dyDescent="0.25">
      <c r="N9162" s="514"/>
      <c r="R9162" s="293"/>
      <c r="S9162" s="316"/>
      <c r="T9162" s="355"/>
    </row>
    <row r="9163" spans="14:20" x14ac:dyDescent="0.25">
      <c r="N9163" s="514"/>
      <c r="R9163" s="293"/>
      <c r="S9163" s="316"/>
      <c r="T9163" s="355"/>
    </row>
    <row r="9164" spans="14:20" x14ac:dyDescent="0.25">
      <c r="N9164" s="514"/>
      <c r="R9164" s="293"/>
      <c r="S9164" s="316"/>
      <c r="T9164" s="355"/>
    </row>
    <row r="9165" spans="14:20" x14ac:dyDescent="0.25">
      <c r="N9165" s="514"/>
      <c r="R9165" s="293"/>
      <c r="S9165" s="316"/>
      <c r="T9165" s="355"/>
    </row>
    <row r="9166" spans="14:20" x14ac:dyDescent="0.25">
      <c r="N9166" s="514"/>
      <c r="R9166" s="293"/>
      <c r="S9166" s="316"/>
      <c r="T9166" s="355"/>
    </row>
    <row r="9167" spans="14:20" x14ac:dyDescent="0.25">
      <c r="N9167" s="514"/>
      <c r="R9167" s="293"/>
      <c r="S9167" s="316"/>
      <c r="T9167" s="355"/>
    </row>
    <row r="9168" spans="14:20" x14ac:dyDescent="0.25">
      <c r="N9168" s="514"/>
      <c r="R9168" s="293"/>
      <c r="S9168" s="316"/>
      <c r="T9168" s="355"/>
    </row>
    <row r="9169" spans="14:20" x14ac:dyDescent="0.25">
      <c r="N9169" s="514"/>
      <c r="R9169" s="293"/>
      <c r="S9169" s="316"/>
      <c r="T9169" s="355"/>
    </row>
    <row r="9170" spans="14:20" x14ac:dyDescent="0.25">
      <c r="N9170" s="514"/>
      <c r="R9170" s="293"/>
      <c r="S9170" s="316"/>
      <c r="T9170" s="355"/>
    </row>
    <row r="9171" spans="14:20" x14ac:dyDescent="0.25">
      <c r="N9171" s="514"/>
      <c r="R9171" s="293"/>
      <c r="S9171" s="316"/>
      <c r="T9171" s="355"/>
    </row>
    <row r="9172" spans="14:20" x14ac:dyDescent="0.25">
      <c r="N9172" s="514"/>
      <c r="R9172" s="293"/>
      <c r="S9172" s="316"/>
      <c r="T9172" s="355"/>
    </row>
    <row r="9173" spans="14:20" x14ac:dyDescent="0.25">
      <c r="N9173" s="514"/>
      <c r="R9173" s="293"/>
      <c r="S9173" s="316"/>
      <c r="T9173" s="355"/>
    </row>
    <row r="9174" spans="14:20" x14ac:dyDescent="0.25">
      <c r="N9174" s="514"/>
      <c r="R9174" s="293"/>
      <c r="S9174" s="316"/>
      <c r="T9174" s="355"/>
    </row>
    <row r="9175" spans="14:20" x14ac:dyDescent="0.25">
      <c r="N9175" s="514"/>
      <c r="R9175" s="293"/>
      <c r="S9175" s="316"/>
      <c r="T9175" s="355"/>
    </row>
    <row r="9176" spans="14:20" x14ac:dyDescent="0.25">
      <c r="N9176" s="514"/>
      <c r="R9176" s="293"/>
      <c r="S9176" s="316"/>
      <c r="T9176" s="355"/>
    </row>
    <row r="9177" spans="14:20" x14ac:dyDescent="0.25">
      <c r="N9177" s="514"/>
      <c r="R9177" s="293"/>
      <c r="S9177" s="316"/>
      <c r="T9177" s="355"/>
    </row>
    <row r="9178" spans="14:20" x14ac:dyDescent="0.25">
      <c r="N9178" s="514"/>
      <c r="R9178" s="293"/>
      <c r="S9178" s="316"/>
      <c r="T9178" s="355"/>
    </row>
    <row r="9179" spans="14:20" x14ac:dyDescent="0.25">
      <c r="N9179" s="514"/>
      <c r="R9179" s="293"/>
      <c r="S9179" s="316"/>
      <c r="T9179" s="355"/>
    </row>
    <row r="9180" spans="14:20" x14ac:dyDescent="0.25">
      <c r="N9180" s="514"/>
      <c r="R9180" s="293"/>
      <c r="S9180" s="316"/>
      <c r="T9180" s="355"/>
    </row>
    <row r="9181" spans="14:20" x14ac:dyDescent="0.25">
      <c r="N9181" s="514"/>
      <c r="R9181" s="293"/>
      <c r="S9181" s="316"/>
      <c r="T9181" s="355"/>
    </row>
    <row r="9182" spans="14:20" x14ac:dyDescent="0.25">
      <c r="N9182" s="514"/>
      <c r="R9182" s="293"/>
      <c r="S9182" s="316"/>
      <c r="T9182" s="355"/>
    </row>
    <row r="9183" spans="14:20" x14ac:dyDescent="0.25">
      <c r="N9183" s="514"/>
      <c r="R9183" s="293"/>
      <c r="S9183" s="316"/>
      <c r="T9183" s="355"/>
    </row>
    <row r="9184" spans="14:20" x14ac:dyDescent="0.25">
      <c r="N9184" s="514"/>
      <c r="R9184" s="293"/>
      <c r="S9184" s="316"/>
      <c r="T9184" s="355"/>
    </row>
    <row r="9185" spans="14:20" x14ac:dyDescent="0.25">
      <c r="N9185" s="514"/>
      <c r="R9185" s="293"/>
      <c r="S9185" s="316"/>
      <c r="T9185" s="355"/>
    </row>
    <row r="9186" spans="14:20" x14ac:dyDescent="0.25">
      <c r="N9186" s="514"/>
      <c r="R9186" s="293"/>
      <c r="S9186" s="316"/>
      <c r="T9186" s="355"/>
    </row>
    <row r="9187" spans="14:20" x14ac:dyDescent="0.25">
      <c r="N9187" s="514"/>
      <c r="R9187" s="293"/>
      <c r="S9187" s="316"/>
      <c r="T9187" s="355"/>
    </row>
    <row r="9188" spans="14:20" x14ac:dyDescent="0.25">
      <c r="N9188" s="514"/>
      <c r="R9188" s="293"/>
      <c r="S9188" s="316"/>
      <c r="T9188" s="355"/>
    </row>
    <row r="9189" spans="14:20" x14ac:dyDescent="0.25">
      <c r="N9189" s="514"/>
      <c r="R9189" s="293"/>
      <c r="S9189" s="316"/>
      <c r="T9189" s="355"/>
    </row>
    <row r="9190" spans="14:20" x14ac:dyDescent="0.25">
      <c r="N9190" s="514"/>
      <c r="R9190" s="293"/>
      <c r="S9190" s="316"/>
      <c r="T9190" s="355"/>
    </row>
    <row r="9191" spans="14:20" x14ac:dyDescent="0.25">
      <c r="N9191" s="514"/>
      <c r="R9191" s="293"/>
      <c r="S9191" s="316"/>
      <c r="T9191" s="355"/>
    </row>
    <row r="9192" spans="14:20" x14ac:dyDescent="0.25">
      <c r="N9192" s="514"/>
      <c r="R9192" s="293"/>
      <c r="S9192" s="316"/>
      <c r="T9192" s="355"/>
    </row>
    <row r="9193" spans="14:20" x14ac:dyDescent="0.25">
      <c r="N9193" s="514"/>
      <c r="R9193" s="293"/>
      <c r="S9193" s="316"/>
      <c r="T9193" s="355"/>
    </row>
    <row r="9194" spans="14:20" x14ac:dyDescent="0.25">
      <c r="N9194" s="514"/>
      <c r="R9194" s="293"/>
      <c r="S9194" s="316"/>
      <c r="T9194" s="355"/>
    </row>
    <row r="9195" spans="14:20" x14ac:dyDescent="0.25">
      <c r="N9195" s="514"/>
      <c r="R9195" s="293"/>
      <c r="S9195" s="316"/>
      <c r="T9195" s="355"/>
    </row>
    <row r="9196" spans="14:20" x14ac:dyDescent="0.25">
      <c r="N9196" s="514"/>
      <c r="R9196" s="293"/>
      <c r="S9196" s="316"/>
      <c r="T9196" s="355"/>
    </row>
    <row r="9197" spans="14:20" x14ac:dyDescent="0.25">
      <c r="N9197" s="514"/>
      <c r="R9197" s="293"/>
      <c r="S9197" s="316"/>
      <c r="T9197" s="355"/>
    </row>
    <row r="9198" spans="14:20" x14ac:dyDescent="0.25">
      <c r="N9198" s="514"/>
      <c r="R9198" s="293"/>
      <c r="S9198" s="316"/>
      <c r="T9198" s="355"/>
    </row>
    <row r="9199" spans="14:20" x14ac:dyDescent="0.25">
      <c r="N9199" s="514"/>
      <c r="R9199" s="293"/>
      <c r="S9199" s="316"/>
      <c r="T9199" s="355"/>
    </row>
    <row r="9200" spans="14:20" x14ac:dyDescent="0.25">
      <c r="N9200" s="514"/>
      <c r="R9200" s="293"/>
      <c r="S9200" s="316"/>
      <c r="T9200" s="355"/>
    </row>
    <row r="9201" spans="14:20" x14ac:dyDescent="0.25">
      <c r="N9201" s="514"/>
      <c r="R9201" s="293"/>
      <c r="S9201" s="316"/>
      <c r="T9201" s="355"/>
    </row>
    <row r="9202" spans="14:20" x14ac:dyDescent="0.25">
      <c r="N9202" s="514"/>
      <c r="R9202" s="293"/>
      <c r="S9202" s="316"/>
      <c r="T9202" s="355"/>
    </row>
    <row r="9203" spans="14:20" x14ac:dyDescent="0.25">
      <c r="N9203" s="514"/>
      <c r="R9203" s="293"/>
      <c r="S9203" s="316"/>
      <c r="T9203" s="355"/>
    </row>
    <row r="9204" spans="14:20" x14ac:dyDescent="0.25">
      <c r="N9204" s="514"/>
      <c r="R9204" s="293"/>
      <c r="S9204" s="316"/>
      <c r="T9204" s="355"/>
    </row>
    <row r="9205" spans="14:20" x14ac:dyDescent="0.25">
      <c r="N9205" s="514"/>
      <c r="R9205" s="293"/>
      <c r="S9205" s="316"/>
      <c r="T9205" s="355"/>
    </row>
    <row r="9206" spans="14:20" x14ac:dyDescent="0.25">
      <c r="N9206" s="514"/>
      <c r="R9206" s="293"/>
      <c r="S9206" s="316"/>
      <c r="T9206" s="355"/>
    </row>
    <row r="9207" spans="14:20" x14ac:dyDescent="0.25">
      <c r="N9207" s="514"/>
      <c r="R9207" s="293"/>
      <c r="S9207" s="316"/>
      <c r="T9207" s="355"/>
    </row>
    <row r="9208" spans="14:20" x14ac:dyDescent="0.25">
      <c r="N9208" s="514"/>
      <c r="R9208" s="293"/>
      <c r="S9208" s="316"/>
      <c r="T9208" s="355"/>
    </row>
    <row r="9209" spans="14:20" x14ac:dyDescent="0.25">
      <c r="N9209" s="514"/>
      <c r="R9209" s="293"/>
      <c r="S9209" s="316"/>
      <c r="T9209" s="355"/>
    </row>
    <row r="9210" spans="14:20" x14ac:dyDescent="0.25">
      <c r="N9210" s="514"/>
      <c r="R9210" s="293"/>
      <c r="S9210" s="316"/>
      <c r="T9210" s="355"/>
    </row>
    <row r="9211" spans="14:20" x14ac:dyDescent="0.25">
      <c r="N9211" s="514"/>
      <c r="R9211" s="293"/>
      <c r="S9211" s="316"/>
      <c r="T9211" s="355"/>
    </row>
    <row r="9212" spans="14:20" x14ac:dyDescent="0.25">
      <c r="N9212" s="514"/>
      <c r="R9212" s="293"/>
      <c r="S9212" s="316"/>
      <c r="T9212" s="355"/>
    </row>
    <row r="9213" spans="14:20" x14ac:dyDescent="0.25">
      <c r="N9213" s="514"/>
      <c r="R9213" s="293"/>
      <c r="S9213" s="316"/>
      <c r="T9213" s="355"/>
    </row>
    <row r="9214" spans="14:20" x14ac:dyDescent="0.25">
      <c r="N9214" s="514"/>
      <c r="R9214" s="293"/>
      <c r="S9214" s="316"/>
      <c r="T9214" s="355"/>
    </row>
    <row r="9215" spans="14:20" x14ac:dyDescent="0.25">
      <c r="N9215" s="514"/>
      <c r="R9215" s="293"/>
      <c r="S9215" s="316"/>
      <c r="T9215" s="355"/>
    </row>
    <row r="9216" spans="14:20" x14ac:dyDescent="0.25">
      <c r="N9216" s="514"/>
      <c r="R9216" s="293"/>
      <c r="S9216" s="316"/>
      <c r="T9216" s="355"/>
    </row>
    <row r="9217" spans="14:20" x14ac:dyDescent="0.25">
      <c r="N9217" s="514"/>
      <c r="R9217" s="293"/>
      <c r="S9217" s="316"/>
      <c r="T9217" s="355"/>
    </row>
    <row r="9218" spans="14:20" x14ac:dyDescent="0.25">
      <c r="N9218" s="514"/>
      <c r="R9218" s="293"/>
      <c r="S9218" s="316"/>
      <c r="T9218" s="355"/>
    </row>
    <row r="9219" spans="14:20" x14ac:dyDescent="0.25">
      <c r="N9219" s="514"/>
      <c r="R9219" s="293"/>
      <c r="S9219" s="316"/>
      <c r="T9219" s="355"/>
    </row>
    <row r="9220" spans="14:20" x14ac:dyDescent="0.25">
      <c r="N9220" s="514"/>
      <c r="R9220" s="293"/>
      <c r="S9220" s="316"/>
      <c r="T9220" s="355"/>
    </row>
    <row r="9221" spans="14:20" x14ac:dyDescent="0.25">
      <c r="N9221" s="514"/>
      <c r="R9221" s="293"/>
      <c r="S9221" s="316"/>
      <c r="T9221" s="355"/>
    </row>
    <row r="9222" spans="14:20" x14ac:dyDescent="0.25">
      <c r="N9222" s="514"/>
      <c r="R9222" s="293"/>
      <c r="S9222" s="316"/>
      <c r="T9222" s="355"/>
    </row>
    <row r="9223" spans="14:20" x14ac:dyDescent="0.25">
      <c r="N9223" s="514"/>
      <c r="R9223" s="293"/>
      <c r="S9223" s="316"/>
      <c r="T9223" s="355"/>
    </row>
    <row r="9224" spans="14:20" x14ac:dyDescent="0.25">
      <c r="N9224" s="514"/>
      <c r="R9224" s="293"/>
      <c r="S9224" s="316"/>
      <c r="T9224" s="355"/>
    </row>
    <row r="9225" spans="14:20" x14ac:dyDescent="0.25">
      <c r="N9225" s="514"/>
      <c r="R9225" s="293"/>
      <c r="S9225" s="316"/>
      <c r="T9225" s="355"/>
    </row>
    <row r="9226" spans="14:20" x14ac:dyDescent="0.25">
      <c r="N9226" s="514"/>
      <c r="R9226" s="293"/>
      <c r="S9226" s="316"/>
      <c r="T9226" s="355"/>
    </row>
    <row r="9227" spans="14:20" x14ac:dyDescent="0.25">
      <c r="N9227" s="514"/>
      <c r="R9227" s="293"/>
      <c r="S9227" s="316"/>
      <c r="T9227" s="355"/>
    </row>
    <row r="9228" spans="14:20" x14ac:dyDescent="0.25">
      <c r="N9228" s="514"/>
      <c r="R9228" s="293"/>
      <c r="S9228" s="316"/>
      <c r="T9228" s="355"/>
    </row>
    <row r="9229" spans="14:20" x14ac:dyDescent="0.25">
      <c r="N9229" s="514"/>
      <c r="R9229" s="293"/>
      <c r="S9229" s="316"/>
      <c r="T9229" s="355"/>
    </row>
    <row r="9230" spans="14:20" x14ac:dyDescent="0.25">
      <c r="N9230" s="514"/>
      <c r="R9230" s="293"/>
      <c r="S9230" s="316"/>
      <c r="T9230" s="355"/>
    </row>
    <row r="9231" spans="14:20" x14ac:dyDescent="0.25">
      <c r="N9231" s="514"/>
      <c r="R9231" s="293"/>
      <c r="S9231" s="316"/>
      <c r="T9231" s="355"/>
    </row>
    <row r="9232" spans="14:20" x14ac:dyDescent="0.25">
      <c r="N9232" s="514"/>
      <c r="R9232" s="293"/>
      <c r="S9232" s="316"/>
      <c r="T9232" s="355"/>
    </row>
    <row r="9233" spans="14:20" x14ac:dyDescent="0.25">
      <c r="N9233" s="514"/>
      <c r="R9233" s="293"/>
      <c r="S9233" s="316"/>
      <c r="T9233" s="355"/>
    </row>
    <row r="9234" spans="14:20" x14ac:dyDescent="0.25">
      <c r="N9234" s="514"/>
      <c r="R9234" s="293"/>
      <c r="S9234" s="316"/>
      <c r="T9234" s="355"/>
    </row>
    <row r="9235" spans="14:20" x14ac:dyDescent="0.25">
      <c r="N9235" s="514"/>
      <c r="R9235" s="293"/>
      <c r="S9235" s="316"/>
      <c r="T9235" s="355"/>
    </row>
    <row r="9236" spans="14:20" x14ac:dyDescent="0.25">
      <c r="N9236" s="514"/>
      <c r="R9236" s="293"/>
      <c r="S9236" s="316"/>
      <c r="T9236" s="355"/>
    </row>
    <row r="9237" spans="14:20" x14ac:dyDescent="0.25">
      <c r="N9237" s="514"/>
      <c r="R9237" s="293"/>
      <c r="S9237" s="316"/>
      <c r="T9237" s="355"/>
    </row>
    <row r="9238" spans="14:20" x14ac:dyDescent="0.25">
      <c r="N9238" s="514"/>
      <c r="R9238" s="293"/>
      <c r="S9238" s="316"/>
      <c r="T9238" s="355"/>
    </row>
    <row r="9239" spans="14:20" x14ac:dyDescent="0.25">
      <c r="N9239" s="514"/>
      <c r="R9239" s="293"/>
      <c r="S9239" s="316"/>
      <c r="T9239" s="355"/>
    </row>
    <row r="9240" spans="14:20" x14ac:dyDescent="0.25">
      <c r="N9240" s="514"/>
      <c r="R9240" s="293"/>
      <c r="S9240" s="316"/>
      <c r="T9240" s="355"/>
    </row>
    <row r="9241" spans="14:20" x14ac:dyDescent="0.25">
      <c r="N9241" s="514"/>
      <c r="R9241" s="293"/>
      <c r="S9241" s="316"/>
      <c r="T9241" s="355"/>
    </row>
    <row r="9242" spans="14:20" x14ac:dyDescent="0.25">
      <c r="N9242" s="514"/>
      <c r="R9242" s="293"/>
      <c r="S9242" s="316"/>
      <c r="T9242" s="355"/>
    </row>
    <row r="9243" spans="14:20" x14ac:dyDescent="0.25">
      <c r="N9243" s="514"/>
      <c r="R9243" s="293"/>
      <c r="S9243" s="316"/>
      <c r="T9243" s="355"/>
    </row>
    <row r="9244" spans="14:20" x14ac:dyDescent="0.25">
      <c r="N9244" s="514"/>
      <c r="R9244" s="293"/>
      <c r="S9244" s="316"/>
      <c r="T9244" s="355"/>
    </row>
    <row r="9245" spans="14:20" x14ac:dyDescent="0.25">
      <c r="N9245" s="514"/>
      <c r="R9245" s="293"/>
      <c r="S9245" s="316"/>
      <c r="T9245" s="355"/>
    </row>
    <row r="9246" spans="14:20" x14ac:dyDescent="0.25">
      <c r="N9246" s="514"/>
      <c r="R9246" s="293"/>
      <c r="S9246" s="316"/>
      <c r="T9246" s="355"/>
    </row>
    <row r="9247" spans="14:20" x14ac:dyDescent="0.25">
      <c r="N9247" s="514"/>
      <c r="R9247" s="293"/>
      <c r="S9247" s="316"/>
      <c r="T9247" s="355"/>
    </row>
    <row r="9248" spans="14:20" x14ac:dyDescent="0.25">
      <c r="N9248" s="514"/>
      <c r="R9248" s="293"/>
      <c r="S9248" s="316"/>
      <c r="T9248" s="355"/>
    </row>
    <row r="9249" spans="14:20" x14ac:dyDescent="0.25">
      <c r="N9249" s="514"/>
      <c r="R9249" s="293"/>
      <c r="S9249" s="316"/>
      <c r="T9249" s="355"/>
    </row>
    <row r="9250" spans="14:20" x14ac:dyDescent="0.25">
      <c r="N9250" s="514"/>
      <c r="R9250" s="293"/>
      <c r="S9250" s="316"/>
      <c r="T9250" s="355"/>
    </row>
    <row r="9251" spans="14:20" x14ac:dyDescent="0.25">
      <c r="N9251" s="514"/>
      <c r="R9251" s="293"/>
      <c r="S9251" s="316"/>
      <c r="T9251" s="355"/>
    </row>
    <row r="9252" spans="14:20" x14ac:dyDescent="0.25">
      <c r="N9252" s="514"/>
      <c r="R9252" s="293"/>
      <c r="S9252" s="316"/>
      <c r="T9252" s="355"/>
    </row>
    <row r="9253" spans="14:20" x14ac:dyDescent="0.25">
      <c r="N9253" s="514"/>
      <c r="R9253" s="293"/>
      <c r="S9253" s="316"/>
      <c r="T9253" s="355"/>
    </row>
    <row r="9254" spans="14:20" x14ac:dyDescent="0.25">
      <c r="N9254" s="514"/>
      <c r="R9254" s="293"/>
      <c r="S9254" s="316"/>
      <c r="T9254" s="355"/>
    </row>
    <row r="9255" spans="14:20" x14ac:dyDescent="0.25">
      <c r="N9255" s="514"/>
      <c r="R9255" s="293"/>
      <c r="S9255" s="316"/>
      <c r="T9255" s="355"/>
    </row>
    <row r="9256" spans="14:20" x14ac:dyDescent="0.25">
      <c r="N9256" s="514"/>
      <c r="R9256" s="293"/>
      <c r="S9256" s="316"/>
      <c r="T9256" s="355"/>
    </row>
    <row r="9257" spans="14:20" x14ac:dyDescent="0.25">
      <c r="N9257" s="514"/>
      <c r="R9257" s="293"/>
      <c r="S9257" s="316"/>
      <c r="T9257" s="355"/>
    </row>
    <row r="9258" spans="14:20" x14ac:dyDescent="0.25">
      <c r="N9258" s="514"/>
      <c r="R9258" s="293"/>
      <c r="S9258" s="316"/>
      <c r="T9258" s="355"/>
    </row>
    <row r="9259" spans="14:20" x14ac:dyDescent="0.25">
      <c r="N9259" s="514"/>
      <c r="R9259" s="293"/>
      <c r="S9259" s="316"/>
      <c r="T9259" s="355"/>
    </row>
    <row r="9260" spans="14:20" x14ac:dyDescent="0.25">
      <c r="N9260" s="514"/>
      <c r="R9260" s="293"/>
      <c r="S9260" s="316"/>
      <c r="T9260" s="355"/>
    </row>
    <row r="9261" spans="14:20" x14ac:dyDescent="0.25">
      <c r="N9261" s="514"/>
      <c r="R9261" s="293"/>
      <c r="S9261" s="316"/>
      <c r="T9261" s="355"/>
    </row>
    <row r="9262" spans="14:20" x14ac:dyDescent="0.25">
      <c r="N9262" s="514"/>
      <c r="R9262" s="293"/>
      <c r="S9262" s="316"/>
      <c r="T9262" s="355"/>
    </row>
    <row r="9263" spans="14:20" x14ac:dyDescent="0.25">
      <c r="N9263" s="514"/>
      <c r="R9263" s="293"/>
      <c r="S9263" s="316"/>
      <c r="T9263" s="355"/>
    </row>
    <row r="9264" spans="14:20" x14ac:dyDescent="0.25">
      <c r="N9264" s="514"/>
      <c r="R9264" s="293"/>
      <c r="S9264" s="316"/>
      <c r="T9264" s="355"/>
    </row>
    <row r="9265" spans="14:20" x14ac:dyDescent="0.25">
      <c r="N9265" s="514"/>
      <c r="R9265" s="293"/>
      <c r="S9265" s="316"/>
      <c r="T9265" s="355"/>
    </row>
    <row r="9266" spans="14:20" x14ac:dyDescent="0.25">
      <c r="N9266" s="514"/>
      <c r="R9266" s="293"/>
      <c r="S9266" s="316"/>
      <c r="T9266" s="355"/>
    </row>
    <row r="9267" spans="14:20" x14ac:dyDescent="0.25">
      <c r="N9267" s="514"/>
      <c r="R9267" s="293"/>
      <c r="S9267" s="316"/>
      <c r="T9267" s="355"/>
    </row>
    <row r="9268" spans="14:20" x14ac:dyDescent="0.25">
      <c r="N9268" s="514"/>
      <c r="R9268" s="293"/>
      <c r="S9268" s="316"/>
      <c r="T9268" s="355"/>
    </row>
    <row r="9269" spans="14:20" x14ac:dyDescent="0.25">
      <c r="N9269" s="514"/>
      <c r="R9269" s="293"/>
      <c r="S9269" s="316"/>
      <c r="T9269" s="355"/>
    </row>
    <row r="9270" spans="14:20" x14ac:dyDescent="0.25">
      <c r="N9270" s="514"/>
      <c r="R9270" s="293"/>
      <c r="S9270" s="316"/>
      <c r="T9270" s="355"/>
    </row>
    <row r="9271" spans="14:20" x14ac:dyDescent="0.25">
      <c r="N9271" s="514"/>
      <c r="R9271" s="293"/>
      <c r="S9271" s="316"/>
      <c r="T9271" s="355"/>
    </row>
    <row r="9272" spans="14:20" x14ac:dyDescent="0.25">
      <c r="N9272" s="514"/>
      <c r="R9272" s="293"/>
      <c r="S9272" s="316"/>
      <c r="T9272" s="355"/>
    </row>
    <row r="9273" spans="14:20" x14ac:dyDescent="0.25">
      <c r="N9273" s="514"/>
      <c r="R9273" s="293"/>
      <c r="S9273" s="316"/>
      <c r="T9273" s="355"/>
    </row>
    <row r="9274" spans="14:20" x14ac:dyDescent="0.25">
      <c r="N9274" s="514"/>
      <c r="R9274" s="293"/>
      <c r="S9274" s="316"/>
      <c r="T9274" s="355"/>
    </row>
    <row r="9275" spans="14:20" x14ac:dyDescent="0.25">
      <c r="N9275" s="514"/>
      <c r="R9275" s="293"/>
      <c r="S9275" s="316"/>
      <c r="T9275" s="355"/>
    </row>
    <row r="9276" spans="14:20" x14ac:dyDescent="0.25">
      <c r="N9276" s="514"/>
      <c r="R9276" s="293"/>
      <c r="S9276" s="316"/>
      <c r="T9276" s="355"/>
    </row>
    <row r="9277" spans="14:20" x14ac:dyDescent="0.25">
      <c r="N9277" s="514"/>
      <c r="R9277" s="293"/>
      <c r="S9277" s="316"/>
      <c r="T9277" s="355"/>
    </row>
    <row r="9278" spans="14:20" x14ac:dyDescent="0.25">
      <c r="N9278" s="514"/>
      <c r="R9278" s="293"/>
      <c r="S9278" s="316"/>
      <c r="T9278" s="355"/>
    </row>
    <row r="9279" spans="14:20" x14ac:dyDescent="0.25">
      <c r="N9279" s="514"/>
      <c r="R9279" s="293"/>
      <c r="S9279" s="316"/>
      <c r="T9279" s="355"/>
    </row>
    <row r="9280" spans="14:20" x14ac:dyDescent="0.25">
      <c r="N9280" s="514"/>
      <c r="R9280" s="293"/>
      <c r="S9280" s="316"/>
      <c r="T9280" s="355"/>
    </row>
    <row r="9281" spans="14:20" x14ac:dyDescent="0.25">
      <c r="N9281" s="514"/>
      <c r="R9281" s="293"/>
      <c r="S9281" s="316"/>
      <c r="T9281" s="355"/>
    </row>
    <row r="9282" spans="14:20" x14ac:dyDescent="0.25">
      <c r="N9282" s="514"/>
      <c r="R9282" s="293"/>
      <c r="S9282" s="316"/>
      <c r="T9282" s="355"/>
    </row>
    <row r="9283" spans="14:20" x14ac:dyDescent="0.25">
      <c r="N9283" s="514"/>
      <c r="R9283" s="293"/>
      <c r="S9283" s="316"/>
      <c r="T9283" s="355"/>
    </row>
    <row r="9284" spans="14:20" x14ac:dyDescent="0.25">
      <c r="N9284" s="514"/>
      <c r="R9284" s="293"/>
      <c r="S9284" s="316"/>
      <c r="T9284" s="355"/>
    </row>
    <row r="9285" spans="14:20" x14ac:dyDescent="0.25">
      <c r="N9285" s="514"/>
      <c r="R9285" s="293"/>
      <c r="S9285" s="316"/>
      <c r="T9285" s="355"/>
    </row>
    <row r="9286" spans="14:20" x14ac:dyDescent="0.25">
      <c r="N9286" s="514"/>
      <c r="R9286" s="293"/>
      <c r="S9286" s="316"/>
      <c r="T9286" s="355"/>
    </row>
    <row r="9287" spans="14:20" x14ac:dyDescent="0.25">
      <c r="N9287" s="514"/>
      <c r="R9287" s="293"/>
      <c r="S9287" s="316"/>
      <c r="T9287" s="355"/>
    </row>
    <row r="9288" spans="14:20" x14ac:dyDescent="0.25">
      <c r="N9288" s="514"/>
      <c r="R9288" s="293"/>
      <c r="S9288" s="316"/>
      <c r="T9288" s="355"/>
    </row>
    <row r="9289" spans="14:20" x14ac:dyDescent="0.25">
      <c r="N9289" s="514"/>
      <c r="R9289" s="293"/>
      <c r="S9289" s="316"/>
      <c r="T9289" s="355"/>
    </row>
    <row r="9290" spans="14:20" x14ac:dyDescent="0.25">
      <c r="N9290" s="514"/>
      <c r="R9290" s="293"/>
      <c r="S9290" s="316"/>
      <c r="T9290" s="355"/>
    </row>
    <row r="9291" spans="14:20" x14ac:dyDescent="0.25">
      <c r="N9291" s="514"/>
      <c r="R9291" s="293"/>
      <c r="S9291" s="316"/>
      <c r="T9291" s="355"/>
    </row>
    <row r="9292" spans="14:20" x14ac:dyDescent="0.25">
      <c r="N9292" s="514"/>
      <c r="R9292" s="293"/>
      <c r="S9292" s="316"/>
      <c r="T9292" s="355"/>
    </row>
    <row r="9293" spans="14:20" x14ac:dyDescent="0.25">
      <c r="N9293" s="514"/>
      <c r="R9293" s="293"/>
      <c r="S9293" s="316"/>
      <c r="T9293" s="355"/>
    </row>
    <row r="9294" spans="14:20" x14ac:dyDescent="0.25">
      <c r="N9294" s="514"/>
      <c r="R9294" s="293"/>
      <c r="S9294" s="316"/>
      <c r="T9294" s="355"/>
    </row>
    <row r="9295" spans="14:20" x14ac:dyDescent="0.25">
      <c r="N9295" s="514"/>
      <c r="R9295" s="293"/>
      <c r="S9295" s="316"/>
      <c r="T9295" s="355"/>
    </row>
    <row r="9296" spans="14:20" x14ac:dyDescent="0.25">
      <c r="N9296" s="514"/>
      <c r="R9296" s="293"/>
      <c r="S9296" s="316"/>
      <c r="T9296" s="355"/>
    </row>
    <row r="9297" spans="14:20" x14ac:dyDescent="0.25">
      <c r="N9297" s="514"/>
      <c r="R9297" s="293"/>
      <c r="S9297" s="316"/>
      <c r="T9297" s="355"/>
    </row>
    <row r="9298" spans="14:20" x14ac:dyDescent="0.25">
      <c r="N9298" s="514"/>
      <c r="R9298" s="293"/>
      <c r="S9298" s="316"/>
      <c r="T9298" s="355"/>
    </row>
    <row r="9299" spans="14:20" x14ac:dyDescent="0.25">
      <c r="N9299" s="514"/>
      <c r="R9299" s="293"/>
      <c r="S9299" s="316"/>
      <c r="T9299" s="355"/>
    </row>
    <row r="9300" spans="14:20" x14ac:dyDescent="0.25">
      <c r="N9300" s="514"/>
      <c r="R9300" s="293"/>
      <c r="S9300" s="316"/>
      <c r="T9300" s="355"/>
    </row>
    <row r="9301" spans="14:20" x14ac:dyDescent="0.25">
      <c r="N9301" s="514"/>
      <c r="R9301" s="293"/>
      <c r="S9301" s="316"/>
      <c r="T9301" s="355"/>
    </row>
    <row r="9302" spans="14:20" x14ac:dyDescent="0.25">
      <c r="N9302" s="514"/>
      <c r="R9302" s="293"/>
      <c r="S9302" s="316"/>
      <c r="T9302" s="355"/>
    </row>
    <row r="9303" spans="14:20" x14ac:dyDescent="0.25">
      <c r="N9303" s="514"/>
      <c r="R9303" s="293"/>
      <c r="S9303" s="316"/>
      <c r="T9303" s="355"/>
    </row>
    <row r="9304" spans="14:20" x14ac:dyDescent="0.25">
      <c r="N9304" s="514"/>
      <c r="R9304" s="293"/>
      <c r="S9304" s="316"/>
      <c r="T9304" s="355"/>
    </row>
    <row r="9305" spans="14:20" x14ac:dyDescent="0.25">
      <c r="N9305" s="514"/>
      <c r="R9305" s="293"/>
      <c r="S9305" s="316"/>
      <c r="T9305" s="355"/>
    </row>
    <row r="9306" spans="14:20" x14ac:dyDescent="0.25">
      <c r="N9306" s="514"/>
      <c r="R9306" s="293"/>
      <c r="S9306" s="316"/>
      <c r="T9306" s="355"/>
    </row>
    <row r="9307" spans="14:20" x14ac:dyDescent="0.25">
      <c r="N9307" s="514"/>
      <c r="R9307" s="293"/>
      <c r="S9307" s="316"/>
      <c r="T9307" s="355"/>
    </row>
    <row r="9308" spans="14:20" x14ac:dyDescent="0.25">
      <c r="N9308" s="514"/>
      <c r="R9308" s="293"/>
      <c r="S9308" s="316"/>
      <c r="T9308" s="355"/>
    </row>
    <row r="9309" spans="14:20" x14ac:dyDescent="0.25">
      <c r="N9309" s="514"/>
      <c r="R9309" s="293"/>
      <c r="S9309" s="316"/>
      <c r="T9309" s="355"/>
    </row>
    <row r="9310" spans="14:20" x14ac:dyDescent="0.25">
      <c r="N9310" s="514"/>
      <c r="R9310" s="293"/>
      <c r="S9310" s="316"/>
      <c r="T9310" s="355"/>
    </row>
    <row r="9311" spans="14:20" x14ac:dyDescent="0.25">
      <c r="N9311" s="514"/>
      <c r="R9311" s="293"/>
      <c r="S9311" s="316"/>
      <c r="T9311" s="355"/>
    </row>
    <row r="9312" spans="14:20" x14ac:dyDescent="0.25">
      <c r="N9312" s="514"/>
      <c r="R9312" s="293"/>
      <c r="S9312" s="316"/>
      <c r="T9312" s="355"/>
    </row>
    <row r="9313" spans="14:20" x14ac:dyDescent="0.25">
      <c r="N9313" s="514"/>
      <c r="R9313" s="293"/>
      <c r="S9313" s="316"/>
      <c r="T9313" s="355"/>
    </row>
    <row r="9314" spans="14:20" x14ac:dyDescent="0.25">
      <c r="N9314" s="514"/>
      <c r="R9314" s="293"/>
      <c r="S9314" s="316"/>
      <c r="T9314" s="355"/>
    </row>
    <row r="9315" spans="14:20" x14ac:dyDescent="0.25">
      <c r="N9315" s="514"/>
      <c r="R9315" s="293"/>
      <c r="S9315" s="316"/>
      <c r="T9315" s="355"/>
    </row>
    <row r="9316" spans="14:20" x14ac:dyDescent="0.25">
      <c r="N9316" s="514"/>
      <c r="R9316" s="293"/>
      <c r="S9316" s="316"/>
      <c r="T9316" s="355"/>
    </row>
    <row r="9317" spans="14:20" x14ac:dyDescent="0.25">
      <c r="N9317" s="514"/>
      <c r="R9317" s="293"/>
      <c r="S9317" s="316"/>
      <c r="T9317" s="355"/>
    </row>
    <row r="9318" spans="14:20" x14ac:dyDescent="0.25">
      <c r="N9318" s="514"/>
      <c r="R9318" s="293"/>
      <c r="S9318" s="316"/>
      <c r="T9318" s="355"/>
    </row>
    <row r="9319" spans="14:20" x14ac:dyDescent="0.25">
      <c r="N9319" s="514"/>
      <c r="R9319" s="293"/>
      <c r="S9319" s="316"/>
      <c r="T9319" s="355"/>
    </row>
    <row r="9320" spans="14:20" x14ac:dyDescent="0.25">
      <c r="N9320" s="514"/>
      <c r="R9320" s="293"/>
      <c r="S9320" s="316"/>
      <c r="T9320" s="355"/>
    </row>
    <row r="9321" spans="14:20" x14ac:dyDescent="0.25">
      <c r="N9321" s="514"/>
      <c r="R9321" s="293"/>
      <c r="S9321" s="316"/>
      <c r="T9321" s="355"/>
    </row>
    <row r="9322" spans="14:20" x14ac:dyDescent="0.25">
      <c r="N9322" s="514"/>
      <c r="T9322" s="355"/>
    </row>
    <row r="9323" spans="14:20" x14ac:dyDescent="0.25">
      <c r="N9323" s="514"/>
      <c r="T9323" s="355"/>
    </row>
    <row r="9324" spans="14:20" x14ac:dyDescent="0.25">
      <c r="N9324" s="514"/>
      <c r="T9324" s="355"/>
    </row>
    <row r="9325" spans="14:20" x14ac:dyDescent="0.25">
      <c r="N9325" s="514"/>
      <c r="T9325" s="355"/>
    </row>
    <row r="9326" spans="14:20" x14ac:dyDescent="0.25">
      <c r="N9326" s="514"/>
      <c r="T9326" s="355"/>
    </row>
    <row r="9327" spans="14:20" x14ac:dyDescent="0.25">
      <c r="N9327" s="514"/>
      <c r="T9327" s="355"/>
    </row>
    <row r="9328" spans="14:20" x14ac:dyDescent="0.25">
      <c r="N9328" s="514"/>
      <c r="T9328" s="355"/>
    </row>
    <row r="9329" spans="14:20" x14ac:dyDescent="0.25">
      <c r="N9329" s="514"/>
      <c r="T9329" s="355"/>
    </row>
    <row r="9330" spans="14:20" x14ac:dyDescent="0.25">
      <c r="N9330" s="514"/>
      <c r="T9330" s="355"/>
    </row>
    <row r="9331" spans="14:20" x14ac:dyDescent="0.25">
      <c r="N9331" s="514"/>
      <c r="T9331" s="355"/>
    </row>
    <row r="9332" spans="14:20" x14ac:dyDescent="0.25">
      <c r="N9332" s="514"/>
      <c r="T9332" s="355"/>
    </row>
    <row r="9333" spans="14:20" x14ac:dyDescent="0.25">
      <c r="N9333" s="514"/>
      <c r="T9333" s="355"/>
    </row>
    <row r="9334" spans="14:20" x14ac:dyDescent="0.25">
      <c r="N9334" s="514"/>
      <c r="T9334" s="355"/>
    </row>
    <row r="9335" spans="14:20" x14ac:dyDescent="0.25">
      <c r="N9335" s="514"/>
      <c r="T9335" s="355"/>
    </row>
    <row r="9336" spans="14:20" x14ac:dyDescent="0.25">
      <c r="N9336" s="514"/>
    </row>
    <row r="9337" spans="14:20" x14ac:dyDescent="0.25">
      <c r="N9337" s="514"/>
    </row>
    <row r="9338" spans="14:20" x14ac:dyDescent="0.25">
      <c r="N9338" s="514"/>
    </row>
    <row r="9339" spans="14:20" x14ac:dyDescent="0.25">
      <c r="N9339" s="514"/>
    </row>
    <row r="9340" spans="14:20" x14ac:dyDescent="0.25">
      <c r="N9340" s="514"/>
    </row>
    <row r="9341" spans="14:20" x14ac:dyDescent="0.25">
      <c r="N9341" s="514"/>
    </row>
    <row r="9342" spans="14:20" x14ac:dyDescent="0.25">
      <c r="N9342" s="514"/>
    </row>
    <row r="9343" spans="14:20" x14ac:dyDescent="0.25">
      <c r="N9343" s="514"/>
    </row>
    <row r="9344" spans="14:20" x14ac:dyDescent="0.25">
      <c r="N9344" s="514"/>
    </row>
    <row r="9345" spans="14:14" x14ac:dyDescent="0.25">
      <c r="N9345" s="514"/>
    </row>
    <row r="9346" spans="14:14" x14ac:dyDescent="0.25">
      <c r="N9346" s="514"/>
    </row>
    <row r="9347" spans="14:14" x14ac:dyDescent="0.25">
      <c r="N9347" s="514"/>
    </row>
    <row r="9348" spans="14:14" x14ac:dyDescent="0.25">
      <c r="N9348" s="514"/>
    </row>
    <row r="9349" spans="14:14" x14ac:dyDescent="0.25">
      <c r="N9349" s="514"/>
    </row>
    <row r="9350" spans="14:14" x14ac:dyDescent="0.25">
      <c r="N9350" s="514"/>
    </row>
    <row r="9351" spans="14:14" x14ac:dyDescent="0.25">
      <c r="N9351" s="514"/>
    </row>
    <row r="9352" spans="14:14" x14ac:dyDescent="0.25">
      <c r="N9352" s="514"/>
    </row>
    <row r="9353" spans="14:14" x14ac:dyDescent="0.25">
      <c r="N9353" s="514"/>
    </row>
    <row r="9354" spans="14:14" x14ac:dyDescent="0.25">
      <c r="N9354" s="514"/>
    </row>
    <row r="9355" spans="14:14" x14ac:dyDescent="0.25">
      <c r="N9355" s="514"/>
    </row>
    <row r="9356" spans="14:14" x14ac:dyDescent="0.25">
      <c r="N9356" s="514"/>
    </row>
    <row r="9357" spans="14:14" x14ac:dyDescent="0.25">
      <c r="N9357" s="514"/>
    </row>
    <row r="9358" spans="14:14" x14ac:dyDescent="0.25">
      <c r="N9358" s="514"/>
    </row>
    <row r="9359" spans="14:14" x14ac:dyDescent="0.25">
      <c r="N9359" s="514"/>
    </row>
    <row r="9360" spans="14:14" x14ac:dyDescent="0.25">
      <c r="N9360" s="514"/>
    </row>
    <row r="9361" spans="14:14" x14ac:dyDescent="0.25">
      <c r="N9361" s="514"/>
    </row>
    <row r="9362" spans="14:14" x14ac:dyDescent="0.25">
      <c r="N9362" s="514"/>
    </row>
    <row r="9363" spans="14:14" x14ac:dyDescent="0.25">
      <c r="N9363" s="514"/>
    </row>
    <row r="9364" spans="14:14" x14ac:dyDescent="0.25">
      <c r="N9364" s="514"/>
    </row>
    <row r="9365" spans="14:14" x14ac:dyDescent="0.25">
      <c r="N9365" s="514"/>
    </row>
    <row r="9366" spans="14:14" x14ac:dyDescent="0.25">
      <c r="N9366" s="514"/>
    </row>
    <row r="9367" spans="14:14" x14ac:dyDescent="0.25">
      <c r="N9367" s="514"/>
    </row>
    <row r="9368" spans="14:14" x14ac:dyDescent="0.25">
      <c r="N9368" s="514"/>
    </row>
    <row r="9369" spans="14:14" x14ac:dyDescent="0.25">
      <c r="N9369" s="514"/>
    </row>
    <row r="9370" spans="14:14" x14ac:dyDescent="0.25">
      <c r="N9370" s="514"/>
    </row>
    <row r="9371" spans="14:14" x14ac:dyDescent="0.25">
      <c r="N9371" s="514"/>
    </row>
    <row r="9372" spans="14:14" x14ac:dyDescent="0.25">
      <c r="N9372" s="514"/>
    </row>
    <row r="9373" spans="14:14" x14ac:dyDescent="0.25">
      <c r="N9373" s="514"/>
    </row>
    <row r="9374" spans="14:14" x14ac:dyDescent="0.25">
      <c r="N9374" s="514"/>
    </row>
    <row r="9375" spans="14:14" x14ac:dyDescent="0.25">
      <c r="N9375" s="514"/>
    </row>
    <row r="9376" spans="14:14" x14ac:dyDescent="0.25">
      <c r="N9376" s="514"/>
    </row>
    <row r="9377" spans="14:14" x14ac:dyDescent="0.25">
      <c r="N9377" s="514"/>
    </row>
    <row r="9378" spans="14:14" x14ac:dyDescent="0.25">
      <c r="N9378" s="514"/>
    </row>
    <row r="9379" spans="14:14" x14ac:dyDescent="0.25">
      <c r="N9379" s="514"/>
    </row>
    <row r="9380" spans="14:14" x14ac:dyDescent="0.25">
      <c r="N9380" s="514"/>
    </row>
    <row r="9381" spans="14:14" x14ac:dyDescent="0.25">
      <c r="N9381" s="514"/>
    </row>
    <row r="9382" spans="14:14" x14ac:dyDescent="0.25">
      <c r="N9382" s="514"/>
    </row>
    <row r="9383" spans="14:14" x14ac:dyDescent="0.25">
      <c r="N9383" s="514"/>
    </row>
    <row r="9384" spans="14:14" x14ac:dyDescent="0.25">
      <c r="N9384" s="514"/>
    </row>
    <row r="9385" spans="14:14" x14ac:dyDescent="0.25">
      <c r="N9385" s="514"/>
    </row>
    <row r="9386" spans="14:14" x14ac:dyDescent="0.25">
      <c r="N9386" s="514"/>
    </row>
    <row r="9387" spans="14:14" x14ac:dyDescent="0.25">
      <c r="N9387" s="514"/>
    </row>
    <row r="9388" spans="14:14" x14ac:dyDescent="0.25">
      <c r="N9388" s="514"/>
    </row>
    <row r="9389" spans="14:14" x14ac:dyDescent="0.25">
      <c r="N9389" s="514"/>
    </row>
    <row r="9390" spans="14:14" x14ac:dyDescent="0.25">
      <c r="N9390" s="514"/>
    </row>
    <row r="9391" spans="14:14" x14ac:dyDescent="0.25">
      <c r="N9391" s="514"/>
    </row>
    <row r="9392" spans="14:14" x14ac:dyDescent="0.25">
      <c r="N9392" s="514"/>
    </row>
    <row r="9393" spans="14:14" x14ac:dyDescent="0.25">
      <c r="N9393" s="514"/>
    </row>
    <row r="9394" spans="14:14" x14ac:dyDescent="0.25">
      <c r="N9394" s="514"/>
    </row>
    <row r="9395" spans="14:14" x14ac:dyDescent="0.25">
      <c r="N9395" s="514"/>
    </row>
    <row r="9396" spans="14:14" x14ac:dyDescent="0.25">
      <c r="N9396" s="514"/>
    </row>
    <row r="9397" spans="14:14" x14ac:dyDescent="0.25">
      <c r="N9397" s="514"/>
    </row>
    <row r="9398" spans="14:14" x14ac:dyDescent="0.25">
      <c r="N9398" s="514"/>
    </row>
    <row r="9399" spans="14:14" x14ac:dyDescent="0.25">
      <c r="N9399" s="514"/>
    </row>
    <row r="9400" spans="14:14" x14ac:dyDescent="0.25">
      <c r="N9400" s="514"/>
    </row>
    <row r="9401" spans="14:14" x14ac:dyDescent="0.25">
      <c r="N9401" s="514"/>
    </row>
    <row r="9402" spans="14:14" x14ac:dyDescent="0.25">
      <c r="N9402" s="514"/>
    </row>
    <row r="9403" spans="14:14" x14ac:dyDescent="0.25">
      <c r="N9403" s="514"/>
    </row>
    <row r="9404" spans="14:14" x14ac:dyDescent="0.25">
      <c r="N9404" s="514"/>
    </row>
    <row r="9405" spans="14:14" x14ac:dyDescent="0.25">
      <c r="N9405" s="514"/>
    </row>
    <row r="9406" spans="14:14" x14ac:dyDescent="0.25">
      <c r="N9406" s="514"/>
    </row>
    <row r="9407" spans="14:14" x14ac:dyDescent="0.25">
      <c r="N9407" s="514"/>
    </row>
    <row r="9408" spans="14:14" x14ac:dyDescent="0.25">
      <c r="N9408" s="514"/>
    </row>
    <row r="9409" spans="14:14" x14ac:dyDescent="0.25">
      <c r="N9409" s="514"/>
    </row>
    <row r="9410" spans="14:14" x14ac:dyDescent="0.25">
      <c r="N9410" s="514"/>
    </row>
    <row r="9411" spans="14:14" x14ac:dyDescent="0.25">
      <c r="N9411" s="514"/>
    </row>
    <row r="9412" spans="14:14" x14ac:dyDescent="0.25">
      <c r="N9412" s="514"/>
    </row>
    <row r="9413" spans="14:14" x14ac:dyDescent="0.25">
      <c r="N9413" s="514"/>
    </row>
    <row r="9414" spans="14:14" x14ac:dyDescent="0.25">
      <c r="N9414" s="514"/>
    </row>
    <row r="9415" spans="14:14" x14ac:dyDescent="0.25">
      <c r="N9415" s="514"/>
    </row>
    <row r="9416" spans="14:14" x14ac:dyDescent="0.25">
      <c r="N9416" s="514"/>
    </row>
    <row r="9417" spans="14:14" x14ac:dyDescent="0.25">
      <c r="N9417" s="514"/>
    </row>
    <row r="9418" spans="14:14" x14ac:dyDescent="0.25">
      <c r="N9418" s="514"/>
    </row>
    <row r="9419" spans="14:14" x14ac:dyDescent="0.25">
      <c r="N9419" s="514"/>
    </row>
    <row r="9420" spans="14:14" x14ac:dyDescent="0.25">
      <c r="N9420" s="514"/>
    </row>
    <row r="9421" spans="14:14" x14ac:dyDescent="0.25">
      <c r="N9421" s="514"/>
    </row>
    <row r="9422" spans="14:14" x14ac:dyDescent="0.25">
      <c r="N9422" s="514"/>
    </row>
    <row r="9423" spans="14:14" x14ac:dyDescent="0.25">
      <c r="N9423" s="514"/>
    </row>
    <row r="9424" spans="14:14" x14ac:dyDescent="0.25">
      <c r="N9424" s="514"/>
    </row>
    <row r="9425" spans="14:14" x14ac:dyDescent="0.25">
      <c r="N9425" s="514"/>
    </row>
    <row r="9426" spans="14:14" x14ac:dyDescent="0.25">
      <c r="N9426" s="514"/>
    </row>
    <row r="9427" spans="14:14" x14ac:dyDescent="0.25">
      <c r="N9427" s="514"/>
    </row>
    <row r="9428" spans="14:14" x14ac:dyDescent="0.25">
      <c r="N9428" s="514"/>
    </row>
    <row r="9429" spans="14:14" x14ac:dyDescent="0.25">
      <c r="N9429" s="514"/>
    </row>
    <row r="9430" spans="14:14" x14ac:dyDescent="0.25">
      <c r="N9430" s="514"/>
    </row>
    <row r="9431" spans="14:14" x14ac:dyDescent="0.25">
      <c r="N9431" s="514"/>
    </row>
    <row r="9432" spans="14:14" x14ac:dyDescent="0.25">
      <c r="N9432" s="514"/>
    </row>
    <row r="9433" spans="14:14" x14ac:dyDescent="0.25">
      <c r="N9433" s="514"/>
    </row>
    <row r="9434" spans="14:14" x14ac:dyDescent="0.25">
      <c r="N9434" s="514"/>
    </row>
    <row r="9435" spans="14:14" x14ac:dyDescent="0.25">
      <c r="N9435" s="514"/>
    </row>
    <row r="9436" spans="14:14" x14ac:dyDescent="0.25">
      <c r="N9436" s="514"/>
    </row>
    <row r="9437" spans="14:14" x14ac:dyDescent="0.25">
      <c r="N9437" s="514"/>
    </row>
    <row r="9438" spans="14:14" x14ac:dyDescent="0.25">
      <c r="N9438" s="514"/>
    </row>
    <row r="9439" spans="14:14" x14ac:dyDescent="0.25">
      <c r="N9439" s="514"/>
    </row>
    <row r="9440" spans="14:14" x14ac:dyDescent="0.25">
      <c r="N9440" s="514"/>
    </row>
    <row r="9441" spans="14:14" x14ac:dyDescent="0.25">
      <c r="N9441" s="514"/>
    </row>
    <row r="9442" spans="14:14" x14ac:dyDescent="0.25">
      <c r="N9442" s="514"/>
    </row>
    <row r="9443" spans="14:14" x14ac:dyDescent="0.25">
      <c r="N9443" s="514"/>
    </row>
    <row r="9444" spans="14:14" x14ac:dyDescent="0.25">
      <c r="N9444" s="514"/>
    </row>
    <row r="9445" spans="14:14" x14ac:dyDescent="0.25">
      <c r="N9445" s="514"/>
    </row>
    <row r="9446" spans="14:14" x14ac:dyDescent="0.25">
      <c r="N9446" s="514"/>
    </row>
    <row r="9447" spans="14:14" x14ac:dyDescent="0.25">
      <c r="N9447" s="514"/>
    </row>
    <row r="9448" spans="14:14" x14ac:dyDescent="0.25">
      <c r="N9448" s="514"/>
    </row>
    <row r="9449" spans="14:14" x14ac:dyDescent="0.25">
      <c r="N9449" s="514"/>
    </row>
    <row r="9450" spans="14:14" x14ac:dyDescent="0.25">
      <c r="N9450" s="514"/>
    </row>
    <row r="9451" spans="14:14" x14ac:dyDescent="0.25">
      <c r="N9451" s="514"/>
    </row>
    <row r="9452" spans="14:14" x14ac:dyDescent="0.25">
      <c r="N9452" s="514"/>
    </row>
    <row r="9453" spans="14:14" x14ac:dyDescent="0.25">
      <c r="N9453" s="514"/>
    </row>
    <row r="9454" spans="14:14" x14ac:dyDescent="0.25">
      <c r="N9454" s="514"/>
    </row>
    <row r="9455" spans="14:14" x14ac:dyDescent="0.25">
      <c r="N9455" s="514"/>
    </row>
    <row r="9456" spans="14:14" x14ac:dyDescent="0.25">
      <c r="N9456" s="514"/>
    </row>
    <row r="9457" spans="14:14" x14ac:dyDescent="0.25">
      <c r="N9457" s="514"/>
    </row>
    <row r="9458" spans="14:14" x14ac:dyDescent="0.25">
      <c r="N9458" s="514"/>
    </row>
    <row r="9459" spans="14:14" x14ac:dyDescent="0.25">
      <c r="N9459" s="514"/>
    </row>
    <row r="9460" spans="14:14" x14ac:dyDescent="0.25">
      <c r="N9460" s="514"/>
    </row>
    <row r="9461" spans="14:14" x14ac:dyDescent="0.25">
      <c r="N9461" s="514"/>
    </row>
    <row r="9462" spans="14:14" x14ac:dyDescent="0.25">
      <c r="N9462" s="514"/>
    </row>
    <row r="9463" spans="14:14" x14ac:dyDescent="0.25">
      <c r="N9463" s="514"/>
    </row>
    <row r="9464" spans="14:14" x14ac:dyDescent="0.25">
      <c r="N9464" s="514"/>
    </row>
    <row r="9465" spans="14:14" x14ac:dyDescent="0.25">
      <c r="N9465" s="514"/>
    </row>
    <row r="9466" spans="14:14" x14ac:dyDescent="0.25">
      <c r="N9466" s="514"/>
    </row>
    <row r="9467" spans="14:14" x14ac:dyDescent="0.25">
      <c r="N9467" s="514"/>
    </row>
    <row r="9468" spans="14:14" x14ac:dyDescent="0.25">
      <c r="N9468" s="514"/>
    </row>
    <row r="9469" spans="14:14" x14ac:dyDescent="0.25">
      <c r="N9469" s="514"/>
    </row>
    <row r="9470" spans="14:14" x14ac:dyDescent="0.25">
      <c r="N9470" s="514"/>
    </row>
    <row r="9471" spans="14:14" x14ac:dyDescent="0.25">
      <c r="N9471" s="514"/>
    </row>
    <row r="9472" spans="14:14" x14ac:dyDescent="0.25">
      <c r="N9472" s="514"/>
    </row>
    <row r="9473" spans="14:14" x14ac:dyDescent="0.25">
      <c r="N9473" s="514"/>
    </row>
    <row r="9474" spans="14:14" x14ac:dyDescent="0.25">
      <c r="N9474" s="514"/>
    </row>
    <row r="9475" spans="14:14" x14ac:dyDescent="0.25">
      <c r="N9475" s="514"/>
    </row>
    <row r="9476" spans="14:14" x14ac:dyDescent="0.25">
      <c r="N9476" s="514"/>
    </row>
    <row r="9477" spans="14:14" x14ac:dyDescent="0.25">
      <c r="N9477" s="514"/>
    </row>
    <row r="9478" spans="14:14" x14ac:dyDescent="0.25">
      <c r="N9478" s="514"/>
    </row>
    <row r="9479" spans="14:14" x14ac:dyDescent="0.25">
      <c r="N9479" s="514"/>
    </row>
    <row r="9480" spans="14:14" x14ac:dyDescent="0.25">
      <c r="N9480" s="514"/>
    </row>
    <row r="9481" spans="14:14" x14ac:dyDescent="0.25">
      <c r="N9481" s="514"/>
    </row>
    <row r="9482" spans="14:14" x14ac:dyDescent="0.25">
      <c r="N9482" s="514"/>
    </row>
    <row r="9483" spans="14:14" x14ac:dyDescent="0.25">
      <c r="N9483" s="514"/>
    </row>
    <row r="9484" spans="14:14" x14ac:dyDescent="0.25">
      <c r="N9484" s="514"/>
    </row>
    <row r="9485" spans="14:14" x14ac:dyDescent="0.25">
      <c r="N9485" s="514"/>
    </row>
    <row r="9486" spans="14:14" x14ac:dyDescent="0.25">
      <c r="N9486" s="514"/>
    </row>
    <row r="9487" spans="14:14" x14ac:dyDescent="0.25">
      <c r="N9487" s="514"/>
    </row>
    <row r="9488" spans="14:14" x14ac:dyDescent="0.25">
      <c r="N9488" s="514"/>
    </row>
    <row r="9489" spans="14:14" x14ac:dyDescent="0.25">
      <c r="N9489" s="514"/>
    </row>
    <row r="9490" spans="14:14" x14ac:dyDescent="0.25">
      <c r="N9490" s="514"/>
    </row>
    <row r="9491" spans="14:14" x14ac:dyDescent="0.25">
      <c r="N9491" s="514"/>
    </row>
    <row r="9492" spans="14:14" x14ac:dyDescent="0.25">
      <c r="N9492" s="514"/>
    </row>
    <row r="9493" spans="14:14" x14ac:dyDescent="0.25">
      <c r="N9493" s="514"/>
    </row>
    <row r="9494" spans="14:14" x14ac:dyDescent="0.25">
      <c r="N9494" s="514"/>
    </row>
    <row r="9495" spans="14:14" x14ac:dyDescent="0.25">
      <c r="N9495" s="514"/>
    </row>
    <row r="9496" spans="14:14" x14ac:dyDescent="0.25">
      <c r="N9496" s="514"/>
    </row>
    <row r="9497" spans="14:14" x14ac:dyDescent="0.25">
      <c r="N9497" s="514"/>
    </row>
    <row r="9498" spans="14:14" x14ac:dyDescent="0.25">
      <c r="N9498" s="514"/>
    </row>
    <row r="9499" spans="14:14" x14ac:dyDescent="0.25">
      <c r="N9499" s="514"/>
    </row>
    <row r="9500" spans="14:14" x14ac:dyDescent="0.25">
      <c r="N9500" s="514"/>
    </row>
    <row r="9501" spans="14:14" x14ac:dyDescent="0.25">
      <c r="N9501" s="514"/>
    </row>
    <row r="9502" spans="14:14" x14ac:dyDescent="0.25">
      <c r="N9502" s="514"/>
    </row>
    <row r="9503" spans="14:14" x14ac:dyDescent="0.25">
      <c r="N9503" s="514"/>
    </row>
    <row r="9504" spans="14:14" x14ac:dyDescent="0.25">
      <c r="N9504" s="514"/>
    </row>
    <row r="9505" spans="14:14" x14ac:dyDescent="0.25">
      <c r="N9505" s="514"/>
    </row>
    <row r="9506" spans="14:14" x14ac:dyDescent="0.25">
      <c r="N9506" s="514"/>
    </row>
    <row r="9507" spans="14:14" x14ac:dyDescent="0.25">
      <c r="N9507" s="514"/>
    </row>
    <row r="9508" spans="14:14" x14ac:dyDescent="0.25">
      <c r="N9508" s="514"/>
    </row>
    <row r="9509" spans="14:14" x14ac:dyDescent="0.25">
      <c r="N9509" s="514"/>
    </row>
    <row r="9510" spans="14:14" x14ac:dyDescent="0.25">
      <c r="N9510" s="514"/>
    </row>
    <row r="9511" spans="14:14" x14ac:dyDescent="0.25">
      <c r="N9511" s="514"/>
    </row>
    <row r="9512" spans="14:14" x14ac:dyDescent="0.25">
      <c r="N9512" s="514"/>
    </row>
    <row r="9513" spans="14:14" x14ac:dyDescent="0.25">
      <c r="N9513" s="514"/>
    </row>
    <row r="9514" spans="14:14" x14ac:dyDescent="0.25">
      <c r="N9514" s="514"/>
    </row>
    <row r="9515" spans="14:14" x14ac:dyDescent="0.25">
      <c r="N9515" s="514"/>
    </row>
    <row r="9516" spans="14:14" x14ac:dyDescent="0.25">
      <c r="N9516" s="514"/>
    </row>
    <row r="9517" spans="14:14" x14ac:dyDescent="0.25">
      <c r="N9517" s="514"/>
    </row>
    <row r="9518" spans="14:14" x14ac:dyDescent="0.25">
      <c r="N9518" s="514"/>
    </row>
    <row r="9519" spans="14:14" x14ac:dyDescent="0.25">
      <c r="N9519" s="514"/>
    </row>
    <row r="9520" spans="14:14" x14ac:dyDescent="0.25">
      <c r="N9520" s="514"/>
    </row>
    <row r="9521" spans="14:14" x14ac:dyDescent="0.25">
      <c r="N9521" s="514"/>
    </row>
    <row r="9522" spans="14:14" x14ac:dyDescent="0.25">
      <c r="N9522" s="514"/>
    </row>
    <row r="9523" spans="14:14" x14ac:dyDescent="0.25">
      <c r="N9523" s="514"/>
    </row>
    <row r="9524" spans="14:14" x14ac:dyDescent="0.25">
      <c r="N9524" s="514"/>
    </row>
    <row r="9525" spans="14:14" x14ac:dyDescent="0.25">
      <c r="N9525" s="514"/>
    </row>
    <row r="9526" spans="14:14" x14ac:dyDescent="0.25">
      <c r="N9526" s="514"/>
    </row>
    <row r="9527" spans="14:14" x14ac:dyDescent="0.25">
      <c r="N9527" s="514"/>
    </row>
    <row r="9528" spans="14:14" x14ac:dyDescent="0.25">
      <c r="N9528" s="514"/>
    </row>
    <row r="9529" spans="14:14" x14ac:dyDescent="0.25">
      <c r="N9529" s="514"/>
    </row>
    <row r="9530" spans="14:14" x14ac:dyDescent="0.25">
      <c r="N9530" s="514"/>
    </row>
    <row r="9531" spans="14:14" x14ac:dyDescent="0.25">
      <c r="N9531" s="514"/>
    </row>
    <row r="9532" spans="14:14" x14ac:dyDescent="0.25">
      <c r="N9532" s="514"/>
    </row>
    <row r="9533" spans="14:14" x14ac:dyDescent="0.25">
      <c r="N9533" s="514"/>
    </row>
    <row r="9534" spans="14:14" x14ac:dyDescent="0.25">
      <c r="N9534" s="514"/>
    </row>
    <row r="9535" spans="14:14" x14ac:dyDescent="0.25">
      <c r="N9535" s="514"/>
    </row>
    <row r="9536" spans="14:14" x14ac:dyDescent="0.25">
      <c r="N9536" s="514"/>
    </row>
    <row r="9537" spans="14:14" x14ac:dyDescent="0.25">
      <c r="N9537" s="514"/>
    </row>
    <row r="9538" spans="14:14" x14ac:dyDescent="0.25">
      <c r="N9538" s="514"/>
    </row>
    <row r="9539" spans="14:14" x14ac:dyDescent="0.25">
      <c r="N9539" s="514"/>
    </row>
    <row r="9540" spans="14:14" x14ac:dyDescent="0.25">
      <c r="N9540" s="514"/>
    </row>
    <row r="9541" spans="14:14" x14ac:dyDescent="0.25">
      <c r="N9541" s="514"/>
    </row>
    <row r="9542" spans="14:14" x14ac:dyDescent="0.25">
      <c r="N9542" s="514"/>
    </row>
    <row r="9543" spans="14:14" x14ac:dyDescent="0.25">
      <c r="N9543" s="514"/>
    </row>
    <row r="9544" spans="14:14" x14ac:dyDescent="0.25">
      <c r="N9544" s="514"/>
    </row>
    <row r="9545" spans="14:14" x14ac:dyDescent="0.25">
      <c r="N9545" s="514"/>
    </row>
    <row r="9546" spans="14:14" x14ac:dyDescent="0.25">
      <c r="N9546" s="514"/>
    </row>
    <row r="9547" spans="14:14" x14ac:dyDescent="0.25">
      <c r="N9547" s="514"/>
    </row>
    <row r="9548" spans="14:14" x14ac:dyDescent="0.25">
      <c r="N9548" s="514"/>
    </row>
    <row r="9549" spans="14:14" x14ac:dyDescent="0.25">
      <c r="N9549" s="514"/>
    </row>
    <row r="9550" spans="14:14" x14ac:dyDescent="0.25">
      <c r="N9550" s="514"/>
    </row>
    <row r="9551" spans="14:14" x14ac:dyDescent="0.25">
      <c r="N9551" s="514"/>
    </row>
    <row r="9552" spans="14:14" x14ac:dyDescent="0.25">
      <c r="N9552" s="514"/>
    </row>
    <row r="9553" spans="14:14" x14ac:dyDescent="0.25">
      <c r="N9553" s="514"/>
    </row>
    <row r="9554" spans="14:14" x14ac:dyDescent="0.25">
      <c r="N9554" s="514"/>
    </row>
    <row r="9555" spans="14:14" x14ac:dyDescent="0.25">
      <c r="N9555" s="514"/>
    </row>
    <row r="9556" spans="14:14" x14ac:dyDescent="0.25">
      <c r="N9556" s="514"/>
    </row>
    <row r="9557" spans="14:14" x14ac:dyDescent="0.25">
      <c r="N9557" s="514"/>
    </row>
    <row r="9558" spans="14:14" x14ac:dyDescent="0.25">
      <c r="N9558" s="514"/>
    </row>
    <row r="9559" spans="14:14" x14ac:dyDescent="0.25">
      <c r="N9559" s="514"/>
    </row>
    <row r="9560" spans="14:14" x14ac:dyDescent="0.25">
      <c r="N9560" s="514"/>
    </row>
    <row r="9561" spans="14:14" x14ac:dyDescent="0.25">
      <c r="N9561" s="514"/>
    </row>
    <row r="9562" spans="14:14" x14ac:dyDescent="0.25">
      <c r="N9562" s="514"/>
    </row>
    <row r="9563" spans="14:14" x14ac:dyDescent="0.25">
      <c r="N9563" s="514"/>
    </row>
    <row r="9564" spans="14:14" x14ac:dyDescent="0.25">
      <c r="N9564" s="514"/>
    </row>
    <row r="9565" spans="14:14" x14ac:dyDescent="0.25">
      <c r="N9565" s="514"/>
    </row>
    <row r="9566" spans="14:14" x14ac:dyDescent="0.25">
      <c r="N9566" s="514"/>
    </row>
    <row r="9567" spans="14:14" x14ac:dyDescent="0.25">
      <c r="N9567" s="514"/>
    </row>
    <row r="9568" spans="14:14" x14ac:dyDescent="0.25">
      <c r="N9568" s="514"/>
    </row>
    <row r="9569" spans="14:14" x14ac:dyDescent="0.25">
      <c r="N9569" s="514"/>
    </row>
    <row r="9570" spans="14:14" x14ac:dyDescent="0.25">
      <c r="N9570" s="514"/>
    </row>
    <row r="9571" spans="14:14" x14ac:dyDescent="0.25">
      <c r="N9571" s="514"/>
    </row>
    <row r="9572" spans="14:14" x14ac:dyDescent="0.25">
      <c r="N9572" s="514"/>
    </row>
    <row r="9573" spans="14:14" x14ac:dyDescent="0.25">
      <c r="N9573" s="514"/>
    </row>
    <row r="9574" spans="14:14" x14ac:dyDescent="0.25">
      <c r="N9574" s="514"/>
    </row>
    <row r="9575" spans="14:14" x14ac:dyDescent="0.25">
      <c r="N9575" s="514"/>
    </row>
    <row r="9576" spans="14:14" x14ac:dyDescent="0.25">
      <c r="N9576" s="514"/>
    </row>
    <row r="9577" spans="14:14" x14ac:dyDescent="0.25">
      <c r="N9577" s="514"/>
    </row>
    <row r="9578" spans="14:14" x14ac:dyDescent="0.25">
      <c r="N9578" s="514"/>
    </row>
    <row r="9579" spans="14:14" x14ac:dyDescent="0.25">
      <c r="N9579" s="514"/>
    </row>
    <row r="9580" spans="14:14" x14ac:dyDescent="0.25">
      <c r="N9580" s="514"/>
    </row>
    <row r="9581" spans="14:14" x14ac:dyDescent="0.25">
      <c r="N9581" s="514"/>
    </row>
    <row r="9582" spans="14:14" x14ac:dyDescent="0.25">
      <c r="N9582" s="514"/>
    </row>
    <row r="9583" spans="14:14" x14ac:dyDescent="0.25">
      <c r="N9583" s="514"/>
    </row>
    <row r="9584" spans="14:14" x14ac:dyDescent="0.25">
      <c r="N9584" s="514"/>
    </row>
    <row r="9585" spans="14:14" x14ac:dyDescent="0.25">
      <c r="N9585" s="514"/>
    </row>
    <row r="9586" spans="14:14" x14ac:dyDescent="0.25">
      <c r="N9586" s="514"/>
    </row>
    <row r="9587" spans="14:14" x14ac:dyDescent="0.25">
      <c r="N9587" s="514"/>
    </row>
    <row r="9588" spans="14:14" x14ac:dyDescent="0.25">
      <c r="N9588" s="514"/>
    </row>
    <row r="9589" spans="14:14" x14ac:dyDescent="0.25">
      <c r="N9589" s="514"/>
    </row>
    <row r="9590" spans="14:14" x14ac:dyDescent="0.25">
      <c r="N9590" s="514"/>
    </row>
    <row r="9591" spans="14:14" x14ac:dyDescent="0.25">
      <c r="N9591" s="514"/>
    </row>
    <row r="9592" spans="14:14" x14ac:dyDescent="0.25">
      <c r="N9592" s="514"/>
    </row>
    <row r="9593" spans="14:14" x14ac:dyDescent="0.25">
      <c r="N9593" s="514"/>
    </row>
    <row r="9594" spans="14:14" x14ac:dyDescent="0.25">
      <c r="N9594" s="514"/>
    </row>
    <row r="9595" spans="14:14" x14ac:dyDescent="0.25">
      <c r="N9595" s="514"/>
    </row>
    <row r="9596" spans="14:14" x14ac:dyDescent="0.25">
      <c r="N9596" s="514"/>
    </row>
    <row r="9597" spans="14:14" x14ac:dyDescent="0.25">
      <c r="N9597" s="514"/>
    </row>
    <row r="9598" spans="14:14" x14ac:dyDescent="0.25">
      <c r="N9598" s="514"/>
    </row>
    <row r="9599" spans="14:14" x14ac:dyDescent="0.25">
      <c r="N9599" s="514"/>
    </row>
    <row r="9600" spans="14:14" x14ac:dyDescent="0.25">
      <c r="N9600" s="514"/>
    </row>
    <row r="9601" spans="14:14" x14ac:dyDescent="0.25">
      <c r="N9601" s="514"/>
    </row>
    <row r="9602" spans="14:14" x14ac:dyDescent="0.25">
      <c r="N9602" s="514"/>
    </row>
    <row r="9603" spans="14:14" x14ac:dyDescent="0.25">
      <c r="N9603" s="514"/>
    </row>
    <row r="9604" spans="14:14" x14ac:dyDescent="0.25">
      <c r="N9604" s="514"/>
    </row>
    <row r="9605" spans="14:14" x14ac:dyDescent="0.25">
      <c r="N9605" s="514"/>
    </row>
    <row r="9606" spans="14:14" x14ac:dyDescent="0.25">
      <c r="N9606" s="514"/>
    </row>
    <row r="9607" spans="14:14" x14ac:dyDescent="0.25">
      <c r="N9607" s="514"/>
    </row>
    <row r="9608" spans="14:14" x14ac:dyDescent="0.25">
      <c r="N9608" s="514"/>
    </row>
    <row r="9609" spans="14:14" x14ac:dyDescent="0.25">
      <c r="N9609" s="514"/>
    </row>
    <row r="9610" spans="14:14" x14ac:dyDescent="0.25">
      <c r="N9610" s="514"/>
    </row>
    <row r="9611" spans="14:14" x14ac:dyDescent="0.25">
      <c r="N9611" s="514"/>
    </row>
    <row r="9612" spans="14:14" x14ac:dyDescent="0.25">
      <c r="N9612" s="514"/>
    </row>
    <row r="9613" spans="14:14" x14ac:dyDescent="0.25">
      <c r="N9613" s="514"/>
    </row>
    <row r="9614" spans="14:14" x14ac:dyDescent="0.25">
      <c r="N9614" s="514"/>
    </row>
    <row r="9615" spans="14:14" x14ac:dyDescent="0.25">
      <c r="N9615" s="514"/>
    </row>
    <row r="9616" spans="14:14" x14ac:dyDescent="0.25">
      <c r="N9616" s="514"/>
    </row>
    <row r="9617" spans="14:14" x14ac:dyDescent="0.25">
      <c r="N9617" s="514"/>
    </row>
    <row r="9618" spans="14:14" x14ac:dyDescent="0.25">
      <c r="N9618" s="514"/>
    </row>
    <row r="9619" spans="14:14" x14ac:dyDescent="0.25">
      <c r="N9619" s="514"/>
    </row>
    <row r="9620" spans="14:14" x14ac:dyDescent="0.25">
      <c r="N9620" s="514"/>
    </row>
    <row r="9621" spans="14:14" x14ac:dyDescent="0.25">
      <c r="N9621" s="514"/>
    </row>
    <row r="9622" spans="14:14" x14ac:dyDescent="0.25">
      <c r="N9622" s="514"/>
    </row>
    <row r="9623" spans="14:14" x14ac:dyDescent="0.25">
      <c r="N9623" s="514"/>
    </row>
    <row r="9624" spans="14:14" x14ac:dyDescent="0.25">
      <c r="N9624" s="514"/>
    </row>
    <row r="9625" spans="14:14" x14ac:dyDescent="0.25">
      <c r="N9625" s="514"/>
    </row>
    <row r="9626" spans="14:14" x14ac:dyDescent="0.25">
      <c r="N9626" s="514"/>
    </row>
    <row r="9627" spans="14:14" x14ac:dyDescent="0.25">
      <c r="N9627" s="514"/>
    </row>
    <row r="9628" spans="14:14" x14ac:dyDescent="0.25">
      <c r="N9628" s="514"/>
    </row>
    <row r="9629" spans="14:14" x14ac:dyDescent="0.25">
      <c r="N9629" s="514"/>
    </row>
    <row r="9630" spans="14:14" x14ac:dyDescent="0.25">
      <c r="N9630" s="514"/>
    </row>
    <row r="9631" spans="14:14" x14ac:dyDescent="0.25">
      <c r="N9631" s="514"/>
    </row>
    <row r="9632" spans="14:14" x14ac:dyDescent="0.25">
      <c r="N9632" s="514"/>
    </row>
    <row r="9633" spans="14:14" x14ac:dyDescent="0.25">
      <c r="N9633" s="514"/>
    </row>
    <row r="9634" spans="14:14" x14ac:dyDescent="0.25">
      <c r="N9634" s="514"/>
    </row>
    <row r="9635" spans="14:14" x14ac:dyDescent="0.25">
      <c r="N9635" s="514"/>
    </row>
    <row r="9636" spans="14:14" x14ac:dyDescent="0.25">
      <c r="N9636" s="514"/>
    </row>
    <row r="9637" spans="14:14" x14ac:dyDescent="0.25">
      <c r="N9637" s="514"/>
    </row>
    <row r="9638" spans="14:14" x14ac:dyDescent="0.25">
      <c r="N9638" s="514"/>
    </row>
    <row r="9639" spans="14:14" x14ac:dyDescent="0.25">
      <c r="N9639" s="514"/>
    </row>
    <row r="9640" spans="14:14" x14ac:dyDescent="0.25">
      <c r="N9640" s="514"/>
    </row>
    <row r="9641" spans="14:14" x14ac:dyDescent="0.25">
      <c r="N9641" s="514"/>
    </row>
    <row r="9642" spans="14:14" x14ac:dyDescent="0.25">
      <c r="N9642" s="514"/>
    </row>
    <row r="9643" spans="14:14" x14ac:dyDescent="0.25">
      <c r="N9643" s="514"/>
    </row>
    <row r="9644" spans="14:14" x14ac:dyDescent="0.25">
      <c r="N9644" s="514"/>
    </row>
    <row r="9645" spans="14:14" x14ac:dyDescent="0.25">
      <c r="N9645" s="514"/>
    </row>
    <row r="9646" spans="14:14" x14ac:dyDescent="0.25">
      <c r="N9646" s="514"/>
    </row>
    <row r="9647" spans="14:14" x14ac:dyDescent="0.25">
      <c r="N9647" s="514"/>
    </row>
    <row r="9648" spans="14:14" x14ac:dyDescent="0.25">
      <c r="N9648" s="514"/>
    </row>
    <row r="9649" spans="14:14" x14ac:dyDescent="0.25">
      <c r="N9649" s="514"/>
    </row>
    <row r="9650" spans="14:14" x14ac:dyDescent="0.25">
      <c r="N9650" s="514"/>
    </row>
    <row r="9651" spans="14:14" x14ac:dyDescent="0.25">
      <c r="N9651" s="514"/>
    </row>
    <row r="9652" spans="14:14" x14ac:dyDescent="0.25">
      <c r="N9652" s="514"/>
    </row>
    <row r="9653" spans="14:14" x14ac:dyDescent="0.25">
      <c r="N9653" s="514"/>
    </row>
    <row r="9654" spans="14:14" x14ac:dyDescent="0.25">
      <c r="N9654" s="514"/>
    </row>
    <row r="9655" spans="14:14" x14ac:dyDescent="0.25">
      <c r="N9655" s="514"/>
    </row>
    <row r="9656" spans="14:14" x14ac:dyDescent="0.25">
      <c r="N9656" s="514"/>
    </row>
    <row r="9657" spans="14:14" x14ac:dyDescent="0.25">
      <c r="N9657" s="514"/>
    </row>
    <row r="9658" spans="14:14" x14ac:dyDescent="0.25">
      <c r="N9658" s="514"/>
    </row>
    <row r="9659" spans="14:14" x14ac:dyDescent="0.25">
      <c r="N9659" s="514"/>
    </row>
    <row r="9660" spans="14:14" x14ac:dyDescent="0.25">
      <c r="N9660" s="514"/>
    </row>
    <row r="9661" spans="14:14" x14ac:dyDescent="0.25">
      <c r="N9661" s="514"/>
    </row>
    <row r="9662" spans="14:14" x14ac:dyDescent="0.25">
      <c r="N9662" s="514"/>
    </row>
    <row r="9663" spans="14:14" x14ac:dyDescent="0.25">
      <c r="N9663" s="514"/>
    </row>
    <row r="9664" spans="14:14" x14ac:dyDescent="0.25">
      <c r="N9664" s="514"/>
    </row>
    <row r="9665" spans="14:14" x14ac:dyDescent="0.25">
      <c r="N9665" s="514"/>
    </row>
    <row r="9666" spans="14:14" x14ac:dyDescent="0.25">
      <c r="N9666" s="514"/>
    </row>
    <row r="9667" spans="14:14" x14ac:dyDescent="0.25">
      <c r="N9667" s="514"/>
    </row>
    <row r="9668" spans="14:14" x14ac:dyDescent="0.25">
      <c r="N9668" s="514"/>
    </row>
    <row r="9669" spans="14:14" x14ac:dyDescent="0.25">
      <c r="N9669" s="514"/>
    </row>
    <row r="9670" spans="14:14" x14ac:dyDescent="0.25">
      <c r="N9670" s="514"/>
    </row>
    <row r="9671" spans="14:14" x14ac:dyDescent="0.25">
      <c r="N9671" s="514"/>
    </row>
    <row r="9672" spans="14:14" x14ac:dyDescent="0.25">
      <c r="N9672" s="514"/>
    </row>
    <row r="9673" spans="14:14" x14ac:dyDescent="0.25">
      <c r="N9673" s="514"/>
    </row>
    <row r="9674" spans="14:14" x14ac:dyDescent="0.25">
      <c r="N9674" s="514"/>
    </row>
    <row r="9675" spans="14:14" x14ac:dyDescent="0.25">
      <c r="N9675" s="514"/>
    </row>
    <row r="9676" spans="14:14" x14ac:dyDescent="0.25">
      <c r="N9676" s="514"/>
    </row>
    <row r="9677" spans="14:14" x14ac:dyDescent="0.25">
      <c r="N9677" s="514"/>
    </row>
    <row r="9678" spans="14:14" x14ac:dyDescent="0.25">
      <c r="N9678" s="514"/>
    </row>
    <row r="9679" spans="14:14" x14ac:dyDescent="0.25">
      <c r="N9679" s="514"/>
    </row>
    <row r="9680" spans="14:14" x14ac:dyDescent="0.25">
      <c r="N9680" s="514"/>
    </row>
    <row r="9681" spans="14:14" x14ac:dyDescent="0.25">
      <c r="N9681" s="514"/>
    </row>
    <row r="9682" spans="14:14" x14ac:dyDescent="0.25">
      <c r="N9682" s="514"/>
    </row>
    <row r="9683" spans="14:14" x14ac:dyDescent="0.25">
      <c r="N9683" s="514"/>
    </row>
    <row r="9684" spans="14:14" x14ac:dyDescent="0.25">
      <c r="N9684" s="514"/>
    </row>
    <row r="9685" spans="14:14" x14ac:dyDescent="0.25">
      <c r="N9685" s="514"/>
    </row>
    <row r="9686" spans="14:14" x14ac:dyDescent="0.25">
      <c r="N9686" s="514"/>
    </row>
    <row r="9687" spans="14:14" x14ac:dyDescent="0.25">
      <c r="N9687" s="514"/>
    </row>
    <row r="9688" spans="14:14" x14ac:dyDescent="0.25">
      <c r="N9688" s="514"/>
    </row>
    <row r="9689" spans="14:14" x14ac:dyDescent="0.25">
      <c r="N9689" s="514"/>
    </row>
    <row r="9690" spans="14:14" x14ac:dyDescent="0.25">
      <c r="N9690" s="514"/>
    </row>
    <row r="9691" spans="14:14" x14ac:dyDescent="0.25">
      <c r="N9691" s="514"/>
    </row>
    <row r="9692" spans="14:14" x14ac:dyDescent="0.25">
      <c r="N9692" s="514"/>
    </row>
    <row r="9693" spans="14:14" x14ac:dyDescent="0.25">
      <c r="N9693" s="514"/>
    </row>
    <row r="9694" spans="14:14" x14ac:dyDescent="0.25">
      <c r="N9694" s="514"/>
    </row>
    <row r="9695" spans="14:14" x14ac:dyDescent="0.25">
      <c r="N9695" s="514"/>
    </row>
    <row r="9696" spans="14:14" x14ac:dyDescent="0.25">
      <c r="N9696" s="514"/>
    </row>
    <row r="9697" spans="14:14" x14ac:dyDescent="0.25">
      <c r="N9697" s="514"/>
    </row>
    <row r="9698" spans="14:14" x14ac:dyDescent="0.25">
      <c r="N9698" s="514"/>
    </row>
    <row r="9699" spans="14:14" x14ac:dyDescent="0.25">
      <c r="N9699" s="514"/>
    </row>
    <row r="9700" spans="14:14" x14ac:dyDescent="0.25">
      <c r="N9700" s="514"/>
    </row>
    <row r="9701" spans="14:14" x14ac:dyDescent="0.25">
      <c r="N9701" s="514"/>
    </row>
    <row r="9702" spans="14:14" x14ac:dyDescent="0.25">
      <c r="N9702" s="514"/>
    </row>
    <row r="9703" spans="14:14" x14ac:dyDescent="0.25">
      <c r="N9703" s="514"/>
    </row>
    <row r="9704" spans="14:14" x14ac:dyDescent="0.25">
      <c r="N9704" s="514"/>
    </row>
    <row r="9705" spans="14:14" x14ac:dyDescent="0.25">
      <c r="N9705" s="514"/>
    </row>
    <row r="9706" spans="14:14" x14ac:dyDescent="0.25">
      <c r="N9706" s="514"/>
    </row>
    <row r="9707" spans="14:14" x14ac:dyDescent="0.25">
      <c r="N9707" s="514"/>
    </row>
    <row r="9708" spans="14:14" x14ac:dyDescent="0.25">
      <c r="N9708" s="514"/>
    </row>
    <row r="9709" spans="14:14" x14ac:dyDescent="0.25">
      <c r="N9709" s="514"/>
    </row>
    <row r="9710" spans="14:14" x14ac:dyDescent="0.25">
      <c r="N9710" s="514"/>
    </row>
    <row r="9711" spans="14:14" x14ac:dyDescent="0.25">
      <c r="N9711" s="514"/>
    </row>
    <row r="9712" spans="14:14" x14ac:dyDescent="0.25">
      <c r="N9712" s="514"/>
    </row>
    <row r="9713" spans="14:14" x14ac:dyDescent="0.25">
      <c r="N9713" s="514"/>
    </row>
    <row r="9714" spans="14:14" x14ac:dyDescent="0.25">
      <c r="N9714" s="514"/>
    </row>
    <row r="9715" spans="14:14" x14ac:dyDescent="0.25">
      <c r="N9715" s="514"/>
    </row>
    <row r="9716" spans="14:14" x14ac:dyDescent="0.25">
      <c r="N9716" s="514"/>
    </row>
    <row r="9717" spans="14:14" x14ac:dyDescent="0.25">
      <c r="N9717" s="514"/>
    </row>
    <row r="9718" spans="14:14" x14ac:dyDescent="0.25">
      <c r="N9718" s="514"/>
    </row>
    <row r="9719" spans="14:14" x14ac:dyDescent="0.25">
      <c r="N9719" s="514"/>
    </row>
    <row r="9720" spans="14:14" x14ac:dyDescent="0.25">
      <c r="N9720" s="514"/>
    </row>
    <row r="9721" spans="14:14" x14ac:dyDescent="0.25">
      <c r="N9721" s="514"/>
    </row>
    <row r="9722" spans="14:14" x14ac:dyDescent="0.25">
      <c r="N9722" s="514"/>
    </row>
    <row r="9723" spans="14:14" x14ac:dyDescent="0.25">
      <c r="N9723" s="514"/>
    </row>
    <row r="9724" spans="14:14" x14ac:dyDescent="0.25">
      <c r="N9724" s="514"/>
    </row>
    <row r="9725" spans="14:14" x14ac:dyDescent="0.25">
      <c r="N9725" s="514"/>
    </row>
    <row r="9726" spans="14:14" x14ac:dyDescent="0.25">
      <c r="N9726" s="514"/>
    </row>
    <row r="9727" spans="14:14" x14ac:dyDescent="0.25">
      <c r="N9727" s="514"/>
    </row>
    <row r="9728" spans="14:14" x14ac:dyDescent="0.25">
      <c r="N9728" s="514"/>
    </row>
    <row r="9729" spans="14:14" x14ac:dyDescent="0.25">
      <c r="N9729" s="514"/>
    </row>
    <row r="9730" spans="14:14" x14ac:dyDescent="0.25">
      <c r="N9730" s="514"/>
    </row>
    <row r="9731" spans="14:14" x14ac:dyDescent="0.25">
      <c r="N9731" s="514"/>
    </row>
    <row r="9732" spans="14:14" x14ac:dyDescent="0.25">
      <c r="N9732" s="514"/>
    </row>
    <row r="9733" spans="14:14" x14ac:dyDescent="0.25">
      <c r="N9733" s="514"/>
    </row>
    <row r="9734" spans="14:14" x14ac:dyDescent="0.25">
      <c r="N9734" s="514"/>
    </row>
    <row r="9735" spans="14:14" x14ac:dyDescent="0.25">
      <c r="N9735" s="514"/>
    </row>
    <row r="9736" spans="14:14" x14ac:dyDescent="0.25">
      <c r="N9736" s="514"/>
    </row>
    <row r="9737" spans="14:14" x14ac:dyDescent="0.25">
      <c r="N9737" s="514"/>
    </row>
    <row r="9738" spans="14:14" x14ac:dyDescent="0.25">
      <c r="N9738" s="514"/>
    </row>
    <row r="9739" spans="14:14" x14ac:dyDescent="0.25">
      <c r="N9739" s="514"/>
    </row>
    <row r="9740" spans="14:14" x14ac:dyDescent="0.25">
      <c r="N9740" s="514"/>
    </row>
    <row r="9741" spans="14:14" x14ac:dyDescent="0.25">
      <c r="N9741" s="514"/>
    </row>
    <row r="9742" spans="14:14" x14ac:dyDescent="0.25">
      <c r="N9742" s="514"/>
    </row>
    <row r="9743" spans="14:14" x14ac:dyDescent="0.25">
      <c r="N9743" s="514"/>
    </row>
    <row r="9744" spans="14:14" x14ac:dyDescent="0.25">
      <c r="N9744" s="514"/>
    </row>
    <row r="9745" spans="14:14" x14ac:dyDescent="0.25">
      <c r="N9745" s="514"/>
    </row>
    <row r="9746" spans="14:14" x14ac:dyDescent="0.25">
      <c r="N9746" s="514"/>
    </row>
    <row r="9747" spans="14:14" x14ac:dyDescent="0.25">
      <c r="N9747" s="514"/>
    </row>
    <row r="9748" spans="14:14" x14ac:dyDescent="0.25">
      <c r="N9748" s="514"/>
    </row>
    <row r="9749" spans="14:14" x14ac:dyDescent="0.25">
      <c r="N9749" s="514"/>
    </row>
    <row r="9750" spans="14:14" x14ac:dyDescent="0.25">
      <c r="N9750" s="514"/>
    </row>
    <row r="9751" spans="14:14" x14ac:dyDescent="0.25">
      <c r="N9751" s="514"/>
    </row>
    <row r="9752" spans="14:14" x14ac:dyDescent="0.25">
      <c r="N9752" s="514"/>
    </row>
    <row r="9753" spans="14:14" x14ac:dyDescent="0.25">
      <c r="N9753" s="514"/>
    </row>
    <row r="9754" spans="14:14" x14ac:dyDescent="0.25">
      <c r="N9754" s="514"/>
    </row>
    <row r="9755" spans="14:14" x14ac:dyDescent="0.25">
      <c r="N9755" s="514"/>
    </row>
    <row r="9756" spans="14:14" x14ac:dyDescent="0.25">
      <c r="N9756" s="514"/>
    </row>
    <row r="9757" spans="14:14" x14ac:dyDescent="0.25">
      <c r="N9757" s="514"/>
    </row>
    <row r="9758" spans="14:14" x14ac:dyDescent="0.25">
      <c r="N9758" s="514"/>
    </row>
    <row r="9759" spans="14:14" x14ac:dyDescent="0.25">
      <c r="N9759" s="514"/>
    </row>
    <row r="9760" spans="14:14" x14ac:dyDescent="0.25">
      <c r="N9760" s="514"/>
    </row>
    <row r="9761" spans="14:14" x14ac:dyDescent="0.25">
      <c r="N9761" s="514"/>
    </row>
    <row r="9762" spans="14:14" x14ac:dyDescent="0.25">
      <c r="N9762" s="514"/>
    </row>
    <row r="9763" spans="14:14" x14ac:dyDescent="0.25">
      <c r="N9763" s="514"/>
    </row>
    <row r="9764" spans="14:14" x14ac:dyDescent="0.25">
      <c r="N9764" s="514"/>
    </row>
    <row r="9765" spans="14:14" x14ac:dyDescent="0.25">
      <c r="N9765" s="514"/>
    </row>
    <row r="9766" spans="14:14" x14ac:dyDescent="0.25">
      <c r="N9766" s="514"/>
    </row>
    <row r="9767" spans="14:14" x14ac:dyDescent="0.25">
      <c r="N9767" s="514"/>
    </row>
    <row r="9768" spans="14:14" x14ac:dyDescent="0.25">
      <c r="N9768" s="514"/>
    </row>
    <row r="9769" spans="14:14" x14ac:dyDescent="0.25">
      <c r="N9769" s="514"/>
    </row>
    <row r="9770" spans="14:14" x14ac:dyDescent="0.25">
      <c r="N9770" s="514"/>
    </row>
    <row r="9771" spans="14:14" x14ac:dyDescent="0.25">
      <c r="N9771" s="514"/>
    </row>
    <row r="9772" spans="14:14" x14ac:dyDescent="0.25">
      <c r="N9772" s="514"/>
    </row>
    <row r="9773" spans="14:14" x14ac:dyDescent="0.25">
      <c r="N9773" s="514"/>
    </row>
    <row r="9774" spans="14:14" x14ac:dyDescent="0.25">
      <c r="N9774" s="514"/>
    </row>
    <row r="9775" spans="14:14" x14ac:dyDescent="0.25">
      <c r="N9775" s="514"/>
    </row>
    <row r="9776" spans="14:14" x14ac:dyDescent="0.25">
      <c r="N9776" s="514"/>
    </row>
    <row r="9777" spans="14:14" x14ac:dyDescent="0.25">
      <c r="N9777" s="514"/>
    </row>
    <row r="9778" spans="14:14" x14ac:dyDescent="0.25">
      <c r="N9778" s="514"/>
    </row>
    <row r="9779" spans="14:14" x14ac:dyDescent="0.25">
      <c r="N9779" s="514"/>
    </row>
    <row r="9780" spans="14:14" x14ac:dyDescent="0.25">
      <c r="N9780" s="514"/>
    </row>
    <row r="9781" spans="14:14" x14ac:dyDescent="0.25">
      <c r="N9781" s="514"/>
    </row>
    <row r="9782" spans="14:14" x14ac:dyDescent="0.25">
      <c r="N9782" s="514"/>
    </row>
    <row r="9783" spans="14:14" x14ac:dyDescent="0.25">
      <c r="N9783" s="514"/>
    </row>
    <row r="9784" spans="14:14" x14ac:dyDescent="0.25">
      <c r="N9784" s="514"/>
    </row>
    <row r="9785" spans="14:14" x14ac:dyDescent="0.25">
      <c r="N9785" s="514"/>
    </row>
    <row r="9786" spans="14:14" x14ac:dyDescent="0.25">
      <c r="N9786" s="514"/>
    </row>
    <row r="9787" spans="14:14" x14ac:dyDescent="0.25">
      <c r="N9787" s="514"/>
    </row>
    <row r="9788" spans="14:14" x14ac:dyDescent="0.25">
      <c r="N9788" s="514"/>
    </row>
    <row r="9789" spans="14:14" x14ac:dyDescent="0.25">
      <c r="N9789" s="514"/>
    </row>
    <row r="9790" spans="14:14" x14ac:dyDescent="0.25">
      <c r="N9790" s="514"/>
    </row>
    <row r="9791" spans="14:14" x14ac:dyDescent="0.25">
      <c r="N9791" s="514"/>
    </row>
    <row r="9792" spans="14:14" x14ac:dyDescent="0.25">
      <c r="N9792" s="514"/>
    </row>
    <row r="9793" spans="14:14" x14ac:dyDescent="0.25">
      <c r="N9793" s="514"/>
    </row>
    <row r="9794" spans="14:14" x14ac:dyDescent="0.25">
      <c r="N9794" s="514"/>
    </row>
    <row r="9795" spans="14:14" x14ac:dyDescent="0.25">
      <c r="N9795" s="514"/>
    </row>
    <row r="9796" spans="14:14" x14ac:dyDescent="0.25">
      <c r="N9796" s="514"/>
    </row>
    <row r="9797" spans="14:14" x14ac:dyDescent="0.25">
      <c r="N9797" s="514"/>
    </row>
    <row r="9798" spans="14:14" x14ac:dyDescent="0.25">
      <c r="N9798" s="514"/>
    </row>
    <row r="9799" spans="14:14" x14ac:dyDescent="0.25">
      <c r="N9799" s="514"/>
    </row>
    <row r="9800" spans="14:14" x14ac:dyDescent="0.25">
      <c r="N9800" s="514"/>
    </row>
    <row r="9801" spans="14:14" x14ac:dyDescent="0.25">
      <c r="N9801" s="514"/>
    </row>
    <row r="9802" spans="14:14" x14ac:dyDescent="0.25">
      <c r="N9802" s="514"/>
    </row>
    <row r="9803" spans="14:14" x14ac:dyDescent="0.25">
      <c r="N9803" s="514"/>
    </row>
    <row r="9804" spans="14:14" x14ac:dyDescent="0.25">
      <c r="N9804" s="514"/>
    </row>
    <row r="9805" spans="14:14" x14ac:dyDescent="0.25">
      <c r="N9805" s="514"/>
    </row>
    <row r="9806" spans="14:14" x14ac:dyDescent="0.25">
      <c r="N9806" s="514"/>
    </row>
    <row r="9807" spans="14:14" x14ac:dyDescent="0.25">
      <c r="N9807" s="514"/>
    </row>
    <row r="9808" spans="14:14" x14ac:dyDescent="0.25">
      <c r="N9808" s="514"/>
    </row>
    <row r="9809" spans="14:14" x14ac:dyDescent="0.25">
      <c r="N9809" s="514"/>
    </row>
    <row r="9810" spans="14:14" x14ac:dyDescent="0.25">
      <c r="N9810" s="514"/>
    </row>
    <row r="9811" spans="14:14" x14ac:dyDescent="0.25">
      <c r="N9811" s="514"/>
    </row>
    <row r="9812" spans="14:14" x14ac:dyDescent="0.25">
      <c r="N9812" s="514"/>
    </row>
    <row r="9813" spans="14:14" x14ac:dyDescent="0.25">
      <c r="N9813" s="514"/>
    </row>
    <row r="9814" spans="14:14" x14ac:dyDescent="0.25">
      <c r="N9814" s="514"/>
    </row>
    <row r="9815" spans="14:14" x14ac:dyDescent="0.25">
      <c r="N9815" s="514"/>
    </row>
    <row r="9816" spans="14:14" x14ac:dyDescent="0.25">
      <c r="N9816" s="514"/>
    </row>
    <row r="9817" spans="14:14" x14ac:dyDescent="0.25">
      <c r="N9817" s="514"/>
    </row>
    <row r="9818" spans="14:14" x14ac:dyDescent="0.25">
      <c r="N9818" s="514"/>
    </row>
    <row r="9819" spans="14:14" x14ac:dyDescent="0.25">
      <c r="N9819" s="514"/>
    </row>
    <row r="9820" spans="14:14" x14ac:dyDescent="0.25">
      <c r="N9820" s="514"/>
    </row>
    <row r="9821" spans="14:14" x14ac:dyDescent="0.25">
      <c r="N9821" s="514"/>
    </row>
    <row r="9822" spans="14:14" x14ac:dyDescent="0.25">
      <c r="N9822" s="514"/>
    </row>
    <row r="9823" spans="14:14" x14ac:dyDescent="0.25">
      <c r="N9823" s="514"/>
    </row>
    <row r="9824" spans="14:14" x14ac:dyDescent="0.25">
      <c r="N9824" s="514"/>
    </row>
    <row r="9825" spans="14:14" x14ac:dyDescent="0.25">
      <c r="N9825" s="514"/>
    </row>
    <row r="9826" spans="14:14" x14ac:dyDescent="0.25">
      <c r="N9826" s="514"/>
    </row>
    <row r="9827" spans="14:14" x14ac:dyDescent="0.25">
      <c r="N9827" s="514"/>
    </row>
    <row r="9828" spans="14:14" x14ac:dyDescent="0.25">
      <c r="N9828" s="514"/>
    </row>
    <row r="9829" spans="14:14" x14ac:dyDescent="0.25">
      <c r="N9829" s="514"/>
    </row>
    <row r="9830" spans="14:14" x14ac:dyDescent="0.25">
      <c r="N9830" s="514"/>
    </row>
    <row r="9831" spans="14:14" x14ac:dyDescent="0.25">
      <c r="N9831" s="514"/>
    </row>
    <row r="9832" spans="14:14" x14ac:dyDescent="0.25">
      <c r="N9832" s="514"/>
    </row>
    <row r="9833" spans="14:14" x14ac:dyDescent="0.25">
      <c r="N9833" s="514"/>
    </row>
    <row r="9834" spans="14:14" x14ac:dyDescent="0.25">
      <c r="N9834" s="514"/>
    </row>
    <row r="9835" spans="14:14" x14ac:dyDescent="0.25">
      <c r="N9835" s="514"/>
    </row>
    <row r="9836" spans="14:14" x14ac:dyDescent="0.25">
      <c r="N9836" s="514"/>
    </row>
    <row r="9837" spans="14:14" x14ac:dyDescent="0.25">
      <c r="N9837" s="514"/>
    </row>
    <row r="9838" spans="14:14" x14ac:dyDescent="0.25">
      <c r="N9838" s="514"/>
    </row>
    <row r="9839" spans="14:14" x14ac:dyDescent="0.25">
      <c r="N9839" s="514"/>
    </row>
    <row r="9840" spans="14:14" x14ac:dyDescent="0.25">
      <c r="N9840" s="514"/>
    </row>
    <row r="9841" spans="14:14" x14ac:dyDescent="0.25">
      <c r="N9841" s="514"/>
    </row>
    <row r="9842" spans="14:14" x14ac:dyDescent="0.25">
      <c r="N9842" s="514"/>
    </row>
    <row r="9843" spans="14:14" x14ac:dyDescent="0.25">
      <c r="N9843" s="514"/>
    </row>
    <row r="9844" spans="14:14" x14ac:dyDescent="0.25">
      <c r="N9844" s="514"/>
    </row>
    <row r="9845" spans="14:14" x14ac:dyDescent="0.25">
      <c r="N9845" s="514"/>
    </row>
    <row r="9846" spans="14:14" x14ac:dyDescent="0.25">
      <c r="N9846" s="514"/>
    </row>
    <row r="9847" spans="14:14" x14ac:dyDescent="0.25">
      <c r="N9847" s="514"/>
    </row>
    <row r="9848" spans="14:14" x14ac:dyDescent="0.25">
      <c r="N9848" s="514"/>
    </row>
    <row r="9849" spans="14:14" x14ac:dyDescent="0.25">
      <c r="N9849" s="514"/>
    </row>
    <row r="9850" spans="14:14" x14ac:dyDescent="0.25">
      <c r="N9850" s="514"/>
    </row>
    <row r="9851" spans="14:14" x14ac:dyDescent="0.25">
      <c r="N9851" s="514"/>
    </row>
    <row r="9852" spans="14:14" x14ac:dyDescent="0.25">
      <c r="N9852" s="514"/>
    </row>
    <row r="9853" spans="14:14" x14ac:dyDescent="0.25">
      <c r="N9853" s="514"/>
    </row>
    <row r="9854" spans="14:14" x14ac:dyDescent="0.25">
      <c r="N9854" s="514"/>
    </row>
    <row r="9855" spans="14:14" x14ac:dyDescent="0.25">
      <c r="N9855" s="514"/>
    </row>
    <row r="9856" spans="14:14" x14ac:dyDescent="0.25">
      <c r="N9856" s="514"/>
    </row>
    <row r="9857" spans="14:14" x14ac:dyDescent="0.25">
      <c r="N9857" s="514"/>
    </row>
    <row r="9858" spans="14:14" x14ac:dyDescent="0.25">
      <c r="N9858" s="514"/>
    </row>
    <row r="9859" spans="14:14" x14ac:dyDescent="0.25">
      <c r="N9859" s="514"/>
    </row>
    <row r="9860" spans="14:14" x14ac:dyDescent="0.25">
      <c r="N9860" s="514"/>
    </row>
    <row r="9861" spans="14:14" x14ac:dyDescent="0.25">
      <c r="N9861" s="514"/>
    </row>
    <row r="9862" spans="14:14" x14ac:dyDescent="0.25">
      <c r="N9862" s="514"/>
    </row>
    <row r="9863" spans="14:14" x14ac:dyDescent="0.25">
      <c r="N9863" s="514"/>
    </row>
    <row r="9864" spans="14:14" x14ac:dyDescent="0.25">
      <c r="N9864" s="514"/>
    </row>
    <row r="9865" spans="14:14" x14ac:dyDescent="0.25">
      <c r="N9865" s="514"/>
    </row>
    <row r="9866" spans="14:14" x14ac:dyDescent="0.25">
      <c r="N9866" s="514"/>
    </row>
    <row r="9867" spans="14:14" x14ac:dyDescent="0.25">
      <c r="N9867" s="514"/>
    </row>
    <row r="9868" spans="14:14" x14ac:dyDescent="0.25">
      <c r="N9868" s="514"/>
    </row>
    <row r="9869" spans="14:14" x14ac:dyDescent="0.25">
      <c r="N9869" s="514"/>
    </row>
    <row r="9870" spans="14:14" x14ac:dyDescent="0.25">
      <c r="N9870" s="514"/>
    </row>
    <row r="9871" spans="14:14" x14ac:dyDescent="0.25">
      <c r="N9871" s="514"/>
    </row>
    <row r="9872" spans="14:14" x14ac:dyDescent="0.25">
      <c r="N9872" s="514"/>
    </row>
    <row r="9873" spans="14:14" x14ac:dyDescent="0.25">
      <c r="N9873" s="514"/>
    </row>
    <row r="9874" spans="14:14" x14ac:dyDescent="0.25">
      <c r="N9874" s="514"/>
    </row>
    <row r="9875" spans="14:14" x14ac:dyDescent="0.25">
      <c r="N9875" s="514"/>
    </row>
    <row r="9876" spans="14:14" x14ac:dyDescent="0.25">
      <c r="N9876" s="514"/>
    </row>
    <row r="9877" spans="14:14" x14ac:dyDescent="0.25">
      <c r="N9877" s="514"/>
    </row>
    <row r="9878" spans="14:14" x14ac:dyDescent="0.25">
      <c r="N9878" s="514"/>
    </row>
    <row r="9879" spans="14:14" x14ac:dyDescent="0.25">
      <c r="N9879" s="514"/>
    </row>
    <row r="9880" spans="14:14" x14ac:dyDescent="0.25">
      <c r="N9880" s="514"/>
    </row>
    <row r="9881" spans="14:14" x14ac:dyDescent="0.25">
      <c r="N9881" s="514"/>
    </row>
    <row r="9882" spans="14:14" x14ac:dyDescent="0.25">
      <c r="N9882" s="514"/>
    </row>
    <row r="9883" spans="14:14" x14ac:dyDescent="0.25">
      <c r="N9883" s="514"/>
    </row>
    <row r="9884" spans="14:14" x14ac:dyDescent="0.25">
      <c r="N9884" s="514"/>
    </row>
    <row r="9885" spans="14:14" x14ac:dyDescent="0.25">
      <c r="N9885" s="514"/>
    </row>
    <row r="9886" spans="14:14" x14ac:dyDescent="0.25">
      <c r="N9886" s="514"/>
    </row>
    <row r="9887" spans="14:14" x14ac:dyDescent="0.25">
      <c r="N9887" s="514"/>
    </row>
    <row r="9888" spans="14:14" x14ac:dyDescent="0.25">
      <c r="N9888" s="514"/>
    </row>
    <row r="9889" spans="14:14" x14ac:dyDescent="0.25">
      <c r="N9889" s="514"/>
    </row>
    <row r="9890" spans="14:14" x14ac:dyDescent="0.25">
      <c r="N9890" s="514"/>
    </row>
    <row r="9891" spans="14:14" x14ac:dyDescent="0.25">
      <c r="N9891" s="514"/>
    </row>
    <row r="9892" spans="14:14" x14ac:dyDescent="0.25">
      <c r="N9892" s="514"/>
    </row>
    <row r="9893" spans="14:14" x14ac:dyDescent="0.25">
      <c r="N9893" s="514"/>
    </row>
    <row r="9894" spans="14:14" x14ac:dyDescent="0.25">
      <c r="N9894" s="514"/>
    </row>
    <row r="9895" spans="14:14" x14ac:dyDescent="0.25">
      <c r="N9895" s="514"/>
    </row>
    <row r="9896" spans="14:14" x14ac:dyDescent="0.25">
      <c r="N9896" s="514"/>
    </row>
    <row r="9897" spans="14:14" x14ac:dyDescent="0.25">
      <c r="N9897" s="514"/>
    </row>
    <row r="9898" spans="14:14" x14ac:dyDescent="0.25">
      <c r="N9898" s="514"/>
    </row>
    <row r="9899" spans="14:14" x14ac:dyDescent="0.25">
      <c r="N9899" s="514"/>
    </row>
    <row r="9900" spans="14:14" x14ac:dyDescent="0.25">
      <c r="N9900" s="514"/>
    </row>
    <row r="9901" spans="14:14" x14ac:dyDescent="0.25">
      <c r="N9901" s="514"/>
    </row>
    <row r="9902" spans="14:14" x14ac:dyDescent="0.25">
      <c r="N9902" s="514"/>
    </row>
    <row r="9903" spans="14:14" x14ac:dyDescent="0.25">
      <c r="N9903" s="514"/>
    </row>
    <row r="9904" spans="14:14" x14ac:dyDescent="0.25">
      <c r="N9904" s="514"/>
    </row>
    <row r="9905" spans="14:14" x14ac:dyDescent="0.25">
      <c r="N9905" s="514"/>
    </row>
    <row r="9906" spans="14:14" x14ac:dyDescent="0.25">
      <c r="N9906" s="514"/>
    </row>
    <row r="9907" spans="14:14" x14ac:dyDescent="0.25">
      <c r="N9907" s="514"/>
    </row>
    <row r="9908" spans="14:14" x14ac:dyDescent="0.25">
      <c r="N9908" s="514"/>
    </row>
    <row r="9909" spans="14:14" x14ac:dyDescent="0.25">
      <c r="N9909" s="514"/>
    </row>
    <row r="9910" spans="14:14" x14ac:dyDescent="0.25">
      <c r="N9910" s="514"/>
    </row>
    <row r="9911" spans="14:14" x14ac:dyDescent="0.25">
      <c r="N9911" s="514"/>
    </row>
    <row r="9912" spans="14:14" x14ac:dyDescent="0.25">
      <c r="N9912" s="514"/>
    </row>
    <row r="9913" spans="14:14" x14ac:dyDescent="0.25">
      <c r="N9913" s="514"/>
    </row>
    <row r="9914" spans="14:14" x14ac:dyDescent="0.25">
      <c r="N9914" s="514"/>
    </row>
    <row r="9915" spans="14:14" x14ac:dyDescent="0.25">
      <c r="N9915" s="514"/>
    </row>
    <row r="9916" spans="14:14" x14ac:dyDescent="0.25">
      <c r="N9916" s="514"/>
    </row>
    <row r="9917" spans="14:14" x14ac:dyDescent="0.25">
      <c r="N9917" s="514"/>
    </row>
    <row r="9918" spans="14:14" x14ac:dyDescent="0.25">
      <c r="N9918" s="514"/>
    </row>
    <row r="9919" spans="14:14" x14ac:dyDescent="0.25">
      <c r="N9919" s="514"/>
    </row>
    <row r="9920" spans="14:14" x14ac:dyDescent="0.25">
      <c r="N9920" s="514"/>
    </row>
    <row r="9921" spans="14:14" x14ac:dyDescent="0.25">
      <c r="N9921" s="514"/>
    </row>
    <row r="9922" spans="14:14" x14ac:dyDescent="0.25">
      <c r="N9922" s="514"/>
    </row>
    <row r="9923" spans="14:14" x14ac:dyDescent="0.25">
      <c r="N9923" s="514"/>
    </row>
    <row r="9924" spans="14:14" x14ac:dyDescent="0.25">
      <c r="N9924" s="514"/>
    </row>
    <row r="9925" spans="14:14" x14ac:dyDescent="0.25">
      <c r="N9925" s="514"/>
    </row>
    <row r="9926" spans="14:14" x14ac:dyDescent="0.25">
      <c r="N9926" s="514"/>
    </row>
    <row r="9927" spans="14:14" x14ac:dyDescent="0.25">
      <c r="N9927" s="514"/>
    </row>
    <row r="9928" spans="14:14" x14ac:dyDescent="0.25">
      <c r="N9928" s="514"/>
    </row>
    <row r="9929" spans="14:14" x14ac:dyDescent="0.25">
      <c r="N9929" s="514"/>
    </row>
    <row r="9930" spans="14:14" x14ac:dyDescent="0.25">
      <c r="N9930" s="514"/>
    </row>
    <row r="9931" spans="14:14" x14ac:dyDescent="0.25">
      <c r="N9931" s="514"/>
    </row>
    <row r="9932" spans="14:14" x14ac:dyDescent="0.25">
      <c r="N9932" s="514"/>
    </row>
    <row r="9933" spans="14:14" x14ac:dyDescent="0.25">
      <c r="N9933" s="514"/>
    </row>
    <row r="9934" spans="14:14" x14ac:dyDescent="0.25">
      <c r="N9934" s="514"/>
    </row>
    <row r="9935" spans="14:14" x14ac:dyDescent="0.25">
      <c r="N9935" s="514"/>
    </row>
    <row r="9936" spans="14:14" x14ac:dyDescent="0.25">
      <c r="N9936" s="514"/>
    </row>
    <row r="9937" spans="14:14" x14ac:dyDescent="0.25">
      <c r="N9937" s="514"/>
    </row>
    <row r="9938" spans="14:14" x14ac:dyDescent="0.25">
      <c r="N9938" s="514"/>
    </row>
    <row r="9939" spans="14:14" x14ac:dyDescent="0.25">
      <c r="N9939" s="514"/>
    </row>
    <row r="9940" spans="14:14" x14ac:dyDescent="0.25">
      <c r="N9940" s="514"/>
    </row>
    <row r="9941" spans="14:14" x14ac:dyDescent="0.25">
      <c r="N9941" s="514"/>
    </row>
    <row r="9942" spans="14:14" x14ac:dyDescent="0.25">
      <c r="N9942" s="514"/>
    </row>
    <row r="9943" spans="14:14" x14ac:dyDescent="0.25">
      <c r="N9943" s="514"/>
    </row>
    <row r="9944" spans="14:14" x14ac:dyDescent="0.25">
      <c r="N9944" s="514"/>
    </row>
    <row r="9945" spans="14:14" x14ac:dyDescent="0.25">
      <c r="N9945" s="514"/>
    </row>
    <row r="9946" spans="14:14" x14ac:dyDescent="0.25">
      <c r="N9946" s="514"/>
    </row>
    <row r="9947" spans="14:14" x14ac:dyDescent="0.25">
      <c r="N9947" s="514"/>
    </row>
    <row r="9948" spans="14:14" x14ac:dyDescent="0.25">
      <c r="N9948" s="514"/>
    </row>
    <row r="9949" spans="14:14" x14ac:dyDescent="0.25">
      <c r="N9949" s="514"/>
    </row>
    <row r="9950" spans="14:14" x14ac:dyDescent="0.25">
      <c r="N9950" s="514"/>
    </row>
    <row r="9951" spans="14:14" x14ac:dyDescent="0.25">
      <c r="N9951" s="514"/>
    </row>
    <row r="9952" spans="14:14" x14ac:dyDescent="0.25">
      <c r="N9952" s="514"/>
    </row>
    <row r="9953" spans="14:14" x14ac:dyDescent="0.25">
      <c r="N9953" s="514"/>
    </row>
    <row r="9954" spans="14:14" x14ac:dyDescent="0.25">
      <c r="N9954" s="514"/>
    </row>
    <row r="9955" spans="14:14" x14ac:dyDescent="0.25">
      <c r="N9955" s="514"/>
    </row>
    <row r="9956" spans="14:14" x14ac:dyDescent="0.25">
      <c r="N9956" s="514"/>
    </row>
    <row r="9957" spans="14:14" x14ac:dyDescent="0.25">
      <c r="N9957" s="514"/>
    </row>
    <row r="9958" spans="14:14" x14ac:dyDescent="0.25">
      <c r="N9958" s="514"/>
    </row>
    <row r="9959" spans="14:14" x14ac:dyDescent="0.25">
      <c r="N9959" s="514"/>
    </row>
    <row r="9960" spans="14:14" x14ac:dyDescent="0.25">
      <c r="N9960" s="514"/>
    </row>
    <row r="9961" spans="14:14" x14ac:dyDescent="0.25">
      <c r="N9961" s="514"/>
    </row>
    <row r="9962" spans="14:14" x14ac:dyDescent="0.25">
      <c r="N9962" s="514"/>
    </row>
    <row r="9963" spans="14:14" x14ac:dyDescent="0.25">
      <c r="N9963" s="514"/>
    </row>
    <row r="9964" spans="14:14" x14ac:dyDescent="0.25">
      <c r="N9964" s="514"/>
    </row>
    <row r="9965" spans="14:14" x14ac:dyDescent="0.25">
      <c r="N9965" s="514"/>
    </row>
    <row r="9966" spans="14:14" x14ac:dyDescent="0.25">
      <c r="N9966" s="514"/>
    </row>
    <row r="9967" spans="14:14" x14ac:dyDescent="0.25">
      <c r="N9967" s="514"/>
    </row>
    <row r="9968" spans="14:14" x14ac:dyDescent="0.25">
      <c r="N9968" s="514"/>
    </row>
    <row r="9969" spans="14:14" x14ac:dyDescent="0.25">
      <c r="N9969" s="514"/>
    </row>
    <row r="9970" spans="14:14" x14ac:dyDescent="0.25">
      <c r="N9970" s="514"/>
    </row>
    <row r="9971" spans="14:14" x14ac:dyDescent="0.25">
      <c r="N9971" s="514"/>
    </row>
    <row r="9972" spans="14:14" x14ac:dyDescent="0.25">
      <c r="N9972" s="514"/>
    </row>
    <row r="9973" spans="14:14" x14ac:dyDescent="0.25">
      <c r="N9973" s="514"/>
    </row>
    <row r="9974" spans="14:14" x14ac:dyDescent="0.25">
      <c r="N9974" s="514"/>
    </row>
    <row r="9975" spans="14:14" x14ac:dyDescent="0.25">
      <c r="N9975" s="514"/>
    </row>
    <row r="9976" spans="14:14" x14ac:dyDescent="0.25">
      <c r="N9976" s="514"/>
    </row>
    <row r="9977" spans="14:14" x14ac:dyDescent="0.25">
      <c r="N9977" s="514"/>
    </row>
    <row r="9978" spans="14:14" x14ac:dyDescent="0.25">
      <c r="N9978" s="514"/>
    </row>
    <row r="9979" spans="14:14" x14ac:dyDescent="0.25">
      <c r="N9979" s="514"/>
    </row>
    <row r="9980" spans="14:14" x14ac:dyDescent="0.25">
      <c r="N9980" s="514"/>
    </row>
    <row r="9981" spans="14:14" x14ac:dyDescent="0.25">
      <c r="N9981" s="514"/>
    </row>
    <row r="9982" spans="14:14" x14ac:dyDescent="0.25">
      <c r="N9982" s="514"/>
    </row>
    <row r="9983" spans="14:14" x14ac:dyDescent="0.25">
      <c r="N9983" s="514"/>
    </row>
    <row r="9984" spans="14:14" x14ac:dyDescent="0.25">
      <c r="N9984" s="514"/>
    </row>
    <row r="9985" spans="14:14" x14ac:dyDescent="0.25">
      <c r="N9985" s="514"/>
    </row>
    <row r="9986" spans="14:14" x14ac:dyDescent="0.25">
      <c r="N9986" s="514"/>
    </row>
    <row r="9987" spans="14:14" x14ac:dyDescent="0.25">
      <c r="N9987" s="514"/>
    </row>
    <row r="9988" spans="14:14" x14ac:dyDescent="0.25">
      <c r="N9988" s="514"/>
    </row>
    <row r="9989" spans="14:14" x14ac:dyDescent="0.25">
      <c r="N9989" s="514"/>
    </row>
    <row r="9990" spans="14:14" x14ac:dyDescent="0.25">
      <c r="N9990" s="514"/>
    </row>
    <row r="9991" spans="14:14" x14ac:dyDescent="0.25">
      <c r="N9991" s="514"/>
    </row>
    <row r="9992" spans="14:14" x14ac:dyDescent="0.25">
      <c r="N9992" s="514"/>
    </row>
    <row r="9993" spans="14:14" x14ac:dyDescent="0.25">
      <c r="N9993" s="514"/>
    </row>
    <row r="9994" spans="14:14" x14ac:dyDescent="0.25">
      <c r="N9994" s="514"/>
    </row>
    <row r="9995" spans="14:14" x14ac:dyDescent="0.25">
      <c r="N9995" s="514"/>
    </row>
    <row r="9996" spans="14:14" x14ac:dyDescent="0.25">
      <c r="N9996" s="514"/>
    </row>
    <row r="9997" spans="14:14" x14ac:dyDescent="0.25">
      <c r="N9997" s="514"/>
    </row>
    <row r="9998" spans="14:14" x14ac:dyDescent="0.25">
      <c r="N9998" s="514"/>
    </row>
    <row r="9999" spans="14:14" x14ac:dyDescent="0.25">
      <c r="N9999" s="514"/>
    </row>
    <row r="10000" spans="14:14" x14ac:dyDescent="0.25">
      <c r="N10000" s="514"/>
    </row>
    <row r="10001" spans="14:14" x14ac:dyDescent="0.25">
      <c r="N10001" s="514"/>
    </row>
    <row r="10002" spans="14:14" x14ac:dyDescent="0.25">
      <c r="N10002" s="514"/>
    </row>
    <row r="10003" spans="14:14" x14ac:dyDescent="0.25">
      <c r="N10003" s="514"/>
    </row>
    <row r="10004" spans="14:14" x14ac:dyDescent="0.25">
      <c r="N10004" s="514"/>
    </row>
    <row r="10005" spans="14:14" x14ac:dyDescent="0.25">
      <c r="N10005" s="514"/>
    </row>
    <row r="10006" spans="14:14" x14ac:dyDescent="0.25">
      <c r="N10006" s="514"/>
    </row>
    <row r="10007" spans="14:14" x14ac:dyDescent="0.25">
      <c r="N10007" s="514"/>
    </row>
    <row r="10008" spans="14:14" x14ac:dyDescent="0.25">
      <c r="N10008" s="514"/>
    </row>
    <row r="10009" spans="14:14" x14ac:dyDescent="0.25">
      <c r="N10009" s="514"/>
    </row>
    <row r="10010" spans="14:14" x14ac:dyDescent="0.25">
      <c r="N10010" s="514"/>
    </row>
    <row r="10011" spans="14:14" x14ac:dyDescent="0.25">
      <c r="N10011" s="514"/>
    </row>
    <row r="10012" spans="14:14" x14ac:dyDescent="0.25">
      <c r="N10012" s="514"/>
    </row>
    <row r="10013" spans="14:14" x14ac:dyDescent="0.25">
      <c r="N10013" s="514"/>
    </row>
    <row r="10014" spans="14:14" x14ac:dyDescent="0.25">
      <c r="N10014" s="514"/>
    </row>
    <row r="10015" spans="14:14" x14ac:dyDescent="0.25">
      <c r="N10015" s="514"/>
    </row>
    <row r="10016" spans="14:14" x14ac:dyDescent="0.25">
      <c r="N10016" s="514"/>
    </row>
    <row r="10017" spans="14:14" x14ac:dyDescent="0.25">
      <c r="N10017" s="514"/>
    </row>
    <row r="10018" spans="14:14" x14ac:dyDescent="0.25">
      <c r="N10018" s="514"/>
    </row>
    <row r="10019" spans="14:14" x14ac:dyDescent="0.25">
      <c r="N10019" s="514"/>
    </row>
    <row r="10020" spans="14:14" x14ac:dyDescent="0.25">
      <c r="N10020" s="514"/>
    </row>
    <row r="10021" spans="14:14" x14ac:dyDescent="0.25">
      <c r="N10021" s="514"/>
    </row>
    <row r="10022" spans="14:14" x14ac:dyDescent="0.25">
      <c r="N10022" s="514"/>
    </row>
    <row r="10023" spans="14:14" x14ac:dyDescent="0.25">
      <c r="N10023" s="514"/>
    </row>
    <row r="10024" spans="14:14" x14ac:dyDescent="0.25">
      <c r="N10024" s="514"/>
    </row>
    <row r="10025" spans="14:14" x14ac:dyDescent="0.25">
      <c r="N10025" s="514"/>
    </row>
    <row r="10026" spans="14:14" x14ac:dyDescent="0.25">
      <c r="N10026" s="514"/>
    </row>
    <row r="10027" spans="14:14" x14ac:dyDescent="0.25">
      <c r="N10027" s="514"/>
    </row>
    <row r="10028" spans="14:14" x14ac:dyDescent="0.25">
      <c r="N10028" s="514"/>
    </row>
    <row r="10029" spans="14:14" x14ac:dyDescent="0.25">
      <c r="N10029" s="514"/>
    </row>
    <row r="10030" spans="14:14" x14ac:dyDescent="0.25">
      <c r="N10030" s="514"/>
    </row>
    <row r="10031" spans="14:14" x14ac:dyDescent="0.25">
      <c r="N10031" s="514"/>
    </row>
    <row r="10032" spans="14:14" x14ac:dyDescent="0.25">
      <c r="N10032" s="514"/>
    </row>
    <row r="10033" spans="14:14" x14ac:dyDescent="0.25">
      <c r="N10033" s="514"/>
    </row>
    <row r="10034" spans="14:14" x14ac:dyDescent="0.25">
      <c r="N10034" s="514"/>
    </row>
    <row r="10035" spans="14:14" x14ac:dyDescent="0.25">
      <c r="N10035" s="514"/>
    </row>
    <row r="10036" spans="14:14" x14ac:dyDescent="0.25">
      <c r="N10036" s="514"/>
    </row>
    <row r="10037" spans="14:14" x14ac:dyDescent="0.25">
      <c r="N10037" s="514"/>
    </row>
    <row r="10038" spans="14:14" x14ac:dyDescent="0.25">
      <c r="N10038" s="514"/>
    </row>
    <row r="10039" spans="14:14" x14ac:dyDescent="0.25">
      <c r="N10039" s="514"/>
    </row>
    <row r="10040" spans="14:14" x14ac:dyDescent="0.25">
      <c r="N10040" s="514"/>
    </row>
    <row r="10041" spans="14:14" x14ac:dyDescent="0.25">
      <c r="N10041" s="514"/>
    </row>
    <row r="10042" spans="14:14" x14ac:dyDescent="0.25">
      <c r="N10042" s="514"/>
    </row>
    <row r="10043" spans="14:14" x14ac:dyDescent="0.25">
      <c r="N10043" s="514"/>
    </row>
    <row r="10044" spans="14:14" x14ac:dyDescent="0.25">
      <c r="N10044" s="514"/>
    </row>
    <row r="10045" spans="14:14" x14ac:dyDescent="0.25">
      <c r="N10045" s="514"/>
    </row>
    <row r="10046" spans="14:14" x14ac:dyDescent="0.25">
      <c r="N10046" s="514"/>
    </row>
    <row r="10047" spans="14:14" x14ac:dyDescent="0.25">
      <c r="N10047" s="514"/>
    </row>
    <row r="10048" spans="14:14" x14ac:dyDescent="0.25">
      <c r="N10048" s="514"/>
    </row>
    <row r="10049" spans="14:14" x14ac:dyDescent="0.25">
      <c r="N10049" s="514"/>
    </row>
    <row r="10050" spans="14:14" x14ac:dyDescent="0.25">
      <c r="N10050" s="514"/>
    </row>
    <row r="10051" spans="14:14" x14ac:dyDescent="0.25">
      <c r="N10051" s="514"/>
    </row>
    <row r="10052" spans="14:14" x14ac:dyDescent="0.25">
      <c r="N10052" s="514"/>
    </row>
    <row r="10053" spans="14:14" x14ac:dyDescent="0.25">
      <c r="N10053" s="514"/>
    </row>
    <row r="10054" spans="14:14" x14ac:dyDescent="0.25">
      <c r="N10054" s="514"/>
    </row>
    <row r="10055" spans="14:14" x14ac:dyDescent="0.25">
      <c r="N10055" s="514"/>
    </row>
    <row r="10056" spans="14:14" x14ac:dyDescent="0.25">
      <c r="N10056" s="514"/>
    </row>
    <row r="10057" spans="14:14" x14ac:dyDescent="0.25">
      <c r="N10057" s="514"/>
    </row>
    <row r="10058" spans="14:14" x14ac:dyDescent="0.25">
      <c r="N10058" s="514"/>
    </row>
    <row r="10059" spans="14:14" x14ac:dyDescent="0.25">
      <c r="N10059" s="514"/>
    </row>
    <row r="10060" spans="14:14" x14ac:dyDescent="0.25">
      <c r="N10060" s="514"/>
    </row>
    <row r="10061" spans="14:14" x14ac:dyDescent="0.25">
      <c r="N10061" s="514"/>
    </row>
    <row r="10062" spans="14:14" x14ac:dyDescent="0.25">
      <c r="N10062" s="514"/>
    </row>
    <row r="10063" spans="14:14" x14ac:dyDescent="0.25">
      <c r="N10063" s="514"/>
    </row>
    <row r="10064" spans="14:14" x14ac:dyDescent="0.25">
      <c r="N10064" s="514"/>
    </row>
    <row r="10065" spans="14:14" x14ac:dyDescent="0.25">
      <c r="N10065" s="514"/>
    </row>
    <row r="10066" spans="14:14" x14ac:dyDescent="0.25">
      <c r="N10066" s="514"/>
    </row>
    <row r="10067" spans="14:14" x14ac:dyDescent="0.25">
      <c r="N10067" s="514"/>
    </row>
    <row r="10068" spans="14:14" x14ac:dyDescent="0.25">
      <c r="N10068" s="514"/>
    </row>
    <row r="10069" spans="14:14" x14ac:dyDescent="0.25">
      <c r="N10069" s="514"/>
    </row>
    <row r="10070" spans="14:14" x14ac:dyDescent="0.25">
      <c r="N10070" s="514"/>
    </row>
    <row r="10071" spans="14:14" x14ac:dyDescent="0.25">
      <c r="N10071" s="514"/>
    </row>
    <row r="10072" spans="14:14" x14ac:dyDescent="0.25">
      <c r="N10072" s="514"/>
    </row>
    <row r="10073" spans="14:14" x14ac:dyDescent="0.25">
      <c r="N10073" s="514"/>
    </row>
    <row r="10074" spans="14:14" x14ac:dyDescent="0.25">
      <c r="N10074" s="514"/>
    </row>
    <row r="10075" spans="14:14" x14ac:dyDescent="0.25">
      <c r="N10075" s="514"/>
    </row>
    <row r="10076" spans="14:14" x14ac:dyDescent="0.25">
      <c r="N10076" s="514"/>
    </row>
    <row r="10077" spans="14:14" x14ac:dyDescent="0.25">
      <c r="N10077" s="514"/>
    </row>
    <row r="10078" spans="14:14" x14ac:dyDescent="0.25">
      <c r="N10078" s="514"/>
    </row>
    <row r="10079" spans="14:14" x14ac:dyDescent="0.25">
      <c r="N10079" s="514"/>
    </row>
    <row r="10080" spans="14:14" x14ac:dyDescent="0.25">
      <c r="N10080" s="514"/>
    </row>
    <row r="10081" spans="14:14" x14ac:dyDescent="0.25">
      <c r="N10081" s="514"/>
    </row>
    <row r="10082" spans="14:14" x14ac:dyDescent="0.25">
      <c r="N10082" s="514"/>
    </row>
    <row r="10083" spans="14:14" x14ac:dyDescent="0.25">
      <c r="N10083" s="514"/>
    </row>
    <row r="10084" spans="14:14" x14ac:dyDescent="0.25">
      <c r="N10084" s="514"/>
    </row>
    <row r="10085" spans="14:14" x14ac:dyDescent="0.25">
      <c r="N10085" s="514"/>
    </row>
    <row r="10086" spans="14:14" x14ac:dyDescent="0.25">
      <c r="N10086" s="514"/>
    </row>
    <row r="10087" spans="14:14" x14ac:dyDescent="0.25">
      <c r="N10087" s="514"/>
    </row>
    <row r="10088" spans="14:14" x14ac:dyDescent="0.25">
      <c r="N10088" s="514"/>
    </row>
    <row r="10089" spans="14:14" x14ac:dyDescent="0.25">
      <c r="N10089" s="514"/>
    </row>
    <row r="10090" spans="14:14" x14ac:dyDescent="0.25">
      <c r="N10090" s="514"/>
    </row>
    <row r="10091" spans="14:14" x14ac:dyDescent="0.25">
      <c r="N10091" s="514"/>
    </row>
    <row r="10092" spans="14:14" x14ac:dyDescent="0.25">
      <c r="N10092" s="514"/>
    </row>
    <row r="10093" spans="14:14" x14ac:dyDescent="0.25">
      <c r="N10093" s="514"/>
    </row>
    <row r="10094" spans="14:14" x14ac:dyDescent="0.25">
      <c r="N10094" s="514"/>
    </row>
    <row r="10095" spans="14:14" x14ac:dyDescent="0.25">
      <c r="N10095" s="514"/>
    </row>
    <row r="10096" spans="14:14" x14ac:dyDescent="0.25">
      <c r="N10096" s="514"/>
    </row>
    <row r="10097" spans="14:14" x14ac:dyDescent="0.25">
      <c r="N10097" s="514"/>
    </row>
    <row r="10098" spans="14:14" x14ac:dyDescent="0.25">
      <c r="N10098" s="514"/>
    </row>
    <row r="10099" spans="14:14" x14ac:dyDescent="0.25">
      <c r="N10099" s="514"/>
    </row>
    <row r="10100" spans="14:14" x14ac:dyDescent="0.25">
      <c r="N10100" s="514"/>
    </row>
    <row r="10101" spans="14:14" x14ac:dyDescent="0.25">
      <c r="N10101" s="514"/>
    </row>
    <row r="10102" spans="14:14" x14ac:dyDescent="0.25">
      <c r="N10102" s="514"/>
    </row>
    <row r="10103" spans="14:14" x14ac:dyDescent="0.25">
      <c r="N10103" s="514"/>
    </row>
    <row r="10104" spans="14:14" x14ac:dyDescent="0.25">
      <c r="N10104" s="514"/>
    </row>
    <row r="10105" spans="14:14" x14ac:dyDescent="0.25">
      <c r="N10105" s="514"/>
    </row>
    <row r="10106" spans="14:14" x14ac:dyDescent="0.25">
      <c r="N10106" s="514"/>
    </row>
    <row r="10107" spans="14:14" x14ac:dyDescent="0.25">
      <c r="N10107" s="514"/>
    </row>
    <row r="10108" spans="14:14" x14ac:dyDescent="0.25">
      <c r="N10108" s="514"/>
    </row>
    <row r="10109" spans="14:14" x14ac:dyDescent="0.25">
      <c r="N10109" s="514"/>
    </row>
    <row r="10110" spans="14:14" x14ac:dyDescent="0.25">
      <c r="N10110" s="514"/>
    </row>
    <row r="10111" spans="14:14" x14ac:dyDescent="0.25">
      <c r="N10111" s="514"/>
    </row>
    <row r="10112" spans="14:14" x14ac:dyDescent="0.25">
      <c r="N10112" s="514"/>
    </row>
    <row r="10113" spans="14:14" x14ac:dyDescent="0.25">
      <c r="N10113" s="514"/>
    </row>
    <row r="10114" spans="14:14" x14ac:dyDescent="0.25">
      <c r="N10114" s="514"/>
    </row>
    <row r="10115" spans="14:14" x14ac:dyDescent="0.25">
      <c r="N10115" s="514"/>
    </row>
    <row r="10116" spans="14:14" x14ac:dyDescent="0.25">
      <c r="N10116" s="514"/>
    </row>
    <row r="10117" spans="14:14" x14ac:dyDescent="0.25">
      <c r="N10117" s="514"/>
    </row>
    <row r="10118" spans="14:14" x14ac:dyDescent="0.25">
      <c r="N10118" s="514"/>
    </row>
    <row r="10119" spans="14:14" x14ac:dyDescent="0.25">
      <c r="N10119" s="514"/>
    </row>
    <row r="10120" spans="14:14" x14ac:dyDescent="0.25">
      <c r="N10120" s="514"/>
    </row>
    <row r="10121" spans="14:14" x14ac:dyDescent="0.25">
      <c r="N10121" s="514"/>
    </row>
    <row r="10122" spans="14:14" x14ac:dyDescent="0.25">
      <c r="N10122" s="514"/>
    </row>
    <row r="10123" spans="14:14" x14ac:dyDescent="0.25">
      <c r="N10123" s="514"/>
    </row>
    <row r="10124" spans="14:14" x14ac:dyDescent="0.25">
      <c r="N10124" s="514"/>
    </row>
    <row r="10125" spans="14:14" x14ac:dyDescent="0.25">
      <c r="N10125" s="514"/>
    </row>
    <row r="10126" spans="14:14" x14ac:dyDescent="0.25">
      <c r="N10126" s="514"/>
    </row>
    <row r="10127" spans="14:14" x14ac:dyDescent="0.25">
      <c r="N10127" s="514"/>
    </row>
    <row r="10128" spans="14:14" x14ac:dyDescent="0.25">
      <c r="N10128" s="514"/>
    </row>
    <row r="10129" spans="14:14" x14ac:dyDescent="0.25">
      <c r="N10129" s="514"/>
    </row>
    <row r="10130" spans="14:14" x14ac:dyDescent="0.25">
      <c r="N10130" s="514"/>
    </row>
    <row r="10131" spans="14:14" x14ac:dyDescent="0.25">
      <c r="N10131" s="514"/>
    </row>
    <row r="10132" spans="14:14" x14ac:dyDescent="0.25">
      <c r="N10132" s="514"/>
    </row>
    <row r="10133" spans="14:14" x14ac:dyDescent="0.25">
      <c r="N10133" s="514"/>
    </row>
    <row r="10134" spans="14:14" x14ac:dyDescent="0.25">
      <c r="N10134" s="514"/>
    </row>
    <row r="10135" spans="14:14" x14ac:dyDescent="0.25">
      <c r="N10135" s="514"/>
    </row>
    <row r="10136" spans="14:14" x14ac:dyDescent="0.25">
      <c r="N10136" s="514"/>
    </row>
    <row r="10137" spans="14:14" x14ac:dyDescent="0.25">
      <c r="N10137" s="514"/>
    </row>
    <row r="10138" spans="14:14" x14ac:dyDescent="0.25">
      <c r="N10138" s="514"/>
    </row>
    <row r="10139" spans="14:14" x14ac:dyDescent="0.25">
      <c r="N10139" s="514"/>
    </row>
    <row r="10140" spans="14:14" x14ac:dyDescent="0.25">
      <c r="N10140" s="514"/>
    </row>
    <row r="10141" spans="14:14" x14ac:dyDescent="0.25">
      <c r="N10141" s="514"/>
    </row>
    <row r="10142" spans="14:14" x14ac:dyDescent="0.25">
      <c r="N10142" s="514"/>
    </row>
    <row r="10143" spans="14:14" x14ac:dyDescent="0.25">
      <c r="N10143" s="514"/>
    </row>
    <row r="10144" spans="14:14" x14ac:dyDescent="0.25">
      <c r="N10144" s="514"/>
    </row>
    <row r="10145" spans="14:14" x14ac:dyDescent="0.25">
      <c r="N10145" s="514"/>
    </row>
    <row r="10146" spans="14:14" x14ac:dyDescent="0.25">
      <c r="N10146" s="514"/>
    </row>
    <row r="10147" spans="14:14" x14ac:dyDescent="0.25">
      <c r="N10147" s="514"/>
    </row>
    <row r="10148" spans="14:14" x14ac:dyDescent="0.25">
      <c r="N10148" s="514"/>
    </row>
    <row r="10149" spans="14:14" x14ac:dyDescent="0.25">
      <c r="N10149" s="514"/>
    </row>
    <row r="10150" spans="14:14" x14ac:dyDescent="0.25">
      <c r="N10150" s="514"/>
    </row>
    <row r="10151" spans="14:14" x14ac:dyDescent="0.25">
      <c r="N10151" s="514"/>
    </row>
    <row r="10152" spans="14:14" x14ac:dyDescent="0.25">
      <c r="N10152" s="514"/>
    </row>
    <row r="10153" spans="14:14" x14ac:dyDescent="0.25">
      <c r="N10153" s="514"/>
    </row>
    <row r="10154" spans="14:14" x14ac:dyDescent="0.25">
      <c r="N10154" s="514"/>
    </row>
    <row r="10155" spans="14:14" x14ac:dyDescent="0.25">
      <c r="N10155" s="514"/>
    </row>
    <row r="10156" spans="14:14" x14ac:dyDescent="0.25">
      <c r="N10156" s="514"/>
    </row>
    <row r="10157" spans="14:14" x14ac:dyDescent="0.25">
      <c r="N10157" s="514"/>
    </row>
    <row r="10158" spans="14:14" x14ac:dyDescent="0.25">
      <c r="N10158" s="514"/>
    </row>
    <row r="10159" spans="14:14" x14ac:dyDescent="0.25">
      <c r="N10159" s="514"/>
    </row>
    <row r="10160" spans="14:14" x14ac:dyDescent="0.25">
      <c r="N10160" s="514"/>
    </row>
    <row r="10161" spans="14:14" x14ac:dyDescent="0.25">
      <c r="N10161" s="514"/>
    </row>
    <row r="10162" spans="14:14" x14ac:dyDescent="0.25">
      <c r="N10162" s="514"/>
    </row>
    <row r="10163" spans="14:14" x14ac:dyDescent="0.25">
      <c r="N10163" s="514"/>
    </row>
    <row r="10164" spans="14:14" x14ac:dyDescent="0.25">
      <c r="N10164" s="514"/>
    </row>
    <row r="10165" spans="14:14" x14ac:dyDescent="0.25">
      <c r="N10165" s="514"/>
    </row>
    <row r="10166" spans="14:14" x14ac:dyDescent="0.25">
      <c r="N10166" s="514"/>
    </row>
    <row r="10167" spans="14:14" x14ac:dyDescent="0.25">
      <c r="N10167" s="514"/>
    </row>
    <row r="10168" spans="14:14" x14ac:dyDescent="0.25">
      <c r="N10168" s="514"/>
    </row>
    <row r="10169" spans="14:14" x14ac:dyDescent="0.25">
      <c r="N10169" s="514"/>
    </row>
    <row r="10170" spans="14:14" x14ac:dyDescent="0.25">
      <c r="N10170" s="514"/>
    </row>
    <row r="10171" spans="14:14" x14ac:dyDescent="0.25">
      <c r="N10171" s="514"/>
    </row>
    <row r="10172" spans="14:14" x14ac:dyDescent="0.25">
      <c r="N10172" s="514"/>
    </row>
    <row r="10173" spans="14:14" x14ac:dyDescent="0.25">
      <c r="N10173" s="514"/>
    </row>
    <row r="10174" spans="14:14" x14ac:dyDescent="0.25">
      <c r="N10174" s="514"/>
    </row>
    <row r="10175" spans="14:14" x14ac:dyDescent="0.25">
      <c r="N10175" s="514"/>
    </row>
    <row r="10176" spans="14:14" x14ac:dyDescent="0.25">
      <c r="N10176" s="514"/>
    </row>
    <row r="10177" spans="14:14" x14ac:dyDescent="0.25">
      <c r="N10177" s="514"/>
    </row>
    <row r="10178" spans="14:14" x14ac:dyDescent="0.25">
      <c r="N10178" s="514"/>
    </row>
    <row r="10179" spans="14:14" x14ac:dyDescent="0.25">
      <c r="N10179" s="514"/>
    </row>
    <row r="10180" spans="14:14" x14ac:dyDescent="0.25">
      <c r="N10180" s="514"/>
    </row>
    <row r="10181" spans="14:14" x14ac:dyDescent="0.25">
      <c r="N10181" s="514"/>
    </row>
    <row r="10182" spans="14:14" x14ac:dyDescent="0.25">
      <c r="N10182" s="514"/>
    </row>
    <row r="10183" spans="14:14" x14ac:dyDescent="0.25">
      <c r="N10183" s="514"/>
    </row>
    <row r="10184" spans="14:14" x14ac:dyDescent="0.25">
      <c r="N10184" s="514"/>
    </row>
    <row r="10185" spans="14:14" x14ac:dyDescent="0.25">
      <c r="N10185" s="514"/>
    </row>
    <row r="10186" spans="14:14" x14ac:dyDescent="0.25">
      <c r="N10186" s="514"/>
    </row>
    <row r="10187" spans="14:14" x14ac:dyDescent="0.25">
      <c r="N10187" s="514"/>
    </row>
    <row r="10188" spans="14:14" x14ac:dyDescent="0.25">
      <c r="N10188" s="514"/>
    </row>
    <row r="10189" spans="14:14" x14ac:dyDescent="0.25">
      <c r="N10189" s="514"/>
    </row>
    <row r="10190" spans="14:14" x14ac:dyDescent="0.25">
      <c r="N10190" s="514"/>
    </row>
    <row r="10191" spans="14:14" x14ac:dyDescent="0.25">
      <c r="N10191" s="514"/>
    </row>
    <row r="10192" spans="14:14" x14ac:dyDescent="0.25">
      <c r="N10192" s="514"/>
    </row>
    <row r="10193" spans="14:14" x14ac:dyDescent="0.25">
      <c r="N10193" s="514"/>
    </row>
    <row r="10194" spans="14:14" x14ac:dyDescent="0.25">
      <c r="N10194" s="514"/>
    </row>
    <row r="10195" spans="14:14" x14ac:dyDescent="0.25">
      <c r="N10195" s="514"/>
    </row>
    <row r="10196" spans="14:14" x14ac:dyDescent="0.25">
      <c r="N10196" s="514"/>
    </row>
    <row r="10197" spans="14:14" x14ac:dyDescent="0.25">
      <c r="N10197" s="514"/>
    </row>
    <row r="10198" spans="14:14" x14ac:dyDescent="0.25">
      <c r="N10198" s="514"/>
    </row>
    <row r="10199" spans="14:14" x14ac:dyDescent="0.25">
      <c r="N10199" s="514"/>
    </row>
    <row r="10200" spans="14:14" x14ac:dyDescent="0.25">
      <c r="N10200" s="514"/>
    </row>
    <row r="10201" spans="14:14" x14ac:dyDescent="0.25">
      <c r="N10201" s="514"/>
    </row>
    <row r="10202" spans="14:14" x14ac:dyDescent="0.25">
      <c r="N10202" s="514"/>
    </row>
    <row r="10203" spans="14:14" x14ac:dyDescent="0.25">
      <c r="N10203" s="514"/>
    </row>
    <row r="10204" spans="14:14" x14ac:dyDescent="0.25">
      <c r="N10204" s="514"/>
    </row>
    <row r="10205" spans="14:14" x14ac:dyDescent="0.25">
      <c r="N10205" s="514"/>
    </row>
    <row r="10206" spans="14:14" x14ac:dyDescent="0.25">
      <c r="N10206" s="514"/>
    </row>
    <row r="10207" spans="14:14" x14ac:dyDescent="0.25">
      <c r="N10207" s="514"/>
    </row>
    <row r="10208" spans="14:14" x14ac:dyDescent="0.25">
      <c r="N10208" s="514"/>
    </row>
    <row r="10209" spans="14:14" x14ac:dyDescent="0.25">
      <c r="N10209" s="514"/>
    </row>
    <row r="10210" spans="14:14" x14ac:dyDescent="0.25">
      <c r="N10210" s="514"/>
    </row>
    <row r="10211" spans="14:14" x14ac:dyDescent="0.25">
      <c r="N10211" s="514"/>
    </row>
    <row r="10212" spans="14:14" x14ac:dyDescent="0.25">
      <c r="N10212" s="514"/>
    </row>
    <row r="10213" spans="14:14" x14ac:dyDescent="0.25">
      <c r="N10213" s="514"/>
    </row>
    <row r="10214" spans="14:14" x14ac:dyDescent="0.25">
      <c r="N10214" s="514"/>
    </row>
    <row r="10215" spans="14:14" x14ac:dyDescent="0.25">
      <c r="N10215" s="514"/>
    </row>
    <row r="10216" spans="14:14" x14ac:dyDescent="0.25">
      <c r="N10216" s="514"/>
    </row>
    <row r="10217" spans="14:14" x14ac:dyDescent="0.25">
      <c r="N10217" s="514"/>
    </row>
    <row r="10218" spans="14:14" x14ac:dyDescent="0.25">
      <c r="N10218" s="514"/>
    </row>
    <row r="10219" spans="14:14" x14ac:dyDescent="0.25">
      <c r="N10219" s="514"/>
    </row>
    <row r="10220" spans="14:14" x14ac:dyDescent="0.25">
      <c r="N10220" s="514"/>
    </row>
    <row r="10221" spans="14:14" x14ac:dyDescent="0.25">
      <c r="N10221" s="514"/>
    </row>
    <row r="10222" spans="14:14" x14ac:dyDescent="0.25">
      <c r="N10222" s="514"/>
    </row>
    <row r="10223" spans="14:14" x14ac:dyDescent="0.25">
      <c r="N10223" s="514"/>
    </row>
    <row r="10224" spans="14:14" x14ac:dyDescent="0.25">
      <c r="N10224" s="514"/>
    </row>
    <row r="10225" spans="14:14" x14ac:dyDescent="0.25">
      <c r="N10225" s="514"/>
    </row>
    <row r="10226" spans="14:14" x14ac:dyDescent="0.25">
      <c r="N10226" s="514"/>
    </row>
    <row r="10227" spans="14:14" x14ac:dyDescent="0.25">
      <c r="N10227" s="514"/>
    </row>
    <row r="10228" spans="14:14" x14ac:dyDescent="0.25">
      <c r="N10228" s="514"/>
    </row>
    <row r="10229" spans="14:14" x14ac:dyDescent="0.25">
      <c r="N10229" s="514"/>
    </row>
    <row r="10230" spans="14:14" x14ac:dyDescent="0.25">
      <c r="N10230" s="514"/>
    </row>
    <row r="10231" spans="14:14" x14ac:dyDescent="0.25">
      <c r="N10231" s="514"/>
    </row>
    <row r="10232" spans="14:14" x14ac:dyDescent="0.25">
      <c r="N10232" s="514"/>
    </row>
    <row r="10233" spans="14:14" x14ac:dyDescent="0.25">
      <c r="N10233" s="514"/>
    </row>
    <row r="10234" spans="14:14" x14ac:dyDescent="0.25">
      <c r="N10234" s="514"/>
    </row>
    <row r="10235" spans="14:14" x14ac:dyDescent="0.25">
      <c r="N10235" s="514"/>
    </row>
    <row r="10236" spans="14:14" x14ac:dyDescent="0.25">
      <c r="N10236" s="514"/>
    </row>
    <row r="10237" spans="14:14" x14ac:dyDescent="0.25">
      <c r="N10237" s="514"/>
    </row>
    <row r="10238" spans="14:14" x14ac:dyDescent="0.25">
      <c r="N10238" s="514"/>
    </row>
    <row r="10239" spans="14:14" x14ac:dyDescent="0.25">
      <c r="N10239" s="514"/>
    </row>
    <row r="10240" spans="14:14" x14ac:dyDescent="0.25">
      <c r="N10240" s="514"/>
    </row>
    <row r="10241" spans="14:14" x14ac:dyDescent="0.25">
      <c r="N10241" s="514"/>
    </row>
    <row r="10242" spans="14:14" x14ac:dyDescent="0.25">
      <c r="N10242" s="514"/>
    </row>
    <row r="10243" spans="14:14" x14ac:dyDescent="0.25">
      <c r="N10243" s="514"/>
    </row>
    <row r="10244" spans="14:14" x14ac:dyDescent="0.25">
      <c r="N10244" s="514"/>
    </row>
    <row r="10245" spans="14:14" x14ac:dyDescent="0.25">
      <c r="N10245" s="514"/>
    </row>
    <row r="10246" spans="14:14" x14ac:dyDescent="0.25">
      <c r="N10246" s="514"/>
    </row>
    <row r="10247" spans="14:14" x14ac:dyDescent="0.25">
      <c r="N10247" s="514"/>
    </row>
    <row r="10248" spans="14:14" x14ac:dyDescent="0.25">
      <c r="N10248" s="514"/>
    </row>
    <row r="10249" spans="14:14" x14ac:dyDescent="0.25">
      <c r="N10249" s="514"/>
    </row>
    <row r="10250" spans="14:14" x14ac:dyDescent="0.25">
      <c r="N10250" s="514"/>
    </row>
    <row r="10251" spans="14:14" x14ac:dyDescent="0.25">
      <c r="N10251" s="514"/>
    </row>
    <row r="10252" spans="14:14" x14ac:dyDescent="0.25">
      <c r="N10252" s="514"/>
    </row>
    <row r="10253" spans="14:14" x14ac:dyDescent="0.25">
      <c r="N10253" s="514"/>
    </row>
    <row r="10254" spans="14:14" x14ac:dyDescent="0.25">
      <c r="N10254" s="514"/>
    </row>
    <row r="10255" spans="14:14" x14ac:dyDescent="0.25">
      <c r="N10255" s="514"/>
    </row>
    <row r="10256" spans="14:14" x14ac:dyDescent="0.25">
      <c r="N10256" s="514"/>
    </row>
    <row r="10257" spans="14:14" x14ac:dyDescent="0.25">
      <c r="N10257" s="514"/>
    </row>
    <row r="10258" spans="14:14" x14ac:dyDescent="0.25">
      <c r="N10258" s="514"/>
    </row>
    <row r="10259" spans="14:14" x14ac:dyDescent="0.25">
      <c r="N10259" s="514"/>
    </row>
    <row r="10260" spans="14:14" x14ac:dyDescent="0.25">
      <c r="N10260" s="514"/>
    </row>
    <row r="10261" spans="14:14" x14ac:dyDescent="0.25">
      <c r="N10261" s="514"/>
    </row>
    <row r="10262" spans="14:14" x14ac:dyDescent="0.25">
      <c r="N10262" s="514"/>
    </row>
    <row r="10263" spans="14:14" x14ac:dyDescent="0.25">
      <c r="N10263" s="514"/>
    </row>
    <row r="10264" spans="14:14" x14ac:dyDescent="0.25">
      <c r="N10264" s="514"/>
    </row>
    <row r="10265" spans="14:14" x14ac:dyDescent="0.25">
      <c r="N10265" s="514"/>
    </row>
    <row r="10266" spans="14:14" x14ac:dyDescent="0.25">
      <c r="N10266" s="514"/>
    </row>
    <row r="10267" spans="14:14" x14ac:dyDescent="0.25">
      <c r="N10267" s="514"/>
    </row>
    <row r="10268" spans="14:14" x14ac:dyDescent="0.25">
      <c r="N10268" s="514"/>
    </row>
    <row r="10269" spans="14:14" x14ac:dyDescent="0.25">
      <c r="N10269" s="514"/>
    </row>
    <row r="10270" spans="14:14" x14ac:dyDescent="0.25">
      <c r="N10270" s="514"/>
    </row>
    <row r="10271" spans="14:14" x14ac:dyDescent="0.25">
      <c r="N10271" s="514"/>
    </row>
    <row r="10272" spans="14:14" x14ac:dyDescent="0.25">
      <c r="N10272" s="514"/>
    </row>
    <row r="10273" spans="14:14" x14ac:dyDescent="0.25">
      <c r="N10273" s="514"/>
    </row>
    <row r="10274" spans="14:14" x14ac:dyDescent="0.25">
      <c r="N10274" s="514"/>
    </row>
    <row r="10275" spans="14:14" x14ac:dyDescent="0.25">
      <c r="N10275" s="514"/>
    </row>
    <row r="10276" spans="14:14" x14ac:dyDescent="0.25">
      <c r="N10276" s="514"/>
    </row>
    <row r="10277" spans="14:14" x14ac:dyDescent="0.25">
      <c r="N10277" s="514"/>
    </row>
    <row r="10278" spans="14:14" x14ac:dyDescent="0.25">
      <c r="N10278" s="514"/>
    </row>
    <row r="10279" spans="14:14" x14ac:dyDescent="0.25">
      <c r="N10279" s="514"/>
    </row>
    <row r="10280" spans="14:14" x14ac:dyDescent="0.25">
      <c r="N10280" s="514"/>
    </row>
    <row r="10281" spans="14:14" x14ac:dyDescent="0.25">
      <c r="N10281" s="514"/>
    </row>
    <row r="10282" spans="14:14" x14ac:dyDescent="0.25">
      <c r="N10282" s="514"/>
    </row>
    <row r="10283" spans="14:14" x14ac:dyDescent="0.25">
      <c r="N10283" s="514"/>
    </row>
    <row r="10284" spans="14:14" x14ac:dyDescent="0.25">
      <c r="N10284" s="514"/>
    </row>
    <row r="10285" spans="14:14" x14ac:dyDescent="0.25">
      <c r="N10285" s="514"/>
    </row>
    <row r="10286" spans="14:14" x14ac:dyDescent="0.25">
      <c r="N10286" s="514"/>
    </row>
    <row r="10287" spans="14:14" x14ac:dyDescent="0.25">
      <c r="N10287" s="514"/>
    </row>
    <row r="10288" spans="14:14" x14ac:dyDescent="0.25">
      <c r="N10288" s="514"/>
    </row>
    <row r="10289" spans="14:14" x14ac:dyDescent="0.25">
      <c r="N10289" s="514"/>
    </row>
    <row r="10290" spans="14:14" x14ac:dyDescent="0.25">
      <c r="N10290" s="514"/>
    </row>
    <row r="10291" spans="14:14" x14ac:dyDescent="0.25">
      <c r="N10291" s="514"/>
    </row>
    <row r="10292" spans="14:14" x14ac:dyDescent="0.25">
      <c r="N10292" s="514"/>
    </row>
    <row r="10293" spans="14:14" x14ac:dyDescent="0.25">
      <c r="N10293" s="514"/>
    </row>
    <row r="10294" spans="14:14" x14ac:dyDescent="0.25">
      <c r="N10294" s="514"/>
    </row>
    <row r="10295" spans="14:14" x14ac:dyDescent="0.25">
      <c r="N10295" s="514"/>
    </row>
    <row r="10296" spans="14:14" x14ac:dyDescent="0.25">
      <c r="N10296" s="514"/>
    </row>
    <row r="10297" spans="14:14" x14ac:dyDescent="0.25">
      <c r="N10297" s="514"/>
    </row>
    <row r="10298" spans="14:14" x14ac:dyDescent="0.25">
      <c r="N10298" s="514"/>
    </row>
    <row r="10299" spans="14:14" x14ac:dyDescent="0.25">
      <c r="N10299" s="514"/>
    </row>
    <row r="10300" spans="14:14" x14ac:dyDescent="0.25">
      <c r="N10300" s="514"/>
    </row>
    <row r="10301" spans="14:14" x14ac:dyDescent="0.25">
      <c r="N10301" s="514"/>
    </row>
    <row r="10302" spans="14:14" x14ac:dyDescent="0.25">
      <c r="N10302" s="514"/>
    </row>
    <row r="10303" spans="14:14" x14ac:dyDescent="0.25">
      <c r="N10303" s="514"/>
    </row>
    <row r="10304" spans="14:14" x14ac:dyDescent="0.25">
      <c r="N10304" s="514"/>
    </row>
    <row r="10305" spans="14:14" x14ac:dyDescent="0.25">
      <c r="N10305" s="514"/>
    </row>
    <row r="10306" spans="14:14" x14ac:dyDescent="0.25">
      <c r="N10306" s="514"/>
    </row>
    <row r="10307" spans="14:14" x14ac:dyDescent="0.25">
      <c r="N10307" s="514"/>
    </row>
    <row r="10308" spans="14:14" x14ac:dyDescent="0.25">
      <c r="N10308" s="514"/>
    </row>
    <row r="10309" spans="14:14" x14ac:dyDescent="0.25">
      <c r="N10309" s="514"/>
    </row>
    <row r="10310" spans="14:14" x14ac:dyDescent="0.25">
      <c r="N10310" s="514"/>
    </row>
    <row r="10311" spans="14:14" x14ac:dyDescent="0.25">
      <c r="N10311" s="514"/>
    </row>
    <row r="10312" spans="14:14" x14ac:dyDescent="0.25">
      <c r="N10312" s="514"/>
    </row>
    <row r="10313" spans="14:14" x14ac:dyDescent="0.25">
      <c r="N10313" s="514"/>
    </row>
    <row r="10314" spans="14:14" x14ac:dyDescent="0.25">
      <c r="N10314" s="514"/>
    </row>
    <row r="10315" spans="14:14" x14ac:dyDescent="0.25">
      <c r="N10315" s="514"/>
    </row>
    <row r="10316" spans="14:14" x14ac:dyDescent="0.25">
      <c r="N10316" s="514"/>
    </row>
    <row r="10317" spans="14:14" x14ac:dyDescent="0.25">
      <c r="N10317" s="514"/>
    </row>
    <row r="10318" spans="14:14" x14ac:dyDescent="0.25">
      <c r="N10318" s="514"/>
    </row>
    <row r="10319" spans="14:14" x14ac:dyDescent="0.25">
      <c r="N10319" s="514"/>
    </row>
    <row r="10320" spans="14:14" x14ac:dyDescent="0.25">
      <c r="N10320" s="514"/>
    </row>
    <row r="10321" spans="14:14" x14ac:dyDescent="0.25">
      <c r="N10321" s="514"/>
    </row>
    <row r="10322" spans="14:14" x14ac:dyDescent="0.25">
      <c r="N10322" s="514"/>
    </row>
    <row r="10323" spans="14:14" x14ac:dyDescent="0.25">
      <c r="N10323" s="514"/>
    </row>
    <row r="10324" spans="14:14" x14ac:dyDescent="0.25">
      <c r="N10324" s="514"/>
    </row>
    <row r="10325" spans="14:14" x14ac:dyDescent="0.25">
      <c r="N10325" s="514"/>
    </row>
    <row r="10326" spans="14:14" x14ac:dyDescent="0.25">
      <c r="N10326" s="514"/>
    </row>
    <row r="10327" spans="14:14" x14ac:dyDescent="0.25">
      <c r="N10327" s="514"/>
    </row>
    <row r="10328" spans="14:14" x14ac:dyDescent="0.25">
      <c r="N10328" s="514"/>
    </row>
    <row r="10329" spans="14:14" x14ac:dyDescent="0.25">
      <c r="N10329" s="514"/>
    </row>
    <row r="10330" spans="14:14" x14ac:dyDescent="0.25">
      <c r="N10330" s="514"/>
    </row>
    <row r="10331" spans="14:14" x14ac:dyDescent="0.25">
      <c r="N10331" s="514"/>
    </row>
    <row r="10332" spans="14:14" x14ac:dyDescent="0.25">
      <c r="N10332" s="514"/>
    </row>
    <row r="10333" spans="14:14" x14ac:dyDescent="0.25">
      <c r="N10333" s="514"/>
    </row>
    <row r="10334" spans="14:14" x14ac:dyDescent="0.25">
      <c r="N10334" s="514"/>
    </row>
    <row r="10335" spans="14:14" x14ac:dyDescent="0.25">
      <c r="N10335" s="514"/>
    </row>
    <row r="10336" spans="14:14" x14ac:dyDescent="0.25">
      <c r="N10336" s="514"/>
    </row>
    <row r="10337" spans="14:14" x14ac:dyDescent="0.25">
      <c r="N10337" s="514"/>
    </row>
    <row r="10338" spans="14:14" x14ac:dyDescent="0.25">
      <c r="N10338" s="514"/>
    </row>
    <row r="10339" spans="14:14" x14ac:dyDescent="0.25">
      <c r="N10339" s="514"/>
    </row>
    <row r="10340" spans="14:14" x14ac:dyDescent="0.25">
      <c r="N10340" s="514"/>
    </row>
    <row r="10341" spans="14:14" x14ac:dyDescent="0.25">
      <c r="N10341" s="514"/>
    </row>
    <row r="10342" spans="14:14" x14ac:dyDescent="0.25">
      <c r="N10342" s="514"/>
    </row>
    <row r="10343" spans="14:14" x14ac:dyDescent="0.25">
      <c r="N10343" s="514"/>
    </row>
    <row r="10344" spans="14:14" x14ac:dyDescent="0.25">
      <c r="N10344" s="514"/>
    </row>
    <row r="10345" spans="14:14" x14ac:dyDescent="0.25">
      <c r="N10345" s="514"/>
    </row>
    <row r="10346" spans="14:14" x14ac:dyDescent="0.25">
      <c r="N10346" s="514"/>
    </row>
    <row r="10347" spans="14:14" x14ac:dyDescent="0.25">
      <c r="N10347" s="514"/>
    </row>
    <row r="10348" spans="14:14" x14ac:dyDescent="0.25">
      <c r="N10348" s="514"/>
    </row>
    <row r="10349" spans="14:14" x14ac:dyDescent="0.25">
      <c r="N10349" s="514"/>
    </row>
    <row r="10350" spans="14:14" x14ac:dyDescent="0.25">
      <c r="N10350" s="514"/>
    </row>
    <row r="10351" spans="14:14" x14ac:dyDescent="0.25">
      <c r="N10351" s="514"/>
    </row>
    <row r="10352" spans="14:14" x14ac:dyDescent="0.25">
      <c r="N10352" s="514"/>
    </row>
    <row r="10353" spans="14:14" x14ac:dyDescent="0.25">
      <c r="N10353" s="514"/>
    </row>
    <row r="10354" spans="14:14" x14ac:dyDescent="0.25">
      <c r="N10354" s="514"/>
    </row>
    <row r="10355" spans="14:14" x14ac:dyDescent="0.25">
      <c r="N10355" s="514"/>
    </row>
    <row r="10356" spans="14:14" x14ac:dyDescent="0.25">
      <c r="N10356" s="514"/>
    </row>
    <row r="10357" spans="14:14" x14ac:dyDescent="0.25">
      <c r="N10357" s="514"/>
    </row>
    <row r="10358" spans="14:14" x14ac:dyDescent="0.25">
      <c r="N10358" s="514"/>
    </row>
    <row r="10359" spans="14:14" x14ac:dyDescent="0.25">
      <c r="N10359" s="514"/>
    </row>
    <row r="10360" spans="14:14" x14ac:dyDescent="0.25">
      <c r="N10360" s="514"/>
    </row>
    <row r="10361" spans="14:14" x14ac:dyDescent="0.25">
      <c r="N10361" s="514"/>
    </row>
    <row r="10362" spans="14:14" x14ac:dyDescent="0.25">
      <c r="N10362" s="514"/>
    </row>
    <row r="10363" spans="14:14" x14ac:dyDescent="0.25">
      <c r="N10363" s="514"/>
    </row>
    <row r="10364" spans="14:14" x14ac:dyDescent="0.25">
      <c r="N10364" s="514"/>
    </row>
    <row r="10365" spans="14:14" x14ac:dyDescent="0.25">
      <c r="N10365" s="514"/>
    </row>
    <row r="10366" spans="14:14" x14ac:dyDescent="0.25">
      <c r="N10366" s="514"/>
    </row>
    <row r="10367" spans="14:14" x14ac:dyDescent="0.25">
      <c r="N10367" s="514"/>
    </row>
    <row r="10368" spans="14:14" x14ac:dyDescent="0.25">
      <c r="N10368" s="514"/>
    </row>
    <row r="10369" spans="14:14" x14ac:dyDescent="0.25">
      <c r="N10369" s="514"/>
    </row>
    <row r="10370" spans="14:14" x14ac:dyDescent="0.25">
      <c r="N10370" s="514"/>
    </row>
    <row r="10371" spans="14:14" x14ac:dyDescent="0.25">
      <c r="N10371" s="514"/>
    </row>
    <row r="10372" spans="14:14" x14ac:dyDescent="0.25">
      <c r="N10372" s="514"/>
    </row>
    <row r="10373" spans="14:14" x14ac:dyDescent="0.25">
      <c r="N10373" s="514"/>
    </row>
    <row r="10374" spans="14:14" x14ac:dyDescent="0.25">
      <c r="N10374" s="514"/>
    </row>
    <row r="10375" spans="14:14" x14ac:dyDescent="0.25">
      <c r="N10375" s="514"/>
    </row>
    <row r="10376" spans="14:14" x14ac:dyDescent="0.25">
      <c r="N10376" s="514"/>
    </row>
    <row r="10377" spans="14:14" x14ac:dyDescent="0.25">
      <c r="N10377" s="514"/>
    </row>
    <row r="10378" spans="14:14" x14ac:dyDescent="0.25">
      <c r="N10378" s="514"/>
    </row>
    <row r="10379" spans="14:14" x14ac:dyDescent="0.25">
      <c r="N10379" s="514"/>
    </row>
    <row r="10380" spans="14:14" x14ac:dyDescent="0.25">
      <c r="N10380" s="514"/>
    </row>
    <row r="10381" spans="14:14" x14ac:dyDescent="0.25">
      <c r="N10381" s="514"/>
    </row>
    <row r="10382" spans="14:14" x14ac:dyDescent="0.25">
      <c r="N10382" s="514"/>
    </row>
    <row r="10383" spans="14:14" x14ac:dyDescent="0.25">
      <c r="N10383" s="514"/>
    </row>
    <row r="10384" spans="14:14" x14ac:dyDescent="0.25">
      <c r="N10384" s="514"/>
    </row>
    <row r="10385" spans="14:14" x14ac:dyDescent="0.25">
      <c r="N10385" s="514"/>
    </row>
    <row r="10386" spans="14:14" x14ac:dyDescent="0.25">
      <c r="N10386" s="514"/>
    </row>
    <row r="10387" spans="14:14" x14ac:dyDescent="0.25">
      <c r="N10387" s="514"/>
    </row>
    <row r="10388" spans="14:14" x14ac:dyDescent="0.25">
      <c r="N10388" s="514"/>
    </row>
    <row r="10389" spans="14:14" x14ac:dyDescent="0.25">
      <c r="N10389" s="514"/>
    </row>
    <row r="10390" spans="14:14" x14ac:dyDescent="0.25">
      <c r="N10390" s="514"/>
    </row>
    <row r="10391" spans="14:14" x14ac:dyDescent="0.25">
      <c r="N10391" s="514"/>
    </row>
    <row r="10392" spans="14:14" x14ac:dyDescent="0.25">
      <c r="N10392" s="514"/>
    </row>
    <row r="10393" spans="14:14" x14ac:dyDescent="0.25">
      <c r="N10393" s="514"/>
    </row>
    <row r="10394" spans="14:14" x14ac:dyDescent="0.25">
      <c r="N10394" s="514"/>
    </row>
    <row r="10395" spans="14:14" x14ac:dyDescent="0.25">
      <c r="N10395" s="514"/>
    </row>
    <row r="10396" spans="14:14" x14ac:dyDescent="0.25">
      <c r="N10396" s="514"/>
    </row>
    <row r="10397" spans="14:14" x14ac:dyDescent="0.25">
      <c r="N10397" s="514"/>
    </row>
    <row r="10398" spans="14:14" x14ac:dyDescent="0.25">
      <c r="N10398" s="514"/>
    </row>
    <row r="10399" spans="14:14" x14ac:dyDescent="0.25">
      <c r="N10399" s="514"/>
    </row>
    <row r="10400" spans="14:14" x14ac:dyDescent="0.25">
      <c r="N10400" s="514"/>
    </row>
    <row r="10401" spans="14:14" x14ac:dyDescent="0.25">
      <c r="N10401" s="514"/>
    </row>
    <row r="10402" spans="14:14" x14ac:dyDescent="0.25">
      <c r="N10402" s="514"/>
    </row>
    <row r="10403" spans="14:14" x14ac:dyDescent="0.25">
      <c r="N10403" s="514"/>
    </row>
    <row r="10404" spans="14:14" x14ac:dyDescent="0.25">
      <c r="N10404" s="514"/>
    </row>
    <row r="10405" spans="14:14" x14ac:dyDescent="0.25">
      <c r="N10405" s="514"/>
    </row>
    <row r="10406" spans="14:14" x14ac:dyDescent="0.25">
      <c r="N10406" s="514"/>
    </row>
    <row r="10407" spans="14:14" x14ac:dyDescent="0.25">
      <c r="N10407" s="514"/>
    </row>
    <row r="10408" spans="14:14" x14ac:dyDescent="0.25">
      <c r="N10408" s="514"/>
    </row>
    <row r="10409" spans="14:14" x14ac:dyDescent="0.25">
      <c r="N10409" s="514"/>
    </row>
    <row r="10410" spans="14:14" x14ac:dyDescent="0.25">
      <c r="N10410" s="514"/>
    </row>
    <row r="10411" spans="14:14" x14ac:dyDescent="0.25">
      <c r="N10411" s="514"/>
    </row>
    <row r="10412" spans="14:14" x14ac:dyDescent="0.25">
      <c r="N10412" s="514"/>
    </row>
    <row r="10413" spans="14:14" x14ac:dyDescent="0.25">
      <c r="N10413" s="514"/>
    </row>
    <row r="10414" spans="14:14" x14ac:dyDescent="0.25">
      <c r="N10414" s="514"/>
    </row>
    <row r="10415" spans="14:14" x14ac:dyDescent="0.25">
      <c r="N10415" s="514"/>
    </row>
    <row r="10416" spans="14:14" x14ac:dyDescent="0.25">
      <c r="N10416" s="514"/>
    </row>
    <row r="10417" spans="14:14" x14ac:dyDescent="0.25">
      <c r="N10417" s="514"/>
    </row>
    <row r="10418" spans="14:14" x14ac:dyDescent="0.25">
      <c r="N10418" s="514"/>
    </row>
    <row r="10419" spans="14:14" x14ac:dyDescent="0.25">
      <c r="N10419" s="514"/>
    </row>
    <row r="10420" spans="14:14" x14ac:dyDescent="0.25">
      <c r="N10420" s="514"/>
    </row>
    <row r="10421" spans="14:14" x14ac:dyDescent="0.25">
      <c r="N10421" s="514"/>
    </row>
    <row r="10422" spans="14:14" x14ac:dyDescent="0.25">
      <c r="N10422" s="514"/>
    </row>
    <row r="10423" spans="14:14" x14ac:dyDescent="0.25">
      <c r="N10423" s="514"/>
    </row>
    <row r="10424" spans="14:14" x14ac:dyDescent="0.25">
      <c r="N10424" s="514"/>
    </row>
    <row r="10425" spans="14:14" x14ac:dyDescent="0.25">
      <c r="N10425" s="514"/>
    </row>
    <row r="10426" spans="14:14" x14ac:dyDescent="0.25">
      <c r="N10426" s="514"/>
    </row>
    <row r="10427" spans="14:14" x14ac:dyDescent="0.25">
      <c r="N10427" s="514"/>
    </row>
    <row r="10428" spans="14:14" x14ac:dyDescent="0.25">
      <c r="N10428" s="514"/>
    </row>
    <row r="10429" spans="14:14" x14ac:dyDescent="0.25">
      <c r="N10429" s="514"/>
    </row>
    <row r="10430" spans="14:14" x14ac:dyDescent="0.25">
      <c r="N10430" s="514"/>
    </row>
    <row r="10431" spans="14:14" x14ac:dyDescent="0.25">
      <c r="N10431" s="514"/>
    </row>
    <row r="10432" spans="14:14" x14ac:dyDescent="0.25">
      <c r="N10432" s="514"/>
    </row>
    <row r="10433" spans="14:14" x14ac:dyDescent="0.25">
      <c r="N10433" s="514"/>
    </row>
    <row r="10434" spans="14:14" x14ac:dyDescent="0.25">
      <c r="N10434" s="514"/>
    </row>
    <row r="10435" spans="14:14" x14ac:dyDescent="0.25">
      <c r="N10435" s="514"/>
    </row>
    <row r="10436" spans="14:14" x14ac:dyDescent="0.25">
      <c r="N10436" s="514"/>
    </row>
    <row r="10437" spans="14:14" x14ac:dyDescent="0.25">
      <c r="N10437" s="514"/>
    </row>
    <row r="10438" spans="14:14" x14ac:dyDescent="0.25">
      <c r="N10438" s="514"/>
    </row>
    <row r="10439" spans="14:14" x14ac:dyDescent="0.25">
      <c r="N10439" s="514"/>
    </row>
    <row r="10440" spans="14:14" x14ac:dyDescent="0.25">
      <c r="N10440" s="514"/>
    </row>
    <row r="10441" spans="14:14" x14ac:dyDescent="0.25">
      <c r="N10441" s="514"/>
    </row>
    <row r="10442" spans="14:14" x14ac:dyDescent="0.25">
      <c r="N10442" s="514"/>
    </row>
    <row r="10443" spans="14:14" x14ac:dyDescent="0.25">
      <c r="N10443" s="514"/>
    </row>
    <row r="10444" spans="14:14" x14ac:dyDescent="0.25">
      <c r="N10444" s="514"/>
    </row>
    <row r="10445" spans="14:14" x14ac:dyDescent="0.25">
      <c r="N10445" s="514"/>
    </row>
    <row r="10446" spans="14:14" x14ac:dyDescent="0.25">
      <c r="N10446" s="514"/>
    </row>
    <row r="10447" spans="14:14" x14ac:dyDescent="0.25">
      <c r="N10447" s="514"/>
    </row>
    <row r="10448" spans="14:14" x14ac:dyDescent="0.25">
      <c r="N10448" s="514"/>
    </row>
    <row r="10449" spans="14:14" x14ac:dyDescent="0.25">
      <c r="N10449" s="514"/>
    </row>
    <row r="10450" spans="14:14" x14ac:dyDescent="0.25">
      <c r="N10450" s="514"/>
    </row>
    <row r="10451" spans="14:14" x14ac:dyDescent="0.25">
      <c r="N10451" s="514"/>
    </row>
    <row r="10452" spans="14:14" x14ac:dyDescent="0.25">
      <c r="N10452" s="514"/>
    </row>
    <row r="10453" spans="14:14" x14ac:dyDescent="0.25">
      <c r="N10453" s="514"/>
    </row>
    <row r="10454" spans="14:14" x14ac:dyDescent="0.25">
      <c r="N10454" s="514"/>
    </row>
    <row r="10455" spans="14:14" x14ac:dyDescent="0.25">
      <c r="N10455" s="514"/>
    </row>
    <row r="10456" spans="14:14" x14ac:dyDescent="0.25">
      <c r="N10456" s="514"/>
    </row>
    <row r="10457" spans="14:14" x14ac:dyDescent="0.25">
      <c r="N10457" s="514"/>
    </row>
    <row r="10458" spans="14:14" x14ac:dyDescent="0.25">
      <c r="N10458" s="514"/>
    </row>
    <row r="10459" spans="14:14" x14ac:dyDescent="0.25">
      <c r="N10459" s="514"/>
    </row>
    <row r="10460" spans="14:14" x14ac:dyDescent="0.25">
      <c r="N10460" s="514"/>
    </row>
    <row r="10461" spans="14:14" x14ac:dyDescent="0.25">
      <c r="N10461" s="514"/>
    </row>
    <row r="10462" spans="14:14" x14ac:dyDescent="0.25">
      <c r="N10462" s="514"/>
    </row>
    <row r="10463" spans="14:14" x14ac:dyDescent="0.25">
      <c r="N10463" s="514"/>
    </row>
    <row r="10464" spans="14:14" x14ac:dyDescent="0.25">
      <c r="N10464" s="514"/>
    </row>
    <row r="10465" spans="14:14" x14ac:dyDescent="0.25">
      <c r="N10465" s="514"/>
    </row>
    <row r="10466" spans="14:14" x14ac:dyDescent="0.25">
      <c r="N10466" s="514"/>
    </row>
    <row r="10467" spans="14:14" x14ac:dyDescent="0.25">
      <c r="N10467" s="514"/>
    </row>
    <row r="10468" spans="14:14" x14ac:dyDescent="0.25">
      <c r="N10468" s="514"/>
    </row>
    <row r="10469" spans="14:14" x14ac:dyDescent="0.25">
      <c r="N10469" s="514"/>
    </row>
    <row r="10470" spans="14:14" x14ac:dyDescent="0.25">
      <c r="N10470" s="514"/>
    </row>
    <row r="10471" spans="14:14" x14ac:dyDescent="0.25">
      <c r="N10471" s="514"/>
    </row>
    <row r="10472" spans="14:14" x14ac:dyDescent="0.25">
      <c r="N10472" s="514"/>
    </row>
    <row r="10473" spans="14:14" x14ac:dyDescent="0.25">
      <c r="N10473" s="514"/>
    </row>
    <row r="10474" spans="14:14" x14ac:dyDescent="0.25">
      <c r="N10474" s="514"/>
    </row>
    <row r="10475" spans="14:14" x14ac:dyDescent="0.25">
      <c r="N10475" s="514"/>
    </row>
    <row r="10476" spans="14:14" x14ac:dyDescent="0.25">
      <c r="N10476" s="514"/>
    </row>
    <row r="10477" spans="14:14" x14ac:dyDescent="0.25">
      <c r="N10477" s="514"/>
    </row>
    <row r="10478" spans="14:14" x14ac:dyDescent="0.25">
      <c r="N10478" s="514"/>
    </row>
    <row r="10479" spans="14:14" x14ac:dyDescent="0.25">
      <c r="N10479" s="514"/>
    </row>
    <row r="10480" spans="14:14" x14ac:dyDescent="0.25">
      <c r="N10480" s="514"/>
    </row>
    <row r="10481" spans="14:14" x14ac:dyDescent="0.25">
      <c r="N10481" s="514"/>
    </row>
    <row r="10482" spans="14:14" x14ac:dyDescent="0.25">
      <c r="N10482" s="514"/>
    </row>
    <row r="10483" spans="14:14" x14ac:dyDescent="0.25">
      <c r="N10483" s="514"/>
    </row>
    <row r="10484" spans="14:14" x14ac:dyDescent="0.25">
      <c r="N10484" s="514"/>
    </row>
    <row r="10485" spans="14:14" x14ac:dyDescent="0.25">
      <c r="N10485" s="514"/>
    </row>
    <row r="10486" spans="14:14" x14ac:dyDescent="0.25">
      <c r="N10486" s="514"/>
    </row>
    <row r="10487" spans="14:14" x14ac:dyDescent="0.25">
      <c r="N10487" s="514"/>
    </row>
    <row r="10488" spans="14:14" x14ac:dyDescent="0.25">
      <c r="N10488" s="514"/>
    </row>
    <row r="10489" spans="14:14" x14ac:dyDescent="0.25">
      <c r="N10489" s="514"/>
    </row>
    <row r="10490" spans="14:14" x14ac:dyDescent="0.25">
      <c r="N10490" s="514"/>
    </row>
    <row r="10491" spans="14:14" x14ac:dyDescent="0.25">
      <c r="N10491" s="514"/>
    </row>
    <row r="10492" spans="14:14" x14ac:dyDescent="0.25">
      <c r="N10492" s="514"/>
    </row>
    <row r="10493" spans="14:14" x14ac:dyDescent="0.25">
      <c r="N10493" s="514"/>
    </row>
    <row r="10494" spans="14:14" x14ac:dyDescent="0.25">
      <c r="N10494" s="514"/>
    </row>
    <row r="10495" spans="14:14" x14ac:dyDescent="0.25">
      <c r="N10495" s="514"/>
    </row>
    <row r="10496" spans="14:14" x14ac:dyDescent="0.25">
      <c r="N10496" s="514"/>
    </row>
    <row r="10497" spans="14:14" x14ac:dyDescent="0.25">
      <c r="N10497" s="514"/>
    </row>
    <row r="10498" spans="14:14" x14ac:dyDescent="0.25">
      <c r="N10498" s="514"/>
    </row>
    <row r="10499" spans="14:14" x14ac:dyDescent="0.25">
      <c r="N10499" s="514"/>
    </row>
    <row r="10500" spans="14:14" x14ac:dyDescent="0.25">
      <c r="N10500" s="514"/>
    </row>
    <row r="10501" spans="14:14" x14ac:dyDescent="0.25">
      <c r="N10501" s="514"/>
    </row>
    <row r="10502" spans="14:14" x14ac:dyDescent="0.25">
      <c r="N10502" s="514"/>
    </row>
    <row r="10503" spans="14:14" x14ac:dyDescent="0.25">
      <c r="N10503" s="514"/>
    </row>
    <row r="10504" spans="14:14" x14ac:dyDescent="0.25">
      <c r="N10504" s="514"/>
    </row>
    <row r="10505" spans="14:14" x14ac:dyDescent="0.25">
      <c r="N10505" s="514"/>
    </row>
    <row r="10506" spans="14:14" x14ac:dyDescent="0.25">
      <c r="N10506" s="514"/>
    </row>
    <row r="10507" spans="14:14" x14ac:dyDescent="0.25">
      <c r="N10507" s="514"/>
    </row>
    <row r="10508" spans="14:14" x14ac:dyDescent="0.25">
      <c r="N10508" s="514"/>
    </row>
    <row r="10509" spans="14:14" x14ac:dyDescent="0.25">
      <c r="N10509" s="514"/>
    </row>
    <row r="10510" spans="14:14" x14ac:dyDescent="0.25">
      <c r="N10510" s="514"/>
    </row>
    <row r="10511" spans="14:14" x14ac:dyDescent="0.25">
      <c r="N10511" s="514"/>
    </row>
    <row r="10512" spans="14:14" x14ac:dyDescent="0.25">
      <c r="N10512" s="514"/>
    </row>
    <row r="10513" spans="14:14" x14ac:dyDescent="0.25">
      <c r="N10513" s="514"/>
    </row>
    <row r="10514" spans="14:14" x14ac:dyDescent="0.25">
      <c r="N10514" s="514"/>
    </row>
    <row r="10515" spans="14:14" x14ac:dyDescent="0.25">
      <c r="N10515" s="514"/>
    </row>
    <row r="10516" spans="14:14" x14ac:dyDescent="0.25">
      <c r="N10516" s="514"/>
    </row>
    <row r="10517" spans="14:14" x14ac:dyDescent="0.25">
      <c r="N10517" s="514"/>
    </row>
    <row r="10518" spans="14:14" x14ac:dyDescent="0.25">
      <c r="N10518" s="514"/>
    </row>
    <row r="10519" spans="14:14" x14ac:dyDescent="0.25">
      <c r="N10519" s="514"/>
    </row>
    <row r="10520" spans="14:14" x14ac:dyDescent="0.25">
      <c r="N10520" s="514"/>
    </row>
    <row r="10521" spans="14:14" x14ac:dyDescent="0.25">
      <c r="N10521" s="514"/>
    </row>
    <row r="10522" spans="14:14" x14ac:dyDescent="0.25">
      <c r="N10522" s="514"/>
    </row>
    <row r="10523" spans="14:14" x14ac:dyDescent="0.25">
      <c r="N10523" s="514"/>
    </row>
    <row r="10524" spans="14:14" x14ac:dyDescent="0.25">
      <c r="N10524" s="514"/>
    </row>
    <row r="10525" spans="14:14" x14ac:dyDescent="0.25">
      <c r="N10525" s="514"/>
    </row>
    <row r="10526" spans="14:14" x14ac:dyDescent="0.25">
      <c r="N10526" s="514"/>
    </row>
    <row r="10527" spans="14:14" x14ac:dyDescent="0.25">
      <c r="N10527" s="514"/>
    </row>
    <row r="10528" spans="14:14" x14ac:dyDescent="0.25">
      <c r="N10528" s="514"/>
    </row>
    <row r="10529" spans="14:14" x14ac:dyDescent="0.25">
      <c r="N10529" s="514"/>
    </row>
    <row r="10530" spans="14:14" x14ac:dyDescent="0.25">
      <c r="N10530" s="514"/>
    </row>
    <row r="10531" spans="14:14" x14ac:dyDescent="0.25">
      <c r="N10531" s="514"/>
    </row>
    <row r="10532" spans="14:14" x14ac:dyDescent="0.25">
      <c r="N10532" s="514"/>
    </row>
    <row r="10533" spans="14:14" x14ac:dyDescent="0.25">
      <c r="N10533" s="514"/>
    </row>
    <row r="10534" spans="14:14" x14ac:dyDescent="0.25">
      <c r="N10534" s="514"/>
    </row>
    <row r="10535" spans="14:14" x14ac:dyDescent="0.25">
      <c r="N10535" s="514"/>
    </row>
    <row r="10536" spans="14:14" x14ac:dyDescent="0.25">
      <c r="N10536" s="514"/>
    </row>
    <row r="10537" spans="14:14" x14ac:dyDescent="0.25">
      <c r="N10537" s="514"/>
    </row>
    <row r="10538" spans="14:14" x14ac:dyDescent="0.25">
      <c r="N10538" s="514"/>
    </row>
    <row r="10539" spans="14:14" x14ac:dyDescent="0.25">
      <c r="N10539" s="514"/>
    </row>
    <row r="10540" spans="14:14" x14ac:dyDescent="0.25">
      <c r="N10540" s="514"/>
    </row>
    <row r="10541" spans="14:14" x14ac:dyDescent="0.25">
      <c r="N10541" s="514"/>
    </row>
    <row r="10542" spans="14:14" x14ac:dyDescent="0.25">
      <c r="N10542" s="514"/>
    </row>
    <row r="10543" spans="14:14" x14ac:dyDescent="0.25">
      <c r="N10543" s="514"/>
    </row>
    <row r="10544" spans="14:14" x14ac:dyDescent="0.25">
      <c r="N10544" s="514"/>
    </row>
    <row r="10545" spans="14:14" x14ac:dyDescent="0.25">
      <c r="N10545" s="514"/>
    </row>
    <row r="10546" spans="14:14" x14ac:dyDescent="0.25">
      <c r="N10546" s="514"/>
    </row>
    <row r="10547" spans="14:14" x14ac:dyDescent="0.25">
      <c r="N10547" s="514"/>
    </row>
    <row r="10548" spans="14:14" x14ac:dyDescent="0.25">
      <c r="N10548" s="514"/>
    </row>
    <row r="10549" spans="14:14" x14ac:dyDescent="0.25">
      <c r="N10549" s="514"/>
    </row>
  </sheetData>
  <autoFilter ref="A4:IG440">
    <filterColumn colId="1">
      <customFilters and="1">
        <customFilter operator="notEqual" val=" "/>
      </customFilters>
    </filterColumn>
  </autoFilter>
  <mergeCells count="3">
    <mergeCell ref="B2:E2"/>
    <mergeCell ref="Q2:S2"/>
    <mergeCell ref="B1:E1"/>
  </mergeCells>
  <phoneticPr fontId="19" type="noConversion"/>
  <pageMargins left="0.78740157480314965" right="0" top="0" bottom="0" header="0" footer="0"/>
  <pageSetup paperSize="9" scale="56" orientation="portrait" r:id="rId1"/>
  <headerFooter alignWithMargins="0"/>
  <rowBreaks count="3" manualBreakCount="3">
    <brk id="105" max="16383" man="1"/>
    <brk id="433" max="16383" man="1"/>
    <brk id="502" max="16383" man="1"/>
  </rowBreaks>
  <colBreaks count="2" manualBreakCount="2">
    <brk id="16" max="1048575" man="1"/>
    <brk id="23" max="10485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125133313244522237" filterMode="1"/>
  <dimension ref="A1:GZ10556"/>
  <sheetViews>
    <sheetView showZeros="0" view="pageBreakPreview" zoomScale="75" zoomScaleNormal="75" zoomScaleSheetLayoutView="75" workbookViewId="0">
      <pane xSplit="6" ySplit="5" topLeftCell="H427" activePane="bottomRight" state="frozen"/>
      <selection pane="topRight" activeCell="G1" sqref="G1"/>
      <selection pane="bottomLeft" activeCell="A6" sqref="A6"/>
      <selection pane="bottomRight" activeCell="K798" sqref="K798"/>
    </sheetView>
  </sheetViews>
  <sheetFormatPr defaultColWidth="16.7109375" defaultRowHeight="18" x14ac:dyDescent="0.25"/>
  <cols>
    <col min="1" max="1" width="0.140625" style="10" customWidth="1"/>
    <col min="2" max="2" width="7.42578125" style="25" customWidth="1"/>
    <col min="3" max="3" width="14" style="10" customWidth="1"/>
    <col min="4" max="4" width="10.28515625" style="76" customWidth="1"/>
    <col min="5" max="5" width="28" style="46" customWidth="1"/>
    <col min="6" max="6" width="8.7109375" style="523" customWidth="1"/>
    <col min="7" max="7" width="5.85546875" style="50" customWidth="1"/>
    <col min="8" max="8" width="14.5703125" style="46" customWidth="1"/>
    <col min="9" max="9" width="15.28515625" style="315" customWidth="1"/>
    <col min="10" max="10" width="13.85546875" style="46" customWidth="1"/>
    <col min="11" max="11" width="12.140625" style="312" customWidth="1"/>
    <col min="12" max="12" width="8.140625" style="226" hidden="1" customWidth="1"/>
    <col min="13" max="13" width="24.85546875" style="221" customWidth="1"/>
    <col min="14" max="14" width="15.5703125" style="278" customWidth="1"/>
    <col min="15" max="15" width="12" style="46" customWidth="1"/>
    <col min="16" max="16" width="18.85546875" style="312" customWidth="1"/>
    <col min="17" max="17" width="24.7109375" style="37" customWidth="1"/>
    <col min="18" max="18" width="8.28515625" style="301" customWidth="1"/>
    <col min="19" max="19" width="11.140625" style="319" customWidth="1"/>
    <col min="20" max="20" width="19" style="349" customWidth="1"/>
    <col min="21" max="21" width="16.28515625" style="10" customWidth="1"/>
    <col min="22" max="22" width="16.7109375" style="10" customWidth="1"/>
    <col min="23" max="23" width="16.85546875" style="10" customWidth="1"/>
    <col min="24" max="24" width="16.28515625" style="10" customWidth="1"/>
    <col min="25" max="25" width="9.42578125" style="10" customWidth="1"/>
    <col min="26" max="16384" width="16.7109375" style="10"/>
  </cols>
  <sheetData>
    <row r="1" spans="2:25" ht="0.75" customHeight="1" x14ac:dyDescent="0.25">
      <c r="B1" s="894"/>
      <c r="C1" s="894"/>
      <c r="D1" s="894"/>
      <c r="E1" s="895"/>
      <c r="H1" s="83"/>
      <c r="I1" s="294"/>
      <c r="J1" s="83"/>
      <c r="K1" s="294"/>
      <c r="S1" s="316"/>
      <c r="V1" s="20">
        <f>N1</f>
        <v>0</v>
      </c>
    </row>
    <row r="2" spans="2:25" s="2" customFormat="1" ht="42.75" customHeight="1" thickBot="1" x14ac:dyDescent="0.45">
      <c r="B2" s="891" t="s">
        <v>37</v>
      </c>
      <c r="C2" s="892"/>
      <c r="D2" s="892"/>
      <c r="E2" s="893"/>
      <c r="F2" s="524"/>
      <c r="G2" s="50"/>
      <c r="H2" s="38"/>
      <c r="I2" s="38" t="s">
        <v>191</v>
      </c>
      <c r="J2" s="38"/>
      <c r="K2" s="38"/>
      <c r="L2" s="246"/>
      <c r="M2" s="222"/>
      <c r="N2" s="376"/>
      <c r="O2" s="38"/>
      <c r="P2" s="308" t="s">
        <v>191</v>
      </c>
      <c r="Q2" s="898" t="s">
        <v>27</v>
      </c>
      <c r="R2" s="899"/>
      <c r="S2" s="900"/>
      <c r="T2" s="350"/>
      <c r="U2" s="207" t="s">
        <v>406</v>
      </c>
      <c r="V2" s="36"/>
      <c r="W2" s="36"/>
      <c r="X2" s="207" t="s">
        <v>406</v>
      </c>
    </row>
    <row r="3" spans="2:25" s="2" customFormat="1" ht="54.75" customHeight="1" thickBot="1" x14ac:dyDescent="0.35">
      <c r="B3" s="242"/>
      <c r="C3" s="243"/>
      <c r="D3" s="243"/>
      <c r="E3" s="38" t="s">
        <v>918</v>
      </c>
      <c r="F3" s="38"/>
      <c r="G3" s="50"/>
      <c r="H3" s="38" t="s">
        <v>601</v>
      </c>
      <c r="I3" s="308"/>
      <c r="J3" s="508" t="s">
        <v>4</v>
      </c>
      <c r="K3" s="308"/>
      <c r="L3" s="246"/>
      <c r="M3" s="222"/>
      <c r="N3" s="376"/>
      <c r="O3" s="38"/>
      <c r="P3" s="308"/>
      <c r="Q3" s="244"/>
      <c r="R3" s="302"/>
      <c r="S3" s="317"/>
      <c r="T3" s="350"/>
      <c r="U3" s="207"/>
      <c r="V3" s="247"/>
      <c r="W3" s="36"/>
      <c r="X3" s="207"/>
    </row>
    <row r="4" spans="2:25" s="53" customFormat="1" ht="59.25" customHeight="1" thickBot="1" x14ac:dyDescent="0.35">
      <c r="B4" s="65" t="s">
        <v>6</v>
      </c>
      <c r="C4" s="57" t="s">
        <v>17</v>
      </c>
      <c r="D4" s="77" t="s">
        <v>223</v>
      </c>
      <c r="E4" s="236" t="s">
        <v>16</v>
      </c>
      <c r="F4" s="525" t="s">
        <v>41</v>
      </c>
      <c r="G4" s="58" t="s">
        <v>7</v>
      </c>
      <c r="H4" s="66" t="s">
        <v>8</v>
      </c>
      <c r="I4" s="313" t="s">
        <v>103</v>
      </c>
      <c r="J4" s="498"/>
      <c r="K4" s="356" t="s">
        <v>12</v>
      </c>
      <c r="L4" s="818" t="s">
        <v>69</v>
      </c>
      <c r="M4" s="223" t="s">
        <v>14</v>
      </c>
      <c r="N4" s="138" t="s">
        <v>11</v>
      </c>
      <c r="O4" s="67" t="s">
        <v>8</v>
      </c>
      <c r="P4" s="496" t="s">
        <v>103</v>
      </c>
      <c r="Q4" s="361" t="s">
        <v>16</v>
      </c>
      <c r="R4" s="303" t="s">
        <v>10</v>
      </c>
      <c r="S4" s="318" t="s">
        <v>84</v>
      </c>
      <c r="T4" s="351" t="s">
        <v>85</v>
      </c>
      <c r="U4" s="7" t="s">
        <v>809</v>
      </c>
      <c r="V4" s="20" t="str">
        <f>N4</f>
        <v>Реализовано товара       К-во</v>
      </c>
      <c r="W4" s="7" t="s">
        <v>159</v>
      </c>
      <c r="X4" s="7" t="s">
        <v>809</v>
      </c>
    </row>
    <row r="5" spans="2:25" s="3" customFormat="1" ht="27.75" customHeight="1" x14ac:dyDescent="0.3">
      <c r="B5" s="412">
        <v>1</v>
      </c>
      <c r="C5" s="54"/>
      <c r="D5" s="78"/>
      <c r="E5" s="56"/>
      <c r="F5" s="524"/>
      <c r="G5" s="55"/>
      <c r="H5" s="56" t="s">
        <v>899</v>
      </c>
      <c r="I5" s="56" t="s">
        <v>899</v>
      </c>
      <c r="K5" s="357"/>
      <c r="L5" s="817"/>
      <c r="M5" s="853"/>
      <c r="N5" s="139"/>
      <c r="O5" s="502" t="s">
        <v>900</v>
      </c>
      <c r="P5" s="498" t="s">
        <v>900</v>
      </c>
      <c r="Q5" s="362"/>
      <c r="R5" s="304"/>
      <c r="S5" s="319"/>
      <c r="T5" s="352"/>
      <c r="U5" s="35" t="s">
        <v>882</v>
      </c>
      <c r="V5" s="20">
        <f>K2</f>
        <v>0</v>
      </c>
      <c r="W5" s="75">
        <f>V5</f>
        <v>0</v>
      </c>
      <c r="X5" s="35" t="s">
        <v>919</v>
      </c>
    </row>
    <row r="6" spans="2:25" s="5" customFormat="1" ht="26.25" hidden="1" customHeight="1" x14ac:dyDescent="0.25">
      <c r="B6" s="11"/>
      <c r="C6" s="6" t="s">
        <v>18</v>
      </c>
      <c r="D6" s="23" t="s">
        <v>9</v>
      </c>
      <c r="E6" s="822" t="s">
        <v>752</v>
      </c>
      <c r="F6" s="208">
        <v>1475</v>
      </c>
      <c r="G6" s="48" t="s">
        <v>0</v>
      </c>
      <c r="H6" s="39">
        <v>0</v>
      </c>
      <c r="I6" s="309">
        <v>0</v>
      </c>
      <c r="J6" s="39">
        <f t="shared" ref="J6:J69" si="0">N6+O6-H6</f>
        <v>0</v>
      </c>
      <c r="K6" s="309">
        <f>R6</f>
        <v>0.06</v>
      </c>
      <c r="L6" s="230">
        <f>K6*J6</f>
        <v>0</v>
      </c>
      <c r="M6" s="42"/>
      <c r="N6" s="279"/>
      <c r="O6" s="39">
        <v>0</v>
      </c>
      <c r="P6" s="490">
        <f t="shared" ref="P6:P16" si="1">K6*O6</f>
        <v>0</v>
      </c>
      <c r="Q6" s="258" t="str">
        <f t="shared" ref="Q6:Q52" si="2">E6</f>
        <v>СД523007</v>
      </c>
      <c r="R6" s="305">
        <f>647*0.0001</f>
        <v>0.06</v>
      </c>
      <c r="S6" s="320">
        <f>16.25*0.033</f>
        <v>0.54</v>
      </c>
      <c r="T6" s="353">
        <f t="shared" ref="T6:T44" si="3">S6*J6</f>
        <v>0</v>
      </c>
      <c r="U6" s="148"/>
      <c r="V6" s="20">
        <f t="shared" ref="V6:V37" si="4">N6</f>
        <v>0</v>
      </c>
      <c r="W6" s="52">
        <f t="shared" ref="W6:W45" si="5">X6-U6+V6</f>
        <v>0</v>
      </c>
      <c r="X6" s="20"/>
    </row>
    <row r="7" spans="2:25" s="5" customFormat="1" ht="26.25" customHeight="1" x14ac:dyDescent="0.25">
      <c r="B7" s="11">
        <v>1</v>
      </c>
      <c r="C7" s="6" t="s">
        <v>18</v>
      </c>
      <c r="D7" s="23" t="s">
        <v>9</v>
      </c>
      <c r="E7" s="269" t="s">
        <v>268</v>
      </c>
      <c r="F7" s="208">
        <v>411</v>
      </c>
      <c r="G7" s="12" t="s">
        <v>0</v>
      </c>
      <c r="H7" s="39">
        <v>648</v>
      </c>
      <c r="I7" s="360">
        <v>524.88</v>
      </c>
      <c r="J7" s="39">
        <f t="shared" si="0"/>
        <v>0</v>
      </c>
      <c r="K7" s="309">
        <f>R7*0.8</f>
        <v>0.81</v>
      </c>
      <c r="L7" s="230">
        <f>K7*J7</f>
        <v>0</v>
      </c>
      <c r="M7" s="205"/>
      <c r="N7" s="279"/>
      <c r="O7" s="39">
        <f>4*162</f>
        <v>648</v>
      </c>
      <c r="P7" s="309">
        <f t="shared" si="1"/>
        <v>524.88</v>
      </c>
      <c r="Q7" s="235" t="str">
        <f t="shared" si="2"/>
        <v>ЭПГ110.151-01</v>
      </c>
      <c r="R7" s="306">
        <f t="shared" ref="R7:R38" si="6">S7*1.2</f>
        <v>1.01</v>
      </c>
      <c r="S7" s="321">
        <v>0.84</v>
      </c>
      <c r="T7" s="353">
        <f>S7*J7</f>
        <v>0</v>
      </c>
      <c r="U7" s="147">
        <f>162*10</f>
        <v>1620</v>
      </c>
      <c r="V7" s="20">
        <f t="shared" si="4"/>
        <v>0</v>
      </c>
      <c r="W7" s="52">
        <f t="shared" si="5"/>
        <v>1440</v>
      </c>
      <c r="X7" s="848">
        <f>162*17+2*153</f>
        <v>3060</v>
      </c>
    </row>
    <row r="8" spans="2:25" s="5" customFormat="1" ht="26.25" customHeight="1" x14ac:dyDescent="0.25">
      <c r="B8" s="11">
        <v>2</v>
      </c>
      <c r="C8" s="6" t="s">
        <v>18</v>
      </c>
      <c r="D8" s="23" t="s">
        <v>9</v>
      </c>
      <c r="E8" s="269" t="s">
        <v>705</v>
      </c>
      <c r="F8" s="208">
        <v>1451</v>
      </c>
      <c r="G8" s="12" t="s">
        <v>0</v>
      </c>
      <c r="H8" s="39">
        <v>1026</v>
      </c>
      <c r="I8" s="360">
        <v>800.28</v>
      </c>
      <c r="J8" s="39">
        <f t="shared" si="0"/>
        <v>0</v>
      </c>
      <c r="K8" s="309">
        <f>R8*0.8</f>
        <v>0.78</v>
      </c>
      <c r="L8" s="230"/>
      <c r="M8" s="205"/>
      <c r="N8" s="279"/>
      <c r="O8" s="39">
        <v>1026</v>
      </c>
      <c r="P8" s="309">
        <f t="shared" si="1"/>
        <v>800.28</v>
      </c>
      <c r="Q8" s="235" t="str">
        <f t="shared" si="2"/>
        <v>МЭ250-3730-102</v>
      </c>
      <c r="R8" s="377">
        <f t="shared" si="6"/>
        <v>0.98</v>
      </c>
      <c r="S8" s="321">
        <f>0.82</f>
        <v>0.82</v>
      </c>
      <c r="T8" s="353">
        <f>S8*J8</f>
        <v>0</v>
      </c>
      <c r="U8" s="148">
        <f>12*114</f>
        <v>1368</v>
      </c>
      <c r="V8" s="20">
        <f t="shared" si="4"/>
        <v>0</v>
      </c>
      <c r="W8" s="52">
        <f t="shared" si="5"/>
        <v>0</v>
      </c>
      <c r="X8" s="20">
        <f>12*114</f>
        <v>1368</v>
      </c>
      <c r="Y8" s="5">
        <f>3*162+114*9</f>
        <v>1512</v>
      </c>
    </row>
    <row r="9" spans="2:25" ht="26.25" customHeight="1" x14ac:dyDescent="0.25">
      <c r="B9" s="15">
        <v>3</v>
      </c>
      <c r="C9" s="6" t="s">
        <v>18</v>
      </c>
      <c r="D9" s="23" t="s">
        <v>9</v>
      </c>
      <c r="E9" s="237" t="s">
        <v>91</v>
      </c>
      <c r="F9" s="383">
        <v>555</v>
      </c>
      <c r="G9" s="12" t="s">
        <v>0</v>
      </c>
      <c r="H9" s="39">
        <v>2240</v>
      </c>
      <c r="I9" s="360">
        <v>2284.8000000000002</v>
      </c>
      <c r="J9" s="39">
        <f t="shared" si="0"/>
        <v>0</v>
      </c>
      <c r="K9" s="309">
        <f>R9*0.8</f>
        <v>1.02</v>
      </c>
      <c r="L9" s="230">
        <f t="shared" ref="L9:L16" si="7">K9*J9</f>
        <v>0</v>
      </c>
      <c r="M9" s="155"/>
      <c r="N9" s="279">
        <v>2240</v>
      </c>
      <c r="O9" s="503"/>
      <c r="P9" s="309">
        <f t="shared" si="1"/>
        <v>0</v>
      </c>
      <c r="Q9" s="404" t="str">
        <f t="shared" si="2"/>
        <v>ЭПГ 110.157 П19х15х14,5</v>
      </c>
      <c r="R9" s="306">
        <f t="shared" si="6"/>
        <v>1.28</v>
      </c>
      <c r="S9" s="320">
        <v>1.07</v>
      </c>
      <c r="T9" s="353">
        <f>S9*J9</f>
        <v>0</v>
      </c>
      <c r="U9" s="148">
        <f>4*560</f>
        <v>2240</v>
      </c>
      <c r="V9" s="20">
        <f t="shared" si="4"/>
        <v>2240</v>
      </c>
      <c r="W9" s="52">
        <f t="shared" si="5"/>
        <v>7840</v>
      </c>
      <c r="X9" s="444">
        <f>14*560</f>
        <v>7840</v>
      </c>
    </row>
    <row r="10" spans="2:25" ht="26.25" customHeight="1" thickBot="1" x14ac:dyDescent="0.3">
      <c r="B10" s="15">
        <v>4</v>
      </c>
      <c r="C10" s="6" t="s">
        <v>18</v>
      </c>
      <c r="D10" s="23" t="s">
        <v>9</v>
      </c>
      <c r="E10" s="237" t="s">
        <v>31</v>
      </c>
      <c r="F10" s="208" t="s">
        <v>45</v>
      </c>
      <c r="G10" s="12" t="s">
        <v>0</v>
      </c>
      <c r="H10" s="39">
        <v>1440</v>
      </c>
      <c r="I10" s="360">
        <v>489.6</v>
      </c>
      <c r="J10" s="39">
        <f t="shared" si="0"/>
        <v>840</v>
      </c>
      <c r="K10" s="309">
        <f>R10*0.8</f>
        <v>0.34</v>
      </c>
      <c r="L10" s="230">
        <f t="shared" si="7"/>
        <v>286</v>
      </c>
      <c r="M10" s="85"/>
      <c r="N10" s="279">
        <v>2280</v>
      </c>
      <c r="O10" s="503"/>
      <c r="P10" s="309">
        <f t="shared" si="1"/>
        <v>0</v>
      </c>
      <c r="Q10" s="260" t="str">
        <f t="shared" si="2"/>
        <v xml:space="preserve">АУИБ 757.159.001 </v>
      </c>
      <c r="R10" s="377">
        <f t="shared" si="6"/>
        <v>0.42</v>
      </c>
      <c r="S10" s="322">
        <v>0.35</v>
      </c>
      <c r="T10" s="353">
        <f>S10*J10</f>
        <v>294</v>
      </c>
      <c r="U10" s="148">
        <v>1440</v>
      </c>
      <c r="V10" s="20">
        <f t="shared" si="4"/>
        <v>2280</v>
      </c>
      <c r="W10" s="52">
        <f t="shared" si="5"/>
        <v>3580</v>
      </c>
      <c r="X10" s="444">
        <f>1440+1300</f>
        <v>2740</v>
      </c>
    </row>
    <row r="11" spans="2:25" ht="26.25" hidden="1" customHeight="1" thickBot="1" x14ac:dyDescent="0.3">
      <c r="B11" s="15"/>
      <c r="C11" s="6" t="s">
        <v>18</v>
      </c>
      <c r="D11" s="23" t="s">
        <v>9</v>
      </c>
      <c r="E11" s="237" t="s">
        <v>500</v>
      </c>
      <c r="F11" s="208">
        <v>137</v>
      </c>
      <c r="G11" s="48" t="s">
        <v>0</v>
      </c>
      <c r="H11" s="39"/>
      <c r="I11" s="360">
        <v>0</v>
      </c>
      <c r="J11" s="39">
        <f t="shared" si="0"/>
        <v>0</v>
      </c>
      <c r="K11" s="309">
        <v>1.1499999999999999</v>
      </c>
      <c r="L11" s="230">
        <f t="shared" si="7"/>
        <v>0</v>
      </c>
      <c r="M11" s="89"/>
      <c r="N11" s="279"/>
      <c r="O11" s="39"/>
      <c r="P11" s="467">
        <f t="shared" si="1"/>
        <v>0</v>
      </c>
      <c r="Q11" s="261" t="str">
        <f t="shared" si="2"/>
        <v>АУИБ 757.159.004</v>
      </c>
      <c r="R11" s="377">
        <f t="shared" si="6"/>
        <v>1.44</v>
      </c>
      <c r="S11" s="319">
        <f>12000*0.0001</f>
        <v>1.2</v>
      </c>
      <c r="T11" s="353">
        <f t="shared" si="3"/>
        <v>0</v>
      </c>
      <c r="U11" s="70">
        <f>10*102</f>
        <v>1020</v>
      </c>
      <c r="V11" s="20">
        <f t="shared" si="4"/>
        <v>0</v>
      </c>
      <c r="W11" s="52">
        <f t="shared" si="5"/>
        <v>0</v>
      </c>
      <c r="X11" s="20">
        <f>10*102</f>
        <v>1020</v>
      </c>
    </row>
    <row r="12" spans="2:25" ht="26.25" hidden="1" customHeight="1" x14ac:dyDescent="0.25">
      <c r="B12" s="11"/>
      <c r="C12" s="6" t="s">
        <v>18</v>
      </c>
      <c r="D12" s="23" t="s">
        <v>9</v>
      </c>
      <c r="E12" s="237" t="s">
        <v>13</v>
      </c>
      <c r="F12" s="208" t="s">
        <v>46</v>
      </c>
      <c r="G12" s="48" t="s">
        <v>0</v>
      </c>
      <c r="H12" s="39"/>
      <c r="I12" s="309">
        <v>0</v>
      </c>
      <c r="J12" s="39">
        <f t="shared" si="0"/>
        <v>0</v>
      </c>
      <c r="K12" s="309">
        <f>R12*0.8</f>
        <v>0.49</v>
      </c>
      <c r="L12" s="230">
        <f t="shared" si="7"/>
        <v>0</v>
      </c>
      <c r="M12" s="42"/>
      <c r="N12" s="279"/>
      <c r="O12" s="39"/>
      <c r="P12" s="309">
        <f t="shared" si="1"/>
        <v>0</v>
      </c>
      <c r="Q12" s="262" t="str">
        <f t="shared" si="2"/>
        <v>АУИБ 757.159.003</v>
      </c>
      <c r="R12" s="377">
        <f t="shared" si="6"/>
        <v>0.61</v>
      </c>
      <c r="S12" s="322">
        <f>5095*0.0001</f>
        <v>0.51</v>
      </c>
      <c r="T12" s="353">
        <f t="shared" si="3"/>
        <v>0</v>
      </c>
      <c r="U12" s="70">
        <f>12*120</f>
        <v>1440</v>
      </c>
      <c r="V12" s="20">
        <f t="shared" si="4"/>
        <v>0</v>
      </c>
      <c r="W12" s="52">
        <f t="shared" si="5"/>
        <v>0</v>
      </c>
      <c r="X12" s="20">
        <f>12*120</f>
        <v>1440</v>
      </c>
    </row>
    <row r="13" spans="2:25" ht="26.25" hidden="1" customHeight="1" x14ac:dyDescent="0.25">
      <c r="B13" s="14"/>
      <c r="C13" s="6" t="s">
        <v>18</v>
      </c>
      <c r="D13" s="23" t="s">
        <v>9</v>
      </c>
      <c r="E13" s="237" t="s">
        <v>753</v>
      </c>
      <c r="F13" s="208">
        <v>1466</v>
      </c>
      <c r="G13" s="48" t="s">
        <v>0</v>
      </c>
      <c r="H13" s="39"/>
      <c r="I13" s="309">
        <v>0</v>
      </c>
      <c r="J13" s="39">
        <f t="shared" si="0"/>
        <v>0</v>
      </c>
      <c r="K13" s="309">
        <f>R13*0.8</f>
        <v>19.2</v>
      </c>
      <c r="L13" s="230">
        <f t="shared" si="7"/>
        <v>0</v>
      </c>
      <c r="M13" s="89"/>
      <c r="N13" s="279"/>
      <c r="O13" s="39"/>
      <c r="P13" s="309">
        <f t="shared" si="1"/>
        <v>0</v>
      </c>
      <c r="Q13" s="235" t="str">
        <f t="shared" si="2"/>
        <v>АУИБ 757.159.008</v>
      </c>
      <c r="R13" s="377">
        <f t="shared" si="6"/>
        <v>24</v>
      </c>
      <c r="S13" s="320">
        <v>20</v>
      </c>
      <c r="T13" s="353">
        <f t="shared" si="3"/>
        <v>0</v>
      </c>
      <c r="U13" s="20"/>
      <c r="V13" s="20">
        <f t="shared" si="4"/>
        <v>0</v>
      </c>
      <c r="W13" s="52">
        <f t="shared" si="5"/>
        <v>0</v>
      </c>
      <c r="X13" s="20"/>
    </row>
    <row r="14" spans="2:25" ht="26.25" hidden="1" customHeight="1" x14ac:dyDescent="0.25">
      <c r="B14" s="11"/>
      <c r="C14" s="6" t="s">
        <v>18</v>
      </c>
      <c r="D14" s="23" t="s">
        <v>9</v>
      </c>
      <c r="E14" s="238" t="s">
        <v>105</v>
      </c>
      <c r="F14" s="208">
        <v>592</v>
      </c>
      <c r="G14" s="48" t="s">
        <v>0</v>
      </c>
      <c r="H14" s="39"/>
      <c r="I14" s="309">
        <v>0</v>
      </c>
      <c r="J14" s="39">
        <f t="shared" si="0"/>
        <v>0</v>
      </c>
      <c r="K14" s="309">
        <f>R14*0.8</f>
        <v>0.27</v>
      </c>
      <c r="L14" s="230">
        <f t="shared" si="7"/>
        <v>0</v>
      </c>
      <c r="M14" s="89"/>
      <c r="N14" s="279"/>
      <c r="O14" s="39"/>
      <c r="P14" s="309">
        <f t="shared" si="1"/>
        <v>0</v>
      </c>
      <c r="Q14" s="235" t="str">
        <f t="shared" si="2"/>
        <v>43.3701-200211 (S)</v>
      </c>
      <c r="R14" s="377">
        <f t="shared" si="6"/>
        <v>0.34</v>
      </c>
      <c r="S14" s="319">
        <f>2800*0.0001</f>
        <v>0.28000000000000003</v>
      </c>
      <c r="T14" s="353">
        <f t="shared" si="3"/>
        <v>0</v>
      </c>
      <c r="U14" s="70">
        <f>8*400</f>
        <v>3200</v>
      </c>
      <c r="V14" s="20">
        <f t="shared" si="4"/>
        <v>0</v>
      </c>
      <c r="W14" s="52">
        <f t="shared" si="5"/>
        <v>0</v>
      </c>
      <c r="X14" s="20">
        <f>8*400</f>
        <v>3200</v>
      </c>
    </row>
    <row r="15" spans="2:25" ht="26.25" hidden="1" customHeight="1" x14ac:dyDescent="0.25">
      <c r="B15" s="11"/>
      <c r="C15" s="6" t="s">
        <v>18</v>
      </c>
      <c r="D15" s="23" t="s">
        <v>9</v>
      </c>
      <c r="E15" s="238" t="s">
        <v>106</v>
      </c>
      <c r="F15" s="208" t="s">
        <v>107</v>
      </c>
      <c r="G15" s="48" t="s">
        <v>0</v>
      </c>
      <c r="H15" s="39"/>
      <c r="I15" s="309">
        <v>0</v>
      </c>
      <c r="J15" s="39">
        <f t="shared" si="0"/>
        <v>0</v>
      </c>
      <c r="K15" s="309">
        <f>R15*0.8</f>
        <v>0.27</v>
      </c>
      <c r="L15" s="230">
        <f t="shared" si="7"/>
        <v>0</v>
      </c>
      <c r="M15" s="89"/>
      <c r="N15" s="279"/>
      <c r="O15" s="39"/>
      <c r="P15" s="309">
        <f t="shared" si="1"/>
        <v>0</v>
      </c>
      <c r="Q15" s="235" t="str">
        <f t="shared" si="2"/>
        <v>43.3701-200211 (N)</v>
      </c>
      <c r="R15" s="377">
        <f t="shared" si="6"/>
        <v>0.34</v>
      </c>
      <c r="S15" s="319">
        <f>2800*0.0001</f>
        <v>0.28000000000000003</v>
      </c>
      <c r="T15" s="353">
        <f t="shared" si="3"/>
        <v>0</v>
      </c>
      <c r="U15" s="70">
        <f>8*400</f>
        <v>3200</v>
      </c>
      <c r="V15" s="20">
        <f t="shared" si="4"/>
        <v>0</v>
      </c>
      <c r="W15" s="52">
        <f t="shared" si="5"/>
        <v>0</v>
      </c>
      <c r="X15" s="20">
        <f>8*400</f>
        <v>3200</v>
      </c>
    </row>
    <row r="16" spans="2:25" ht="26.25" hidden="1" customHeight="1" thickBot="1" x14ac:dyDescent="0.3">
      <c r="B16" s="15"/>
      <c r="C16" s="6" t="s">
        <v>18</v>
      </c>
      <c r="D16" s="23" t="s">
        <v>9</v>
      </c>
      <c r="E16" s="238" t="s">
        <v>135</v>
      </c>
      <c r="F16" s="208" t="s">
        <v>104</v>
      </c>
      <c r="G16" s="48" t="s">
        <v>0</v>
      </c>
      <c r="H16" s="39"/>
      <c r="I16" s="309">
        <v>0</v>
      </c>
      <c r="J16" s="39">
        <f t="shared" si="0"/>
        <v>0</v>
      </c>
      <c r="K16" s="309">
        <f>R16*0.8</f>
        <v>0.13</v>
      </c>
      <c r="L16" s="230">
        <f t="shared" si="7"/>
        <v>0</v>
      </c>
      <c r="M16" s="89"/>
      <c r="N16" s="279"/>
      <c r="O16" s="39"/>
      <c r="P16" s="309">
        <f t="shared" si="1"/>
        <v>0</v>
      </c>
      <c r="Q16" s="263" t="str">
        <f t="shared" si="2"/>
        <v>43.3701-200212(К36х18х6)</v>
      </c>
      <c r="R16" s="377">
        <f t="shared" si="6"/>
        <v>0.16</v>
      </c>
      <c r="S16" s="319">
        <f>1250*0.0001</f>
        <v>0.13</v>
      </c>
      <c r="T16" s="353">
        <f t="shared" si="3"/>
        <v>0</v>
      </c>
      <c r="U16" s="70">
        <f>8*400</f>
        <v>3200</v>
      </c>
      <c r="V16" s="20">
        <f t="shared" si="4"/>
        <v>0</v>
      </c>
      <c r="W16" s="52">
        <f t="shared" si="5"/>
        <v>0</v>
      </c>
      <c r="X16" s="20">
        <f>8*400</f>
        <v>3200</v>
      </c>
    </row>
    <row r="17" spans="1:41" s="5" customFormat="1" ht="26.25" hidden="1" customHeight="1" x14ac:dyDescent="0.25">
      <c r="B17" s="11"/>
      <c r="C17" s="6" t="s">
        <v>18</v>
      </c>
      <c r="D17" s="23" t="s">
        <v>9</v>
      </c>
      <c r="E17" s="239" t="s">
        <v>433</v>
      </c>
      <c r="F17" s="387" t="s">
        <v>821</v>
      </c>
      <c r="G17" s="12" t="s">
        <v>0</v>
      </c>
      <c r="H17" s="39"/>
      <c r="I17" s="360"/>
      <c r="J17" s="39">
        <f t="shared" si="0"/>
        <v>0</v>
      </c>
      <c r="K17" s="309">
        <v>0.62</v>
      </c>
      <c r="L17" s="230"/>
      <c r="M17" s="233"/>
      <c r="N17" s="279"/>
      <c r="O17" s="39"/>
      <c r="P17" s="360"/>
      <c r="Q17" s="259" t="str">
        <f t="shared" si="2"/>
        <v>К36х5х10</v>
      </c>
      <c r="R17" s="377">
        <f t="shared" si="6"/>
        <v>0.92</v>
      </c>
      <c r="S17" s="323">
        <f>0.0001*22.7*340</f>
        <v>0.77</v>
      </c>
      <c r="T17" s="353">
        <f t="shared" si="3"/>
        <v>0</v>
      </c>
      <c r="U17" s="20"/>
      <c r="V17" s="20">
        <f t="shared" si="4"/>
        <v>0</v>
      </c>
      <c r="W17" s="52">
        <f t="shared" si="5"/>
        <v>0</v>
      </c>
      <c r="X17" s="20"/>
    </row>
    <row r="18" spans="1:41" s="5" customFormat="1" ht="26.25" hidden="1" customHeight="1" thickBot="1" x14ac:dyDescent="0.3">
      <c r="B18" s="11"/>
      <c r="C18" s="6" t="s">
        <v>18</v>
      </c>
      <c r="D18" s="23" t="s">
        <v>9</v>
      </c>
      <c r="E18" s="239" t="s">
        <v>109</v>
      </c>
      <c r="F18" s="387" t="s">
        <v>674</v>
      </c>
      <c r="G18" s="12" t="s">
        <v>0</v>
      </c>
      <c r="H18" s="39"/>
      <c r="I18" s="309">
        <v>0</v>
      </c>
      <c r="J18" s="39">
        <f t="shared" si="0"/>
        <v>0</v>
      </c>
      <c r="K18" s="309">
        <f>R18*0.8</f>
        <v>0.46</v>
      </c>
      <c r="L18" s="230">
        <f>K18*J316</f>
        <v>0</v>
      </c>
      <c r="M18" s="233" t="s">
        <v>675</v>
      </c>
      <c r="N18" s="279"/>
      <c r="O18" s="503"/>
      <c r="P18" s="309">
        <f t="shared" ref="P18:P49" si="8">K18*O18</f>
        <v>0</v>
      </c>
      <c r="Q18" s="261" t="str">
        <f t="shared" si="2"/>
        <v>К36х18х6</v>
      </c>
      <c r="R18" s="377">
        <f t="shared" si="6"/>
        <v>0.57999999999999996</v>
      </c>
      <c r="S18" s="324">
        <v>0.48</v>
      </c>
      <c r="T18" s="353">
        <f t="shared" si="3"/>
        <v>0</v>
      </c>
      <c r="U18" s="20">
        <f>15050-200</f>
        <v>14850</v>
      </c>
      <c r="V18" s="20">
        <f t="shared" si="4"/>
        <v>0</v>
      </c>
      <c r="W18" s="52">
        <f t="shared" si="5"/>
        <v>0</v>
      </c>
      <c r="X18" s="20">
        <f>15050-200</f>
        <v>14850</v>
      </c>
    </row>
    <row r="19" spans="1:41" s="5" customFormat="1" ht="26.25" hidden="1" customHeight="1" x14ac:dyDescent="0.25">
      <c r="B19" s="11"/>
      <c r="C19" s="6" t="s">
        <v>18</v>
      </c>
      <c r="D19" s="23" t="s">
        <v>9</v>
      </c>
      <c r="E19" s="239" t="s">
        <v>237</v>
      </c>
      <c r="F19" s="387"/>
      <c r="G19" s="12" t="s">
        <v>0</v>
      </c>
      <c r="H19" s="39"/>
      <c r="I19" s="309">
        <v>0</v>
      </c>
      <c r="J19" s="39">
        <f t="shared" si="0"/>
        <v>0</v>
      </c>
      <c r="K19" s="309">
        <f>R19*0.8</f>
        <v>0.13</v>
      </c>
      <c r="L19" s="230"/>
      <c r="M19" s="62" t="s">
        <v>239</v>
      </c>
      <c r="N19" s="279"/>
      <c r="O19" s="39"/>
      <c r="P19" s="490">
        <f t="shared" si="8"/>
        <v>0</v>
      </c>
      <c r="Q19" s="264" t="str">
        <f t="shared" si="2"/>
        <v>К36х18х6 намагн.с заниж.Д</v>
      </c>
      <c r="R19" s="377">
        <f t="shared" si="6"/>
        <v>0.16</v>
      </c>
      <c r="S19" s="325">
        <f>0.0001*1300</f>
        <v>0.13</v>
      </c>
      <c r="T19" s="353">
        <f t="shared" si="3"/>
        <v>0</v>
      </c>
      <c r="U19" s="20">
        <v>2400</v>
      </c>
      <c r="V19" s="20">
        <f t="shared" si="4"/>
        <v>0</v>
      </c>
      <c r="W19" s="52">
        <f t="shared" si="5"/>
        <v>0</v>
      </c>
      <c r="X19" s="20">
        <v>2400</v>
      </c>
    </row>
    <row r="20" spans="1:41" ht="26.25" customHeight="1" x14ac:dyDescent="0.25">
      <c r="B20" s="14">
        <v>5</v>
      </c>
      <c r="C20" s="6" t="s">
        <v>18</v>
      </c>
      <c r="D20" s="23" t="s">
        <v>9</v>
      </c>
      <c r="E20" s="237" t="s">
        <v>38</v>
      </c>
      <c r="F20" s="208">
        <v>170</v>
      </c>
      <c r="G20" s="12" t="s">
        <v>0</v>
      </c>
      <c r="H20" s="39">
        <v>137</v>
      </c>
      <c r="I20" s="360">
        <v>78.09</v>
      </c>
      <c r="J20" s="39">
        <f t="shared" si="0"/>
        <v>0</v>
      </c>
      <c r="K20" s="309">
        <v>0.56999999999999995</v>
      </c>
      <c r="L20" s="230">
        <f>K20*J318</f>
        <v>0</v>
      </c>
      <c r="M20" s="90"/>
      <c r="N20" s="279"/>
      <c r="O20" s="39">
        <f>145-8</f>
        <v>137</v>
      </c>
      <c r="P20" s="490">
        <f t="shared" si="8"/>
        <v>78.09</v>
      </c>
      <c r="Q20" s="259" t="str">
        <f t="shared" si="2"/>
        <v>СИДТ  7.770.002 Д36х24х6</v>
      </c>
      <c r="R20" s="377">
        <f t="shared" si="6"/>
        <v>6.6</v>
      </c>
      <c r="S20" s="320">
        <v>5.5</v>
      </c>
      <c r="T20" s="353">
        <f t="shared" si="3"/>
        <v>0</v>
      </c>
      <c r="U20" s="148">
        <v>37</v>
      </c>
      <c r="V20" s="20">
        <f t="shared" si="4"/>
        <v>0</v>
      </c>
      <c r="W20" s="52">
        <f t="shared" si="5"/>
        <v>0</v>
      </c>
      <c r="X20" s="444">
        <v>37</v>
      </c>
    </row>
    <row r="21" spans="1:41" ht="26.25" customHeight="1" x14ac:dyDescent="0.25">
      <c r="B21" s="11">
        <v>6</v>
      </c>
      <c r="C21" s="6" t="s">
        <v>18</v>
      </c>
      <c r="D21" s="23" t="s">
        <v>9</v>
      </c>
      <c r="E21" s="237" t="s">
        <v>292</v>
      </c>
      <c r="F21" s="208" t="s">
        <v>48</v>
      </c>
      <c r="G21" s="12" t="s">
        <v>0</v>
      </c>
      <c r="H21" s="39">
        <v>2250</v>
      </c>
      <c r="I21" s="360">
        <v>1485</v>
      </c>
      <c r="J21" s="39">
        <f t="shared" si="0"/>
        <v>3750</v>
      </c>
      <c r="K21" s="309">
        <f>R21*0.8</f>
        <v>0.38</v>
      </c>
      <c r="L21" s="230">
        <f>K21*J319</f>
        <v>0</v>
      </c>
      <c r="M21" s="220"/>
      <c r="N21" s="279">
        <v>1000</v>
      </c>
      <c r="O21" s="39">
        <v>5000</v>
      </c>
      <c r="P21" s="309">
        <f t="shared" si="8"/>
        <v>1900</v>
      </c>
      <c r="Q21" s="51" t="str">
        <f t="shared" si="2"/>
        <v>ЭПГ110.135(Д32х8х8)</v>
      </c>
      <c r="R21" s="377">
        <f t="shared" si="6"/>
        <v>0.47</v>
      </c>
      <c r="S21" s="319">
        <v>0.39</v>
      </c>
      <c r="T21" s="353">
        <f t="shared" si="3"/>
        <v>1462.5</v>
      </c>
      <c r="U21" s="20">
        <f>10*250</f>
        <v>2500</v>
      </c>
      <c r="V21" s="20">
        <f t="shared" si="4"/>
        <v>1000</v>
      </c>
      <c r="W21" s="52">
        <f t="shared" si="5"/>
        <v>3500</v>
      </c>
      <c r="X21" s="20">
        <f>24*250-1000</f>
        <v>5000</v>
      </c>
      <c r="Y21" s="10">
        <f>8*250</f>
        <v>2000</v>
      </c>
    </row>
    <row r="22" spans="1:41" ht="26.25" customHeight="1" x14ac:dyDescent="0.25">
      <c r="B22" s="11">
        <v>7</v>
      </c>
      <c r="C22" s="6" t="s">
        <v>18</v>
      </c>
      <c r="D22" s="23" t="s">
        <v>9</v>
      </c>
      <c r="E22" s="237" t="s">
        <v>461</v>
      </c>
      <c r="F22" s="208">
        <v>1189</v>
      </c>
      <c r="G22" s="12" t="s">
        <v>0</v>
      </c>
      <c r="H22" s="39"/>
      <c r="I22" s="309">
        <v>0</v>
      </c>
      <c r="J22" s="39">
        <f t="shared" si="0"/>
        <v>400</v>
      </c>
      <c r="K22" s="309">
        <f>R22*0.8</f>
        <v>0.8</v>
      </c>
      <c r="L22" s="230">
        <f>K22*J320</f>
        <v>0</v>
      </c>
      <c r="M22" s="68" t="s">
        <v>936</v>
      </c>
      <c r="N22" s="279">
        <v>400</v>
      </c>
      <c r="O22" s="503"/>
      <c r="P22" s="490">
        <f t="shared" si="8"/>
        <v>0</v>
      </c>
      <c r="Q22" s="262" t="str">
        <f t="shared" si="2"/>
        <v>К32х8,2х8</v>
      </c>
      <c r="R22" s="306">
        <f t="shared" si="6"/>
        <v>1</v>
      </c>
      <c r="S22" s="326">
        <v>0.83</v>
      </c>
      <c r="T22" s="353">
        <f t="shared" si="3"/>
        <v>332</v>
      </c>
      <c r="U22" s="20"/>
      <c r="V22" s="20">
        <f t="shared" si="4"/>
        <v>400</v>
      </c>
      <c r="W22" s="52">
        <f t="shared" si="5"/>
        <v>400</v>
      </c>
      <c r="X22" s="20"/>
    </row>
    <row r="23" spans="1:41" ht="26.25" hidden="1" customHeight="1" x14ac:dyDescent="0.25">
      <c r="B23" s="15"/>
      <c r="C23" s="6" t="s">
        <v>18</v>
      </c>
      <c r="D23" s="23" t="s">
        <v>9</v>
      </c>
      <c r="E23" s="212" t="s">
        <v>265</v>
      </c>
      <c r="F23" s="208"/>
      <c r="G23" s="48" t="s">
        <v>0</v>
      </c>
      <c r="H23" s="39"/>
      <c r="I23" s="309">
        <v>0</v>
      </c>
      <c r="J23" s="39">
        <f t="shared" si="0"/>
        <v>0</v>
      </c>
      <c r="K23" s="309">
        <v>1440</v>
      </c>
      <c r="L23" s="230">
        <f>K23*J321</f>
        <v>0</v>
      </c>
      <c r="M23" s="42"/>
      <c r="N23" s="279"/>
      <c r="O23" s="39"/>
      <c r="P23" s="490">
        <f t="shared" si="8"/>
        <v>0</v>
      </c>
      <c r="Q23" s="235" t="str">
        <f t="shared" si="2"/>
        <v>К36х13х8</v>
      </c>
      <c r="R23" s="377">
        <f t="shared" si="6"/>
        <v>0.78</v>
      </c>
      <c r="S23" s="319">
        <f>6500*0.0001</f>
        <v>0.65</v>
      </c>
      <c r="T23" s="353">
        <f t="shared" si="3"/>
        <v>0</v>
      </c>
      <c r="U23" s="20"/>
      <c r="V23" s="20">
        <f t="shared" si="4"/>
        <v>0</v>
      </c>
      <c r="W23" s="52">
        <f t="shared" si="5"/>
        <v>0</v>
      </c>
      <c r="X23" s="20"/>
    </row>
    <row r="24" spans="1:41" s="4" customFormat="1" ht="26.25" hidden="1" customHeight="1" thickBot="1" x14ac:dyDescent="0.3">
      <c r="A24" s="10"/>
      <c r="B24" s="11"/>
      <c r="C24" s="6" t="s">
        <v>18</v>
      </c>
      <c r="D24" s="23" t="s">
        <v>9</v>
      </c>
      <c r="E24" s="212"/>
      <c r="F24" s="397"/>
      <c r="G24" s="48" t="s">
        <v>0</v>
      </c>
      <c r="H24" s="39"/>
      <c r="I24" s="360">
        <v>0</v>
      </c>
      <c r="J24" s="39">
        <f t="shared" si="0"/>
        <v>0</v>
      </c>
      <c r="K24" s="309">
        <f t="shared" ref="K24:K30" si="9">R24*0.8</f>
        <v>0.62</v>
      </c>
      <c r="L24" s="230">
        <f>K24*J322</f>
        <v>0</v>
      </c>
      <c r="M24" s="155"/>
      <c r="N24" s="279"/>
      <c r="O24" s="39"/>
      <c r="P24" s="360">
        <f t="shared" si="8"/>
        <v>0</v>
      </c>
      <c r="Q24" s="263">
        <f t="shared" si="2"/>
        <v>0</v>
      </c>
      <c r="R24" s="306">
        <f t="shared" si="6"/>
        <v>0.77</v>
      </c>
      <c r="S24" s="327">
        <f>21.4*0.03</f>
        <v>0.64</v>
      </c>
      <c r="T24" s="353">
        <f t="shared" si="3"/>
        <v>0</v>
      </c>
      <c r="U24" s="20"/>
      <c r="V24" s="20">
        <f t="shared" si="4"/>
        <v>0</v>
      </c>
      <c r="W24" s="52">
        <f t="shared" si="5"/>
        <v>0</v>
      </c>
      <c r="X24" s="2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spans="1:41" s="4" customFormat="1" ht="26.25" hidden="1" customHeight="1" thickBot="1" x14ac:dyDescent="0.3">
      <c r="A25" s="10"/>
      <c r="B25" s="11"/>
      <c r="C25" s="6" t="s">
        <v>18</v>
      </c>
      <c r="D25" s="23" t="s">
        <v>9</v>
      </c>
      <c r="E25" s="1" t="s">
        <v>466</v>
      </c>
      <c r="F25" s="211" t="s">
        <v>300</v>
      </c>
      <c r="G25" s="19"/>
      <c r="H25" s="39"/>
      <c r="I25" s="309">
        <v>0</v>
      </c>
      <c r="J25" s="39">
        <f t="shared" si="0"/>
        <v>0</v>
      </c>
      <c r="K25" s="309">
        <f t="shared" si="9"/>
        <v>6.72</v>
      </c>
      <c r="L25" s="230"/>
      <c r="M25" s="64"/>
      <c r="N25" s="279"/>
      <c r="O25" s="39"/>
      <c r="P25" s="360">
        <f t="shared" si="8"/>
        <v>0</v>
      </c>
      <c r="Q25" s="265" t="str">
        <f t="shared" si="2"/>
        <v>ЭПГ 110.107(К30х5(10)х8)</v>
      </c>
      <c r="R25" s="377">
        <f t="shared" si="6"/>
        <v>8.4</v>
      </c>
      <c r="S25" s="320">
        <v>7</v>
      </c>
      <c r="T25" s="353">
        <f t="shared" si="3"/>
        <v>0</v>
      </c>
      <c r="U25" s="20"/>
      <c r="V25" s="20">
        <f t="shared" si="4"/>
        <v>0</v>
      </c>
      <c r="W25" s="52">
        <f t="shared" si="5"/>
        <v>0</v>
      </c>
      <c r="X25" s="20"/>
    </row>
    <row r="26" spans="1:41" ht="26.25" hidden="1" customHeight="1" x14ac:dyDescent="0.25">
      <c r="B26" s="11"/>
      <c r="C26" s="6" t="s">
        <v>18</v>
      </c>
      <c r="D26" s="23" t="s">
        <v>9</v>
      </c>
      <c r="E26" s="212" t="s">
        <v>265</v>
      </c>
      <c r="F26" s="398">
        <v>852</v>
      </c>
      <c r="G26" s="48" t="s">
        <v>0</v>
      </c>
      <c r="H26" s="39"/>
      <c r="I26" s="360">
        <v>0</v>
      </c>
      <c r="J26" s="39">
        <f t="shared" si="0"/>
        <v>0</v>
      </c>
      <c r="K26" s="309">
        <f t="shared" si="9"/>
        <v>0.86</v>
      </c>
      <c r="L26" s="230">
        <f>K26*J324</f>
        <v>0</v>
      </c>
      <c r="M26" s="155" t="s">
        <v>535</v>
      </c>
      <c r="N26" s="279"/>
      <c r="O26" s="39"/>
      <c r="P26" s="360">
        <f t="shared" si="8"/>
        <v>0</v>
      </c>
      <c r="Q26" s="262" t="str">
        <f t="shared" si="2"/>
        <v>К36х13х8</v>
      </c>
      <c r="R26" s="306">
        <f t="shared" si="6"/>
        <v>1.08</v>
      </c>
      <c r="S26" s="319">
        <v>0.9</v>
      </c>
      <c r="T26" s="353">
        <f t="shared" si="3"/>
        <v>0</v>
      </c>
      <c r="U26" s="18"/>
      <c r="V26" s="20">
        <f t="shared" si="4"/>
        <v>0</v>
      </c>
      <c r="W26" s="52">
        <f t="shared" si="5"/>
        <v>0</v>
      </c>
      <c r="X26" s="18"/>
    </row>
    <row r="27" spans="1:41" ht="26.25" hidden="1" customHeight="1" x14ac:dyDescent="0.25">
      <c r="B27" s="11"/>
      <c r="C27" s="6" t="s">
        <v>18</v>
      </c>
      <c r="D27" s="23" t="s">
        <v>9</v>
      </c>
      <c r="E27" s="239" t="s">
        <v>455</v>
      </c>
      <c r="F27" s="384">
        <v>1231</v>
      </c>
      <c r="G27" s="48" t="s">
        <v>0</v>
      </c>
      <c r="H27" s="39">
        <v>0</v>
      </c>
      <c r="I27" s="360">
        <v>0</v>
      </c>
      <c r="J27" s="39">
        <f t="shared" si="0"/>
        <v>0</v>
      </c>
      <c r="K27" s="309">
        <f t="shared" si="9"/>
        <v>2.21</v>
      </c>
      <c r="L27" s="230">
        <f>K27*J325</f>
        <v>0</v>
      </c>
      <c r="M27" s="155"/>
      <c r="N27" s="279"/>
      <c r="O27" s="39">
        <v>0</v>
      </c>
      <c r="P27" s="309">
        <f t="shared" si="8"/>
        <v>0</v>
      </c>
      <c r="Q27" s="235" t="str">
        <f t="shared" si="2"/>
        <v>Д30х10</v>
      </c>
      <c r="R27" s="377">
        <f t="shared" si="6"/>
        <v>2.76</v>
      </c>
      <c r="S27" s="328">
        <v>2.2999999999999998</v>
      </c>
      <c r="T27" s="353">
        <f t="shared" si="3"/>
        <v>0</v>
      </c>
      <c r="U27" s="20"/>
      <c r="V27" s="20">
        <f t="shared" si="4"/>
        <v>0</v>
      </c>
      <c r="W27" s="52">
        <f t="shared" si="5"/>
        <v>0</v>
      </c>
      <c r="X27" s="20"/>
    </row>
    <row r="28" spans="1:41" s="4" customFormat="1" ht="26.25" hidden="1" customHeight="1" x14ac:dyDescent="0.25">
      <c r="A28" s="10"/>
      <c r="B28" s="11"/>
      <c r="C28" s="6" t="s">
        <v>18</v>
      </c>
      <c r="D28" s="23" t="s">
        <v>9</v>
      </c>
      <c r="E28" s="1"/>
      <c r="F28" s="211"/>
      <c r="G28" s="48" t="s">
        <v>0</v>
      </c>
      <c r="H28" s="39"/>
      <c r="I28" s="360">
        <v>0</v>
      </c>
      <c r="J28" s="39">
        <f t="shared" si="0"/>
        <v>0</v>
      </c>
      <c r="K28" s="309">
        <f t="shared" si="9"/>
        <v>0.74</v>
      </c>
      <c r="L28" s="230"/>
      <c r="M28" s="64"/>
      <c r="N28" s="279"/>
      <c r="O28" s="39"/>
      <c r="P28" s="360">
        <f t="shared" si="8"/>
        <v>0</v>
      </c>
      <c r="Q28" s="235">
        <f t="shared" si="2"/>
        <v>0</v>
      </c>
      <c r="R28" s="377">
        <f t="shared" si="6"/>
        <v>0.92</v>
      </c>
      <c r="S28" s="320">
        <v>0.77</v>
      </c>
      <c r="T28" s="353">
        <f t="shared" si="3"/>
        <v>0</v>
      </c>
      <c r="U28" s="20"/>
      <c r="V28" s="20">
        <f t="shared" si="4"/>
        <v>0</v>
      </c>
      <c r="W28" s="52">
        <f t="shared" si="5"/>
        <v>0</v>
      </c>
      <c r="X28" s="20"/>
    </row>
    <row r="29" spans="1:41" s="4" customFormat="1" ht="26.25" hidden="1" customHeight="1" x14ac:dyDescent="0.25">
      <c r="A29" s="10"/>
      <c r="B29" s="11"/>
      <c r="C29" s="6" t="s">
        <v>18</v>
      </c>
      <c r="D29" s="23" t="s">
        <v>9</v>
      </c>
      <c r="E29" s="212" t="s">
        <v>282</v>
      </c>
      <c r="F29" s="211" t="s">
        <v>301</v>
      </c>
      <c r="G29" s="19"/>
      <c r="H29" s="39"/>
      <c r="I29" s="309">
        <v>0</v>
      </c>
      <c r="J29" s="39">
        <f t="shared" si="0"/>
        <v>0</v>
      </c>
      <c r="K29" s="309">
        <f t="shared" si="9"/>
        <v>1.92</v>
      </c>
      <c r="L29" s="230"/>
      <c r="M29" s="64"/>
      <c r="N29" s="279"/>
      <c r="O29" s="39"/>
      <c r="P29" s="309">
        <f t="shared" si="8"/>
        <v>0</v>
      </c>
      <c r="Q29" s="235" t="str">
        <f t="shared" si="2"/>
        <v>К24,3х16,2х4</v>
      </c>
      <c r="R29" s="377">
        <f t="shared" si="6"/>
        <v>2.4</v>
      </c>
      <c r="S29" s="329">
        <f>20000*0.0001</f>
        <v>2</v>
      </c>
      <c r="T29" s="353">
        <f t="shared" si="3"/>
        <v>0</v>
      </c>
      <c r="U29" s="20"/>
      <c r="V29" s="20">
        <f t="shared" si="4"/>
        <v>0</v>
      </c>
      <c r="W29" s="52">
        <f t="shared" si="5"/>
        <v>0</v>
      </c>
      <c r="X29" s="20"/>
    </row>
    <row r="30" spans="1:41" ht="26.25" hidden="1" customHeight="1" x14ac:dyDescent="0.25">
      <c r="B30" s="11"/>
      <c r="C30" s="6" t="s">
        <v>18</v>
      </c>
      <c r="D30" s="23" t="s">
        <v>9</v>
      </c>
      <c r="E30" s="212" t="s">
        <v>493</v>
      </c>
      <c r="F30" s="211"/>
      <c r="G30" s="19"/>
      <c r="H30" s="39"/>
      <c r="I30" s="309">
        <v>0</v>
      </c>
      <c r="J30" s="39">
        <f t="shared" si="0"/>
        <v>0</v>
      </c>
      <c r="K30" s="309">
        <f t="shared" si="9"/>
        <v>6.24</v>
      </c>
      <c r="L30" s="230"/>
      <c r="M30" s="64"/>
      <c r="N30" s="279"/>
      <c r="O30" s="39"/>
      <c r="P30" s="309">
        <f t="shared" si="8"/>
        <v>0</v>
      </c>
      <c r="Q30" s="235" t="str">
        <f t="shared" si="2"/>
        <v>К35х5(10)х6</v>
      </c>
      <c r="R30" s="377">
        <f t="shared" si="6"/>
        <v>7.8</v>
      </c>
      <c r="S30" s="329">
        <f>65000*0.0001</f>
        <v>6.5</v>
      </c>
      <c r="T30" s="353">
        <f t="shared" si="3"/>
        <v>0</v>
      </c>
      <c r="U30" s="20">
        <v>288</v>
      </c>
      <c r="V30" s="20">
        <f t="shared" si="4"/>
        <v>0</v>
      </c>
      <c r="W30" s="52">
        <f t="shared" si="5"/>
        <v>0</v>
      </c>
      <c r="X30" s="20">
        <v>288</v>
      </c>
    </row>
    <row r="31" spans="1:41" ht="26.25" hidden="1" customHeight="1" x14ac:dyDescent="0.25">
      <c r="B31" s="11"/>
      <c r="C31" s="6" t="s">
        <v>18</v>
      </c>
      <c r="D31" s="23" t="s">
        <v>9</v>
      </c>
      <c r="E31" s="212" t="s">
        <v>452</v>
      </c>
      <c r="F31" s="211"/>
      <c r="G31" s="19"/>
      <c r="H31" s="39"/>
      <c r="I31" s="309">
        <v>0</v>
      </c>
      <c r="J31" s="39">
        <f t="shared" si="0"/>
        <v>0</v>
      </c>
      <c r="K31" s="309"/>
      <c r="L31" s="230"/>
      <c r="M31" s="64"/>
      <c r="N31" s="279"/>
      <c r="O31" s="39"/>
      <c r="P31" s="309">
        <f t="shared" si="8"/>
        <v>0</v>
      </c>
      <c r="Q31" s="235" t="str">
        <f t="shared" si="2"/>
        <v>К36х8х8</v>
      </c>
      <c r="R31" s="377">
        <f t="shared" si="6"/>
        <v>0</v>
      </c>
      <c r="S31" s="329"/>
      <c r="T31" s="353">
        <f t="shared" si="3"/>
        <v>0</v>
      </c>
      <c r="U31" s="148">
        <v>400</v>
      </c>
      <c r="V31" s="20">
        <f t="shared" si="4"/>
        <v>0</v>
      </c>
      <c r="W31" s="52">
        <f t="shared" si="5"/>
        <v>0</v>
      </c>
      <c r="X31" s="444">
        <v>400</v>
      </c>
    </row>
    <row r="32" spans="1:41" s="4" customFormat="1" ht="26.25" hidden="1" customHeight="1" x14ac:dyDescent="0.25">
      <c r="A32" s="10"/>
      <c r="B32" s="11"/>
      <c r="C32" s="6" t="s">
        <v>18</v>
      </c>
      <c r="D32" s="23" t="s">
        <v>9</v>
      </c>
      <c r="E32" s="212" t="s">
        <v>281</v>
      </c>
      <c r="F32" s="211" t="s">
        <v>302</v>
      </c>
      <c r="G32" s="19"/>
      <c r="H32" s="39"/>
      <c r="I32" s="309">
        <v>0</v>
      </c>
      <c r="J32" s="39">
        <f t="shared" si="0"/>
        <v>0</v>
      </c>
      <c r="K32" s="309">
        <f t="shared" ref="K32:K40" si="10">R32*0.8</f>
        <v>4.8</v>
      </c>
      <c r="L32" s="230"/>
      <c r="M32" s="64"/>
      <c r="N32" s="279"/>
      <c r="O32" s="39"/>
      <c r="P32" s="309">
        <f t="shared" si="8"/>
        <v>0</v>
      </c>
      <c r="Q32" s="235" t="str">
        <f t="shared" si="2"/>
        <v>К40х24х3,5</v>
      </c>
      <c r="R32" s="377">
        <f t="shared" si="6"/>
        <v>6</v>
      </c>
      <c r="S32" s="329">
        <f>50000*0.0001</f>
        <v>5</v>
      </c>
      <c r="T32" s="353">
        <f t="shared" si="3"/>
        <v>0</v>
      </c>
      <c r="U32" s="20"/>
      <c r="V32" s="20">
        <f t="shared" si="4"/>
        <v>0</v>
      </c>
      <c r="W32" s="52">
        <f t="shared" si="5"/>
        <v>0</v>
      </c>
      <c r="X32" s="20"/>
    </row>
    <row r="33" spans="1:208" s="4" customFormat="1" ht="26.25" hidden="1" customHeight="1" thickBot="1" x14ac:dyDescent="0.3">
      <c r="A33" s="10"/>
      <c r="B33" s="11"/>
      <c r="C33" s="6" t="s">
        <v>18</v>
      </c>
      <c r="D33" s="23" t="s">
        <v>9</v>
      </c>
      <c r="E33" s="237" t="s">
        <v>726</v>
      </c>
      <c r="F33" s="211" t="s">
        <v>732</v>
      </c>
      <c r="G33" s="19"/>
      <c r="H33" s="39"/>
      <c r="I33" s="309">
        <v>0</v>
      </c>
      <c r="J33" s="39">
        <f t="shared" si="0"/>
        <v>0</v>
      </c>
      <c r="K33" s="309">
        <f t="shared" si="10"/>
        <v>6.72</v>
      </c>
      <c r="L33" s="230"/>
      <c r="M33" s="233" t="s">
        <v>735</v>
      </c>
      <c r="N33" s="279"/>
      <c r="O33" s="39"/>
      <c r="P33" s="497">
        <f t="shared" si="8"/>
        <v>0</v>
      </c>
      <c r="Q33" s="263" t="str">
        <f t="shared" si="2"/>
        <v>К45х22х5</v>
      </c>
      <c r="R33" s="377">
        <f t="shared" si="6"/>
        <v>8.4</v>
      </c>
      <c r="S33" s="321">
        <f>70000*0.0001</f>
        <v>7</v>
      </c>
      <c r="T33" s="353">
        <f t="shared" si="3"/>
        <v>0</v>
      </c>
      <c r="U33" s="20"/>
      <c r="V33" s="20">
        <f t="shared" si="4"/>
        <v>0</v>
      </c>
      <c r="W33" s="52">
        <f t="shared" si="5"/>
        <v>0</v>
      </c>
      <c r="X33" s="20"/>
    </row>
    <row r="34" spans="1:208" ht="26.25" hidden="1" customHeight="1" thickBot="1" x14ac:dyDescent="0.3">
      <c r="B34" s="11"/>
      <c r="C34" s="6" t="s">
        <v>18</v>
      </c>
      <c r="D34" s="23" t="s">
        <v>9</v>
      </c>
      <c r="E34" s="237" t="s">
        <v>95</v>
      </c>
      <c r="F34" s="208" t="s">
        <v>99</v>
      </c>
      <c r="G34" s="48" t="s">
        <v>0</v>
      </c>
      <c r="H34" s="39"/>
      <c r="I34" s="360">
        <v>0</v>
      </c>
      <c r="J34" s="39">
        <f t="shared" si="0"/>
        <v>0</v>
      </c>
      <c r="K34" s="309">
        <f t="shared" si="10"/>
        <v>1.06</v>
      </c>
      <c r="L34" s="230">
        <f>K34*J332</f>
        <v>0</v>
      </c>
      <c r="M34" s="233" t="s">
        <v>883</v>
      </c>
      <c r="N34" s="279"/>
      <c r="O34" s="503"/>
      <c r="P34" s="309">
        <f t="shared" si="8"/>
        <v>0</v>
      </c>
      <c r="Q34" s="265" t="str">
        <f t="shared" si="2"/>
        <v>К45х22х7</v>
      </c>
      <c r="R34" s="306">
        <f t="shared" si="6"/>
        <v>1.32</v>
      </c>
      <c r="S34" s="319">
        <v>1.1000000000000001</v>
      </c>
      <c r="T34" s="353">
        <f t="shared" si="3"/>
        <v>0</v>
      </c>
      <c r="U34" s="148">
        <v>11407</v>
      </c>
      <c r="V34" s="20">
        <f t="shared" si="4"/>
        <v>0</v>
      </c>
      <c r="W34" s="52">
        <f t="shared" si="5"/>
        <v>0</v>
      </c>
      <c r="X34" s="20">
        <v>11407</v>
      </c>
      <c r="Y34" s="10">
        <f>567*2+456*6</f>
        <v>3870</v>
      </c>
    </row>
    <row r="35" spans="1:208" ht="26.25" hidden="1" customHeight="1" x14ac:dyDescent="0.25">
      <c r="B35" s="15"/>
      <c r="C35" s="6" t="s">
        <v>18</v>
      </c>
      <c r="D35" s="23" t="s">
        <v>177</v>
      </c>
      <c r="E35" s="104" t="s">
        <v>215</v>
      </c>
      <c r="F35" s="208" t="s">
        <v>178</v>
      </c>
      <c r="G35" s="48" t="s">
        <v>0</v>
      </c>
      <c r="H35" s="39"/>
      <c r="I35" s="309">
        <v>0</v>
      </c>
      <c r="J35" s="39">
        <f t="shared" si="0"/>
        <v>0</v>
      </c>
      <c r="K35" s="309">
        <f t="shared" si="10"/>
        <v>0.14000000000000001</v>
      </c>
      <c r="L35" s="230">
        <f>K35*J333</f>
        <v>0</v>
      </c>
      <c r="M35" s="62" t="s">
        <v>275</v>
      </c>
      <c r="N35" s="140"/>
      <c r="O35" s="39"/>
      <c r="P35" s="490">
        <f t="shared" si="8"/>
        <v>0</v>
      </c>
      <c r="Q35" s="262" t="str">
        <f t="shared" si="2"/>
        <v>ЭПГ110.165(К45*22*6)</v>
      </c>
      <c r="R35" s="377">
        <f t="shared" si="6"/>
        <v>0.18</v>
      </c>
      <c r="S35" s="322">
        <f>1513*0.0001</f>
        <v>0.15</v>
      </c>
      <c r="T35" s="353">
        <f t="shared" si="3"/>
        <v>0</v>
      </c>
      <c r="U35" s="199"/>
      <c r="V35" s="20">
        <f t="shared" si="4"/>
        <v>0</v>
      </c>
      <c r="W35" s="52">
        <f t="shared" si="5"/>
        <v>0</v>
      </c>
      <c r="X35" s="199"/>
    </row>
    <row r="36" spans="1:208" ht="26.25" hidden="1" customHeight="1" x14ac:dyDescent="0.25">
      <c r="B36" s="15"/>
      <c r="C36" s="6" t="s">
        <v>18</v>
      </c>
      <c r="D36" s="23" t="s">
        <v>9</v>
      </c>
      <c r="E36" s="238" t="s">
        <v>505</v>
      </c>
      <c r="F36" s="208"/>
      <c r="G36" s="48"/>
      <c r="H36" s="39"/>
      <c r="I36" s="309">
        <v>0</v>
      </c>
      <c r="J36" s="39">
        <f t="shared" si="0"/>
        <v>0</v>
      </c>
      <c r="K36" s="309">
        <f t="shared" si="10"/>
        <v>0</v>
      </c>
      <c r="L36" s="230"/>
      <c r="M36" s="146" t="s">
        <v>331</v>
      </c>
      <c r="N36" s="279"/>
      <c r="O36" s="39"/>
      <c r="P36" s="497">
        <f t="shared" si="8"/>
        <v>0</v>
      </c>
      <c r="Q36" s="235" t="str">
        <f t="shared" si="2"/>
        <v>К60х25х9</v>
      </c>
      <c r="R36" s="377">
        <f t="shared" si="6"/>
        <v>0</v>
      </c>
      <c r="S36" s="330"/>
      <c r="T36" s="353">
        <f t="shared" si="3"/>
        <v>0</v>
      </c>
      <c r="U36" s="148">
        <f>70*5</f>
        <v>350</v>
      </c>
      <c r="V36" s="20">
        <f t="shared" si="4"/>
        <v>0</v>
      </c>
      <c r="W36" s="52">
        <f t="shared" si="5"/>
        <v>0</v>
      </c>
      <c r="X36" s="20">
        <f>70*5</f>
        <v>350</v>
      </c>
    </row>
    <row r="37" spans="1:208" ht="26.25" customHeight="1" x14ac:dyDescent="0.25">
      <c r="B37" s="15">
        <v>8</v>
      </c>
      <c r="C37" s="6" t="s">
        <v>18</v>
      </c>
      <c r="D37" s="23" t="s">
        <v>9</v>
      </c>
      <c r="E37" s="238" t="s">
        <v>283</v>
      </c>
      <c r="F37" s="208">
        <v>1383</v>
      </c>
      <c r="G37" s="12" t="s">
        <v>0</v>
      </c>
      <c r="H37" s="39">
        <v>220</v>
      </c>
      <c r="I37" s="309">
        <v>338.8</v>
      </c>
      <c r="J37" s="39">
        <f t="shared" si="0"/>
        <v>0</v>
      </c>
      <c r="K37" s="309">
        <f t="shared" si="10"/>
        <v>1.54</v>
      </c>
      <c r="L37" s="230"/>
      <c r="M37" s="233"/>
      <c r="N37" s="279"/>
      <c r="O37" s="39">
        <v>220</v>
      </c>
      <c r="P37" s="309">
        <f t="shared" si="8"/>
        <v>338.8</v>
      </c>
      <c r="Q37" s="51" t="str">
        <f t="shared" si="2"/>
        <v>К61х24х8</v>
      </c>
      <c r="R37" s="377">
        <f t="shared" si="6"/>
        <v>1.92</v>
      </c>
      <c r="S37" s="330">
        <v>1.6</v>
      </c>
      <c r="T37" s="353">
        <f t="shared" si="3"/>
        <v>0</v>
      </c>
      <c r="U37" s="148">
        <f>10*125-190-190</f>
        <v>870</v>
      </c>
      <c r="V37" s="20">
        <f t="shared" si="4"/>
        <v>0</v>
      </c>
      <c r="W37" s="52">
        <f t="shared" si="5"/>
        <v>0</v>
      </c>
      <c r="X37" s="20">
        <f>10*125-190-190</f>
        <v>870</v>
      </c>
      <c r="Y37" s="10">
        <f>2*73+74</f>
        <v>220</v>
      </c>
    </row>
    <row r="38" spans="1:208" ht="26.25" hidden="1" customHeight="1" x14ac:dyDescent="0.25">
      <c r="B38" s="11"/>
      <c r="C38" s="6" t="s">
        <v>18</v>
      </c>
      <c r="D38" s="23" t="s">
        <v>9</v>
      </c>
      <c r="E38" s="87" t="s">
        <v>725</v>
      </c>
      <c r="F38" s="208">
        <v>1452</v>
      </c>
      <c r="G38" s="48" t="s">
        <v>0</v>
      </c>
      <c r="H38" s="39"/>
      <c r="I38" s="309">
        <v>0</v>
      </c>
      <c r="J38" s="39">
        <f t="shared" si="0"/>
        <v>0</v>
      </c>
      <c r="K38" s="309">
        <f t="shared" si="10"/>
        <v>23.04</v>
      </c>
      <c r="L38" s="230">
        <f t="shared" ref="L38:L44" si="11">K38*J336</f>
        <v>0</v>
      </c>
      <c r="M38" s="233" t="s">
        <v>737</v>
      </c>
      <c r="N38" s="279"/>
      <c r="O38" s="39"/>
      <c r="P38" s="490">
        <f t="shared" si="8"/>
        <v>0</v>
      </c>
      <c r="Q38" s="441" t="str">
        <f t="shared" si="2"/>
        <v>К59х44х4</v>
      </c>
      <c r="R38" s="377">
        <f t="shared" si="6"/>
        <v>28.8</v>
      </c>
      <c r="S38" s="319">
        <v>24</v>
      </c>
      <c r="T38" s="353">
        <f t="shared" ref="T38:T70" si="12">S38*J38</f>
        <v>0</v>
      </c>
      <c r="U38" s="20"/>
      <c r="V38" s="20">
        <f t="shared" ref="V38:V69" si="13">N38</f>
        <v>0</v>
      </c>
      <c r="W38" s="52">
        <f t="shared" si="5"/>
        <v>0</v>
      </c>
      <c r="X38" s="20"/>
    </row>
    <row r="39" spans="1:208" ht="26.25" customHeight="1" thickBot="1" x14ac:dyDescent="0.3">
      <c r="B39" s="11">
        <v>9</v>
      </c>
      <c r="C39" s="6" t="s">
        <v>18</v>
      </c>
      <c r="D39" s="23" t="s">
        <v>9</v>
      </c>
      <c r="E39" s="43" t="s">
        <v>115</v>
      </c>
      <c r="F39" s="208" t="s">
        <v>116</v>
      </c>
      <c r="G39" s="12" t="s">
        <v>0</v>
      </c>
      <c r="H39" s="39">
        <v>150</v>
      </c>
      <c r="I39" s="360">
        <v>412.5</v>
      </c>
      <c r="J39" s="39">
        <f t="shared" si="0"/>
        <v>0</v>
      </c>
      <c r="K39" s="309">
        <f t="shared" si="10"/>
        <v>2.75</v>
      </c>
      <c r="L39" s="230">
        <f t="shared" si="11"/>
        <v>0</v>
      </c>
      <c r="M39" s="233" t="s">
        <v>652</v>
      </c>
      <c r="N39" s="279"/>
      <c r="O39" s="39">
        <v>150</v>
      </c>
      <c r="P39" s="490">
        <f t="shared" si="8"/>
        <v>412.5</v>
      </c>
      <c r="Q39" s="256" t="str">
        <f t="shared" si="2"/>
        <v>К72*32*10</v>
      </c>
      <c r="R39" s="377">
        <f t="shared" ref="R39:R70" si="14">S39*1.2</f>
        <v>3.44</v>
      </c>
      <c r="S39" s="320">
        <v>2.87</v>
      </c>
      <c r="T39" s="353">
        <f t="shared" si="3"/>
        <v>0</v>
      </c>
      <c r="U39" s="148">
        <v>6500</v>
      </c>
      <c r="V39" s="20">
        <f t="shared" si="13"/>
        <v>0</v>
      </c>
      <c r="W39" s="52">
        <f t="shared" si="5"/>
        <v>0</v>
      </c>
      <c r="X39" s="20">
        <v>6500</v>
      </c>
    </row>
    <row r="40" spans="1:208" s="4" customFormat="1" ht="26.25" hidden="1" customHeight="1" x14ac:dyDescent="0.25">
      <c r="A40" s="10"/>
      <c r="B40" s="11"/>
      <c r="C40" s="6" t="s">
        <v>18</v>
      </c>
      <c r="D40" s="23" t="s">
        <v>9</v>
      </c>
      <c r="E40" s="238" t="s">
        <v>451</v>
      </c>
      <c r="F40" s="387" t="s">
        <v>383</v>
      </c>
      <c r="G40" s="48" t="s">
        <v>0</v>
      </c>
      <c r="H40" s="39"/>
      <c r="I40" s="360">
        <v>0</v>
      </c>
      <c r="J40" s="39">
        <f t="shared" si="0"/>
        <v>0</v>
      </c>
      <c r="K40" s="309">
        <f t="shared" si="10"/>
        <v>4.8</v>
      </c>
      <c r="L40" s="230">
        <f t="shared" si="11"/>
        <v>720</v>
      </c>
      <c r="M40" s="233" t="s">
        <v>528</v>
      </c>
      <c r="N40" s="279"/>
      <c r="O40" s="39"/>
      <c r="P40" s="467">
        <f t="shared" si="8"/>
        <v>0</v>
      </c>
      <c r="Q40" s="264" t="str">
        <f t="shared" si="2"/>
        <v>К72х32х12</v>
      </c>
      <c r="R40" s="377">
        <f t="shared" si="14"/>
        <v>6</v>
      </c>
      <c r="S40" s="330">
        <v>5</v>
      </c>
      <c r="T40" s="353">
        <f t="shared" si="12"/>
        <v>0</v>
      </c>
      <c r="U40" s="20"/>
      <c r="V40" s="20">
        <f t="shared" si="13"/>
        <v>0</v>
      </c>
      <c r="W40" s="52">
        <f t="shared" si="5"/>
        <v>6120</v>
      </c>
      <c r="X40" s="444">
        <f>103*40+2000</f>
        <v>6120</v>
      </c>
      <c r="Y40" s="4">
        <f>40*103</f>
        <v>4120</v>
      </c>
    </row>
    <row r="41" spans="1:208" s="4" customFormat="1" ht="26.25" customHeight="1" x14ac:dyDescent="0.25">
      <c r="A41" s="10"/>
      <c r="B41" s="11">
        <v>10</v>
      </c>
      <c r="C41" s="6" t="s">
        <v>18</v>
      </c>
      <c r="D41" s="23" t="s">
        <v>9</v>
      </c>
      <c r="E41" s="239" t="s">
        <v>210</v>
      </c>
      <c r="F41" s="208" t="s">
        <v>256</v>
      </c>
      <c r="G41" s="12" t="s">
        <v>0</v>
      </c>
      <c r="H41" s="39">
        <v>46</v>
      </c>
      <c r="I41" s="360">
        <v>86.48</v>
      </c>
      <c r="J41" s="39">
        <f t="shared" si="0"/>
        <v>0</v>
      </c>
      <c r="K41" s="309">
        <v>1.88</v>
      </c>
      <c r="L41" s="230">
        <f t="shared" si="11"/>
        <v>0</v>
      </c>
      <c r="M41" s="89" t="s">
        <v>566</v>
      </c>
      <c r="N41" s="279">
        <v>30</v>
      </c>
      <c r="O41" s="39">
        <v>16</v>
      </c>
      <c r="P41" s="309">
        <f t="shared" si="8"/>
        <v>30.08</v>
      </c>
      <c r="Q41" s="259" t="str">
        <f t="shared" si="2"/>
        <v>К85х32х9</v>
      </c>
      <c r="R41" s="377">
        <f t="shared" si="14"/>
        <v>2.76</v>
      </c>
      <c r="S41" s="319">
        <v>2.2999999999999998</v>
      </c>
      <c r="T41" s="353">
        <f t="shared" si="3"/>
        <v>0</v>
      </c>
      <c r="U41" s="18">
        <v>3478</v>
      </c>
      <c r="V41" s="20">
        <f t="shared" si="13"/>
        <v>30</v>
      </c>
      <c r="W41" s="52">
        <f t="shared" si="5"/>
        <v>30</v>
      </c>
      <c r="X41" s="18">
        <v>3478</v>
      </c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</row>
    <row r="42" spans="1:208" ht="26.25" hidden="1" customHeight="1" x14ac:dyDescent="0.25">
      <c r="B42" s="11"/>
      <c r="C42" s="6" t="s">
        <v>18</v>
      </c>
      <c r="D42" s="23" t="s">
        <v>9</v>
      </c>
      <c r="E42" s="239"/>
      <c r="F42" s="211"/>
      <c r="G42" s="12" t="s">
        <v>0</v>
      </c>
      <c r="H42" s="39"/>
      <c r="I42" s="360">
        <v>0</v>
      </c>
      <c r="J42" s="39">
        <f t="shared" si="0"/>
        <v>0</v>
      </c>
      <c r="K42" s="309">
        <v>1.76</v>
      </c>
      <c r="L42" s="230">
        <f t="shared" si="11"/>
        <v>0</v>
      </c>
      <c r="M42" s="89"/>
      <c r="N42" s="279"/>
      <c r="O42" s="39"/>
      <c r="P42" s="467">
        <f t="shared" si="8"/>
        <v>0</v>
      </c>
      <c r="Q42" s="260">
        <f t="shared" si="2"/>
        <v>0</v>
      </c>
      <c r="R42" s="377">
        <f t="shared" si="14"/>
        <v>2.41</v>
      </c>
      <c r="S42" s="319">
        <v>2.0099999999999998</v>
      </c>
      <c r="T42" s="353">
        <f t="shared" si="12"/>
        <v>0</v>
      </c>
      <c r="U42" s="18"/>
      <c r="V42" s="20">
        <f t="shared" si="13"/>
        <v>0</v>
      </c>
      <c r="W42" s="52">
        <f t="shared" si="5"/>
        <v>0</v>
      </c>
      <c r="X42" s="18"/>
    </row>
    <row r="43" spans="1:208" s="5" customFormat="1" ht="26.25" customHeight="1" x14ac:dyDescent="0.25">
      <c r="B43" s="11">
        <v>11</v>
      </c>
      <c r="C43" s="6" t="s">
        <v>18</v>
      </c>
      <c r="D43" s="23" t="s">
        <v>9</v>
      </c>
      <c r="E43" s="237" t="s">
        <v>39</v>
      </c>
      <c r="F43" s="208" t="s">
        <v>67</v>
      </c>
      <c r="G43" s="12" t="s">
        <v>0</v>
      </c>
      <c r="H43" s="39">
        <v>1165</v>
      </c>
      <c r="I43" s="360">
        <v>4473.6000000000004</v>
      </c>
      <c r="J43" s="39">
        <f t="shared" si="0"/>
        <v>5</v>
      </c>
      <c r="K43" s="309">
        <f>R43*0.8</f>
        <v>3.84</v>
      </c>
      <c r="L43" s="230">
        <f t="shared" si="11"/>
        <v>0</v>
      </c>
      <c r="M43" s="220" t="s">
        <v>938</v>
      </c>
      <c r="N43" s="279"/>
      <c r="O43" s="39">
        <v>1170</v>
      </c>
      <c r="P43" s="309">
        <f t="shared" si="8"/>
        <v>4492.8</v>
      </c>
      <c r="Q43" s="260" t="str">
        <f t="shared" si="2"/>
        <v>К85х44х9</v>
      </c>
      <c r="R43" s="377">
        <f t="shared" si="14"/>
        <v>4.8</v>
      </c>
      <c r="S43" s="319">
        <v>4</v>
      </c>
      <c r="T43" s="353">
        <f t="shared" si="3"/>
        <v>20</v>
      </c>
      <c r="U43" s="148">
        <f>16*30+10+48*72</f>
        <v>3946</v>
      </c>
      <c r="V43" s="20">
        <f t="shared" si="13"/>
        <v>0</v>
      </c>
      <c r="W43" s="52">
        <f t="shared" si="5"/>
        <v>0</v>
      </c>
      <c r="X43" s="20">
        <f>16*30+10+48*72</f>
        <v>3946</v>
      </c>
    </row>
    <row r="44" spans="1:208" s="5" customFormat="1" ht="26.25" customHeight="1" thickBot="1" x14ac:dyDescent="0.3">
      <c r="B44" s="14">
        <v>12</v>
      </c>
      <c r="C44" s="6" t="s">
        <v>18</v>
      </c>
      <c r="D44" s="23" t="s">
        <v>9</v>
      </c>
      <c r="E44" s="237" t="s">
        <v>543</v>
      </c>
      <c r="F44" s="526" t="s">
        <v>303</v>
      </c>
      <c r="G44" s="12" t="s">
        <v>0</v>
      </c>
      <c r="H44" s="39">
        <v>30</v>
      </c>
      <c r="I44" s="360">
        <v>48.3</v>
      </c>
      <c r="J44" s="39">
        <f t="shared" si="0"/>
        <v>30</v>
      </c>
      <c r="K44" s="309">
        <f>S44*0.8</f>
        <v>1.61</v>
      </c>
      <c r="L44" s="230">
        <f t="shared" si="11"/>
        <v>0</v>
      </c>
      <c r="M44" s="220" t="s">
        <v>937</v>
      </c>
      <c r="N44" s="279">
        <v>60</v>
      </c>
      <c r="O44" s="503"/>
      <c r="P44" s="309">
        <f t="shared" si="8"/>
        <v>0</v>
      </c>
      <c r="Q44" s="261" t="str">
        <f t="shared" si="2"/>
        <v>К86х32х9 Кр.Борец</v>
      </c>
      <c r="R44" s="377">
        <f t="shared" si="14"/>
        <v>2.41</v>
      </c>
      <c r="S44" s="322">
        <v>2.0099999999999998</v>
      </c>
      <c r="T44" s="353">
        <f t="shared" si="3"/>
        <v>60.3</v>
      </c>
      <c r="U44" s="18"/>
      <c r="V44" s="20">
        <f t="shared" si="13"/>
        <v>60</v>
      </c>
      <c r="W44" s="52">
        <f t="shared" si="5"/>
        <v>60</v>
      </c>
      <c r="X44" s="18"/>
    </row>
    <row r="45" spans="1:208" s="8" customFormat="1" ht="26.25" hidden="1" customHeight="1" x14ac:dyDescent="0.25">
      <c r="A45" s="5"/>
      <c r="B45" s="14"/>
      <c r="C45" s="6" t="s">
        <v>18</v>
      </c>
      <c r="D45" s="23" t="s">
        <v>357</v>
      </c>
      <c r="E45" s="104" t="s">
        <v>356</v>
      </c>
      <c r="F45" s="387" t="s">
        <v>358</v>
      </c>
      <c r="G45" s="12" t="s">
        <v>0</v>
      </c>
      <c r="H45" s="39"/>
      <c r="I45" s="309">
        <v>0</v>
      </c>
      <c r="J45" s="39">
        <f t="shared" si="0"/>
        <v>0</v>
      </c>
      <c r="K45" s="309">
        <f>R45*0.8</f>
        <v>37.93</v>
      </c>
      <c r="L45" s="230"/>
      <c r="M45" s="89"/>
      <c r="N45" s="140"/>
      <c r="O45" s="39"/>
      <c r="P45" s="490">
        <f t="shared" si="8"/>
        <v>0</v>
      </c>
      <c r="Q45" s="264" t="str">
        <f t="shared" si="2"/>
        <v>К102х56х12</v>
      </c>
      <c r="R45" s="377">
        <f t="shared" si="14"/>
        <v>47.41</v>
      </c>
      <c r="S45" s="319">
        <f>395125*0.0001</f>
        <v>39.51</v>
      </c>
      <c r="T45" s="353">
        <f t="shared" si="12"/>
        <v>0</v>
      </c>
      <c r="U45" s="20"/>
      <c r="V45" s="20">
        <f t="shared" si="13"/>
        <v>0</v>
      </c>
      <c r="W45" s="52">
        <f t="shared" si="5"/>
        <v>0</v>
      </c>
      <c r="X45" s="20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</row>
    <row r="46" spans="1:208" s="8" customFormat="1" ht="26.25" hidden="1" customHeight="1" x14ac:dyDescent="0.25">
      <c r="A46" s="5"/>
      <c r="B46" s="14"/>
      <c r="C46" s="6" t="s">
        <v>18</v>
      </c>
      <c r="D46" s="23" t="s">
        <v>177</v>
      </c>
      <c r="E46" s="87" t="s">
        <v>693</v>
      </c>
      <c r="F46" s="387" t="s">
        <v>697</v>
      </c>
      <c r="G46" s="12"/>
      <c r="H46" s="39"/>
      <c r="I46" s="360">
        <v>0</v>
      </c>
      <c r="J46" s="39">
        <f t="shared" si="0"/>
        <v>0</v>
      </c>
      <c r="K46" s="309">
        <f>R46*0.8</f>
        <v>4.8</v>
      </c>
      <c r="L46" s="230"/>
      <c r="M46" s="89"/>
      <c r="N46" s="140"/>
      <c r="O46" s="503"/>
      <c r="P46" s="309">
        <f t="shared" si="8"/>
        <v>0</v>
      </c>
      <c r="Q46" s="264" t="str">
        <f t="shared" si="2"/>
        <v>Д8,2х6,4</v>
      </c>
      <c r="R46" s="377">
        <f t="shared" si="14"/>
        <v>6</v>
      </c>
      <c r="S46" s="319">
        <v>5</v>
      </c>
      <c r="T46" s="353">
        <f t="shared" si="12"/>
        <v>0</v>
      </c>
      <c r="U46" s="20"/>
      <c r="V46" s="20">
        <f t="shared" si="13"/>
        <v>0</v>
      </c>
      <c r="W46" s="52"/>
      <c r="X46" s="20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</row>
    <row r="47" spans="1:208" s="5" customFormat="1" ht="30" customHeight="1" x14ac:dyDescent="0.25">
      <c r="B47" s="11">
        <v>13</v>
      </c>
      <c r="C47" s="6" t="s">
        <v>18</v>
      </c>
      <c r="D47" s="23" t="s">
        <v>9</v>
      </c>
      <c r="E47" s="239" t="s">
        <v>225</v>
      </c>
      <c r="F47" s="208" t="s">
        <v>234</v>
      </c>
      <c r="G47" s="12" t="s">
        <v>0</v>
      </c>
      <c r="H47" s="39">
        <v>2000</v>
      </c>
      <c r="I47" s="360">
        <v>280</v>
      </c>
      <c r="J47" s="39">
        <f t="shared" si="0"/>
        <v>0</v>
      </c>
      <c r="K47" s="309">
        <f>S47*0.8</f>
        <v>0.14000000000000001</v>
      </c>
      <c r="L47" s="230">
        <f>K47*J345</f>
        <v>0</v>
      </c>
      <c r="M47" s="233" t="s">
        <v>884</v>
      </c>
      <c r="N47" s="279"/>
      <c r="O47" s="39">
        <v>2000</v>
      </c>
      <c r="P47" s="309">
        <f t="shared" si="8"/>
        <v>280</v>
      </c>
      <c r="Q47" s="235" t="str">
        <f t="shared" si="2"/>
        <v>Д18х3</v>
      </c>
      <c r="R47" s="377">
        <f t="shared" si="14"/>
        <v>0.22</v>
      </c>
      <c r="S47" s="323">
        <v>0.18</v>
      </c>
      <c r="T47" s="353">
        <f t="shared" si="12"/>
        <v>0</v>
      </c>
      <c r="U47" s="148">
        <f>6500*9</f>
        <v>58500</v>
      </c>
      <c r="V47" s="20">
        <f t="shared" si="13"/>
        <v>0</v>
      </c>
      <c r="W47" s="52">
        <f t="shared" ref="W47:W55" si="15">X47-U47+V47</f>
        <v>-13000</v>
      </c>
      <c r="X47" s="444">
        <f>6500*7</f>
        <v>45500</v>
      </c>
    </row>
    <row r="48" spans="1:208" s="5" customFormat="1" ht="32.25" hidden="1" customHeight="1" x14ac:dyDescent="0.25">
      <c r="B48" s="11"/>
      <c r="C48" s="6" t="s">
        <v>18</v>
      </c>
      <c r="D48" s="23" t="s">
        <v>9</v>
      </c>
      <c r="E48" s="512" t="s">
        <v>851</v>
      </c>
      <c r="F48" s="208">
        <v>1285</v>
      </c>
      <c r="G48" s="12" t="s">
        <v>0</v>
      </c>
      <c r="H48" s="39"/>
      <c r="I48" s="309">
        <v>0</v>
      </c>
      <c r="J48" s="39">
        <f t="shared" si="0"/>
        <v>0</v>
      </c>
      <c r="K48" s="309">
        <f>R48*0.8</f>
        <v>7.68</v>
      </c>
      <c r="L48" s="230"/>
      <c r="M48" s="233" t="s">
        <v>863</v>
      </c>
      <c r="N48" s="279"/>
      <c r="O48" s="503"/>
      <c r="P48" s="309">
        <f t="shared" si="8"/>
        <v>0</v>
      </c>
      <c r="Q48" s="235" t="str">
        <f t="shared" si="2"/>
        <v xml:space="preserve">Д12х18 </v>
      </c>
      <c r="R48" s="495">
        <f t="shared" si="14"/>
        <v>9.6</v>
      </c>
      <c r="S48" s="323">
        <v>8</v>
      </c>
      <c r="T48" s="353">
        <f t="shared" si="12"/>
        <v>0</v>
      </c>
      <c r="U48" s="18"/>
      <c r="V48" s="20">
        <f t="shared" si="13"/>
        <v>0</v>
      </c>
      <c r="W48" s="18">
        <f t="shared" si="15"/>
        <v>0</v>
      </c>
      <c r="X48" s="18"/>
    </row>
    <row r="49" spans="1:25" s="5" customFormat="1" ht="26.25" hidden="1" customHeight="1" x14ac:dyDescent="0.25">
      <c r="B49" s="483"/>
      <c r="C49" s="484" t="s">
        <v>18</v>
      </c>
      <c r="D49" s="485" t="s">
        <v>9</v>
      </c>
      <c r="E49" s="486" t="s">
        <v>853</v>
      </c>
      <c r="F49" s="487" t="s">
        <v>698</v>
      </c>
      <c r="G49" s="12" t="s">
        <v>0</v>
      </c>
      <c r="H49" s="489"/>
      <c r="I49" s="467">
        <v>0</v>
      </c>
      <c r="J49" s="39">
        <f t="shared" si="0"/>
        <v>0</v>
      </c>
      <c r="K49" s="490">
        <f>R49*0.8</f>
        <v>0.48</v>
      </c>
      <c r="L49" s="491"/>
      <c r="M49" s="233" t="s">
        <v>865</v>
      </c>
      <c r="N49" s="493"/>
      <c r="O49" s="489"/>
      <c r="P49" s="467">
        <f t="shared" si="8"/>
        <v>0</v>
      </c>
      <c r="Q49" s="264" t="str">
        <f t="shared" si="2"/>
        <v>Д16х3</v>
      </c>
      <c r="R49" s="494">
        <f t="shared" si="14"/>
        <v>0.6</v>
      </c>
      <c r="S49" s="324">
        <v>0.5</v>
      </c>
      <c r="T49" s="353">
        <f t="shared" si="12"/>
        <v>0</v>
      </c>
      <c r="U49" s="20"/>
      <c r="V49" s="20">
        <f t="shared" si="13"/>
        <v>0</v>
      </c>
      <c r="W49" s="52">
        <f t="shared" si="15"/>
        <v>0</v>
      </c>
      <c r="X49" s="20"/>
    </row>
    <row r="50" spans="1:25" s="5" customFormat="1" ht="26.25" customHeight="1" x14ac:dyDescent="0.25">
      <c r="B50" s="11">
        <v>14</v>
      </c>
      <c r="C50" s="6" t="s">
        <v>18</v>
      </c>
      <c r="D50" s="23" t="s">
        <v>9</v>
      </c>
      <c r="E50" s="239" t="s">
        <v>315</v>
      </c>
      <c r="F50" s="208">
        <v>1094</v>
      </c>
      <c r="G50" s="12" t="s">
        <v>0</v>
      </c>
      <c r="H50" s="39">
        <v>1760</v>
      </c>
      <c r="I50" s="360">
        <v>338.32</v>
      </c>
      <c r="J50" s="39">
        <f t="shared" si="0"/>
        <v>0</v>
      </c>
      <c r="K50" s="309">
        <v>0.19</v>
      </c>
      <c r="L50" s="230"/>
      <c r="M50" s="89"/>
      <c r="N50" s="279"/>
      <c r="O50" s="39">
        <v>1760</v>
      </c>
      <c r="P50" s="309">
        <f>I50</f>
        <v>338.32</v>
      </c>
      <c r="Q50" s="235" t="str">
        <f t="shared" si="2"/>
        <v>Д20х3</v>
      </c>
      <c r="R50" s="377">
        <f t="shared" si="14"/>
        <v>0.24</v>
      </c>
      <c r="S50" s="323">
        <f>2000*0.0001</f>
        <v>0.2</v>
      </c>
      <c r="T50" s="353">
        <f t="shared" si="12"/>
        <v>0</v>
      </c>
      <c r="U50" s="20"/>
      <c r="V50" s="20">
        <f t="shared" si="13"/>
        <v>0</v>
      </c>
      <c r="W50" s="52">
        <f t="shared" si="15"/>
        <v>0</v>
      </c>
      <c r="X50" s="20"/>
    </row>
    <row r="51" spans="1:25" s="5" customFormat="1" ht="26.25" hidden="1" customHeight="1" x14ac:dyDescent="0.25">
      <c r="B51" s="11"/>
      <c r="C51" s="6" t="s">
        <v>18</v>
      </c>
      <c r="D51" s="23" t="s">
        <v>9</v>
      </c>
      <c r="E51" s="212" t="s">
        <v>490</v>
      </c>
      <c r="F51" s="385" t="s">
        <v>270</v>
      </c>
      <c r="G51" s="12" t="s">
        <v>0</v>
      </c>
      <c r="H51" s="39"/>
      <c r="I51" s="309">
        <v>0</v>
      </c>
      <c r="J51" s="39">
        <f t="shared" si="0"/>
        <v>0</v>
      </c>
      <c r="K51" s="309">
        <f>R51*0.8</f>
        <v>4.99</v>
      </c>
      <c r="L51" s="230"/>
      <c r="M51" s="89"/>
      <c r="N51" s="279"/>
      <c r="O51" s="39"/>
      <c r="P51" s="490">
        <f>K51*O51</f>
        <v>0</v>
      </c>
      <c r="Q51" s="264" t="str">
        <f t="shared" si="2"/>
        <v>Д40х9</v>
      </c>
      <c r="R51" s="377">
        <f t="shared" si="14"/>
        <v>6.24</v>
      </c>
      <c r="S51" s="323">
        <f>52000*0.0001</f>
        <v>5.2</v>
      </c>
      <c r="T51" s="353">
        <f t="shared" si="12"/>
        <v>0</v>
      </c>
      <c r="U51" s="20">
        <v>210</v>
      </c>
      <c r="V51" s="20">
        <f t="shared" si="13"/>
        <v>0</v>
      </c>
      <c r="W51" s="52">
        <f t="shared" si="15"/>
        <v>0</v>
      </c>
      <c r="X51" s="20">
        <v>210</v>
      </c>
    </row>
    <row r="52" spans="1:25" s="5" customFormat="1" ht="26.25" customHeight="1" x14ac:dyDescent="0.25">
      <c r="B52" s="11">
        <v>15</v>
      </c>
      <c r="C52" s="6" t="s">
        <v>18</v>
      </c>
      <c r="D52" s="23" t="s">
        <v>9</v>
      </c>
      <c r="E52" s="212" t="s">
        <v>455</v>
      </c>
      <c r="F52" s="383" t="s">
        <v>456</v>
      </c>
      <c r="G52" s="12" t="s">
        <v>0</v>
      </c>
      <c r="H52" s="39">
        <v>400</v>
      </c>
      <c r="I52" s="360">
        <v>691.2</v>
      </c>
      <c r="J52" s="39">
        <f t="shared" si="0"/>
        <v>0</v>
      </c>
      <c r="K52" s="309">
        <v>1.73</v>
      </c>
      <c r="L52" s="230"/>
      <c r="M52" s="89"/>
      <c r="N52" s="279"/>
      <c r="O52" s="39">
        <v>400</v>
      </c>
      <c r="P52" s="309">
        <f>I52</f>
        <v>691.2</v>
      </c>
      <c r="Q52" s="235" t="str">
        <f t="shared" si="2"/>
        <v>Д30х10</v>
      </c>
      <c r="R52" s="377">
        <f t="shared" si="14"/>
        <v>2.16</v>
      </c>
      <c r="S52" s="325">
        <f>18000*0.0001</f>
        <v>1.8</v>
      </c>
      <c r="T52" s="353">
        <f t="shared" si="12"/>
        <v>0</v>
      </c>
      <c r="U52" s="20"/>
      <c r="V52" s="20">
        <f t="shared" si="13"/>
        <v>0</v>
      </c>
      <c r="W52" s="52">
        <f t="shared" si="15"/>
        <v>0</v>
      </c>
      <c r="X52" s="20"/>
    </row>
    <row r="53" spans="1:25" s="4" customFormat="1" ht="26.25" hidden="1" customHeight="1" x14ac:dyDescent="0.25">
      <c r="A53" s="10"/>
      <c r="B53" s="11"/>
      <c r="C53" s="6" t="s">
        <v>18</v>
      </c>
      <c r="D53" s="23" t="s">
        <v>9</v>
      </c>
      <c r="E53" s="239" t="s">
        <v>661</v>
      </c>
      <c r="F53" s="270">
        <v>1131</v>
      </c>
      <c r="G53" s="12" t="s">
        <v>0</v>
      </c>
      <c r="H53" s="39"/>
      <c r="I53" s="309">
        <v>0</v>
      </c>
      <c r="J53" s="39">
        <f t="shared" si="0"/>
        <v>0</v>
      </c>
      <c r="K53" s="309">
        <f>R53*0.8</f>
        <v>19.2</v>
      </c>
      <c r="L53" s="230"/>
      <c r="M53" s="64"/>
      <c r="N53" s="279"/>
      <c r="O53" s="39"/>
      <c r="P53" s="490">
        <f t="shared" ref="P53:P63" si="16">K53*O53</f>
        <v>0</v>
      </c>
      <c r="Q53" s="262"/>
      <c r="R53" s="377">
        <f t="shared" si="14"/>
        <v>24</v>
      </c>
      <c r="S53" s="320">
        <f>200000*0.0001</f>
        <v>20</v>
      </c>
      <c r="T53" s="353">
        <f t="shared" si="12"/>
        <v>0</v>
      </c>
      <c r="U53" s="148">
        <v>1250</v>
      </c>
      <c r="V53" s="20">
        <f t="shared" si="13"/>
        <v>0</v>
      </c>
      <c r="W53" s="52">
        <f t="shared" si="15"/>
        <v>0</v>
      </c>
      <c r="X53" s="20">
        <v>1250</v>
      </c>
    </row>
    <row r="54" spans="1:25" s="4" customFormat="1" ht="26.25" hidden="1" customHeight="1" x14ac:dyDescent="0.25">
      <c r="A54" s="10"/>
      <c r="B54" s="14"/>
      <c r="C54" s="6" t="s">
        <v>18</v>
      </c>
      <c r="D54" s="23" t="s">
        <v>9</v>
      </c>
      <c r="E54" s="212"/>
      <c r="F54" s="385"/>
      <c r="G54" s="12" t="s">
        <v>0</v>
      </c>
      <c r="H54" s="39"/>
      <c r="I54" s="309">
        <v>0</v>
      </c>
      <c r="J54" s="39">
        <f t="shared" si="0"/>
        <v>0</v>
      </c>
      <c r="K54" s="309">
        <f>R54*0.8</f>
        <v>0.48</v>
      </c>
      <c r="L54" s="230">
        <f>K54*J352</f>
        <v>0</v>
      </c>
      <c r="M54" s="42"/>
      <c r="N54" s="279"/>
      <c r="O54" s="39"/>
      <c r="P54" s="309">
        <f t="shared" si="16"/>
        <v>0</v>
      </c>
      <c r="Q54" s="263">
        <f t="shared" ref="Q54:Q117" si="17">E54</f>
        <v>0</v>
      </c>
      <c r="R54" s="377">
        <f t="shared" si="14"/>
        <v>0.6</v>
      </c>
      <c r="S54" s="322">
        <f>0.0001*5000</f>
        <v>0.5</v>
      </c>
      <c r="T54" s="353">
        <f t="shared" si="12"/>
        <v>0</v>
      </c>
      <c r="U54" s="147">
        <v>1250</v>
      </c>
      <c r="V54" s="20">
        <f t="shared" si="13"/>
        <v>0</v>
      </c>
      <c r="W54" s="52">
        <f t="shared" si="15"/>
        <v>-1250</v>
      </c>
      <c r="X54" s="18"/>
    </row>
    <row r="55" spans="1:25" ht="26.25" hidden="1" customHeight="1" x14ac:dyDescent="0.25">
      <c r="B55" s="15"/>
      <c r="C55" s="6" t="s">
        <v>18</v>
      </c>
      <c r="D55" s="23" t="s">
        <v>9</v>
      </c>
      <c r="E55" s="87" t="s">
        <v>507</v>
      </c>
      <c r="F55" s="208" t="s">
        <v>184</v>
      </c>
      <c r="G55" s="48" t="s">
        <v>0</v>
      </c>
      <c r="H55" s="39"/>
      <c r="I55" s="360">
        <v>0</v>
      </c>
      <c r="J55" s="39">
        <f t="shared" si="0"/>
        <v>0</v>
      </c>
      <c r="K55" s="309">
        <v>0.39</v>
      </c>
      <c r="L55" s="230">
        <f>K55*J353</f>
        <v>0</v>
      </c>
      <c r="M55" s="155" t="s">
        <v>801</v>
      </c>
      <c r="N55" s="279"/>
      <c r="O55" s="503"/>
      <c r="P55" s="309">
        <f t="shared" si="16"/>
        <v>0</v>
      </c>
      <c r="Q55" s="235" t="str">
        <f t="shared" si="17"/>
        <v>П2х3.5х3.8 DFM</v>
      </c>
      <c r="R55" s="306">
        <f t="shared" si="14"/>
        <v>0.49</v>
      </c>
      <c r="S55" s="319">
        <f>4060*0.0001</f>
        <v>0.41</v>
      </c>
      <c r="T55" s="353">
        <f t="shared" si="12"/>
        <v>0</v>
      </c>
      <c r="U55" s="20">
        <v>31000</v>
      </c>
      <c r="V55" s="20">
        <f t="shared" si="13"/>
        <v>0</v>
      </c>
      <c r="W55" s="52">
        <f t="shared" si="15"/>
        <v>0</v>
      </c>
      <c r="X55" s="20">
        <v>31000</v>
      </c>
      <c r="Y55" s="10">
        <v>20000</v>
      </c>
    </row>
    <row r="56" spans="1:25" ht="26.25" hidden="1" customHeight="1" x14ac:dyDescent="0.25">
      <c r="B56" s="15"/>
      <c r="C56" s="6" t="s">
        <v>18</v>
      </c>
      <c r="D56" s="23" t="s">
        <v>9</v>
      </c>
      <c r="E56" s="87" t="s">
        <v>390</v>
      </c>
      <c r="F56" s="208">
        <v>1464</v>
      </c>
      <c r="G56" s="48" t="s">
        <v>0</v>
      </c>
      <c r="H56" s="39"/>
      <c r="I56" s="360">
        <v>0</v>
      </c>
      <c r="J56" s="39">
        <f t="shared" si="0"/>
        <v>0</v>
      </c>
      <c r="K56" s="309">
        <f t="shared" ref="K56:K63" si="18">R56*0.8</f>
        <v>1.06</v>
      </c>
      <c r="L56" s="230"/>
      <c r="M56" s="456" t="s">
        <v>739</v>
      </c>
      <c r="N56" s="279"/>
      <c r="O56" s="503"/>
      <c r="P56" s="309">
        <f t="shared" si="16"/>
        <v>0</v>
      </c>
      <c r="Q56" s="235" t="str">
        <f t="shared" si="17"/>
        <v xml:space="preserve">П3,5х2х4 </v>
      </c>
      <c r="R56" s="306">
        <f t="shared" si="14"/>
        <v>1.32</v>
      </c>
      <c r="S56" s="319">
        <v>1.1000000000000001</v>
      </c>
      <c r="T56" s="353">
        <f t="shared" si="12"/>
        <v>0</v>
      </c>
      <c r="U56" s="20"/>
      <c r="V56" s="20">
        <f t="shared" si="13"/>
        <v>0</v>
      </c>
      <c r="W56" s="52"/>
      <c r="X56" s="20"/>
    </row>
    <row r="57" spans="1:25" ht="26.25" customHeight="1" x14ac:dyDescent="0.25">
      <c r="B57" s="11">
        <v>16</v>
      </c>
      <c r="C57" s="6" t="s">
        <v>18</v>
      </c>
      <c r="D57" s="23" t="s">
        <v>9</v>
      </c>
      <c r="E57" s="237" t="s">
        <v>90</v>
      </c>
      <c r="F57" s="208">
        <v>403</v>
      </c>
      <c r="G57" s="48" t="s">
        <v>0</v>
      </c>
      <c r="H57" s="39"/>
      <c r="I57" s="360">
        <v>0</v>
      </c>
      <c r="J57" s="39">
        <f t="shared" si="0"/>
        <v>900</v>
      </c>
      <c r="K57" s="309">
        <f t="shared" si="18"/>
        <v>0.68</v>
      </c>
      <c r="L57" s="230">
        <f>K57*J354</f>
        <v>0</v>
      </c>
      <c r="M57" s="292"/>
      <c r="N57" s="279">
        <v>900</v>
      </c>
      <c r="O57" s="503"/>
      <c r="P57" s="309">
        <f t="shared" si="16"/>
        <v>0</v>
      </c>
      <c r="Q57" s="235" t="str">
        <f t="shared" si="17"/>
        <v>П4,8х4х3,8 ЭПГ110.150</v>
      </c>
      <c r="R57" s="306">
        <f t="shared" si="14"/>
        <v>0.85</v>
      </c>
      <c r="S57" s="320">
        <v>0.71</v>
      </c>
      <c r="T57" s="353">
        <f t="shared" si="12"/>
        <v>639</v>
      </c>
      <c r="U57" s="20">
        <f>7680-118</f>
        <v>7562</v>
      </c>
      <c r="V57" s="20">
        <f t="shared" si="13"/>
        <v>900</v>
      </c>
      <c r="W57" s="52">
        <f t="shared" ref="W57:W65" si="19">X57-U57+V57</f>
        <v>0</v>
      </c>
      <c r="X57" s="148">
        <f>7680-118-900</f>
        <v>6662</v>
      </c>
    </row>
    <row r="58" spans="1:25" ht="26.25" hidden="1" customHeight="1" x14ac:dyDescent="0.25">
      <c r="B58" s="11"/>
      <c r="C58" s="6" t="s">
        <v>18</v>
      </c>
      <c r="D58" s="23" t="s">
        <v>9</v>
      </c>
      <c r="E58" s="87" t="s">
        <v>552</v>
      </c>
      <c r="F58" s="208">
        <v>1353</v>
      </c>
      <c r="G58" s="48"/>
      <c r="H58" s="39"/>
      <c r="I58" s="360">
        <v>0</v>
      </c>
      <c r="J58" s="39">
        <f t="shared" si="0"/>
        <v>0</v>
      </c>
      <c r="K58" s="309">
        <f t="shared" si="18"/>
        <v>15.36</v>
      </c>
      <c r="L58" s="230"/>
      <c r="M58" s="213"/>
      <c r="N58" s="279"/>
      <c r="O58" s="39"/>
      <c r="P58" s="467">
        <f t="shared" si="16"/>
        <v>0</v>
      </c>
      <c r="Q58" s="441" t="str">
        <f t="shared" si="17"/>
        <v>П5,5х1,5х5,5</v>
      </c>
      <c r="R58" s="306">
        <f t="shared" si="14"/>
        <v>19.2</v>
      </c>
      <c r="S58" s="320">
        <v>16</v>
      </c>
      <c r="T58" s="353">
        <f t="shared" si="12"/>
        <v>0</v>
      </c>
      <c r="U58" s="20"/>
      <c r="V58" s="20">
        <f t="shared" si="13"/>
        <v>0</v>
      </c>
      <c r="W58" s="52">
        <f t="shared" si="19"/>
        <v>0</v>
      </c>
      <c r="X58" s="20"/>
    </row>
    <row r="59" spans="1:25" ht="26.25" hidden="1" customHeight="1" x14ac:dyDescent="0.25">
      <c r="B59" s="11"/>
      <c r="C59" s="6" t="s">
        <v>18</v>
      </c>
      <c r="D59" s="23" t="s">
        <v>9</v>
      </c>
      <c r="E59" s="87" t="s">
        <v>553</v>
      </c>
      <c r="F59" s="208">
        <v>1353</v>
      </c>
      <c r="G59" s="48"/>
      <c r="H59" s="39"/>
      <c r="I59" s="360">
        <v>0</v>
      </c>
      <c r="J59" s="39">
        <f t="shared" si="0"/>
        <v>0</v>
      </c>
      <c r="K59" s="309">
        <f t="shared" si="18"/>
        <v>15.36</v>
      </c>
      <c r="L59" s="230"/>
      <c r="M59" s="213"/>
      <c r="N59" s="279"/>
      <c r="O59" s="39"/>
      <c r="P59" s="360">
        <f t="shared" si="16"/>
        <v>0</v>
      </c>
      <c r="Q59" s="51" t="str">
        <f t="shared" si="17"/>
        <v>П5,5х2х5,5</v>
      </c>
      <c r="R59" s="306">
        <f t="shared" si="14"/>
        <v>19.2</v>
      </c>
      <c r="S59" s="320">
        <v>16</v>
      </c>
      <c r="T59" s="353">
        <f t="shared" si="12"/>
        <v>0</v>
      </c>
      <c r="U59" s="20"/>
      <c r="V59" s="20">
        <f t="shared" si="13"/>
        <v>0</v>
      </c>
      <c r="W59" s="52">
        <f t="shared" si="19"/>
        <v>0</v>
      </c>
      <c r="X59" s="20"/>
    </row>
    <row r="60" spans="1:25" ht="26.25" hidden="1" customHeight="1" x14ac:dyDescent="0.25">
      <c r="B60" s="11"/>
      <c r="C60" s="6" t="s">
        <v>18</v>
      </c>
      <c r="D60" s="23" t="s">
        <v>9</v>
      </c>
      <c r="E60" s="87" t="s">
        <v>554</v>
      </c>
      <c r="F60" s="208">
        <v>1353</v>
      </c>
      <c r="G60" s="48"/>
      <c r="H60" s="39"/>
      <c r="I60" s="360">
        <v>0</v>
      </c>
      <c r="J60" s="39">
        <f t="shared" si="0"/>
        <v>0</v>
      </c>
      <c r="K60" s="309">
        <f t="shared" si="18"/>
        <v>15.36</v>
      </c>
      <c r="L60" s="230"/>
      <c r="M60" s="213"/>
      <c r="N60" s="279"/>
      <c r="O60" s="39"/>
      <c r="P60" s="360">
        <f t="shared" si="16"/>
        <v>0</v>
      </c>
      <c r="Q60" s="442" t="str">
        <f t="shared" si="17"/>
        <v>П5,5х2,5х5,5</v>
      </c>
      <c r="R60" s="306">
        <f t="shared" si="14"/>
        <v>19.2</v>
      </c>
      <c r="S60" s="320">
        <v>16</v>
      </c>
      <c r="T60" s="353">
        <f t="shared" si="12"/>
        <v>0</v>
      </c>
      <c r="U60" s="20"/>
      <c r="V60" s="20">
        <f t="shared" si="13"/>
        <v>0</v>
      </c>
      <c r="W60" s="52">
        <f t="shared" si="19"/>
        <v>0</v>
      </c>
      <c r="X60" s="20"/>
    </row>
    <row r="61" spans="1:25" ht="26.25" hidden="1" customHeight="1" x14ac:dyDescent="0.25">
      <c r="B61" s="11"/>
      <c r="C61" s="6" t="s">
        <v>18</v>
      </c>
      <c r="D61" s="23" t="s">
        <v>9</v>
      </c>
      <c r="E61" s="237" t="s">
        <v>323</v>
      </c>
      <c r="F61" s="208">
        <v>997</v>
      </c>
      <c r="G61" s="48"/>
      <c r="H61" s="39"/>
      <c r="I61" s="360">
        <v>0</v>
      </c>
      <c r="J61" s="39">
        <f t="shared" si="0"/>
        <v>0</v>
      </c>
      <c r="K61" s="309">
        <f t="shared" si="18"/>
        <v>0.9</v>
      </c>
      <c r="L61" s="230">
        <f>K61*J358</f>
        <v>0</v>
      </c>
      <c r="M61" s="233"/>
      <c r="N61" s="279"/>
      <c r="O61" s="503"/>
      <c r="P61" s="309">
        <f t="shared" si="16"/>
        <v>0</v>
      </c>
      <c r="Q61" s="235" t="str">
        <f t="shared" si="17"/>
        <v>П5х5х4</v>
      </c>
      <c r="R61" s="306">
        <f t="shared" si="14"/>
        <v>1.1200000000000001</v>
      </c>
      <c r="S61" s="320">
        <v>0.93</v>
      </c>
      <c r="T61" s="353">
        <f t="shared" si="12"/>
        <v>0</v>
      </c>
      <c r="U61" s="20">
        <v>3157</v>
      </c>
      <c r="V61" s="20">
        <f t="shared" si="13"/>
        <v>0</v>
      </c>
      <c r="W61" s="52">
        <f t="shared" si="19"/>
        <v>0</v>
      </c>
      <c r="X61" s="20">
        <v>3157</v>
      </c>
    </row>
    <row r="62" spans="1:25" ht="26.25" hidden="1" customHeight="1" x14ac:dyDescent="0.25">
      <c r="B62" s="11"/>
      <c r="C62" s="6" t="s">
        <v>18</v>
      </c>
      <c r="D62" s="23" t="s">
        <v>9</v>
      </c>
      <c r="E62" s="237" t="s">
        <v>324</v>
      </c>
      <c r="F62" s="384">
        <v>996</v>
      </c>
      <c r="G62" s="48"/>
      <c r="H62" s="39"/>
      <c r="I62" s="360">
        <v>0</v>
      </c>
      <c r="J62" s="39">
        <f t="shared" si="0"/>
        <v>0</v>
      </c>
      <c r="K62" s="309">
        <f t="shared" si="18"/>
        <v>0.86</v>
      </c>
      <c r="L62" s="230"/>
      <c r="M62" s="213"/>
      <c r="N62" s="279"/>
      <c r="O62" s="39"/>
      <c r="P62" s="469">
        <f t="shared" si="16"/>
        <v>0</v>
      </c>
      <c r="Q62" s="264" t="str">
        <f t="shared" si="17"/>
        <v>П5х5х5</v>
      </c>
      <c r="R62" s="306">
        <f t="shared" si="14"/>
        <v>1.08</v>
      </c>
      <c r="S62" s="320">
        <v>0.9</v>
      </c>
      <c r="T62" s="353">
        <f t="shared" si="12"/>
        <v>0</v>
      </c>
      <c r="U62" s="20">
        <v>76</v>
      </c>
      <c r="V62" s="20">
        <f t="shared" si="13"/>
        <v>0</v>
      </c>
      <c r="W62" s="52">
        <f t="shared" si="19"/>
        <v>0</v>
      </c>
      <c r="X62" s="20">
        <v>76</v>
      </c>
    </row>
    <row r="63" spans="1:25" ht="26.25" hidden="1" customHeight="1" x14ac:dyDescent="0.25">
      <c r="B63" s="11"/>
      <c r="C63" s="6" t="s">
        <v>18</v>
      </c>
      <c r="D63" s="23" t="s">
        <v>9</v>
      </c>
      <c r="E63" s="237" t="s">
        <v>489</v>
      </c>
      <c r="F63" s="208">
        <v>505</v>
      </c>
      <c r="G63" s="12" t="s">
        <v>0</v>
      </c>
      <c r="H63" s="39"/>
      <c r="I63" s="360">
        <v>0</v>
      </c>
      <c r="J63" s="39">
        <f t="shared" si="0"/>
        <v>0</v>
      </c>
      <c r="K63" s="309">
        <f t="shared" si="18"/>
        <v>0.28000000000000003</v>
      </c>
      <c r="L63" s="230">
        <f>K63*J360</f>
        <v>0</v>
      </c>
      <c r="M63" s="233" t="s">
        <v>866</v>
      </c>
      <c r="N63" s="279"/>
      <c r="O63" s="503"/>
      <c r="P63" s="309">
        <f t="shared" si="16"/>
        <v>0</v>
      </c>
      <c r="Q63" s="235" t="str">
        <f t="shared" si="17"/>
        <v>П 5х5х20 (ЭПГ110.156)</v>
      </c>
      <c r="R63" s="306">
        <f t="shared" si="14"/>
        <v>0.35</v>
      </c>
      <c r="S63" s="320">
        <v>0.28999999999999998</v>
      </c>
      <c r="T63" s="353">
        <f t="shared" si="12"/>
        <v>0</v>
      </c>
      <c r="U63" s="70"/>
      <c r="V63" s="20">
        <f t="shared" si="13"/>
        <v>0</v>
      </c>
      <c r="W63" s="52">
        <f t="shared" si="19"/>
        <v>0</v>
      </c>
      <c r="X63" s="20"/>
    </row>
    <row r="64" spans="1:25" ht="26.25" hidden="1" customHeight="1" x14ac:dyDescent="0.25">
      <c r="B64" s="11"/>
      <c r="C64" s="6" t="s">
        <v>18</v>
      </c>
      <c r="D64" s="23" t="s">
        <v>9</v>
      </c>
      <c r="E64" s="237" t="s">
        <v>646</v>
      </c>
      <c r="F64" s="390">
        <v>922</v>
      </c>
      <c r="G64" s="48"/>
      <c r="H64" s="39"/>
      <c r="I64" s="360"/>
      <c r="J64" s="39">
        <f t="shared" si="0"/>
        <v>0</v>
      </c>
      <c r="K64" s="309">
        <f>S64*0.8</f>
        <v>0.76</v>
      </c>
      <c r="L64" s="230"/>
      <c r="M64" s="233"/>
      <c r="N64" s="279"/>
      <c r="O64" s="39"/>
      <c r="P64" s="467"/>
      <c r="Q64" s="51" t="str">
        <f t="shared" si="17"/>
        <v>П17х8х7</v>
      </c>
      <c r="R64" s="306">
        <f t="shared" si="14"/>
        <v>1.1399999999999999</v>
      </c>
      <c r="S64" s="320">
        <v>0.95</v>
      </c>
      <c r="T64" s="353">
        <f t="shared" si="12"/>
        <v>0</v>
      </c>
      <c r="U64" s="148">
        <v>20000</v>
      </c>
      <c r="V64" s="20">
        <f t="shared" si="13"/>
        <v>0</v>
      </c>
      <c r="W64" s="52">
        <f t="shared" si="19"/>
        <v>0</v>
      </c>
      <c r="X64" s="444">
        <v>20000</v>
      </c>
    </row>
    <row r="65" spans="1:41" ht="26.25" customHeight="1" x14ac:dyDescent="0.25">
      <c r="B65" s="14">
        <v>17</v>
      </c>
      <c r="C65" s="6" t="s">
        <v>18</v>
      </c>
      <c r="D65" s="23" t="s">
        <v>9</v>
      </c>
      <c r="E65" s="237" t="s">
        <v>508</v>
      </c>
      <c r="F65" s="208">
        <v>1239</v>
      </c>
      <c r="G65" s="12" t="s">
        <v>0</v>
      </c>
      <c r="H65" s="39">
        <v>1000</v>
      </c>
      <c r="I65" s="360">
        <v>200</v>
      </c>
      <c r="J65" s="39">
        <f t="shared" si="0"/>
        <v>0</v>
      </c>
      <c r="K65" s="309">
        <f t="shared" ref="K65:K71" si="20">R65*0.8</f>
        <v>0.2</v>
      </c>
      <c r="L65" s="230">
        <f>K65*J362</f>
        <v>0</v>
      </c>
      <c r="M65" s="205" t="s">
        <v>677</v>
      </c>
      <c r="N65" s="279"/>
      <c r="O65" s="39">
        <v>1000</v>
      </c>
      <c r="P65" s="309">
        <f t="shared" ref="P65:P71" si="21">K65*O65</f>
        <v>200</v>
      </c>
      <c r="Q65" s="235" t="str">
        <f t="shared" si="17"/>
        <v>П7х8х17</v>
      </c>
      <c r="R65" s="306">
        <f t="shared" si="14"/>
        <v>0.25</v>
      </c>
      <c r="S65" s="320">
        <v>0.21</v>
      </c>
      <c r="T65" s="353">
        <f t="shared" si="12"/>
        <v>0</v>
      </c>
      <c r="U65" s="148">
        <v>316</v>
      </c>
      <c r="V65" s="20">
        <f t="shared" si="13"/>
        <v>0</v>
      </c>
      <c r="W65" s="52">
        <f t="shared" si="19"/>
        <v>0</v>
      </c>
      <c r="X65" s="20">
        <v>316</v>
      </c>
    </row>
    <row r="66" spans="1:41" ht="26.25" hidden="1" customHeight="1" x14ac:dyDescent="0.25">
      <c r="B66" s="14"/>
      <c r="C66" s="6" t="s">
        <v>18</v>
      </c>
      <c r="D66" s="23" t="s">
        <v>9</v>
      </c>
      <c r="E66" s="237" t="s">
        <v>604</v>
      </c>
      <c r="F66" s="382">
        <v>922</v>
      </c>
      <c r="G66" s="48"/>
      <c r="H66" s="39"/>
      <c r="I66" s="360">
        <v>0</v>
      </c>
      <c r="J66" s="39">
        <f t="shared" si="0"/>
        <v>0</v>
      </c>
      <c r="K66" s="309">
        <f t="shared" si="20"/>
        <v>0.91</v>
      </c>
      <c r="L66" s="230"/>
      <c r="M66" s="205"/>
      <c r="N66" s="279"/>
      <c r="O66" s="503"/>
      <c r="P66" s="309">
        <f t="shared" si="21"/>
        <v>0</v>
      </c>
      <c r="Q66" s="235" t="str">
        <f t="shared" si="17"/>
        <v>П7х7х17</v>
      </c>
      <c r="R66" s="306">
        <f t="shared" si="14"/>
        <v>1.1399999999999999</v>
      </c>
      <c r="S66" s="320">
        <v>0.95</v>
      </c>
      <c r="T66" s="353">
        <f t="shared" si="12"/>
        <v>0</v>
      </c>
      <c r="U66" s="148">
        <f>145+200</f>
        <v>345</v>
      </c>
      <c r="V66" s="20">
        <f t="shared" si="13"/>
        <v>0</v>
      </c>
      <c r="W66" s="52"/>
      <c r="X66" s="20">
        <f>145+200</f>
        <v>345</v>
      </c>
    </row>
    <row r="67" spans="1:41" ht="26.25" customHeight="1" x14ac:dyDescent="0.25">
      <c r="B67" s="11">
        <v>18</v>
      </c>
      <c r="C67" s="6" t="s">
        <v>18</v>
      </c>
      <c r="D67" s="23" t="s">
        <v>9</v>
      </c>
      <c r="E67" s="237" t="s">
        <v>100</v>
      </c>
      <c r="F67" s="208">
        <v>579</v>
      </c>
      <c r="G67" s="12" t="s">
        <v>0</v>
      </c>
      <c r="H67" s="39"/>
      <c r="I67" s="360">
        <v>0</v>
      </c>
      <c r="J67" s="39">
        <f t="shared" si="0"/>
        <v>500</v>
      </c>
      <c r="K67" s="309">
        <f t="shared" si="20"/>
        <v>0.54</v>
      </c>
      <c r="L67" s="230">
        <f>K67*J364</f>
        <v>0</v>
      </c>
      <c r="M67" s="218" t="s">
        <v>939</v>
      </c>
      <c r="N67" s="279">
        <v>500</v>
      </c>
      <c r="O67" s="503"/>
      <c r="P67" s="309">
        <f t="shared" si="21"/>
        <v>0</v>
      </c>
      <c r="Q67" s="235" t="str">
        <f t="shared" si="17"/>
        <v>П10х10х7</v>
      </c>
      <c r="R67" s="306">
        <f t="shared" si="14"/>
        <v>0.68</v>
      </c>
      <c r="S67" s="319">
        <v>0.56999999999999995</v>
      </c>
      <c r="T67" s="353">
        <f t="shared" si="12"/>
        <v>285</v>
      </c>
      <c r="U67" s="148">
        <v>512</v>
      </c>
      <c r="V67" s="20">
        <f t="shared" si="13"/>
        <v>500</v>
      </c>
      <c r="W67" s="52">
        <f t="shared" ref="W67:W110" si="22">X67-U67+V67</f>
        <v>500</v>
      </c>
      <c r="X67" s="20">
        <v>512</v>
      </c>
    </row>
    <row r="68" spans="1:41" s="5" customFormat="1" ht="26.25" customHeight="1" x14ac:dyDescent="0.25">
      <c r="B68" s="11">
        <v>19</v>
      </c>
      <c r="C68" s="6" t="s">
        <v>18</v>
      </c>
      <c r="D68" s="23" t="s">
        <v>9</v>
      </c>
      <c r="E68" s="239" t="s">
        <v>330</v>
      </c>
      <c r="F68" s="526">
        <v>1323</v>
      </c>
      <c r="G68" s="12" t="s">
        <v>0</v>
      </c>
      <c r="H68" s="39">
        <v>180</v>
      </c>
      <c r="I68" s="360">
        <v>432</v>
      </c>
      <c r="J68" s="39">
        <f t="shared" si="0"/>
        <v>0</v>
      </c>
      <c r="K68" s="309">
        <f t="shared" si="20"/>
        <v>2.4</v>
      </c>
      <c r="L68" s="230"/>
      <c r="M68" s="205"/>
      <c r="N68" s="279"/>
      <c r="O68" s="39">
        <v>180</v>
      </c>
      <c r="P68" s="309">
        <f t="shared" si="21"/>
        <v>432</v>
      </c>
      <c r="Q68" s="235" t="str">
        <f t="shared" si="17"/>
        <v>П15х9х5</v>
      </c>
      <c r="R68" s="306">
        <f t="shared" si="14"/>
        <v>3</v>
      </c>
      <c r="S68" s="331">
        <v>2.5</v>
      </c>
      <c r="T68" s="353">
        <f t="shared" si="12"/>
        <v>0</v>
      </c>
      <c r="U68" s="148">
        <v>95</v>
      </c>
      <c r="V68" s="20">
        <f t="shared" si="13"/>
        <v>0</v>
      </c>
      <c r="W68" s="52">
        <f t="shared" si="22"/>
        <v>0</v>
      </c>
      <c r="X68" s="20">
        <v>95</v>
      </c>
    </row>
    <row r="69" spans="1:41" ht="26.25" hidden="1" customHeight="1" x14ac:dyDescent="0.25">
      <c r="B69" s="11"/>
      <c r="C69" s="6" t="s">
        <v>18</v>
      </c>
      <c r="D69" s="23" t="s">
        <v>9</v>
      </c>
      <c r="E69" s="239" t="s">
        <v>217</v>
      </c>
      <c r="F69" s="211" t="s">
        <v>126</v>
      </c>
      <c r="G69" s="12" t="s">
        <v>0</v>
      </c>
      <c r="H69" s="39"/>
      <c r="I69" s="360">
        <v>0</v>
      </c>
      <c r="J69" s="39">
        <f t="shared" si="0"/>
        <v>0</v>
      </c>
      <c r="K69" s="309">
        <f t="shared" si="20"/>
        <v>0.14000000000000001</v>
      </c>
      <c r="L69" s="230">
        <f>K69*J366</f>
        <v>0</v>
      </c>
      <c r="M69" s="535"/>
      <c r="N69" s="279"/>
      <c r="O69" s="39"/>
      <c r="P69" s="469">
        <f t="shared" si="21"/>
        <v>0</v>
      </c>
      <c r="Q69" s="443" t="str">
        <f t="shared" si="17"/>
        <v>П24х10х5 (Метиз)</v>
      </c>
      <c r="R69" s="377">
        <f t="shared" si="14"/>
        <v>0.17</v>
      </c>
      <c r="S69" s="320">
        <v>0.14000000000000001</v>
      </c>
      <c r="T69" s="353">
        <f t="shared" si="12"/>
        <v>0</v>
      </c>
      <c r="U69" s="20"/>
      <c r="V69" s="20">
        <f t="shared" si="13"/>
        <v>0</v>
      </c>
      <c r="W69" s="52">
        <f t="shared" si="22"/>
        <v>0</v>
      </c>
      <c r="X69" s="20"/>
    </row>
    <row r="70" spans="1:41" ht="26.25" customHeight="1" x14ac:dyDescent="0.25">
      <c r="B70" s="11">
        <v>20</v>
      </c>
      <c r="C70" s="6" t="s">
        <v>18</v>
      </c>
      <c r="D70" s="23" t="s">
        <v>9</v>
      </c>
      <c r="E70" s="237" t="s">
        <v>5</v>
      </c>
      <c r="F70" s="208" t="s">
        <v>43</v>
      </c>
      <c r="G70" s="12" t="s">
        <v>0</v>
      </c>
      <c r="H70" s="39">
        <v>9800</v>
      </c>
      <c r="I70" s="360">
        <v>1078</v>
      </c>
      <c r="J70" s="39">
        <f t="shared" ref="J70:J133" si="23">N70+O70-H70</f>
        <v>0</v>
      </c>
      <c r="K70" s="309">
        <f t="shared" si="20"/>
        <v>0.11</v>
      </c>
      <c r="L70" s="230">
        <f>K70*J367</f>
        <v>0</v>
      </c>
      <c r="M70" s="233" t="s">
        <v>802</v>
      </c>
      <c r="N70" s="280">
        <v>9800</v>
      </c>
      <c r="O70" s="503"/>
      <c r="P70" s="309">
        <f t="shared" si="21"/>
        <v>0</v>
      </c>
      <c r="Q70" s="235" t="str">
        <f t="shared" si="17"/>
        <v>МЛП 1б-04</v>
      </c>
      <c r="R70" s="306">
        <f t="shared" si="14"/>
        <v>0.14000000000000001</v>
      </c>
      <c r="S70" s="319">
        <f>1200*0.0001</f>
        <v>0.12</v>
      </c>
      <c r="T70" s="353">
        <f t="shared" si="12"/>
        <v>0</v>
      </c>
      <c r="U70" s="148">
        <f>5*1960+100000</f>
        <v>109800</v>
      </c>
      <c r="V70" s="20">
        <f t="shared" ref="V70:V101" si="24">N70</f>
        <v>9800</v>
      </c>
      <c r="W70" s="52">
        <f t="shared" si="22"/>
        <v>9800</v>
      </c>
      <c r="X70" s="444">
        <f>5*1960+100000</f>
        <v>109800</v>
      </c>
      <c r="Y70" s="10">
        <f>5244*17</f>
        <v>89148</v>
      </c>
    </row>
    <row r="71" spans="1:41" ht="26.25" hidden="1" customHeight="1" x14ac:dyDescent="0.25">
      <c r="B71" s="14"/>
      <c r="C71" s="6" t="s">
        <v>18</v>
      </c>
      <c r="D71" s="23" t="s">
        <v>9</v>
      </c>
      <c r="E71" s="43" t="s">
        <v>167</v>
      </c>
      <c r="F71" s="208" t="s">
        <v>179</v>
      </c>
      <c r="G71" s="48" t="s">
        <v>0</v>
      </c>
      <c r="H71" s="39"/>
      <c r="I71" s="309">
        <v>0</v>
      </c>
      <c r="J71" s="39">
        <f t="shared" si="23"/>
        <v>0</v>
      </c>
      <c r="K71" s="309">
        <f t="shared" si="20"/>
        <v>0.11</v>
      </c>
      <c r="L71" s="230">
        <f>K71*J368</f>
        <v>0</v>
      </c>
      <c r="M71" s="89" t="s">
        <v>454</v>
      </c>
      <c r="N71" s="279"/>
      <c r="O71" s="39"/>
      <c r="P71" s="490">
        <f t="shared" si="21"/>
        <v>0</v>
      </c>
      <c r="Q71" s="264" t="str">
        <f t="shared" si="17"/>
        <v>ЭПГ110.166 (16х15х12)</v>
      </c>
      <c r="R71" s="377">
        <f>S71*1.2</f>
        <v>0.14000000000000001</v>
      </c>
      <c r="S71" s="332">
        <f>1200*0.0001</f>
        <v>0.12</v>
      </c>
      <c r="T71" s="353">
        <f t="shared" ref="T71:T101" si="25">S71*J71</f>
        <v>0</v>
      </c>
      <c r="U71" s="70">
        <f>77*600</f>
        <v>46200</v>
      </c>
      <c r="V71" s="20">
        <f t="shared" si="24"/>
        <v>0</v>
      </c>
      <c r="W71" s="52">
        <f t="shared" si="22"/>
        <v>0</v>
      </c>
      <c r="X71" s="20">
        <f>77*600</f>
        <v>46200</v>
      </c>
    </row>
    <row r="72" spans="1:41" ht="26.25" customHeight="1" x14ac:dyDescent="0.25">
      <c r="B72" s="11">
        <v>21</v>
      </c>
      <c r="C72" s="6" t="s">
        <v>18</v>
      </c>
      <c r="D72" s="23" t="s">
        <v>9</v>
      </c>
      <c r="E72" s="238" t="s">
        <v>250</v>
      </c>
      <c r="F72" s="383">
        <v>998</v>
      </c>
      <c r="G72" s="12" t="s">
        <v>0</v>
      </c>
      <c r="H72" s="39">
        <v>3920</v>
      </c>
      <c r="I72" s="360">
        <v>376.32</v>
      </c>
      <c r="J72" s="39">
        <f t="shared" si="23"/>
        <v>0</v>
      </c>
      <c r="K72" s="309">
        <v>0.1</v>
      </c>
      <c r="L72" s="230">
        <f>K72*J369</f>
        <v>0</v>
      </c>
      <c r="M72" s="91"/>
      <c r="N72" s="279"/>
      <c r="O72" s="39">
        <v>3920</v>
      </c>
      <c r="P72" s="497">
        <f>I72</f>
        <v>376.32</v>
      </c>
      <c r="Q72" s="263" t="str">
        <f t="shared" si="17"/>
        <v>П24х10х5,6</v>
      </c>
      <c r="R72" s="377">
        <f>S72*1.2</f>
        <v>0.12</v>
      </c>
      <c r="S72" s="319">
        <f>1000*0.0001</f>
        <v>0.1</v>
      </c>
      <c r="T72" s="353">
        <f t="shared" si="25"/>
        <v>0</v>
      </c>
      <c r="U72" s="148">
        <v>1960</v>
      </c>
      <c r="V72" s="20">
        <f t="shared" si="24"/>
        <v>0</v>
      </c>
      <c r="W72" s="52">
        <f t="shared" si="22"/>
        <v>0</v>
      </c>
      <c r="X72" s="444">
        <v>1960</v>
      </c>
    </row>
    <row r="73" spans="1:41" s="5" customFormat="1" ht="26.25" hidden="1" customHeight="1" x14ac:dyDescent="0.25">
      <c r="B73" s="11"/>
      <c r="C73" s="6" t="s">
        <v>18</v>
      </c>
      <c r="D73" s="23" t="s">
        <v>9</v>
      </c>
      <c r="E73" s="87" t="s">
        <v>728</v>
      </c>
      <c r="F73" s="397">
        <v>1453</v>
      </c>
      <c r="G73" s="12" t="s">
        <v>0</v>
      </c>
      <c r="H73" s="39"/>
      <c r="I73" s="360">
        <v>0</v>
      </c>
      <c r="J73" s="39">
        <f t="shared" si="23"/>
        <v>0</v>
      </c>
      <c r="K73" s="309">
        <f>R73*0.8</f>
        <v>12</v>
      </c>
      <c r="L73" s="230"/>
      <c r="M73" s="205" t="s">
        <v>741</v>
      </c>
      <c r="N73" s="279"/>
      <c r="O73" s="39"/>
      <c r="P73" s="309">
        <f>K73*O73</f>
        <v>0</v>
      </c>
      <c r="Q73" s="51" t="str">
        <f t="shared" si="17"/>
        <v>АЮДИ 757.159.001</v>
      </c>
      <c r="R73" s="377">
        <f>S73*1.2</f>
        <v>15</v>
      </c>
      <c r="S73" s="331">
        <v>12.5</v>
      </c>
      <c r="T73" s="353">
        <f t="shared" si="25"/>
        <v>0</v>
      </c>
      <c r="U73" s="20"/>
      <c r="V73" s="20">
        <f t="shared" si="24"/>
        <v>0</v>
      </c>
      <c r="W73" s="52">
        <f t="shared" si="22"/>
        <v>0</v>
      </c>
      <c r="X73" s="20"/>
    </row>
    <row r="74" spans="1:41" s="5" customFormat="1" ht="26.25" hidden="1" customHeight="1" x14ac:dyDescent="0.25">
      <c r="B74" s="11"/>
      <c r="C74" s="6" t="s">
        <v>18</v>
      </c>
      <c r="D74" s="23" t="s">
        <v>9</v>
      </c>
      <c r="E74" s="237" t="s">
        <v>294</v>
      </c>
      <c r="F74" s="209" t="s">
        <v>42</v>
      </c>
      <c r="G74" s="12" t="s">
        <v>0</v>
      </c>
      <c r="H74" s="39"/>
      <c r="I74" s="360">
        <v>0</v>
      </c>
      <c r="J74" s="39">
        <f t="shared" si="23"/>
        <v>0</v>
      </c>
      <c r="K74" s="309">
        <v>1.36</v>
      </c>
      <c r="L74" s="230">
        <f>K74*J371</f>
        <v>0</v>
      </c>
      <c r="M74" s="205"/>
      <c r="N74" s="279"/>
      <c r="O74" s="503"/>
      <c r="P74" s="309">
        <f>K74*O74</f>
        <v>0</v>
      </c>
      <c r="Q74" s="51" t="str">
        <f t="shared" si="17"/>
        <v>ЦИКС 741611018(П34х19х6)</v>
      </c>
      <c r="R74" s="377">
        <f>S74*1.2</f>
        <v>2.41</v>
      </c>
      <c r="S74" s="320">
        <v>2.0099999999999998</v>
      </c>
      <c r="T74" s="353">
        <f t="shared" si="25"/>
        <v>0</v>
      </c>
      <c r="U74" s="20"/>
      <c r="V74" s="20">
        <f t="shared" si="24"/>
        <v>0</v>
      </c>
      <c r="W74" s="52">
        <f t="shared" si="22"/>
        <v>0</v>
      </c>
      <c r="X74" s="20"/>
    </row>
    <row r="75" spans="1:41" ht="26.25" hidden="1" customHeight="1" x14ac:dyDescent="0.25">
      <c r="B75" s="11"/>
      <c r="C75" s="6" t="s">
        <v>18</v>
      </c>
      <c r="D75" s="23" t="s">
        <v>9</v>
      </c>
      <c r="E75" s="239" t="s">
        <v>293</v>
      </c>
      <c r="F75" s="387"/>
      <c r="G75" s="48" t="s">
        <v>0</v>
      </c>
      <c r="H75" s="39">
        <v>0</v>
      </c>
      <c r="I75" s="309">
        <v>0</v>
      </c>
      <c r="J75" s="39">
        <f t="shared" si="23"/>
        <v>0</v>
      </c>
      <c r="K75" s="309">
        <f t="shared" ref="K75:K87" si="26">R75*0.8</f>
        <v>7.0000000000000007E-2</v>
      </c>
      <c r="L75" s="230">
        <f>K75*J372</f>
        <v>0</v>
      </c>
      <c r="M75" s="64"/>
      <c r="N75" s="279"/>
      <c r="O75" s="39">
        <v>0</v>
      </c>
      <c r="P75" s="490">
        <f>K75*O75</f>
        <v>0</v>
      </c>
      <c r="Q75" s="264" t="str">
        <f t="shared" si="17"/>
        <v xml:space="preserve">малая Фронда П24х12х10 </v>
      </c>
      <c r="R75" s="377">
        <f>S75*1.2</f>
        <v>0.09</v>
      </c>
      <c r="S75" s="326">
        <v>7.4999999999999997E-2</v>
      </c>
      <c r="T75" s="353">
        <f t="shared" si="25"/>
        <v>0</v>
      </c>
      <c r="U75" s="147">
        <v>10000</v>
      </c>
      <c r="V75" s="20">
        <f t="shared" si="24"/>
        <v>0</v>
      </c>
      <c r="W75" s="52">
        <f t="shared" si="22"/>
        <v>-400</v>
      </c>
      <c r="X75" s="848">
        <f>8*960+2*960</f>
        <v>9600</v>
      </c>
      <c r="Y75" s="10">
        <f>18*960</f>
        <v>17280</v>
      </c>
    </row>
    <row r="76" spans="1:41" ht="26.25" hidden="1" customHeight="1" x14ac:dyDescent="0.25">
      <c r="B76" s="11"/>
      <c r="C76" s="6" t="s">
        <v>18</v>
      </c>
      <c r="D76" s="23" t="s">
        <v>9</v>
      </c>
      <c r="E76" s="239" t="s">
        <v>620</v>
      </c>
      <c r="F76" s="387"/>
      <c r="G76" s="48"/>
      <c r="H76" s="39"/>
      <c r="I76" s="309"/>
      <c r="J76" s="39">
        <f t="shared" si="23"/>
        <v>0</v>
      </c>
      <c r="K76" s="309">
        <f t="shared" si="26"/>
        <v>0</v>
      </c>
      <c r="L76" s="230"/>
      <c r="M76" s="64"/>
      <c r="N76" s="279"/>
      <c r="O76" s="39"/>
      <c r="P76" s="497"/>
      <c r="Q76" s="264" t="str">
        <f t="shared" si="17"/>
        <v>большая Фронда</v>
      </c>
      <c r="R76" s="377"/>
      <c r="S76" s="316"/>
      <c r="T76" s="353">
        <f t="shared" si="25"/>
        <v>0</v>
      </c>
      <c r="U76" s="148">
        <f>25*1700</f>
        <v>42500</v>
      </c>
      <c r="V76" s="20">
        <f t="shared" si="24"/>
        <v>0</v>
      </c>
      <c r="W76" s="52">
        <f t="shared" si="22"/>
        <v>0</v>
      </c>
      <c r="X76" s="20">
        <f>25*1700</f>
        <v>42500</v>
      </c>
      <c r="Y76" s="4">
        <f>15*1500</f>
        <v>22500</v>
      </c>
    </row>
    <row r="77" spans="1:41" ht="38.25" customHeight="1" x14ac:dyDescent="0.25">
      <c r="B77" s="14">
        <v>22</v>
      </c>
      <c r="C77" s="6" t="s">
        <v>18</v>
      </c>
      <c r="D77" s="23" t="s">
        <v>9</v>
      </c>
      <c r="E77" s="465" t="s">
        <v>619</v>
      </c>
      <c r="F77" s="208">
        <v>325</v>
      </c>
      <c r="G77" s="12" t="s">
        <v>0</v>
      </c>
      <c r="H77" s="39">
        <v>3200</v>
      </c>
      <c r="I77" s="309">
        <v>672</v>
      </c>
      <c r="J77" s="39">
        <f t="shared" si="23"/>
        <v>0</v>
      </c>
      <c r="K77" s="309">
        <f t="shared" si="26"/>
        <v>0.21</v>
      </c>
      <c r="L77" s="230">
        <f>K77*J374</f>
        <v>0</v>
      </c>
      <c r="M77" s="233" t="s">
        <v>829</v>
      </c>
      <c r="N77" s="279"/>
      <c r="O77" s="39">
        <v>3200</v>
      </c>
      <c r="P77" s="309">
        <f t="shared" ref="P77:P90" si="27">K77*O77</f>
        <v>672</v>
      </c>
      <c r="Q77" s="235" t="str">
        <f t="shared" si="17"/>
        <v>ЭПГ 110.094 (П24х16х10)-Чебоксары</v>
      </c>
      <c r="R77" s="377">
        <f t="shared" ref="R77:R110" si="28">S77*1.2</f>
        <v>0.26</v>
      </c>
      <c r="S77" s="338">
        <f>6.6*0.034</f>
        <v>0.22</v>
      </c>
      <c r="T77" s="353">
        <f t="shared" si="25"/>
        <v>0</v>
      </c>
      <c r="U77" s="70">
        <f>4*1700</f>
        <v>6800</v>
      </c>
      <c r="V77" s="20">
        <f t="shared" si="24"/>
        <v>0</v>
      </c>
      <c r="W77" s="52">
        <f t="shared" si="22"/>
        <v>0</v>
      </c>
      <c r="X77" s="20">
        <f>4*1700</f>
        <v>6800</v>
      </c>
      <c r="Y77" s="10">
        <f>6*800</f>
        <v>4800</v>
      </c>
    </row>
    <row r="78" spans="1:41" s="4" customFormat="1" ht="26.25" hidden="1" customHeight="1" x14ac:dyDescent="0.25">
      <c r="A78" s="10"/>
      <c r="B78" s="11"/>
      <c r="C78" s="6" t="s">
        <v>18</v>
      </c>
      <c r="D78" s="23" t="s">
        <v>9</v>
      </c>
      <c r="E78" s="212" t="s">
        <v>280</v>
      </c>
      <c r="F78" s="382" t="s">
        <v>491</v>
      </c>
      <c r="G78" s="48" t="s">
        <v>0</v>
      </c>
      <c r="H78" s="39"/>
      <c r="I78" s="360">
        <v>0</v>
      </c>
      <c r="J78" s="39">
        <f t="shared" si="23"/>
        <v>0</v>
      </c>
      <c r="K78" s="309">
        <f t="shared" si="26"/>
        <v>0.21</v>
      </c>
      <c r="L78" s="230">
        <f>K78*J375</f>
        <v>0</v>
      </c>
      <c r="M78" s="155"/>
      <c r="N78" s="279"/>
      <c r="O78" s="39"/>
      <c r="P78" s="467">
        <f t="shared" si="27"/>
        <v>0</v>
      </c>
      <c r="Q78" s="264" t="str">
        <f t="shared" si="17"/>
        <v>П34х19х3</v>
      </c>
      <c r="R78" s="306">
        <f t="shared" si="28"/>
        <v>0.26</v>
      </c>
      <c r="S78" s="321">
        <v>0.22</v>
      </c>
      <c r="T78" s="353">
        <f t="shared" si="25"/>
        <v>0</v>
      </c>
      <c r="U78" s="20"/>
      <c r="V78" s="20">
        <f t="shared" si="24"/>
        <v>0</v>
      </c>
      <c r="W78" s="52">
        <f t="shared" si="22"/>
        <v>0</v>
      </c>
      <c r="X78" s="2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spans="1:41" ht="26.25" customHeight="1" x14ac:dyDescent="0.25">
      <c r="B79" s="14">
        <v>23</v>
      </c>
      <c r="C79" s="6" t="s">
        <v>18</v>
      </c>
      <c r="D79" s="23" t="s">
        <v>9</v>
      </c>
      <c r="E79" s="43" t="s">
        <v>252</v>
      </c>
      <c r="F79" s="208">
        <v>1172</v>
      </c>
      <c r="G79" s="12" t="s">
        <v>0</v>
      </c>
      <c r="H79" s="39">
        <v>12800</v>
      </c>
      <c r="I79" s="360">
        <v>2688</v>
      </c>
      <c r="J79" s="39">
        <f t="shared" si="23"/>
        <v>37120</v>
      </c>
      <c r="K79" s="309">
        <f t="shared" si="26"/>
        <v>0.21</v>
      </c>
      <c r="L79" s="230">
        <f>K79*J376</f>
        <v>0</v>
      </c>
      <c r="M79" s="154"/>
      <c r="N79" s="279">
        <v>30080</v>
      </c>
      <c r="O79" s="503">
        <v>19840</v>
      </c>
      <c r="P79" s="309">
        <f t="shared" si="27"/>
        <v>4166.3999999999996</v>
      </c>
      <c r="Q79" s="235" t="str">
        <f t="shared" si="17"/>
        <v>П30х15х10</v>
      </c>
      <c r="R79" s="377">
        <f t="shared" si="28"/>
        <v>0.26</v>
      </c>
      <c r="S79" s="320">
        <f>6.45*0.034</f>
        <v>0.22</v>
      </c>
      <c r="T79" s="353">
        <f t="shared" si="25"/>
        <v>8166.4</v>
      </c>
      <c r="U79" s="18">
        <f>42*640</f>
        <v>26880</v>
      </c>
      <c r="V79" s="20">
        <f t="shared" si="24"/>
        <v>30080</v>
      </c>
      <c r="W79" s="52">
        <f t="shared" si="22"/>
        <v>12800</v>
      </c>
      <c r="X79" s="18">
        <f>15*640</f>
        <v>9600</v>
      </c>
      <c r="Y79" s="10">
        <f>25*640</f>
        <v>16000</v>
      </c>
    </row>
    <row r="80" spans="1:41" ht="26.25" hidden="1" customHeight="1" x14ac:dyDescent="0.25">
      <c r="B80" s="14"/>
      <c r="C80" s="6" t="s">
        <v>18</v>
      </c>
      <c r="D80" s="23" t="s">
        <v>9</v>
      </c>
      <c r="E80" s="212" t="s">
        <v>233</v>
      </c>
      <c r="F80" s="522">
        <v>850</v>
      </c>
      <c r="G80" s="48"/>
      <c r="H80" s="39"/>
      <c r="I80" s="309">
        <v>0</v>
      </c>
      <c r="J80" s="39">
        <f t="shared" si="23"/>
        <v>0</v>
      </c>
      <c r="K80" s="309">
        <f t="shared" si="26"/>
        <v>1.95</v>
      </c>
      <c r="L80" s="230"/>
      <c r="M80" s="91"/>
      <c r="N80" s="279"/>
      <c r="O80" s="39"/>
      <c r="P80" s="467">
        <f t="shared" si="27"/>
        <v>0</v>
      </c>
      <c r="Q80" s="51" t="str">
        <f t="shared" si="17"/>
        <v>П32х18х27</v>
      </c>
      <c r="R80" s="377">
        <f t="shared" si="28"/>
        <v>2.44</v>
      </c>
      <c r="S80" s="320">
        <v>2.0299999999999998</v>
      </c>
      <c r="T80" s="353">
        <f t="shared" si="25"/>
        <v>0</v>
      </c>
      <c r="U80" s="20"/>
      <c r="V80" s="20">
        <f t="shared" si="24"/>
        <v>0</v>
      </c>
      <c r="W80" s="52">
        <f t="shared" si="22"/>
        <v>0</v>
      </c>
      <c r="X80" s="20"/>
    </row>
    <row r="81" spans="2:25" ht="26.25" hidden="1" customHeight="1" x14ac:dyDescent="0.25">
      <c r="B81" s="14"/>
      <c r="C81" s="6" t="s">
        <v>18</v>
      </c>
      <c r="D81" s="23" t="s">
        <v>9</v>
      </c>
      <c r="E81" s="212" t="s">
        <v>166</v>
      </c>
      <c r="F81" s="522">
        <v>849</v>
      </c>
      <c r="G81" s="48"/>
      <c r="H81" s="39"/>
      <c r="I81" s="309">
        <v>0</v>
      </c>
      <c r="J81" s="39">
        <f t="shared" si="23"/>
        <v>0</v>
      </c>
      <c r="K81" s="309">
        <f t="shared" si="26"/>
        <v>1.95</v>
      </c>
      <c r="L81" s="230"/>
      <c r="M81" s="91"/>
      <c r="N81" s="279"/>
      <c r="O81" s="39"/>
      <c r="P81" s="360">
        <f t="shared" si="27"/>
        <v>0</v>
      </c>
      <c r="Q81" s="51" t="str">
        <f t="shared" si="17"/>
        <v>П32х27х18</v>
      </c>
      <c r="R81" s="377">
        <f t="shared" si="28"/>
        <v>2.44</v>
      </c>
      <c r="S81" s="320">
        <v>2.0299999999999998</v>
      </c>
      <c r="T81" s="353">
        <f t="shared" si="25"/>
        <v>0</v>
      </c>
      <c r="U81" s="20"/>
      <c r="V81" s="20">
        <f t="shared" si="24"/>
        <v>0</v>
      </c>
      <c r="W81" s="52">
        <f t="shared" si="22"/>
        <v>0</v>
      </c>
      <c r="X81" s="20"/>
    </row>
    <row r="82" spans="2:25" ht="26.25" hidden="1" customHeight="1" x14ac:dyDescent="0.25">
      <c r="B82" s="14"/>
      <c r="C82" s="6" t="s">
        <v>18</v>
      </c>
      <c r="D82" s="23" t="s">
        <v>9</v>
      </c>
      <c r="E82" s="212" t="s">
        <v>603</v>
      </c>
      <c r="F82" s="390">
        <v>851</v>
      </c>
      <c r="G82" s="48"/>
      <c r="H82" s="39"/>
      <c r="I82" s="309">
        <v>0</v>
      </c>
      <c r="J82" s="39">
        <f t="shared" si="23"/>
        <v>0</v>
      </c>
      <c r="K82" s="309">
        <f t="shared" si="26"/>
        <v>2.82</v>
      </c>
      <c r="L82" s="230"/>
      <c r="M82" s="91"/>
      <c r="N82" s="279"/>
      <c r="O82" s="39"/>
      <c r="P82" s="497">
        <f t="shared" si="27"/>
        <v>0</v>
      </c>
      <c r="Q82" s="51" t="str">
        <f t="shared" si="17"/>
        <v>П64х27х27</v>
      </c>
      <c r="R82" s="377">
        <f t="shared" si="28"/>
        <v>3.53</v>
      </c>
      <c r="S82" s="320">
        <v>2.94</v>
      </c>
      <c r="T82" s="353">
        <f t="shared" si="25"/>
        <v>0</v>
      </c>
      <c r="U82" s="20"/>
      <c r="V82" s="20">
        <f t="shared" si="24"/>
        <v>0</v>
      </c>
      <c r="W82" s="52">
        <f t="shared" si="22"/>
        <v>0</v>
      </c>
      <c r="X82" s="20"/>
    </row>
    <row r="83" spans="2:25" ht="26.25" customHeight="1" x14ac:dyDescent="0.25">
      <c r="B83" s="15">
        <v>24</v>
      </c>
      <c r="C83" s="6" t="s">
        <v>18</v>
      </c>
      <c r="D83" s="23" t="s">
        <v>9</v>
      </c>
      <c r="E83" s="237" t="s">
        <v>98</v>
      </c>
      <c r="F83" s="208" t="s">
        <v>94</v>
      </c>
      <c r="G83" s="12" t="s">
        <v>0</v>
      </c>
      <c r="H83" s="39">
        <v>18000</v>
      </c>
      <c r="I83" s="360">
        <v>7560</v>
      </c>
      <c r="J83" s="39">
        <f t="shared" si="23"/>
        <v>0</v>
      </c>
      <c r="K83" s="309">
        <f t="shared" si="26"/>
        <v>0.42</v>
      </c>
      <c r="L83" s="230">
        <f>K83*J383</f>
        <v>0</v>
      </c>
      <c r="M83" s="205" t="s">
        <v>742</v>
      </c>
      <c r="N83" s="279">
        <v>10800</v>
      </c>
      <c r="O83" s="39">
        <v>7200</v>
      </c>
      <c r="P83" s="309">
        <f t="shared" si="27"/>
        <v>3024</v>
      </c>
      <c r="Q83" s="235" t="str">
        <f t="shared" si="17"/>
        <v>П24х18х14 АБПК 757.153.028</v>
      </c>
      <c r="R83" s="377">
        <f t="shared" si="28"/>
        <v>0.53</v>
      </c>
      <c r="S83" s="319">
        <v>0.44</v>
      </c>
      <c r="T83" s="353">
        <f t="shared" si="25"/>
        <v>0</v>
      </c>
      <c r="U83" s="20">
        <f>45*450+16*450+21*450</f>
        <v>36900</v>
      </c>
      <c r="V83" s="20">
        <f t="shared" si="24"/>
        <v>10800</v>
      </c>
      <c r="W83" s="52">
        <f t="shared" si="22"/>
        <v>-12150</v>
      </c>
      <c r="X83" s="444">
        <f>16*450+15*450</f>
        <v>13950</v>
      </c>
      <c r="Y83" s="10">
        <f>15*450+16*450</f>
        <v>13950</v>
      </c>
    </row>
    <row r="84" spans="2:25" ht="26.25" hidden="1" customHeight="1" x14ac:dyDescent="0.25">
      <c r="B84" s="14"/>
      <c r="C84" s="6" t="s">
        <v>18</v>
      </c>
      <c r="D84" s="23" t="s">
        <v>9</v>
      </c>
      <c r="E84" s="237" t="s">
        <v>557</v>
      </c>
      <c r="F84" s="386">
        <v>1299</v>
      </c>
      <c r="G84" s="48" t="s">
        <v>0</v>
      </c>
      <c r="H84" s="39"/>
      <c r="I84" s="360">
        <v>0</v>
      </c>
      <c r="J84" s="39">
        <f t="shared" si="23"/>
        <v>0</v>
      </c>
      <c r="K84" s="309">
        <f t="shared" si="26"/>
        <v>4.9000000000000004</v>
      </c>
      <c r="L84" s="230">
        <f>K84*J384</f>
        <v>0</v>
      </c>
      <c r="M84" s="91"/>
      <c r="N84" s="279"/>
      <c r="O84" s="39"/>
      <c r="P84" s="469">
        <f t="shared" si="27"/>
        <v>0</v>
      </c>
      <c r="Q84" s="441" t="str">
        <f t="shared" si="17"/>
        <v>П27х24х27</v>
      </c>
      <c r="R84" s="377">
        <f t="shared" si="28"/>
        <v>6.12</v>
      </c>
      <c r="S84" s="322">
        <v>5.0999999999999996</v>
      </c>
      <c r="T84" s="353">
        <f t="shared" si="25"/>
        <v>0</v>
      </c>
      <c r="U84" s="18"/>
      <c r="V84" s="20">
        <f t="shared" si="24"/>
        <v>0</v>
      </c>
      <c r="W84" s="52">
        <f t="shared" si="22"/>
        <v>0</v>
      </c>
      <c r="X84" s="18"/>
    </row>
    <row r="85" spans="2:25" ht="26.25" customHeight="1" x14ac:dyDescent="0.25">
      <c r="B85" s="14">
        <v>25</v>
      </c>
      <c r="C85" s="6" t="s">
        <v>18</v>
      </c>
      <c r="D85" s="23" t="s">
        <v>9</v>
      </c>
      <c r="E85" s="237" t="s">
        <v>295</v>
      </c>
      <c r="F85" s="208" t="s">
        <v>176</v>
      </c>
      <c r="G85" s="12" t="s">
        <v>0</v>
      </c>
      <c r="H85" s="39">
        <v>15750</v>
      </c>
      <c r="I85" s="360">
        <v>3307.5</v>
      </c>
      <c r="J85" s="39">
        <f t="shared" si="23"/>
        <v>0</v>
      </c>
      <c r="K85" s="309">
        <f t="shared" si="26"/>
        <v>0.21</v>
      </c>
      <c r="L85" s="230">
        <f>K85*J385</f>
        <v>0</v>
      </c>
      <c r="M85" s="205"/>
      <c r="N85" s="279"/>
      <c r="O85" s="39">
        <v>15750</v>
      </c>
      <c r="P85" s="497">
        <f t="shared" si="27"/>
        <v>3307.5</v>
      </c>
      <c r="Q85" s="266" t="str">
        <f t="shared" si="17"/>
        <v>ИЖКС 005 (27х18х11)</v>
      </c>
      <c r="R85" s="306">
        <f t="shared" si="28"/>
        <v>0.26</v>
      </c>
      <c r="S85" s="319">
        <v>0.22</v>
      </c>
      <c r="T85" s="353">
        <f t="shared" si="25"/>
        <v>0</v>
      </c>
      <c r="U85" s="148">
        <f>16*630+17-1265+50000</f>
        <v>58832</v>
      </c>
      <c r="V85" s="20">
        <f t="shared" si="24"/>
        <v>0</v>
      </c>
      <c r="W85" s="52">
        <f t="shared" si="22"/>
        <v>0</v>
      </c>
      <c r="X85" s="20">
        <f>16*630+17-1265+50000</f>
        <v>58832</v>
      </c>
    </row>
    <row r="86" spans="2:25" ht="26.25" hidden="1" customHeight="1" x14ac:dyDescent="0.25">
      <c r="B86" s="11"/>
      <c r="C86" s="6" t="s">
        <v>18</v>
      </c>
      <c r="D86" s="23" t="s">
        <v>9</v>
      </c>
      <c r="E86" s="237" t="s">
        <v>296</v>
      </c>
      <c r="F86" s="208" t="s">
        <v>82</v>
      </c>
      <c r="G86" s="48" t="s">
        <v>0</v>
      </c>
      <c r="H86" s="39"/>
      <c r="I86" s="360">
        <v>0</v>
      </c>
      <c r="J86" s="39">
        <f t="shared" si="23"/>
        <v>0</v>
      </c>
      <c r="K86" s="309">
        <f t="shared" si="26"/>
        <v>0.27</v>
      </c>
      <c r="L86" s="230">
        <f>K86*J386</f>
        <v>0</v>
      </c>
      <c r="M86" s="205" t="s">
        <v>743</v>
      </c>
      <c r="N86" s="279"/>
      <c r="O86" s="39"/>
      <c r="P86" s="309">
        <f t="shared" si="27"/>
        <v>0</v>
      </c>
      <c r="Q86" s="51" t="str">
        <f t="shared" si="17"/>
        <v>ИЖКС 007 (31х19х11)</v>
      </c>
      <c r="R86" s="306">
        <f t="shared" si="28"/>
        <v>0.34</v>
      </c>
      <c r="S86" s="320">
        <v>0.28000000000000003</v>
      </c>
      <c r="T86" s="353">
        <f t="shared" si="25"/>
        <v>0</v>
      </c>
      <c r="U86" s="148">
        <v>20000</v>
      </c>
      <c r="V86" s="20">
        <f t="shared" si="24"/>
        <v>0</v>
      </c>
      <c r="W86" s="52">
        <f t="shared" si="22"/>
        <v>0</v>
      </c>
      <c r="X86" s="444">
        <v>20000</v>
      </c>
    </row>
    <row r="87" spans="2:25" ht="26.25" hidden="1" customHeight="1" x14ac:dyDescent="0.25">
      <c r="B87" s="11"/>
      <c r="C87" s="6" t="s">
        <v>18</v>
      </c>
      <c r="D87" s="23" t="s">
        <v>9</v>
      </c>
      <c r="E87" s="241" t="s">
        <v>222</v>
      </c>
      <c r="F87" s="384">
        <v>993</v>
      </c>
      <c r="G87" s="13" t="s">
        <v>0</v>
      </c>
      <c r="H87" s="39"/>
      <c r="I87" s="360">
        <v>0</v>
      </c>
      <c r="J87" s="39">
        <f t="shared" si="23"/>
        <v>0</v>
      </c>
      <c r="K87" s="309">
        <f t="shared" si="26"/>
        <v>3.36</v>
      </c>
      <c r="L87" s="230"/>
      <c r="M87" s="205" t="s">
        <v>547</v>
      </c>
      <c r="N87" s="279"/>
      <c r="O87" s="39"/>
      <c r="P87" s="467">
        <f t="shared" si="27"/>
        <v>0</v>
      </c>
      <c r="Q87" s="264" t="str">
        <f t="shared" si="17"/>
        <v>П40х20х10</v>
      </c>
      <c r="R87" s="377">
        <f t="shared" si="28"/>
        <v>4.2</v>
      </c>
      <c r="S87" s="333">
        <v>3.5</v>
      </c>
      <c r="T87" s="353">
        <f t="shared" si="25"/>
        <v>0</v>
      </c>
      <c r="U87" s="20"/>
      <c r="V87" s="20">
        <f t="shared" si="24"/>
        <v>0</v>
      </c>
      <c r="W87" s="52">
        <f t="shared" si="22"/>
        <v>0</v>
      </c>
      <c r="X87" s="20"/>
    </row>
    <row r="88" spans="2:25" ht="26.25" hidden="1" customHeight="1" x14ac:dyDescent="0.25">
      <c r="B88" s="11"/>
      <c r="C88" s="6" t="s">
        <v>18</v>
      </c>
      <c r="D88" s="23" t="s">
        <v>9</v>
      </c>
      <c r="E88" s="237" t="s">
        <v>426</v>
      </c>
      <c r="F88" s="208">
        <v>1229</v>
      </c>
      <c r="G88" s="48" t="s">
        <v>0</v>
      </c>
      <c r="H88" s="39"/>
      <c r="I88" s="360">
        <v>0</v>
      </c>
      <c r="J88" s="39">
        <f t="shared" si="23"/>
        <v>0</v>
      </c>
      <c r="K88" s="309">
        <v>0.26</v>
      </c>
      <c r="L88" s="230">
        <f>K88*J388</f>
        <v>0</v>
      </c>
      <c r="M88" s="205"/>
      <c r="N88" s="279"/>
      <c r="O88" s="39"/>
      <c r="P88" s="360">
        <f t="shared" si="27"/>
        <v>0</v>
      </c>
      <c r="Q88" s="51" t="str">
        <f t="shared" si="17"/>
        <v>ЭПГ-110.093</v>
      </c>
      <c r="R88" s="306">
        <f t="shared" si="28"/>
        <v>0.37</v>
      </c>
      <c r="S88" s="320">
        <f>9*0.034</f>
        <v>0.31</v>
      </c>
      <c r="T88" s="353">
        <f t="shared" si="25"/>
        <v>0</v>
      </c>
      <c r="U88" s="148">
        <f>17*400</f>
        <v>6800</v>
      </c>
      <c r="V88" s="20">
        <f t="shared" si="24"/>
        <v>0</v>
      </c>
      <c r="W88" s="52">
        <f t="shared" si="22"/>
        <v>0</v>
      </c>
      <c r="X88" s="444">
        <f>17*400</f>
        <v>6800</v>
      </c>
    </row>
    <row r="89" spans="2:25" ht="26.25" hidden="1" customHeight="1" x14ac:dyDescent="0.25">
      <c r="B89" s="11"/>
      <c r="C89" s="6" t="s">
        <v>18</v>
      </c>
      <c r="D89" s="23" t="s">
        <v>9</v>
      </c>
      <c r="E89" s="237" t="s">
        <v>29</v>
      </c>
      <c r="F89" s="208" t="s">
        <v>44</v>
      </c>
      <c r="G89" s="48" t="s">
        <v>0</v>
      </c>
      <c r="H89" s="39"/>
      <c r="I89" s="309">
        <v>0</v>
      </c>
      <c r="J89" s="39">
        <f t="shared" si="23"/>
        <v>0</v>
      </c>
      <c r="K89" s="309">
        <v>0.11</v>
      </c>
      <c r="L89" s="230">
        <f>K89*J389</f>
        <v>0</v>
      </c>
      <c r="M89" s="42" t="s">
        <v>339</v>
      </c>
      <c r="N89" s="279"/>
      <c r="O89" s="39"/>
      <c r="P89" s="309">
        <f t="shared" si="27"/>
        <v>0</v>
      </c>
      <c r="Q89" s="264" t="str">
        <f t="shared" si="17"/>
        <v>П38х27х7,5 (ЭПГ110.088)</v>
      </c>
      <c r="R89" s="377">
        <f t="shared" si="28"/>
        <v>0</v>
      </c>
      <c r="S89" s="321">
        <v>0</v>
      </c>
      <c r="T89" s="353">
        <f t="shared" si="25"/>
        <v>0</v>
      </c>
      <c r="U89" s="148">
        <v>7500</v>
      </c>
      <c r="V89" s="20">
        <f t="shared" si="24"/>
        <v>0</v>
      </c>
      <c r="W89" s="52">
        <f t="shared" si="22"/>
        <v>0</v>
      </c>
      <c r="X89" s="444">
        <v>7500</v>
      </c>
    </row>
    <row r="90" spans="2:25" ht="26.25" customHeight="1" x14ac:dyDescent="0.25">
      <c r="B90" s="11">
        <v>26</v>
      </c>
      <c r="C90" s="6" t="s">
        <v>18</v>
      </c>
      <c r="D90" s="23" t="s">
        <v>9</v>
      </c>
      <c r="E90" s="237" t="s">
        <v>297</v>
      </c>
      <c r="F90" s="208" t="s">
        <v>47</v>
      </c>
      <c r="G90" s="12" t="s">
        <v>0</v>
      </c>
      <c r="H90" s="39">
        <v>600</v>
      </c>
      <c r="I90" s="360">
        <v>588</v>
      </c>
      <c r="J90" s="39">
        <f t="shared" si="23"/>
        <v>160</v>
      </c>
      <c r="K90" s="309">
        <f>R90*0.8</f>
        <v>0.98</v>
      </c>
      <c r="L90" s="230">
        <f>K90*J390</f>
        <v>15</v>
      </c>
      <c r="M90" s="205"/>
      <c r="N90" s="279"/>
      <c r="O90" s="39">
        <f>2*380</f>
        <v>760</v>
      </c>
      <c r="P90" s="309">
        <f t="shared" si="27"/>
        <v>744.8</v>
      </c>
      <c r="Q90" s="235" t="str">
        <f t="shared" si="17"/>
        <v>ЭПГ-110.086 (П37х27х4,5)</v>
      </c>
      <c r="R90" s="377">
        <f t="shared" si="28"/>
        <v>1.22</v>
      </c>
      <c r="S90" s="319">
        <v>1.02</v>
      </c>
      <c r="T90" s="353">
        <f t="shared" si="25"/>
        <v>163.19999999999999</v>
      </c>
      <c r="U90" s="148">
        <f>380*2+161</f>
        <v>921</v>
      </c>
      <c r="V90" s="20">
        <f t="shared" si="24"/>
        <v>0</v>
      </c>
      <c r="W90" s="52">
        <f t="shared" si="22"/>
        <v>0</v>
      </c>
      <c r="X90" s="444">
        <f>380*2+161</f>
        <v>921</v>
      </c>
    </row>
    <row r="91" spans="2:25" ht="26.25" customHeight="1" x14ac:dyDescent="0.25">
      <c r="B91" s="15">
        <v>27</v>
      </c>
      <c r="C91" s="6" t="s">
        <v>18</v>
      </c>
      <c r="D91" s="23" t="s">
        <v>9</v>
      </c>
      <c r="E91" s="237" t="s">
        <v>89</v>
      </c>
      <c r="F91" s="208">
        <v>495</v>
      </c>
      <c r="G91" s="12" t="s">
        <v>0</v>
      </c>
      <c r="H91" s="39">
        <v>2760</v>
      </c>
      <c r="I91" s="360">
        <v>2437.63</v>
      </c>
      <c r="J91" s="39">
        <f t="shared" si="23"/>
        <v>0</v>
      </c>
      <c r="K91" s="309">
        <v>0.88</v>
      </c>
      <c r="L91" s="230">
        <f>K91*J391</f>
        <v>0</v>
      </c>
      <c r="M91" s="89"/>
      <c r="N91" s="279"/>
      <c r="O91" s="39">
        <f>4920-1080-1080</f>
        <v>2760</v>
      </c>
      <c r="P91" s="309">
        <f>I91</f>
        <v>2437.63</v>
      </c>
      <c r="Q91" s="235" t="str">
        <f t="shared" si="17"/>
        <v>П32х18х40 ЭПГ110.155</v>
      </c>
      <c r="R91" s="377">
        <f t="shared" si="28"/>
        <v>1.1000000000000001</v>
      </c>
      <c r="S91" s="319">
        <v>0.92</v>
      </c>
      <c r="T91" s="353">
        <f t="shared" si="25"/>
        <v>0</v>
      </c>
      <c r="U91" s="148">
        <f>23*120</f>
        <v>2760</v>
      </c>
      <c r="V91" s="20">
        <f t="shared" si="24"/>
        <v>0</v>
      </c>
      <c r="W91" s="52">
        <f t="shared" si="22"/>
        <v>0</v>
      </c>
      <c r="X91" s="444">
        <f>23*120</f>
        <v>2760</v>
      </c>
    </row>
    <row r="92" spans="2:25" ht="26.25" customHeight="1" x14ac:dyDescent="0.25">
      <c r="B92" s="15">
        <v>28</v>
      </c>
      <c r="C92" s="6" t="s">
        <v>18</v>
      </c>
      <c r="D92" s="23" t="s">
        <v>9</v>
      </c>
      <c r="E92" s="241" t="s">
        <v>428</v>
      </c>
      <c r="F92" s="208">
        <v>326</v>
      </c>
      <c r="G92" s="12" t="s">
        <v>0</v>
      </c>
      <c r="H92" s="39">
        <v>4680</v>
      </c>
      <c r="I92" s="360">
        <v>1965.6</v>
      </c>
      <c r="J92" s="39">
        <f t="shared" si="23"/>
        <v>0</v>
      </c>
      <c r="K92" s="309">
        <f t="shared" ref="K92:K106" si="29">R92*0.8</f>
        <v>0.42</v>
      </c>
      <c r="L92" s="230">
        <f>K92*J392</f>
        <v>0</v>
      </c>
      <c r="M92" s="205" t="s">
        <v>867</v>
      </c>
      <c r="N92" s="281"/>
      <c r="O92" s="39">
        <v>4680</v>
      </c>
      <c r="P92" s="309">
        <f t="shared" ref="P92:P110" si="30">K92*O92</f>
        <v>1965.6</v>
      </c>
      <c r="Q92" s="235" t="str">
        <f t="shared" si="17"/>
        <v>ЭПГ-110.102</v>
      </c>
      <c r="R92" s="306">
        <f t="shared" si="28"/>
        <v>0.53</v>
      </c>
      <c r="S92" s="401">
        <f>13.2*0.033</f>
        <v>0.44</v>
      </c>
      <c r="T92" s="353">
        <f t="shared" si="25"/>
        <v>0</v>
      </c>
      <c r="U92" s="148">
        <f>39*234</f>
        <v>9126</v>
      </c>
      <c r="V92" s="20">
        <f t="shared" si="24"/>
        <v>0</v>
      </c>
      <c r="W92" s="52">
        <f t="shared" si="22"/>
        <v>0</v>
      </c>
      <c r="X92" s="444">
        <f>39*234</f>
        <v>9126</v>
      </c>
    </row>
    <row r="93" spans="2:25" ht="26.25" hidden="1" customHeight="1" x14ac:dyDescent="0.25">
      <c r="B93" s="15"/>
      <c r="C93" s="6" t="s">
        <v>18</v>
      </c>
      <c r="D93" s="23" t="s">
        <v>9</v>
      </c>
      <c r="E93" s="241" t="s">
        <v>427</v>
      </c>
      <c r="F93" s="208">
        <v>385</v>
      </c>
      <c r="G93" s="13" t="s">
        <v>0</v>
      </c>
      <c r="H93" s="39"/>
      <c r="I93" s="309">
        <v>0</v>
      </c>
      <c r="J93" s="39">
        <f t="shared" si="23"/>
        <v>0</v>
      </c>
      <c r="K93" s="309">
        <f t="shared" si="29"/>
        <v>0.48</v>
      </c>
      <c r="L93" s="230"/>
      <c r="M93" s="88"/>
      <c r="N93" s="281"/>
      <c r="O93" s="39"/>
      <c r="P93" s="490">
        <f t="shared" si="30"/>
        <v>0</v>
      </c>
      <c r="Q93" s="264" t="str">
        <f t="shared" si="17"/>
        <v>ЭПГ-110.103</v>
      </c>
      <c r="R93" s="377">
        <f t="shared" si="28"/>
        <v>0.6</v>
      </c>
      <c r="S93" s="378">
        <f>15*0.033</f>
        <v>0.5</v>
      </c>
      <c r="T93" s="353">
        <f t="shared" si="25"/>
        <v>0</v>
      </c>
      <c r="U93" s="148">
        <f>5*144</f>
        <v>720</v>
      </c>
      <c r="V93" s="20">
        <f t="shared" si="24"/>
        <v>0</v>
      </c>
      <c r="W93" s="52">
        <f t="shared" si="22"/>
        <v>0</v>
      </c>
      <c r="X93" s="444">
        <f>5*144</f>
        <v>720</v>
      </c>
    </row>
    <row r="94" spans="2:25" ht="26.25" hidden="1" customHeight="1" x14ac:dyDescent="0.25">
      <c r="B94" s="15"/>
      <c r="C94" s="6" t="s">
        <v>18</v>
      </c>
      <c r="D94" s="23" t="s">
        <v>9</v>
      </c>
      <c r="E94" s="1" t="s">
        <v>622</v>
      </c>
      <c r="F94" s="382">
        <v>1394</v>
      </c>
      <c r="G94" s="12" t="s">
        <v>0</v>
      </c>
      <c r="H94" s="39"/>
      <c r="I94" s="360">
        <v>0</v>
      </c>
      <c r="J94" s="39">
        <f t="shared" si="23"/>
        <v>0</v>
      </c>
      <c r="K94" s="309">
        <f t="shared" si="29"/>
        <v>2.69</v>
      </c>
      <c r="L94" s="230"/>
      <c r="M94" s="205"/>
      <c r="N94" s="281"/>
      <c r="O94" s="39"/>
      <c r="P94" s="360">
        <f t="shared" si="30"/>
        <v>0</v>
      </c>
      <c r="Q94" s="51" t="str">
        <f t="shared" si="17"/>
        <v>пж 06.56.026(П40х10х10)</v>
      </c>
      <c r="R94" s="306">
        <f t="shared" si="28"/>
        <v>3.36</v>
      </c>
      <c r="S94" s="335">
        <v>2.8</v>
      </c>
      <c r="T94" s="353">
        <f t="shared" si="25"/>
        <v>0</v>
      </c>
      <c r="U94" s="20"/>
      <c r="V94" s="20">
        <f t="shared" si="24"/>
        <v>0</v>
      </c>
      <c r="W94" s="52">
        <f t="shared" si="22"/>
        <v>0</v>
      </c>
      <c r="X94" s="20"/>
    </row>
    <row r="95" spans="2:25" ht="26.25" hidden="1" customHeight="1" x14ac:dyDescent="0.25">
      <c r="B95" s="15"/>
      <c r="C95" s="6" t="s">
        <v>18</v>
      </c>
      <c r="D95" s="23" t="s">
        <v>9</v>
      </c>
      <c r="E95" s="1" t="s">
        <v>623</v>
      </c>
      <c r="F95" s="382">
        <v>1395</v>
      </c>
      <c r="G95" s="13" t="s">
        <v>0</v>
      </c>
      <c r="H95" s="39"/>
      <c r="I95" s="360">
        <v>0</v>
      </c>
      <c r="J95" s="39">
        <f t="shared" si="23"/>
        <v>0</v>
      </c>
      <c r="K95" s="309">
        <f t="shared" si="29"/>
        <v>6.72</v>
      </c>
      <c r="L95" s="230"/>
      <c r="M95" s="205"/>
      <c r="N95" s="282"/>
      <c r="O95" s="39"/>
      <c r="P95" s="360">
        <f t="shared" si="30"/>
        <v>0</v>
      </c>
      <c r="Q95" s="51" t="str">
        <f t="shared" si="17"/>
        <v>пж 06.56.029 (П40х10х10 с прорез)</v>
      </c>
      <c r="R95" s="306">
        <f t="shared" si="28"/>
        <v>8.4</v>
      </c>
      <c r="S95" s="334">
        <v>7</v>
      </c>
      <c r="T95" s="353">
        <f t="shared" si="25"/>
        <v>0</v>
      </c>
      <c r="U95" s="20"/>
      <c r="V95" s="20">
        <f t="shared" si="24"/>
        <v>0</v>
      </c>
      <c r="W95" s="52">
        <f t="shared" si="22"/>
        <v>0</v>
      </c>
      <c r="X95" s="20"/>
    </row>
    <row r="96" spans="2:25" ht="26.25" hidden="1" customHeight="1" x14ac:dyDescent="0.25">
      <c r="B96" s="15"/>
      <c r="C96" s="6" t="s">
        <v>18</v>
      </c>
      <c r="D96" s="23" t="s">
        <v>9</v>
      </c>
      <c r="E96" s="1" t="s">
        <v>530</v>
      </c>
      <c r="F96" s="382">
        <v>1321</v>
      </c>
      <c r="G96" s="13" t="s">
        <v>0</v>
      </c>
      <c r="H96" s="39"/>
      <c r="I96" s="360">
        <v>0</v>
      </c>
      <c r="J96" s="39">
        <f t="shared" si="23"/>
        <v>0</v>
      </c>
      <c r="K96" s="309">
        <f t="shared" si="29"/>
        <v>6.62</v>
      </c>
      <c r="L96" s="230"/>
      <c r="M96" s="205" t="s">
        <v>542</v>
      </c>
      <c r="N96" s="281"/>
      <c r="O96" s="39"/>
      <c r="P96" s="360">
        <f t="shared" si="30"/>
        <v>0</v>
      </c>
      <c r="Q96" s="51" t="str">
        <f t="shared" si="17"/>
        <v>Э.200116.020-01 П50х37х13</v>
      </c>
      <c r="R96" s="306">
        <f t="shared" si="28"/>
        <v>8.2799999999999994</v>
      </c>
      <c r="S96" s="334">
        <f>230*0.03</f>
        <v>6.9</v>
      </c>
      <c r="T96" s="353">
        <f t="shared" si="25"/>
        <v>0</v>
      </c>
      <c r="U96" s="20"/>
      <c r="V96" s="20">
        <f t="shared" si="24"/>
        <v>0</v>
      </c>
      <c r="W96" s="52">
        <f t="shared" si="22"/>
        <v>0</v>
      </c>
      <c r="X96" s="20"/>
    </row>
    <row r="97" spans="1:25" ht="26.25" hidden="1" customHeight="1" x14ac:dyDescent="0.25">
      <c r="B97" s="15"/>
      <c r="C97" s="6" t="s">
        <v>18</v>
      </c>
      <c r="D97" s="23" t="s">
        <v>9</v>
      </c>
      <c r="E97" s="241" t="s">
        <v>616</v>
      </c>
      <c r="F97" s="208">
        <v>978</v>
      </c>
      <c r="G97" s="48" t="s">
        <v>0</v>
      </c>
      <c r="H97" s="39"/>
      <c r="I97" s="360">
        <v>0</v>
      </c>
      <c r="J97" s="39">
        <f t="shared" si="23"/>
        <v>0</v>
      </c>
      <c r="K97" s="309">
        <f t="shared" si="29"/>
        <v>0.19</v>
      </c>
      <c r="L97" s="230"/>
      <c r="M97" s="89"/>
      <c r="N97" s="281"/>
      <c r="O97" s="39"/>
      <c r="P97" s="360">
        <f t="shared" si="30"/>
        <v>0</v>
      </c>
      <c r="Q97" s="51" t="str">
        <f t="shared" si="17"/>
        <v>П64х20х14</v>
      </c>
      <c r="R97" s="377">
        <f t="shared" si="28"/>
        <v>0.24</v>
      </c>
      <c r="S97" s="378">
        <v>0.2</v>
      </c>
      <c r="T97" s="353">
        <f t="shared" si="25"/>
        <v>0</v>
      </c>
      <c r="U97" s="20"/>
      <c r="V97" s="20">
        <f t="shared" si="24"/>
        <v>0</v>
      </c>
      <c r="W97" s="52">
        <f t="shared" si="22"/>
        <v>0</v>
      </c>
      <c r="X97" s="20"/>
    </row>
    <row r="98" spans="1:25" ht="26.25" customHeight="1" x14ac:dyDescent="0.25">
      <c r="B98" s="15">
        <v>29</v>
      </c>
      <c r="C98" s="6" t="s">
        <v>18</v>
      </c>
      <c r="D98" s="23" t="s">
        <v>9</v>
      </c>
      <c r="E98" s="241" t="s">
        <v>903</v>
      </c>
      <c r="F98" s="208">
        <v>190</v>
      </c>
      <c r="G98" s="48" t="s">
        <v>0</v>
      </c>
      <c r="H98" s="39"/>
      <c r="I98" s="360">
        <v>0</v>
      </c>
      <c r="J98" s="39">
        <f t="shared" si="23"/>
        <v>3</v>
      </c>
      <c r="K98" s="309">
        <f t="shared" si="29"/>
        <v>3.07</v>
      </c>
      <c r="L98" s="230"/>
      <c r="M98" s="89"/>
      <c r="N98" s="281">
        <v>3</v>
      </c>
      <c r="O98" s="39"/>
      <c r="P98" s="360">
        <f t="shared" si="30"/>
        <v>0</v>
      </c>
      <c r="Q98" s="51" t="str">
        <f t="shared" si="17"/>
        <v>П53х3,5х4,5</v>
      </c>
      <c r="R98" s="306">
        <f t="shared" si="28"/>
        <v>3.84</v>
      </c>
      <c r="S98" s="378">
        <v>3.2</v>
      </c>
      <c r="T98" s="353">
        <f t="shared" si="25"/>
        <v>9.6</v>
      </c>
      <c r="U98" s="20"/>
      <c r="V98" s="20">
        <f t="shared" si="24"/>
        <v>3</v>
      </c>
      <c r="W98" s="52">
        <f t="shared" si="22"/>
        <v>3</v>
      </c>
      <c r="X98" s="20"/>
    </row>
    <row r="99" spans="1:25" ht="26.25" customHeight="1" x14ac:dyDescent="0.25">
      <c r="B99" s="11">
        <v>30</v>
      </c>
      <c r="C99" s="6" t="s">
        <v>18</v>
      </c>
      <c r="D99" s="23" t="s">
        <v>9</v>
      </c>
      <c r="E99" s="237" t="s">
        <v>108</v>
      </c>
      <c r="F99" s="208">
        <v>600</v>
      </c>
      <c r="G99" s="12" t="s">
        <v>0</v>
      </c>
      <c r="H99" s="39">
        <v>50</v>
      </c>
      <c r="I99" s="360">
        <v>158.5</v>
      </c>
      <c r="J99" s="39">
        <f t="shared" si="23"/>
        <v>0</v>
      </c>
      <c r="K99" s="309">
        <f t="shared" si="29"/>
        <v>3.17</v>
      </c>
      <c r="L99" s="230">
        <f>K99*J399</f>
        <v>0</v>
      </c>
      <c r="M99" s="155"/>
      <c r="N99" s="279"/>
      <c r="O99" s="39">
        <v>50</v>
      </c>
      <c r="P99" s="468">
        <f t="shared" si="30"/>
        <v>158.5</v>
      </c>
      <c r="Q99" s="51" t="str">
        <f t="shared" si="17"/>
        <v>ЭПГ110.158(П50х35х40)</v>
      </c>
      <c r="R99" s="306">
        <f t="shared" si="28"/>
        <v>3.96</v>
      </c>
      <c r="S99" s="320">
        <v>3.3</v>
      </c>
      <c r="T99" s="353">
        <f t="shared" si="25"/>
        <v>0</v>
      </c>
      <c r="U99" s="148">
        <f>10*38-8*38-18</f>
        <v>58</v>
      </c>
      <c r="V99" s="20">
        <f t="shared" si="24"/>
        <v>0</v>
      </c>
      <c r="W99" s="52">
        <f t="shared" si="22"/>
        <v>0</v>
      </c>
      <c r="X99" s="444">
        <f>10*38-8*38-18</f>
        <v>58</v>
      </c>
      <c r="Y99" s="10">
        <f>13*38+20</f>
        <v>514</v>
      </c>
    </row>
    <row r="100" spans="1:25" ht="26.25" customHeight="1" x14ac:dyDescent="0.25">
      <c r="B100" s="11">
        <v>31</v>
      </c>
      <c r="C100" s="6" t="s">
        <v>18</v>
      </c>
      <c r="D100" s="23" t="s">
        <v>9</v>
      </c>
      <c r="E100" s="237" t="s">
        <v>66</v>
      </c>
      <c r="F100" s="210">
        <v>395</v>
      </c>
      <c r="G100" s="12" t="s">
        <v>0</v>
      </c>
      <c r="H100" s="39">
        <v>100</v>
      </c>
      <c r="I100" s="360">
        <v>670</v>
      </c>
      <c r="J100" s="39">
        <f t="shared" si="23"/>
        <v>20</v>
      </c>
      <c r="K100" s="309">
        <f t="shared" si="29"/>
        <v>6.7</v>
      </c>
      <c r="L100" s="230">
        <f>K100*J400</f>
        <v>1340</v>
      </c>
      <c r="M100" s="154"/>
      <c r="N100" s="279"/>
      <c r="O100" s="39">
        <v>120</v>
      </c>
      <c r="P100" s="309">
        <f t="shared" si="30"/>
        <v>804</v>
      </c>
      <c r="Q100" s="260" t="str">
        <f t="shared" si="17"/>
        <v>ЭПГ110.149(П90х35х34)</v>
      </c>
      <c r="R100" s="306">
        <f t="shared" si="28"/>
        <v>8.3800000000000008</v>
      </c>
      <c r="S100" s="326">
        <v>6.98</v>
      </c>
      <c r="T100" s="353">
        <f t="shared" si="25"/>
        <v>139.6</v>
      </c>
      <c r="U100" s="148">
        <f>6*20</f>
        <v>120</v>
      </c>
      <c r="V100" s="20">
        <f t="shared" si="24"/>
        <v>0</v>
      </c>
      <c r="W100" s="52">
        <f t="shared" si="22"/>
        <v>0</v>
      </c>
      <c r="X100" s="444">
        <f>6*20</f>
        <v>120</v>
      </c>
      <c r="Y100" s="10">
        <f>6*20</f>
        <v>120</v>
      </c>
    </row>
    <row r="101" spans="1:25" ht="26.25" customHeight="1" thickBot="1" x14ac:dyDescent="0.3">
      <c r="B101" s="15">
        <v>32</v>
      </c>
      <c r="C101" s="6" t="s">
        <v>18</v>
      </c>
      <c r="D101" s="23" t="s">
        <v>9</v>
      </c>
      <c r="E101" s="237" t="s">
        <v>65</v>
      </c>
      <c r="F101" s="210">
        <v>406</v>
      </c>
      <c r="G101" s="12" t="s">
        <v>0</v>
      </c>
      <c r="H101" s="39">
        <v>140</v>
      </c>
      <c r="I101" s="360">
        <v>1814.4</v>
      </c>
      <c r="J101" s="39">
        <f t="shared" si="23"/>
        <v>0</v>
      </c>
      <c r="K101" s="309">
        <f t="shared" si="29"/>
        <v>12.96</v>
      </c>
      <c r="L101" s="230">
        <f>K101*J401</f>
        <v>0</v>
      </c>
      <c r="M101" s="155"/>
      <c r="N101" s="279"/>
      <c r="O101" s="39">
        <v>140</v>
      </c>
      <c r="P101" s="309">
        <f t="shared" si="30"/>
        <v>1814.4</v>
      </c>
      <c r="Q101" s="261" t="str">
        <f t="shared" si="17"/>
        <v>ЭПГ110.148(П120х35х34)</v>
      </c>
      <c r="R101" s="306">
        <f t="shared" si="28"/>
        <v>16.2</v>
      </c>
      <c r="S101" s="333">
        <v>13.5</v>
      </c>
      <c r="T101" s="353">
        <f t="shared" si="25"/>
        <v>0</v>
      </c>
      <c r="U101" s="148">
        <f>12*14+12-7*14</f>
        <v>82</v>
      </c>
      <c r="V101" s="20">
        <f t="shared" si="24"/>
        <v>0</v>
      </c>
      <c r="W101" s="52">
        <f t="shared" si="22"/>
        <v>0</v>
      </c>
      <c r="X101" s="444">
        <f>12*14+12-7*14</f>
        <v>82</v>
      </c>
      <c r="Y101" s="10">
        <f>16*14+12</f>
        <v>236</v>
      </c>
    </row>
    <row r="102" spans="1:25" ht="26.25" hidden="1" customHeight="1" x14ac:dyDescent="0.25">
      <c r="B102" s="14"/>
      <c r="C102" s="6" t="s">
        <v>18</v>
      </c>
      <c r="D102" s="23" t="s">
        <v>9</v>
      </c>
      <c r="E102" s="212" t="s">
        <v>253</v>
      </c>
      <c r="F102" s="270">
        <v>829</v>
      </c>
      <c r="G102" s="12" t="s">
        <v>0</v>
      </c>
      <c r="H102" s="39"/>
      <c r="I102" s="309">
        <v>0</v>
      </c>
      <c r="J102" s="39">
        <f t="shared" si="23"/>
        <v>0</v>
      </c>
      <c r="K102" s="309">
        <f t="shared" si="29"/>
        <v>7.2</v>
      </c>
      <c r="L102" s="230">
        <f>K102*J402</f>
        <v>0</v>
      </c>
      <c r="M102" s="89"/>
      <c r="N102" s="279"/>
      <c r="O102" s="39"/>
      <c r="P102" s="490">
        <f t="shared" si="30"/>
        <v>0</v>
      </c>
      <c r="Q102" s="262" t="str">
        <f t="shared" si="17"/>
        <v>П40х40х10</v>
      </c>
      <c r="R102" s="377">
        <f t="shared" si="28"/>
        <v>9</v>
      </c>
      <c r="S102" s="319">
        <v>7.5</v>
      </c>
      <c r="T102" s="353">
        <f t="shared" ref="T102:T135" si="31">S102*J102</f>
        <v>0</v>
      </c>
      <c r="U102" s="18">
        <v>100</v>
      </c>
      <c r="V102" s="20">
        <f t="shared" ref="V102:V133" si="32">N102</f>
        <v>0</v>
      </c>
      <c r="W102" s="52">
        <f t="shared" si="22"/>
        <v>0</v>
      </c>
      <c r="X102" s="18">
        <v>100</v>
      </c>
    </row>
    <row r="103" spans="1:25" s="4" customFormat="1" ht="26.25" hidden="1" customHeight="1" x14ac:dyDescent="0.25">
      <c r="A103" s="10"/>
      <c r="B103" s="14"/>
      <c r="C103" s="6" t="s">
        <v>18</v>
      </c>
      <c r="D103" s="23" t="s">
        <v>9</v>
      </c>
      <c r="E103" s="212" t="s">
        <v>665</v>
      </c>
      <c r="F103" s="384">
        <v>1424</v>
      </c>
      <c r="G103" s="12"/>
      <c r="H103" s="39"/>
      <c r="I103" s="360">
        <v>0</v>
      </c>
      <c r="J103" s="39">
        <f t="shared" si="23"/>
        <v>0</v>
      </c>
      <c r="K103" s="309">
        <f t="shared" si="29"/>
        <v>3.55</v>
      </c>
      <c r="L103" s="230">
        <f>K103*J403</f>
        <v>1065</v>
      </c>
      <c r="M103" s="205"/>
      <c r="N103" s="279"/>
      <c r="O103" s="503"/>
      <c r="P103" s="309">
        <f t="shared" si="30"/>
        <v>0</v>
      </c>
      <c r="Q103" s="235" t="str">
        <f t="shared" si="17"/>
        <v>П40х25х10</v>
      </c>
      <c r="R103" s="377">
        <f t="shared" si="28"/>
        <v>4.4400000000000004</v>
      </c>
      <c r="S103" s="319">
        <v>3.7</v>
      </c>
      <c r="T103" s="353">
        <f t="shared" si="31"/>
        <v>0</v>
      </c>
      <c r="U103" s="18"/>
      <c r="V103" s="20">
        <f t="shared" si="32"/>
        <v>0</v>
      </c>
      <c r="W103" s="52">
        <f t="shared" si="22"/>
        <v>0</v>
      </c>
      <c r="X103" s="18"/>
    </row>
    <row r="104" spans="1:25" s="4" customFormat="1" ht="26.25" hidden="1" customHeight="1" x14ac:dyDescent="0.25">
      <c r="A104" s="10"/>
      <c r="B104" s="15"/>
      <c r="C104" s="6" t="s">
        <v>18</v>
      </c>
      <c r="D104" s="23" t="s">
        <v>9</v>
      </c>
      <c r="E104" s="212" t="s">
        <v>523</v>
      </c>
      <c r="F104" s="270"/>
      <c r="G104" s="12"/>
      <c r="H104" s="39"/>
      <c r="I104" s="309">
        <v>0</v>
      </c>
      <c r="J104" s="39">
        <f t="shared" si="23"/>
        <v>0</v>
      </c>
      <c r="K104" s="309">
        <f t="shared" si="29"/>
        <v>2.2999999999999998</v>
      </c>
      <c r="L104" s="230">
        <f>K104*J405</f>
        <v>0</v>
      </c>
      <c r="M104" s="89"/>
      <c r="N104" s="279"/>
      <c r="O104" s="39"/>
      <c r="P104" s="490">
        <f t="shared" si="30"/>
        <v>0</v>
      </c>
      <c r="Q104" s="235" t="str">
        <f t="shared" si="17"/>
        <v>30М7115.01.30.007(П27х24х27)</v>
      </c>
      <c r="R104" s="377">
        <f t="shared" si="28"/>
        <v>2.87</v>
      </c>
      <c r="S104" s="319">
        <v>2.39</v>
      </c>
      <c r="T104" s="353">
        <f t="shared" si="31"/>
        <v>0</v>
      </c>
      <c r="U104" s="18"/>
      <c r="V104" s="20">
        <f t="shared" si="32"/>
        <v>0</v>
      </c>
      <c r="W104" s="52">
        <f t="shared" si="22"/>
        <v>0</v>
      </c>
      <c r="X104" s="18"/>
    </row>
    <row r="105" spans="1:25" s="4" customFormat="1" ht="26.25" hidden="1" customHeight="1" x14ac:dyDescent="0.25">
      <c r="A105" s="10"/>
      <c r="B105" s="15"/>
      <c r="C105" s="6" t="s">
        <v>18</v>
      </c>
      <c r="D105" s="23" t="s">
        <v>9</v>
      </c>
      <c r="E105" s="1" t="s">
        <v>544</v>
      </c>
      <c r="F105" s="384">
        <v>1075</v>
      </c>
      <c r="G105" s="12"/>
      <c r="H105" s="39"/>
      <c r="I105" s="360">
        <v>0</v>
      </c>
      <c r="J105" s="39">
        <f t="shared" si="23"/>
        <v>0</v>
      </c>
      <c r="K105" s="309">
        <f t="shared" si="29"/>
        <v>3.89</v>
      </c>
      <c r="L105" s="230">
        <f>K105*J406</f>
        <v>0</v>
      </c>
      <c r="M105" s="205"/>
      <c r="N105" s="279"/>
      <c r="O105" s="39"/>
      <c r="P105" s="468">
        <f t="shared" si="30"/>
        <v>0</v>
      </c>
      <c r="Q105" s="51" t="str">
        <f t="shared" si="17"/>
        <v>П50х55х10</v>
      </c>
      <c r="R105" s="377">
        <f t="shared" si="28"/>
        <v>4.8600000000000003</v>
      </c>
      <c r="S105" s="319">
        <v>4.05</v>
      </c>
      <c r="T105" s="353">
        <f t="shared" si="31"/>
        <v>0</v>
      </c>
      <c r="U105" s="18"/>
      <c r="V105" s="20">
        <f t="shared" si="32"/>
        <v>0</v>
      </c>
      <c r="W105" s="52">
        <f t="shared" si="22"/>
        <v>0</v>
      </c>
      <c r="X105" s="18"/>
    </row>
    <row r="106" spans="1:25" ht="26.25" hidden="1" customHeight="1" x14ac:dyDescent="0.25">
      <c r="B106" s="15"/>
      <c r="C106" s="6" t="s">
        <v>18</v>
      </c>
      <c r="D106" s="23" t="s">
        <v>9</v>
      </c>
      <c r="E106" s="237" t="s">
        <v>724</v>
      </c>
      <c r="F106" s="383">
        <v>1360</v>
      </c>
      <c r="G106" s="12" t="s">
        <v>0</v>
      </c>
      <c r="H106" s="39"/>
      <c r="I106" s="360">
        <v>0</v>
      </c>
      <c r="J106" s="39">
        <f t="shared" si="23"/>
        <v>0</v>
      </c>
      <c r="K106" s="309">
        <f t="shared" si="29"/>
        <v>2.54</v>
      </c>
      <c r="L106" s="230">
        <f>K106*J407</f>
        <v>0</v>
      </c>
      <c r="M106" s="82"/>
      <c r="N106" s="279"/>
      <c r="O106" s="503"/>
      <c r="P106" s="309">
        <f t="shared" si="30"/>
        <v>0</v>
      </c>
      <c r="Q106" s="235" t="str">
        <f t="shared" si="17"/>
        <v>П60х20х7</v>
      </c>
      <c r="R106" s="377">
        <f t="shared" si="28"/>
        <v>3.18</v>
      </c>
      <c r="S106" s="320">
        <v>2.65</v>
      </c>
      <c r="T106" s="353">
        <f t="shared" si="31"/>
        <v>0</v>
      </c>
      <c r="U106" s="430">
        <v>52</v>
      </c>
      <c r="V106" s="20">
        <f t="shared" si="32"/>
        <v>0</v>
      </c>
      <c r="W106" s="52">
        <f t="shared" si="22"/>
        <v>0</v>
      </c>
      <c r="X106" s="18">
        <v>52</v>
      </c>
    </row>
    <row r="107" spans="1:25" ht="26.25" hidden="1" customHeight="1" thickBot="1" x14ac:dyDescent="0.3">
      <c r="B107" s="15"/>
      <c r="C107" s="6" t="s">
        <v>18</v>
      </c>
      <c r="D107" s="23" t="s">
        <v>9</v>
      </c>
      <c r="E107" s="237" t="s">
        <v>492</v>
      </c>
      <c r="F107" s="270"/>
      <c r="G107" s="12"/>
      <c r="H107" s="39"/>
      <c r="I107" s="309">
        <v>0</v>
      </c>
      <c r="J107" s="39">
        <f t="shared" si="23"/>
        <v>0</v>
      </c>
      <c r="K107" s="309"/>
      <c r="L107" s="230"/>
      <c r="M107" s="82"/>
      <c r="N107" s="279"/>
      <c r="O107" s="39"/>
      <c r="P107" s="490">
        <f t="shared" si="30"/>
        <v>0</v>
      </c>
      <c r="Q107" s="263" t="str">
        <f t="shared" si="17"/>
        <v>П30х30х9</v>
      </c>
      <c r="R107" s="377">
        <f t="shared" si="28"/>
        <v>0</v>
      </c>
      <c r="S107" s="320">
        <v>0</v>
      </c>
      <c r="T107" s="353">
        <f t="shared" si="31"/>
        <v>0</v>
      </c>
      <c r="U107" s="18">
        <v>40</v>
      </c>
      <c r="V107" s="20">
        <f t="shared" si="32"/>
        <v>0</v>
      </c>
      <c r="W107" s="52">
        <f t="shared" si="22"/>
        <v>0</v>
      </c>
      <c r="X107" s="18">
        <v>40</v>
      </c>
    </row>
    <row r="108" spans="1:25" ht="26.25" hidden="1" customHeight="1" x14ac:dyDescent="0.25">
      <c r="B108" s="15"/>
      <c r="C108" s="6" t="s">
        <v>18</v>
      </c>
      <c r="D108" s="23" t="s">
        <v>9</v>
      </c>
      <c r="E108" s="237" t="s">
        <v>872</v>
      </c>
      <c r="F108" s="527">
        <v>1496</v>
      </c>
      <c r="G108" s="48" t="s">
        <v>0</v>
      </c>
      <c r="H108" s="39"/>
      <c r="I108" s="360">
        <v>0</v>
      </c>
      <c r="J108" s="39">
        <f t="shared" si="23"/>
        <v>0</v>
      </c>
      <c r="K108" s="309">
        <f>R108*0.8</f>
        <v>4.8</v>
      </c>
      <c r="L108" s="230"/>
      <c r="M108" s="534"/>
      <c r="N108" s="279"/>
      <c r="O108" s="39"/>
      <c r="P108" s="360">
        <f t="shared" si="30"/>
        <v>0</v>
      </c>
      <c r="Q108" s="403" t="str">
        <f t="shared" si="17"/>
        <v>П70х15х8</v>
      </c>
      <c r="R108" s="306">
        <f t="shared" si="28"/>
        <v>6</v>
      </c>
      <c r="S108" s="320">
        <v>5</v>
      </c>
      <c r="T108" s="353">
        <f t="shared" si="31"/>
        <v>0</v>
      </c>
      <c r="U108" s="430"/>
      <c r="V108" s="20">
        <f t="shared" si="32"/>
        <v>0</v>
      </c>
      <c r="W108" s="52">
        <f t="shared" si="22"/>
        <v>0</v>
      </c>
      <c r="X108" s="18"/>
    </row>
    <row r="109" spans="1:25" ht="26.25" customHeight="1" x14ac:dyDescent="0.25">
      <c r="B109" s="15">
        <v>33</v>
      </c>
      <c r="C109" s="6" t="s">
        <v>18</v>
      </c>
      <c r="D109" s="23" t="s">
        <v>9</v>
      </c>
      <c r="E109" s="212" t="s">
        <v>161</v>
      </c>
      <c r="F109" s="208" t="s">
        <v>221</v>
      </c>
      <c r="G109" s="12" t="s">
        <v>0</v>
      </c>
      <c r="H109" s="39">
        <v>346</v>
      </c>
      <c r="I109" s="360">
        <v>1328.64</v>
      </c>
      <c r="J109" s="39">
        <f t="shared" si="23"/>
        <v>254</v>
      </c>
      <c r="K109" s="309">
        <f>R109*0.8</f>
        <v>2.5</v>
      </c>
      <c r="L109" s="230">
        <v>6</v>
      </c>
      <c r="M109" s="194"/>
      <c r="N109" s="279">
        <v>600</v>
      </c>
      <c r="O109" s="39"/>
      <c r="P109" s="309">
        <f t="shared" si="30"/>
        <v>0</v>
      </c>
      <c r="Q109" s="235" t="str">
        <f t="shared" si="17"/>
        <v>П84х64х14</v>
      </c>
      <c r="R109" s="306">
        <f t="shared" si="28"/>
        <v>3.12</v>
      </c>
      <c r="S109" s="332">
        <v>2.6</v>
      </c>
      <c r="T109" s="353">
        <f t="shared" si="31"/>
        <v>660.4</v>
      </c>
      <c r="U109" s="18"/>
      <c r="V109" s="20">
        <f t="shared" si="32"/>
        <v>600</v>
      </c>
      <c r="W109" s="52">
        <f t="shared" si="22"/>
        <v>600</v>
      </c>
      <c r="X109" s="18"/>
    </row>
    <row r="110" spans="1:25" ht="26.25" hidden="1" customHeight="1" x14ac:dyDescent="0.25">
      <c r="B110" s="15"/>
      <c r="C110" s="6" t="s">
        <v>18</v>
      </c>
      <c r="D110" s="23" t="s">
        <v>458</v>
      </c>
      <c r="E110" s="87" t="s">
        <v>161</v>
      </c>
      <c r="F110" s="211" t="s">
        <v>374</v>
      </c>
      <c r="G110" s="48"/>
      <c r="H110" s="39"/>
      <c r="I110" s="309">
        <v>0</v>
      </c>
      <c r="J110" s="39">
        <f t="shared" si="23"/>
        <v>0</v>
      </c>
      <c r="K110" s="309">
        <f>R110*0.8</f>
        <v>2.21</v>
      </c>
      <c r="L110" s="230">
        <f>K110*J411</f>
        <v>0</v>
      </c>
      <c r="M110" s="155"/>
      <c r="N110" s="140"/>
      <c r="O110" s="39"/>
      <c r="P110" s="490">
        <f t="shared" si="30"/>
        <v>0</v>
      </c>
      <c r="Q110" s="264" t="str">
        <f t="shared" si="17"/>
        <v>П84х64х14</v>
      </c>
      <c r="R110" s="377">
        <f t="shared" si="28"/>
        <v>2.76</v>
      </c>
      <c r="S110" s="332">
        <v>2.2999999999999998</v>
      </c>
      <c r="T110" s="353">
        <f t="shared" si="31"/>
        <v>0</v>
      </c>
      <c r="U110" s="20"/>
      <c r="V110" s="20">
        <f t="shared" si="32"/>
        <v>0</v>
      </c>
      <c r="W110" s="52">
        <f t="shared" si="22"/>
        <v>600</v>
      </c>
      <c r="X110" s="444">
        <f>24*25</f>
        <v>600</v>
      </c>
      <c r="Y110" s="10">
        <f>81*30</f>
        <v>2430</v>
      </c>
    </row>
    <row r="111" spans="1:25" ht="26.25" hidden="1" customHeight="1" x14ac:dyDescent="0.25">
      <c r="B111" s="15"/>
      <c r="C111" s="6" t="s">
        <v>18</v>
      </c>
      <c r="D111" s="23" t="s">
        <v>9</v>
      </c>
      <c r="E111" s="87" t="s">
        <v>658</v>
      </c>
      <c r="F111" s="211"/>
      <c r="G111" s="48"/>
      <c r="H111" s="39"/>
      <c r="I111" s="360"/>
      <c r="J111" s="39">
        <f t="shared" si="23"/>
        <v>0</v>
      </c>
      <c r="K111" s="309"/>
      <c r="L111" s="230"/>
      <c r="M111" s="155"/>
      <c r="N111" s="140"/>
      <c r="O111" s="39"/>
      <c r="P111" s="360"/>
      <c r="Q111" s="264" t="str">
        <f t="shared" si="17"/>
        <v>П84*64*20</v>
      </c>
      <c r="R111" s="306"/>
      <c r="S111" s="332"/>
      <c r="T111" s="353">
        <f t="shared" si="31"/>
        <v>0</v>
      </c>
      <c r="U111" s="20">
        <v>500</v>
      </c>
      <c r="V111" s="20">
        <f t="shared" si="32"/>
        <v>0</v>
      </c>
      <c r="W111" s="52"/>
      <c r="X111" s="20">
        <v>500</v>
      </c>
    </row>
    <row r="112" spans="1:25" ht="26.25" hidden="1" customHeight="1" x14ac:dyDescent="0.25">
      <c r="B112" s="15"/>
      <c r="C112" s="6" t="s">
        <v>18</v>
      </c>
      <c r="D112" s="23" t="s">
        <v>9</v>
      </c>
      <c r="E112" s="286" t="s">
        <v>551</v>
      </c>
      <c r="F112" s="211" t="s">
        <v>558</v>
      </c>
      <c r="G112" s="48"/>
      <c r="H112" s="39"/>
      <c r="I112" s="360">
        <v>0</v>
      </c>
      <c r="J112" s="39">
        <f t="shared" si="23"/>
        <v>0</v>
      </c>
      <c r="K112" s="309">
        <f>R112*0.8</f>
        <v>9.98</v>
      </c>
      <c r="L112" s="230">
        <f>K112*J413</f>
        <v>0</v>
      </c>
      <c r="M112" s="91"/>
      <c r="N112" s="279"/>
      <c r="O112" s="39"/>
      <c r="P112" s="360">
        <f t="shared" ref="P112:P132" si="33">K112*O112</f>
        <v>0</v>
      </c>
      <c r="Q112" s="51" t="str">
        <f t="shared" si="17"/>
        <v>П98х32х42</v>
      </c>
      <c r="R112" s="306">
        <f t="shared" ref="R112:R143" si="34">S112*1.2</f>
        <v>12.48</v>
      </c>
      <c r="S112" s="332">
        <v>10.4</v>
      </c>
      <c r="T112" s="353">
        <f t="shared" si="31"/>
        <v>0</v>
      </c>
      <c r="U112" s="20"/>
      <c r="V112" s="20">
        <f t="shared" si="32"/>
        <v>0</v>
      </c>
      <c r="W112" s="52">
        <f t="shared" ref="W112:W143" si="35">X112-U112+V112</f>
        <v>0</v>
      </c>
      <c r="X112" s="20"/>
    </row>
    <row r="113" spans="1:41" ht="26.25" hidden="1" customHeight="1" x14ac:dyDescent="0.25">
      <c r="B113" s="14"/>
      <c r="C113" s="6" t="s">
        <v>18</v>
      </c>
      <c r="D113" s="23" t="s">
        <v>9</v>
      </c>
      <c r="E113" s="286" t="s">
        <v>195</v>
      </c>
      <c r="F113" s="211" t="s">
        <v>559</v>
      </c>
      <c r="G113" s="48"/>
      <c r="H113" s="39"/>
      <c r="I113" s="360">
        <v>0</v>
      </c>
      <c r="J113" s="39">
        <f t="shared" si="23"/>
        <v>0</v>
      </c>
      <c r="K113" s="309">
        <f>R113*0.8</f>
        <v>9.98</v>
      </c>
      <c r="L113" s="230">
        <f>K113*J414</f>
        <v>0</v>
      </c>
      <c r="M113" s="203"/>
      <c r="N113" s="279"/>
      <c r="O113" s="39"/>
      <c r="P113" s="360">
        <f t="shared" si="33"/>
        <v>0</v>
      </c>
      <c r="Q113" s="51" t="str">
        <f t="shared" si="17"/>
        <v>П98х42х32</v>
      </c>
      <c r="R113" s="306">
        <f t="shared" si="34"/>
        <v>12.48</v>
      </c>
      <c r="S113" s="332">
        <v>10.4</v>
      </c>
      <c r="T113" s="353">
        <f t="shared" si="31"/>
        <v>0</v>
      </c>
      <c r="U113" s="20"/>
      <c r="V113" s="20">
        <f t="shared" si="32"/>
        <v>0</v>
      </c>
      <c r="W113" s="52">
        <f t="shared" si="35"/>
        <v>0</v>
      </c>
      <c r="X113" s="20"/>
    </row>
    <row r="114" spans="1:41" ht="29.25" customHeight="1" x14ac:dyDescent="0.25">
      <c r="B114" s="876">
        <v>34</v>
      </c>
      <c r="C114" s="864" t="s">
        <v>18</v>
      </c>
      <c r="D114" s="865" t="s">
        <v>9</v>
      </c>
      <c r="E114" s="877" t="s">
        <v>459</v>
      </c>
      <c r="F114" s="878">
        <v>1244</v>
      </c>
      <c r="G114" s="879" t="s">
        <v>0</v>
      </c>
      <c r="H114" s="868">
        <v>2100</v>
      </c>
      <c r="I114" s="870">
        <v>4221</v>
      </c>
      <c r="J114" s="868">
        <f t="shared" si="23"/>
        <v>4400</v>
      </c>
      <c r="K114" s="870">
        <f>R114*0.8</f>
        <v>2.0099999999999998</v>
      </c>
      <c r="L114" s="871"/>
      <c r="M114" s="880"/>
      <c r="N114" s="881">
        <v>3500</v>
      </c>
      <c r="O114" s="868">
        <v>3000</v>
      </c>
      <c r="P114" s="870">
        <f t="shared" si="33"/>
        <v>6030</v>
      </c>
      <c r="Q114" s="860" t="str">
        <f t="shared" si="17"/>
        <v>ЕАЖИ 757.155.066 (пластина)</v>
      </c>
      <c r="R114" s="306">
        <f t="shared" si="34"/>
        <v>2.5099999999999998</v>
      </c>
      <c r="S114" s="332">
        <f>63.4*0.033</f>
        <v>2.09</v>
      </c>
      <c r="T114" s="353">
        <f t="shared" si="31"/>
        <v>9196</v>
      </c>
      <c r="U114" s="148">
        <v>1500</v>
      </c>
      <c r="V114" s="20">
        <f t="shared" si="32"/>
        <v>3500</v>
      </c>
      <c r="W114" s="52">
        <f t="shared" si="35"/>
        <v>2000</v>
      </c>
      <c r="X114" s="20"/>
    </row>
    <row r="115" spans="1:41" ht="33" customHeight="1" x14ac:dyDescent="0.25">
      <c r="B115" s="15">
        <v>35</v>
      </c>
      <c r="C115" s="6" t="s">
        <v>18</v>
      </c>
      <c r="D115" s="23" t="s">
        <v>9</v>
      </c>
      <c r="E115" s="212" t="s">
        <v>460</v>
      </c>
      <c r="F115" s="208" t="s">
        <v>498</v>
      </c>
      <c r="G115" s="12" t="s">
        <v>0</v>
      </c>
      <c r="H115" s="39">
        <v>1560</v>
      </c>
      <c r="I115" s="360">
        <v>3135.6</v>
      </c>
      <c r="J115" s="39">
        <f t="shared" si="23"/>
        <v>4440</v>
      </c>
      <c r="K115" s="309">
        <f>R115*0.8</f>
        <v>2.0099999999999998</v>
      </c>
      <c r="L115" s="230"/>
      <c r="M115" s="154"/>
      <c r="N115" s="279">
        <v>3000</v>
      </c>
      <c r="O115" s="503">
        <v>3000</v>
      </c>
      <c r="P115" s="309">
        <f t="shared" si="33"/>
        <v>6030</v>
      </c>
      <c r="Q115" s="235" t="str">
        <f t="shared" si="17"/>
        <v>ЕАЖИ 757.156.066 (замыкающая)</v>
      </c>
      <c r="R115" s="306">
        <f t="shared" si="34"/>
        <v>2.5099999999999998</v>
      </c>
      <c r="S115" s="332">
        <f>63.4*0.033</f>
        <v>2.09</v>
      </c>
      <c r="T115" s="353">
        <f t="shared" si="31"/>
        <v>9279.6</v>
      </c>
      <c r="U115" s="148">
        <f>52*30</f>
        <v>1560</v>
      </c>
      <c r="V115" s="20">
        <f t="shared" si="32"/>
        <v>3000</v>
      </c>
      <c r="W115" s="52">
        <f t="shared" si="35"/>
        <v>1530</v>
      </c>
      <c r="X115" s="20">
        <f>3*30</f>
        <v>90</v>
      </c>
      <c r="Y115" s="10">
        <f>131*30</f>
        <v>3930</v>
      </c>
    </row>
    <row r="116" spans="1:41" ht="26.25" hidden="1" customHeight="1" x14ac:dyDescent="0.25">
      <c r="B116" s="14"/>
      <c r="C116" s="6" t="s">
        <v>18</v>
      </c>
      <c r="D116" s="23" t="s">
        <v>9</v>
      </c>
      <c r="E116" s="212" t="s">
        <v>317</v>
      </c>
      <c r="F116" s="211"/>
      <c r="G116" s="48"/>
      <c r="H116" s="39"/>
      <c r="I116" s="309">
        <v>0</v>
      </c>
      <c r="J116" s="39">
        <f t="shared" si="23"/>
        <v>0</v>
      </c>
      <c r="K116" s="309"/>
      <c r="L116" s="230"/>
      <c r="M116" s="64"/>
      <c r="N116" s="279"/>
      <c r="O116" s="39"/>
      <c r="P116" s="490">
        <f t="shared" si="33"/>
        <v>0</v>
      </c>
      <c r="Q116" s="264" t="str">
        <f t="shared" si="17"/>
        <v>П98х23х30</v>
      </c>
      <c r="R116" s="306">
        <f t="shared" si="34"/>
        <v>0</v>
      </c>
      <c r="S116" s="332">
        <v>0</v>
      </c>
      <c r="T116" s="353">
        <f t="shared" si="31"/>
        <v>0</v>
      </c>
      <c r="U116" s="20">
        <v>300</v>
      </c>
      <c r="V116" s="20">
        <f t="shared" si="32"/>
        <v>0</v>
      </c>
      <c r="W116" s="52">
        <f t="shared" si="35"/>
        <v>38</v>
      </c>
      <c r="X116" s="444">
        <v>338</v>
      </c>
    </row>
    <row r="117" spans="1:41" s="4" customFormat="1" ht="26.25" hidden="1" customHeight="1" x14ac:dyDescent="0.25">
      <c r="A117" s="10"/>
      <c r="B117" s="11"/>
      <c r="C117" s="6" t="s">
        <v>18</v>
      </c>
      <c r="D117" s="23" t="s">
        <v>9</v>
      </c>
      <c r="E117" s="212" t="s">
        <v>852</v>
      </c>
      <c r="F117" s="387" t="s">
        <v>858</v>
      </c>
      <c r="G117" s="12" t="s">
        <v>0</v>
      </c>
      <c r="H117" s="39"/>
      <c r="I117" s="360">
        <v>0</v>
      </c>
      <c r="J117" s="39">
        <f t="shared" si="23"/>
        <v>0</v>
      </c>
      <c r="K117" s="309">
        <f>R117*0.8</f>
        <v>6.82</v>
      </c>
      <c r="L117" s="230"/>
      <c r="M117" s="91"/>
      <c r="N117" s="279"/>
      <c r="O117" s="39"/>
      <c r="P117" s="360">
        <f t="shared" si="33"/>
        <v>0</v>
      </c>
      <c r="Q117" s="442" t="str">
        <f t="shared" si="17"/>
        <v>П100х30х15</v>
      </c>
      <c r="R117" s="306">
        <f t="shared" si="34"/>
        <v>8.52</v>
      </c>
      <c r="S117" s="320">
        <v>7.1</v>
      </c>
      <c r="T117" s="353">
        <f t="shared" si="31"/>
        <v>0</v>
      </c>
      <c r="U117" s="20"/>
      <c r="V117" s="20">
        <f t="shared" si="32"/>
        <v>0</v>
      </c>
      <c r="W117" s="52">
        <f t="shared" si="35"/>
        <v>0</v>
      </c>
      <c r="X117" s="20"/>
    </row>
    <row r="118" spans="1:41" ht="26.25" customHeight="1" x14ac:dyDescent="0.25">
      <c r="B118" s="15">
        <v>36</v>
      </c>
      <c r="C118" s="6" t="s">
        <v>18</v>
      </c>
      <c r="D118" s="23" t="s">
        <v>9</v>
      </c>
      <c r="E118" s="43" t="s">
        <v>443</v>
      </c>
      <c r="F118" s="210">
        <v>1062</v>
      </c>
      <c r="G118" s="12" t="s">
        <v>0</v>
      </c>
      <c r="H118" s="39">
        <v>790</v>
      </c>
      <c r="I118" s="360">
        <v>3586.6</v>
      </c>
      <c r="J118" s="39">
        <f t="shared" si="23"/>
        <v>0</v>
      </c>
      <c r="K118" s="309">
        <v>4.54</v>
      </c>
      <c r="L118" s="230"/>
      <c r="M118" s="854"/>
      <c r="N118" s="279"/>
      <c r="O118" s="39">
        <v>790</v>
      </c>
      <c r="P118" s="309">
        <f t="shared" si="33"/>
        <v>3586.6</v>
      </c>
      <c r="Q118" s="235" t="str">
        <f t="shared" ref="Q118:Q181" si="36">E118</f>
        <v>П98х64х14</v>
      </c>
      <c r="R118" s="306">
        <f t="shared" si="34"/>
        <v>7.08</v>
      </c>
      <c r="S118" s="321">
        <v>5.9</v>
      </c>
      <c r="T118" s="353">
        <f t="shared" si="31"/>
        <v>0</v>
      </c>
      <c r="U118" s="18"/>
      <c r="V118" s="20">
        <f t="shared" si="32"/>
        <v>0</v>
      </c>
      <c r="W118" s="52">
        <f t="shared" si="35"/>
        <v>0</v>
      </c>
      <c r="X118" s="18"/>
    </row>
    <row r="119" spans="1:41" ht="26.25" customHeight="1" x14ac:dyDescent="0.25">
      <c r="B119" s="15">
        <v>37</v>
      </c>
      <c r="C119" s="6" t="s">
        <v>18</v>
      </c>
      <c r="D119" s="23" t="s">
        <v>142</v>
      </c>
      <c r="E119" s="104" t="s">
        <v>1</v>
      </c>
      <c r="F119" s="208" t="s">
        <v>64</v>
      </c>
      <c r="G119" s="12" t="s">
        <v>0</v>
      </c>
      <c r="H119" s="39">
        <v>3000</v>
      </c>
      <c r="I119" s="360">
        <v>630</v>
      </c>
      <c r="J119" s="39">
        <f t="shared" si="23"/>
        <v>10200</v>
      </c>
      <c r="K119" s="309">
        <f>R119*0.8</f>
        <v>0.23</v>
      </c>
      <c r="L119" s="230">
        <f t="shared" ref="L119:L127" si="37">K119*J420</f>
        <v>0</v>
      </c>
      <c r="M119" s="154"/>
      <c r="N119" s="140">
        <v>7200</v>
      </c>
      <c r="O119" s="39">
        <v>6000</v>
      </c>
      <c r="P119" s="309">
        <f t="shared" si="33"/>
        <v>1380</v>
      </c>
      <c r="Q119" s="235" t="str">
        <f t="shared" si="36"/>
        <v>ОТИБ 757.151.001</v>
      </c>
      <c r="R119" s="377">
        <f t="shared" si="34"/>
        <v>0.28999999999999998</v>
      </c>
      <c r="S119" s="319">
        <v>0.24</v>
      </c>
      <c r="T119" s="353">
        <f t="shared" si="31"/>
        <v>2448</v>
      </c>
      <c r="U119" s="147">
        <f>3*600</f>
        <v>1800</v>
      </c>
      <c r="V119" s="20">
        <f t="shared" si="32"/>
        <v>7200</v>
      </c>
      <c r="W119" s="52">
        <f t="shared" si="35"/>
        <v>11400</v>
      </c>
      <c r="X119" s="848">
        <f>10*600</f>
        <v>6000</v>
      </c>
      <c r="Y119" s="16">
        <f>3*600+4*600</f>
        <v>4200</v>
      </c>
    </row>
    <row r="120" spans="1:41" ht="26.25" customHeight="1" x14ac:dyDescent="0.25">
      <c r="B120" s="11">
        <v>38</v>
      </c>
      <c r="C120" s="6" t="s">
        <v>18</v>
      </c>
      <c r="D120" s="23" t="s">
        <v>142</v>
      </c>
      <c r="E120" s="104" t="s">
        <v>2</v>
      </c>
      <c r="F120" s="208" t="s">
        <v>63</v>
      </c>
      <c r="G120" s="12" t="s">
        <v>0</v>
      </c>
      <c r="H120" s="39">
        <v>3000</v>
      </c>
      <c r="I120" s="360">
        <v>1050</v>
      </c>
      <c r="J120" s="39">
        <f t="shared" si="23"/>
        <v>10200</v>
      </c>
      <c r="K120" s="309">
        <f>R120*0.8</f>
        <v>0.38</v>
      </c>
      <c r="L120" s="230">
        <f t="shared" si="37"/>
        <v>0</v>
      </c>
      <c r="M120" s="194"/>
      <c r="N120" s="140">
        <v>7200</v>
      </c>
      <c r="O120" s="39">
        <v>6000</v>
      </c>
      <c r="P120" s="309">
        <f t="shared" si="33"/>
        <v>2280</v>
      </c>
      <c r="Q120" s="235" t="str">
        <f t="shared" si="36"/>
        <v>ОТИБ 757.152.001</v>
      </c>
      <c r="R120" s="377">
        <f t="shared" si="34"/>
        <v>0.48</v>
      </c>
      <c r="S120" s="319">
        <v>0.4</v>
      </c>
      <c r="T120" s="353">
        <f t="shared" si="31"/>
        <v>4080</v>
      </c>
      <c r="U120" s="147">
        <f>3*600</f>
        <v>1800</v>
      </c>
      <c r="V120" s="20">
        <f t="shared" si="32"/>
        <v>7200</v>
      </c>
      <c r="W120" s="52">
        <f t="shared" si="35"/>
        <v>11400</v>
      </c>
      <c r="X120" s="848">
        <f>10*600</f>
        <v>6000</v>
      </c>
      <c r="Y120" s="16">
        <f>3*600+3000+4*600</f>
        <v>7200</v>
      </c>
    </row>
    <row r="121" spans="1:41" ht="26.25" customHeight="1" x14ac:dyDescent="0.25">
      <c r="B121" s="11">
        <v>39</v>
      </c>
      <c r="C121" s="6" t="s">
        <v>18</v>
      </c>
      <c r="D121" s="23" t="s">
        <v>142</v>
      </c>
      <c r="E121" s="104" t="s">
        <v>35</v>
      </c>
      <c r="F121" s="208" t="s">
        <v>51</v>
      </c>
      <c r="G121" s="12" t="s">
        <v>0</v>
      </c>
      <c r="H121" s="39">
        <v>1300</v>
      </c>
      <c r="I121" s="360">
        <v>832</v>
      </c>
      <c r="J121" s="39">
        <f t="shared" si="23"/>
        <v>300</v>
      </c>
      <c r="K121" s="309">
        <v>0.64</v>
      </c>
      <c r="L121" s="230">
        <f t="shared" si="37"/>
        <v>0</v>
      </c>
      <c r="M121" s="196"/>
      <c r="N121" s="142">
        <v>1000</v>
      </c>
      <c r="O121" s="39">
        <v>600</v>
      </c>
      <c r="P121" s="309">
        <f t="shared" si="33"/>
        <v>384</v>
      </c>
      <c r="Q121" s="235" t="str">
        <f t="shared" si="36"/>
        <v>КЦИР 757.125.001-04</v>
      </c>
      <c r="R121" s="306">
        <f t="shared" si="34"/>
        <v>1.21</v>
      </c>
      <c r="S121" s="319">
        <v>1.01</v>
      </c>
      <c r="T121" s="353">
        <f t="shared" si="31"/>
        <v>303</v>
      </c>
      <c r="U121" s="148">
        <f>100*10</f>
        <v>1000</v>
      </c>
      <c r="V121" s="20">
        <f t="shared" si="32"/>
        <v>1000</v>
      </c>
      <c r="W121" s="52">
        <f t="shared" si="35"/>
        <v>600</v>
      </c>
      <c r="X121" s="444">
        <v>600</v>
      </c>
      <c r="Y121" s="10">
        <f>16*100</f>
        <v>1600</v>
      </c>
    </row>
    <row r="122" spans="1:41" s="4" customFormat="1" ht="26.25" hidden="1" customHeight="1" x14ac:dyDescent="0.25">
      <c r="A122" s="10"/>
      <c r="B122" s="11"/>
      <c r="C122" s="6" t="s">
        <v>18</v>
      </c>
      <c r="D122" s="23" t="s">
        <v>142</v>
      </c>
      <c r="E122" s="1" t="s">
        <v>372</v>
      </c>
      <c r="F122" s="387" t="s">
        <v>375</v>
      </c>
      <c r="G122" s="48" t="s">
        <v>0</v>
      </c>
      <c r="H122" s="39">
        <v>0</v>
      </c>
      <c r="I122" s="309">
        <v>0</v>
      </c>
      <c r="J122" s="39">
        <f t="shared" si="23"/>
        <v>0</v>
      </c>
      <c r="K122" s="309">
        <f>R122/1.4</f>
        <v>0.34</v>
      </c>
      <c r="L122" s="230">
        <f t="shared" si="37"/>
        <v>0</v>
      </c>
      <c r="M122" s="89"/>
      <c r="N122" s="140"/>
      <c r="O122" s="39">
        <v>0</v>
      </c>
      <c r="P122" s="507">
        <f t="shared" si="33"/>
        <v>0</v>
      </c>
      <c r="Q122" s="264" t="str">
        <f t="shared" si="36"/>
        <v>К19,5х10,2х3,2</v>
      </c>
      <c r="R122" s="377">
        <f t="shared" si="34"/>
        <v>0.48</v>
      </c>
      <c r="S122" s="322">
        <v>0.4</v>
      </c>
      <c r="T122" s="353">
        <f t="shared" si="31"/>
        <v>0</v>
      </c>
      <c r="U122" s="18">
        <v>0</v>
      </c>
      <c r="V122" s="20">
        <f t="shared" si="32"/>
        <v>0</v>
      </c>
      <c r="W122" s="52">
        <f t="shared" si="35"/>
        <v>0</v>
      </c>
      <c r="X122" s="18">
        <v>0</v>
      </c>
    </row>
    <row r="123" spans="1:41" ht="26.25" customHeight="1" x14ac:dyDescent="0.25">
      <c r="B123" s="11">
        <v>40</v>
      </c>
      <c r="C123" s="6" t="s">
        <v>18</v>
      </c>
      <c r="D123" s="23" t="s">
        <v>142</v>
      </c>
      <c r="E123" s="104" t="s">
        <v>28</v>
      </c>
      <c r="F123" s="208" t="s">
        <v>50</v>
      </c>
      <c r="G123" s="12" t="s">
        <v>0</v>
      </c>
      <c r="H123" s="39">
        <v>7680</v>
      </c>
      <c r="I123" s="360">
        <v>1228.8</v>
      </c>
      <c r="J123" s="39">
        <f t="shared" si="23"/>
        <v>9120</v>
      </c>
      <c r="K123" s="309">
        <f>R123/1.4</f>
        <v>0.16</v>
      </c>
      <c r="L123" s="230">
        <f t="shared" si="37"/>
        <v>0</v>
      </c>
      <c r="M123" s="194"/>
      <c r="N123" s="142"/>
      <c r="O123" s="39">
        <v>16800</v>
      </c>
      <c r="P123" s="309">
        <f t="shared" si="33"/>
        <v>2688</v>
      </c>
      <c r="Q123" s="235" t="str">
        <f t="shared" si="36"/>
        <v>П10х20х33</v>
      </c>
      <c r="R123" s="306">
        <f t="shared" si="34"/>
        <v>0.23</v>
      </c>
      <c r="S123" s="319">
        <v>0.19</v>
      </c>
      <c r="T123" s="353">
        <f t="shared" si="31"/>
        <v>1732.8</v>
      </c>
      <c r="U123" s="148">
        <f>6720+2*480</f>
        <v>7680</v>
      </c>
      <c r="V123" s="20">
        <f t="shared" si="32"/>
        <v>0</v>
      </c>
      <c r="W123" s="52">
        <f t="shared" si="35"/>
        <v>9120</v>
      </c>
      <c r="X123" s="444">
        <f>23*480+12*480</f>
        <v>16800</v>
      </c>
      <c r="Y123" s="10">
        <f>(21+17)*480</f>
        <v>18240</v>
      </c>
    </row>
    <row r="124" spans="1:41" s="4" customFormat="1" ht="26.25" hidden="1" customHeight="1" x14ac:dyDescent="0.25">
      <c r="A124" s="10"/>
      <c r="B124" s="11"/>
      <c r="C124" s="6" t="s">
        <v>18</v>
      </c>
      <c r="D124" s="23" t="s">
        <v>142</v>
      </c>
      <c r="E124" s="104" t="s">
        <v>165</v>
      </c>
      <c r="F124" s="210" t="s">
        <v>164</v>
      </c>
      <c r="G124" s="48" t="s">
        <v>0</v>
      </c>
      <c r="H124" s="39"/>
      <c r="I124" s="360">
        <v>0</v>
      </c>
      <c r="J124" s="39">
        <f t="shared" si="23"/>
        <v>0</v>
      </c>
      <c r="K124" s="309">
        <f>R124/1.4</f>
        <v>0.19</v>
      </c>
      <c r="L124" s="230">
        <f t="shared" si="37"/>
        <v>0</v>
      </c>
      <c r="M124" s="205"/>
      <c r="N124" s="140"/>
      <c r="O124" s="503"/>
      <c r="P124" s="309">
        <f t="shared" si="33"/>
        <v>0</v>
      </c>
      <c r="Q124" s="235" t="str">
        <f t="shared" si="36"/>
        <v>П10х20х33-Литопласт</v>
      </c>
      <c r="R124" s="306">
        <f t="shared" si="34"/>
        <v>0.26</v>
      </c>
      <c r="S124" s="336">
        <v>0.22</v>
      </c>
      <c r="T124" s="353">
        <f t="shared" si="31"/>
        <v>0</v>
      </c>
      <c r="U124" s="20"/>
      <c r="V124" s="20">
        <f t="shared" si="32"/>
        <v>0</v>
      </c>
      <c r="W124" s="52">
        <f t="shared" si="35"/>
        <v>0</v>
      </c>
      <c r="X124" s="2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spans="1:41" ht="26.25" customHeight="1" x14ac:dyDescent="0.25">
      <c r="B125" s="11">
        <v>41</v>
      </c>
      <c r="C125" s="6" t="s">
        <v>18</v>
      </c>
      <c r="D125" s="23" t="s">
        <v>142</v>
      </c>
      <c r="E125" s="104" t="s">
        <v>531</v>
      </c>
      <c r="F125" s="208" t="s">
        <v>49</v>
      </c>
      <c r="G125" s="12" t="s">
        <v>0</v>
      </c>
      <c r="H125" s="39">
        <v>2326</v>
      </c>
      <c r="I125" s="360">
        <v>907.14</v>
      </c>
      <c r="J125" s="39">
        <f t="shared" si="23"/>
        <v>0</v>
      </c>
      <c r="K125" s="309">
        <f>R125/1.4</f>
        <v>0.39</v>
      </c>
      <c r="L125" s="230">
        <f t="shared" si="37"/>
        <v>0</v>
      </c>
      <c r="M125" s="205"/>
      <c r="N125" s="140"/>
      <c r="O125" s="39">
        <f>3186-260-100-500</f>
        <v>2326</v>
      </c>
      <c r="P125" s="309">
        <f t="shared" si="33"/>
        <v>907.14</v>
      </c>
      <c r="Q125" s="235" t="str">
        <f t="shared" si="36"/>
        <v>К22,4х8,9х10 ЭПГ110.138</v>
      </c>
      <c r="R125" s="306">
        <f t="shared" si="34"/>
        <v>0.55000000000000004</v>
      </c>
      <c r="S125" s="319">
        <v>0.46</v>
      </c>
      <c r="T125" s="353">
        <f t="shared" si="31"/>
        <v>0</v>
      </c>
      <c r="U125" s="20"/>
      <c r="V125" s="20">
        <f t="shared" si="32"/>
        <v>0</v>
      </c>
      <c r="W125" s="52">
        <f t="shared" si="35"/>
        <v>0</v>
      </c>
      <c r="X125" s="20"/>
    </row>
    <row r="126" spans="1:41" ht="26.25" hidden="1" customHeight="1" x14ac:dyDescent="0.25">
      <c r="B126" s="11"/>
      <c r="C126" s="6" t="s">
        <v>18</v>
      </c>
      <c r="D126" s="23" t="s">
        <v>142</v>
      </c>
      <c r="E126" s="104" t="s">
        <v>470</v>
      </c>
      <c r="F126" s="383">
        <v>1248</v>
      </c>
      <c r="G126" s="48"/>
      <c r="H126" s="39"/>
      <c r="I126" s="309">
        <v>0</v>
      </c>
      <c r="J126" s="39">
        <f t="shared" si="23"/>
        <v>0</v>
      </c>
      <c r="K126" s="309"/>
      <c r="L126" s="230">
        <f t="shared" si="37"/>
        <v>0</v>
      </c>
      <c r="M126" s="89"/>
      <c r="N126" s="142"/>
      <c r="O126" s="39"/>
      <c r="P126" s="490">
        <f t="shared" si="33"/>
        <v>0</v>
      </c>
      <c r="Q126" s="262" t="str">
        <f t="shared" si="36"/>
        <v>П20х16х2,5</v>
      </c>
      <c r="R126" s="377">
        <f t="shared" si="34"/>
        <v>0.12</v>
      </c>
      <c r="S126" s="322">
        <v>0.1</v>
      </c>
      <c r="T126" s="353">
        <f t="shared" si="31"/>
        <v>0</v>
      </c>
      <c r="U126" s="20"/>
      <c r="V126" s="20">
        <f t="shared" si="32"/>
        <v>0</v>
      </c>
      <c r="W126" s="52">
        <f t="shared" si="35"/>
        <v>0</v>
      </c>
      <c r="X126" s="20"/>
    </row>
    <row r="127" spans="1:41" ht="26.25" hidden="1" customHeight="1" x14ac:dyDescent="0.25">
      <c r="B127" s="15"/>
      <c r="C127" s="6" t="s">
        <v>129</v>
      </c>
      <c r="D127" s="23" t="s">
        <v>142</v>
      </c>
      <c r="E127" s="104" t="s">
        <v>130</v>
      </c>
      <c r="F127" s="391" t="s">
        <v>198</v>
      </c>
      <c r="G127" s="19" t="s">
        <v>0</v>
      </c>
      <c r="H127" s="39">
        <v>0</v>
      </c>
      <c r="I127" s="309">
        <v>0</v>
      </c>
      <c r="J127" s="39">
        <f t="shared" si="23"/>
        <v>0</v>
      </c>
      <c r="K127" s="309">
        <f t="shared" ref="K127:K132" si="38">R127/1.4</f>
        <v>1.59</v>
      </c>
      <c r="L127" s="230">
        <f t="shared" si="37"/>
        <v>0</v>
      </c>
      <c r="M127" s="42"/>
      <c r="N127" s="140"/>
      <c r="O127" s="39">
        <v>0</v>
      </c>
      <c r="P127" s="497">
        <f t="shared" si="33"/>
        <v>0</v>
      </c>
      <c r="Q127" s="263" t="str">
        <f t="shared" si="36"/>
        <v>К21,5х15х2 (8ПМ610.033)</v>
      </c>
      <c r="R127" s="377">
        <f t="shared" si="34"/>
        <v>2.2200000000000002</v>
      </c>
      <c r="S127" s="320">
        <v>1.85</v>
      </c>
      <c r="T127" s="353">
        <f t="shared" si="31"/>
        <v>0</v>
      </c>
      <c r="U127" s="18"/>
      <c r="V127" s="20">
        <f t="shared" si="32"/>
        <v>0</v>
      </c>
      <c r="W127" s="52">
        <f t="shared" si="35"/>
        <v>0</v>
      </c>
      <c r="X127" s="18"/>
    </row>
    <row r="128" spans="1:41" ht="26.25" hidden="1" customHeight="1" x14ac:dyDescent="0.25">
      <c r="B128" s="11"/>
      <c r="C128" s="6" t="s">
        <v>18</v>
      </c>
      <c r="D128" s="23" t="s">
        <v>142</v>
      </c>
      <c r="E128" s="104" t="s">
        <v>817</v>
      </c>
      <c r="F128" s="210">
        <v>1289</v>
      </c>
      <c r="G128" s="48" t="s">
        <v>0</v>
      </c>
      <c r="H128" s="39"/>
      <c r="I128" s="360">
        <v>0</v>
      </c>
      <c r="J128" s="39">
        <f t="shared" si="23"/>
        <v>0</v>
      </c>
      <c r="K128" s="309">
        <f t="shared" si="38"/>
        <v>0.04</v>
      </c>
      <c r="L128" s="230">
        <f t="shared" ref="L128:L147" si="39">K128*J432</f>
        <v>0</v>
      </c>
      <c r="M128" s="88"/>
      <c r="N128" s="140"/>
      <c r="O128" s="39"/>
      <c r="P128" s="309">
        <f t="shared" si="33"/>
        <v>0</v>
      </c>
      <c r="Q128" s="51" t="str">
        <f t="shared" si="36"/>
        <v>Д13,5х2</v>
      </c>
      <c r="R128" s="377">
        <f t="shared" si="34"/>
        <v>0.06</v>
      </c>
      <c r="S128" s="337">
        <v>0.05</v>
      </c>
      <c r="T128" s="353">
        <f t="shared" si="31"/>
        <v>0</v>
      </c>
      <c r="U128" s="20"/>
      <c r="V128" s="20">
        <f t="shared" si="32"/>
        <v>0</v>
      </c>
      <c r="W128" s="52">
        <f t="shared" si="35"/>
        <v>0</v>
      </c>
      <c r="X128" s="20"/>
    </row>
    <row r="129" spans="1:208" s="5" customFormat="1" ht="26.25" customHeight="1" thickBot="1" x14ac:dyDescent="0.3">
      <c r="B129" s="14">
        <v>42</v>
      </c>
      <c r="C129" s="6" t="s">
        <v>18</v>
      </c>
      <c r="D129" s="23" t="s">
        <v>142</v>
      </c>
      <c r="E129" s="104" t="s">
        <v>502</v>
      </c>
      <c r="F129" s="390">
        <v>761</v>
      </c>
      <c r="G129" s="12" t="s">
        <v>0</v>
      </c>
      <c r="H129" s="39"/>
      <c r="I129" s="309">
        <v>0</v>
      </c>
      <c r="J129" s="39">
        <f t="shared" si="23"/>
        <v>100</v>
      </c>
      <c r="K129" s="309">
        <f t="shared" si="38"/>
        <v>1.03</v>
      </c>
      <c r="L129" s="230">
        <f t="shared" si="39"/>
        <v>161</v>
      </c>
      <c r="M129" s="42"/>
      <c r="N129" s="140">
        <v>100</v>
      </c>
      <c r="O129" s="39"/>
      <c r="P129" s="490">
        <f t="shared" si="33"/>
        <v>0</v>
      </c>
      <c r="Q129" s="256" t="str">
        <f t="shared" si="36"/>
        <v>Д15х7х5</v>
      </c>
      <c r="R129" s="306">
        <f t="shared" si="34"/>
        <v>1.44</v>
      </c>
      <c r="S129" s="319">
        <v>1.2</v>
      </c>
      <c r="T129" s="353">
        <f t="shared" si="31"/>
        <v>120</v>
      </c>
      <c r="U129" s="18"/>
      <c r="V129" s="20">
        <f t="shared" si="32"/>
        <v>100</v>
      </c>
      <c r="W129" s="52">
        <f t="shared" si="35"/>
        <v>100</v>
      </c>
      <c r="X129" s="18"/>
    </row>
    <row r="130" spans="1:208" ht="26.25" hidden="1" customHeight="1" x14ac:dyDescent="0.25">
      <c r="B130" s="15"/>
      <c r="C130" s="6" t="s">
        <v>18</v>
      </c>
      <c r="D130" s="23" t="s">
        <v>142</v>
      </c>
      <c r="E130" s="106" t="s">
        <v>185</v>
      </c>
      <c r="F130" s="386">
        <v>879</v>
      </c>
      <c r="G130" s="19" t="s">
        <v>0</v>
      </c>
      <c r="H130" s="39"/>
      <c r="I130" s="309">
        <v>0</v>
      </c>
      <c r="J130" s="39">
        <f t="shared" si="23"/>
        <v>0</v>
      </c>
      <c r="K130" s="309">
        <f t="shared" si="38"/>
        <v>0.39</v>
      </c>
      <c r="L130" s="230">
        <f t="shared" si="39"/>
        <v>0</v>
      </c>
      <c r="M130" s="42" t="s">
        <v>155</v>
      </c>
      <c r="N130" s="140"/>
      <c r="O130" s="39"/>
      <c r="P130" s="309">
        <f t="shared" si="33"/>
        <v>0</v>
      </c>
      <c r="Q130" s="262" t="str">
        <f t="shared" si="36"/>
        <v>К9,7х4,5х12,5</v>
      </c>
      <c r="R130" s="377">
        <f t="shared" si="34"/>
        <v>0.54</v>
      </c>
      <c r="S130" s="320">
        <v>0.45</v>
      </c>
      <c r="T130" s="353">
        <f t="shared" si="31"/>
        <v>0</v>
      </c>
      <c r="U130" s="18">
        <v>0</v>
      </c>
      <c r="V130" s="20">
        <f t="shared" si="32"/>
        <v>0</v>
      </c>
      <c r="W130" s="52">
        <f t="shared" si="35"/>
        <v>0</v>
      </c>
      <c r="X130" s="18">
        <v>0</v>
      </c>
    </row>
    <row r="131" spans="1:208" s="21" customFormat="1" ht="26.25" customHeight="1" x14ac:dyDescent="0.25">
      <c r="B131" s="15">
        <v>43</v>
      </c>
      <c r="C131" s="6" t="s">
        <v>18</v>
      </c>
      <c r="D131" s="23" t="s">
        <v>142</v>
      </c>
      <c r="E131" s="104" t="s">
        <v>515</v>
      </c>
      <c r="F131" s="526" t="s">
        <v>585</v>
      </c>
      <c r="G131" s="19" t="s">
        <v>0</v>
      </c>
      <c r="H131" s="39">
        <v>299136</v>
      </c>
      <c r="I131" s="309">
        <v>8974.08</v>
      </c>
      <c r="J131" s="39">
        <f t="shared" si="23"/>
        <v>1864</v>
      </c>
      <c r="K131" s="309">
        <f t="shared" si="38"/>
        <v>0.03</v>
      </c>
      <c r="L131" s="230">
        <f t="shared" si="39"/>
        <v>0</v>
      </c>
      <c r="M131" s="271"/>
      <c r="N131" s="140">
        <v>14000</v>
      </c>
      <c r="O131" s="39">
        <f>41*7000</f>
        <v>287000</v>
      </c>
      <c r="P131" s="309">
        <f t="shared" si="33"/>
        <v>8610</v>
      </c>
      <c r="Q131" s="263" t="str">
        <f t="shared" si="36"/>
        <v>П10х5х5</v>
      </c>
      <c r="R131" s="377">
        <f t="shared" si="34"/>
        <v>0.04</v>
      </c>
      <c r="S131" s="320">
        <v>0.03</v>
      </c>
      <c r="T131" s="353">
        <f t="shared" si="31"/>
        <v>55.92</v>
      </c>
      <c r="U131" s="147">
        <f>48*7000+2*7000</f>
        <v>350000</v>
      </c>
      <c r="V131" s="20">
        <f t="shared" si="32"/>
        <v>14000</v>
      </c>
      <c r="W131" s="52">
        <f t="shared" si="35"/>
        <v>-147000</v>
      </c>
      <c r="X131" s="848">
        <f>27*7000</f>
        <v>189000</v>
      </c>
      <c r="Y131" s="21">
        <f>40*7000</f>
        <v>280000</v>
      </c>
    </row>
    <row r="132" spans="1:208" s="3" customFormat="1" ht="26.25" customHeight="1" x14ac:dyDescent="0.25">
      <c r="B132" s="11">
        <v>44</v>
      </c>
      <c r="C132" s="6" t="s">
        <v>18</v>
      </c>
      <c r="D132" s="23" t="s">
        <v>142</v>
      </c>
      <c r="E132" s="104" t="s">
        <v>134</v>
      </c>
      <c r="F132" s="526" t="s">
        <v>236</v>
      </c>
      <c r="G132" s="12" t="s">
        <v>0</v>
      </c>
      <c r="H132" s="39"/>
      <c r="I132" s="360"/>
      <c r="J132" s="39">
        <f t="shared" si="23"/>
        <v>1160</v>
      </c>
      <c r="K132" s="309">
        <f t="shared" si="38"/>
        <v>0.87</v>
      </c>
      <c r="L132" s="230">
        <f t="shared" si="39"/>
        <v>0</v>
      </c>
      <c r="M132" s="89"/>
      <c r="N132" s="140">
        <v>100</v>
      </c>
      <c r="O132" s="503">
        <f>320*3+100</f>
        <v>1060</v>
      </c>
      <c r="P132" s="309">
        <f t="shared" si="33"/>
        <v>922.2</v>
      </c>
      <c r="Q132" s="235" t="str">
        <f t="shared" si="36"/>
        <v>ЭПГ110.084</v>
      </c>
      <c r="R132" s="377">
        <f t="shared" si="34"/>
        <v>1.22</v>
      </c>
      <c r="S132" s="321">
        <v>1.02</v>
      </c>
      <c r="T132" s="353">
        <f t="shared" si="31"/>
        <v>1183.2</v>
      </c>
      <c r="U132" s="147">
        <f>320*3+272</f>
        <v>1232</v>
      </c>
      <c r="V132" s="20">
        <f t="shared" si="32"/>
        <v>100</v>
      </c>
      <c r="W132" s="52">
        <f t="shared" si="35"/>
        <v>0</v>
      </c>
      <c r="X132" s="848">
        <f>320*3+272-100</f>
        <v>1132</v>
      </c>
    </row>
    <row r="133" spans="1:208" ht="26.25" customHeight="1" x14ac:dyDescent="0.25">
      <c r="B133" s="11">
        <v>45</v>
      </c>
      <c r="C133" s="6" t="s">
        <v>18</v>
      </c>
      <c r="D133" s="23" t="s">
        <v>142</v>
      </c>
      <c r="E133" s="104" t="s">
        <v>429</v>
      </c>
      <c r="F133" s="208" t="s">
        <v>68</v>
      </c>
      <c r="G133" s="12" t="s">
        <v>0</v>
      </c>
      <c r="H133" s="39">
        <v>115</v>
      </c>
      <c r="I133" s="360">
        <v>23.95</v>
      </c>
      <c r="J133" s="39">
        <f t="shared" si="23"/>
        <v>0</v>
      </c>
      <c r="K133" s="309">
        <v>0.21</v>
      </c>
      <c r="L133" s="230">
        <f t="shared" si="39"/>
        <v>0</v>
      </c>
      <c r="M133" s="92"/>
      <c r="N133" s="140"/>
      <c r="O133" s="39">
        <v>115</v>
      </c>
      <c r="P133" s="309">
        <v>23.95</v>
      </c>
      <c r="Q133" s="235" t="str">
        <f t="shared" si="36"/>
        <v>ЭПГ 110.139 (К18х10х6)</v>
      </c>
      <c r="R133" s="377">
        <f t="shared" si="34"/>
        <v>0.28999999999999998</v>
      </c>
      <c r="S133" s="338">
        <v>0.24299999999999999</v>
      </c>
      <c r="T133" s="353">
        <f t="shared" si="31"/>
        <v>0</v>
      </c>
      <c r="U133" s="18">
        <v>500</v>
      </c>
      <c r="V133" s="20">
        <f t="shared" si="32"/>
        <v>0</v>
      </c>
      <c r="W133" s="52">
        <f t="shared" si="35"/>
        <v>0</v>
      </c>
      <c r="X133" s="848">
        <v>500</v>
      </c>
    </row>
    <row r="134" spans="1:208" s="4" customFormat="1" ht="26.25" customHeight="1" x14ac:dyDescent="0.25">
      <c r="A134" s="10"/>
      <c r="B134" s="11">
        <v>46</v>
      </c>
      <c r="C134" s="6" t="s">
        <v>18</v>
      </c>
      <c r="D134" s="23" t="s">
        <v>142</v>
      </c>
      <c r="E134" s="87" t="s">
        <v>338</v>
      </c>
      <c r="F134" s="526" t="s">
        <v>534</v>
      </c>
      <c r="G134" s="12" t="s">
        <v>0</v>
      </c>
      <c r="H134" s="39">
        <v>180</v>
      </c>
      <c r="I134" s="360">
        <v>307.8</v>
      </c>
      <c r="J134" s="39">
        <f t="shared" ref="J134:J197" si="40">N134+O134-H134</f>
        <v>0</v>
      </c>
      <c r="K134" s="309">
        <f t="shared" ref="K134:K139" si="41">R134/1.4</f>
        <v>1.71</v>
      </c>
      <c r="L134" s="230">
        <f t="shared" si="39"/>
        <v>0</v>
      </c>
      <c r="M134" s="205"/>
      <c r="N134" s="140"/>
      <c r="O134" s="39">
        <v>180</v>
      </c>
      <c r="P134" s="309">
        <f t="shared" ref="P134:P139" si="42">K134*O134</f>
        <v>307.8</v>
      </c>
      <c r="Q134" s="235" t="str">
        <f t="shared" si="36"/>
        <v>Д12х5,5</v>
      </c>
      <c r="R134" s="306">
        <f t="shared" si="34"/>
        <v>2.4</v>
      </c>
      <c r="S134" s="326">
        <v>2</v>
      </c>
      <c r="T134" s="353">
        <f t="shared" si="31"/>
        <v>0</v>
      </c>
      <c r="U134" s="18">
        <v>0</v>
      </c>
      <c r="V134" s="20">
        <f t="shared" ref="V134:V165" si="43">N134</f>
        <v>0</v>
      </c>
      <c r="W134" s="52">
        <f t="shared" si="35"/>
        <v>0</v>
      </c>
      <c r="X134" s="18">
        <v>0</v>
      </c>
    </row>
    <row r="135" spans="1:208" s="4" customFormat="1" ht="26.25" customHeight="1" x14ac:dyDescent="0.25">
      <c r="A135" s="10"/>
      <c r="B135" s="11">
        <v>47</v>
      </c>
      <c r="C135" s="6" t="s">
        <v>18</v>
      </c>
      <c r="D135" s="23" t="s">
        <v>142</v>
      </c>
      <c r="E135" s="87" t="s">
        <v>450</v>
      </c>
      <c r="F135" s="526" t="s">
        <v>457</v>
      </c>
      <c r="G135" s="12" t="s">
        <v>0</v>
      </c>
      <c r="H135" s="39">
        <v>600</v>
      </c>
      <c r="I135" s="360">
        <v>66</v>
      </c>
      <c r="J135" s="39">
        <f t="shared" si="40"/>
        <v>0</v>
      </c>
      <c r="K135" s="309">
        <f t="shared" si="41"/>
        <v>0.11</v>
      </c>
      <c r="L135" s="230">
        <f t="shared" si="39"/>
        <v>0</v>
      </c>
      <c r="M135" s="42"/>
      <c r="N135" s="140"/>
      <c r="O135" s="39">
        <v>600</v>
      </c>
      <c r="P135" s="309">
        <f t="shared" si="42"/>
        <v>66</v>
      </c>
      <c r="Q135" s="235" t="str">
        <f t="shared" si="36"/>
        <v>п33х20х2,5</v>
      </c>
      <c r="R135" s="377">
        <f t="shared" si="34"/>
        <v>0.16</v>
      </c>
      <c r="S135" s="319">
        <v>0.13</v>
      </c>
      <c r="T135" s="353">
        <f t="shared" si="31"/>
        <v>0</v>
      </c>
      <c r="U135" s="18">
        <v>0</v>
      </c>
      <c r="V135" s="20">
        <f t="shared" si="43"/>
        <v>0</v>
      </c>
      <c r="W135" s="52">
        <f t="shared" si="35"/>
        <v>0</v>
      </c>
      <c r="X135" s="18">
        <v>0</v>
      </c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spans="1:208" s="4" customFormat="1" ht="26.25" hidden="1" customHeight="1" x14ac:dyDescent="0.25">
      <c r="A136" s="10"/>
      <c r="B136" s="11"/>
      <c r="C136" s="6" t="s">
        <v>18</v>
      </c>
      <c r="D136" s="23" t="s">
        <v>142</v>
      </c>
      <c r="E136" s="87" t="s">
        <v>818</v>
      </c>
      <c r="F136" s="387" t="s">
        <v>822</v>
      </c>
      <c r="G136" s="14" t="s">
        <v>0</v>
      </c>
      <c r="H136" s="39"/>
      <c r="I136" s="309">
        <v>0</v>
      </c>
      <c r="J136" s="39">
        <f t="shared" si="40"/>
        <v>0</v>
      </c>
      <c r="K136" s="309">
        <f t="shared" si="41"/>
        <v>49.71</v>
      </c>
      <c r="L136" s="230">
        <f t="shared" si="39"/>
        <v>0</v>
      </c>
      <c r="M136" s="89"/>
      <c r="N136" s="140"/>
      <c r="O136" s="39"/>
      <c r="P136" s="467">
        <f t="shared" si="42"/>
        <v>0</v>
      </c>
      <c r="Q136" s="262" t="str">
        <f t="shared" si="36"/>
        <v>К34х26х3</v>
      </c>
      <c r="R136" s="377">
        <f t="shared" si="34"/>
        <v>69.599999999999994</v>
      </c>
      <c r="S136" s="326">
        <v>58</v>
      </c>
      <c r="T136" s="353">
        <f t="shared" ref="T136:T165" si="44">S136*J136</f>
        <v>0</v>
      </c>
      <c r="U136" s="20"/>
      <c r="V136" s="20">
        <f t="shared" si="43"/>
        <v>0</v>
      </c>
      <c r="W136" s="52">
        <f t="shared" si="35"/>
        <v>0</v>
      </c>
      <c r="X136" s="20"/>
    </row>
    <row r="137" spans="1:208" ht="26.25" hidden="1" customHeight="1" x14ac:dyDescent="0.25">
      <c r="B137" s="11"/>
      <c r="C137" s="6" t="s">
        <v>18</v>
      </c>
      <c r="D137" s="23" t="s">
        <v>142</v>
      </c>
      <c r="E137" s="107" t="s">
        <v>114</v>
      </c>
      <c r="F137" s="210" t="s">
        <v>117</v>
      </c>
      <c r="G137" s="48" t="s">
        <v>0</v>
      </c>
      <c r="H137" s="39"/>
      <c r="I137" s="309">
        <v>0</v>
      </c>
      <c r="J137" s="39">
        <f t="shared" si="40"/>
        <v>0</v>
      </c>
      <c r="K137" s="309">
        <f t="shared" si="41"/>
        <v>0.01</v>
      </c>
      <c r="L137" s="230">
        <f t="shared" si="39"/>
        <v>0</v>
      </c>
      <c r="M137" s="82"/>
      <c r="N137" s="140"/>
      <c r="O137" s="39"/>
      <c r="P137" s="309">
        <f t="shared" si="42"/>
        <v>0</v>
      </c>
      <c r="Q137" s="235" t="str">
        <f t="shared" si="36"/>
        <v>ЖЕ7.074.896   (К14,2*9,5*4,6)</v>
      </c>
      <c r="R137" s="377">
        <f t="shared" si="34"/>
        <v>0.02</v>
      </c>
      <c r="S137" s="339">
        <v>2.0400000000000001E-2</v>
      </c>
      <c r="T137" s="353">
        <f t="shared" si="44"/>
        <v>0</v>
      </c>
      <c r="U137" s="20">
        <f>4*3000</f>
        <v>12000</v>
      </c>
      <c r="V137" s="20">
        <f t="shared" si="43"/>
        <v>0</v>
      </c>
      <c r="W137" s="52">
        <f t="shared" si="35"/>
        <v>0</v>
      </c>
      <c r="X137" s="20">
        <f>4*3000</f>
        <v>12000</v>
      </c>
    </row>
    <row r="138" spans="1:208" ht="26.25" hidden="1" customHeight="1" x14ac:dyDescent="0.25">
      <c r="B138" s="11"/>
      <c r="C138" s="6" t="s">
        <v>18</v>
      </c>
      <c r="D138" s="23" t="s">
        <v>142</v>
      </c>
      <c r="E138" s="107" t="s">
        <v>173</v>
      </c>
      <c r="F138" s="208" t="s">
        <v>118</v>
      </c>
      <c r="G138" s="48" t="s">
        <v>0</v>
      </c>
      <c r="H138" s="39"/>
      <c r="I138" s="309">
        <v>0</v>
      </c>
      <c r="J138" s="39">
        <f t="shared" si="40"/>
        <v>0</v>
      </c>
      <c r="K138" s="309">
        <f t="shared" si="41"/>
        <v>0.01</v>
      </c>
      <c r="L138" s="230">
        <f t="shared" si="39"/>
        <v>0</v>
      </c>
      <c r="M138" s="204"/>
      <c r="N138" s="140"/>
      <c r="O138" s="39"/>
      <c r="P138" s="309">
        <f t="shared" si="42"/>
        <v>0</v>
      </c>
      <c r="Q138" s="235" t="str">
        <f t="shared" si="36"/>
        <v>ЖЕ7.074.978   (Д14)</v>
      </c>
      <c r="R138" s="377">
        <f t="shared" si="34"/>
        <v>0.02</v>
      </c>
      <c r="S138" s="319">
        <v>1.5599999999999999E-2</v>
      </c>
      <c r="T138" s="353">
        <f t="shared" si="44"/>
        <v>0</v>
      </c>
      <c r="U138" s="18"/>
      <c r="V138" s="20">
        <f t="shared" si="43"/>
        <v>0</v>
      </c>
      <c r="W138" s="52">
        <f t="shared" si="35"/>
        <v>0</v>
      </c>
      <c r="X138" s="18"/>
    </row>
    <row r="139" spans="1:208" s="4" customFormat="1" ht="26.25" hidden="1" customHeight="1" x14ac:dyDescent="0.25">
      <c r="A139" s="10"/>
      <c r="B139" s="11"/>
      <c r="C139" s="6" t="s">
        <v>18</v>
      </c>
      <c r="D139" s="23" t="s">
        <v>142</v>
      </c>
      <c r="E139" s="87" t="s">
        <v>532</v>
      </c>
      <c r="F139" s="375">
        <v>1329</v>
      </c>
      <c r="G139" s="14" t="s">
        <v>0</v>
      </c>
      <c r="H139" s="39"/>
      <c r="I139" s="360">
        <v>0</v>
      </c>
      <c r="J139" s="39">
        <f t="shared" si="40"/>
        <v>0</v>
      </c>
      <c r="K139" s="309">
        <f t="shared" si="41"/>
        <v>8.57</v>
      </c>
      <c r="L139" s="230">
        <f t="shared" si="39"/>
        <v>0</v>
      </c>
      <c r="M139" s="205" t="s">
        <v>536</v>
      </c>
      <c r="N139" s="140"/>
      <c r="O139" s="39"/>
      <c r="P139" s="309">
        <f t="shared" si="42"/>
        <v>0</v>
      </c>
      <c r="Q139" s="263" t="str">
        <f t="shared" si="36"/>
        <v>магнитопл П250х25х1</v>
      </c>
      <c r="R139" s="306">
        <f t="shared" si="34"/>
        <v>12</v>
      </c>
      <c r="S139" s="322">
        <v>10</v>
      </c>
      <c r="T139" s="353">
        <f t="shared" si="44"/>
        <v>0</v>
      </c>
      <c r="U139" s="18"/>
      <c r="V139" s="20">
        <f t="shared" si="43"/>
        <v>0</v>
      </c>
      <c r="W139" s="52">
        <f t="shared" si="35"/>
        <v>0</v>
      </c>
      <c r="X139" s="18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</row>
    <row r="140" spans="1:208" ht="26.25" customHeight="1" x14ac:dyDescent="0.25">
      <c r="B140" s="11">
        <v>48</v>
      </c>
      <c r="C140" s="6" t="s">
        <v>18</v>
      </c>
      <c r="D140" s="23" t="s">
        <v>142</v>
      </c>
      <c r="E140" s="107" t="s">
        <v>122</v>
      </c>
      <c r="F140" s="208" t="s">
        <v>125</v>
      </c>
      <c r="G140" s="12" t="s">
        <v>0</v>
      </c>
      <c r="H140" s="39">
        <v>1300</v>
      </c>
      <c r="I140" s="360">
        <v>149.76</v>
      </c>
      <c r="J140" s="39">
        <f t="shared" si="40"/>
        <v>0</v>
      </c>
      <c r="K140" s="309">
        <v>0.12</v>
      </c>
      <c r="L140" s="230">
        <f t="shared" si="39"/>
        <v>0</v>
      </c>
      <c r="M140" s="92"/>
      <c r="N140" s="140"/>
      <c r="O140" s="39">
        <v>1300</v>
      </c>
      <c r="P140" s="309">
        <v>149.76</v>
      </c>
      <c r="Q140" s="235" t="str">
        <f t="shared" si="36"/>
        <v>ЖЕ7.074.975   (К23,6*9,5*21)</v>
      </c>
      <c r="R140" s="377">
        <f t="shared" si="34"/>
        <v>0.16</v>
      </c>
      <c r="S140" s="319">
        <v>0.13439999999999999</v>
      </c>
      <c r="T140" s="353">
        <f t="shared" si="44"/>
        <v>0</v>
      </c>
      <c r="U140" s="20"/>
      <c r="V140" s="20">
        <f t="shared" si="43"/>
        <v>0</v>
      </c>
      <c r="W140" s="52">
        <f t="shared" si="35"/>
        <v>0</v>
      </c>
      <c r="X140" s="20"/>
    </row>
    <row r="141" spans="1:208" ht="32.25" customHeight="1" x14ac:dyDescent="0.25">
      <c r="B141" s="11">
        <v>49</v>
      </c>
      <c r="C141" s="6" t="s">
        <v>18</v>
      </c>
      <c r="D141" s="23" t="s">
        <v>142</v>
      </c>
      <c r="E141" s="106" t="s">
        <v>248</v>
      </c>
      <c r="F141" s="526" t="s">
        <v>235</v>
      </c>
      <c r="G141" s="12" t="s">
        <v>0</v>
      </c>
      <c r="H141" s="39">
        <v>16000</v>
      </c>
      <c r="I141" s="360">
        <v>640</v>
      </c>
      <c r="J141" s="39">
        <f t="shared" si="40"/>
        <v>0</v>
      </c>
      <c r="K141" s="309">
        <f>R141/1.4</f>
        <v>0.04</v>
      </c>
      <c r="L141" s="230">
        <f t="shared" si="39"/>
        <v>0</v>
      </c>
      <c r="M141" s="460"/>
      <c r="N141" s="140"/>
      <c r="O141" s="39">
        <v>16000</v>
      </c>
      <c r="P141" s="309">
        <f>K141*O141</f>
        <v>640</v>
      </c>
      <c r="Q141" s="235" t="str">
        <f t="shared" si="36"/>
        <v>К14,5х10х3,3 ЭПГ110.173</v>
      </c>
      <c r="R141" s="306">
        <f t="shared" si="34"/>
        <v>0.06</v>
      </c>
      <c r="S141" s="322">
        <f>1.52*0.034</f>
        <v>0.05</v>
      </c>
      <c r="T141" s="353">
        <f t="shared" si="44"/>
        <v>0</v>
      </c>
      <c r="U141" s="147">
        <v>4000</v>
      </c>
      <c r="V141" s="20">
        <f t="shared" si="43"/>
        <v>0</v>
      </c>
      <c r="W141" s="52">
        <f t="shared" si="35"/>
        <v>40000</v>
      </c>
      <c r="X141" s="848">
        <f>4000*11</f>
        <v>44000</v>
      </c>
      <c r="Y141" s="10">
        <f>15*4000</f>
        <v>60000</v>
      </c>
    </row>
    <row r="142" spans="1:208" ht="26.25" customHeight="1" x14ac:dyDescent="0.25">
      <c r="B142" s="11">
        <v>50</v>
      </c>
      <c r="C142" s="6" t="s">
        <v>18</v>
      </c>
      <c r="D142" s="23" t="s">
        <v>142</v>
      </c>
      <c r="E142" s="104" t="s">
        <v>612</v>
      </c>
      <c r="F142" s="208" t="s">
        <v>174</v>
      </c>
      <c r="G142" s="12" t="s">
        <v>0</v>
      </c>
      <c r="H142" s="39">
        <v>3950</v>
      </c>
      <c r="I142" s="360">
        <v>158</v>
      </c>
      <c r="J142" s="39">
        <f t="shared" si="40"/>
        <v>0</v>
      </c>
      <c r="K142" s="309">
        <f>R142/1.4</f>
        <v>0.04</v>
      </c>
      <c r="L142" s="230">
        <f t="shared" si="39"/>
        <v>0</v>
      </c>
      <c r="M142" s="42"/>
      <c r="N142" s="140"/>
      <c r="O142" s="39">
        <v>3950</v>
      </c>
      <c r="P142" s="309">
        <f>K142*O142</f>
        <v>158</v>
      </c>
      <c r="Q142" s="235" t="str">
        <f t="shared" si="36"/>
        <v xml:space="preserve">Д13.5х2,5 </v>
      </c>
      <c r="R142" s="377">
        <f t="shared" si="34"/>
        <v>0.06</v>
      </c>
      <c r="S142" s="320">
        <v>0.05</v>
      </c>
      <c r="T142" s="353">
        <f t="shared" si="44"/>
        <v>0</v>
      </c>
      <c r="U142" s="20">
        <f>2*5000</f>
        <v>10000</v>
      </c>
      <c r="V142" s="20">
        <f t="shared" si="43"/>
        <v>0</v>
      </c>
      <c r="W142" s="52">
        <f t="shared" si="35"/>
        <v>0</v>
      </c>
      <c r="X142" s="20">
        <f>2*5000</f>
        <v>10000</v>
      </c>
    </row>
    <row r="143" spans="1:208" ht="26.25" customHeight="1" x14ac:dyDescent="0.25">
      <c r="B143" s="11">
        <v>51</v>
      </c>
      <c r="C143" s="6" t="s">
        <v>18</v>
      </c>
      <c r="D143" s="23" t="s">
        <v>142</v>
      </c>
      <c r="E143" s="104" t="s">
        <v>153</v>
      </c>
      <c r="F143" s="208" t="s">
        <v>175</v>
      </c>
      <c r="G143" s="12" t="s">
        <v>0</v>
      </c>
      <c r="H143" s="39">
        <v>1640</v>
      </c>
      <c r="I143" s="360">
        <v>8.36</v>
      </c>
      <c r="J143" s="39">
        <f t="shared" si="40"/>
        <v>0</v>
      </c>
      <c r="K143" s="309">
        <v>0.01</v>
      </c>
      <c r="L143" s="230">
        <f t="shared" si="39"/>
        <v>0</v>
      </c>
      <c r="M143" s="42"/>
      <c r="N143" s="140"/>
      <c r="O143" s="39">
        <f>2000-360</f>
        <v>1640</v>
      </c>
      <c r="P143" s="309">
        <v>8.36</v>
      </c>
      <c r="Q143" s="235" t="str">
        <f t="shared" si="36"/>
        <v>Д13.5х4,5 (ненамаг)</v>
      </c>
      <c r="R143" s="377">
        <f t="shared" si="34"/>
        <v>0.01</v>
      </c>
      <c r="S143" s="320">
        <v>6.0000000000000001E-3</v>
      </c>
      <c r="T143" s="353">
        <f t="shared" si="44"/>
        <v>0</v>
      </c>
      <c r="U143" s="20"/>
      <c r="V143" s="20">
        <f t="shared" si="43"/>
        <v>0</v>
      </c>
      <c r="W143" s="52">
        <f t="shared" si="35"/>
        <v>0</v>
      </c>
      <c r="X143" s="20"/>
    </row>
    <row r="144" spans="1:208" ht="26.25" customHeight="1" x14ac:dyDescent="0.25">
      <c r="B144" s="11">
        <v>52</v>
      </c>
      <c r="C144" s="6" t="s">
        <v>18</v>
      </c>
      <c r="D144" s="23" t="s">
        <v>142</v>
      </c>
      <c r="E144" s="104" t="s">
        <v>32</v>
      </c>
      <c r="F144" s="208" t="s">
        <v>53</v>
      </c>
      <c r="G144" s="12" t="s">
        <v>0</v>
      </c>
      <c r="H144" s="39">
        <v>5000</v>
      </c>
      <c r="I144" s="360">
        <v>43</v>
      </c>
      <c r="J144" s="39">
        <f t="shared" si="40"/>
        <v>0</v>
      </c>
      <c r="K144" s="309">
        <v>0.01</v>
      </c>
      <c r="L144" s="230">
        <f t="shared" si="39"/>
        <v>0</v>
      </c>
      <c r="M144" s="89"/>
      <c r="N144" s="140"/>
      <c r="O144" s="39">
        <v>5000</v>
      </c>
      <c r="P144" s="309">
        <v>43</v>
      </c>
      <c r="Q144" s="235" t="str">
        <f t="shared" si="36"/>
        <v>Д 8,2х6,4</v>
      </c>
      <c r="R144" s="377">
        <f t="shared" ref="R144:R175" si="45">S144*1.2</f>
        <v>0.01</v>
      </c>
      <c r="S144" s="319">
        <v>0.01</v>
      </c>
      <c r="T144" s="353">
        <f t="shared" si="44"/>
        <v>0</v>
      </c>
      <c r="U144" s="20">
        <f>5000*6+4950</f>
        <v>34950</v>
      </c>
      <c r="V144" s="20">
        <f t="shared" si="43"/>
        <v>0</v>
      </c>
      <c r="W144" s="52">
        <f t="shared" ref="W144:W165" si="46">X144-U144+V144</f>
        <v>0</v>
      </c>
      <c r="X144" s="444">
        <f>5000*6+4950</f>
        <v>34950</v>
      </c>
    </row>
    <row r="145" spans="1:41" ht="26.25" customHeight="1" x14ac:dyDescent="0.25">
      <c r="B145" s="11">
        <v>53</v>
      </c>
      <c r="C145" s="6" t="s">
        <v>18</v>
      </c>
      <c r="D145" s="23" t="s">
        <v>142</v>
      </c>
      <c r="E145" s="105" t="s">
        <v>86</v>
      </c>
      <c r="F145" s="392">
        <v>503</v>
      </c>
      <c r="G145" s="12" t="s">
        <v>0</v>
      </c>
      <c r="H145" s="39">
        <v>2200</v>
      </c>
      <c r="I145" s="360">
        <v>277.2</v>
      </c>
      <c r="J145" s="39">
        <f t="shared" si="40"/>
        <v>0</v>
      </c>
      <c r="K145" s="309">
        <v>0.13</v>
      </c>
      <c r="L145" s="230">
        <f t="shared" si="39"/>
        <v>0</v>
      </c>
      <c r="M145" s="42"/>
      <c r="N145" s="140"/>
      <c r="O145" s="39">
        <v>2200</v>
      </c>
      <c r="P145" s="309">
        <v>277.2</v>
      </c>
      <c r="Q145" s="235" t="str">
        <f t="shared" si="36"/>
        <v>Д16х4</v>
      </c>
      <c r="R145" s="377">
        <f t="shared" si="45"/>
        <v>0.18</v>
      </c>
      <c r="S145" s="319">
        <v>0.14699999999999999</v>
      </c>
      <c r="T145" s="353">
        <f t="shared" si="44"/>
        <v>0</v>
      </c>
      <c r="U145" s="20">
        <f>3*3000</f>
        <v>9000</v>
      </c>
      <c r="V145" s="20">
        <f t="shared" si="43"/>
        <v>0</v>
      </c>
      <c r="W145" s="52">
        <f t="shared" si="46"/>
        <v>0</v>
      </c>
      <c r="X145" s="444">
        <f>3*3000</f>
        <v>9000</v>
      </c>
    </row>
    <row r="146" spans="1:41" ht="26.25" customHeight="1" x14ac:dyDescent="0.25">
      <c r="B146" s="11">
        <v>54</v>
      </c>
      <c r="C146" s="6" t="s">
        <v>18</v>
      </c>
      <c r="D146" s="23" t="s">
        <v>142</v>
      </c>
      <c r="E146" s="86" t="s">
        <v>83</v>
      </c>
      <c r="F146" s="392" t="s">
        <v>52</v>
      </c>
      <c r="G146" s="12" t="s">
        <v>0</v>
      </c>
      <c r="H146" s="39">
        <v>2400</v>
      </c>
      <c r="I146" s="360">
        <v>14808</v>
      </c>
      <c r="J146" s="39">
        <f t="shared" si="40"/>
        <v>285</v>
      </c>
      <c r="K146" s="309">
        <f>R146/1.4</f>
        <v>6.86</v>
      </c>
      <c r="L146" s="230">
        <f t="shared" si="39"/>
        <v>0</v>
      </c>
      <c r="M146" s="196"/>
      <c r="N146" s="140">
        <f>45+210</f>
        <v>255</v>
      </c>
      <c r="O146" s="39">
        <f>(24*4+21*3+3)*15</f>
        <v>2430</v>
      </c>
      <c r="P146" s="309">
        <f t="shared" ref="P146:P165" si="47">K146*O146</f>
        <v>16669.8</v>
      </c>
      <c r="Q146" s="235" t="str">
        <f t="shared" si="36"/>
        <v>Якорь магн.однор.(200 шт в к-те)</v>
      </c>
      <c r="R146" s="306">
        <f t="shared" si="45"/>
        <v>9.6</v>
      </c>
      <c r="S146" s="319">
        <v>8</v>
      </c>
      <c r="T146" s="353">
        <f t="shared" si="44"/>
        <v>2280</v>
      </c>
      <c r="U146" s="148">
        <f>114*15</f>
        <v>1710</v>
      </c>
      <c r="V146" s="20">
        <f t="shared" si="43"/>
        <v>255</v>
      </c>
      <c r="W146" s="52">
        <f t="shared" si="46"/>
        <v>720</v>
      </c>
      <c r="X146" s="444">
        <f>145*15</f>
        <v>2175</v>
      </c>
      <c r="Y146" s="10">
        <f>113*15</f>
        <v>1695</v>
      </c>
    </row>
    <row r="147" spans="1:41" s="4" customFormat="1" ht="26.25" customHeight="1" x14ac:dyDescent="0.25">
      <c r="A147" s="10"/>
      <c r="B147" s="11">
        <v>55</v>
      </c>
      <c r="C147" s="6" t="s">
        <v>18</v>
      </c>
      <c r="D147" s="23" t="s">
        <v>142</v>
      </c>
      <c r="E147" s="104" t="s">
        <v>225</v>
      </c>
      <c r="F147" s="383">
        <v>1177</v>
      </c>
      <c r="G147" s="12" t="s">
        <v>0</v>
      </c>
      <c r="H147" s="39">
        <v>1000</v>
      </c>
      <c r="I147" s="360">
        <v>90</v>
      </c>
      <c r="J147" s="39">
        <f t="shared" si="40"/>
        <v>0</v>
      </c>
      <c r="K147" s="309">
        <v>0.09</v>
      </c>
      <c r="L147" s="230">
        <f t="shared" si="39"/>
        <v>0</v>
      </c>
      <c r="M147" s="42"/>
      <c r="N147" s="140"/>
      <c r="O147" s="39">
        <v>1000</v>
      </c>
      <c r="P147" s="309">
        <f t="shared" si="47"/>
        <v>90</v>
      </c>
      <c r="Q147" s="235" t="str">
        <f t="shared" si="36"/>
        <v>Д18х3</v>
      </c>
      <c r="R147" s="377">
        <f t="shared" si="45"/>
        <v>0.1</v>
      </c>
      <c r="S147" s="326">
        <v>0.08</v>
      </c>
      <c r="T147" s="353">
        <f t="shared" si="44"/>
        <v>0</v>
      </c>
      <c r="U147" s="18"/>
      <c r="V147" s="20">
        <f t="shared" si="43"/>
        <v>0</v>
      </c>
      <c r="W147" s="52">
        <f t="shared" si="46"/>
        <v>0</v>
      </c>
      <c r="X147" s="18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spans="1:41" s="4" customFormat="1" ht="26.25" hidden="1" customHeight="1" x14ac:dyDescent="0.25">
      <c r="A148" s="10"/>
      <c r="B148" s="11"/>
      <c r="C148" s="6" t="s">
        <v>18</v>
      </c>
      <c r="D148" s="23" t="s">
        <v>142</v>
      </c>
      <c r="E148" s="86" t="s">
        <v>574</v>
      </c>
      <c r="F148" s="384">
        <v>1372</v>
      </c>
      <c r="G148" s="12" t="s">
        <v>0</v>
      </c>
      <c r="H148" s="39"/>
      <c r="I148" s="360">
        <v>0</v>
      </c>
      <c r="J148" s="39">
        <f t="shared" si="40"/>
        <v>0</v>
      </c>
      <c r="K148" s="309">
        <f t="shared" ref="K148:K179" si="48">R148/1.4</f>
        <v>0.14000000000000001</v>
      </c>
      <c r="L148" s="230"/>
      <c r="M148" s="42"/>
      <c r="N148" s="140"/>
      <c r="O148" s="39"/>
      <c r="P148" s="309">
        <f t="shared" si="47"/>
        <v>0</v>
      </c>
      <c r="Q148" s="404" t="str">
        <f t="shared" si="36"/>
        <v>Круглый магнит аурикулярный Д2,5</v>
      </c>
      <c r="R148" s="377">
        <f t="shared" si="45"/>
        <v>0.19</v>
      </c>
      <c r="S148" s="326">
        <f>5.28*0.03</f>
        <v>0.16</v>
      </c>
      <c r="T148" s="353">
        <f t="shared" si="44"/>
        <v>0</v>
      </c>
      <c r="U148" s="20"/>
      <c r="V148" s="20">
        <f t="shared" si="43"/>
        <v>0</v>
      </c>
      <c r="W148" s="52">
        <f t="shared" si="46"/>
        <v>0</v>
      </c>
      <c r="X148" s="2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spans="1:41" s="4" customFormat="1" ht="26.25" hidden="1" customHeight="1" x14ac:dyDescent="0.25">
      <c r="A149" s="10"/>
      <c r="B149" s="11"/>
      <c r="C149" s="6" t="s">
        <v>18</v>
      </c>
      <c r="D149" s="23" t="s">
        <v>142</v>
      </c>
      <c r="E149" s="86" t="s">
        <v>575</v>
      </c>
      <c r="F149" s="384">
        <v>1373</v>
      </c>
      <c r="G149" s="12" t="s">
        <v>0</v>
      </c>
      <c r="H149" s="39"/>
      <c r="I149" s="360">
        <v>0</v>
      </c>
      <c r="J149" s="39">
        <f t="shared" si="40"/>
        <v>0</v>
      </c>
      <c r="K149" s="309">
        <f t="shared" si="48"/>
        <v>0.14000000000000001</v>
      </c>
      <c r="L149" s="230"/>
      <c r="M149" s="42"/>
      <c r="N149" s="140"/>
      <c r="O149" s="39"/>
      <c r="P149" s="309">
        <f t="shared" si="47"/>
        <v>0</v>
      </c>
      <c r="Q149" s="260" t="str">
        <f t="shared" si="36"/>
        <v>Круглый магнит малый Д3,5</v>
      </c>
      <c r="R149" s="377">
        <f t="shared" si="45"/>
        <v>0.19</v>
      </c>
      <c r="S149" s="326">
        <f>5.28*0.03</f>
        <v>0.16</v>
      </c>
      <c r="T149" s="353">
        <f t="shared" si="44"/>
        <v>0</v>
      </c>
      <c r="U149" s="20"/>
      <c r="V149" s="20">
        <f t="shared" si="43"/>
        <v>0</v>
      </c>
      <c r="W149" s="52">
        <f t="shared" si="46"/>
        <v>0</v>
      </c>
      <c r="X149" s="2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spans="1:41" s="4" customFormat="1" ht="26.25" hidden="1" customHeight="1" x14ac:dyDescent="0.25">
      <c r="A150" s="10"/>
      <c r="B150" s="11"/>
      <c r="C150" s="6" t="s">
        <v>18</v>
      </c>
      <c r="D150" s="23" t="s">
        <v>142</v>
      </c>
      <c r="E150" s="86" t="s">
        <v>576</v>
      </c>
      <c r="F150" s="384">
        <v>1374</v>
      </c>
      <c r="G150" s="12" t="s">
        <v>0</v>
      </c>
      <c r="H150" s="39"/>
      <c r="I150" s="360">
        <v>0</v>
      </c>
      <c r="J150" s="39">
        <f t="shared" si="40"/>
        <v>0</v>
      </c>
      <c r="K150" s="309">
        <f t="shared" si="48"/>
        <v>0.14000000000000001</v>
      </c>
      <c r="L150" s="230"/>
      <c r="M150" s="42"/>
      <c r="N150" s="140"/>
      <c r="O150" s="39"/>
      <c r="P150" s="309">
        <f t="shared" si="47"/>
        <v>0</v>
      </c>
      <c r="Q150" s="260" t="str">
        <f t="shared" si="36"/>
        <v>Круглый магнит большой Д5</v>
      </c>
      <c r="R150" s="377">
        <f t="shared" si="45"/>
        <v>0.19</v>
      </c>
      <c r="S150" s="326">
        <f>5.28*0.03</f>
        <v>0.16</v>
      </c>
      <c r="T150" s="353">
        <f t="shared" si="44"/>
        <v>0</v>
      </c>
      <c r="U150" s="20"/>
      <c r="V150" s="20">
        <f t="shared" si="43"/>
        <v>0</v>
      </c>
      <c r="W150" s="52">
        <f t="shared" si="46"/>
        <v>0</v>
      </c>
      <c r="X150" s="2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spans="1:41" s="4" customFormat="1" ht="26.25" hidden="1" customHeight="1" x14ac:dyDescent="0.25">
      <c r="A151" s="10"/>
      <c r="B151" s="11"/>
      <c r="C151" s="6" t="s">
        <v>18</v>
      </c>
      <c r="D151" s="23" t="s">
        <v>142</v>
      </c>
      <c r="E151" s="1" t="s">
        <v>570</v>
      </c>
      <c r="F151" s="386">
        <v>1309</v>
      </c>
      <c r="G151" s="12" t="s">
        <v>0</v>
      </c>
      <c r="H151" s="39"/>
      <c r="I151" s="360">
        <v>0</v>
      </c>
      <c r="J151" s="39">
        <f t="shared" si="40"/>
        <v>0</v>
      </c>
      <c r="K151" s="309">
        <f t="shared" si="48"/>
        <v>0.22</v>
      </c>
      <c r="L151" s="230"/>
      <c r="M151" s="42"/>
      <c r="N151" s="413"/>
      <c r="O151" s="39"/>
      <c r="P151" s="309">
        <f t="shared" si="47"/>
        <v>0</v>
      </c>
      <c r="Q151" s="260" t="str">
        <f t="shared" si="36"/>
        <v>Плоский магнит "стрелка"</v>
      </c>
      <c r="R151" s="377">
        <f t="shared" si="45"/>
        <v>0.31</v>
      </c>
      <c r="S151" s="379">
        <f>8.7*0.03</f>
        <v>0.26</v>
      </c>
      <c r="T151" s="353">
        <f t="shared" si="44"/>
        <v>0</v>
      </c>
      <c r="U151" s="20"/>
      <c r="V151" s="20">
        <f t="shared" si="43"/>
        <v>0</v>
      </c>
      <c r="W151" s="52">
        <f t="shared" si="46"/>
        <v>0</v>
      </c>
      <c r="X151" s="2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spans="1:41" s="4" customFormat="1" ht="38.25" hidden="1" customHeight="1" x14ac:dyDescent="0.25">
      <c r="A152" s="10"/>
      <c r="B152" s="11"/>
      <c r="C152" s="6" t="s">
        <v>18</v>
      </c>
      <c r="D152" s="23" t="s">
        <v>142</v>
      </c>
      <c r="E152" s="1" t="s">
        <v>573</v>
      </c>
      <c r="F152" s="386">
        <v>1375</v>
      </c>
      <c r="G152" s="12" t="s">
        <v>0</v>
      </c>
      <c r="H152" s="39"/>
      <c r="I152" s="360">
        <v>0</v>
      </c>
      <c r="J152" s="39">
        <f t="shared" si="40"/>
        <v>0</v>
      </c>
      <c r="K152" s="309">
        <f t="shared" si="48"/>
        <v>0.89</v>
      </c>
      <c r="L152" s="230"/>
      <c r="M152" s="42"/>
      <c r="N152" s="413"/>
      <c r="O152" s="39"/>
      <c r="P152" s="309">
        <f t="shared" si="47"/>
        <v>0</v>
      </c>
      <c r="Q152" s="51" t="str">
        <f t="shared" si="36"/>
        <v>Кольцевой магнит большой усиленной намагниченности</v>
      </c>
      <c r="R152" s="377">
        <f t="shared" si="45"/>
        <v>1.25</v>
      </c>
      <c r="S152" s="379">
        <f>34.8*0.03</f>
        <v>1.04</v>
      </c>
      <c r="T152" s="353">
        <f t="shared" si="44"/>
        <v>0</v>
      </c>
      <c r="U152" s="20"/>
      <c r="V152" s="20">
        <f t="shared" si="43"/>
        <v>0</v>
      </c>
      <c r="W152" s="52">
        <f t="shared" si="46"/>
        <v>0</v>
      </c>
      <c r="X152" s="2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spans="1:41" s="4" customFormat="1" ht="43.5" hidden="1" customHeight="1" x14ac:dyDescent="0.25">
      <c r="A153" s="10"/>
      <c r="B153" s="11"/>
      <c r="C153" s="6" t="s">
        <v>18</v>
      </c>
      <c r="D153" s="23" t="s">
        <v>142</v>
      </c>
      <c r="E153" s="1" t="s">
        <v>571</v>
      </c>
      <c r="F153" s="386">
        <v>1310</v>
      </c>
      <c r="G153" s="12" t="s">
        <v>0</v>
      </c>
      <c r="H153" s="39"/>
      <c r="I153" s="360">
        <v>0</v>
      </c>
      <c r="J153" s="39">
        <f t="shared" si="40"/>
        <v>0</v>
      </c>
      <c r="K153" s="309">
        <f t="shared" si="48"/>
        <v>0.56000000000000005</v>
      </c>
      <c r="L153" s="230"/>
      <c r="M153" s="42"/>
      <c r="N153" s="413"/>
      <c r="O153" s="39"/>
      <c r="P153" s="309">
        <f t="shared" si="47"/>
        <v>0</v>
      </c>
      <c r="Q153" s="51" t="str">
        <f t="shared" si="36"/>
        <v>Кольцевой магнит большой Д17 со вставкой(110.045)</v>
      </c>
      <c r="R153" s="377">
        <f t="shared" si="45"/>
        <v>0.78</v>
      </c>
      <c r="S153" s="379">
        <f>21.75*0.03</f>
        <v>0.65</v>
      </c>
      <c r="T153" s="353">
        <f t="shared" si="44"/>
        <v>0</v>
      </c>
      <c r="U153" s="20"/>
      <c r="V153" s="20">
        <f t="shared" si="43"/>
        <v>0</v>
      </c>
      <c r="W153" s="52">
        <f t="shared" si="46"/>
        <v>0</v>
      </c>
      <c r="X153" s="2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spans="1:41" s="4" customFormat="1" ht="26.25" hidden="1" customHeight="1" x14ac:dyDescent="0.25">
      <c r="A154" s="10"/>
      <c r="B154" s="11"/>
      <c r="C154" s="6" t="s">
        <v>18</v>
      </c>
      <c r="D154" s="23" t="s">
        <v>142</v>
      </c>
      <c r="E154" s="1" t="s">
        <v>577</v>
      </c>
      <c r="F154" s="386">
        <v>1311</v>
      </c>
      <c r="G154" s="12" t="s">
        <v>0</v>
      </c>
      <c r="H154" s="39"/>
      <c r="I154" s="360">
        <v>0</v>
      </c>
      <c r="J154" s="39">
        <f t="shared" si="40"/>
        <v>0</v>
      </c>
      <c r="K154" s="309">
        <f t="shared" si="48"/>
        <v>0.31</v>
      </c>
      <c r="L154" s="230"/>
      <c r="M154" s="42"/>
      <c r="N154" s="413"/>
      <c r="O154" s="39"/>
      <c r="P154" s="309">
        <f t="shared" si="47"/>
        <v>0</v>
      </c>
      <c r="Q154" s="51" t="str">
        <f t="shared" si="36"/>
        <v>Кольцевой магнит малый Д11 со вставкой (110.044)</v>
      </c>
      <c r="R154" s="377">
        <f t="shared" si="45"/>
        <v>0.44</v>
      </c>
      <c r="S154" s="379">
        <f>12.43*0.03</f>
        <v>0.37</v>
      </c>
      <c r="T154" s="353">
        <f t="shared" si="44"/>
        <v>0</v>
      </c>
      <c r="U154" s="20"/>
      <c r="V154" s="20">
        <f t="shared" si="43"/>
        <v>0</v>
      </c>
      <c r="W154" s="52">
        <f t="shared" si="46"/>
        <v>0</v>
      </c>
      <c r="X154" s="2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spans="1:41" s="4" customFormat="1" ht="26.25" hidden="1" customHeight="1" x14ac:dyDescent="0.25">
      <c r="A155" s="10"/>
      <c r="B155" s="11"/>
      <c r="C155" s="6" t="s">
        <v>18</v>
      </c>
      <c r="D155" s="23" t="s">
        <v>142</v>
      </c>
      <c r="E155" s="1" t="s">
        <v>578</v>
      </c>
      <c r="F155" s="386">
        <v>1312</v>
      </c>
      <c r="G155" s="12" t="s">
        <v>0</v>
      </c>
      <c r="H155" s="39"/>
      <c r="I155" s="360">
        <v>0</v>
      </c>
      <c r="J155" s="39">
        <f t="shared" si="40"/>
        <v>0</v>
      </c>
      <c r="K155" s="309">
        <f t="shared" si="48"/>
        <v>1.44</v>
      </c>
      <c r="L155" s="230"/>
      <c r="M155" s="42"/>
      <c r="N155" s="413"/>
      <c r="O155" s="39"/>
      <c r="P155" s="309">
        <f t="shared" si="47"/>
        <v>0</v>
      </c>
      <c r="Q155" s="51" t="str">
        <f t="shared" si="36"/>
        <v>4х кольцевой магнит</v>
      </c>
      <c r="R155" s="377">
        <f t="shared" si="45"/>
        <v>2.02</v>
      </c>
      <c r="S155" s="379">
        <f>55.94*0.03</f>
        <v>1.68</v>
      </c>
      <c r="T155" s="353">
        <f t="shared" si="44"/>
        <v>0</v>
      </c>
      <c r="U155" s="20"/>
      <c r="V155" s="20">
        <f t="shared" si="43"/>
        <v>0</v>
      </c>
      <c r="W155" s="52">
        <f t="shared" si="46"/>
        <v>0</v>
      </c>
      <c r="X155" s="2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spans="1:41" s="4" customFormat="1" ht="26.25" hidden="1" customHeight="1" x14ac:dyDescent="0.25">
      <c r="A156" s="10"/>
      <c r="B156" s="11"/>
      <c r="C156" s="6" t="s">
        <v>18</v>
      </c>
      <c r="D156" s="23" t="s">
        <v>142</v>
      </c>
      <c r="E156" s="1" t="s">
        <v>582</v>
      </c>
      <c r="F156" s="386">
        <v>1376</v>
      </c>
      <c r="G156" s="12" t="s">
        <v>0</v>
      </c>
      <c r="H156" s="39"/>
      <c r="I156" s="360">
        <v>0</v>
      </c>
      <c r="J156" s="39">
        <f t="shared" si="40"/>
        <v>0</v>
      </c>
      <c r="K156" s="309">
        <f t="shared" si="48"/>
        <v>0.11</v>
      </c>
      <c r="L156" s="230"/>
      <c r="M156" s="42"/>
      <c r="N156" s="413"/>
      <c r="O156" s="39"/>
      <c r="P156" s="309">
        <f t="shared" si="47"/>
        <v>0</v>
      </c>
      <c r="Q156" s="51" t="str">
        <f t="shared" si="36"/>
        <v xml:space="preserve"> Большой Д7 со звездочкой (110.015)</v>
      </c>
      <c r="R156" s="377">
        <f t="shared" si="45"/>
        <v>0.16</v>
      </c>
      <c r="S156" s="379">
        <f>4.35*0.03</f>
        <v>0.13</v>
      </c>
      <c r="T156" s="353">
        <f t="shared" si="44"/>
        <v>0</v>
      </c>
      <c r="U156" s="20"/>
      <c r="V156" s="20">
        <f t="shared" si="43"/>
        <v>0</v>
      </c>
      <c r="W156" s="52">
        <f t="shared" si="46"/>
        <v>0</v>
      </c>
      <c r="X156" s="2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spans="1:41" s="4" customFormat="1" ht="26.25" hidden="1" customHeight="1" x14ac:dyDescent="0.25">
      <c r="A157" s="10"/>
      <c r="B157" s="11"/>
      <c r="C157" s="6" t="s">
        <v>18</v>
      </c>
      <c r="D157" s="23" t="s">
        <v>142</v>
      </c>
      <c r="E157" s="1" t="s">
        <v>572</v>
      </c>
      <c r="F157" s="386">
        <v>1314</v>
      </c>
      <c r="G157" s="12" t="s">
        <v>0</v>
      </c>
      <c r="H157" s="39"/>
      <c r="I157" s="360">
        <v>0</v>
      </c>
      <c r="J157" s="39">
        <f t="shared" si="40"/>
        <v>0</v>
      </c>
      <c r="K157" s="309">
        <f t="shared" si="48"/>
        <v>0.11</v>
      </c>
      <c r="L157" s="230"/>
      <c r="M157" s="42"/>
      <c r="N157" s="413"/>
      <c r="O157" s="39"/>
      <c r="P157" s="309">
        <f t="shared" si="47"/>
        <v>0</v>
      </c>
      <c r="Q157" s="51" t="str">
        <f t="shared" si="36"/>
        <v xml:space="preserve"> Малый Д5 со звездочкой (110.015)</v>
      </c>
      <c r="R157" s="377">
        <f t="shared" si="45"/>
        <v>0.16</v>
      </c>
      <c r="S157" s="379">
        <f>4.35*0.03</f>
        <v>0.13</v>
      </c>
      <c r="T157" s="353">
        <f t="shared" si="44"/>
        <v>0</v>
      </c>
      <c r="U157" s="20"/>
      <c r="V157" s="20">
        <f t="shared" si="43"/>
        <v>0</v>
      </c>
      <c r="W157" s="52">
        <f t="shared" si="46"/>
        <v>0</v>
      </c>
      <c r="X157" s="2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spans="1:41" s="4" customFormat="1" ht="26.25" hidden="1" customHeight="1" x14ac:dyDescent="0.25">
      <c r="A158" s="10"/>
      <c r="B158" s="11"/>
      <c r="C158" s="6" t="s">
        <v>18</v>
      </c>
      <c r="D158" s="23" t="s">
        <v>142</v>
      </c>
      <c r="E158" s="1" t="s">
        <v>617</v>
      </c>
      <c r="F158" s="386">
        <v>1313</v>
      </c>
      <c r="G158" s="12" t="s">
        <v>0</v>
      </c>
      <c r="H158" s="39"/>
      <c r="I158" s="360">
        <v>0</v>
      </c>
      <c r="J158" s="39">
        <f t="shared" si="40"/>
        <v>0</v>
      </c>
      <c r="K158" s="309">
        <f t="shared" si="48"/>
        <v>2.88</v>
      </c>
      <c r="L158" s="230"/>
      <c r="M158" s="42"/>
      <c r="N158" s="413"/>
      <c r="O158" s="39"/>
      <c r="P158" s="309">
        <f t="shared" si="47"/>
        <v>0</v>
      </c>
      <c r="Q158" s="51" t="str">
        <f t="shared" si="36"/>
        <v>6ти кольцевой</v>
      </c>
      <c r="R158" s="377">
        <f t="shared" si="45"/>
        <v>4.03</v>
      </c>
      <c r="S158" s="379">
        <f>111.87*0.03</f>
        <v>3.36</v>
      </c>
      <c r="T158" s="353">
        <f t="shared" si="44"/>
        <v>0</v>
      </c>
      <c r="U158" s="20"/>
      <c r="V158" s="20">
        <f t="shared" si="43"/>
        <v>0</v>
      </c>
      <c r="W158" s="52">
        <f t="shared" si="46"/>
        <v>0</v>
      </c>
      <c r="X158" s="2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spans="1:41" s="4" customFormat="1" ht="26.25" hidden="1" customHeight="1" x14ac:dyDescent="0.25">
      <c r="A159" s="10"/>
      <c r="B159" s="11"/>
      <c r="C159" s="6" t="s">
        <v>18</v>
      </c>
      <c r="D159" s="23" t="s">
        <v>142</v>
      </c>
      <c r="E159" s="1" t="s">
        <v>581</v>
      </c>
      <c r="F159" s="386">
        <v>1378</v>
      </c>
      <c r="G159" s="12" t="s">
        <v>0</v>
      </c>
      <c r="H159" s="39"/>
      <c r="I159" s="360">
        <v>0</v>
      </c>
      <c r="J159" s="39">
        <f t="shared" si="40"/>
        <v>0</v>
      </c>
      <c r="K159" s="309">
        <f t="shared" si="48"/>
        <v>0.09</v>
      </c>
      <c r="L159" s="230"/>
      <c r="M159" s="42"/>
      <c r="N159" s="413"/>
      <c r="O159" s="39"/>
      <c r="P159" s="309">
        <f t="shared" si="47"/>
        <v>0</v>
      </c>
      <c r="Q159" s="51" t="str">
        <f t="shared" si="36"/>
        <v xml:space="preserve"> Односторонний под наклейку  Д7</v>
      </c>
      <c r="R159" s="377">
        <f t="shared" si="45"/>
        <v>0.13</v>
      </c>
      <c r="S159" s="379">
        <f>3.73*0.03</f>
        <v>0.11</v>
      </c>
      <c r="T159" s="353">
        <f t="shared" si="44"/>
        <v>0</v>
      </c>
      <c r="U159" s="20"/>
      <c r="V159" s="20">
        <f t="shared" si="43"/>
        <v>0</v>
      </c>
      <c r="W159" s="52">
        <f t="shared" si="46"/>
        <v>0</v>
      </c>
      <c r="X159" s="2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spans="1:41" s="4" customFormat="1" ht="26.25" customHeight="1" x14ac:dyDescent="0.25">
      <c r="A160" s="10"/>
      <c r="B160" s="11">
        <v>56</v>
      </c>
      <c r="C160" s="6" t="s">
        <v>18</v>
      </c>
      <c r="D160" s="23" t="s">
        <v>142</v>
      </c>
      <c r="E160" s="463" t="s">
        <v>666</v>
      </c>
      <c r="F160" s="387" t="s">
        <v>605</v>
      </c>
      <c r="G160" s="12" t="s">
        <v>0</v>
      </c>
      <c r="H160" s="39"/>
      <c r="I160" s="360">
        <v>0</v>
      </c>
      <c r="J160" s="39">
        <f t="shared" si="40"/>
        <v>400</v>
      </c>
      <c r="K160" s="309">
        <f t="shared" si="48"/>
        <v>0.22</v>
      </c>
      <c r="L160" s="230"/>
      <c r="M160" s="42"/>
      <c r="N160" s="413">
        <v>400</v>
      </c>
      <c r="O160" s="39"/>
      <c r="P160" s="309">
        <f t="shared" si="47"/>
        <v>0</v>
      </c>
      <c r="Q160" s="51" t="str">
        <f t="shared" si="36"/>
        <v>ЭПГ110.014</v>
      </c>
      <c r="R160" s="377">
        <f t="shared" si="45"/>
        <v>0.31</v>
      </c>
      <c r="S160" s="850">
        <v>0.26</v>
      </c>
      <c r="T160" s="353">
        <f t="shared" si="44"/>
        <v>104</v>
      </c>
      <c r="U160" s="20"/>
      <c r="V160" s="20">
        <f t="shared" si="43"/>
        <v>400</v>
      </c>
      <c r="W160" s="52">
        <f t="shared" si="46"/>
        <v>400</v>
      </c>
      <c r="X160" s="2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spans="1:24" ht="26.25" customHeight="1" x14ac:dyDescent="0.25">
      <c r="B161" s="11">
        <v>57</v>
      </c>
      <c r="C161" s="6" t="s">
        <v>18</v>
      </c>
      <c r="D161" s="23" t="s">
        <v>142</v>
      </c>
      <c r="E161" s="463" t="s">
        <v>854</v>
      </c>
      <c r="F161" s="387" t="s">
        <v>54</v>
      </c>
      <c r="G161" s="346" t="s">
        <v>0</v>
      </c>
      <c r="H161" s="39"/>
      <c r="I161" s="360">
        <v>0</v>
      </c>
      <c r="J161" s="39">
        <f t="shared" si="40"/>
        <v>50</v>
      </c>
      <c r="K161" s="309">
        <f t="shared" si="48"/>
        <v>0.26</v>
      </c>
      <c r="L161" s="230">
        <f>K161*J465</f>
        <v>0</v>
      </c>
      <c r="M161" s="205"/>
      <c r="N161" s="140">
        <v>50</v>
      </c>
      <c r="O161" s="39"/>
      <c r="P161" s="309">
        <f t="shared" si="47"/>
        <v>0</v>
      </c>
      <c r="Q161" s="51" t="str">
        <f t="shared" si="36"/>
        <v>ЭПГ110.032</v>
      </c>
      <c r="R161" s="377">
        <f t="shared" si="45"/>
        <v>0.36</v>
      </c>
      <c r="S161" s="850">
        <v>0.3</v>
      </c>
      <c r="T161" s="353">
        <f t="shared" si="44"/>
        <v>15</v>
      </c>
      <c r="U161" s="20"/>
      <c r="V161" s="20">
        <f t="shared" si="43"/>
        <v>50</v>
      </c>
      <c r="W161" s="52">
        <f t="shared" si="46"/>
        <v>50</v>
      </c>
      <c r="X161" s="20"/>
    </row>
    <row r="162" spans="1:24" s="4" customFormat="1" ht="26.25" customHeight="1" x14ac:dyDescent="0.25">
      <c r="A162" s="10"/>
      <c r="B162" s="11">
        <v>58</v>
      </c>
      <c r="C162" s="6" t="s">
        <v>18</v>
      </c>
      <c r="D162" s="23" t="s">
        <v>142</v>
      </c>
      <c r="E162" s="463" t="s">
        <v>667</v>
      </c>
      <c r="F162" s="387" t="s">
        <v>472</v>
      </c>
      <c r="G162" s="12" t="s">
        <v>0</v>
      </c>
      <c r="H162" s="39"/>
      <c r="I162" s="360">
        <v>0</v>
      </c>
      <c r="J162" s="39">
        <f t="shared" si="40"/>
        <v>60</v>
      </c>
      <c r="K162" s="309">
        <f t="shared" si="48"/>
        <v>0.37</v>
      </c>
      <c r="L162" s="230">
        <f>K162*J466</f>
        <v>0</v>
      </c>
      <c r="M162" s="195"/>
      <c r="N162" s="140">
        <v>60</v>
      </c>
      <c r="O162" s="503"/>
      <c r="P162" s="309">
        <f t="shared" si="47"/>
        <v>0</v>
      </c>
      <c r="Q162" s="235" t="str">
        <f t="shared" si="36"/>
        <v>ЭПГ110.044</v>
      </c>
      <c r="R162" s="377">
        <f t="shared" si="45"/>
        <v>0.52</v>
      </c>
      <c r="S162" s="850">
        <v>0.43</v>
      </c>
      <c r="T162" s="353">
        <f t="shared" si="44"/>
        <v>25.8</v>
      </c>
      <c r="U162" s="18">
        <v>0</v>
      </c>
      <c r="V162" s="20">
        <f t="shared" si="43"/>
        <v>60</v>
      </c>
      <c r="W162" s="52">
        <f t="shared" si="46"/>
        <v>60</v>
      </c>
      <c r="X162" s="18">
        <v>0</v>
      </c>
    </row>
    <row r="163" spans="1:24" s="4" customFormat="1" ht="26.25" customHeight="1" x14ac:dyDescent="0.25">
      <c r="A163" s="10"/>
      <c r="B163" s="11">
        <v>59</v>
      </c>
      <c r="C163" s="6" t="s">
        <v>18</v>
      </c>
      <c r="D163" s="23" t="s">
        <v>142</v>
      </c>
      <c r="E163" s="463" t="s">
        <v>916</v>
      </c>
      <c r="F163" s="387" t="s">
        <v>917</v>
      </c>
      <c r="G163" s="12" t="s">
        <v>0</v>
      </c>
      <c r="H163" s="39"/>
      <c r="I163" s="360">
        <v>0</v>
      </c>
      <c r="J163" s="39">
        <f t="shared" si="40"/>
        <v>20</v>
      </c>
      <c r="K163" s="309">
        <f t="shared" si="48"/>
        <v>0.64</v>
      </c>
      <c r="L163" s="230">
        <f>K163*J467</f>
        <v>0</v>
      </c>
      <c r="M163" s="194"/>
      <c r="N163" s="140">
        <v>20</v>
      </c>
      <c r="O163" s="503"/>
      <c r="P163" s="309">
        <f t="shared" si="47"/>
        <v>0</v>
      </c>
      <c r="Q163" s="235" t="str">
        <f t="shared" si="36"/>
        <v>ЭПГ110.045</v>
      </c>
      <c r="R163" s="377">
        <f t="shared" si="45"/>
        <v>0.9</v>
      </c>
      <c r="S163" s="850">
        <v>0.75</v>
      </c>
      <c r="T163" s="353">
        <f t="shared" si="44"/>
        <v>15</v>
      </c>
      <c r="U163" s="18">
        <v>0</v>
      </c>
      <c r="V163" s="20">
        <f t="shared" si="43"/>
        <v>20</v>
      </c>
      <c r="W163" s="52">
        <f t="shared" si="46"/>
        <v>20</v>
      </c>
      <c r="X163" s="18">
        <v>0</v>
      </c>
    </row>
    <row r="164" spans="1:24" ht="26.25" customHeight="1" x14ac:dyDescent="0.25">
      <c r="B164" s="14">
        <v>60</v>
      </c>
      <c r="C164" s="6" t="s">
        <v>129</v>
      </c>
      <c r="D164" s="23" t="s">
        <v>142</v>
      </c>
      <c r="E164" s="459" t="s">
        <v>671</v>
      </c>
      <c r="F164" s="386">
        <v>629</v>
      </c>
      <c r="G164" s="12" t="s">
        <v>0</v>
      </c>
      <c r="H164" s="39"/>
      <c r="I164" s="309">
        <v>0</v>
      </c>
      <c r="J164" s="39">
        <f t="shared" si="40"/>
        <v>500</v>
      </c>
      <c r="K164" s="309">
        <f t="shared" si="48"/>
        <v>1.59</v>
      </c>
      <c r="L164" s="230">
        <f>K164*J468</f>
        <v>0</v>
      </c>
      <c r="M164" s="457"/>
      <c r="N164" s="140">
        <v>500</v>
      </c>
      <c r="O164" s="503"/>
      <c r="P164" s="309">
        <f t="shared" si="47"/>
        <v>0</v>
      </c>
      <c r="Q164" s="235" t="str">
        <f t="shared" si="36"/>
        <v xml:space="preserve">8ПМ.610.033    МП-1  </v>
      </c>
      <c r="R164" s="377">
        <f t="shared" si="45"/>
        <v>2.2200000000000002</v>
      </c>
      <c r="S164" s="319">
        <v>1.85</v>
      </c>
      <c r="T164" s="353">
        <f t="shared" si="44"/>
        <v>925</v>
      </c>
      <c r="U164" s="20"/>
      <c r="V164" s="20">
        <f t="shared" si="43"/>
        <v>500</v>
      </c>
      <c r="W164" s="52">
        <f t="shared" si="46"/>
        <v>500</v>
      </c>
      <c r="X164" s="20"/>
    </row>
    <row r="165" spans="1:24" ht="26.25" hidden="1" customHeight="1" x14ac:dyDescent="0.25">
      <c r="B165" s="11"/>
      <c r="C165" s="6" t="s">
        <v>19</v>
      </c>
      <c r="D165" s="23" t="s">
        <v>140</v>
      </c>
      <c r="E165" s="105" t="s">
        <v>160</v>
      </c>
      <c r="F165" s="391"/>
      <c r="G165" s="14" t="s">
        <v>36</v>
      </c>
      <c r="H165" s="39"/>
      <c r="I165" s="309">
        <v>0</v>
      </c>
      <c r="J165" s="39">
        <f t="shared" si="40"/>
        <v>0</v>
      </c>
      <c r="K165" s="309">
        <f t="shared" si="48"/>
        <v>0</v>
      </c>
      <c r="L165" s="230">
        <f>K165*J469</f>
        <v>0</v>
      </c>
      <c r="M165" s="42"/>
      <c r="N165" s="140"/>
      <c r="O165" s="39"/>
      <c r="P165" s="490">
        <f t="shared" si="47"/>
        <v>0</v>
      </c>
      <c r="Q165" s="51" t="str">
        <f t="shared" si="36"/>
        <v>к10</v>
      </c>
      <c r="R165" s="377">
        <f t="shared" si="45"/>
        <v>0</v>
      </c>
      <c r="S165" s="319">
        <v>0</v>
      </c>
      <c r="T165" s="353">
        <f t="shared" si="44"/>
        <v>0</v>
      </c>
      <c r="U165" s="18"/>
      <c r="V165" s="20">
        <f t="shared" si="43"/>
        <v>0</v>
      </c>
      <c r="W165" s="52">
        <f t="shared" si="46"/>
        <v>16000</v>
      </c>
      <c r="X165" s="848">
        <f>8000*2</f>
        <v>16000</v>
      </c>
    </row>
    <row r="166" spans="1:24" ht="26.25" hidden="1" customHeight="1" x14ac:dyDescent="0.25">
      <c r="B166" s="11"/>
      <c r="C166" s="6" t="s">
        <v>19</v>
      </c>
      <c r="D166" s="23" t="s">
        <v>140</v>
      </c>
      <c r="E166" s="87" t="s">
        <v>815</v>
      </c>
      <c r="F166" s="391" t="s">
        <v>823</v>
      </c>
      <c r="G166" s="14"/>
      <c r="H166" s="39"/>
      <c r="I166" s="360"/>
      <c r="J166" s="39">
        <f t="shared" si="40"/>
        <v>0</v>
      </c>
      <c r="K166" s="309">
        <f t="shared" si="48"/>
        <v>1.63</v>
      </c>
      <c r="L166" s="230"/>
      <c r="M166" s="42"/>
      <c r="N166" s="140"/>
      <c r="O166" s="39"/>
      <c r="P166" s="490"/>
      <c r="Q166" s="51" t="str">
        <f t="shared" si="36"/>
        <v>23х6,4х12,5</v>
      </c>
      <c r="R166" s="377">
        <f t="shared" si="45"/>
        <v>2.2799999999999998</v>
      </c>
      <c r="S166" s="319">
        <v>1.9</v>
      </c>
      <c r="T166" s="353"/>
      <c r="U166" s="18"/>
      <c r="V166" s="20"/>
      <c r="W166" s="52"/>
      <c r="X166" s="18"/>
    </row>
    <row r="167" spans="1:24" ht="26.25" hidden="1" customHeight="1" x14ac:dyDescent="0.25">
      <c r="B167" s="11"/>
      <c r="C167" s="6" t="s">
        <v>19</v>
      </c>
      <c r="D167" s="23" t="s">
        <v>140</v>
      </c>
      <c r="E167" s="459" t="s">
        <v>816</v>
      </c>
      <c r="F167" s="384">
        <v>1487</v>
      </c>
      <c r="G167" s="12" t="s">
        <v>0</v>
      </c>
      <c r="H167" s="39"/>
      <c r="I167" s="360">
        <v>0</v>
      </c>
      <c r="J167" s="39">
        <f t="shared" si="40"/>
        <v>0</v>
      </c>
      <c r="K167" s="309">
        <f t="shared" si="48"/>
        <v>1.61</v>
      </c>
      <c r="L167" s="230">
        <f t="shared" ref="L167:L185" si="49">K167*J470</f>
        <v>0</v>
      </c>
      <c r="M167" s="92"/>
      <c r="N167" s="140"/>
      <c r="O167" s="39"/>
      <c r="P167" s="309">
        <f t="shared" ref="P167:P179" si="50">K167*O167</f>
        <v>0</v>
      </c>
      <c r="Q167" s="51" t="str">
        <f t="shared" si="36"/>
        <v>К6х4х3</v>
      </c>
      <c r="R167" s="377">
        <f t="shared" si="45"/>
        <v>2.2599999999999998</v>
      </c>
      <c r="S167" s="319">
        <v>1.88</v>
      </c>
      <c r="T167" s="353">
        <f t="shared" ref="T167:T198" si="51">S167*J167</f>
        <v>0</v>
      </c>
      <c r="U167" s="18"/>
      <c r="V167" s="20">
        <f t="shared" ref="V167:V198" si="52">N167</f>
        <v>0</v>
      </c>
      <c r="W167" s="52">
        <f t="shared" ref="W167:W198" si="53">X167-U167+V167</f>
        <v>0</v>
      </c>
      <c r="X167" s="18"/>
    </row>
    <row r="168" spans="1:24" ht="26.25" hidden="1" customHeight="1" x14ac:dyDescent="0.25">
      <c r="B168" s="14"/>
      <c r="C168" s="6" t="s">
        <v>19</v>
      </c>
      <c r="D168" s="23" t="s">
        <v>140</v>
      </c>
      <c r="E168" s="104" t="s">
        <v>30</v>
      </c>
      <c r="F168" s="387" t="s">
        <v>224</v>
      </c>
      <c r="G168" s="14" t="s">
        <v>0</v>
      </c>
      <c r="H168" s="39"/>
      <c r="I168" s="309">
        <v>0</v>
      </c>
      <c r="J168" s="39">
        <f t="shared" si="40"/>
        <v>0</v>
      </c>
      <c r="K168" s="309">
        <f t="shared" si="48"/>
        <v>0.01</v>
      </c>
      <c r="L168" s="230">
        <f t="shared" si="49"/>
        <v>0</v>
      </c>
      <c r="M168" s="42"/>
      <c r="N168" s="140"/>
      <c r="O168" s="39"/>
      <c r="P168" s="309">
        <f t="shared" si="50"/>
        <v>0</v>
      </c>
      <c r="Q168" s="51" t="str">
        <f t="shared" si="36"/>
        <v xml:space="preserve"> СпГ210-004 Пг 2,8х2,3х3,5</v>
      </c>
      <c r="R168" s="377">
        <f t="shared" si="45"/>
        <v>0.02</v>
      </c>
      <c r="S168" s="319">
        <v>0.02</v>
      </c>
      <c r="T168" s="353">
        <f t="shared" si="51"/>
        <v>0</v>
      </c>
      <c r="U168" s="18">
        <v>14345</v>
      </c>
      <c r="V168" s="20">
        <f t="shared" si="52"/>
        <v>0</v>
      </c>
      <c r="W168" s="52">
        <f t="shared" si="53"/>
        <v>0</v>
      </c>
      <c r="X168" s="18">
        <v>14345</v>
      </c>
    </row>
    <row r="169" spans="1:24" ht="26.25" hidden="1" customHeight="1" x14ac:dyDescent="0.25">
      <c r="B169" s="14"/>
      <c r="C169" s="6" t="s">
        <v>19</v>
      </c>
      <c r="D169" s="23" t="s">
        <v>140</v>
      </c>
      <c r="E169" s="104" t="s">
        <v>555</v>
      </c>
      <c r="F169" s="386">
        <v>1347</v>
      </c>
      <c r="G169" s="48" t="s">
        <v>0</v>
      </c>
      <c r="H169" s="39"/>
      <c r="I169" s="360">
        <v>0</v>
      </c>
      <c r="J169" s="39">
        <f t="shared" si="40"/>
        <v>0</v>
      </c>
      <c r="K169" s="309">
        <f t="shared" si="48"/>
        <v>0.34</v>
      </c>
      <c r="L169" s="230">
        <f t="shared" si="49"/>
        <v>0</v>
      </c>
      <c r="M169" s="89"/>
      <c r="N169" s="140"/>
      <c r="O169" s="39"/>
      <c r="P169" s="497">
        <f t="shared" si="50"/>
        <v>0</v>
      </c>
      <c r="Q169" s="51" t="str">
        <f t="shared" si="36"/>
        <v>C4х32</v>
      </c>
      <c r="R169" s="377">
        <f t="shared" si="45"/>
        <v>0.48</v>
      </c>
      <c r="S169" s="330">
        <v>0.4</v>
      </c>
      <c r="T169" s="353">
        <f t="shared" si="51"/>
        <v>0</v>
      </c>
      <c r="U169" s="20"/>
      <c r="V169" s="20">
        <f t="shared" si="52"/>
        <v>0</v>
      </c>
      <c r="W169" s="52">
        <f t="shared" si="53"/>
        <v>0</v>
      </c>
      <c r="X169" s="20"/>
    </row>
    <row r="170" spans="1:24" ht="26.25" hidden="1" customHeight="1" x14ac:dyDescent="0.25">
      <c r="B170" s="19"/>
      <c r="C170" s="6" t="s">
        <v>19</v>
      </c>
      <c r="D170" s="23" t="s">
        <v>140</v>
      </c>
      <c r="E170" s="104" t="s">
        <v>23</v>
      </c>
      <c r="F170" s="208" t="s">
        <v>56</v>
      </c>
      <c r="G170" s="12" t="s">
        <v>0</v>
      </c>
      <c r="H170" s="39"/>
      <c r="I170" s="360">
        <v>0</v>
      </c>
      <c r="J170" s="39">
        <f t="shared" si="40"/>
        <v>0</v>
      </c>
      <c r="K170" s="309">
        <f t="shared" si="48"/>
        <v>0.04</v>
      </c>
      <c r="L170" s="230">
        <f t="shared" si="49"/>
        <v>0</v>
      </c>
      <c r="M170" s="460"/>
      <c r="N170" s="140"/>
      <c r="O170" s="503"/>
      <c r="P170" s="309">
        <f t="shared" si="50"/>
        <v>0</v>
      </c>
      <c r="Q170" s="235" t="str">
        <f t="shared" si="36"/>
        <v xml:space="preserve"> СГ 210-001 Г5,5х3х7,4</v>
      </c>
      <c r="R170" s="306">
        <f t="shared" si="45"/>
        <v>0.06</v>
      </c>
      <c r="S170" s="339">
        <v>0.05</v>
      </c>
      <c r="T170" s="353">
        <f t="shared" si="51"/>
        <v>0</v>
      </c>
      <c r="U170" s="20"/>
      <c r="V170" s="20">
        <f t="shared" si="52"/>
        <v>0</v>
      </c>
      <c r="W170" s="52">
        <f t="shared" si="53"/>
        <v>0</v>
      </c>
      <c r="X170" s="20"/>
    </row>
    <row r="171" spans="1:24" ht="26.25" hidden="1" customHeight="1" x14ac:dyDescent="0.25">
      <c r="B171" s="19"/>
      <c r="C171" s="6" t="s">
        <v>19</v>
      </c>
      <c r="D171" s="23" t="s">
        <v>140</v>
      </c>
      <c r="E171" s="107" t="s">
        <v>93</v>
      </c>
      <c r="F171" s="385" t="s">
        <v>306</v>
      </c>
      <c r="G171" s="48" t="s">
        <v>0</v>
      </c>
      <c r="H171" s="39"/>
      <c r="I171" s="309">
        <v>0</v>
      </c>
      <c r="J171" s="39">
        <f t="shared" si="40"/>
        <v>0</v>
      </c>
      <c r="K171" s="309">
        <f t="shared" si="48"/>
        <v>0.01</v>
      </c>
      <c r="L171" s="230">
        <f t="shared" si="49"/>
        <v>0</v>
      </c>
      <c r="M171" s="89"/>
      <c r="N171" s="140"/>
      <c r="O171" s="39"/>
      <c r="P171" s="490">
        <f t="shared" si="50"/>
        <v>0</v>
      </c>
      <c r="Q171" s="51" t="str">
        <f t="shared" si="36"/>
        <v>серд СТ210-005(Т3,5х1,2х10)</v>
      </c>
      <c r="R171" s="377">
        <f t="shared" si="45"/>
        <v>0.02</v>
      </c>
      <c r="S171" s="319">
        <v>0.02</v>
      </c>
      <c r="T171" s="353">
        <f t="shared" si="51"/>
        <v>0</v>
      </c>
      <c r="U171" s="18">
        <v>9950</v>
      </c>
      <c r="V171" s="20">
        <f t="shared" si="52"/>
        <v>0</v>
      </c>
      <c r="W171" s="52">
        <f t="shared" si="53"/>
        <v>0</v>
      </c>
      <c r="X171" s="18">
        <v>9950</v>
      </c>
    </row>
    <row r="172" spans="1:24" ht="26.25" hidden="1" customHeight="1" x14ac:dyDescent="0.25">
      <c r="B172" s="14"/>
      <c r="C172" s="6" t="s">
        <v>19</v>
      </c>
      <c r="D172" s="23" t="s">
        <v>140</v>
      </c>
      <c r="E172" s="107" t="s">
        <v>721</v>
      </c>
      <c r="F172" s="208">
        <v>393</v>
      </c>
      <c r="G172" s="13" t="s">
        <v>0</v>
      </c>
      <c r="H172" s="39"/>
      <c r="I172" s="309">
        <v>0</v>
      </c>
      <c r="J172" s="39">
        <f t="shared" si="40"/>
        <v>0</v>
      </c>
      <c r="K172" s="309">
        <f t="shared" si="48"/>
        <v>3</v>
      </c>
      <c r="L172" s="230">
        <f t="shared" si="49"/>
        <v>0</v>
      </c>
      <c r="M172" s="92"/>
      <c r="N172" s="140"/>
      <c r="O172" s="39"/>
      <c r="P172" s="309">
        <f t="shared" si="50"/>
        <v>0</v>
      </c>
      <c r="Q172" s="51" t="str">
        <f t="shared" si="36"/>
        <v>ИБЯД.04.00.001</v>
      </c>
      <c r="R172" s="377">
        <f t="shared" si="45"/>
        <v>4.2</v>
      </c>
      <c r="S172" s="319">
        <v>3.5</v>
      </c>
      <c r="T172" s="353">
        <f t="shared" si="51"/>
        <v>0</v>
      </c>
      <c r="U172" s="18">
        <v>0</v>
      </c>
      <c r="V172" s="20">
        <f t="shared" si="52"/>
        <v>0</v>
      </c>
      <c r="W172" s="52">
        <f t="shared" si="53"/>
        <v>0</v>
      </c>
      <c r="X172" s="18">
        <v>0</v>
      </c>
    </row>
    <row r="173" spans="1:24" ht="26.25" hidden="1" customHeight="1" x14ac:dyDescent="0.25">
      <c r="B173" s="11"/>
      <c r="C173" s="6" t="s">
        <v>19</v>
      </c>
      <c r="D173" s="23" t="s">
        <v>140</v>
      </c>
      <c r="E173" s="107" t="s">
        <v>238</v>
      </c>
      <c r="F173" s="390">
        <v>1089</v>
      </c>
      <c r="G173" s="14" t="s">
        <v>0</v>
      </c>
      <c r="H173" s="39"/>
      <c r="I173" s="309">
        <v>0</v>
      </c>
      <c r="J173" s="39">
        <f t="shared" si="40"/>
        <v>0</v>
      </c>
      <c r="K173" s="309">
        <f t="shared" si="48"/>
        <v>0.04</v>
      </c>
      <c r="L173" s="230">
        <f t="shared" si="49"/>
        <v>0</v>
      </c>
      <c r="M173" s="42"/>
      <c r="N173" s="140"/>
      <c r="O173" s="39"/>
      <c r="P173" s="309">
        <f t="shared" si="50"/>
        <v>0</v>
      </c>
      <c r="Q173" s="51" t="str">
        <f t="shared" si="36"/>
        <v>Ч14</v>
      </c>
      <c r="R173" s="377">
        <f t="shared" si="45"/>
        <v>0.05</v>
      </c>
      <c r="S173" s="319">
        <v>0.04</v>
      </c>
      <c r="T173" s="353">
        <f t="shared" si="51"/>
        <v>0</v>
      </c>
      <c r="U173" s="18">
        <v>150000</v>
      </c>
      <c r="V173" s="20">
        <f t="shared" si="52"/>
        <v>0</v>
      </c>
      <c r="W173" s="52">
        <f t="shared" si="53"/>
        <v>0</v>
      </c>
      <c r="X173" s="18">
        <v>150000</v>
      </c>
    </row>
    <row r="174" spans="1:24" ht="26.25" hidden="1" customHeight="1" x14ac:dyDescent="0.25">
      <c r="B174" s="14"/>
      <c r="C174" s="6" t="s">
        <v>19</v>
      </c>
      <c r="D174" s="23" t="s">
        <v>140</v>
      </c>
      <c r="E174" s="104" t="s">
        <v>131</v>
      </c>
      <c r="F174" s="386">
        <v>72</v>
      </c>
      <c r="G174" s="14" t="s">
        <v>0</v>
      </c>
      <c r="H174" s="39">
        <v>0</v>
      </c>
      <c r="I174" s="309">
        <v>0</v>
      </c>
      <c r="J174" s="39">
        <f t="shared" si="40"/>
        <v>0</v>
      </c>
      <c r="K174" s="309">
        <f t="shared" si="48"/>
        <v>1.06</v>
      </c>
      <c r="L174" s="230">
        <f t="shared" si="49"/>
        <v>0</v>
      </c>
      <c r="M174" s="88"/>
      <c r="N174" s="140"/>
      <c r="O174" s="39">
        <v>0</v>
      </c>
      <c r="P174" s="497">
        <f t="shared" si="50"/>
        <v>0</v>
      </c>
      <c r="Q174" s="51" t="str">
        <f t="shared" si="36"/>
        <v>ПП30*15*10</v>
      </c>
      <c r="R174" s="377">
        <f t="shared" si="45"/>
        <v>1.49</v>
      </c>
      <c r="S174" s="319">
        <v>1.24</v>
      </c>
      <c r="T174" s="353">
        <f t="shared" si="51"/>
        <v>0</v>
      </c>
      <c r="U174" s="18">
        <v>0</v>
      </c>
      <c r="V174" s="20">
        <f t="shared" si="52"/>
        <v>0</v>
      </c>
      <c r="W174" s="52">
        <f t="shared" si="53"/>
        <v>0</v>
      </c>
      <c r="X174" s="18">
        <v>0</v>
      </c>
    </row>
    <row r="175" spans="1:24" ht="26.25" customHeight="1" x14ac:dyDescent="0.25">
      <c r="B175" s="11">
        <v>61</v>
      </c>
      <c r="C175" s="6" t="s">
        <v>19</v>
      </c>
      <c r="D175" s="23" t="s">
        <v>140</v>
      </c>
      <c r="E175" s="104" t="s">
        <v>545</v>
      </c>
      <c r="F175" s="383">
        <v>1340</v>
      </c>
      <c r="G175" s="12" t="s">
        <v>0</v>
      </c>
      <c r="H175" s="39">
        <v>4800</v>
      </c>
      <c r="I175" s="360">
        <v>2832</v>
      </c>
      <c r="J175" s="39">
        <f t="shared" si="40"/>
        <v>0</v>
      </c>
      <c r="K175" s="309">
        <f t="shared" si="48"/>
        <v>0.59</v>
      </c>
      <c r="L175" s="230">
        <f t="shared" si="49"/>
        <v>0</v>
      </c>
      <c r="M175" s="62"/>
      <c r="N175" s="140"/>
      <c r="O175" s="39">
        <v>4800</v>
      </c>
      <c r="P175" s="309">
        <f t="shared" si="50"/>
        <v>2832</v>
      </c>
      <c r="Q175" s="235" t="str">
        <f t="shared" si="36"/>
        <v>К38х24х7</v>
      </c>
      <c r="R175" s="377">
        <f t="shared" si="45"/>
        <v>0.83</v>
      </c>
      <c r="S175" s="322">
        <f>20.21*0.034</f>
        <v>0.69</v>
      </c>
      <c r="T175" s="353">
        <f t="shared" si="51"/>
        <v>0</v>
      </c>
      <c r="U175" s="148">
        <f>300*33+180</f>
        <v>10080</v>
      </c>
      <c r="V175" s="20">
        <f t="shared" si="52"/>
        <v>0</v>
      </c>
      <c r="W175" s="52">
        <f t="shared" si="53"/>
        <v>0</v>
      </c>
      <c r="X175" s="444">
        <f>300*33+180</f>
        <v>10080</v>
      </c>
    </row>
    <row r="176" spans="1:24" ht="26.25" customHeight="1" x14ac:dyDescent="0.25">
      <c r="B176" s="11">
        <v>62</v>
      </c>
      <c r="C176" s="6" t="s">
        <v>19</v>
      </c>
      <c r="D176" s="23" t="s">
        <v>147</v>
      </c>
      <c r="E176" s="104" t="s">
        <v>546</v>
      </c>
      <c r="F176" s="383">
        <v>1348</v>
      </c>
      <c r="G176" s="12" t="s">
        <v>0</v>
      </c>
      <c r="H176" s="39">
        <v>4800</v>
      </c>
      <c r="I176" s="360">
        <v>1872</v>
      </c>
      <c r="J176" s="39">
        <f t="shared" si="40"/>
        <v>0</v>
      </c>
      <c r="K176" s="309">
        <f t="shared" si="48"/>
        <v>0.39</v>
      </c>
      <c r="L176" s="230">
        <f t="shared" si="49"/>
        <v>0</v>
      </c>
      <c r="M176" s="42"/>
      <c r="N176" s="140"/>
      <c r="O176" s="39">
        <v>4800</v>
      </c>
      <c r="P176" s="309">
        <f t="shared" si="50"/>
        <v>1872</v>
      </c>
      <c r="Q176" s="235" t="str">
        <f t="shared" si="36"/>
        <v>К23х10х7</v>
      </c>
      <c r="R176" s="377">
        <f t="shared" ref="R176:R207" si="54">S176*1.2</f>
        <v>0.54</v>
      </c>
      <c r="S176" s="338">
        <f>13.17*0.034</f>
        <v>0.45</v>
      </c>
      <c r="T176" s="353">
        <f t="shared" si="51"/>
        <v>0</v>
      </c>
      <c r="U176" s="147">
        <v>8650</v>
      </c>
      <c r="V176" s="20">
        <f t="shared" si="52"/>
        <v>0</v>
      </c>
      <c r="W176" s="52">
        <f t="shared" si="53"/>
        <v>0</v>
      </c>
      <c r="X176" s="848">
        <v>8650</v>
      </c>
    </row>
    <row r="177" spans="1:41" ht="26.25" hidden="1" customHeight="1" x14ac:dyDescent="0.25">
      <c r="B177" s="11"/>
      <c r="C177" s="6" t="s">
        <v>19</v>
      </c>
      <c r="D177" s="23" t="s">
        <v>140</v>
      </c>
      <c r="E177" s="104" t="s">
        <v>80</v>
      </c>
      <c r="F177" s="388">
        <v>92</v>
      </c>
      <c r="G177" s="12" t="s">
        <v>0</v>
      </c>
      <c r="H177" s="39"/>
      <c r="I177" s="309">
        <v>0</v>
      </c>
      <c r="J177" s="39">
        <f t="shared" si="40"/>
        <v>0</v>
      </c>
      <c r="K177" s="309">
        <f t="shared" si="48"/>
        <v>1.2</v>
      </c>
      <c r="L177" s="230">
        <f t="shared" si="49"/>
        <v>0</v>
      </c>
      <c r="M177" s="93"/>
      <c r="N177" s="140"/>
      <c r="O177" s="39"/>
      <c r="P177" s="490">
        <f t="shared" si="50"/>
        <v>0</v>
      </c>
      <c r="Q177" s="51" t="str">
        <f t="shared" si="36"/>
        <v>СП210-028</v>
      </c>
      <c r="R177" s="377">
        <f t="shared" si="54"/>
        <v>1.68</v>
      </c>
      <c r="S177" s="319">
        <v>1.4</v>
      </c>
      <c r="T177" s="353">
        <f t="shared" si="51"/>
        <v>0</v>
      </c>
      <c r="U177" s="18">
        <v>60</v>
      </c>
      <c r="V177" s="20">
        <f t="shared" si="52"/>
        <v>0</v>
      </c>
      <c r="W177" s="52">
        <f t="shared" si="53"/>
        <v>0</v>
      </c>
      <c r="X177" s="18">
        <v>60</v>
      </c>
    </row>
    <row r="178" spans="1:41" ht="26.25" hidden="1" customHeight="1" x14ac:dyDescent="0.25">
      <c r="B178" s="19"/>
      <c r="C178" s="6" t="s">
        <v>19</v>
      </c>
      <c r="D178" s="23" t="s">
        <v>140</v>
      </c>
      <c r="E178" s="87" t="s">
        <v>696</v>
      </c>
      <c r="F178" s="387" t="s">
        <v>699</v>
      </c>
      <c r="G178" s="12" t="s">
        <v>0</v>
      </c>
      <c r="H178" s="39"/>
      <c r="I178" s="309">
        <v>0</v>
      </c>
      <c r="J178" s="39">
        <f t="shared" si="40"/>
        <v>0</v>
      </c>
      <c r="K178" s="309">
        <f t="shared" si="48"/>
        <v>0.25</v>
      </c>
      <c r="L178" s="230">
        <f t="shared" si="49"/>
        <v>0</v>
      </c>
      <c r="M178" s="204"/>
      <c r="N178" s="140"/>
      <c r="O178" s="39"/>
      <c r="P178" s="309">
        <f t="shared" si="50"/>
        <v>0</v>
      </c>
      <c r="Q178" s="51" t="str">
        <f t="shared" si="36"/>
        <v>С8х30</v>
      </c>
      <c r="R178" s="377">
        <f t="shared" si="54"/>
        <v>0.35</v>
      </c>
      <c r="S178" s="339">
        <v>0.28999999999999998</v>
      </c>
      <c r="T178" s="353">
        <f t="shared" si="51"/>
        <v>0</v>
      </c>
      <c r="U178" s="18"/>
      <c r="V178" s="20">
        <f t="shared" si="52"/>
        <v>0</v>
      </c>
      <c r="W178" s="52">
        <f t="shared" si="53"/>
        <v>0</v>
      </c>
      <c r="X178" s="18"/>
    </row>
    <row r="179" spans="1:41" ht="26.25" customHeight="1" x14ac:dyDescent="0.25">
      <c r="B179" s="11">
        <v>63</v>
      </c>
      <c r="C179" s="6" t="s">
        <v>19</v>
      </c>
      <c r="D179" s="23" t="s">
        <v>140</v>
      </c>
      <c r="E179" s="104" t="s">
        <v>75</v>
      </c>
      <c r="F179" s="208">
        <v>437</v>
      </c>
      <c r="G179" s="12" t="s">
        <v>0</v>
      </c>
      <c r="H179" s="39">
        <v>1400</v>
      </c>
      <c r="I179" s="360">
        <v>546</v>
      </c>
      <c r="J179" s="39">
        <f t="shared" si="40"/>
        <v>1400</v>
      </c>
      <c r="K179" s="309">
        <f t="shared" si="48"/>
        <v>0.39</v>
      </c>
      <c r="L179" s="230">
        <f t="shared" si="49"/>
        <v>0</v>
      </c>
      <c r="M179" s="196"/>
      <c r="N179" s="140"/>
      <c r="O179" s="39">
        <f>4*700</f>
        <v>2800</v>
      </c>
      <c r="P179" s="309">
        <f t="shared" si="50"/>
        <v>1092</v>
      </c>
      <c r="Q179" s="235" t="str">
        <f t="shared" si="36"/>
        <v>С10х40</v>
      </c>
      <c r="R179" s="306">
        <f t="shared" si="54"/>
        <v>0.54</v>
      </c>
      <c r="S179" s="319">
        <v>0.45</v>
      </c>
      <c r="T179" s="353">
        <f t="shared" si="51"/>
        <v>630</v>
      </c>
      <c r="U179" s="70">
        <v>500</v>
      </c>
      <c r="V179" s="20">
        <f t="shared" si="52"/>
        <v>0</v>
      </c>
      <c r="W179" s="52">
        <f t="shared" si="53"/>
        <v>200</v>
      </c>
      <c r="X179" s="444">
        <v>700</v>
      </c>
      <c r="Y179" s="10">
        <f>700*4</f>
        <v>2800</v>
      </c>
    </row>
    <row r="180" spans="1:41" ht="26.25" customHeight="1" x14ac:dyDescent="0.25">
      <c r="B180" s="11">
        <v>64</v>
      </c>
      <c r="C180" s="6" t="s">
        <v>19</v>
      </c>
      <c r="D180" s="23" t="s">
        <v>140</v>
      </c>
      <c r="E180" s="104" t="s">
        <v>78</v>
      </c>
      <c r="F180" s="208">
        <v>391</v>
      </c>
      <c r="G180" s="12" t="s">
        <v>0</v>
      </c>
      <c r="H180" s="39">
        <v>1800</v>
      </c>
      <c r="I180" s="360">
        <v>21.24</v>
      </c>
      <c r="J180" s="39">
        <f t="shared" si="40"/>
        <v>0</v>
      </c>
      <c r="K180" s="309">
        <v>0.01</v>
      </c>
      <c r="L180" s="230">
        <f t="shared" si="49"/>
        <v>0</v>
      </c>
      <c r="M180" s="42"/>
      <c r="N180" s="140"/>
      <c r="O180" s="39">
        <v>1800</v>
      </c>
      <c r="P180" s="309">
        <f>I180</f>
        <v>21.24</v>
      </c>
      <c r="Q180" s="235" t="str">
        <f t="shared" si="36"/>
        <v>С10х26</v>
      </c>
      <c r="R180" s="377">
        <f t="shared" si="54"/>
        <v>0.36</v>
      </c>
      <c r="S180" s="320">
        <v>0.3</v>
      </c>
      <c r="T180" s="353">
        <f t="shared" si="51"/>
        <v>0</v>
      </c>
      <c r="U180" s="148">
        <v>1800</v>
      </c>
      <c r="V180" s="20">
        <f t="shared" si="52"/>
        <v>0</v>
      </c>
      <c r="W180" s="52">
        <f t="shared" si="53"/>
        <v>0</v>
      </c>
      <c r="X180" s="444">
        <v>1800</v>
      </c>
    </row>
    <row r="181" spans="1:41" ht="26.25" customHeight="1" x14ac:dyDescent="0.25">
      <c r="B181" s="11">
        <v>65</v>
      </c>
      <c r="C181" s="6" t="s">
        <v>19</v>
      </c>
      <c r="D181" s="23" t="s">
        <v>147</v>
      </c>
      <c r="E181" s="104" t="s">
        <v>209</v>
      </c>
      <c r="F181" s="386">
        <v>373</v>
      </c>
      <c r="G181" s="48" t="s">
        <v>0</v>
      </c>
      <c r="H181" s="39"/>
      <c r="I181" s="360">
        <v>0</v>
      </c>
      <c r="J181" s="39">
        <f t="shared" si="40"/>
        <v>8</v>
      </c>
      <c r="K181" s="309">
        <f>R181/1.4</f>
        <v>4.37</v>
      </c>
      <c r="L181" s="230">
        <f t="shared" si="49"/>
        <v>0</v>
      </c>
      <c r="M181" s="296" t="s">
        <v>927</v>
      </c>
      <c r="N181" s="140">
        <v>8</v>
      </c>
      <c r="O181" s="503"/>
      <c r="P181" s="309">
        <f t="shared" ref="P181:P190" si="55">K181*O181</f>
        <v>0</v>
      </c>
      <c r="Q181" s="235" t="str">
        <f t="shared" si="36"/>
        <v>С8х160 М400НН</v>
      </c>
      <c r="R181" s="377">
        <f t="shared" si="54"/>
        <v>6.12</v>
      </c>
      <c r="S181" s="326">
        <v>5.0999999999999996</v>
      </c>
      <c r="T181" s="353">
        <f t="shared" si="51"/>
        <v>40.799999999999997</v>
      </c>
      <c r="U181" s="147">
        <f>15*14+12</f>
        <v>222</v>
      </c>
      <c r="V181" s="20">
        <f t="shared" si="52"/>
        <v>8</v>
      </c>
      <c r="W181" s="52">
        <f t="shared" si="53"/>
        <v>8</v>
      </c>
      <c r="X181" s="18">
        <f>15*14+12</f>
        <v>222</v>
      </c>
    </row>
    <row r="182" spans="1:41" s="22" customFormat="1" ht="26.25" hidden="1" customHeight="1" x14ac:dyDescent="0.25">
      <c r="A182" s="10"/>
      <c r="B182" s="11"/>
      <c r="C182" s="6" t="s">
        <v>19</v>
      </c>
      <c r="D182" s="23" t="s">
        <v>147</v>
      </c>
      <c r="E182" s="104" t="s">
        <v>146</v>
      </c>
      <c r="F182" s="385" t="s">
        <v>244</v>
      </c>
      <c r="G182" s="14" t="s">
        <v>0</v>
      </c>
      <c r="H182" s="39">
        <v>0</v>
      </c>
      <c r="I182" s="309">
        <v>0</v>
      </c>
      <c r="J182" s="39">
        <f t="shared" si="40"/>
        <v>0</v>
      </c>
      <c r="K182" s="309">
        <f>R182/1.4</f>
        <v>5.57</v>
      </c>
      <c r="L182" s="230">
        <f t="shared" si="49"/>
        <v>0</v>
      </c>
      <c r="M182" s="249" t="s">
        <v>678</v>
      </c>
      <c r="N182" s="140"/>
      <c r="O182" s="503">
        <v>0</v>
      </c>
      <c r="P182" s="309">
        <f t="shared" si="55"/>
        <v>0</v>
      </c>
      <c r="Q182" s="235" t="str">
        <f t="shared" ref="Q182:Q251" si="56">E182</f>
        <v>С10х200 М400НН</v>
      </c>
      <c r="R182" s="377">
        <f t="shared" si="54"/>
        <v>7.8</v>
      </c>
      <c r="S182" s="319">
        <v>6.5</v>
      </c>
      <c r="T182" s="353">
        <f t="shared" si="51"/>
        <v>0</v>
      </c>
      <c r="U182" s="147">
        <v>55</v>
      </c>
      <c r="V182" s="20">
        <f t="shared" si="52"/>
        <v>0</v>
      </c>
      <c r="W182" s="52">
        <f t="shared" si="53"/>
        <v>0</v>
      </c>
      <c r="X182" s="18">
        <v>55</v>
      </c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spans="1:41" ht="26.25" hidden="1" customHeight="1" x14ac:dyDescent="0.25">
      <c r="B183" s="14"/>
      <c r="C183" s="6" t="s">
        <v>19</v>
      </c>
      <c r="D183" s="23" t="s">
        <v>15</v>
      </c>
      <c r="E183" s="107" t="s">
        <v>154</v>
      </c>
      <c r="F183" s="390">
        <v>589</v>
      </c>
      <c r="G183" s="13" t="s">
        <v>0</v>
      </c>
      <c r="H183" s="39">
        <v>0</v>
      </c>
      <c r="I183" s="309">
        <v>0</v>
      </c>
      <c r="J183" s="39">
        <f t="shared" si="40"/>
        <v>0</v>
      </c>
      <c r="K183" s="309">
        <f>R183/1.4</f>
        <v>0.43</v>
      </c>
      <c r="L183" s="230">
        <f t="shared" si="49"/>
        <v>0</v>
      </c>
      <c r="M183" s="90"/>
      <c r="N183" s="140"/>
      <c r="O183" s="39">
        <v>0</v>
      </c>
      <c r="P183" s="490">
        <f t="shared" si="55"/>
        <v>0</v>
      </c>
      <c r="Q183" s="51" t="str">
        <f t="shared" si="56"/>
        <v>С6х30</v>
      </c>
      <c r="R183" s="377">
        <f t="shared" si="54"/>
        <v>0.6</v>
      </c>
      <c r="S183" s="319">
        <v>0.5</v>
      </c>
      <c r="T183" s="353">
        <f t="shared" si="51"/>
        <v>0</v>
      </c>
      <c r="U183" s="18">
        <v>0</v>
      </c>
      <c r="V183" s="20">
        <f t="shared" si="52"/>
        <v>0</v>
      </c>
      <c r="W183" s="52">
        <f t="shared" si="53"/>
        <v>0</v>
      </c>
      <c r="X183" s="18">
        <v>0</v>
      </c>
    </row>
    <row r="184" spans="1:41" s="21" customFormat="1" ht="26.25" hidden="1" customHeight="1" x14ac:dyDescent="0.25">
      <c r="B184" s="15"/>
      <c r="C184" s="6" t="s">
        <v>19</v>
      </c>
      <c r="D184" s="23" t="s">
        <v>15</v>
      </c>
      <c r="E184" s="104" t="s">
        <v>208</v>
      </c>
      <c r="F184" s="386">
        <v>944</v>
      </c>
      <c r="G184" s="19" t="s">
        <v>0</v>
      </c>
      <c r="H184" s="39"/>
      <c r="I184" s="309">
        <v>0</v>
      </c>
      <c r="J184" s="39">
        <f t="shared" si="40"/>
        <v>0</v>
      </c>
      <c r="K184" s="309">
        <f>R184/1.4</f>
        <v>0.27</v>
      </c>
      <c r="L184" s="230">
        <f t="shared" si="49"/>
        <v>0</v>
      </c>
      <c r="M184" s="116" t="s">
        <v>212</v>
      </c>
      <c r="N184" s="140"/>
      <c r="O184" s="39"/>
      <c r="P184" s="309">
        <f t="shared" si="55"/>
        <v>0</v>
      </c>
      <c r="Q184" s="51" t="str">
        <f t="shared" si="56"/>
        <v>ПС6х25</v>
      </c>
      <c r="R184" s="377">
        <f t="shared" si="54"/>
        <v>0.38</v>
      </c>
      <c r="S184" s="320">
        <v>0.32</v>
      </c>
      <c r="T184" s="353">
        <f t="shared" si="51"/>
        <v>0</v>
      </c>
      <c r="U184" s="18">
        <v>0</v>
      </c>
      <c r="V184" s="20">
        <f t="shared" si="52"/>
        <v>0</v>
      </c>
      <c r="W184" s="52">
        <f t="shared" si="53"/>
        <v>0</v>
      </c>
      <c r="X184" s="18">
        <v>0</v>
      </c>
    </row>
    <row r="185" spans="1:41" ht="26.25" hidden="1" customHeight="1" x14ac:dyDescent="0.25">
      <c r="B185" s="11"/>
      <c r="C185" s="6" t="s">
        <v>19</v>
      </c>
      <c r="D185" s="23" t="s">
        <v>15</v>
      </c>
      <c r="E185" s="104" t="s">
        <v>284</v>
      </c>
      <c r="F185" s="209"/>
      <c r="G185" s="48" t="s">
        <v>0</v>
      </c>
      <c r="H185" s="39"/>
      <c r="I185" s="309">
        <v>0</v>
      </c>
      <c r="J185" s="39">
        <f t="shared" si="40"/>
        <v>0</v>
      </c>
      <c r="K185" s="309">
        <f>R185/1.4</f>
        <v>0</v>
      </c>
      <c r="L185" s="230">
        <f t="shared" si="49"/>
        <v>0</v>
      </c>
      <c r="M185" s="99" t="s">
        <v>263</v>
      </c>
      <c r="N185" s="140"/>
      <c r="O185" s="39"/>
      <c r="P185" s="309">
        <f t="shared" si="55"/>
        <v>0</v>
      </c>
      <c r="Q185" s="51" t="str">
        <f t="shared" si="56"/>
        <v>С10х100</v>
      </c>
      <c r="R185" s="377">
        <f t="shared" si="54"/>
        <v>0</v>
      </c>
      <c r="S185" s="319">
        <v>0</v>
      </c>
      <c r="T185" s="353">
        <f t="shared" si="51"/>
        <v>0</v>
      </c>
      <c r="U185" s="20"/>
      <c r="V185" s="20">
        <f t="shared" si="52"/>
        <v>0</v>
      </c>
      <c r="W185" s="52">
        <f t="shared" si="53"/>
        <v>0</v>
      </c>
      <c r="X185" s="20"/>
    </row>
    <row r="186" spans="1:41" ht="26.25" hidden="1" customHeight="1" x14ac:dyDescent="0.25">
      <c r="B186" s="11"/>
      <c r="C186" s="6" t="s">
        <v>19</v>
      </c>
      <c r="D186" s="23" t="s">
        <v>15</v>
      </c>
      <c r="E186" s="104"/>
      <c r="F186" s="209"/>
      <c r="G186" s="48"/>
      <c r="H186" s="39"/>
      <c r="I186" s="309">
        <v>0</v>
      </c>
      <c r="J186" s="39">
        <f t="shared" si="40"/>
        <v>0</v>
      </c>
      <c r="K186" s="309"/>
      <c r="L186" s="230"/>
      <c r="M186" s="99"/>
      <c r="N186" s="140"/>
      <c r="O186" s="39"/>
      <c r="P186" s="309">
        <f t="shared" si="55"/>
        <v>0</v>
      </c>
      <c r="Q186" s="51">
        <f t="shared" si="56"/>
        <v>0</v>
      </c>
      <c r="R186" s="377">
        <f t="shared" si="54"/>
        <v>0</v>
      </c>
      <c r="S186" s="339">
        <v>0</v>
      </c>
      <c r="T186" s="353">
        <f t="shared" si="51"/>
        <v>0</v>
      </c>
      <c r="U186" s="20"/>
      <c r="V186" s="20">
        <f t="shared" si="52"/>
        <v>0</v>
      </c>
      <c r="W186" s="52">
        <f t="shared" si="53"/>
        <v>0</v>
      </c>
      <c r="X186" s="20"/>
    </row>
    <row r="187" spans="1:41" ht="26.25" hidden="1" customHeight="1" x14ac:dyDescent="0.25">
      <c r="B187" s="11"/>
      <c r="C187" s="6" t="s">
        <v>19</v>
      </c>
      <c r="D187" s="23" t="s">
        <v>15</v>
      </c>
      <c r="E187" s="1" t="s">
        <v>329</v>
      </c>
      <c r="F187" s="209"/>
      <c r="G187" s="48"/>
      <c r="H187" s="39"/>
      <c r="I187" s="309">
        <v>0</v>
      </c>
      <c r="J187" s="39">
        <f t="shared" si="40"/>
        <v>0</v>
      </c>
      <c r="K187" s="309">
        <f>R187/1.4</f>
        <v>0.09</v>
      </c>
      <c r="L187" s="230"/>
      <c r="M187" s="99" t="s">
        <v>332</v>
      </c>
      <c r="N187" s="140"/>
      <c r="O187" s="39"/>
      <c r="P187" s="309">
        <f t="shared" si="55"/>
        <v>0</v>
      </c>
      <c r="Q187" s="51" t="str">
        <f t="shared" si="56"/>
        <v>К7х4х2</v>
      </c>
      <c r="R187" s="377">
        <f t="shared" si="54"/>
        <v>0.12</v>
      </c>
      <c r="S187" s="319">
        <v>0.1</v>
      </c>
      <c r="T187" s="353">
        <f t="shared" si="51"/>
        <v>0</v>
      </c>
      <c r="U187" s="20"/>
      <c r="V187" s="20">
        <f t="shared" si="52"/>
        <v>0</v>
      </c>
      <c r="W187" s="52">
        <f t="shared" si="53"/>
        <v>0</v>
      </c>
      <c r="X187" s="20"/>
    </row>
    <row r="188" spans="1:41" ht="26.25" hidden="1" customHeight="1" x14ac:dyDescent="0.25">
      <c r="B188" s="11"/>
      <c r="C188" s="6" t="s">
        <v>19</v>
      </c>
      <c r="D188" s="23" t="s">
        <v>15</v>
      </c>
      <c r="E188" s="1" t="s">
        <v>366</v>
      </c>
      <c r="F188" s="209">
        <v>1142</v>
      </c>
      <c r="G188" s="48"/>
      <c r="H188" s="39"/>
      <c r="I188" s="309">
        <v>0</v>
      </c>
      <c r="J188" s="39">
        <f t="shared" si="40"/>
        <v>0</v>
      </c>
      <c r="K188" s="309">
        <f>R188/1.4</f>
        <v>0.11</v>
      </c>
      <c r="L188" s="230"/>
      <c r="M188" s="99" t="s">
        <v>371</v>
      </c>
      <c r="N188" s="140"/>
      <c r="O188" s="39"/>
      <c r="P188" s="309">
        <f t="shared" si="55"/>
        <v>0</v>
      </c>
      <c r="Q188" s="51" t="str">
        <f t="shared" si="56"/>
        <v>К17х8,2х5</v>
      </c>
      <c r="R188" s="377">
        <f t="shared" si="54"/>
        <v>0.16</v>
      </c>
      <c r="S188" s="319">
        <v>0.13</v>
      </c>
      <c r="T188" s="353">
        <f t="shared" si="51"/>
        <v>0</v>
      </c>
      <c r="U188" s="20"/>
      <c r="V188" s="20">
        <f t="shared" si="52"/>
        <v>0</v>
      </c>
      <c r="W188" s="52">
        <f t="shared" si="53"/>
        <v>0</v>
      </c>
      <c r="X188" s="20"/>
    </row>
    <row r="189" spans="1:41" s="4" customFormat="1" ht="26.25" hidden="1" customHeight="1" x14ac:dyDescent="0.25">
      <c r="A189" s="10"/>
      <c r="B189" s="14"/>
      <c r="C189" s="6" t="s">
        <v>19</v>
      </c>
      <c r="D189" s="23" t="s">
        <v>15</v>
      </c>
      <c r="E189" s="107" t="s">
        <v>172</v>
      </c>
      <c r="F189" s="210">
        <v>1204</v>
      </c>
      <c r="G189" s="48" t="s">
        <v>0</v>
      </c>
      <c r="H189" s="39"/>
      <c r="I189" s="360">
        <v>0</v>
      </c>
      <c r="J189" s="39">
        <f t="shared" si="40"/>
        <v>0</v>
      </c>
      <c r="K189" s="309">
        <f>R189/1.4</f>
        <v>1.37</v>
      </c>
      <c r="L189" s="230">
        <f>K189*J492</f>
        <v>0</v>
      </c>
      <c r="M189" s="367"/>
      <c r="N189" s="140"/>
      <c r="O189" s="39"/>
      <c r="P189" s="309">
        <f t="shared" si="55"/>
        <v>0</v>
      </c>
      <c r="Q189" s="51" t="str">
        <f t="shared" si="56"/>
        <v>К10х6х3</v>
      </c>
      <c r="R189" s="377">
        <f t="shared" si="54"/>
        <v>1.92</v>
      </c>
      <c r="S189" s="322">
        <v>1.6</v>
      </c>
      <c r="T189" s="353">
        <f t="shared" si="51"/>
        <v>0</v>
      </c>
      <c r="U189" s="18">
        <v>0</v>
      </c>
      <c r="V189" s="20">
        <f t="shared" si="52"/>
        <v>0</v>
      </c>
      <c r="W189" s="52">
        <f t="shared" si="53"/>
        <v>0</v>
      </c>
      <c r="X189" s="18">
        <v>0</v>
      </c>
    </row>
    <row r="190" spans="1:41" ht="26.25" customHeight="1" x14ac:dyDescent="0.25">
      <c r="B190" s="11">
        <v>66</v>
      </c>
      <c r="C190" s="6" t="s">
        <v>19</v>
      </c>
      <c r="D190" s="23" t="s">
        <v>15</v>
      </c>
      <c r="E190" s="104" t="s">
        <v>21</v>
      </c>
      <c r="F190" s="383" t="s">
        <v>127</v>
      </c>
      <c r="G190" s="12" t="s">
        <v>0</v>
      </c>
      <c r="H190" s="39">
        <v>1761</v>
      </c>
      <c r="I190" s="360">
        <v>1127.04</v>
      </c>
      <c r="J190" s="39">
        <f t="shared" si="40"/>
        <v>0</v>
      </c>
      <c r="K190" s="309">
        <f>R190/1.4</f>
        <v>0.64</v>
      </c>
      <c r="L190" s="230">
        <f>K190*J493</f>
        <v>0</v>
      </c>
      <c r="M190" s="363"/>
      <c r="N190" s="140"/>
      <c r="O190" s="39">
        <f>3000-239-500-500</f>
        <v>1761</v>
      </c>
      <c r="P190" s="309">
        <f t="shared" si="55"/>
        <v>1127.04</v>
      </c>
      <c r="Q190" s="235" t="str">
        <f t="shared" si="56"/>
        <v>К10х6х4,5</v>
      </c>
      <c r="R190" s="377">
        <f t="shared" si="54"/>
        <v>0.9</v>
      </c>
      <c r="S190" s="319">
        <v>0.75</v>
      </c>
      <c r="T190" s="353">
        <f t="shared" si="51"/>
        <v>0</v>
      </c>
      <c r="U190" s="148">
        <v>10000</v>
      </c>
      <c r="V190" s="20">
        <f t="shared" si="52"/>
        <v>0</v>
      </c>
      <c r="W190" s="52">
        <f t="shared" si="53"/>
        <v>0</v>
      </c>
      <c r="X190" s="20">
        <v>10000</v>
      </c>
    </row>
    <row r="191" spans="1:41" ht="26.25" customHeight="1" x14ac:dyDescent="0.25">
      <c r="B191" s="11">
        <v>67</v>
      </c>
      <c r="C191" s="6" t="s">
        <v>19</v>
      </c>
      <c r="D191" s="23" t="s">
        <v>15</v>
      </c>
      <c r="E191" s="104" t="s">
        <v>111</v>
      </c>
      <c r="F191" s="208" t="s">
        <v>81</v>
      </c>
      <c r="G191" s="12" t="s">
        <v>0</v>
      </c>
      <c r="H191" s="39">
        <v>5000</v>
      </c>
      <c r="I191" s="360">
        <v>1285.5</v>
      </c>
      <c r="J191" s="39">
        <f t="shared" si="40"/>
        <v>0</v>
      </c>
      <c r="K191" s="309">
        <v>0.26</v>
      </c>
      <c r="L191" s="230">
        <f>K191*J494</f>
        <v>0</v>
      </c>
      <c r="M191" s="94"/>
      <c r="N191" s="140"/>
      <c r="O191" s="39">
        <v>5000</v>
      </c>
      <c r="P191" s="309">
        <f>I191</f>
        <v>1285.5</v>
      </c>
      <c r="Q191" s="235" t="str">
        <f t="shared" si="56"/>
        <v>К10х6х4,5 с п/п</v>
      </c>
      <c r="R191" s="377">
        <f t="shared" si="54"/>
        <v>0.36</v>
      </c>
      <c r="S191" s="320">
        <v>0.3</v>
      </c>
      <c r="T191" s="353">
        <f t="shared" si="51"/>
        <v>0</v>
      </c>
      <c r="U191" s="20"/>
      <c r="V191" s="20">
        <f t="shared" si="52"/>
        <v>0</v>
      </c>
      <c r="W191" s="52">
        <f t="shared" si="53"/>
        <v>0</v>
      </c>
      <c r="X191" s="20"/>
    </row>
    <row r="192" spans="1:41" ht="26.25" customHeight="1" x14ac:dyDescent="0.25">
      <c r="B192" s="11">
        <v>68</v>
      </c>
      <c r="C192" s="6" t="s">
        <v>19</v>
      </c>
      <c r="D192" s="23" t="s">
        <v>15</v>
      </c>
      <c r="E192" s="104" t="s">
        <v>550</v>
      </c>
      <c r="F192" s="208">
        <v>374</v>
      </c>
      <c r="G192" s="12" t="s">
        <v>0</v>
      </c>
      <c r="H192" s="39">
        <v>53545</v>
      </c>
      <c r="I192" s="360">
        <v>11244.45</v>
      </c>
      <c r="J192" s="39">
        <f t="shared" si="40"/>
        <v>455</v>
      </c>
      <c r="K192" s="309">
        <f>R192/1.4</f>
        <v>0.21</v>
      </c>
      <c r="L192" s="230">
        <f>K192*J495</f>
        <v>0</v>
      </c>
      <c r="M192" s="300" t="s">
        <v>928</v>
      </c>
      <c r="N192" s="140">
        <v>2000</v>
      </c>
      <c r="O192" s="39">
        <v>52000</v>
      </c>
      <c r="P192" s="309">
        <f t="shared" ref="P192:P202" si="57">K192*O192</f>
        <v>10920</v>
      </c>
      <c r="Q192" s="235" t="str">
        <f t="shared" si="56"/>
        <v>К16х10х4,5</v>
      </c>
      <c r="R192" s="377">
        <f t="shared" si="54"/>
        <v>0.3</v>
      </c>
      <c r="S192" s="319">
        <v>0.25</v>
      </c>
      <c r="T192" s="353">
        <f t="shared" si="51"/>
        <v>113.75</v>
      </c>
      <c r="U192" s="148">
        <f>161200-515-520</f>
        <v>160165</v>
      </c>
      <c r="V192" s="20">
        <f t="shared" si="52"/>
        <v>2000</v>
      </c>
      <c r="W192" s="52">
        <f t="shared" si="53"/>
        <v>2000</v>
      </c>
      <c r="X192" s="20">
        <f>161200-515-520</f>
        <v>160165</v>
      </c>
    </row>
    <row r="193" spans="2:24" ht="26.25" hidden="1" customHeight="1" x14ac:dyDescent="0.25">
      <c r="B193" s="14"/>
      <c r="C193" s="6" t="s">
        <v>19</v>
      </c>
      <c r="D193" s="23" t="s">
        <v>193</v>
      </c>
      <c r="E193" s="104" t="s">
        <v>197</v>
      </c>
      <c r="F193" s="386">
        <v>1071</v>
      </c>
      <c r="G193" s="14" t="s">
        <v>0</v>
      </c>
      <c r="H193" s="39"/>
      <c r="I193" s="309">
        <v>0</v>
      </c>
      <c r="J193" s="39">
        <f t="shared" si="40"/>
        <v>0</v>
      </c>
      <c r="K193" s="309">
        <f>R193/1.4</f>
        <v>0.26</v>
      </c>
      <c r="L193" s="230"/>
      <c r="M193" s="82" t="s">
        <v>276</v>
      </c>
      <c r="N193" s="140"/>
      <c r="O193" s="39"/>
      <c r="P193" s="490">
        <f t="shared" si="57"/>
        <v>0</v>
      </c>
      <c r="Q193" s="51" t="str">
        <f t="shared" si="56"/>
        <v>К16 х  10  х 4,5 c  п/п</v>
      </c>
      <c r="R193" s="377">
        <f t="shared" si="54"/>
        <v>0.36</v>
      </c>
      <c r="S193" s="322">
        <v>0.3</v>
      </c>
      <c r="T193" s="353">
        <f t="shared" si="51"/>
        <v>0</v>
      </c>
      <c r="U193" s="147">
        <f>11*1500</f>
        <v>16500</v>
      </c>
      <c r="V193" s="20">
        <f t="shared" si="52"/>
        <v>0</v>
      </c>
      <c r="W193" s="52">
        <f t="shared" si="53"/>
        <v>0</v>
      </c>
      <c r="X193" s="18">
        <f>11*1500</f>
        <v>16500</v>
      </c>
    </row>
    <row r="194" spans="2:24" s="21" customFormat="1" ht="26.25" customHeight="1" x14ac:dyDescent="0.25">
      <c r="B194" s="11">
        <v>69</v>
      </c>
      <c r="C194" s="6" t="s">
        <v>19</v>
      </c>
      <c r="D194" s="23" t="s">
        <v>15</v>
      </c>
      <c r="E194" s="104" t="s">
        <v>33</v>
      </c>
      <c r="F194" s="208" t="s">
        <v>62</v>
      </c>
      <c r="G194" s="12" t="s">
        <v>0</v>
      </c>
      <c r="H194" s="39">
        <v>674</v>
      </c>
      <c r="I194" s="360">
        <v>141.54</v>
      </c>
      <c r="J194" s="39">
        <f t="shared" si="40"/>
        <v>0</v>
      </c>
      <c r="K194" s="309">
        <v>0.21</v>
      </c>
      <c r="L194" s="230">
        <f t="shared" ref="L194:L216" si="58">K194*J497</f>
        <v>0</v>
      </c>
      <c r="M194" s="365"/>
      <c r="N194" s="140"/>
      <c r="O194" s="39">
        <v>674</v>
      </c>
      <c r="P194" s="309">
        <f t="shared" si="57"/>
        <v>141.54</v>
      </c>
      <c r="Q194" s="235" t="str">
        <f t="shared" si="56"/>
        <v>К20х10х5</v>
      </c>
      <c r="R194" s="377">
        <f t="shared" si="54"/>
        <v>0.3</v>
      </c>
      <c r="S194" s="320">
        <v>0.25</v>
      </c>
      <c r="T194" s="353">
        <f t="shared" si="51"/>
        <v>0</v>
      </c>
      <c r="U194" s="20">
        <v>685</v>
      </c>
      <c r="V194" s="20">
        <f t="shared" si="52"/>
        <v>0</v>
      </c>
      <c r="W194" s="52">
        <f t="shared" si="53"/>
        <v>0</v>
      </c>
      <c r="X194" s="444">
        <v>685</v>
      </c>
    </row>
    <row r="195" spans="2:24" s="21" customFormat="1" ht="26.25" hidden="1" customHeight="1" x14ac:dyDescent="0.25">
      <c r="B195" s="15"/>
      <c r="C195" s="6" t="s">
        <v>19</v>
      </c>
      <c r="D195" s="23" t="s">
        <v>15</v>
      </c>
      <c r="E195" s="104" t="s">
        <v>102</v>
      </c>
      <c r="F195" s="387" t="s">
        <v>271</v>
      </c>
      <c r="G195" s="12" t="s">
        <v>0</v>
      </c>
      <c r="H195" s="39"/>
      <c r="I195" s="309">
        <v>0</v>
      </c>
      <c r="J195" s="39">
        <f t="shared" si="40"/>
        <v>0</v>
      </c>
      <c r="K195" s="309">
        <f>R195/1.4</f>
        <v>0.47</v>
      </c>
      <c r="L195" s="230">
        <f t="shared" si="58"/>
        <v>0</v>
      </c>
      <c r="M195" s="855" t="s">
        <v>804</v>
      </c>
      <c r="N195" s="140"/>
      <c r="O195" s="39"/>
      <c r="P195" s="507">
        <f t="shared" si="57"/>
        <v>0</v>
      </c>
      <c r="Q195" s="51" t="str">
        <f t="shared" si="56"/>
        <v>К20х12х6 с п/п</v>
      </c>
      <c r="R195" s="377">
        <f t="shared" si="54"/>
        <v>0.66</v>
      </c>
      <c r="S195" s="337">
        <v>0.55000000000000004</v>
      </c>
      <c r="T195" s="353">
        <f t="shared" si="51"/>
        <v>0</v>
      </c>
      <c r="U195" s="18">
        <f>4600-50-300</f>
        <v>4250</v>
      </c>
      <c r="V195" s="20">
        <f t="shared" si="52"/>
        <v>0</v>
      </c>
      <c r="W195" s="52">
        <f t="shared" si="53"/>
        <v>0</v>
      </c>
      <c r="X195" s="848">
        <f>4600-50-300</f>
        <v>4250</v>
      </c>
    </row>
    <row r="196" spans="2:24" ht="26.25" customHeight="1" x14ac:dyDescent="0.25">
      <c r="B196" s="11">
        <v>70</v>
      </c>
      <c r="C196" s="6" t="s">
        <v>19</v>
      </c>
      <c r="D196" s="23" t="s">
        <v>15</v>
      </c>
      <c r="E196" s="104" t="s">
        <v>143</v>
      </c>
      <c r="F196" s="208" t="s">
        <v>201</v>
      </c>
      <c r="G196" s="12" t="s">
        <v>0</v>
      </c>
      <c r="H196" s="39">
        <v>752</v>
      </c>
      <c r="I196" s="360">
        <v>496.32</v>
      </c>
      <c r="J196" s="39">
        <f t="shared" si="40"/>
        <v>0</v>
      </c>
      <c r="K196" s="309">
        <v>0.66</v>
      </c>
      <c r="L196" s="230">
        <f t="shared" si="58"/>
        <v>0</v>
      </c>
      <c r="M196" s="363" t="s">
        <v>651</v>
      </c>
      <c r="N196" s="140">
        <v>25</v>
      </c>
      <c r="O196" s="39">
        <f>799-47-25</f>
        <v>727</v>
      </c>
      <c r="P196" s="309">
        <f t="shared" si="57"/>
        <v>479.82</v>
      </c>
      <c r="Q196" s="235" t="str">
        <f t="shared" si="56"/>
        <v>К 20х12х6</v>
      </c>
      <c r="R196" s="377">
        <f t="shared" si="54"/>
        <v>0.95</v>
      </c>
      <c r="S196" s="319">
        <v>0.79</v>
      </c>
      <c r="T196" s="353">
        <f t="shared" si="51"/>
        <v>0</v>
      </c>
      <c r="U196" s="20">
        <f>10869-2250-100-25-47</f>
        <v>8447</v>
      </c>
      <c r="V196" s="20">
        <f t="shared" si="52"/>
        <v>25</v>
      </c>
      <c r="W196" s="52">
        <f t="shared" si="53"/>
        <v>25</v>
      </c>
      <c r="X196" s="444">
        <f>10869-2250-100-25-47</f>
        <v>8447</v>
      </c>
    </row>
    <row r="197" spans="2:24" ht="26.25" customHeight="1" x14ac:dyDescent="0.25">
      <c r="B197" s="11">
        <v>71</v>
      </c>
      <c r="C197" s="6" t="s">
        <v>19</v>
      </c>
      <c r="D197" s="79" t="s">
        <v>193</v>
      </c>
      <c r="E197" s="104" t="s">
        <v>102</v>
      </c>
      <c r="F197" s="208">
        <v>596</v>
      </c>
      <c r="G197" s="12" t="s">
        <v>0</v>
      </c>
      <c r="H197" s="39">
        <v>435</v>
      </c>
      <c r="I197" s="360">
        <v>204.45</v>
      </c>
      <c r="J197" s="39">
        <f t="shared" si="40"/>
        <v>0</v>
      </c>
      <c r="K197" s="309">
        <f>R197/1.4</f>
        <v>0.47</v>
      </c>
      <c r="L197" s="230">
        <f t="shared" si="58"/>
        <v>0</v>
      </c>
      <c r="M197" s="364"/>
      <c r="N197" s="140"/>
      <c r="O197" s="39">
        <v>435</v>
      </c>
      <c r="P197" s="309">
        <f t="shared" si="57"/>
        <v>204.45</v>
      </c>
      <c r="Q197" s="235" t="str">
        <f t="shared" si="56"/>
        <v>К20х12х6 с п/п</v>
      </c>
      <c r="R197" s="377">
        <f t="shared" si="54"/>
        <v>0.66</v>
      </c>
      <c r="S197" s="319">
        <v>0.55000000000000004</v>
      </c>
      <c r="T197" s="353">
        <f t="shared" si="51"/>
        <v>0</v>
      </c>
      <c r="U197" s="20">
        <f>700-15</f>
        <v>685</v>
      </c>
      <c r="V197" s="20">
        <f t="shared" si="52"/>
        <v>0</v>
      </c>
      <c r="W197" s="52">
        <f t="shared" si="53"/>
        <v>0</v>
      </c>
      <c r="X197" s="20">
        <f>700-15</f>
        <v>685</v>
      </c>
    </row>
    <row r="198" spans="2:24" s="21" customFormat="1" ht="26.25" customHeight="1" x14ac:dyDescent="0.25">
      <c r="B198" s="11">
        <v>72</v>
      </c>
      <c r="C198" s="6" t="s">
        <v>19</v>
      </c>
      <c r="D198" s="23" t="s">
        <v>15</v>
      </c>
      <c r="E198" s="104" t="s">
        <v>123</v>
      </c>
      <c r="F198" s="526">
        <v>620</v>
      </c>
      <c r="G198" s="12" t="s">
        <v>0</v>
      </c>
      <c r="H198" s="39">
        <v>1084</v>
      </c>
      <c r="I198" s="360">
        <v>682.92</v>
      </c>
      <c r="J198" s="39">
        <f t="shared" ref="J198:J270" si="59">N198+O198-H198</f>
        <v>0</v>
      </c>
      <c r="K198" s="309">
        <v>0.63</v>
      </c>
      <c r="L198" s="230">
        <f t="shared" si="58"/>
        <v>0</v>
      </c>
      <c r="M198" s="370"/>
      <c r="N198" s="140"/>
      <c r="O198" s="39">
        <v>1084</v>
      </c>
      <c r="P198" s="309">
        <f t="shared" si="57"/>
        <v>682.92</v>
      </c>
      <c r="Q198" s="235" t="str">
        <f t="shared" si="56"/>
        <v xml:space="preserve">К28х16х9 </v>
      </c>
      <c r="R198" s="377">
        <f t="shared" si="54"/>
        <v>0.89</v>
      </c>
      <c r="S198" s="320">
        <v>0.74</v>
      </c>
      <c r="T198" s="353">
        <f t="shared" si="51"/>
        <v>0</v>
      </c>
      <c r="U198" s="148">
        <f>1200*2+600+2890-5-5</f>
        <v>5880</v>
      </c>
      <c r="V198" s="20">
        <f t="shared" si="52"/>
        <v>0</v>
      </c>
      <c r="W198" s="52">
        <f t="shared" si="53"/>
        <v>0</v>
      </c>
      <c r="X198" s="444">
        <f>1200*2+600+2890-5-5</f>
        <v>5880</v>
      </c>
    </row>
    <row r="199" spans="2:24" s="21" customFormat="1" ht="26.25" hidden="1" customHeight="1" x14ac:dyDescent="0.25">
      <c r="B199" s="15"/>
      <c r="C199" s="6" t="s">
        <v>19</v>
      </c>
      <c r="D199" s="23" t="s">
        <v>15</v>
      </c>
      <c r="E199" s="104" t="s">
        <v>208</v>
      </c>
      <c r="F199" s="386">
        <v>944</v>
      </c>
      <c r="G199" s="19" t="s">
        <v>0</v>
      </c>
      <c r="H199" s="39"/>
      <c r="I199" s="309">
        <v>0</v>
      </c>
      <c r="J199" s="39">
        <f t="shared" si="59"/>
        <v>0</v>
      </c>
      <c r="K199" s="309">
        <f>R199/1.4</f>
        <v>0.27</v>
      </c>
      <c r="L199" s="230">
        <f t="shared" si="58"/>
        <v>0</v>
      </c>
      <c r="M199" s="116" t="s">
        <v>212</v>
      </c>
      <c r="N199" s="140"/>
      <c r="O199" s="39"/>
      <c r="P199" s="490">
        <f t="shared" si="57"/>
        <v>0</v>
      </c>
      <c r="Q199" s="262" t="str">
        <f t="shared" si="56"/>
        <v>ПС6х25</v>
      </c>
      <c r="R199" s="377">
        <f t="shared" si="54"/>
        <v>0.38</v>
      </c>
      <c r="S199" s="333">
        <v>0.32</v>
      </c>
      <c r="T199" s="353">
        <f t="shared" ref="T199:T236" si="60">S199*J199</f>
        <v>0</v>
      </c>
      <c r="U199" s="18">
        <v>0</v>
      </c>
      <c r="V199" s="20">
        <f t="shared" ref="V199:V236" si="61">N199</f>
        <v>0</v>
      </c>
      <c r="W199" s="52">
        <f t="shared" ref="W199:W236" si="62">X199-U199+V199</f>
        <v>0</v>
      </c>
      <c r="X199" s="18">
        <v>0</v>
      </c>
    </row>
    <row r="200" spans="2:24" s="21" customFormat="1" ht="26.25" hidden="1" customHeight="1" x14ac:dyDescent="0.25">
      <c r="B200" s="15"/>
      <c r="C200" s="6" t="s">
        <v>19</v>
      </c>
      <c r="D200" s="23" t="s">
        <v>15</v>
      </c>
      <c r="E200" s="104" t="s">
        <v>148</v>
      </c>
      <c r="F200" s="388">
        <v>426</v>
      </c>
      <c r="G200" s="12" t="s">
        <v>0</v>
      </c>
      <c r="H200" s="39"/>
      <c r="I200" s="309">
        <v>0</v>
      </c>
      <c r="J200" s="39">
        <f t="shared" si="59"/>
        <v>0</v>
      </c>
      <c r="K200" s="309">
        <f>R200/1.4</f>
        <v>0.39</v>
      </c>
      <c r="L200" s="230">
        <f t="shared" si="58"/>
        <v>0</v>
      </c>
      <c r="M200" s="272" t="s">
        <v>152</v>
      </c>
      <c r="N200" s="140"/>
      <c r="O200" s="39"/>
      <c r="P200" s="309">
        <f t="shared" si="57"/>
        <v>0</v>
      </c>
      <c r="Q200" s="263" t="str">
        <f t="shared" si="56"/>
        <v>К38х19х9 п/п</v>
      </c>
      <c r="R200" s="377">
        <f t="shared" si="54"/>
        <v>0.55000000000000004</v>
      </c>
      <c r="S200" s="339">
        <v>0.46</v>
      </c>
      <c r="T200" s="353">
        <f t="shared" si="60"/>
        <v>0</v>
      </c>
      <c r="U200" s="18"/>
      <c r="V200" s="20">
        <f t="shared" si="61"/>
        <v>0</v>
      </c>
      <c r="W200" s="52">
        <f t="shared" si="62"/>
        <v>0</v>
      </c>
      <c r="X200" s="18"/>
    </row>
    <row r="201" spans="2:24" s="21" customFormat="1" ht="26.25" customHeight="1" x14ac:dyDescent="0.3">
      <c r="B201" s="11">
        <v>73</v>
      </c>
      <c r="C201" s="6" t="s">
        <v>19</v>
      </c>
      <c r="D201" s="23" t="s">
        <v>15</v>
      </c>
      <c r="E201" s="104" t="s">
        <v>61</v>
      </c>
      <c r="F201" s="208">
        <v>208</v>
      </c>
      <c r="G201" s="12" t="s">
        <v>0</v>
      </c>
      <c r="H201" s="39">
        <v>686</v>
      </c>
      <c r="I201" s="360">
        <v>823.2</v>
      </c>
      <c r="J201" s="39">
        <f t="shared" si="59"/>
        <v>225</v>
      </c>
      <c r="K201" s="309">
        <f>R201/1.4</f>
        <v>1.2</v>
      </c>
      <c r="L201" s="230">
        <f t="shared" si="58"/>
        <v>0</v>
      </c>
      <c r="M201" s="300" t="s">
        <v>926</v>
      </c>
      <c r="N201" s="140">
        <v>568</v>
      </c>
      <c r="O201" s="39">
        <v>343</v>
      </c>
      <c r="P201" s="309">
        <f t="shared" si="57"/>
        <v>411.6</v>
      </c>
      <c r="Q201" s="235" t="str">
        <f t="shared" si="56"/>
        <v>К38х19х9</v>
      </c>
      <c r="R201" s="377">
        <f t="shared" si="54"/>
        <v>1.68</v>
      </c>
      <c r="S201" s="319">
        <v>1.4</v>
      </c>
      <c r="T201" s="353">
        <f t="shared" si="60"/>
        <v>315</v>
      </c>
      <c r="U201" s="74">
        <f>343*2+225</f>
        <v>911</v>
      </c>
      <c r="V201" s="20">
        <f t="shared" si="61"/>
        <v>568</v>
      </c>
      <c r="W201" s="52">
        <f t="shared" si="62"/>
        <v>9604</v>
      </c>
      <c r="X201" s="856">
        <f>343*3+26*343</f>
        <v>9947</v>
      </c>
    </row>
    <row r="202" spans="2:24" ht="26.25" customHeight="1" x14ac:dyDescent="0.25">
      <c r="B202" s="11">
        <v>74</v>
      </c>
      <c r="C202" s="6" t="s">
        <v>19</v>
      </c>
      <c r="D202" s="23" t="s">
        <v>15</v>
      </c>
      <c r="E202" s="104" t="s">
        <v>87</v>
      </c>
      <c r="F202" s="383">
        <v>506</v>
      </c>
      <c r="G202" s="12" t="s">
        <v>0</v>
      </c>
      <c r="H202" s="39">
        <v>800</v>
      </c>
      <c r="I202" s="360">
        <v>1648</v>
      </c>
      <c r="J202" s="39">
        <f t="shared" si="59"/>
        <v>0</v>
      </c>
      <c r="K202" s="309">
        <f>R202/1.4</f>
        <v>2.06</v>
      </c>
      <c r="L202" s="230">
        <f t="shared" si="58"/>
        <v>0</v>
      </c>
      <c r="M202" s="72" t="s">
        <v>886</v>
      </c>
      <c r="N202" s="140"/>
      <c r="O202" s="39">
        <v>800</v>
      </c>
      <c r="P202" s="309">
        <f t="shared" si="57"/>
        <v>1648</v>
      </c>
      <c r="Q202" s="235" t="str">
        <f t="shared" si="56"/>
        <v>К45х28х8</v>
      </c>
      <c r="R202" s="377">
        <f t="shared" si="54"/>
        <v>2.88</v>
      </c>
      <c r="S202" s="319">
        <v>2.4</v>
      </c>
      <c r="T202" s="353">
        <f t="shared" si="60"/>
        <v>0</v>
      </c>
      <c r="U202" s="148">
        <f>5*360</f>
        <v>1800</v>
      </c>
      <c r="V202" s="20">
        <f t="shared" si="61"/>
        <v>0</v>
      </c>
      <c r="W202" s="52">
        <f t="shared" si="62"/>
        <v>200</v>
      </c>
      <c r="X202" s="444">
        <f>1280+360*2</f>
        <v>2000</v>
      </c>
    </row>
    <row r="203" spans="2:24" ht="26.25" customHeight="1" x14ac:dyDescent="0.25">
      <c r="B203" s="11">
        <v>75</v>
      </c>
      <c r="C203" s="6" t="s">
        <v>19</v>
      </c>
      <c r="D203" s="23" t="s">
        <v>15</v>
      </c>
      <c r="E203" s="104" t="s">
        <v>144</v>
      </c>
      <c r="F203" s="208">
        <v>590</v>
      </c>
      <c r="G203" s="12" t="s">
        <v>0</v>
      </c>
      <c r="H203" s="39">
        <v>462</v>
      </c>
      <c r="I203" s="360">
        <v>910.14</v>
      </c>
      <c r="J203" s="39">
        <f t="shared" si="59"/>
        <v>0</v>
      </c>
      <c r="K203" s="309">
        <v>1.97</v>
      </c>
      <c r="L203" s="230">
        <f t="shared" si="58"/>
        <v>0</v>
      </c>
      <c r="M203" s="363"/>
      <c r="N203" s="140">
        <v>8</v>
      </c>
      <c r="O203" s="39">
        <f>510-46-2-8</f>
        <v>454</v>
      </c>
      <c r="P203" s="309">
        <f>O203*K203</f>
        <v>894.38</v>
      </c>
      <c r="Q203" s="235" t="str">
        <f t="shared" si="56"/>
        <v>К45х28х12</v>
      </c>
      <c r="R203" s="377">
        <f t="shared" si="54"/>
        <v>6.24</v>
      </c>
      <c r="S203" s="319">
        <v>5.2</v>
      </c>
      <c r="T203" s="353">
        <f t="shared" si="60"/>
        <v>0</v>
      </c>
      <c r="U203" s="148">
        <f>13*120+240*7</f>
        <v>3240</v>
      </c>
      <c r="V203" s="20">
        <f t="shared" si="61"/>
        <v>8</v>
      </c>
      <c r="W203" s="52">
        <f t="shared" si="62"/>
        <v>8</v>
      </c>
      <c r="X203" s="444">
        <f>13*120+240*7</f>
        <v>3240</v>
      </c>
    </row>
    <row r="204" spans="2:24" ht="26.25" customHeight="1" x14ac:dyDescent="0.25">
      <c r="B204" s="11">
        <v>76</v>
      </c>
      <c r="C204" s="6" t="s">
        <v>19</v>
      </c>
      <c r="D204" s="23" t="s">
        <v>15</v>
      </c>
      <c r="E204" s="104" t="s">
        <v>22</v>
      </c>
      <c r="F204" s="208" t="s">
        <v>57</v>
      </c>
      <c r="G204" s="12" t="s">
        <v>0</v>
      </c>
      <c r="H204" s="39">
        <v>1670</v>
      </c>
      <c r="I204" s="360">
        <v>501</v>
      </c>
      <c r="J204" s="39">
        <f t="shared" si="59"/>
        <v>0</v>
      </c>
      <c r="K204" s="309">
        <f t="shared" ref="K204:K228" si="63">R204/1.4</f>
        <v>0.3</v>
      </c>
      <c r="L204" s="230">
        <f t="shared" si="58"/>
        <v>0</v>
      </c>
      <c r="M204" s="364"/>
      <c r="N204" s="140"/>
      <c r="O204" s="39">
        <v>1670</v>
      </c>
      <c r="P204" s="309">
        <f t="shared" ref="P204:P240" si="64">K204*O204</f>
        <v>501</v>
      </c>
      <c r="Q204" s="235" t="str">
        <f t="shared" si="56"/>
        <v xml:space="preserve"> Ч22 </v>
      </c>
      <c r="R204" s="377">
        <f t="shared" si="54"/>
        <v>0.42</v>
      </c>
      <c r="S204" s="319">
        <v>0.35</v>
      </c>
      <c r="T204" s="353">
        <f t="shared" si="60"/>
        <v>0</v>
      </c>
      <c r="U204" s="148">
        <f>100+1105+213+158-100-20</f>
        <v>1456</v>
      </c>
      <c r="V204" s="20">
        <f t="shared" si="61"/>
        <v>0</v>
      </c>
      <c r="W204" s="52">
        <f t="shared" si="62"/>
        <v>0</v>
      </c>
      <c r="X204" s="444">
        <f>100+1105+213+158-100-20</f>
        <v>1456</v>
      </c>
    </row>
    <row r="205" spans="2:24" ht="26.25" hidden="1" customHeight="1" x14ac:dyDescent="0.25">
      <c r="B205" s="11"/>
      <c r="C205" s="6" t="s">
        <v>19</v>
      </c>
      <c r="D205" s="23" t="s">
        <v>15</v>
      </c>
      <c r="E205" s="104" t="s">
        <v>113</v>
      </c>
      <c r="F205" s="374">
        <v>605</v>
      </c>
      <c r="G205" s="12" t="s">
        <v>0</v>
      </c>
      <c r="H205" s="39"/>
      <c r="I205" s="360">
        <v>0</v>
      </c>
      <c r="J205" s="39">
        <f t="shared" si="59"/>
        <v>0</v>
      </c>
      <c r="K205" s="309">
        <f t="shared" si="63"/>
        <v>1.7</v>
      </c>
      <c r="L205" s="230">
        <f t="shared" si="58"/>
        <v>0</v>
      </c>
      <c r="M205" s="250" t="s">
        <v>537</v>
      </c>
      <c r="N205" s="140"/>
      <c r="O205" s="39"/>
      <c r="P205" s="467">
        <f t="shared" si="64"/>
        <v>0</v>
      </c>
      <c r="Q205" s="51" t="str">
        <f t="shared" si="56"/>
        <v>Ч36</v>
      </c>
      <c r="R205" s="306">
        <f t="shared" si="54"/>
        <v>2.38</v>
      </c>
      <c r="S205" s="319">
        <v>1.98</v>
      </c>
      <c r="T205" s="353">
        <f t="shared" si="60"/>
        <v>0</v>
      </c>
      <c r="U205" s="148">
        <v>506</v>
      </c>
      <c r="V205" s="20">
        <f t="shared" si="61"/>
        <v>0</v>
      </c>
      <c r="W205" s="52">
        <f t="shared" si="62"/>
        <v>0</v>
      </c>
      <c r="X205" s="444">
        <v>506</v>
      </c>
    </row>
    <row r="206" spans="2:24" ht="26.25" hidden="1" customHeight="1" x14ac:dyDescent="0.25">
      <c r="B206" s="14"/>
      <c r="C206" s="6" t="s">
        <v>19</v>
      </c>
      <c r="D206" s="23" t="s">
        <v>15</v>
      </c>
      <c r="E206" s="104" t="s">
        <v>74</v>
      </c>
      <c r="F206" s="208">
        <v>339</v>
      </c>
      <c r="G206" s="48" t="s">
        <v>0</v>
      </c>
      <c r="H206" s="39"/>
      <c r="I206" s="309">
        <v>0</v>
      </c>
      <c r="J206" s="39">
        <f t="shared" si="59"/>
        <v>0</v>
      </c>
      <c r="K206" s="309">
        <f t="shared" si="63"/>
        <v>0.79</v>
      </c>
      <c r="L206" s="230">
        <f t="shared" si="58"/>
        <v>0</v>
      </c>
      <c r="M206" s="146" t="s">
        <v>439</v>
      </c>
      <c r="N206" s="140"/>
      <c r="O206" s="39"/>
      <c r="P206" s="309">
        <f t="shared" si="64"/>
        <v>0</v>
      </c>
      <c r="Q206" s="264" t="str">
        <f t="shared" si="56"/>
        <v>Ч30</v>
      </c>
      <c r="R206" s="377">
        <f t="shared" si="54"/>
        <v>1.1000000000000001</v>
      </c>
      <c r="S206" s="338">
        <v>0.91500000000000004</v>
      </c>
      <c r="T206" s="353">
        <f t="shared" si="60"/>
        <v>0</v>
      </c>
      <c r="U206" s="148">
        <f>155+108</f>
        <v>263</v>
      </c>
      <c r="V206" s="20">
        <f t="shared" si="61"/>
        <v>0</v>
      </c>
      <c r="W206" s="52">
        <f t="shared" si="62"/>
        <v>-156</v>
      </c>
      <c r="X206" s="444">
        <v>107</v>
      </c>
    </row>
    <row r="207" spans="2:24" ht="26.25" customHeight="1" x14ac:dyDescent="0.25">
      <c r="B207" s="11">
        <v>77</v>
      </c>
      <c r="C207" s="6" t="s">
        <v>19</v>
      </c>
      <c r="D207" s="23" t="s">
        <v>15</v>
      </c>
      <c r="E207" s="104" t="s">
        <v>453</v>
      </c>
      <c r="F207" s="387" t="s">
        <v>606</v>
      </c>
      <c r="G207" s="12" t="s">
        <v>0</v>
      </c>
      <c r="H207" s="39">
        <v>200</v>
      </c>
      <c r="I207" s="309">
        <v>24</v>
      </c>
      <c r="J207" s="39">
        <f t="shared" si="59"/>
        <v>640</v>
      </c>
      <c r="K207" s="309">
        <f t="shared" si="63"/>
        <v>0.12</v>
      </c>
      <c r="L207" s="230">
        <f t="shared" si="58"/>
        <v>0</v>
      </c>
      <c r="M207" s="458" t="s">
        <v>929</v>
      </c>
      <c r="N207" s="140">
        <v>840</v>
      </c>
      <c r="O207" s="39"/>
      <c r="P207" s="309">
        <f t="shared" si="64"/>
        <v>0</v>
      </c>
      <c r="Q207" s="51" t="str">
        <f t="shared" si="56"/>
        <v>Ш  4х4 М2000НМ</v>
      </c>
      <c r="R207" s="377">
        <f t="shared" si="54"/>
        <v>0.17</v>
      </c>
      <c r="S207" s="340">
        <v>0.14000000000000001</v>
      </c>
      <c r="T207" s="353">
        <f t="shared" si="60"/>
        <v>89.6</v>
      </c>
      <c r="U207" s="147">
        <f>12000-1234-3000+12000-510-234</f>
        <v>19022</v>
      </c>
      <c r="V207" s="20">
        <f t="shared" si="61"/>
        <v>840</v>
      </c>
      <c r="W207" s="52">
        <f t="shared" si="62"/>
        <v>840</v>
      </c>
      <c r="X207" s="18">
        <f>12000-1234-3000+12000-510-234</f>
        <v>19022</v>
      </c>
    </row>
    <row r="208" spans="2:24" ht="26.25" hidden="1" customHeight="1" thickBot="1" x14ac:dyDescent="0.35">
      <c r="B208" s="11"/>
      <c r="C208" s="6" t="s">
        <v>19</v>
      </c>
      <c r="D208" s="23" t="s">
        <v>15</v>
      </c>
      <c r="E208" s="104" t="s">
        <v>139</v>
      </c>
      <c r="F208" s="208" t="s">
        <v>55</v>
      </c>
      <c r="G208" s="48" t="s">
        <v>0</v>
      </c>
      <c r="H208" s="39"/>
      <c r="I208" s="309">
        <v>0</v>
      </c>
      <c r="J208" s="39">
        <f t="shared" si="59"/>
        <v>0</v>
      </c>
      <c r="K208" s="309">
        <f t="shared" si="63"/>
        <v>0.09</v>
      </c>
      <c r="L208" s="230">
        <f t="shared" si="58"/>
        <v>0</v>
      </c>
      <c r="M208" s="233" t="s">
        <v>474</v>
      </c>
      <c r="N208" s="140"/>
      <c r="O208" s="39"/>
      <c r="P208" s="309">
        <f t="shared" si="64"/>
        <v>0</v>
      </c>
      <c r="Q208" s="264" t="str">
        <f t="shared" si="56"/>
        <v>Ш6х6 М2000НМ1</v>
      </c>
      <c r="R208" s="377">
        <f t="shared" ref="R208:R245" si="65">S208*1.2</f>
        <v>0.13</v>
      </c>
      <c r="S208" s="320">
        <v>0.105</v>
      </c>
      <c r="T208" s="353">
        <f t="shared" si="60"/>
        <v>0</v>
      </c>
      <c r="U208" s="257">
        <v>81790</v>
      </c>
      <c r="V208" s="20">
        <f t="shared" si="61"/>
        <v>0</v>
      </c>
      <c r="W208" s="52">
        <f t="shared" si="62"/>
        <v>0</v>
      </c>
      <c r="X208" s="856">
        <v>81790</v>
      </c>
    </row>
    <row r="209" spans="2:24" ht="26.25" hidden="1" customHeight="1" thickBot="1" x14ac:dyDescent="0.3">
      <c r="B209" s="11"/>
      <c r="C209" s="6" t="s">
        <v>19</v>
      </c>
      <c r="D209" s="23" t="s">
        <v>193</v>
      </c>
      <c r="E209" s="104" t="s">
        <v>188</v>
      </c>
      <c r="F209" s="385" t="s">
        <v>190</v>
      </c>
      <c r="G209" s="19" t="s">
        <v>0</v>
      </c>
      <c r="H209" s="39"/>
      <c r="I209" s="309">
        <v>0</v>
      </c>
      <c r="J209" s="39">
        <f t="shared" si="59"/>
        <v>0</v>
      </c>
      <c r="K209" s="309">
        <f t="shared" si="63"/>
        <v>7.0000000000000007E-2</v>
      </c>
      <c r="L209" s="230">
        <f t="shared" si="58"/>
        <v>0</v>
      </c>
      <c r="M209" s="146" t="s">
        <v>379</v>
      </c>
      <c r="N209" s="140"/>
      <c r="O209" s="39"/>
      <c r="P209" s="309">
        <f t="shared" si="64"/>
        <v>0</v>
      </c>
      <c r="Q209" s="265" t="str">
        <f t="shared" si="56"/>
        <v>Ш6х6 М2500НМ</v>
      </c>
      <c r="R209" s="377">
        <f t="shared" si="65"/>
        <v>0.1</v>
      </c>
      <c r="S209" s="320">
        <v>8.5000000000000006E-2</v>
      </c>
      <c r="T209" s="353">
        <f t="shared" si="60"/>
        <v>0</v>
      </c>
      <c r="U209" s="18"/>
      <c r="V209" s="20">
        <f t="shared" si="61"/>
        <v>0</v>
      </c>
      <c r="W209" s="52">
        <f t="shared" si="62"/>
        <v>0</v>
      </c>
      <c r="X209" s="18"/>
    </row>
    <row r="210" spans="2:24" ht="26.25" hidden="1" customHeight="1" x14ac:dyDescent="0.25">
      <c r="B210" s="15"/>
      <c r="C210" s="6" t="s">
        <v>19</v>
      </c>
      <c r="D210" s="23" t="s">
        <v>203</v>
      </c>
      <c r="E210" s="104" t="s">
        <v>204</v>
      </c>
      <c r="F210" s="387" t="s">
        <v>194</v>
      </c>
      <c r="G210" s="19" t="s">
        <v>0</v>
      </c>
      <c r="H210" s="39"/>
      <c r="I210" s="309">
        <v>0</v>
      </c>
      <c r="J210" s="39">
        <f t="shared" si="59"/>
        <v>0</v>
      </c>
      <c r="K210" s="309">
        <f t="shared" si="63"/>
        <v>0.06</v>
      </c>
      <c r="L210" s="230">
        <f t="shared" si="58"/>
        <v>0</v>
      </c>
      <c r="M210" s="64" t="s">
        <v>205</v>
      </c>
      <c r="N210" s="140"/>
      <c r="O210" s="39"/>
      <c r="P210" s="309">
        <f t="shared" si="64"/>
        <v>0</v>
      </c>
      <c r="Q210" s="262" t="str">
        <f t="shared" si="56"/>
        <v>Ш6х6 М6000НМ</v>
      </c>
      <c r="R210" s="377">
        <f t="shared" si="65"/>
        <v>0.08</v>
      </c>
      <c r="S210" s="333">
        <v>6.93E-2</v>
      </c>
      <c r="T210" s="353">
        <f t="shared" si="60"/>
        <v>0</v>
      </c>
      <c r="U210" s="18"/>
      <c r="V210" s="20">
        <f t="shared" si="61"/>
        <v>0</v>
      </c>
      <c r="W210" s="52">
        <f t="shared" si="62"/>
        <v>0</v>
      </c>
      <c r="X210" s="18"/>
    </row>
    <row r="211" spans="2:24" ht="26.25" customHeight="1" x14ac:dyDescent="0.25">
      <c r="B211" s="14">
        <v>78</v>
      </c>
      <c r="C211" s="6" t="s">
        <v>20</v>
      </c>
      <c r="D211" s="23" t="s">
        <v>15</v>
      </c>
      <c r="E211" s="104" t="s">
        <v>96</v>
      </c>
      <c r="F211" s="386">
        <v>103</v>
      </c>
      <c r="G211" s="825" t="s">
        <v>0</v>
      </c>
      <c r="H211" s="39">
        <v>3000</v>
      </c>
      <c r="I211" s="309">
        <v>480</v>
      </c>
      <c r="J211" s="39">
        <f t="shared" si="59"/>
        <v>0</v>
      </c>
      <c r="K211" s="309">
        <f t="shared" si="63"/>
        <v>0.16</v>
      </c>
      <c r="L211" s="230">
        <f t="shared" si="58"/>
        <v>0</v>
      </c>
      <c r="M211" s="157" t="s">
        <v>888</v>
      </c>
      <c r="N211" s="140"/>
      <c r="O211" s="39">
        <v>3000</v>
      </c>
      <c r="P211" s="309">
        <f t="shared" si="64"/>
        <v>480</v>
      </c>
      <c r="Q211" s="235" t="str">
        <f t="shared" si="56"/>
        <v>Ш7х7 М2000НМ</v>
      </c>
      <c r="R211" s="377">
        <f t="shared" si="65"/>
        <v>0.22</v>
      </c>
      <c r="S211" s="319">
        <v>0.18</v>
      </c>
      <c r="T211" s="353">
        <f t="shared" si="60"/>
        <v>0</v>
      </c>
      <c r="U211" s="18"/>
      <c r="V211" s="20">
        <f t="shared" si="61"/>
        <v>0</v>
      </c>
      <c r="W211" s="52">
        <f t="shared" si="62"/>
        <v>0</v>
      </c>
      <c r="X211" s="18"/>
    </row>
    <row r="212" spans="2:24" s="21" customFormat="1" ht="26.25" hidden="1" customHeight="1" x14ac:dyDescent="0.25">
      <c r="B212" s="15"/>
      <c r="C212" s="6" t="s">
        <v>19</v>
      </c>
      <c r="D212" s="23" t="s">
        <v>193</v>
      </c>
      <c r="E212" s="104" t="s">
        <v>367</v>
      </c>
      <c r="F212" s="387" t="s">
        <v>220</v>
      </c>
      <c r="G212" s="12" t="s">
        <v>0</v>
      </c>
      <c r="H212" s="39"/>
      <c r="I212" s="309">
        <v>0</v>
      </c>
      <c r="J212" s="39">
        <f t="shared" si="59"/>
        <v>0</v>
      </c>
      <c r="K212" s="309">
        <f t="shared" si="63"/>
        <v>0.16</v>
      </c>
      <c r="L212" s="230">
        <f t="shared" si="58"/>
        <v>0</v>
      </c>
      <c r="M212" s="157" t="s">
        <v>832</v>
      </c>
      <c r="N212" s="140"/>
      <c r="O212" s="39"/>
      <c r="P212" s="309">
        <f t="shared" si="64"/>
        <v>0</v>
      </c>
      <c r="Q212" s="263" t="str">
        <f t="shared" si="56"/>
        <v xml:space="preserve">Ш7х7 </v>
      </c>
      <c r="R212" s="377">
        <f t="shared" si="65"/>
        <v>0.22</v>
      </c>
      <c r="S212" s="339">
        <v>0.18</v>
      </c>
      <c r="T212" s="353">
        <f t="shared" si="60"/>
        <v>0</v>
      </c>
      <c r="U212" s="147">
        <f>20900-20-150-450-300</f>
        <v>19980</v>
      </c>
      <c r="V212" s="20">
        <f t="shared" si="61"/>
        <v>0</v>
      </c>
      <c r="W212" s="52">
        <f t="shared" si="62"/>
        <v>0</v>
      </c>
      <c r="X212" s="18">
        <f>20900-20-150-450-300</f>
        <v>19980</v>
      </c>
    </row>
    <row r="213" spans="2:24" ht="26.25" hidden="1" customHeight="1" x14ac:dyDescent="0.25">
      <c r="B213" s="11"/>
      <c r="C213" s="6" t="s">
        <v>19</v>
      </c>
      <c r="D213" s="23" t="s">
        <v>15</v>
      </c>
      <c r="E213" s="104" t="s">
        <v>110</v>
      </c>
      <c r="F213" s="208" t="s">
        <v>112</v>
      </c>
      <c r="G213" s="19" t="s">
        <v>0</v>
      </c>
      <c r="H213" s="39"/>
      <c r="I213" s="360">
        <v>0</v>
      </c>
      <c r="J213" s="39">
        <f t="shared" si="59"/>
        <v>0</v>
      </c>
      <c r="K213" s="309">
        <f t="shared" si="63"/>
        <v>0.69</v>
      </c>
      <c r="L213" s="230">
        <f t="shared" si="58"/>
        <v>0</v>
      </c>
      <c r="M213" s="64"/>
      <c r="N213" s="140"/>
      <c r="O213" s="503"/>
      <c r="P213" s="309">
        <f t="shared" si="64"/>
        <v>0</v>
      </c>
      <c r="Q213" s="235" t="str">
        <f t="shared" si="56"/>
        <v>Ш 10х10</v>
      </c>
      <c r="R213" s="377">
        <f t="shared" si="65"/>
        <v>0.97</v>
      </c>
      <c r="S213" s="319">
        <v>0.81</v>
      </c>
      <c r="T213" s="353">
        <f t="shared" si="60"/>
        <v>0</v>
      </c>
      <c r="U213" s="147">
        <f>260+700</f>
        <v>960</v>
      </c>
      <c r="V213" s="20">
        <f t="shared" si="61"/>
        <v>0</v>
      </c>
      <c r="W213" s="52">
        <f t="shared" si="62"/>
        <v>0</v>
      </c>
      <c r="X213" s="18">
        <f>260+700</f>
        <v>960</v>
      </c>
    </row>
    <row r="214" spans="2:24" ht="26.25" hidden="1" customHeight="1" x14ac:dyDescent="0.25">
      <c r="B214" s="11"/>
      <c r="C214" s="6" t="s">
        <v>19</v>
      </c>
      <c r="D214" s="23" t="s">
        <v>15</v>
      </c>
      <c r="E214" s="104" t="s">
        <v>101</v>
      </c>
      <c r="F214" s="387"/>
      <c r="G214" s="14" t="s">
        <v>0</v>
      </c>
      <c r="H214" s="39"/>
      <c r="I214" s="309">
        <v>0</v>
      </c>
      <c r="J214" s="39">
        <f t="shared" si="59"/>
        <v>0</v>
      </c>
      <c r="K214" s="309">
        <f t="shared" si="63"/>
        <v>0.46</v>
      </c>
      <c r="L214" s="230">
        <f t="shared" si="58"/>
        <v>0</v>
      </c>
      <c r="M214" s="90" t="s">
        <v>121</v>
      </c>
      <c r="N214" s="140"/>
      <c r="O214" s="39"/>
      <c r="P214" s="490">
        <f t="shared" si="64"/>
        <v>0</v>
      </c>
      <c r="Q214" s="264" t="str">
        <f t="shared" si="56"/>
        <v>Ш12х15</v>
      </c>
      <c r="R214" s="377">
        <f t="shared" si="65"/>
        <v>0.65</v>
      </c>
      <c r="S214" s="322">
        <v>0.54</v>
      </c>
      <c r="T214" s="353">
        <f t="shared" si="60"/>
        <v>0</v>
      </c>
      <c r="U214" s="147">
        <v>5600</v>
      </c>
      <c r="V214" s="20">
        <f t="shared" si="61"/>
        <v>0</v>
      </c>
      <c r="W214" s="52">
        <f t="shared" si="62"/>
        <v>0</v>
      </c>
      <c r="X214" s="18">
        <v>5600</v>
      </c>
    </row>
    <row r="215" spans="2:24" ht="26.25" customHeight="1" x14ac:dyDescent="0.25">
      <c r="B215" s="11">
        <v>79</v>
      </c>
      <c r="C215" s="6" t="s">
        <v>20</v>
      </c>
      <c r="D215" s="23" t="s">
        <v>15</v>
      </c>
      <c r="E215" s="104" t="s">
        <v>163</v>
      </c>
      <c r="F215" s="208">
        <v>433</v>
      </c>
      <c r="G215" s="12" t="s">
        <v>0</v>
      </c>
      <c r="H215" s="39">
        <v>192</v>
      </c>
      <c r="I215" s="360">
        <v>971.52</v>
      </c>
      <c r="J215" s="39">
        <f t="shared" si="59"/>
        <v>0</v>
      </c>
      <c r="K215" s="309">
        <f t="shared" si="63"/>
        <v>5.0599999999999996</v>
      </c>
      <c r="L215" s="230">
        <f t="shared" si="58"/>
        <v>0</v>
      </c>
      <c r="M215" s="365"/>
      <c r="N215" s="140"/>
      <c r="O215" s="39">
        <v>192</v>
      </c>
      <c r="P215" s="309">
        <f t="shared" si="64"/>
        <v>971.52</v>
      </c>
      <c r="Q215" s="235" t="str">
        <f t="shared" si="56"/>
        <v xml:space="preserve">Ш20х28 </v>
      </c>
      <c r="R215" s="377">
        <f t="shared" si="65"/>
        <v>7.08</v>
      </c>
      <c r="S215" s="319">
        <v>5.9</v>
      </c>
      <c r="T215" s="353">
        <f t="shared" si="60"/>
        <v>0</v>
      </c>
      <c r="U215" s="147">
        <v>4000</v>
      </c>
      <c r="V215" s="20">
        <f t="shared" si="61"/>
        <v>0</v>
      </c>
      <c r="W215" s="52">
        <f t="shared" si="62"/>
        <v>0</v>
      </c>
      <c r="X215" s="848">
        <v>4000</v>
      </c>
    </row>
    <row r="216" spans="2:24" ht="26.25" hidden="1" customHeight="1" x14ac:dyDescent="0.25">
      <c r="B216" s="11"/>
      <c r="C216" s="6" t="s">
        <v>19</v>
      </c>
      <c r="D216" s="23" t="s">
        <v>15</v>
      </c>
      <c r="E216" s="104" t="s">
        <v>156</v>
      </c>
      <c r="F216" s="387" t="s">
        <v>119</v>
      </c>
      <c r="G216" s="14" t="s">
        <v>0</v>
      </c>
      <c r="H216" s="39"/>
      <c r="I216" s="309">
        <v>0</v>
      </c>
      <c r="J216" s="39">
        <f t="shared" si="59"/>
        <v>0</v>
      </c>
      <c r="K216" s="309">
        <f t="shared" si="63"/>
        <v>0.34</v>
      </c>
      <c r="L216" s="230">
        <f t="shared" si="58"/>
        <v>0</v>
      </c>
      <c r="M216" s="90" t="s">
        <v>120</v>
      </c>
      <c r="N216" s="140"/>
      <c r="O216" s="39"/>
      <c r="P216" s="490">
        <f t="shared" si="64"/>
        <v>0</v>
      </c>
      <c r="Q216" s="262" t="str">
        <f t="shared" si="56"/>
        <v>Ш42х21х13</v>
      </c>
      <c r="R216" s="377">
        <f t="shared" si="65"/>
        <v>0.48</v>
      </c>
      <c r="S216" s="326">
        <v>0.4</v>
      </c>
      <c r="T216" s="353">
        <f t="shared" si="60"/>
        <v>0</v>
      </c>
      <c r="U216" s="148">
        <f>400+44+2000</f>
        <v>2444</v>
      </c>
      <c r="V216" s="20">
        <f t="shared" si="61"/>
        <v>0</v>
      </c>
      <c r="W216" s="52">
        <f t="shared" si="62"/>
        <v>0</v>
      </c>
      <c r="X216" s="444">
        <f>400+44+2000</f>
        <v>2444</v>
      </c>
    </row>
    <row r="217" spans="2:24" ht="26.25" customHeight="1" x14ac:dyDescent="0.25">
      <c r="B217" s="11">
        <v>80</v>
      </c>
      <c r="C217" s="6" t="s">
        <v>19</v>
      </c>
      <c r="D217" s="849" t="s">
        <v>203</v>
      </c>
      <c r="E217" s="459" t="s">
        <v>905</v>
      </c>
      <c r="F217" s="393" t="s">
        <v>910</v>
      </c>
      <c r="G217" s="48" t="s">
        <v>0</v>
      </c>
      <c r="H217" s="39"/>
      <c r="I217" s="309">
        <v>0</v>
      </c>
      <c r="J217" s="39">
        <f t="shared" si="59"/>
        <v>240</v>
      </c>
      <c r="K217" s="309">
        <f t="shared" si="63"/>
        <v>0.85</v>
      </c>
      <c r="L217" s="230">
        <f>K217*J515</f>
        <v>0</v>
      </c>
      <c r="M217" s="458" t="s">
        <v>930</v>
      </c>
      <c r="N217" s="141">
        <v>240</v>
      </c>
      <c r="O217" s="503"/>
      <c r="P217" s="309">
        <f t="shared" si="64"/>
        <v>0</v>
      </c>
      <c r="Q217" s="51" t="str">
        <f t="shared" ref="Q217:Q222" si="66">E217</f>
        <v>к21х12х7</v>
      </c>
      <c r="R217" s="306">
        <f t="shared" si="65"/>
        <v>1.19</v>
      </c>
      <c r="S217" s="850">
        <f>29.15*0.034</f>
        <v>0.99</v>
      </c>
      <c r="T217" s="353">
        <f t="shared" si="60"/>
        <v>237.6</v>
      </c>
      <c r="U217" s="20"/>
      <c r="V217" s="20">
        <f t="shared" si="61"/>
        <v>240</v>
      </c>
      <c r="W217" s="52">
        <f t="shared" si="62"/>
        <v>240</v>
      </c>
      <c r="X217" s="20"/>
    </row>
    <row r="218" spans="2:24" ht="26.25" customHeight="1" x14ac:dyDescent="0.25">
      <c r="B218" s="11">
        <v>81</v>
      </c>
      <c r="C218" s="6" t="s">
        <v>19</v>
      </c>
      <c r="D218" s="849" t="s">
        <v>907</v>
      </c>
      <c r="E218" s="459" t="s">
        <v>905</v>
      </c>
      <c r="F218" s="393" t="s">
        <v>911</v>
      </c>
      <c r="G218" s="48" t="s">
        <v>0</v>
      </c>
      <c r="H218" s="39"/>
      <c r="I218" s="309">
        <v>0</v>
      </c>
      <c r="J218" s="39">
        <f t="shared" si="59"/>
        <v>240</v>
      </c>
      <c r="K218" s="309">
        <f>R218/1.4</f>
        <v>0.95</v>
      </c>
      <c r="L218" s="230">
        <f>K218*J516</f>
        <v>0</v>
      </c>
      <c r="M218" s="458" t="s">
        <v>931</v>
      </c>
      <c r="N218" s="141">
        <v>240</v>
      </c>
      <c r="O218" s="503"/>
      <c r="P218" s="309">
        <f>K218*O218</f>
        <v>0</v>
      </c>
      <c r="Q218" s="51" t="str">
        <f>E218</f>
        <v>к21х12х7</v>
      </c>
      <c r="R218" s="306">
        <f t="shared" si="65"/>
        <v>1.33</v>
      </c>
      <c r="S218" s="850">
        <f>32.6*0.034</f>
        <v>1.1100000000000001</v>
      </c>
      <c r="T218" s="353">
        <f t="shared" si="60"/>
        <v>266.39999999999998</v>
      </c>
      <c r="U218" s="20"/>
      <c r="V218" s="20">
        <f>N218</f>
        <v>240</v>
      </c>
      <c r="W218" s="52">
        <f>X218-U218+V218</f>
        <v>240</v>
      </c>
      <c r="X218" s="20"/>
    </row>
    <row r="219" spans="2:24" ht="26.25" customHeight="1" x14ac:dyDescent="0.25">
      <c r="B219" s="11">
        <v>82</v>
      </c>
      <c r="C219" s="6" t="s">
        <v>19</v>
      </c>
      <c r="D219" s="849" t="s">
        <v>908</v>
      </c>
      <c r="E219" s="459" t="s">
        <v>905</v>
      </c>
      <c r="F219" s="393" t="s">
        <v>912</v>
      </c>
      <c r="G219" s="48" t="s">
        <v>0</v>
      </c>
      <c r="H219" s="39"/>
      <c r="I219" s="309">
        <v>0</v>
      </c>
      <c r="J219" s="39">
        <f t="shared" si="59"/>
        <v>240</v>
      </c>
      <c r="K219" s="309">
        <f t="shared" si="63"/>
        <v>1.02</v>
      </c>
      <c r="L219" s="230">
        <f t="shared" ref="L219:L230" si="67">K219*J516</f>
        <v>0</v>
      </c>
      <c r="M219" s="458" t="s">
        <v>932</v>
      </c>
      <c r="N219" s="141">
        <v>240</v>
      </c>
      <c r="O219" s="503"/>
      <c r="P219" s="309">
        <f t="shared" si="64"/>
        <v>0</v>
      </c>
      <c r="Q219" s="51" t="str">
        <f t="shared" si="66"/>
        <v>к21х12х7</v>
      </c>
      <c r="R219" s="306">
        <f t="shared" si="65"/>
        <v>1.43</v>
      </c>
      <c r="S219" s="850">
        <f>34.9*0.034</f>
        <v>1.19</v>
      </c>
      <c r="T219" s="353">
        <f t="shared" si="60"/>
        <v>285.60000000000002</v>
      </c>
      <c r="U219" s="20"/>
      <c r="V219" s="20">
        <f t="shared" si="61"/>
        <v>240</v>
      </c>
      <c r="W219" s="52">
        <f t="shared" si="62"/>
        <v>240</v>
      </c>
      <c r="X219" s="20"/>
    </row>
    <row r="220" spans="2:24" ht="26.25" customHeight="1" x14ac:dyDescent="0.25">
      <c r="B220" s="11">
        <v>83</v>
      </c>
      <c r="C220" s="6" t="s">
        <v>19</v>
      </c>
      <c r="D220" s="849" t="s">
        <v>203</v>
      </c>
      <c r="E220" s="459" t="s">
        <v>906</v>
      </c>
      <c r="F220" s="393" t="s">
        <v>913</v>
      </c>
      <c r="G220" s="48" t="s">
        <v>0</v>
      </c>
      <c r="H220" s="39"/>
      <c r="I220" s="309">
        <v>0</v>
      </c>
      <c r="J220" s="39">
        <f t="shared" si="59"/>
        <v>240</v>
      </c>
      <c r="K220" s="309">
        <f t="shared" si="63"/>
        <v>1.19</v>
      </c>
      <c r="L220" s="230">
        <f t="shared" si="67"/>
        <v>0</v>
      </c>
      <c r="M220" s="458" t="s">
        <v>933</v>
      </c>
      <c r="N220" s="141">
        <v>240</v>
      </c>
      <c r="O220" s="503"/>
      <c r="P220" s="309">
        <f t="shared" si="64"/>
        <v>0</v>
      </c>
      <c r="Q220" s="51" t="str">
        <f t="shared" si="66"/>
        <v>к38х22х7</v>
      </c>
      <c r="R220" s="306">
        <f t="shared" si="65"/>
        <v>1.66</v>
      </c>
      <c r="S220" s="850">
        <f>40.65*0.034</f>
        <v>1.38</v>
      </c>
      <c r="T220" s="353">
        <f t="shared" si="60"/>
        <v>331.2</v>
      </c>
      <c r="U220" s="20"/>
      <c r="V220" s="20">
        <f t="shared" si="61"/>
        <v>240</v>
      </c>
      <c r="W220" s="52">
        <f t="shared" si="62"/>
        <v>240</v>
      </c>
      <c r="X220" s="20"/>
    </row>
    <row r="221" spans="2:24" ht="26.25" customHeight="1" x14ac:dyDescent="0.25">
      <c r="B221" s="11">
        <v>84</v>
      </c>
      <c r="C221" s="6" t="s">
        <v>19</v>
      </c>
      <c r="D221" s="849" t="s">
        <v>907</v>
      </c>
      <c r="E221" s="459" t="s">
        <v>906</v>
      </c>
      <c r="F221" s="393" t="s">
        <v>914</v>
      </c>
      <c r="G221" s="48" t="s">
        <v>0</v>
      </c>
      <c r="H221" s="39"/>
      <c r="I221" s="309">
        <v>0</v>
      </c>
      <c r="J221" s="39">
        <f t="shared" si="59"/>
        <v>240</v>
      </c>
      <c r="K221" s="309">
        <f t="shared" si="63"/>
        <v>1.27</v>
      </c>
      <c r="L221" s="230">
        <f t="shared" si="67"/>
        <v>0</v>
      </c>
      <c r="M221" s="458" t="s">
        <v>934</v>
      </c>
      <c r="N221" s="141">
        <v>240</v>
      </c>
      <c r="O221" s="503"/>
      <c r="P221" s="309">
        <f t="shared" si="64"/>
        <v>0</v>
      </c>
      <c r="Q221" s="51" t="str">
        <f t="shared" si="66"/>
        <v>к38х22х7</v>
      </c>
      <c r="R221" s="306">
        <f t="shared" si="65"/>
        <v>1.78</v>
      </c>
      <c r="S221" s="850">
        <f>43.5*0.034</f>
        <v>1.48</v>
      </c>
      <c r="T221" s="353">
        <f t="shared" si="60"/>
        <v>355.2</v>
      </c>
      <c r="U221" s="20"/>
      <c r="V221" s="20">
        <f t="shared" si="61"/>
        <v>240</v>
      </c>
      <c r="W221" s="52">
        <f t="shared" si="62"/>
        <v>240</v>
      </c>
      <c r="X221" s="20"/>
    </row>
    <row r="222" spans="2:24" ht="26.25" customHeight="1" x14ac:dyDescent="0.25">
      <c r="B222" s="11">
        <v>85</v>
      </c>
      <c r="C222" s="6" t="s">
        <v>19</v>
      </c>
      <c r="D222" s="849" t="s">
        <v>908</v>
      </c>
      <c r="E222" s="459" t="s">
        <v>906</v>
      </c>
      <c r="F222" s="393" t="s">
        <v>915</v>
      </c>
      <c r="G222" s="48" t="s">
        <v>0</v>
      </c>
      <c r="H222" s="39"/>
      <c r="I222" s="309">
        <v>0</v>
      </c>
      <c r="J222" s="39">
        <f t="shared" si="59"/>
        <v>240</v>
      </c>
      <c r="K222" s="309">
        <f t="shared" si="63"/>
        <v>1.32</v>
      </c>
      <c r="L222" s="230">
        <f t="shared" si="67"/>
        <v>0</v>
      </c>
      <c r="M222" s="458" t="s">
        <v>935</v>
      </c>
      <c r="N222" s="141">
        <v>240</v>
      </c>
      <c r="O222" s="503"/>
      <c r="P222" s="309">
        <f t="shared" si="64"/>
        <v>0</v>
      </c>
      <c r="Q222" s="51" t="str">
        <f t="shared" si="66"/>
        <v>к38х22х7</v>
      </c>
      <c r="R222" s="306">
        <f t="shared" si="65"/>
        <v>1.85</v>
      </c>
      <c r="S222" s="850">
        <f>45.4*0.034</f>
        <v>1.54</v>
      </c>
      <c r="T222" s="353">
        <f t="shared" si="60"/>
        <v>369.6</v>
      </c>
      <c r="U222" s="20"/>
      <c r="V222" s="20">
        <f t="shared" si="61"/>
        <v>240</v>
      </c>
      <c r="W222" s="52">
        <f t="shared" si="62"/>
        <v>240</v>
      </c>
      <c r="X222" s="20"/>
    </row>
    <row r="223" spans="2:24" ht="26.25" hidden="1" customHeight="1" x14ac:dyDescent="0.25">
      <c r="B223" s="19"/>
      <c r="C223" s="6" t="s">
        <v>19</v>
      </c>
      <c r="D223" s="23" t="s">
        <v>141</v>
      </c>
      <c r="E223" s="104" t="s">
        <v>88</v>
      </c>
      <c r="F223" s="385" t="s">
        <v>267</v>
      </c>
      <c r="G223" s="12" t="s">
        <v>0</v>
      </c>
      <c r="H223" s="39"/>
      <c r="I223" s="309">
        <v>0</v>
      </c>
      <c r="J223" s="39">
        <f t="shared" si="59"/>
        <v>0</v>
      </c>
      <c r="K223" s="309">
        <f t="shared" si="63"/>
        <v>7.0000000000000007E-2</v>
      </c>
      <c r="L223" s="230">
        <f t="shared" si="67"/>
        <v>0</v>
      </c>
      <c r="M223" s="214" t="s">
        <v>506</v>
      </c>
      <c r="N223" s="140"/>
      <c r="O223" s="39"/>
      <c r="P223" s="309">
        <f t="shared" si="64"/>
        <v>0</v>
      </c>
      <c r="Q223" s="235" t="str">
        <f t="shared" si="56"/>
        <v xml:space="preserve"> СК210-23 К14х9х 5</v>
      </c>
      <c r="R223" s="377">
        <f t="shared" si="65"/>
        <v>0.1</v>
      </c>
      <c r="S223" s="341">
        <v>8.3000000000000004E-2</v>
      </c>
      <c r="T223" s="353">
        <f t="shared" si="60"/>
        <v>0</v>
      </c>
      <c r="U223" s="148">
        <v>139300</v>
      </c>
      <c r="V223" s="20">
        <f t="shared" si="61"/>
        <v>0</v>
      </c>
      <c r="W223" s="52">
        <f t="shared" si="62"/>
        <v>0</v>
      </c>
      <c r="X223" s="20">
        <v>139300</v>
      </c>
    </row>
    <row r="224" spans="2:24" ht="26.25" hidden="1" customHeight="1" x14ac:dyDescent="0.25">
      <c r="B224" s="11"/>
      <c r="C224" s="6" t="s">
        <v>18</v>
      </c>
      <c r="D224" s="23" t="s">
        <v>40</v>
      </c>
      <c r="E224" s="104" t="s">
        <v>211</v>
      </c>
      <c r="F224" s="375">
        <v>642</v>
      </c>
      <c r="G224" s="48" t="s">
        <v>0</v>
      </c>
      <c r="H224" s="39"/>
      <c r="I224" s="360">
        <v>0</v>
      </c>
      <c r="J224" s="39">
        <f t="shared" si="59"/>
        <v>0</v>
      </c>
      <c r="K224" s="309">
        <f t="shared" si="63"/>
        <v>0.51</v>
      </c>
      <c r="L224" s="230">
        <f t="shared" si="67"/>
        <v>0</v>
      </c>
      <c r="M224" s="250" t="s">
        <v>833</v>
      </c>
      <c r="N224" s="140"/>
      <c r="O224" s="39"/>
      <c r="P224" s="360">
        <f t="shared" si="64"/>
        <v>0</v>
      </c>
      <c r="Q224" s="235" t="str">
        <f t="shared" si="56"/>
        <v>Д3х2</v>
      </c>
      <c r="R224" s="306">
        <f t="shared" si="65"/>
        <v>0.72</v>
      </c>
      <c r="S224" s="319">
        <v>0.6</v>
      </c>
      <c r="T224" s="353">
        <f t="shared" si="60"/>
        <v>0</v>
      </c>
      <c r="U224" s="147">
        <v>9780</v>
      </c>
      <c r="V224" s="20">
        <f t="shared" si="61"/>
        <v>0</v>
      </c>
      <c r="W224" s="52">
        <f t="shared" si="62"/>
        <v>0</v>
      </c>
      <c r="X224" s="848">
        <v>9780</v>
      </c>
    </row>
    <row r="225" spans="1:40" ht="26.25" customHeight="1" x14ac:dyDescent="0.25">
      <c r="B225" s="11">
        <v>86</v>
      </c>
      <c r="C225" s="6" t="s">
        <v>18</v>
      </c>
      <c r="D225" s="23" t="s">
        <v>40</v>
      </c>
      <c r="E225" s="104" t="s">
        <v>226</v>
      </c>
      <c r="F225" s="208">
        <v>966</v>
      </c>
      <c r="G225" s="48"/>
      <c r="H225" s="39">
        <v>800</v>
      </c>
      <c r="I225" s="309">
        <v>136</v>
      </c>
      <c r="J225" s="39">
        <f t="shared" si="59"/>
        <v>1500</v>
      </c>
      <c r="K225" s="309">
        <f t="shared" si="63"/>
        <v>0.17</v>
      </c>
      <c r="L225" s="230">
        <f t="shared" si="67"/>
        <v>0</v>
      </c>
      <c r="M225" s="216" t="s">
        <v>889</v>
      </c>
      <c r="N225" s="140">
        <v>2300</v>
      </c>
      <c r="O225" s="39"/>
      <c r="P225" s="309">
        <f t="shared" si="64"/>
        <v>0</v>
      </c>
      <c r="Q225" s="235" t="str">
        <f t="shared" si="56"/>
        <v>Д3х3</v>
      </c>
      <c r="R225" s="377">
        <f t="shared" si="65"/>
        <v>0.24</v>
      </c>
      <c r="S225" s="319">
        <v>0.2</v>
      </c>
      <c r="T225" s="353">
        <f t="shared" si="60"/>
        <v>300</v>
      </c>
      <c r="U225" s="147">
        <f>7873+800</f>
        <v>8673</v>
      </c>
      <c r="V225" s="20">
        <f t="shared" si="61"/>
        <v>2300</v>
      </c>
      <c r="W225" s="52">
        <f t="shared" si="62"/>
        <v>-100</v>
      </c>
      <c r="X225" s="848">
        <f>7873+800-2300-100</f>
        <v>6273</v>
      </c>
    </row>
    <row r="226" spans="1:40" ht="26.25" hidden="1" customHeight="1" x14ac:dyDescent="0.25">
      <c r="B226" s="11"/>
      <c r="C226" s="6" t="s">
        <v>18</v>
      </c>
      <c r="D226" s="23" t="s">
        <v>40</v>
      </c>
      <c r="E226" s="104" t="s">
        <v>227</v>
      </c>
      <c r="F226" s="394">
        <v>496</v>
      </c>
      <c r="G226" s="48"/>
      <c r="H226" s="39"/>
      <c r="I226" s="309">
        <v>0</v>
      </c>
      <c r="J226" s="39">
        <f t="shared" si="59"/>
        <v>0</v>
      </c>
      <c r="K226" s="309">
        <f t="shared" si="63"/>
        <v>0.43</v>
      </c>
      <c r="L226" s="230">
        <f t="shared" si="67"/>
        <v>0</v>
      </c>
      <c r="M226" s="215" t="s">
        <v>232</v>
      </c>
      <c r="N226" s="140"/>
      <c r="O226" s="39"/>
      <c r="P226" s="309">
        <f t="shared" si="64"/>
        <v>0</v>
      </c>
      <c r="Q226" s="235" t="str">
        <f t="shared" si="56"/>
        <v>Д3х4</v>
      </c>
      <c r="R226" s="377">
        <f t="shared" si="65"/>
        <v>0.6</v>
      </c>
      <c r="S226" s="319">
        <v>0.5</v>
      </c>
      <c r="T226" s="353">
        <f t="shared" si="60"/>
        <v>0</v>
      </c>
      <c r="U226" s="147">
        <f>1676+891</f>
        <v>2567</v>
      </c>
      <c r="V226" s="20">
        <f t="shared" si="61"/>
        <v>0</v>
      </c>
      <c r="W226" s="52">
        <f t="shared" si="62"/>
        <v>0</v>
      </c>
      <c r="X226" s="848">
        <f>1676+891</f>
        <v>2567</v>
      </c>
    </row>
    <row r="227" spans="1:40" ht="26.25" hidden="1" customHeight="1" x14ac:dyDescent="0.25">
      <c r="B227" s="11"/>
      <c r="C227" s="6" t="s">
        <v>18</v>
      </c>
      <c r="D227" s="23" t="s">
        <v>40</v>
      </c>
      <c r="E227" s="104" t="s">
        <v>245</v>
      </c>
      <c r="F227" s="210"/>
      <c r="G227" s="48"/>
      <c r="H227" s="39"/>
      <c r="I227" s="309">
        <v>0</v>
      </c>
      <c r="J227" s="39">
        <f t="shared" si="59"/>
        <v>0</v>
      </c>
      <c r="K227" s="309">
        <f t="shared" si="63"/>
        <v>1.8</v>
      </c>
      <c r="L227" s="230">
        <f t="shared" si="67"/>
        <v>0</v>
      </c>
      <c r="M227" s="95" t="s">
        <v>241</v>
      </c>
      <c r="N227" s="140"/>
      <c r="O227" s="39"/>
      <c r="P227" s="309">
        <f t="shared" si="64"/>
        <v>0</v>
      </c>
      <c r="Q227" s="235" t="str">
        <f t="shared" si="56"/>
        <v>Д3,5х2 с цн.пок.</v>
      </c>
      <c r="R227" s="377">
        <f t="shared" si="65"/>
        <v>2.52</v>
      </c>
      <c r="S227" s="339">
        <v>2.1</v>
      </c>
      <c r="T227" s="353">
        <f t="shared" si="60"/>
        <v>0</v>
      </c>
      <c r="U227" s="148">
        <v>1847</v>
      </c>
      <c r="V227" s="20">
        <f t="shared" si="61"/>
        <v>0</v>
      </c>
      <c r="W227" s="52">
        <f t="shared" si="62"/>
        <v>0</v>
      </c>
      <c r="X227" s="444">
        <v>1847</v>
      </c>
    </row>
    <row r="228" spans="1:40" ht="26.25" customHeight="1" x14ac:dyDescent="0.25">
      <c r="B228" s="863">
        <v>1</v>
      </c>
      <c r="C228" s="864" t="s">
        <v>18</v>
      </c>
      <c r="D228" s="865" t="s">
        <v>40</v>
      </c>
      <c r="E228" s="866" t="s">
        <v>246</v>
      </c>
      <c r="F228" s="882">
        <v>663</v>
      </c>
      <c r="G228" s="883" t="s">
        <v>0</v>
      </c>
      <c r="H228" s="868"/>
      <c r="I228" s="869">
        <v>0</v>
      </c>
      <c r="J228" s="868">
        <f t="shared" si="59"/>
        <v>0</v>
      </c>
      <c r="K228" s="870">
        <f t="shared" si="63"/>
        <v>1.29</v>
      </c>
      <c r="L228" s="871">
        <f t="shared" si="67"/>
        <v>0</v>
      </c>
      <c r="M228" s="872"/>
      <c r="N228" s="873"/>
      <c r="O228" s="868"/>
      <c r="P228" s="869">
        <f t="shared" si="64"/>
        <v>0</v>
      </c>
      <c r="Q228" s="263" t="str">
        <f t="shared" si="56"/>
        <v xml:space="preserve">Д3,5х2 </v>
      </c>
      <c r="R228" s="377">
        <f t="shared" si="65"/>
        <v>1.8</v>
      </c>
      <c r="S228" s="319">
        <v>1.5</v>
      </c>
      <c r="T228" s="353">
        <f t="shared" si="60"/>
        <v>0</v>
      </c>
      <c r="U228" s="148">
        <f>760+3904</f>
        <v>4664</v>
      </c>
      <c r="V228" s="20">
        <f t="shared" si="61"/>
        <v>0</v>
      </c>
      <c r="W228" s="52">
        <f t="shared" si="62"/>
        <v>-100</v>
      </c>
      <c r="X228" s="444">
        <f>760+3904-100</f>
        <v>4564</v>
      </c>
    </row>
    <row r="229" spans="1:40" ht="26.25" customHeight="1" x14ac:dyDescent="0.25">
      <c r="B229" s="863">
        <v>87</v>
      </c>
      <c r="C229" s="864" t="s">
        <v>18</v>
      </c>
      <c r="D229" s="865" t="s">
        <v>40</v>
      </c>
      <c r="E229" s="866" t="s">
        <v>228</v>
      </c>
      <c r="F229" s="867">
        <v>515</v>
      </c>
      <c r="G229" s="883" t="s">
        <v>0</v>
      </c>
      <c r="H229" s="868"/>
      <c r="I229" s="869">
        <v>0</v>
      </c>
      <c r="J229" s="868">
        <f t="shared" si="59"/>
        <v>100</v>
      </c>
      <c r="K229" s="870">
        <v>0.63</v>
      </c>
      <c r="L229" s="871">
        <f t="shared" si="67"/>
        <v>0</v>
      </c>
      <c r="M229" s="872" t="s">
        <v>965</v>
      </c>
      <c r="N229" s="873">
        <v>100</v>
      </c>
      <c r="O229" s="874"/>
      <c r="P229" s="870">
        <f t="shared" si="64"/>
        <v>0</v>
      </c>
      <c r="Q229" s="875" t="str">
        <f t="shared" si="56"/>
        <v>Д3,5х3</v>
      </c>
      <c r="R229" s="377">
        <f t="shared" si="65"/>
        <v>1.8</v>
      </c>
      <c r="S229" s="326">
        <v>1.5</v>
      </c>
      <c r="T229" s="353">
        <f t="shared" si="60"/>
        <v>150</v>
      </c>
      <c r="U229" s="147">
        <v>3062</v>
      </c>
      <c r="V229" s="20">
        <f t="shared" si="61"/>
        <v>100</v>
      </c>
      <c r="W229" s="52">
        <f t="shared" si="62"/>
        <v>0</v>
      </c>
      <c r="X229" s="848">
        <v>2962</v>
      </c>
    </row>
    <row r="230" spans="1:40" ht="26.25" hidden="1" customHeight="1" x14ac:dyDescent="0.25">
      <c r="B230" s="11"/>
      <c r="C230" s="6" t="s">
        <v>18</v>
      </c>
      <c r="D230" s="23" t="s">
        <v>40</v>
      </c>
      <c r="E230" s="106" t="s">
        <v>186</v>
      </c>
      <c r="F230" s="210">
        <v>586</v>
      </c>
      <c r="G230" s="13" t="s">
        <v>0</v>
      </c>
      <c r="H230" s="39"/>
      <c r="I230" s="309">
        <v>0</v>
      </c>
      <c r="J230" s="39">
        <f t="shared" si="59"/>
        <v>0</v>
      </c>
      <c r="K230" s="309">
        <f>R230/1.4</f>
        <v>1.71</v>
      </c>
      <c r="L230" s="230">
        <f t="shared" si="67"/>
        <v>0</v>
      </c>
      <c r="M230" s="215" t="s">
        <v>707</v>
      </c>
      <c r="N230" s="140"/>
      <c r="O230" s="39"/>
      <c r="P230" s="490">
        <f t="shared" si="64"/>
        <v>0</v>
      </c>
      <c r="Q230" s="51" t="str">
        <f t="shared" si="56"/>
        <v>Д3х6</v>
      </c>
      <c r="R230" s="377">
        <f t="shared" si="65"/>
        <v>2.4</v>
      </c>
      <c r="S230" s="319">
        <v>2</v>
      </c>
      <c r="T230" s="353">
        <f t="shared" si="60"/>
        <v>0</v>
      </c>
      <c r="U230" s="147">
        <v>476</v>
      </c>
      <c r="V230" s="20">
        <f t="shared" si="61"/>
        <v>0</v>
      </c>
      <c r="W230" s="52">
        <f t="shared" si="62"/>
        <v>0</v>
      </c>
      <c r="X230" s="848">
        <v>476</v>
      </c>
    </row>
    <row r="231" spans="1:40" ht="26.25" customHeight="1" x14ac:dyDescent="0.25">
      <c r="B231" s="11">
        <v>88</v>
      </c>
      <c r="C231" s="6" t="s">
        <v>18</v>
      </c>
      <c r="D231" s="23" t="s">
        <v>40</v>
      </c>
      <c r="E231" s="106" t="s">
        <v>285</v>
      </c>
      <c r="F231" s="383">
        <v>1224</v>
      </c>
      <c r="G231" s="12" t="s">
        <v>0</v>
      </c>
      <c r="H231" s="39">
        <v>1440</v>
      </c>
      <c r="I231" s="360">
        <v>244.8</v>
      </c>
      <c r="J231" s="39">
        <f t="shared" si="59"/>
        <v>0</v>
      </c>
      <c r="K231" s="309">
        <f>R231/1.4</f>
        <v>0.17</v>
      </c>
      <c r="L231" s="230"/>
      <c r="M231" s="250" t="s">
        <v>538</v>
      </c>
      <c r="N231" s="140"/>
      <c r="O231" s="39">
        <v>1440</v>
      </c>
      <c r="P231" s="497">
        <f t="shared" si="64"/>
        <v>244.8</v>
      </c>
      <c r="Q231" s="263" t="str">
        <f t="shared" si="56"/>
        <v>Д4х2</v>
      </c>
      <c r="R231" s="306">
        <f t="shared" si="65"/>
        <v>0.24</v>
      </c>
      <c r="S231" s="342">
        <v>0.2</v>
      </c>
      <c r="T231" s="353">
        <f t="shared" si="60"/>
        <v>0</v>
      </c>
      <c r="U231" s="148">
        <v>50</v>
      </c>
      <c r="V231" s="20">
        <f t="shared" si="61"/>
        <v>0</v>
      </c>
      <c r="W231" s="52">
        <f t="shared" si="62"/>
        <v>0</v>
      </c>
      <c r="X231" s="444">
        <v>50</v>
      </c>
    </row>
    <row r="232" spans="1:40" ht="26.25" customHeight="1" x14ac:dyDescent="0.25">
      <c r="B232" s="11">
        <v>89</v>
      </c>
      <c r="C232" s="6" t="s">
        <v>18</v>
      </c>
      <c r="D232" s="23" t="s">
        <v>40</v>
      </c>
      <c r="E232" s="104" t="s">
        <v>229</v>
      </c>
      <c r="F232" s="384">
        <v>452</v>
      </c>
      <c r="G232" s="48"/>
      <c r="H232" s="39"/>
      <c r="I232" s="360">
        <v>0</v>
      </c>
      <c r="J232" s="39">
        <f t="shared" si="59"/>
        <v>40</v>
      </c>
      <c r="K232" s="309">
        <f>R232/1.4</f>
        <v>0.51</v>
      </c>
      <c r="L232" s="230">
        <f>K232*J529</f>
        <v>0</v>
      </c>
      <c r="M232" s="369" t="s">
        <v>922</v>
      </c>
      <c r="N232" s="140"/>
      <c r="O232" s="39">
        <v>40</v>
      </c>
      <c r="P232" s="309">
        <f t="shared" si="64"/>
        <v>20.399999999999999</v>
      </c>
      <c r="Q232" s="51" t="str">
        <f t="shared" si="56"/>
        <v>Д4,5х3</v>
      </c>
      <c r="R232" s="377">
        <f t="shared" si="65"/>
        <v>0.72</v>
      </c>
      <c r="S232" s="339">
        <v>0.6</v>
      </c>
      <c r="T232" s="353">
        <f t="shared" si="60"/>
        <v>24</v>
      </c>
      <c r="U232" s="147">
        <f>4286+1699+1100</f>
        <v>7085</v>
      </c>
      <c r="V232" s="20">
        <f t="shared" si="61"/>
        <v>0</v>
      </c>
      <c r="W232" s="52">
        <f t="shared" si="62"/>
        <v>-40</v>
      </c>
      <c r="X232" s="848">
        <f>4286+1699+1100-40</f>
        <v>7045</v>
      </c>
    </row>
    <row r="233" spans="1:40" s="4" customFormat="1" ht="26.25" hidden="1" customHeight="1" x14ac:dyDescent="0.25">
      <c r="A233" s="10"/>
      <c r="B233" s="11"/>
      <c r="C233" s="6" t="s">
        <v>18</v>
      </c>
      <c r="D233" s="23" t="s">
        <v>40</v>
      </c>
      <c r="E233" s="104" t="s">
        <v>868</v>
      </c>
      <c r="F233" s="375">
        <v>1304</v>
      </c>
      <c r="G233" s="48"/>
      <c r="H233" s="39"/>
      <c r="I233" s="360">
        <v>0</v>
      </c>
      <c r="J233" s="39">
        <f t="shared" si="59"/>
        <v>0</v>
      </c>
      <c r="K233" s="309">
        <f>R233/1.4</f>
        <v>5.14</v>
      </c>
      <c r="L233" s="230"/>
      <c r="M233" s="250" t="s">
        <v>539</v>
      </c>
      <c r="N233" s="140"/>
      <c r="O233" s="39"/>
      <c r="P233" s="467">
        <f t="shared" si="64"/>
        <v>0</v>
      </c>
      <c r="Q233" s="264" t="str">
        <f t="shared" si="56"/>
        <v>Д5х3 N42H</v>
      </c>
      <c r="R233" s="306">
        <f t="shared" si="65"/>
        <v>7.2</v>
      </c>
      <c r="S233" s="339">
        <v>6</v>
      </c>
      <c r="T233" s="353">
        <f t="shared" si="60"/>
        <v>0</v>
      </c>
      <c r="U233" s="148">
        <v>20</v>
      </c>
      <c r="V233" s="20">
        <f t="shared" si="61"/>
        <v>0</v>
      </c>
      <c r="W233" s="52">
        <f t="shared" si="62"/>
        <v>0</v>
      </c>
      <c r="X233" s="444">
        <v>20</v>
      </c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1:40" ht="26.25" customHeight="1" x14ac:dyDescent="0.25">
      <c r="B234" s="11">
        <v>90</v>
      </c>
      <c r="C234" s="6" t="s">
        <v>18</v>
      </c>
      <c r="D234" s="23" t="s">
        <v>40</v>
      </c>
      <c r="E234" s="104" t="s">
        <v>158</v>
      </c>
      <c r="F234" s="208">
        <v>808</v>
      </c>
      <c r="G234" s="12" t="s">
        <v>0</v>
      </c>
      <c r="H234" s="39">
        <v>1280</v>
      </c>
      <c r="I234" s="360">
        <v>332.8</v>
      </c>
      <c r="J234" s="39">
        <f t="shared" si="59"/>
        <v>0</v>
      </c>
      <c r="K234" s="309">
        <v>0.26</v>
      </c>
      <c r="L234" s="230">
        <f>K234*J531</f>
        <v>0</v>
      </c>
      <c r="M234" s="215" t="s">
        <v>803</v>
      </c>
      <c r="N234" s="140"/>
      <c r="O234" s="39">
        <v>1280</v>
      </c>
      <c r="P234" s="309">
        <f t="shared" si="64"/>
        <v>332.8</v>
      </c>
      <c r="Q234" s="235" t="str">
        <f t="shared" si="56"/>
        <v>Д5х2</v>
      </c>
      <c r="R234" s="377">
        <f t="shared" si="65"/>
        <v>0.36</v>
      </c>
      <c r="S234" s="319">
        <v>0.3</v>
      </c>
      <c r="T234" s="353">
        <f t="shared" si="60"/>
        <v>0</v>
      </c>
      <c r="U234" s="70">
        <f>9365+1500-800</f>
        <v>10065</v>
      </c>
      <c r="V234" s="20">
        <f t="shared" si="61"/>
        <v>0</v>
      </c>
      <c r="W234" s="52">
        <f t="shared" si="62"/>
        <v>0</v>
      </c>
      <c r="X234" s="444">
        <f>9365+1500-800</f>
        <v>10065</v>
      </c>
    </row>
    <row r="235" spans="1:40" ht="26.25" hidden="1" customHeight="1" x14ac:dyDescent="0.25">
      <c r="B235" s="11"/>
      <c r="C235" s="6" t="s">
        <v>18</v>
      </c>
      <c r="D235" s="23" t="s">
        <v>40</v>
      </c>
      <c r="E235" s="104" t="s">
        <v>642</v>
      </c>
      <c r="F235" s="208">
        <v>1401</v>
      </c>
      <c r="G235" s="48"/>
      <c r="H235" s="39"/>
      <c r="I235" s="309">
        <v>0</v>
      </c>
      <c r="J235" s="39">
        <f t="shared" si="59"/>
        <v>0</v>
      </c>
      <c r="K235" s="309">
        <f>R235/1.4</f>
        <v>2.14</v>
      </c>
      <c r="L235" s="230">
        <f>K235*J532</f>
        <v>0</v>
      </c>
      <c r="M235" s="158" t="s">
        <v>628</v>
      </c>
      <c r="N235" s="140"/>
      <c r="O235" s="39"/>
      <c r="P235" s="490">
        <f t="shared" si="64"/>
        <v>0</v>
      </c>
      <c r="Q235" s="262" t="str">
        <f t="shared" si="56"/>
        <v>Д5х2 с ник.покр.</v>
      </c>
      <c r="R235" s="377">
        <f t="shared" si="65"/>
        <v>3</v>
      </c>
      <c r="S235" s="330">
        <v>2.5</v>
      </c>
      <c r="T235" s="353">
        <f t="shared" si="60"/>
        <v>0</v>
      </c>
      <c r="U235" s="70">
        <f>10285+5715</f>
        <v>16000</v>
      </c>
      <c r="V235" s="20">
        <f t="shared" si="61"/>
        <v>0</v>
      </c>
      <c r="W235" s="52">
        <f t="shared" si="62"/>
        <v>0</v>
      </c>
      <c r="X235" s="444">
        <f>10285+5715</f>
        <v>16000</v>
      </c>
    </row>
    <row r="236" spans="1:40" ht="26.25" hidden="1" customHeight="1" x14ac:dyDescent="0.25">
      <c r="B236" s="19"/>
      <c r="C236" s="6" t="s">
        <v>18</v>
      </c>
      <c r="D236" s="23" t="s">
        <v>40</v>
      </c>
      <c r="E236" s="104" t="s">
        <v>360</v>
      </c>
      <c r="F236" s="208"/>
      <c r="G236" s="48"/>
      <c r="H236" s="39"/>
      <c r="I236" s="309">
        <v>0</v>
      </c>
      <c r="J236" s="39">
        <f t="shared" si="59"/>
        <v>0</v>
      </c>
      <c r="K236" s="309"/>
      <c r="L236" s="230"/>
      <c r="M236" s="90"/>
      <c r="N236" s="140"/>
      <c r="O236" s="39"/>
      <c r="P236" s="497">
        <f t="shared" si="64"/>
        <v>0</v>
      </c>
      <c r="Q236" s="263" t="str">
        <f t="shared" si="56"/>
        <v>Д5х3 С  ЦН.ПОК.</v>
      </c>
      <c r="R236" s="377">
        <f t="shared" si="65"/>
        <v>0</v>
      </c>
      <c r="S236" s="319">
        <v>0</v>
      </c>
      <c r="T236" s="353">
        <f t="shared" si="60"/>
        <v>0</v>
      </c>
      <c r="U236" s="148">
        <v>422</v>
      </c>
      <c r="V236" s="20">
        <f t="shared" si="61"/>
        <v>0</v>
      </c>
      <c r="W236" s="52">
        <f t="shared" si="62"/>
        <v>0</v>
      </c>
      <c r="X236" s="444">
        <v>422</v>
      </c>
    </row>
    <row r="237" spans="1:40" ht="26.25" hidden="1" customHeight="1" x14ac:dyDescent="0.25">
      <c r="B237" s="11"/>
      <c r="C237" s="6" t="s">
        <v>18</v>
      </c>
      <c r="D237" s="23" t="s">
        <v>40</v>
      </c>
      <c r="E237" s="104" t="s">
        <v>124</v>
      </c>
      <c r="F237" s="383" t="s">
        <v>183</v>
      </c>
      <c r="G237" s="12" t="s">
        <v>0</v>
      </c>
      <c r="H237" s="39"/>
      <c r="I237" s="360">
        <v>0</v>
      </c>
      <c r="J237" s="39">
        <f t="shared" si="59"/>
        <v>0</v>
      </c>
      <c r="K237" s="309">
        <f>R237/1.4</f>
        <v>0.46</v>
      </c>
      <c r="L237" s="230">
        <f>K237*J534</f>
        <v>0</v>
      </c>
      <c r="M237" s="364" t="s">
        <v>519</v>
      </c>
      <c r="N237" s="140"/>
      <c r="O237" s="39"/>
      <c r="P237" s="309">
        <f t="shared" si="64"/>
        <v>0</v>
      </c>
      <c r="Q237" s="51" t="str">
        <f t="shared" si="56"/>
        <v>Д5х3</v>
      </c>
      <c r="R237" s="377">
        <f t="shared" si="65"/>
        <v>0.65</v>
      </c>
      <c r="S237" s="330">
        <v>0.54</v>
      </c>
      <c r="T237" s="353">
        <f t="shared" ref="T237:T268" si="68">S237*J237</f>
        <v>0</v>
      </c>
      <c r="U237" s="148">
        <v>1649</v>
      </c>
      <c r="V237" s="20">
        <f t="shared" ref="V237:V270" si="69">N237</f>
        <v>0</v>
      </c>
      <c r="W237" s="52">
        <f t="shared" ref="W237:W242" si="70">X237-U237+V237</f>
        <v>0</v>
      </c>
      <c r="X237" s="444">
        <v>1649</v>
      </c>
    </row>
    <row r="238" spans="1:40" ht="26.25" customHeight="1" x14ac:dyDescent="0.25">
      <c r="B238" s="11">
        <v>91</v>
      </c>
      <c r="C238" s="6" t="s">
        <v>18</v>
      </c>
      <c r="D238" s="23" t="s">
        <v>40</v>
      </c>
      <c r="E238" s="87" t="s">
        <v>286</v>
      </c>
      <c r="F238" s="208">
        <v>1072</v>
      </c>
      <c r="G238" s="12" t="s">
        <v>0</v>
      </c>
      <c r="H238" s="39">
        <v>4880</v>
      </c>
      <c r="I238" s="360">
        <v>7124.8</v>
      </c>
      <c r="J238" s="39">
        <f t="shared" si="59"/>
        <v>0</v>
      </c>
      <c r="K238" s="309">
        <f>R238/1.4</f>
        <v>1.46</v>
      </c>
      <c r="L238" s="230">
        <f>K238*J535</f>
        <v>0</v>
      </c>
      <c r="M238" s="399"/>
      <c r="N238" s="143"/>
      <c r="O238" s="39">
        <f>5000-120</f>
        <v>4880</v>
      </c>
      <c r="P238" s="490">
        <f t="shared" si="64"/>
        <v>7124.8</v>
      </c>
      <c r="Q238" s="262" t="str">
        <f t="shared" si="56"/>
        <v xml:space="preserve">Д5х5 </v>
      </c>
      <c r="R238" s="377">
        <f t="shared" si="65"/>
        <v>2.04</v>
      </c>
      <c r="S238" s="339">
        <v>1.7</v>
      </c>
      <c r="T238" s="353">
        <f t="shared" si="68"/>
        <v>0</v>
      </c>
      <c r="U238" s="430">
        <f>4110*3+1150-120</f>
        <v>13360</v>
      </c>
      <c r="V238" s="20">
        <f t="shared" si="69"/>
        <v>0</v>
      </c>
      <c r="W238" s="52">
        <f t="shared" si="70"/>
        <v>0</v>
      </c>
      <c r="X238" s="18">
        <f>4110*3+1150-120</f>
        <v>13360</v>
      </c>
      <c r="Y238" s="10">
        <v>1</v>
      </c>
    </row>
    <row r="239" spans="1:40" ht="32.25" customHeight="1" x14ac:dyDescent="0.25">
      <c r="B239" s="11">
        <v>92</v>
      </c>
      <c r="C239" s="6" t="s">
        <v>18</v>
      </c>
      <c r="D239" s="23" t="s">
        <v>40</v>
      </c>
      <c r="E239" s="87" t="s">
        <v>269</v>
      </c>
      <c r="F239" s="208">
        <v>481</v>
      </c>
      <c r="G239" s="12" t="s">
        <v>0</v>
      </c>
      <c r="H239" s="39">
        <v>4682</v>
      </c>
      <c r="I239" s="360">
        <v>6039.78</v>
      </c>
      <c r="J239" s="39">
        <f t="shared" si="59"/>
        <v>0</v>
      </c>
      <c r="K239" s="309">
        <f>R239/1.4</f>
        <v>1.29</v>
      </c>
      <c r="L239" s="230">
        <f>K239*J536</f>
        <v>0</v>
      </c>
      <c r="M239" s="250" t="s">
        <v>540</v>
      </c>
      <c r="N239" s="140"/>
      <c r="O239" s="39">
        <f>4712-30</f>
        <v>4682</v>
      </c>
      <c r="P239" s="309">
        <f t="shared" si="64"/>
        <v>6039.78</v>
      </c>
      <c r="Q239" s="235" t="str">
        <f t="shared" si="56"/>
        <v>Д5х6 ЭПГ111.035</v>
      </c>
      <c r="R239" s="377">
        <f t="shared" si="65"/>
        <v>1.8</v>
      </c>
      <c r="S239" s="319">
        <v>1.5</v>
      </c>
      <c r="T239" s="353">
        <f t="shared" si="68"/>
        <v>0</v>
      </c>
      <c r="U239" s="18">
        <f>3168*6+3366*7+1571+565-200</f>
        <v>44506</v>
      </c>
      <c r="V239" s="20">
        <f t="shared" si="69"/>
        <v>0</v>
      </c>
      <c r="W239" s="52">
        <f t="shared" si="70"/>
        <v>0</v>
      </c>
      <c r="X239" s="18">
        <f>3168*6+3366*7+1571+565-200</f>
        <v>44506</v>
      </c>
      <c r="Y239" s="10">
        <v>1</v>
      </c>
    </row>
    <row r="240" spans="1:40" ht="26.25" hidden="1" customHeight="1" x14ac:dyDescent="0.25">
      <c r="B240" s="11"/>
      <c r="C240" s="6" t="s">
        <v>18</v>
      </c>
      <c r="D240" s="23" t="s">
        <v>40</v>
      </c>
      <c r="E240" s="87" t="s">
        <v>389</v>
      </c>
      <c r="F240" s="208">
        <v>1170</v>
      </c>
      <c r="G240" s="48" t="s">
        <v>0</v>
      </c>
      <c r="H240" s="39"/>
      <c r="I240" s="309">
        <v>0</v>
      </c>
      <c r="J240" s="39">
        <f t="shared" si="59"/>
        <v>0</v>
      </c>
      <c r="K240" s="309">
        <f>R240/1.4</f>
        <v>0.53</v>
      </c>
      <c r="L240" s="230"/>
      <c r="M240" s="156" t="s">
        <v>409</v>
      </c>
      <c r="N240" s="143"/>
      <c r="O240" s="39"/>
      <c r="P240" s="490">
        <f t="shared" si="64"/>
        <v>0</v>
      </c>
      <c r="Q240" s="264" t="str">
        <f t="shared" si="56"/>
        <v>Д5х6 нжб1400</v>
      </c>
      <c r="R240" s="377">
        <f t="shared" si="65"/>
        <v>0.74</v>
      </c>
      <c r="S240" s="319">
        <v>0.61799999999999999</v>
      </c>
      <c r="T240" s="353">
        <f t="shared" si="68"/>
        <v>0</v>
      </c>
      <c r="U240" s="70">
        <f>2706+1000</f>
        <v>3706</v>
      </c>
      <c r="V240" s="20">
        <f t="shared" si="69"/>
        <v>0</v>
      </c>
      <c r="W240" s="52">
        <f t="shared" si="70"/>
        <v>0</v>
      </c>
      <c r="X240" s="20">
        <f>2706+1000</f>
        <v>3706</v>
      </c>
      <c r="Y240" s="10">
        <v>1</v>
      </c>
    </row>
    <row r="241" spans="2:25" ht="26.25" customHeight="1" x14ac:dyDescent="0.25">
      <c r="B241" s="11">
        <v>93</v>
      </c>
      <c r="C241" s="6" t="s">
        <v>18</v>
      </c>
      <c r="D241" s="23" t="s">
        <v>40</v>
      </c>
      <c r="E241" s="104" t="s">
        <v>71</v>
      </c>
      <c r="F241" s="208" t="s">
        <v>76</v>
      </c>
      <c r="G241" s="12" t="s">
        <v>0</v>
      </c>
      <c r="H241" s="39">
        <v>8912</v>
      </c>
      <c r="I241" s="360">
        <v>2825.74</v>
      </c>
      <c r="J241" s="39">
        <f t="shared" si="59"/>
        <v>88</v>
      </c>
      <c r="K241" s="309">
        <f>R241/1.4</f>
        <v>0.25</v>
      </c>
      <c r="L241" s="230">
        <f>K241*J538</f>
        <v>0</v>
      </c>
      <c r="M241" s="369" t="s">
        <v>923</v>
      </c>
      <c r="N241" s="140">
        <v>4000</v>
      </c>
      <c r="O241" s="39">
        <v>5000</v>
      </c>
      <c r="P241" s="309">
        <f>O241*K241</f>
        <v>1250</v>
      </c>
      <c r="Q241" s="235" t="str">
        <f t="shared" si="56"/>
        <v>Д5х10</v>
      </c>
      <c r="R241" s="377">
        <f t="shared" si="65"/>
        <v>0.35</v>
      </c>
      <c r="S241" s="319">
        <v>0.28999999999999998</v>
      </c>
      <c r="T241" s="353">
        <f t="shared" si="68"/>
        <v>25.52</v>
      </c>
      <c r="U241" s="70">
        <f>44775-1716</f>
        <v>43059</v>
      </c>
      <c r="V241" s="20">
        <f t="shared" si="69"/>
        <v>4000</v>
      </c>
      <c r="W241" s="52">
        <f t="shared" si="70"/>
        <v>4000</v>
      </c>
      <c r="X241" s="20">
        <f>44775-1716</f>
        <v>43059</v>
      </c>
      <c r="Y241" s="10">
        <v>1</v>
      </c>
    </row>
    <row r="242" spans="2:25" ht="26.25" hidden="1" customHeight="1" x14ac:dyDescent="0.25">
      <c r="B242" s="11"/>
      <c r="C242" s="6" t="s">
        <v>18</v>
      </c>
      <c r="D242" s="23" t="s">
        <v>40</v>
      </c>
      <c r="E242" s="87" t="s">
        <v>920</v>
      </c>
      <c r="F242" s="393" t="s">
        <v>625</v>
      </c>
      <c r="G242" s="48" t="s">
        <v>0</v>
      </c>
      <c r="H242" s="39"/>
      <c r="I242" s="309">
        <v>0</v>
      </c>
      <c r="J242" s="39">
        <f t="shared" si="59"/>
        <v>0</v>
      </c>
      <c r="K242" s="309">
        <f t="shared" ref="K242:K249" si="71">R242/1.4</f>
        <v>1.46</v>
      </c>
      <c r="L242" s="230">
        <f>K242*J539</f>
        <v>0</v>
      </c>
      <c r="M242" s="158" t="s">
        <v>653</v>
      </c>
      <c r="N242" s="141"/>
      <c r="O242" s="503"/>
      <c r="P242" s="309">
        <f t="shared" ref="P242:P252" si="72">K242*O242</f>
        <v>0</v>
      </c>
      <c r="Q242" s="264" t="str">
        <f t="shared" si="56"/>
        <v>Д5х16</v>
      </c>
      <c r="R242" s="377">
        <f t="shared" si="65"/>
        <v>2.04</v>
      </c>
      <c r="S242" s="322">
        <v>1.7</v>
      </c>
      <c r="T242" s="353">
        <f t="shared" si="68"/>
        <v>0</v>
      </c>
      <c r="U242" s="20"/>
      <c r="V242" s="20">
        <f t="shared" si="69"/>
        <v>0</v>
      </c>
      <c r="W242" s="52">
        <f t="shared" si="70"/>
        <v>880</v>
      </c>
      <c r="X242" s="444">
        <v>880</v>
      </c>
    </row>
    <row r="243" spans="2:25" ht="26.25" hidden="1" customHeight="1" x14ac:dyDescent="0.25">
      <c r="B243" s="11"/>
      <c r="C243" s="6" t="s">
        <v>18</v>
      </c>
      <c r="D243" s="23" t="s">
        <v>40</v>
      </c>
      <c r="E243" s="106" t="s">
        <v>703</v>
      </c>
      <c r="F243" s="209" t="s">
        <v>700</v>
      </c>
      <c r="G243" s="48" t="s">
        <v>0</v>
      </c>
      <c r="H243" s="39"/>
      <c r="I243" s="360">
        <v>0</v>
      </c>
      <c r="J243" s="39">
        <f t="shared" si="59"/>
        <v>0</v>
      </c>
      <c r="K243" s="309">
        <f t="shared" si="71"/>
        <v>2.66</v>
      </c>
      <c r="L243" s="230"/>
      <c r="M243" s="215" t="s">
        <v>708</v>
      </c>
      <c r="N243" s="141"/>
      <c r="O243" s="503"/>
      <c r="P243" s="309">
        <f t="shared" si="72"/>
        <v>0</v>
      </c>
      <c r="Q243" s="51" t="str">
        <f t="shared" si="56"/>
        <v>Д6х1 НЖБ1400</v>
      </c>
      <c r="R243" s="377">
        <f t="shared" si="65"/>
        <v>3.72</v>
      </c>
      <c r="S243" s="322">
        <v>3.1</v>
      </c>
      <c r="T243" s="353">
        <f t="shared" si="68"/>
        <v>0</v>
      </c>
      <c r="U243" s="70">
        <v>900</v>
      </c>
      <c r="V243" s="20">
        <f t="shared" si="69"/>
        <v>0</v>
      </c>
      <c r="W243" s="52"/>
      <c r="X243" s="20">
        <v>900</v>
      </c>
      <c r="Y243" s="10">
        <v>1</v>
      </c>
    </row>
    <row r="244" spans="2:25" ht="26.25" hidden="1" customHeight="1" x14ac:dyDescent="0.25">
      <c r="B244" s="15"/>
      <c r="C244" s="6" t="s">
        <v>18</v>
      </c>
      <c r="D244" s="23" t="s">
        <v>40</v>
      </c>
      <c r="E244" s="106" t="s">
        <v>702</v>
      </c>
      <c r="F244" s="209" t="s">
        <v>701</v>
      </c>
      <c r="G244" s="48"/>
      <c r="H244" s="39"/>
      <c r="I244" s="360">
        <v>0</v>
      </c>
      <c r="J244" s="39">
        <f t="shared" si="59"/>
        <v>0</v>
      </c>
      <c r="K244" s="309">
        <f t="shared" si="71"/>
        <v>4.63</v>
      </c>
      <c r="L244" s="230"/>
      <c r="M244" s="215" t="s">
        <v>709</v>
      </c>
      <c r="N244" s="141"/>
      <c r="O244" s="503"/>
      <c r="P244" s="309">
        <f t="shared" si="72"/>
        <v>0</v>
      </c>
      <c r="Q244" s="51" t="str">
        <f t="shared" si="56"/>
        <v>Д6х2 НЖБ1400</v>
      </c>
      <c r="R244" s="377">
        <f t="shared" si="65"/>
        <v>6.48</v>
      </c>
      <c r="S244" s="322">
        <v>5.4</v>
      </c>
      <c r="T244" s="353">
        <f t="shared" si="68"/>
        <v>0</v>
      </c>
      <c r="U244" s="70">
        <v>900</v>
      </c>
      <c r="V244" s="20">
        <f t="shared" si="69"/>
        <v>0</v>
      </c>
      <c r="W244" s="52"/>
      <c r="X244" s="20">
        <v>800</v>
      </c>
      <c r="Y244" s="10">
        <v>1</v>
      </c>
    </row>
    <row r="245" spans="2:25" ht="26.25" hidden="1" customHeight="1" x14ac:dyDescent="0.25">
      <c r="B245" s="15"/>
      <c r="C245" s="6" t="s">
        <v>18</v>
      </c>
      <c r="D245" s="23" t="s">
        <v>40</v>
      </c>
      <c r="E245" s="106" t="s">
        <v>216</v>
      </c>
      <c r="F245" s="208">
        <v>1191</v>
      </c>
      <c r="G245" s="48" t="s">
        <v>0</v>
      </c>
      <c r="H245" s="39"/>
      <c r="I245" s="360">
        <v>0</v>
      </c>
      <c r="J245" s="39">
        <f t="shared" si="59"/>
        <v>0</v>
      </c>
      <c r="K245" s="309">
        <f t="shared" si="71"/>
        <v>0.6</v>
      </c>
      <c r="L245" s="230">
        <f>K245*J542</f>
        <v>0</v>
      </c>
      <c r="M245" s="215" t="s">
        <v>710</v>
      </c>
      <c r="N245" s="140"/>
      <c r="O245" s="39"/>
      <c r="P245" s="309">
        <f t="shared" si="72"/>
        <v>0</v>
      </c>
      <c r="Q245" s="51" t="str">
        <f t="shared" si="56"/>
        <v>Д6х2</v>
      </c>
      <c r="R245" s="377">
        <f t="shared" si="65"/>
        <v>0.84</v>
      </c>
      <c r="S245" s="339">
        <v>0.7</v>
      </c>
      <c r="T245" s="353">
        <f t="shared" si="68"/>
        <v>0</v>
      </c>
      <c r="U245" s="147">
        <v>800</v>
      </c>
      <c r="V245" s="20">
        <f t="shared" si="69"/>
        <v>0</v>
      </c>
      <c r="W245" s="52">
        <f t="shared" ref="W245:W252" si="73">X245-U245+V245</f>
        <v>0</v>
      </c>
      <c r="X245" s="848">
        <v>800</v>
      </c>
    </row>
    <row r="246" spans="2:25" ht="26.25" hidden="1" customHeight="1" x14ac:dyDescent="0.25">
      <c r="B246" s="15"/>
      <c r="C246" s="6" t="s">
        <v>18</v>
      </c>
      <c r="D246" s="23" t="s">
        <v>40</v>
      </c>
      <c r="E246" s="106" t="s">
        <v>637</v>
      </c>
      <c r="F246" s="211" t="s">
        <v>199</v>
      </c>
      <c r="G246" s="48" t="s">
        <v>0</v>
      </c>
      <c r="H246" s="39"/>
      <c r="I246" s="309">
        <v>0</v>
      </c>
      <c r="J246" s="39">
        <f t="shared" si="59"/>
        <v>0</v>
      </c>
      <c r="K246" s="309">
        <f t="shared" si="71"/>
        <v>0.75</v>
      </c>
      <c r="L246" s="230">
        <f>K246*J543</f>
        <v>0</v>
      </c>
      <c r="M246" s="214" t="s">
        <v>240</v>
      </c>
      <c r="N246" s="140"/>
      <c r="O246" s="39"/>
      <c r="P246" s="309">
        <f t="shared" si="72"/>
        <v>0</v>
      </c>
      <c r="Q246" s="264" t="str">
        <f t="shared" si="56"/>
        <v>Д6х2-Днамаг N48H</v>
      </c>
      <c r="R246" s="377">
        <f t="shared" ref="R246:R274" si="74">S246*1.2</f>
        <v>1.05</v>
      </c>
      <c r="S246" s="319">
        <v>0.875</v>
      </c>
      <c r="T246" s="353">
        <f t="shared" si="68"/>
        <v>0</v>
      </c>
      <c r="U246" s="148">
        <v>20</v>
      </c>
      <c r="V246" s="20">
        <f t="shared" si="69"/>
        <v>0</v>
      </c>
      <c r="W246" s="52">
        <f t="shared" si="73"/>
        <v>0</v>
      </c>
      <c r="X246" s="20">
        <v>20</v>
      </c>
      <c r="Y246" s="10">
        <v>1</v>
      </c>
    </row>
    <row r="247" spans="2:25" ht="26.25" customHeight="1" x14ac:dyDescent="0.25">
      <c r="B247" s="11">
        <v>94</v>
      </c>
      <c r="C247" s="6" t="s">
        <v>18</v>
      </c>
      <c r="D247" s="23" t="s">
        <v>40</v>
      </c>
      <c r="E247" s="106" t="s">
        <v>462</v>
      </c>
      <c r="F247" s="208" t="s">
        <v>447</v>
      </c>
      <c r="G247" s="12" t="s">
        <v>0</v>
      </c>
      <c r="H247" s="39">
        <v>7000</v>
      </c>
      <c r="I247" s="360">
        <v>3710</v>
      </c>
      <c r="J247" s="39">
        <f t="shared" si="59"/>
        <v>1000</v>
      </c>
      <c r="K247" s="309">
        <f t="shared" si="71"/>
        <v>0.53</v>
      </c>
      <c r="L247" s="230">
        <f>K247*J544</f>
        <v>0</v>
      </c>
      <c r="M247" s="369" t="s">
        <v>925</v>
      </c>
      <c r="N247" s="140">
        <v>3500</v>
      </c>
      <c r="O247" s="39">
        <v>4500</v>
      </c>
      <c r="P247" s="309">
        <f t="shared" si="72"/>
        <v>2385</v>
      </c>
      <c r="Q247" s="235" t="str">
        <f t="shared" si="56"/>
        <v>С6х3 НЖБ1400-100 град</v>
      </c>
      <c r="R247" s="377">
        <f t="shared" si="74"/>
        <v>0.74</v>
      </c>
      <c r="S247" s="319">
        <v>0.62</v>
      </c>
      <c r="T247" s="353">
        <f t="shared" si="68"/>
        <v>620</v>
      </c>
      <c r="U247" s="70">
        <v>13934</v>
      </c>
      <c r="V247" s="20">
        <f t="shared" si="69"/>
        <v>3500</v>
      </c>
      <c r="W247" s="52">
        <f t="shared" si="73"/>
        <v>3500</v>
      </c>
      <c r="X247" s="20">
        <v>13934</v>
      </c>
      <c r="Y247" s="10">
        <v>1</v>
      </c>
    </row>
    <row r="248" spans="2:25" ht="34.5" hidden="1" customHeight="1" x14ac:dyDescent="0.25">
      <c r="B248" s="15"/>
      <c r="C248" s="6" t="s">
        <v>18</v>
      </c>
      <c r="D248" s="23" t="s">
        <v>40</v>
      </c>
      <c r="E248" s="106" t="s">
        <v>873</v>
      </c>
      <c r="F248" s="382">
        <v>510</v>
      </c>
      <c r="G248" s="48"/>
      <c r="H248" s="39"/>
      <c r="I248" s="360">
        <v>0</v>
      </c>
      <c r="J248" s="39">
        <f t="shared" si="59"/>
        <v>0</v>
      </c>
      <c r="K248" s="309">
        <f t="shared" si="71"/>
        <v>0.98</v>
      </c>
      <c r="L248" s="230"/>
      <c r="M248" s="250" t="s">
        <v>891</v>
      </c>
      <c r="N248" s="140"/>
      <c r="O248" s="39"/>
      <c r="P248" s="467">
        <f t="shared" si="72"/>
        <v>0</v>
      </c>
      <c r="Q248" s="262" t="str">
        <f t="shared" si="56"/>
        <v>С6х3</v>
      </c>
      <c r="R248" s="306">
        <f t="shared" si="74"/>
        <v>1.37</v>
      </c>
      <c r="S248" s="319">
        <v>1.1399999999999999</v>
      </c>
      <c r="T248" s="353">
        <f t="shared" si="68"/>
        <v>0</v>
      </c>
      <c r="U248" s="148">
        <v>20</v>
      </c>
      <c r="V248" s="20">
        <f t="shared" si="69"/>
        <v>0</v>
      </c>
      <c r="W248" s="52">
        <f t="shared" si="73"/>
        <v>0</v>
      </c>
      <c r="X248" s="20">
        <v>20</v>
      </c>
      <c r="Y248" s="10">
        <v>1</v>
      </c>
    </row>
    <row r="249" spans="2:25" ht="26.25" hidden="1" customHeight="1" x14ac:dyDescent="0.25">
      <c r="B249" s="11"/>
      <c r="C249" s="6" t="s">
        <v>18</v>
      </c>
      <c r="D249" s="23" t="s">
        <v>40</v>
      </c>
      <c r="E249" s="106" t="s">
        <v>444</v>
      </c>
      <c r="F249" s="386">
        <v>1196</v>
      </c>
      <c r="G249" s="48" t="s">
        <v>0</v>
      </c>
      <c r="H249" s="39"/>
      <c r="I249" s="309">
        <v>0</v>
      </c>
      <c r="J249" s="39">
        <f t="shared" si="59"/>
        <v>0</v>
      </c>
      <c r="K249" s="309">
        <f t="shared" si="71"/>
        <v>1.3</v>
      </c>
      <c r="L249" s="230">
        <f>K249*J546</f>
        <v>0</v>
      </c>
      <c r="M249" s="94" t="s">
        <v>170</v>
      </c>
      <c r="N249" s="140"/>
      <c r="O249" s="39"/>
      <c r="P249" s="309">
        <f t="shared" si="72"/>
        <v>0</v>
      </c>
      <c r="Q249" s="235" t="str">
        <f t="shared" si="56"/>
        <v>Д6х30</v>
      </c>
      <c r="R249" s="377">
        <f t="shared" si="74"/>
        <v>1.82</v>
      </c>
      <c r="S249" s="319">
        <v>1.5149999999999999</v>
      </c>
      <c r="T249" s="353">
        <f t="shared" si="68"/>
        <v>0</v>
      </c>
      <c r="U249" s="148">
        <f>350+286</f>
        <v>636</v>
      </c>
      <c r="V249" s="20">
        <f t="shared" si="69"/>
        <v>0</v>
      </c>
      <c r="W249" s="52">
        <f t="shared" si="73"/>
        <v>0</v>
      </c>
      <c r="X249" s="444">
        <f>350+286</f>
        <v>636</v>
      </c>
    </row>
    <row r="250" spans="2:25" ht="26.25" hidden="1" customHeight="1" x14ac:dyDescent="0.25">
      <c r="B250" s="11"/>
      <c r="C250" s="6" t="s">
        <v>18</v>
      </c>
      <c r="D250" s="23" t="s">
        <v>40</v>
      </c>
      <c r="E250" s="106" t="s">
        <v>309</v>
      </c>
      <c r="F250" s="386"/>
      <c r="G250" s="48"/>
      <c r="H250" s="39"/>
      <c r="I250" s="309">
        <v>0</v>
      </c>
      <c r="J250" s="39">
        <f t="shared" si="59"/>
        <v>0</v>
      </c>
      <c r="K250" s="309"/>
      <c r="L250" s="230"/>
      <c r="M250" s="94"/>
      <c r="N250" s="140"/>
      <c r="O250" s="39"/>
      <c r="P250" s="309">
        <f t="shared" si="72"/>
        <v>0</v>
      </c>
      <c r="Q250" s="235" t="str">
        <f t="shared" si="56"/>
        <v>Д7х10 без покр.</v>
      </c>
      <c r="R250" s="377">
        <f t="shared" si="74"/>
        <v>0</v>
      </c>
      <c r="S250" s="319">
        <v>0</v>
      </c>
      <c r="T250" s="353">
        <f t="shared" si="68"/>
        <v>0</v>
      </c>
      <c r="U250" s="148">
        <v>2965</v>
      </c>
      <c r="V250" s="20">
        <f t="shared" si="69"/>
        <v>0</v>
      </c>
      <c r="W250" s="52">
        <f t="shared" si="73"/>
        <v>0</v>
      </c>
      <c r="X250" s="444">
        <v>2965</v>
      </c>
    </row>
    <row r="251" spans="2:25" ht="26.25" hidden="1" customHeight="1" x14ac:dyDescent="0.25">
      <c r="B251" s="11"/>
      <c r="C251" s="6" t="s">
        <v>18</v>
      </c>
      <c r="D251" s="23" t="s">
        <v>40</v>
      </c>
      <c r="E251" s="106" t="s">
        <v>465</v>
      </c>
      <c r="F251" s="388">
        <v>773</v>
      </c>
      <c r="G251" s="13" t="s">
        <v>0</v>
      </c>
      <c r="H251" s="39"/>
      <c r="I251" s="309">
        <v>0</v>
      </c>
      <c r="J251" s="39">
        <f t="shared" si="59"/>
        <v>0</v>
      </c>
      <c r="K251" s="309">
        <f>R251/1.4</f>
        <v>0.09</v>
      </c>
      <c r="L251" s="230">
        <f>K251*J548</f>
        <v>0</v>
      </c>
      <c r="M251" s="95" t="s">
        <v>242</v>
      </c>
      <c r="N251" s="140"/>
      <c r="O251" s="39"/>
      <c r="P251" s="309">
        <f t="shared" si="72"/>
        <v>0</v>
      </c>
      <c r="Q251" s="263" t="str">
        <f t="shared" si="56"/>
        <v>Д 8х15</v>
      </c>
      <c r="R251" s="377">
        <f t="shared" si="74"/>
        <v>0.12</v>
      </c>
      <c r="S251" s="323">
        <v>0.1</v>
      </c>
      <c r="T251" s="353">
        <f t="shared" si="68"/>
        <v>0</v>
      </c>
      <c r="U251" s="70">
        <v>11</v>
      </c>
      <c r="V251" s="20">
        <f t="shared" si="69"/>
        <v>0</v>
      </c>
      <c r="W251" s="52">
        <f t="shared" si="73"/>
        <v>0</v>
      </c>
      <c r="X251" s="20">
        <v>11</v>
      </c>
      <c r="Y251" s="10">
        <v>1</v>
      </c>
    </row>
    <row r="252" spans="2:25" ht="26.25" customHeight="1" x14ac:dyDescent="0.25">
      <c r="B252" s="11">
        <v>95</v>
      </c>
      <c r="C252" s="6" t="s">
        <v>18</v>
      </c>
      <c r="D252" s="23" t="s">
        <v>40</v>
      </c>
      <c r="E252" s="104" t="s">
        <v>533</v>
      </c>
      <c r="F252" s="208">
        <v>86</v>
      </c>
      <c r="G252" s="12" t="s">
        <v>0</v>
      </c>
      <c r="H252" s="39">
        <v>818</v>
      </c>
      <c r="I252" s="360">
        <v>1112.48</v>
      </c>
      <c r="J252" s="39">
        <f t="shared" si="59"/>
        <v>0</v>
      </c>
      <c r="K252" s="309">
        <v>1.36</v>
      </c>
      <c r="L252" s="230">
        <f>K252*J549</f>
        <v>0</v>
      </c>
      <c r="M252" s="250" t="s">
        <v>541</v>
      </c>
      <c r="N252" s="140"/>
      <c r="O252" s="39">
        <f>1018-200</f>
        <v>818</v>
      </c>
      <c r="P252" s="309">
        <f t="shared" si="72"/>
        <v>1112.48</v>
      </c>
      <c r="Q252" s="51" t="str">
        <f t="shared" ref="Q252:Q315" si="75">E252</f>
        <v>Д8х4 ЭПГ111.011</v>
      </c>
      <c r="R252" s="306">
        <f t="shared" si="74"/>
        <v>2.3199999999999998</v>
      </c>
      <c r="S252" s="319">
        <v>1.93</v>
      </c>
      <c r="T252" s="353">
        <f t="shared" si="68"/>
        <v>0</v>
      </c>
      <c r="U252" s="70">
        <v>76244</v>
      </c>
      <c r="V252" s="20">
        <f t="shared" si="69"/>
        <v>0</v>
      </c>
      <c r="W252" s="52">
        <f t="shared" si="73"/>
        <v>0</v>
      </c>
      <c r="X252" s="20">
        <v>76244</v>
      </c>
      <c r="Y252" s="10">
        <v>1</v>
      </c>
    </row>
    <row r="253" spans="2:25" ht="26.25" hidden="1" customHeight="1" x14ac:dyDescent="0.25">
      <c r="B253" s="11"/>
      <c r="C253" s="6" t="s">
        <v>18</v>
      </c>
      <c r="D253" s="23" t="s">
        <v>40</v>
      </c>
      <c r="E253" s="104" t="s">
        <v>645</v>
      </c>
      <c r="F253" s="208">
        <v>1275</v>
      </c>
      <c r="G253" s="48" t="s">
        <v>0</v>
      </c>
      <c r="H253" s="39"/>
      <c r="I253" s="360"/>
      <c r="J253" s="39">
        <f t="shared" si="59"/>
        <v>0</v>
      </c>
      <c r="K253" s="309">
        <f>R253/1.4</f>
        <v>3.44</v>
      </c>
      <c r="L253" s="230"/>
      <c r="M253" s="158" t="s">
        <v>744</v>
      </c>
      <c r="N253" s="41"/>
      <c r="O253" s="503"/>
      <c r="P253" s="309"/>
      <c r="Q253" s="51" t="str">
        <f t="shared" si="75"/>
        <v>Д8х4 ЭПГ111.011МЗКТ</v>
      </c>
      <c r="R253" s="306">
        <f t="shared" si="74"/>
        <v>4.8099999999999996</v>
      </c>
      <c r="S253" s="319">
        <v>4.01</v>
      </c>
      <c r="T253" s="353">
        <f t="shared" si="68"/>
        <v>0</v>
      </c>
      <c r="U253" s="20"/>
      <c r="V253" s="20">
        <f t="shared" si="69"/>
        <v>0</v>
      </c>
      <c r="W253" s="52"/>
      <c r="X253" s="20"/>
    </row>
    <row r="254" spans="2:25" ht="26.25" hidden="1" customHeight="1" x14ac:dyDescent="0.25">
      <c r="B254" s="11"/>
      <c r="C254" s="6" t="s">
        <v>18</v>
      </c>
      <c r="D254" s="23" t="s">
        <v>40</v>
      </c>
      <c r="E254" s="1" t="s">
        <v>495</v>
      </c>
      <c r="F254" s="208">
        <v>1435</v>
      </c>
      <c r="G254" s="12" t="s">
        <v>0</v>
      </c>
      <c r="H254" s="39"/>
      <c r="I254" s="360">
        <v>0</v>
      </c>
      <c r="J254" s="39">
        <f t="shared" si="59"/>
        <v>0</v>
      </c>
      <c r="K254" s="309">
        <f>R254/1.4</f>
        <v>1.8</v>
      </c>
      <c r="L254" s="230"/>
      <c r="M254" s="250" t="s">
        <v>892</v>
      </c>
      <c r="N254" s="140"/>
      <c r="O254" s="39"/>
      <c r="P254" s="309">
        <f>K254*O254</f>
        <v>0</v>
      </c>
      <c r="Q254" s="51" t="str">
        <f t="shared" si="75"/>
        <v>Д8х10</v>
      </c>
      <c r="R254" s="377">
        <f t="shared" si="74"/>
        <v>2.52</v>
      </c>
      <c r="S254" s="319">
        <v>2.1</v>
      </c>
      <c r="T254" s="353">
        <f t="shared" si="68"/>
        <v>0</v>
      </c>
      <c r="U254" s="20"/>
      <c r="V254" s="20">
        <f t="shared" si="69"/>
        <v>0</v>
      </c>
      <c r="W254" s="52">
        <f t="shared" ref="W254:W270" si="76">X254-U254+V254</f>
        <v>0</v>
      </c>
      <c r="X254" s="20"/>
    </row>
    <row r="255" spans="2:25" ht="26.25" hidden="1" customHeight="1" x14ac:dyDescent="0.25">
      <c r="B255" s="11"/>
      <c r="C255" s="6" t="s">
        <v>18</v>
      </c>
      <c r="D255" s="23" t="s">
        <v>40</v>
      </c>
      <c r="E255" s="104" t="s">
        <v>921</v>
      </c>
      <c r="F255" s="208"/>
      <c r="G255" s="48"/>
      <c r="H255" s="39"/>
      <c r="I255" s="309">
        <v>0</v>
      </c>
      <c r="J255" s="39">
        <f t="shared" si="59"/>
        <v>0</v>
      </c>
      <c r="K255" s="309"/>
      <c r="L255" s="230"/>
      <c r="M255" s="62"/>
      <c r="N255" s="140"/>
      <c r="O255" s="39"/>
      <c r="P255" s="490">
        <f>K255*O255</f>
        <v>0</v>
      </c>
      <c r="Q255" s="262" t="str">
        <f t="shared" si="75"/>
        <v xml:space="preserve">Д7,9х10 </v>
      </c>
      <c r="R255" s="377">
        <f t="shared" si="74"/>
        <v>0</v>
      </c>
      <c r="S255" s="319">
        <v>0</v>
      </c>
      <c r="T255" s="353">
        <f t="shared" si="68"/>
        <v>0</v>
      </c>
      <c r="U255" s="70">
        <v>33</v>
      </c>
      <c r="V255" s="20">
        <f t="shared" si="69"/>
        <v>0</v>
      </c>
      <c r="W255" s="52">
        <f t="shared" si="76"/>
        <v>0</v>
      </c>
      <c r="X255" s="444">
        <v>33</v>
      </c>
    </row>
    <row r="256" spans="2:25" s="21" customFormat="1" ht="26.25" customHeight="1" x14ac:dyDescent="0.25">
      <c r="B256" s="11">
        <v>96</v>
      </c>
      <c r="C256" s="6" t="s">
        <v>18</v>
      </c>
      <c r="D256" s="23" t="s">
        <v>40</v>
      </c>
      <c r="E256" s="104" t="s">
        <v>478</v>
      </c>
      <c r="F256" s="208" t="s">
        <v>70</v>
      </c>
      <c r="G256" s="12" t="s">
        <v>0</v>
      </c>
      <c r="H256" s="40"/>
      <c r="I256" s="309">
        <v>0</v>
      </c>
      <c r="J256" s="39">
        <f t="shared" si="59"/>
        <v>1200</v>
      </c>
      <c r="K256" s="309">
        <f>R256/1.4</f>
        <v>0.51</v>
      </c>
      <c r="L256" s="230">
        <f>K256*J553</f>
        <v>0</v>
      </c>
      <c r="M256" s="277" t="s">
        <v>946</v>
      </c>
      <c r="N256" s="140">
        <v>1200</v>
      </c>
      <c r="O256" s="40"/>
      <c r="P256" s="309">
        <f>K256*O256</f>
        <v>0</v>
      </c>
      <c r="Q256" s="235" t="str">
        <f t="shared" si="75"/>
        <v>Д7,9х10</v>
      </c>
      <c r="R256" s="377">
        <f t="shared" si="74"/>
        <v>0.71</v>
      </c>
      <c r="S256" s="319">
        <v>0.59</v>
      </c>
      <c r="T256" s="353">
        <f t="shared" si="68"/>
        <v>708</v>
      </c>
      <c r="U256" s="70"/>
      <c r="V256" s="20">
        <f t="shared" si="69"/>
        <v>1200</v>
      </c>
      <c r="W256" s="52">
        <f t="shared" si="76"/>
        <v>1200</v>
      </c>
      <c r="X256" s="20"/>
    </row>
    <row r="257" spans="2:25" ht="26.25" hidden="1" customHeight="1" x14ac:dyDescent="0.25">
      <c r="B257" s="15"/>
      <c r="C257" s="6" t="s">
        <v>18</v>
      </c>
      <c r="D257" s="23" t="s">
        <v>40</v>
      </c>
      <c r="E257" s="106" t="s">
        <v>318</v>
      </c>
      <c r="F257" s="387" t="s">
        <v>437</v>
      </c>
      <c r="G257" s="48" t="s">
        <v>0</v>
      </c>
      <c r="H257" s="39"/>
      <c r="I257" s="309">
        <v>0</v>
      </c>
      <c r="J257" s="39">
        <f t="shared" si="59"/>
        <v>0</v>
      </c>
      <c r="K257" s="309">
        <f>R257/1.4</f>
        <v>3.09</v>
      </c>
      <c r="L257" s="230">
        <f>K257*J554</f>
        <v>0</v>
      </c>
      <c r="M257" s="213" t="s">
        <v>440</v>
      </c>
      <c r="N257" s="140"/>
      <c r="O257" s="39"/>
      <c r="P257" s="309">
        <f>K257*O257</f>
        <v>0</v>
      </c>
      <c r="Q257" s="235" t="str">
        <f t="shared" si="75"/>
        <v>С8,2х24 ЭПГ110.001</v>
      </c>
      <c r="R257" s="377">
        <f t="shared" si="74"/>
        <v>4.32</v>
      </c>
      <c r="S257" s="326">
        <v>3.6</v>
      </c>
      <c r="T257" s="353">
        <f t="shared" si="68"/>
        <v>0</v>
      </c>
      <c r="U257" s="430">
        <f>4615+4800</f>
        <v>9415</v>
      </c>
      <c r="V257" s="20">
        <f t="shared" si="69"/>
        <v>0</v>
      </c>
      <c r="W257" s="52">
        <f t="shared" si="76"/>
        <v>0</v>
      </c>
      <c r="X257" s="18">
        <f>4615+4800</f>
        <v>9415</v>
      </c>
      <c r="Y257" s="10">
        <v>1</v>
      </c>
    </row>
    <row r="258" spans="2:25" ht="26.25" hidden="1" customHeight="1" x14ac:dyDescent="0.25">
      <c r="B258" s="15"/>
      <c r="C258" s="6" t="s">
        <v>18</v>
      </c>
      <c r="D258" s="23" t="s">
        <v>40</v>
      </c>
      <c r="E258" s="106" t="s">
        <v>438</v>
      </c>
      <c r="F258" s="385" t="s">
        <v>58</v>
      </c>
      <c r="G258" s="13" t="s">
        <v>0</v>
      </c>
      <c r="H258" s="39"/>
      <c r="I258" s="309">
        <v>0</v>
      </c>
      <c r="J258" s="39">
        <f t="shared" si="59"/>
        <v>0</v>
      </c>
      <c r="K258" s="309">
        <f>R258/1.4</f>
        <v>3.09</v>
      </c>
      <c r="L258" s="230">
        <f>K258*J555</f>
        <v>0</v>
      </c>
      <c r="M258" s="146" t="s">
        <v>333</v>
      </c>
      <c r="N258" s="140"/>
      <c r="O258" s="39"/>
      <c r="P258" s="309">
        <f>K258*O258</f>
        <v>0</v>
      </c>
      <c r="Q258" s="263" t="str">
        <f t="shared" si="75"/>
        <v>Д8х24</v>
      </c>
      <c r="R258" s="377">
        <f t="shared" si="74"/>
        <v>4.32</v>
      </c>
      <c r="S258" s="319">
        <v>3.6</v>
      </c>
      <c r="T258" s="353">
        <f t="shared" si="68"/>
        <v>0</v>
      </c>
      <c r="U258" s="430">
        <v>735</v>
      </c>
      <c r="V258" s="20">
        <f t="shared" si="69"/>
        <v>0</v>
      </c>
      <c r="W258" s="52">
        <f t="shared" si="76"/>
        <v>0</v>
      </c>
      <c r="X258" s="18">
        <v>735</v>
      </c>
      <c r="Y258" s="10">
        <v>1</v>
      </c>
    </row>
    <row r="259" spans="2:25" ht="26.25" customHeight="1" x14ac:dyDescent="0.25">
      <c r="B259" s="11">
        <v>97</v>
      </c>
      <c r="C259" s="6" t="s">
        <v>18</v>
      </c>
      <c r="D259" s="23" t="s">
        <v>40</v>
      </c>
      <c r="E259" s="106" t="s">
        <v>288</v>
      </c>
      <c r="F259" s="383" t="s">
        <v>434</v>
      </c>
      <c r="G259" s="12" t="s">
        <v>0</v>
      </c>
      <c r="H259" s="39">
        <v>1440</v>
      </c>
      <c r="I259" s="360">
        <v>246.82</v>
      </c>
      <c r="J259" s="39">
        <f t="shared" si="59"/>
        <v>0</v>
      </c>
      <c r="K259" s="309">
        <v>0.17</v>
      </c>
      <c r="L259" s="230"/>
      <c r="M259" s="370" t="s">
        <v>520</v>
      </c>
      <c r="N259" s="141"/>
      <c r="O259" s="39">
        <v>1440</v>
      </c>
      <c r="P259" s="309">
        <f>I259</f>
        <v>246.82</v>
      </c>
      <c r="Q259" s="51" t="str">
        <f t="shared" si="75"/>
        <v>Д8х2</v>
      </c>
      <c r="R259" s="377">
        <f t="shared" si="74"/>
        <v>0.24</v>
      </c>
      <c r="S259" s="319">
        <v>0.2</v>
      </c>
      <c r="T259" s="353">
        <f t="shared" si="68"/>
        <v>0</v>
      </c>
      <c r="U259" s="70">
        <v>6</v>
      </c>
      <c r="V259" s="20">
        <f t="shared" si="69"/>
        <v>0</v>
      </c>
      <c r="W259" s="52">
        <f t="shared" si="76"/>
        <v>0</v>
      </c>
      <c r="X259" s="444">
        <v>6</v>
      </c>
    </row>
    <row r="260" spans="2:25" ht="26.25" hidden="1" customHeight="1" x14ac:dyDescent="0.25">
      <c r="B260" s="19"/>
      <c r="C260" s="6" t="s">
        <v>18</v>
      </c>
      <c r="D260" s="23" t="s">
        <v>40</v>
      </c>
      <c r="E260" s="106" t="s">
        <v>384</v>
      </c>
      <c r="F260" s="385"/>
      <c r="G260" s="48"/>
      <c r="H260" s="39"/>
      <c r="I260" s="309">
        <v>0</v>
      </c>
      <c r="J260" s="39">
        <f t="shared" si="59"/>
        <v>0</v>
      </c>
      <c r="K260" s="309">
        <f t="shared" ref="K260:K274" si="77">R260/1.4</f>
        <v>0</v>
      </c>
      <c r="L260" s="230"/>
      <c r="M260" s="72"/>
      <c r="N260" s="141"/>
      <c r="O260" s="39"/>
      <c r="P260" s="490">
        <f>K260*O260</f>
        <v>0</v>
      </c>
      <c r="Q260" s="262" t="str">
        <f t="shared" si="75"/>
        <v>Д8х2,5</v>
      </c>
      <c r="R260" s="377">
        <f t="shared" si="74"/>
        <v>0</v>
      </c>
      <c r="S260" s="319">
        <v>0</v>
      </c>
      <c r="T260" s="353">
        <f t="shared" si="68"/>
        <v>0</v>
      </c>
      <c r="U260" s="70">
        <v>5</v>
      </c>
      <c r="V260" s="20">
        <f t="shared" si="69"/>
        <v>0</v>
      </c>
      <c r="W260" s="52">
        <f t="shared" si="76"/>
        <v>0</v>
      </c>
      <c r="X260" s="444">
        <v>5</v>
      </c>
    </row>
    <row r="261" spans="2:25" ht="26.25" hidden="1" customHeight="1" x14ac:dyDescent="0.25">
      <c r="B261" s="19"/>
      <c r="C261" s="6" t="s">
        <v>18</v>
      </c>
      <c r="D261" s="23" t="s">
        <v>40</v>
      </c>
      <c r="E261" s="106" t="s">
        <v>289</v>
      </c>
      <c r="F261" s="385" t="s">
        <v>376</v>
      </c>
      <c r="G261" s="48"/>
      <c r="H261" s="39"/>
      <c r="I261" s="309">
        <v>0</v>
      </c>
      <c r="J261" s="39">
        <f t="shared" si="59"/>
        <v>0</v>
      </c>
      <c r="K261" s="309">
        <f t="shared" si="77"/>
        <v>1.29</v>
      </c>
      <c r="L261" s="230"/>
      <c r="M261" s="146" t="s">
        <v>499</v>
      </c>
      <c r="N261" s="141"/>
      <c r="O261" s="39"/>
      <c r="P261" s="309">
        <f>K261*O261</f>
        <v>0</v>
      </c>
      <c r="Q261" s="235" t="str">
        <f t="shared" si="75"/>
        <v>Д8х3</v>
      </c>
      <c r="R261" s="377">
        <f t="shared" si="74"/>
        <v>1.8</v>
      </c>
      <c r="S261" s="319">
        <v>1.5</v>
      </c>
      <c r="T261" s="353">
        <f t="shared" si="68"/>
        <v>0</v>
      </c>
      <c r="U261" s="70">
        <v>1655</v>
      </c>
      <c r="V261" s="20">
        <f t="shared" si="69"/>
        <v>0</v>
      </c>
      <c r="W261" s="52">
        <f t="shared" si="76"/>
        <v>0</v>
      </c>
      <c r="X261" s="444">
        <v>1655</v>
      </c>
    </row>
    <row r="262" spans="2:25" ht="26.25" hidden="1" customHeight="1" x14ac:dyDescent="0.25">
      <c r="B262" s="19"/>
      <c r="C262" s="6" t="s">
        <v>18</v>
      </c>
      <c r="D262" s="23" t="s">
        <v>40</v>
      </c>
      <c r="E262" s="106" t="s">
        <v>308</v>
      </c>
      <c r="F262" s="385"/>
      <c r="G262" s="48"/>
      <c r="H262" s="39"/>
      <c r="I262" s="309">
        <v>0</v>
      </c>
      <c r="J262" s="39">
        <f t="shared" si="59"/>
        <v>0</v>
      </c>
      <c r="K262" s="309">
        <f t="shared" si="77"/>
        <v>0</v>
      </c>
      <c r="L262" s="230"/>
      <c r="M262" s="72"/>
      <c r="N262" s="141"/>
      <c r="O262" s="39"/>
      <c r="P262" s="309">
        <f>K262*O262</f>
        <v>0</v>
      </c>
      <c r="Q262" s="235" t="str">
        <f t="shared" si="75"/>
        <v>Д8,2х3</v>
      </c>
      <c r="R262" s="377">
        <f t="shared" si="74"/>
        <v>0</v>
      </c>
      <c r="S262" s="339">
        <v>0</v>
      </c>
      <c r="T262" s="353">
        <f t="shared" si="68"/>
        <v>0</v>
      </c>
      <c r="U262" s="70">
        <v>1659</v>
      </c>
      <c r="V262" s="20">
        <f t="shared" si="69"/>
        <v>0</v>
      </c>
      <c r="W262" s="52">
        <f t="shared" si="76"/>
        <v>0</v>
      </c>
      <c r="X262" s="444">
        <v>1659</v>
      </c>
    </row>
    <row r="263" spans="2:25" ht="26.25" hidden="1" customHeight="1" x14ac:dyDescent="0.25">
      <c r="B263" s="19"/>
      <c r="C263" s="6" t="s">
        <v>18</v>
      </c>
      <c r="D263" s="23" t="s">
        <v>40</v>
      </c>
      <c r="E263" s="106" t="s">
        <v>819</v>
      </c>
      <c r="F263" s="385" t="s">
        <v>824</v>
      </c>
      <c r="G263" s="48"/>
      <c r="H263" s="39"/>
      <c r="I263" s="309">
        <v>0</v>
      </c>
      <c r="J263" s="39">
        <f t="shared" si="59"/>
        <v>0</v>
      </c>
      <c r="K263" s="309">
        <f t="shared" si="77"/>
        <v>14.14</v>
      </c>
      <c r="L263" s="230"/>
      <c r="M263" s="72" t="s">
        <v>836</v>
      </c>
      <c r="N263" s="141"/>
      <c r="O263" s="39"/>
      <c r="P263" s="309">
        <f>K263*O263</f>
        <v>0</v>
      </c>
      <c r="Q263" s="51" t="str">
        <f t="shared" si="75"/>
        <v>Д8,5х2,5 Магнитопласт</v>
      </c>
      <c r="R263" s="377">
        <f t="shared" si="74"/>
        <v>19.8</v>
      </c>
      <c r="S263" s="339">
        <v>16.5</v>
      </c>
      <c r="T263" s="353">
        <f t="shared" si="68"/>
        <v>0</v>
      </c>
      <c r="U263" s="20"/>
      <c r="V263" s="20">
        <f t="shared" si="69"/>
        <v>0</v>
      </c>
      <c r="W263" s="52">
        <f t="shared" si="76"/>
        <v>0</v>
      </c>
      <c r="X263" s="20"/>
    </row>
    <row r="264" spans="2:25" ht="26.25" customHeight="1" x14ac:dyDescent="0.25">
      <c r="B264" s="11">
        <v>98</v>
      </c>
      <c r="C264" s="6" t="s">
        <v>18</v>
      </c>
      <c r="D264" s="23" t="s">
        <v>40</v>
      </c>
      <c r="E264" s="107" t="s">
        <v>182</v>
      </c>
      <c r="F264" s="208" t="s">
        <v>181</v>
      </c>
      <c r="G264" s="12" t="s">
        <v>0</v>
      </c>
      <c r="H264" s="39">
        <v>348</v>
      </c>
      <c r="I264" s="360">
        <v>44.75</v>
      </c>
      <c r="J264" s="39">
        <f t="shared" si="59"/>
        <v>0</v>
      </c>
      <c r="K264" s="309">
        <f t="shared" si="77"/>
        <v>0.13</v>
      </c>
      <c r="L264" s="230">
        <f>K264*J561</f>
        <v>0</v>
      </c>
      <c r="M264" s="367"/>
      <c r="N264" s="140"/>
      <c r="O264" s="39">
        <v>348</v>
      </c>
      <c r="P264" s="309">
        <f>I264</f>
        <v>44.75</v>
      </c>
      <c r="Q264" s="51" t="str">
        <f t="shared" si="75"/>
        <v xml:space="preserve">Д9х3 </v>
      </c>
      <c r="R264" s="377">
        <f t="shared" si="74"/>
        <v>0.18</v>
      </c>
      <c r="S264" s="319">
        <v>0.15</v>
      </c>
      <c r="T264" s="353">
        <f t="shared" si="68"/>
        <v>0</v>
      </c>
      <c r="U264" s="70">
        <f>3398-52</f>
        <v>3346</v>
      </c>
      <c r="V264" s="20">
        <f t="shared" si="69"/>
        <v>0</v>
      </c>
      <c r="W264" s="52">
        <f t="shared" si="76"/>
        <v>0</v>
      </c>
      <c r="X264" s="444">
        <f>3398-52</f>
        <v>3346</v>
      </c>
    </row>
    <row r="265" spans="2:25" ht="26.25" customHeight="1" x14ac:dyDescent="0.25">
      <c r="B265" s="11">
        <v>99</v>
      </c>
      <c r="C265" s="6" t="s">
        <v>18</v>
      </c>
      <c r="D265" s="23" t="s">
        <v>40</v>
      </c>
      <c r="E265" s="107" t="s">
        <v>694</v>
      </c>
      <c r="F265" s="208">
        <v>1446</v>
      </c>
      <c r="G265" s="48"/>
      <c r="H265" s="39"/>
      <c r="I265" s="309">
        <v>0</v>
      </c>
      <c r="J265" s="39">
        <f t="shared" si="59"/>
        <v>100</v>
      </c>
      <c r="K265" s="309">
        <f t="shared" si="77"/>
        <v>1.71</v>
      </c>
      <c r="L265" s="230"/>
      <c r="M265" s="219" t="s">
        <v>945</v>
      </c>
      <c r="N265" s="140">
        <v>100</v>
      </c>
      <c r="O265" s="39"/>
      <c r="P265" s="309">
        <f t="shared" ref="P265:P273" si="78">K265*O265</f>
        <v>0</v>
      </c>
      <c r="Q265" s="262" t="str">
        <f t="shared" si="75"/>
        <v>Д9х7</v>
      </c>
      <c r="R265" s="377">
        <f t="shared" si="74"/>
        <v>2.4</v>
      </c>
      <c r="S265" s="322">
        <v>2</v>
      </c>
      <c r="T265" s="353">
        <f t="shared" si="68"/>
        <v>200</v>
      </c>
      <c r="U265" s="70">
        <v>30</v>
      </c>
      <c r="V265" s="20">
        <f t="shared" si="69"/>
        <v>100</v>
      </c>
      <c r="W265" s="52">
        <f t="shared" si="76"/>
        <v>70</v>
      </c>
      <c r="X265" s="20"/>
    </row>
    <row r="266" spans="2:25" ht="26.25" hidden="1" customHeight="1" x14ac:dyDescent="0.25">
      <c r="B266" s="19"/>
      <c r="C266" s="6" t="s">
        <v>18</v>
      </c>
      <c r="D266" s="23" t="s">
        <v>40</v>
      </c>
      <c r="E266" s="87" t="s">
        <v>230</v>
      </c>
      <c r="F266" s="393" t="s">
        <v>257</v>
      </c>
      <c r="G266" s="48" t="s">
        <v>0</v>
      </c>
      <c r="H266" s="39"/>
      <c r="I266" s="309">
        <v>0</v>
      </c>
      <c r="J266" s="39">
        <f t="shared" si="59"/>
        <v>0</v>
      </c>
      <c r="K266" s="309">
        <f t="shared" si="77"/>
        <v>2.44</v>
      </c>
      <c r="L266" s="230">
        <f>K266*J563</f>
        <v>0</v>
      </c>
      <c r="M266" s="72" t="s">
        <v>260</v>
      </c>
      <c r="N266" s="141"/>
      <c r="O266" s="513"/>
      <c r="P266" s="497">
        <f t="shared" si="78"/>
        <v>0</v>
      </c>
      <c r="Q266" s="263" t="str">
        <f t="shared" si="75"/>
        <v>Д10х0,5</v>
      </c>
      <c r="R266" s="377">
        <f t="shared" si="74"/>
        <v>3.42</v>
      </c>
      <c r="S266" s="322">
        <v>2.85</v>
      </c>
      <c r="T266" s="353">
        <f t="shared" si="68"/>
        <v>0</v>
      </c>
      <c r="U266" s="148">
        <v>1800</v>
      </c>
      <c r="V266" s="20">
        <f t="shared" si="69"/>
        <v>0</v>
      </c>
      <c r="W266" s="52">
        <f t="shared" si="76"/>
        <v>0</v>
      </c>
      <c r="X266" s="20">
        <v>1800</v>
      </c>
      <c r="Y266" s="10">
        <v>1</v>
      </c>
    </row>
    <row r="267" spans="2:25" ht="26.25" hidden="1" customHeight="1" x14ac:dyDescent="0.25">
      <c r="B267" s="19"/>
      <c r="C267" s="6" t="s">
        <v>18</v>
      </c>
      <c r="D267" s="23" t="s">
        <v>40</v>
      </c>
      <c r="E267" s="87" t="s">
        <v>231</v>
      </c>
      <c r="F267" s="385" t="s">
        <v>516</v>
      </c>
      <c r="G267" s="48" t="s">
        <v>0</v>
      </c>
      <c r="H267" s="39"/>
      <c r="I267" s="360">
        <v>0</v>
      </c>
      <c r="J267" s="39">
        <f t="shared" si="59"/>
        <v>0</v>
      </c>
      <c r="K267" s="309">
        <f t="shared" si="77"/>
        <v>0.16</v>
      </c>
      <c r="L267" s="230">
        <f>K267*J564</f>
        <v>0</v>
      </c>
      <c r="M267" s="94" t="s">
        <v>745</v>
      </c>
      <c r="N267" s="141"/>
      <c r="O267" s="39"/>
      <c r="P267" s="309">
        <f t="shared" si="78"/>
        <v>0</v>
      </c>
      <c r="Q267" s="51" t="str">
        <f t="shared" si="75"/>
        <v>Д10х1</v>
      </c>
      <c r="R267" s="377">
        <f t="shared" si="74"/>
        <v>0.22</v>
      </c>
      <c r="S267" s="319">
        <v>0.18</v>
      </c>
      <c r="T267" s="353">
        <f t="shared" si="68"/>
        <v>0</v>
      </c>
      <c r="U267" s="148">
        <f>2470-210</f>
        <v>2260</v>
      </c>
      <c r="V267" s="20">
        <f t="shared" si="69"/>
        <v>0</v>
      </c>
      <c r="W267" s="52">
        <f t="shared" si="76"/>
        <v>0</v>
      </c>
      <c r="X267" s="20">
        <f>2470-210</f>
        <v>2260</v>
      </c>
      <c r="Y267" s="10">
        <v>1</v>
      </c>
    </row>
    <row r="268" spans="2:25" ht="26.25" hidden="1" customHeight="1" x14ac:dyDescent="0.25">
      <c r="B268" s="19"/>
      <c r="C268" s="6" t="s">
        <v>18</v>
      </c>
      <c r="D268" s="23" t="s">
        <v>40</v>
      </c>
      <c r="E268" s="87" t="s">
        <v>287</v>
      </c>
      <c r="F268" s="383" t="s">
        <v>378</v>
      </c>
      <c r="G268" s="12" t="s">
        <v>0</v>
      </c>
      <c r="H268" s="39"/>
      <c r="I268" s="309">
        <v>0</v>
      </c>
      <c r="J268" s="39">
        <f t="shared" si="59"/>
        <v>0</v>
      </c>
      <c r="K268" s="309">
        <f t="shared" si="77"/>
        <v>0.21</v>
      </c>
      <c r="L268" s="230"/>
      <c r="M268" s="215" t="s">
        <v>894</v>
      </c>
      <c r="N268" s="141"/>
      <c r="O268" s="39"/>
      <c r="P268" s="309">
        <f t="shared" si="78"/>
        <v>0</v>
      </c>
      <c r="Q268" s="51" t="str">
        <f t="shared" si="75"/>
        <v>Д10х2</v>
      </c>
      <c r="R268" s="377">
        <f t="shared" si="74"/>
        <v>0.3</v>
      </c>
      <c r="S268" s="319">
        <v>0.25</v>
      </c>
      <c r="T268" s="353">
        <f t="shared" si="68"/>
        <v>0</v>
      </c>
      <c r="U268" s="148">
        <f>2090*4+1570</f>
        <v>9930</v>
      </c>
      <c r="V268" s="20">
        <f t="shared" si="69"/>
        <v>0</v>
      </c>
      <c r="W268" s="52">
        <f t="shared" si="76"/>
        <v>0</v>
      </c>
      <c r="X268" s="20">
        <f>2090*4+1570</f>
        <v>9930</v>
      </c>
      <c r="Y268" s="10">
        <v>1</v>
      </c>
    </row>
    <row r="269" spans="2:25" ht="26.25" hidden="1" customHeight="1" x14ac:dyDescent="0.25">
      <c r="B269" s="14"/>
      <c r="C269" s="6" t="s">
        <v>18</v>
      </c>
      <c r="D269" s="23" t="s">
        <v>40</v>
      </c>
      <c r="E269" s="106" t="s">
        <v>151</v>
      </c>
      <c r="F269" s="526">
        <v>606</v>
      </c>
      <c r="G269" s="48" t="s">
        <v>0</v>
      </c>
      <c r="H269" s="39"/>
      <c r="I269" s="360">
        <v>0</v>
      </c>
      <c r="J269" s="39">
        <f t="shared" si="59"/>
        <v>0</v>
      </c>
      <c r="K269" s="309">
        <f t="shared" si="77"/>
        <v>1.8</v>
      </c>
      <c r="L269" s="230">
        <f>K269*J566</f>
        <v>0</v>
      </c>
      <c r="M269" s="250" t="s">
        <v>895</v>
      </c>
      <c r="N269" s="140"/>
      <c r="O269" s="39"/>
      <c r="P269" s="309">
        <f t="shared" si="78"/>
        <v>0</v>
      </c>
      <c r="Q269" s="51" t="str">
        <f t="shared" si="75"/>
        <v>Д10х3</v>
      </c>
      <c r="R269" s="306">
        <f t="shared" si="74"/>
        <v>2.52</v>
      </c>
      <c r="S269" s="339">
        <v>2.1</v>
      </c>
      <c r="T269" s="353">
        <f t="shared" ref="T269:T300" si="79">S269*J269</f>
        <v>0</v>
      </c>
      <c r="U269" s="70">
        <f>5864-10-240-100-100</f>
        <v>5414</v>
      </c>
      <c r="V269" s="20">
        <f t="shared" si="69"/>
        <v>0</v>
      </c>
      <c r="W269" s="52">
        <f t="shared" si="76"/>
        <v>0</v>
      </c>
      <c r="X269" s="20">
        <f>5864-10-240-100-100</f>
        <v>5414</v>
      </c>
      <c r="Y269" s="10">
        <v>1</v>
      </c>
    </row>
    <row r="270" spans="2:25" ht="26.25" hidden="1" customHeight="1" x14ac:dyDescent="0.25">
      <c r="B270" s="14"/>
      <c r="C270" s="6" t="s">
        <v>18</v>
      </c>
      <c r="D270" s="23" t="s">
        <v>40</v>
      </c>
      <c r="E270" s="106" t="s">
        <v>524</v>
      </c>
      <c r="F270" s="386">
        <v>1181</v>
      </c>
      <c r="G270" s="48"/>
      <c r="H270" s="39"/>
      <c r="I270" s="309">
        <v>0</v>
      </c>
      <c r="J270" s="39">
        <f t="shared" si="59"/>
        <v>0</v>
      </c>
      <c r="K270" s="309">
        <f t="shared" si="77"/>
        <v>4.29</v>
      </c>
      <c r="L270" s="230"/>
      <c r="M270" s="250" t="s">
        <v>615</v>
      </c>
      <c r="N270" s="140"/>
      <c r="O270" s="489"/>
      <c r="P270" s="490">
        <f t="shared" si="78"/>
        <v>0</v>
      </c>
      <c r="Q270" s="441" t="str">
        <f t="shared" si="75"/>
        <v>Д10*12</v>
      </c>
      <c r="R270" s="377">
        <f t="shared" si="74"/>
        <v>6</v>
      </c>
      <c r="S270" s="339">
        <v>5</v>
      </c>
      <c r="T270" s="353">
        <f t="shared" si="79"/>
        <v>0</v>
      </c>
      <c r="U270" s="70">
        <v>22</v>
      </c>
      <c r="V270" s="20">
        <f t="shared" si="69"/>
        <v>0</v>
      </c>
      <c r="W270" s="52">
        <f t="shared" si="76"/>
        <v>0</v>
      </c>
      <c r="X270" s="20">
        <v>22</v>
      </c>
      <c r="Y270" s="10">
        <v>1</v>
      </c>
    </row>
    <row r="271" spans="2:25" ht="26.25" hidden="1" customHeight="1" x14ac:dyDescent="0.25">
      <c r="B271" s="14"/>
      <c r="C271" s="6" t="s">
        <v>18</v>
      </c>
      <c r="D271" s="23" t="s">
        <v>40</v>
      </c>
      <c r="E271" s="106" t="s">
        <v>855</v>
      </c>
      <c r="F271" s="386">
        <v>1333</v>
      </c>
      <c r="G271" s="12" t="s">
        <v>0</v>
      </c>
      <c r="H271" s="39"/>
      <c r="I271" s="309">
        <v>0</v>
      </c>
      <c r="J271" s="39"/>
      <c r="K271" s="309">
        <f t="shared" si="77"/>
        <v>5.14</v>
      </c>
      <c r="L271" s="230"/>
      <c r="M271" s="250"/>
      <c r="N271" s="140"/>
      <c r="O271" s="39"/>
      <c r="P271" s="309">
        <f t="shared" si="78"/>
        <v>0</v>
      </c>
      <c r="Q271" s="51" t="str">
        <f t="shared" si="75"/>
        <v>Д10х14,5</v>
      </c>
      <c r="R271" s="377">
        <f t="shared" si="74"/>
        <v>7.2</v>
      </c>
      <c r="S271" s="339">
        <v>6</v>
      </c>
      <c r="T271" s="353">
        <f t="shared" si="79"/>
        <v>0</v>
      </c>
      <c r="U271" s="70">
        <v>10</v>
      </c>
      <c r="V271" s="20"/>
      <c r="W271" s="52"/>
      <c r="X271" s="20">
        <v>10</v>
      </c>
      <c r="Y271" s="10">
        <v>1</v>
      </c>
    </row>
    <row r="272" spans="2:25" ht="26.25" hidden="1" customHeight="1" x14ac:dyDescent="0.25">
      <c r="B272" s="14"/>
      <c r="C272" s="6" t="s">
        <v>18</v>
      </c>
      <c r="D272" s="23" t="s">
        <v>40</v>
      </c>
      <c r="E272" s="1" t="s">
        <v>643</v>
      </c>
      <c r="F272" s="386">
        <v>893</v>
      </c>
      <c r="G272" s="48"/>
      <c r="H272" s="39"/>
      <c r="I272" s="309">
        <v>0</v>
      </c>
      <c r="J272" s="39">
        <f t="shared" ref="J272:J296" si="80">N272+O272-H272</f>
        <v>0</v>
      </c>
      <c r="K272" s="309">
        <f t="shared" si="77"/>
        <v>5.4</v>
      </c>
      <c r="L272" s="230">
        <f>K272*J568</f>
        <v>0</v>
      </c>
      <c r="M272" s="99" t="s">
        <v>410</v>
      </c>
      <c r="N272" s="140"/>
      <c r="O272" s="39"/>
      <c r="P272" s="467">
        <f t="shared" si="78"/>
        <v>0</v>
      </c>
      <c r="Q272" s="404" t="str">
        <f t="shared" si="75"/>
        <v>Д11х12</v>
      </c>
      <c r="R272" s="377">
        <f t="shared" si="74"/>
        <v>7.56</v>
      </c>
      <c r="S272" s="319">
        <v>6.3</v>
      </c>
      <c r="T272" s="353">
        <f t="shared" si="79"/>
        <v>0</v>
      </c>
      <c r="U272" s="70">
        <v>11</v>
      </c>
      <c r="V272" s="20">
        <f t="shared" ref="V272:V296" si="81">N272</f>
        <v>0</v>
      </c>
      <c r="W272" s="52">
        <f>X272-U272+V272</f>
        <v>0</v>
      </c>
      <c r="X272" s="444">
        <v>11</v>
      </c>
    </row>
    <row r="273" spans="1:25" ht="26.25" hidden="1" customHeight="1" x14ac:dyDescent="0.25">
      <c r="B273" s="14"/>
      <c r="C273" s="6" t="s">
        <v>18</v>
      </c>
      <c r="D273" s="23" t="s">
        <v>40</v>
      </c>
      <c r="E273" s="87" t="s">
        <v>514</v>
      </c>
      <c r="F273" s="386">
        <v>1126</v>
      </c>
      <c r="G273" s="48"/>
      <c r="H273" s="39"/>
      <c r="I273" s="309">
        <v>0</v>
      </c>
      <c r="J273" s="39">
        <f t="shared" si="80"/>
        <v>0</v>
      </c>
      <c r="K273" s="309">
        <f t="shared" si="77"/>
        <v>42</v>
      </c>
      <c r="L273" s="230">
        <f>K273*J569</f>
        <v>0</v>
      </c>
      <c r="M273" s="215"/>
      <c r="N273" s="140"/>
      <c r="O273" s="39"/>
      <c r="P273" s="309">
        <f t="shared" si="78"/>
        <v>0</v>
      </c>
      <c r="Q273" s="263" t="str">
        <f t="shared" si="75"/>
        <v>Д12х2</v>
      </c>
      <c r="R273" s="377">
        <f t="shared" si="74"/>
        <v>58.8</v>
      </c>
      <c r="S273" s="322">
        <v>49</v>
      </c>
      <c r="T273" s="353">
        <f t="shared" si="79"/>
        <v>0</v>
      </c>
      <c r="U273" s="70">
        <v>100</v>
      </c>
      <c r="V273" s="20">
        <f t="shared" si="81"/>
        <v>0</v>
      </c>
      <c r="W273" s="52">
        <f>X273-U273+V273</f>
        <v>0</v>
      </c>
      <c r="X273" s="444">
        <v>100</v>
      </c>
    </row>
    <row r="274" spans="1:25" ht="26.25" hidden="1" customHeight="1" x14ac:dyDescent="0.25">
      <c r="B274" s="11"/>
      <c r="C274" s="6" t="s">
        <v>18</v>
      </c>
      <c r="D274" s="23" t="s">
        <v>40</v>
      </c>
      <c r="E274" s="104" t="s">
        <v>214</v>
      </c>
      <c r="F274" s="210">
        <v>735</v>
      </c>
      <c r="G274" s="48" t="s">
        <v>0</v>
      </c>
      <c r="H274" s="39"/>
      <c r="I274" s="360"/>
      <c r="J274" s="39">
        <f t="shared" si="80"/>
        <v>0</v>
      </c>
      <c r="K274" s="309">
        <f t="shared" si="77"/>
        <v>2.14</v>
      </c>
      <c r="L274" s="230">
        <f>K274*J570</f>
        <v>0</v>
      </c>
      <c r="M274" s="215" t="s">
        <v>627</v>
      </c>
      <c r="N274" s="140"/>
      <c r="O274" s="39"/>
      <c r="P274" s="360"/>
      <c r="Q274" s="51" t="str">
        <f t="shared" si="75"/>
        <v>Д11х5</v>
      </c>
      <c r="R274" s="377">
        <f t="shared" si="74"/>
        <v>3</v>
      </c>
      <c r="S274" s="319">
        <v>2.5</v>
      </c>
      <c r="T274" s="353">
        <f t="shared" si="79"/>
        <v>0</v>
      </c>
      <c r="U274" s="70">
        <f>532*17+80+40+109+3588</f>
        <v>12861</v>
      </c>
      <c r="V274" s="20">
        <f t="shared" si="81"/>
        <v>0</v>
      </c>
      <c r="W274" s="52">
        <f>X274-U274+V274</f>
        <v>0</v>
      </c>
      <c r="X274" s="20">
        <f>532*17+80+40+109+3588</f>
        <v>12861</v>
      </c>
      <c r="Y274" s="10">
        <v>1</v>
      </c>
    </row>
    <row r="275" spans="1:25" ht="26.25" hidden="1" customHeight="1" x14ac:dyDescent="0.25">
      <c r="B275" s="11"/>
      <c r="C275" s="6" t="s">
        <v>18</v>
      </c>
      <c r="D275" s="23" t="s">
        <v>40</v>
      </c>
      <c r="E275" s="87" t="s">
        <v>663</v>
      </c>
      <c r="F275" s="210"/>
      <c r="G275" s="48"/>
      <c r="H275" s="39"/>
      <c r="I275" s="360"/>
      <c r="J275" s="39">
        <f t="shared" si="80"/>
        <v>0</v>
      </c>
      <c r="K275" s="309"/>
      <c r="L275" s="230"/>
      <c r="M275" s="215"/>
      <c r="N275" s="140"/>
      <c r="O275" s="39"/>
      <c r="P275" s="468"/>
      <c r="Q275" s="442" t="str">
        <f t="shared" si="75"/>
        <v>Д11,9х3,3</v>
      </c>
      <c r="R275" s="377"/>
      <c r="S275" s="326"/>
      <c r="T275" s="353">
        <f t="shared" si="79"/>
        <v>0</v>
      </c>
      <c r="U275" s="70">
        <v>6</v>
      </c>
      <c r="V275" s="20">
        <f t="shared" si="81"/>
        <v>0</v>
      </c>
      <c r="W275" s="52"/>
      <c r="X275" s="444">
        <v>6</v>
      </c>
    </row>
    <row r="276" spans="1:25" ht="26.25" hidden="1" customHeight="1" x14ac:dyDescent="0.25">
      <c r="B276" s="19"/>
      <c r="C276" s="6" t="s">
        <v>18</v>
      </c>
      <c r="D276" s="23" t="s">
        <v>40</v>
      </c>
      <c r="E276" s="87" t="s">
        <v>290</v>
      </c>
      <c r="F276" s="385" t="s">
        <v>369</v>
      </c>
      <c r="G276" s="48"/>
      <c r="H276" s="39"/>
      <c r="I276" s="360">
        <v>0</v>
      </c>
      <c r="J276" s="39">
        <f t="shared" si="80"/>
        <v>0</v>
      </c>
      <c r="K276" s="309">
        <f t="shared" ref="K276:K286" si="82">R276/1.4</f>
        <v>2.23</v>
      </c>
      <c r="L276" s="230">
        <f>K276*J572</f>
        <v>0</v>
      </c>
      <c r="M276" s="215" t="s">
        <v>746</v>
      </c>
      <c r="N276" s="141"/>
      <c r="O276" s="39"/>
      <c r="P276" s="309">
        <f>K276*O276</f>
        <v>0</v>
      </c>
      <c r="Q276" s="51" t="str">
        <f t="shared" si="75"/>
        <v>Д12х3</v>
      </c>
      <c r="R276" s="377">
        <f t="shared" ref="R276:R291" si="83">S276*1.2</f>
        <v>3.12</v>
      </c>
      <c r="S276" s="326">
        <v>2.6</v>
      </c>
      <c r="T276" s="353">
        <f t="shared" si="79"/>
        <v>0</v>
      </c>
      <c r="U276" s="70">
        <v>235</v>
      </c>
      <c r="V276" s="20">
        <f t="shared" si="81"/>
        <v>0</v>
      </c>
      <c r="W276" s="52">
        <f t="shared" ref="W276:W292" si="84">X276-U276+V276</f>
        <v>-15</v>
      </c>
      <c r="X276" s="444">
        <v>220</v>
      </c>
    </row>
    <row r="277" spans="1:25" ht="26.25" hidden="1" customHeight="1" x14ac:dyDescent="0.25">
      <c r="B277" s="19"/>
      <c r="C277" s="6" t="s">
        <v>18</v>
      </c>
      <c r="D277" s="23" t="s">
        <v>40</v>
      </c>
      <c r="E277" s="1" t="s">
        <v>513</v>
      </c>
      <c r="F277" s="385" t="s">
        <v>517</v>
      </c>
      <c r="G277" s="48" t="s">
        <v>0</v>
      </c>
      <c r="H277" s="39"/>
      <c r="I277" s="360">
        <v>0</v>
      </c>
      <c r="J277" s="39">
        <f t="shared" si="80"/>
        <v>0</v>
      </c>
      <c r="K277" s="309">
        <f t="shared" si="82"/>
        <v>7.59</v>
      </c>
      <c r="L277" s="230">
        <f>K277*J573</f>
        <v>0</v>
      </c>
      <c r="M277" s="370" t="s">
        <v>521</v>
      </c>
      <c r="N277" s="141"/>
      <c r="O277" s="39"/>
      <c r="P277" s="467">
        <f>K277*O277</f>
        <v>0</v>
      </c>
      <c r="Q277" s="262" t="str">
        <f t="shared" si="75"/>
        <v>д12х4 нжб1200-150</v>
      </c>
      <c r="R277" s="377">
        <f t="shared" si="83"/>
        <v>10.62</v>
      </c>
      <c r="S277" s="322">
        <v>8.85</v>
      </c>
      <c r="T277" s="353">
        <f t="shared" si="79"/>
        <v>0</v>
      </c>
      <c r="U277" s="70">
        <v>4</v>
      </c>
      <c r="V277" s="20">
        <f t="shared" si="81"/>
        <v>0</v>
      </c>
      <c r="W277" s="52">
        <f t="shared" si="84"/>
        <v>0</v>
      </c>
      <c r="X277" s="444">
        <v>4</v>
      </c>
    </row>
    <row r="278" spans="1:25" ht="26.25" hidden="1" customHeight="1" x14ac:dyDescent="0.25">
      <c r="B278" s="19"/>
      <c r="C278" s="6" t="s">
        <v>18</v>
      </c>
      <c r="D278" s="23" t="s">
        <v>40</v>
      </c>
      <c r="E278" s="1" t="s">
        <v>766</v>
      </c>
      <c r="F278" s="385"/>
      <c r="G278" s="48"/>
      <c r="H278" s="39"/>
      <c r="I278" s="360"/>
      <c r="J278" s="39">
        <f t="shared" si="80"/>
        <v>0</v>
      </c>
      <c r="K278" s="309">
        <f t="shared" si="82"/>
        <v>0</v>
      </c>
      <c r="L278" s="230"/>
      <c r="M278" s="370"/>
      <c r="N278" s="141"/>
      <c r="O278" s="39"/>
      <c r="P278" s="360"/>
      <c r="Q278" s="262" t="str">
        <f t="shared" si="75"/>
        <v>Д12х12</v>
      </c>
      <c r="R278" s="377">
        <f t="shared" si="83"/>
        <v>0</v>
      </c>
      <c r="S278" s="322"/>
      <c r="T278" s="353">
        <f t="shared" si="79"/>
        <v>0</v>
      </c>
      <c r="U278" s="70">
        <v>111</v>
      </c>
      <c r="V278" s="20">
        <f t="shared" si="81"/>
        <v>0</v>
      </c>
      <c r="W278" s="52">
        <f t="shared" si="84"/>
        <v>0</v>
      </c>
      <c r="X278" s="444">
        <v>111</v>
      </c>
    </row>
    <row r="279" spans="1:25" ht="26.25" hidden="1" customHeight="1" x14ac:dyDescent="0.25">
      <c r="B279" s="19"/>
      <c r="C279" s="6" t="s">
        <v>18</v>
      </c>
      <c r="D279" s="23" t="s">
        <v>40</v>
      </c>
      <c r="E279" s="1" t="s">
        <v>561</v>
      </c>
      <c r="F279" s="385"/>
      <c r="G279" s="48"/>
      <c r="H279" s="39"/>
      <c r="I279" s="360"/>
      <c r="J279" s="39">
        <f t="shared" si="80"/>
        <v>0</v>
      </c>
      <c r="K279" s="309">
        <f t="shared" si="82"/>
        <v>0</v>
      </c>
      <c r="L279" s="230"/>
      <c r="M279" s="370"/>
      <c r="N279" s="141"/>
      <c r="O279" s="39"/>
      <c r="P279" s="360"/>
      <c r="Q279" s="262" t="str">
        <f t="shared" si="75"/>
        <v>Д12х5</v>
      </c>
      <c r="R279" s="377">
        <f t="shared" si="83"/>
        <v>0</v>
      </c>
      <c r="S279" s="322"/>
      <c r="T279" s="353">
        <f t="shared" si="79"/>
        <v>0</v>
      </c>
      <c r="U279" s="70">
        <v>1</v>
      </c>
      <c r="V279" s="20">
        <f t="shared" si="81"/>
        <v>0</v>
      </c>
      <c r="W279" s="52">
        <f t="shared" si="84"/>
        <v>0</v>
      </c>
      <c r="X279" s="20">
        <v>1</v>
      </c>
      <c r="Y279" s="10">
        <v>1</v>
      </c>
    </row>
    <row r="280" spans="1:25" ht="26.25" hidden="1" customHeight="1" x14ac:dyDescent="0.25">
      <c r="B280" s="19"/>
      <c r="C280" s="6" t="s">
        <v>18</v>
      </c>
      <c r="D280" s="23" t="s">
        <v>40</v>
      </c>
      <c r="E280" s="1" t="s">
        <v>562</v>
      </c>
      <c r="F280" s="385"/>
      <c r="G280" s="48"/>
      <c r="H280" s="39"/>
      <c r="I280" s="360"/>
      <c r="J280" s="39">
        <f t="shared" si="80"/>
        <v>0</v>
      </c>
      <c r="K280" s="309">
        <f t="shared" si="82"/>
        <v>0</v>
      </c>
      <c r="L280" s="230"/>
      <c r="M280" s="370"/>
      <c r="N280" s="141"/>
      <c r="O280" s="39"/>
      <c r="P280" s="468"/>
      <c r="Q280" s="264" t="str">
        <f t="shared" si="75"/>
        <v>Д12х25</v>
      </c>
      <c r="R280" s="377">
        <f t="shared" si="83"/>
        <v>0</v>
      </c>
      <c r="S280" s="322"/>
      <c r="T280" s="353">
        <f t="shared" si="79"/>
        <v>0</v>
      </c>
      <c r="U280" s="70">
        <v>10</v>
      </c>
      <c r="V280" s="20">
        <f t="shared" si="81"/>
        <v>0</v>
      </c>
      <c r="W280" s="52">
        <f t="shared" si="84"/>
        <v>0</v>
      </c>
      <c r="X280" s="20">
        <v>10</v>
      </c>
      <c r="Y280" s="10">
        <v>1</v>
      </c>
    </row>
    <row r="281" spans="1:25" ht="26.25" hidden="1" customHeight="1" x14ac:dyDescent="0.25">
      <c r="B281" s="19"/>
      <c r="C281" s="6" t="s">
        <v>18</v>
      </c>
      <c r="D281" s="23" t="s">
        <v>40</v>
      </c>
      <c r="E281" s="1" t="s">
        <v>729</v>
      </c>
      <c r="F281" s="385" t="s">
        <v>733</v>
      </c>
      <c r="G281" s="48"/>
      <c r="H281" s="39"/>
      <c r="I281" s="360"/>
      <c r="J281" s="39">
        <f t="shared" si="80"/>
        <v>0</v>
      </c>
      <c r="K281" s="309">
        <f t="shared" si="82"/>
        <v>5.57</v>
      </c>
      <c r="L281" s="230"/>
      <c r="M281" s="215" t="s">
        <v>747</v>
      </c>
      <c r="N281" s="141"/>
      <c r="O281" s="39"/>
      <c r="P281" s="309"/>
      <c r="Q281" s="51" t="str">
        <f t="shared" si="75"/>
        <v>Д13,5х4 б/п</v>
      </c>
      <c r="R281" s="377">
        <f t="shared" si="83"/>
        <v>7.8</v>
      </c>
      <c r="S281" s="322">
        <v>6.5</v>
      </c>
      <c r="T281" s="353">
        <f t="shared" si="79"/>
        <v>0</v>
      </c>
      <c r="U281" s="70">
        <v>8</v>
      </c>
      <c r="V281" s="20">
        <f t="shared" si="81"/>
        <v>0</v>
      </c>
      <c r="W281" s="52">
        <f t="shared" si="84"/>
        <v>0</v>
      </c>
      <c r="X281" s="20">
        <v>8</v>
      </c>
      <c r="Y281" s="10">
        <v>1</v>
      </c>
    </row>
    <row r="282" spans="1:25" s="4" customFormat="1" ht="33" hidden="1" customHeight="1" x14ac:dyDescent="0.25">
      <c r="A282" s="10"/>
      <c r="B282" s="19"/>
      <c r="C282" s="6" t="s">
        <v>18</v>
      </c>
      <c r="D282" s="23" t="s">
        <v>40</v>
      </c>
      <c r="E282" s="87" t="s">
        <v>765</v>
      </c>
      <c r="F282" s="385"/>
      <c r="G282" s="48"/>
      <c r="H282" s="39"/>
      <c r="I282" s="309">
        <v>0</v>
      </c>
      <c r="J282" s="39">
        <f t="shared" si="80"/>
        <v>0</v>
      </c>
      <c r="K282" s="309">
        <f t="shared" si="82"/>
        <v>4.84</v>
      </c>
      <c r="L282" s="230"/>
      <c r="M282" s="250" t="s">
        <v>681</v>
      </c>
      <c r="N282" s="141"/>
      <c r="O282" s="503"/>
      <c r="P282" s="490">
        <f>K282*O282</f>
        <v>0</v>
      </c>
      <c r="Q282" s="262" t="str">
        <f t="shared" si="75"/>
        <v>Д14,5х4(Химволокно)</v>
      </c>
      <c r="R282" s="377">
        <f t="shared" si="83"/>
        <v>6.78</v>
      </c>
      <c r="S282" s="319">
        <v>5.65</v>
      </c>
      <c r="T282" s="353">
        <f t="shared" si="79"/>
        <v>0</v>
      </c>
      <c r="U282" s="70">
        <v>42</v>
      </c>
      <c r="V282" s="20">
        <f t="shared" si="81"/>
        <v>0</v>
      </c>
      <c r="W282" s="52">
        <f t="shared" si="84"/>
        <v>0</v>
      </c>
      <c r="X282" s="20">
        <v>42</v>
      </c>
      <c r="Y282" s="4">
        <v>1</v>
      </c>
    </row>
    <row r="283" spans="1:25" s="4" customFormat="1" ht="26.25" hidden="1" customHeight="1" x14ac:dyDescent="0.25">
      <c r="A283" s="10"/>
      <c r="B283" s="19"/>
      <c r="C283" s="6" t="s">
        <v>18</v>
      </c>
      <c r="D283" s="23" t="s">
        <v>40</v>
      </c>
      <c r="E283" s="463" t="s">
        <v>373</v>
      </c>
      <c r="F283" s="398">
        <v>945</v>
      </c>
      <c r="G283" s="48"/>
      <c r="H283" s="39"/>
      <c r="I283" s="360">
        <v>0</v>
      </c>
      <c r="J283" s="39">
        <f t="shared" si="80"/>
        <v>0</v>
      </c>
      <c r="K283" s="309">
        <f t="shared" si="82"/>
        <v>4.54</v>
      </c>
      <c r="L283" s="230"/>
      <c r="M283" s="155" t="s">
        <v>896</v>
      </c>
      <c r="N283" s="141"/>
      <c r="O283" s="547"/>
      <c r="P283" s="497">
        <f>K283*O283</f>
        <v>0</v>
      </c>
      <c r="Q283" s="263" t="str">
        <f t="shared" si="75"/>
        <v>Д20х6</v>
      </c>
      <c r="R283" s="306">
        <f t="shared" si="83"/>
        <v>6.36</v>
      </c>
      <c r="S283" s="319">
        <v>5.3</v>
      </c>
      <c r="T283" s="353">
        <f t="shared" si="79"/>
        <v>0</v>
      </c>
      <c r="U283" s="20"/>
      <c r="V283" s="20">
        <f t="shared" si="81"/>
        <v>0</v>
      </c>
      <c r="W283" s="52">
        <f t="shared" si="84"/>
        <v>0</v>
      </c>
      <c r="X283" s="20"/>
    </row>
    <row r="284" spans="1:25" ht="32.25" hidden="1" customHeight="1" x14ac:dyDescent="0.25">
      <c r="B284" s="19"/>
      <c r="C284" s="6" t="s">
        <v>18</v>
      </c>
      <c r="D284" s="23" t="s">
        <v>40</v>
      </c>
      <c r="E284" s="87" t="s">
        <v>901</v>
      </c>
      <c r="F284" s="398"/>
      <c r="G284" s="48"/>
      <c r="H284" s="39"/>
      <c r="I284" s="360"/>
      <c r="J284" s="39">
        <f t="shared" si="80"/>
        <v>0</v>
      </c>
      <c r="K284" s="309">
        <f t="shared" si="82"/>
        <v>8.14</v>
      </c>
      <c r="L284" s="230"/>
      <c r="M284" s="250" t="s">
        <v>683</v>
      </c>
      <c r="N284" s="141"/>
      <c r="O284" s="39"/>
      <c r="P284" s="309"/>
      <c r="Q284" s="51" t="str">
        <f t="shared" si="75"/>
        <v>Д2Ох5</v>
      </c>
      <c r="R284" s="306">
        <f t="shared" si="83"/>
        <v>11.4</v>
      </c>
      <c r="S284" s="326">
        <v>9.5</v>
      </c>
      <c r="T284" s="353">
        <f t="shared" si="79"/>
        <v>0</v>
      </c>
      <c r="U284" s="20"/>
      <c r="V284" s="20">
        <f t="shared" si="81"/>
        <v>0</v>
      </c>
      <c r="W284" s="52">
        <f t="shared" si="84"/>
        <v>256</v>
      </c>
      <c r="X284" s="20">
        <v>256</v>
      </c>
      <c r="Y284" s="10">
        <v>1</v>
      </c>
    </row>
    <row r="285" spans="1:25" ht="26.25" hidden="1" customHeight="1" x14ac:dyDescent="0.25">
      <c r="B285" s="15"/>
      <c r="C285" s="6" t="s">
        <v>18</v>
      </c>
      <c r="D285" s="23" t="s">
        <v>40</v>
      </c>
      <c r="E285" s="87" t="s">
        <v>869</v>
      </c>
      <c r="F285" s="386">
        <v>1253</v>
      </c>
      <c r="G285" s="12" t="s">
        <v>0</v>
      </c>
      <c r="H285" s="39">
        <v>0</v>
      </c>
      <c r="I285" s="309">
        <v>0</v>
      </c>
      <c r="J285" s="39">
        <f t="shared" si="80"/>
        <v>0</v>
      </c>
      <c r="K285" s="309">
        <f t="shared" si="82"/>
        <v>2.31</v>
      </c>
      <c r="L285" s="230">
        <f>K285*J581</f>
        <v>0</v>
      </c>
      <c r="M285" s="99" t="s">
        <v>171</v>
      </c>
      <c r="N285" s="140"/>
      <c r="O285" s="489">
        <v>0</v>
      </c>
      <c r="P285" s="490">
        <f t="shared" ref="P285:P291" si="85">K285*O285</f>
        <v>0</v>
      </c>
      <c r="Q285" s="264" t="str">
        <f t="shared" si="75"/>
        <v>Д20х10</v>
      </c>
      <c r="R285" s="377">
        <f t="shared" si="83"/>
        <v>3.23</v>
      </c>
      <c r="S285" s="326">
        <v>2.69</v>
      </c>
      <c r="T285" s="353">
        <f t="shared" si="79"/>
        <v>0</v>
      </c>
      <c r="U285" s="147">
        <v>37</v>
      </c>
      <c r="V285" s="20">
        <f t="shared" si="81"/>
        <v>0</v>
      </c>
      <c r="W285" s="52">
        <f t="shared" si="84"/>
        <v>0</v>
      </c>
      <c r="X285" s="18">
        <v>37</v>
      </c>
      <c r="Y285" s="10">
        <v>1</v>
      </c>
    </row>
    <row r="286" spans="1:25" ht="26.25" hidden="1" customHeight="1" x14ac:dyDescent="0.25">
      <c r="B286" s="11"/>
      <c r="C286" s="6" t="s">
        <v>18</v>
      </c>
      <c r="D286" s="23" t="s">
        <v>40</v>
      </c>
      <c r="E286" s="107" t="s">
        <v>583</v>
      </c>
      <c r="F286" s="210">
        <v>1359</v>
      </c>
      <c r="G286" s="14" t="s">
        <v>0</v>
      </c>
      <c r="H286" s="39"/>
      <c r="I286" s="360">
        <v>0</v>
      </c>
      <c r="J286" s="39">
        <f t="shared" si="80"/>
        <v>0</v>
      </c>
      <c r="K286" s="309">
        <f t="shared" si="82"/>
        <v>6.77</v>
      </c>
      <c r="L286" s="230">
        <f>K286*J582</f>
        <v>0</v>
      </c>
      <c r="M286" s="94" t="s">
        <v>608</v>
      </c>
      <c r="N286" s="140"/>
      <c r="O286" s="39"/>
      <c r="P286" s="360">
        <f t="shared" si="85"/>
        <v>0</v>
      </c>
      <c r="Q286" s="51" t="str">
        <f t="shared" si="75"/>
        <v>30М.14.2990.011(Д19,8х6)</v>
      </c>
      <c r="R286" s="377">
        <f t="shared" si="83"/>
        <v>9.48</v>
      </c>
      <c r="S286" s="324">
        <v>7.9</v>
      </c>
      <c r="T286" s="353">
        <f t="shared" si="79"/>
        <v>0</v>
      </c>
      <c r="U286" s="430">
        <v>49</v>
      </c>
      <c r="V286" s="20">
        <f t="shared" si="81"/>
        <v>0</v>
      </c>
      <c r="W286" s="52">
        <f t="shared" si="84"/>
        <v>0</v>
      </c>
      <c r="X286" s="18">
        <v>49</v>
      </c>
      <c r="Y286" s="10">
        <v>1</v>
      </c>
    </row>
    <row r="287" spans="1:25" ht="26.25" hidden="1" customHeight="1" x14ac:dyDescent="0.25">
      <c r="B287" s="11"/>
      <c r="C287" s="6" t="s">
        <v>18</v>
      </c>
      <c r="D287" s="23" t="s">
        <v>40</v>
      </c>
      <c r="E287" s="107" t="s">
        <v>315</v>
      </c>
      <c r="F287" s="210"/>
      <c r="G287" s="14"/>
      <c r="H287" s="39"/>
      <c r="I287" s="309">
        <v>0</v>
      </c>
      <c r="J287" s="39">
        <f t="shared" si="80"/>
        <v>0</v>
      </c>
      <c r="K287" s="309"/>
      <c r="L287" s="230"/>
      <c r="M287" s="94"/>
      <c r="N287" s="140"/>
      <c r="O287" s="513"/>
      <c r="P287" s="497">
        <f t="shared" si="85"/>
        <v>0</v>
      </c>
      <c r="Q287" s="264" t="str">
        <f t="shared" si="75"/>
        <v>Д20х3</v>
      </c>
      <c r="R287" s="377">
        <f t="shared" si="83"/>
        <v>0</v>
      </c>
      <c r="S287" s="324">
        <v>0</v>
      </c>
      <c r="T287" s="353">
        <f t="shared" si="79"/>
        <v>0</v>
      </c>
      <c r="U287" s="70">
        <v>10</v>
      </c>
      <c r="V287" s="20">
        <f t="shared" si="81"/>
        <v>0</v>
      </c>
      <c r="W287" s="52">
        <f t="shared" si="84"/>
        <v>0</v>
      </c>
      <c r="X287" s="20">
        <v>10</v>
      </c>
      <c r="Y287" s="10">
        <v>1</v>
      </c>
    </row>
    <row r="288" spans="1:25" ht="26.25" hidden="1" customHeight="1" x14ac:dyDescent="0.25">
      <c r="B288" s="11"/>
      <c r="C288" s="6" t="s">
        <v>18</v>
      </c>
      <c r="D288" s="23" t="s">
        <v>40</v>
      </c>
      <c r="E288" s="1" t="s">
        <v>776</v>
      </c>
      <c r="F288" s="210">
        <v>1126</v>
      </c>
      <c r="G288" s="12" t="s">
        <v>0</v>
      </c>
      <c r="H288" s="39"/>
      <c r="I288" s="360">
        <v>0</v>
      </c>
      <c r="J288" s="39">
        <f t="shared" si="80"/>
        <v>0</v>
      </c>
      <c r="K288" s="309">
        <v>4</v>
      </c>
      <c r="L288" s="230"/>
      <c r="M288" s="363"/>
      <c r="N288" s="140"/>
      <c r="O288" s="39"/>
      <c r="P288" s="309">
        <f t="shared" si="85"/>
        <v>0</v>
      </c>
      <c r="Q288" s="51" t="str">
        <f t="shared" si="75"/>
        <v>0861-8569.05 (Д20х25 с резьбой)</v>
      </c>
      <c r="R288" s="377">
        <f t="shared" si="83"/>
        <v>71.760000000000005</v>
      </c>
      <c r="S288" s="331">
        <v>59.8</v>
      </c>
      <c r="T288" s="353">
        <f t="shared" si="79"/>
        <v>0</v>
      </c>
      <c r="U288" s="148"/>
      <c r="V288" s="20">
        <f t="shared" si="81"/>
        <v>0</v>
      </c>
      <c r="W288" s="52">
        <f t="shared" si="84"/>
        <v>0</v>
      </c>
      <c r="X288" s="20"/>
    </row>
    <row r="289" spans="2:25" ht="31.5" hidden="1" customHeight="1" x14ac:dyDescent="0.25">
      <c r="B289" s="11"/>
      <c r="C289" s="6" t="s">
        <v>18</v>
      </c>
      <c r="D289" s="23" t="s">
        <v>40</v>
      </c>
      <c r="E289" s="107" t="s">
        <v>586</v>
      </c>
      <c r="F289" s="210"/>
      <c r="G289" s="13"/>
      <c r="H289" s="39"/>
      <c r="I289" s="309">
        <v>0</v>
      </c>
      <c r="J289" s="39">
        <f t="shared" si="80"/>
        <v>0</v>
      </c>
      <c r="K289" s="309">
        <f>R289/1.4</f>
        <v>4.16</v>
      </c>
      <c r="L289" s="230"/>
      <c r="M289" s="94"/>
      <c r="N289" s="140"/>
      <c r="O289" s="489"/>
      <c r="P289" s="490">
        <f t="shared" si="85"/>
        <v>0</v>
      </c>
      <c r="Q289" s="262" t="str">
        <f t="shared" si="75"/>
        <v>Д22х25((сост.из 3 штук)</v>
      </c>
      <c r="R289" s="377">
        <f t="shared" si="83"/>
        <v>5.82</v>
      </c>
      <c r="S289" s="323">
        <v>4.8499999999999996</v>
      </c>
      <c r="T289" s="353">
        <f t="shared" si="79"/>
        <v>0</v>
      </c>
      <c r="U289" s="70">
        <v>12</v>
      </c>
      <c r="V289" s="20">
        <f t="shared" si="81"/>
        <v>0</v>
      </c>
      <c r="W289" s="52">
        <f t="shared" si="84"/>
        <v>0</v>
      </c>
      <c r="X289" s="20">
        <v>12</v>
      </c>
      <c r="Y289" s="10">
        <v>1</v>
      </c>
    </row>
    <row r="290" spans="2:25" ht="34.5" hidden="1" customHeight="1" x14ac:dyDescent="0.25">
      <c r="B290" s="11"/>
      <c r="C290" s="6" t="s">
        <v>18</v>
      </c>
      <c r="D290" s="23" t="s">
        <v>40</v>
      </c>
      <c r="E290" s="107" t="s">
        <v>659</v>
      </c>
      <c r="F290" s="210"/>
      <c r="G290" s="13"/>
      <c r="H290" s="39"/>
      <c r="I290" s="309">
        <v>0</v>
      </c>
      <c r="J290" s="39">
        <f t="shared" si="80"/>
        <v>0</v>
      </c>
      <c r="K290" s="309">
        <f>R290/1.4</f>
        <v>3.17</v>
      </c>
      <c r="L290" s="230"/>
      <c r="M290" s="156" t="s">
        <v>477</v>
      </c>
      <c r="N290" s="140"/>
      <c r="O290" s="39"/>
      <c r="P290" s="360">
        <f t="shared" si="85"/>
        <v>0</v>
      </c>
      <c r="Q290" s="260" t="str">
        <f t="shared" si="75"/>
        <v>П50х23х52 (ИНТЕГРАЛ)</v>
      </c>
      <c r="R290" s="377">
        <f t="shared" si="83"/>
        <v>4.4400000000000004</v>
      </c>
      <c r="S290" s="323">
        <v>3.7</v>
      </c>
      <c r="T290" s="353">
        <f t="shared" si="79"/>
        <v>0</v>
      </c>
      <c r="U290" s="70">
        <v>6</v>
      </c>
      <c r="V290" s="20">
        <f t="shared" si="81"/>
        <v>0</v>
      </c>
      <c r="W290" s="52">
        <f t="shared" si="84"/>
        <v>0</v>
      </c>
      <c r="X290" s="20">
        <v>6</v>
      </c>
      <c r="Y290" s="10">
        <v>1</v>
      </c>
    </row>
    <row r="291" spans="2:25" ht="26.25" hidden="1" customHeight="1" x14ac:dyDescent="0.25">
      <c r="B291" s="11"/>
      <c r="C291" s="6" t="s">
        <v>18</v>
      </c>
      <c r="D291" s="23" t="s">
        <v>40</v>
      </c>
      <c r="E291" s="107" t="s">
        <v>441</v>
      </c>
      <c r="F291" s="210"/>
      <c r="G291" s="13"/>
      <c r="H291" s="39"/>
      <c r="I291" s="309">
        <v>0</v>
      </c>
      <c r="J291" s="39">
        <f t="shared" si="80"/>
        <v>0</v>
      </c>
      <c r="K291" s="309"/>
      <c r="L291" s="230"/>
      <c r="M291" s="94"/>
      <c r="N291" s="140"/>
      <c r="O291" s="39"/>
      <c r="P291" s="309">
        <f t="shared" si="85"/>
        <v>0</v>
      </c>
      <c r="Q291" s="235" t="str">
        <f t="shared" si="75"/>
        <v>Д25х15</v>
      </c>
      <c r="R291" s="377">
        <f t="shared" si="83"/>
        <v>0</v>
      </c>
      <c r="S291" s="331">
        <v>0</v>
      </c>
      <c r="T291" s="353">
        <f t="shared" si="79"/>
        <v>0</v>
      </c>
      <c r="U291" s="70">
        <v>3</v>
      </c>
      <c r="V291" s="20">
        <f t="shared" si="81"/>
        <v>0</v>
      </c>
      <c r="W291" s="52">
        <f t="shared" si="84"/>
        <v>0</v>
      </c>
      <c r="X291" s="20">
        <v>3</v>
      </c>
      <c r="Y291" s="10">
        <v>1</v>
      </c>
    </row>
    <row r="292" spans="2:25" ht="26.25" hidden="1" customHeight="1" x14ac:dyDescent="0.25">
      <c r="B292" s="11"/>
      <c r="C292" s="6" t="s">
        <v>18</v>
      </c>
      <c r="D292" s="23" t="s">
        <v>40</v>
      </c>
      <c r="E292" s="107" t="s">
        <v>636</v>
      </c>
      <c r="F292" s="210"/>
      <c r="G292" s="13"/>
      <c r="H292" s="39"/>
      <c r="I292" s="309"/>
      <c r="J292" s="39">
        <f t="shared" si="80"/>
        <v>0</v>
      </c>
      <c r="K292" s="309"/>
      <c r="L292" s="230"/>
      <c r="M292" s="94"/>
      <c r="N292" s="140"/>
      <c r="O292" s="39"/>
      <c r="P292" s="309"/>
      <c r="Q292" s="235" t="str">
        <f t="shared" si="75"/>
        <v>Д25х5</v>
      </c>
      <c r="R292" s="377"/>
      <c r="S292" s="331"/>
      <c r="T292" s="353">
        <f t="shared" si="79"/>
        <v>0</v>
      </c>
      <c r="U292" s="70">
        <v>20</v>
      </c>
      <c r="V292" s="20">
        <f t="shared" si="81"/>
        <v>0</v>
      </c>
      <c r="W292" s="52">
        <f t="shared" si="84"/>
        <v>0</v>
      </c>
      <c r="X292" s="444">
        <v>20</v>
      </c>
    </row>
    <row r="293" spans="2:25" ht="31.5" hidden="1" customHeight="1" x14ac:dyDescent="0.25">
      <c r="B293" s="11"/>
      <c r="C293" s="6" t="s">
        <v>18</v>
      </c>
      <c r="D293" s="23" t="s">
        <v>40</v>
      </c>
      <c r="E293" s="107" t="s">
        <v>648</v>
      </c>
      <c r="F293" s="210"/>
      <c r="G293" s="13"/>
      <c r="H293" s="39"/>
      <c r="I293" s="309"/>
      <c r="J293" s="39">
        <f t="shared" si="80"/>
        <v>0</v>
      </c>
      <c r="K293" s="309"/>
      <c r="L293" s="230"/>
      <c r="M293" s="94"/>
      <c r="N293" s="140"/>
      <c r="O293" s="39"/>
      <c r="P293" s="309"/>
      <c r="Q293" s="235" t="str">
        <f t="shared" si="75"/>
        <v>Д28х5</v>
      </c>
      <c r="R293" s="377"/>
      <c r="S293" s="331"/>
      <c r="T293" s="353">
        <f t="shared" si="79"/>
        <v>0</v>
      </c>
      <c r="U293" s="70"/>
      <c r="V293" s="20">
        <f t="shared" si="81"/>
        <v>0</v>
      </c>
      <c r="W293" s="52"/>
      <c r="X293" s="20"/>
    </row>
    <row r="294" spans="2:25" ht="26.25" hidden="1" customHeight="1" x14ac:dyDescent="0.25">
      <c r="B294" s="15"/>
      <c r="C294" s="6" t="s">
        <v>18</v>
      </c>
      <c r="D294" s="23" t="s">
        <v>40</v>
      </c>
      <c r="E294" s="104" t="s">
        <v>455</v>
      </c>
      <c r="F294" s="393" t="s">
        <v>189</v>
      </c>
      <c r="G294" s="19" t="s">
        <v>0</v>
      </c>
      <c r="H294" s="39"/>
      <c r="I294" s="309">
        <v>0</v>
      </c>
      <c r="J294" s="39">
        <f t="shared" si="80"/>
        <v>0</v>
      </c>
      <c r="K294" s="309">
        <f>R294/1.4</f>
        <v>12.86</v>
      </c>
      <c r="L294" s="230">
        <f>K294*J590</f>
        <v>0</v>
      </c>
      <c r="M294" s="117" t="s">
        <v>262</v>
      </c>
      <c r="N294" s="140"/>
      <c r="O294" s="39"/>
      <c r="P294" s="309">
        <f>K294*O294</f>
        <v>0</v>
      </c>
      <c r="Q294" s="235" t="str">
        <f t="shared" si="75"/>
        <v>Д30х10</v>
      </c>
      <c r="R294" s="377">
        <f>S294*1.2</f>
        <v>18</v>
      </c>
      <c r="S294" s="339">
        <v>15</v>
      </c>
      <c r="T294" s="353">
        <f t="shared" si="79"/>
        <v>0</v>
      </c>
      <c r="U294" s="147">
        <f>36*4+45</f>
        <v>189</v>
      </c>
      <c r="V294" s="20">
        <f t="shared" si="81"/>
        <v>0</v>
      </c>
      <c r="W294" s="52">
        <f>X294-U294+V294</f>
        <v>411</v>
      </c>
      <c r="X294" s="848">
        <v>600</v>
      </c>
    </row>
    <row r="295" spans="2:25" ht="26.25" hidden="1" customHeight="1" x14ac:dyDescent="0.25">
      <c r="B295" s="15"/>
      <c r="C295" s="6" t="s">
        <v>18</v>
      </c>
      <c r="D295" s="23" t="s">
        <v>40</v>
      </c>
      <c r="E295" s="104" t="s">
        <v>730</v>
      </c>
      <c r="F295" s="393"/>
      <c r="G295" s="19"/>
      <c r="H295" s="39"/>
      <c r="I295" s="309"/>
      <c r="J295" s="39">
        <f t="shared" si="80"/>
        <v>0</v>
      </c>
      <c r="K295" s="309"/>
      <c r="L295" s="230"/>
      <c r="M295" s="117"/>
      <c r="N295" s="140"/>
      <c r="O295" s="39"/>
      <c r="P295" s="309"/>
      <c r="Q295" s="263" t="str">
        <f t="shared" si="75"/>
        <v>Д20х20</v>
      </c>
      <c r="R295" s="377"/>
      <c r="S295" s="339"/>
      <c r="T295" s="353">
        <f t="shared" si="79"/>
        <v>0</v>
      </c>
      <c r="U295" s="70">
        <v>50</v>
      </c>
      <c r="V295" s="20">
        <f t="shared" si="81"/>
        <v>0</v>
      </c>
      <c r="W295" s="52">
        <f>X295-U295+V295</f>
        <v>0</v>
      </c>
      <c r="X295" s="20">
        <v>50</v>
      </c>
      <c r="Y295" s="10">
        <v>1</v>
      </c>
    </row>
    <row r="296" spans="2:25" ht="26.25" hidden="1" customHeight="1" x14ac:dyDescent="0.25">
      <c r="B296" s="15"/>
      <c r="C296" s="6" t="s">
        <v>18</v>
      </c>
      <c r="D296" s="23" t="s">
        <v>40</v>
      </c>
      <c r="E296" s="104" t="s">
        <v>525</v>
      </c>
      <c r="F296" s="393"/>
      <c r="G296" s="19"/>
      <c r="H296" s="39"/>
      <c r="I296" s="309">
        <v>0</v>
      </c>
      <c r="J296" s="39">
        <f t="shared" si="80"/>
        <v>0</v>
      </c>
      <c r="K296" s="309"/>
      <c r="L296" s="230"/>
      <c r="M296" s="117"/>
      <c r="N296" s="140"/>
      <c r="O296" s="39"/>
      <c r="P296" s="309">
        <f>K296*O296</f>
        <v>0</v>
      </c>
      <c r="Q296" s="263" t="str">
        <f t="shared" si="75"/>
        <v>Д40х5</v>
      </c>
      <c r="R296" s="377">
        <f>S296*1.2</f>
        <v>0</v>
      </c>
      <c r="S296" s="339">
        <v>0</v>
      </c>
      <c r="T296" s="353">
        <f t="shared" si="79"/>
        <v>0</v>
      </c>
      <c r="U296" s="70">
        <v>3</v>
      </c>
      <c r="V296" s="20">
        <f t="shared" si="81"/>
        <v>0</v>
      </c>
      <c r="W296" s="52">
        <f>X296-U296+V296</f>
        <v>0</v>
      </c>
      <c r="X296" s="20">
        <v>3</v>
      </c>
      <c r="Y296" s="10">
        <v>1</v>
      </c>
    </row>
    <row r="297" spans="2:25" ht="26.25" hidden="1" customHeight="1" thickBot="1" x14ac:dyDescent="0.3">
      <c r="B297" s="15"/>
      <c r="C297" s="6" t="s">
        <v>18</v>
      </c>
      <c r="D297" s="23" t="s">
        <v>40</v>
      </c>
      <c r="E297" s="104" t="s">
        <v>298</v>
      </c>
      <c r="F297" s="393"/>
      <c r="G297" s="19"/>
      <c r="H297" s="39"/>
      <c r="I297" s="360"/>
      <c r="J297" s="39"/>
      <c r="K297" s="309"/>
      <c r="L297" s="230"/>
      <c r="M297" s="117"/>
      <c r="N297" s="140"/>
      <c r="O297" s="39"/>
      <c r="P297" s="360"/>
      <c r="Q297" s="287" t="str">
        <f t="shared" si="75"/>
        <v>Д40х10</v>
      </c>
      <c r="R297" s="377"/>
      <c r="S297" s="339"/>
      <c r="T297" s="353">
        <f t="shared" si="79"/>
        <v>0</v>
      </c>
      <c r="U297" s="70">
        <v>3</v>
      </c>
      <c r="V297" s="20"/>
      <c r="W297" s="52"/>
      <c r="X297" s="20">
        <v>3</v>
      </c>
      <c r="Y297" s="10">
        <v>1</v>
      </c>
    </row>
    <row r="298" spans="2:25" ht="26.25" customHeight="1" x14ac:dyDescent="0.25">
      <c r="B298" s="15">
        <v>100</v>
      </c>
      <c r="C298" s="6" t="s">
        <v>18</v>
      </c>
      <c r="D298" s="23" t="s">
        <v>40</v>
      </c>
      <c r="E298" s="104" t="s">
        <v>673</v>
      </c>
      <c r="F298" s="393" t="s">
        <v>875</v>
      </c>
      <c r="G298" s="19"/>
      <c r="H298" s="39">
        <v>200</v>
      </c>
      <c r="I298" s="360">
        <v>514</v>
      </c>
      <c r="J298" s="39">
        <f t="shared" ref="J298:J329" si="86">N298+O298-H298</f>
        <v>0</v>
      </c>
      <c r="K298" s="309">
        <f>R298/1.4</f>
        <v>2.57</v>
      </c>
      <c r="L298" s="230"/>
      <c r="M298" s="155" t="s">
        <v>897</v>
      </c>
      <c r="N298" s="140"/>
      <c r="O298" s="39">
        <v>200</v>
      </c>
      <c r="P298" s="309">
        <f t="shared" ref="P298:P309" si="87">K298*O298</f>
        <v>514</v>
      </c>
      <c r="Q298" s="287" t="str">
        <f t="shared" si="75"/>
        <v>П15х4,5х4</v>
      </c>
      <c r="R298" s="377">
        <f>1.2*S298</f>
        <v>3.6</v>
      </c>
      <c r="S298" s="339">
        <v>3</v>
      </c>
      <c r="T298" s="353">
        <f t="shared" si="79"/>
        <v>0</v>
      </c>
      <c r="U298" s="20">
        <f>85+300</f>
        <v>385</v>
      </c>
      <c r="V298" s="20"/>
      <c r="W298" s="52"/>
      <c r="X298" s="20">
        <f>85</f>
        <v>85</v>
      </c>
      <c r="Y298" s="10">
        <v>1</v>
      </c>
    </row>
    <row r="299" spans="2:25" ht="26.25" hidden="1" customHeight="1" x14ac:dyDescent="0.25">
      <c r="B299" s="15"/>
      <c r="C299" s="6" t="s">
        <v>18</v>
      </c>
      <c r="D299" s="23" t="s">
        <v>40</v>
      </c>
      <c r="E299" s="104" t="s">
        <v>587</v>
      </c>
      <c r="F299" s="208">
        <v>1384</v>
      </c>
      <c r="G299" s="48" t="s">
        <v>0</v>
      </c>
      <c r="H299" s="39"/>
      <c r="I299" s="360">
        <v>0</v>
      </c>
      <c r="J299" s="39">
        <f t="shared" si="86"/>
        <v>0</v>
      </c>
      <c r="K299" s="309">
        <f>R299/1.4</f>
        <v>18.86</v>
      </c>
      <c r="L299" s="230">
        <f>K299*J593</f>
        <v>0</v>
      </c>
      <c r="M299" s="94" t="s">
        <v>590</v>
      </c>
      <c r="N299" s="140"/>
      <c r="O299" s="39"/>
      <c r="P299" s="360">
        <f t="shared" si="87"/>
        <v>0</v>
      </c>
      <c r="Q299" s="259" t="str">
        <f t="shared" si="75"/>
        <v>Д27х5</v>
      </c>
      <c r="R299" s="377">
        <f t="shared" ref="R299:R309" si="88">S299*1.2</f>
        <v>26.4</v>
      </c>
      <c r="S299" s="319">
        <v>22</v>
      </c>
      <c r="T299" s="353">
        <f t="shared" si="79"/>
        <v>0</v>
      </c>
      <c r="U299" s="70">
        <v>13</v>
      </c>
      <c r="V299" s="20">
        <f t="shared" ref="V299:V330" si="89">N299</f>
        <v>0</v>
      </c>
      <c r="W299" s="52">
        <f t="shared" ref="W299:W330" si="90">X299-U299+V299</f>
        <v>0</v>
      </c>
      <c r="X299" s="20">
        <v>13</v>
      </c>
      <c r="Y299" s="10">
        <v>1</v>
      </c>
    </row>
    <row r="300" spans="2:25" ht="26.25" hidden="1" customHeight="1" x14ac:dyDescent="0.25">
      <c r="B300" s="15"/>
      <c r="C300" s="6" t="s">
        <v>18</v>
      </c>
      <c r="D300" s="23" t="s">
        <v>40</v>
      </c>
      <c r="E300" s="104" t="s">
        <v>563</v>
      </c>
      <c r="F300" s="208"/>
      <c r="G300" s="48"/>
      <c r="H300" s="39"/>
      <c r="I300" s="360">
        <v>0</v>
      </c>
      <c r="J300" s="39">
        <f t="shared" si="86"/>
        <v>0</v>
      </c>
      <c r="K300" s="309"/>
      <c r="L300" s="230"/>
      <c r="M300" s="94"/>
      <c r="N300" s="140"/>
      <c r="O300" s="39"/>
      <c r="P300" s="468">
        <f t="shared" si="87"/>
        <v>0</v>
      </c>
      <c r="Q300" s="266" t="str">
        <f t="shared" si="75"/>
        <v>Д8х3(5)х2</v>
      </c>
      <c r="R300" s="377">
        <f t="shared" si="88"/>
        <v>0.32</v>
      </c>
      <c r="S300" s="326">
        <v>0.27</v>
      </c>
      <c r="T300" s="353">
        <f t="shared" si="79"/>
        <v>0</v>
      </c>
      <c r="U300" s="70">
        <v>280</v>
      </c>
      <c r="V300" s="20">
        <f t="shared" si="89"/>
        <v>0</v>
      </c>
      <c r="W300" s="52">
        <f t="shared" si="90"/>
        <v>-108</v>
      </c>
      <c r="X300" s="444">
        <v>172</v>
      </c>
    </row>
    <row r="301" spans="2:25" ht="26.25" hidden="1" customHeight="1" x14ac:dyDescent="0.25">
      <c r="B301" s="11"/>
      <c r="C301" s="6" t="s">
        <v>18</v>
      </c>
      <c r="D301" s="23" t="s">
        <v>40</v>
      </c>
      <c r="E301" s="286" t="s">
        <v>633</v>
      </c>
      <c r="F301" s="208">
        <v>1415</v>
      </c>
      <c r="G301" s="48"/>
      <c r="H301" s="39"/>
      <c r="I301" s="360">
        <v>0</v>
      </c>
      <c r="J301" s="39">
        <f t="shared" si="86"/>
        <v>0</v>
      </c>
      <c r="K301" s="309">
        <f t="shared" ref="K301:K309" si="91">R301/1.4</f>
        <v>3.43</v>
      </c>
      <c r="L301" s="230"/>
      <c r="M301" s="215" t="s">
        <v>654</v>
      </c>
      <c r="N301" s="140"/>
      <c r="O301" s="503"/>
      <c r="P301" s="309">
        <f t="shared" si="87"/>
        <v>0</v>
      </c>
      <c r="Q301" s="235" t="str">
        <f t="shared" si="75"/>
        <v>П25х8х6</v>
      </c>
      <c r="R301" s="377">
        <f t="shared" si="88"/>
        <v>4.8</v>
      </c>
      <c r="S301" s="326">
        <v>4</v>
      </c>
      <c r="T301" s="353">
        <f t="shared" ref="T301:T332" si="92">S301*J301</f>
        <v>0</v>
      </c>
      <c r="U301" s="20"/>
      <c r="V301" s="20">
        <f t="shared" si="89"/>
        <v>0</v>
      </c>
      <c r="W301" s="52">
        <f t="shared" si="90"/>
        <v>0</v>
      </c>
      <c r="X301" s="20"/>
    </row>
    <row r="302" spans="2:25" ht="26.25" hidden="1" customHeight="1" x14ac:dyDescent="0.25">
      <c r="B302" s="11"/>
      <c r="C302" s="6" t="s">
        <v>18</v>
      </c>
      <c r="D302" s="23" t="s">
        <v>40</v>
      </c>
      <c r="E302" s="87" t="s">
        <v>618</v>
      </c>
      <c r="F302" s="208">
        <v>1397</v>
      </c>
      <c r="G302" s="48"/>
      <c r="H302" s="39"/>
      <c r="I302" s="360">
        <v>0</v>
      </c>
      <c r="J302" s="39">
        <f t="shared" si="86"/>
        <v>0</v>
      </c>
      <c r="K302" s="309">
        <f t="shared" si="91"/>
        <v>1.49</v>
      </c>
      <c r="L302" s="230"/>
      <c r="M302" s="215" t="s">
        <v>629</v>
      </c>
      <c r="N302" s="140"/>
      <c r="O302" s="39"/>
      <c r="P302" s="467">
        <f t="shared" si="87"/>
        <v>0</v>
      </c>
      <c r="Q302" s="51" t="str">
        <f t="shared" si="75"/>
        <v>П5х5х6</v>
      </c>
      <c r="R302" s="377">
        <f t="shared" si="88"/>
        <v>2.09</v>
      </c>
      <c r="S302" s="326">
        <v>1.74</v>
      </c>
      <c r="T302" s="353">
        <f t="shared" si="92"/>
        <v>0</v>
      </c>
      <c r="U302" s="20"/>
      <c r="V302" s="20">
        <f t="shared" si="89"/>
        <v>0</v>
      </c>
      <c r="W302" s="52">
        <f t="shared" si="90"/>
        <v>0</v>
      </c>
      <c r="X302" s="20"/>
    </row>
    <row r="303" spans="2:25" ht="26.25" hidden="1" customHeight="1" x14ac:dyDescent="0.25">
      <c r="B303" s="11"/>
      <c r="C303" s="6" t="s">
        <v>18</v>
      </c>
      <c r="D303" s="23" t="s">
        <v>40</v>
      </c>
      <c r="E303" s="87" t="s">
        <v>790</v>
      </c>
      <c r="F303" s="208">
        <v>1406</v>
      </c>
      <c r="G303" s="48"/>
      <c r="H303" s="39"/>
      <c r="I303" s="360">
        <v>0</v>
      </c>
      <c r="J303" s="39">
        <f t="shared" si="86"/>
        <v>0</v>
      </c>
      <c r="K303" s="309">
        <f t="shared" si="91"/>
        <v>1.71</v>
      </c>
      <c r="L303" s="230"/>
      <c r="M303" s="215" t="s">
        <v>630</v>
      </c>
      <c r="N303" s="140"/>
      <c r="O303" s="513"/>
      <c r="P303" s="468">
        <f t="shared" si="87"/>
        <v>0</v>
      </c>
      <c r="Q303" s="442" t="str">
        <f t="shared" si="75"/>
        <v>ПС30х16х3</v>
      </c>
      <c r="R303" s="377">
        <f t="shared" si="88"/>
        <v>2.4</v>
      </c>
      <c r="S303" s="326">
        <v>2</v>
      </c>
      <c r="T303" s="353">
        <f t="shared" si="92"/>
        <v>0</v>
      </c>
      <c r="U303" s="70">
        <v>160</v>
      </c>
      <c r="V303" s="20">
        <f t="shared" si="89"/>
        <v>0</v>
      </c>
      <c r="W303" s="52">
        <f t="shared" si="90"/>
        <v>0</v>
      </c>
      <c r="X303" s="20">
        <v>160</v>
      </c>
      <c r="Y303" s="10">
        <v>1</v>
      </c>
    </row>
    <row r="304" spans="2:25" ht="44.25" customHeight="1" x14ac:dyDescent="0.25">
      <c r="B304" s="11">
        <v>101</v>
      </c>
      <c r="C304" s="6" t="s">
        <v>18</v>
      </c>
      <c r="D304" s="23" t="s">
        <v>40</v>
      </c>
      <c r="E304" s="1" t="s">
        <v>497</v>
      </c>
      <c r="F304" s="383" t="s">
        <v>435</v>
      </c>
      <c r="G304" s="12" t="s">
        <v>0</v>
      </c>
      <c r="H304" s="39"/>
      <c r="I304" s="360">
        <v>0</v>
      </c>
      <c r="J304" s="39">
        <f t="shared" si="86"/>
        <v>700</v>
      </c>
      <c r="K304" s="309">
        <f t="shared" si="91"/>
        <v>1.63</v>
      </c>
      <c r="L304" s="230">
        <f>K304*J598</f>
        <v>0</v>
      </c>
      <c r="M304" s="218" t="s">
        <v>944</v>
      </c>
      <c r="N304" s="141">
        <v>700</v>
      </c>
      <c r="O304" s="39"/>
      <c r="P304" s="309">
        <f t="shared" si="87"/>
        <v>0</v>
      </c>
      <c r="Q304" s="51" t="str">
        <f t="shared" si="75"/>
        <v>К11,2х7х15</v>
      </c>
      <c r="R304" s="306">
        <f t="shared" si="88"/>
        <v>2.2799999999999998</v>
      </c>
      <c r="S304" s="326">
        <v>1.9</v>
      </c>
      <c r="T304" s="353">
        <f t="shared" si="92"/>
        <v>1330</v>
      </c>
      <c r="U304" s="148">
        <f>13*210+203</f>
        <v>2933</v>
      </c>
      <c r="V304" s="20">
        <f t="shared" si="89"/>
        <v>700</v>
      </c>
      <c r="W304" s="52">
        <f t="shared" si="90"/>
        <v>0</v>
      </c>
      <c r="X304" s="444">
        <f>10*210+133</f>
        <v>2233</v>
      </c>
    </row>
    <row r="305" spans="1:41" ht="26.25" hidden="1" customHeight="1" x14ac:dyDescent="0.25">
      <c r="B305" s="15"/>
      <c r="C305" s="6" t="s">
        <v>18</v>
      </c>
      <c r="D305" s="23" t="s">
        <v>40</v>
      </c>
      <c r="E305" s="104" t="s">
        <v>634</v>
      </c>
      <c r="F305" s="208">
        <v>380</v>
      </c>
      <c r="G305" s="48" t="s">
        <v>0</v>
      </c>
      <c r="H305" s="39">
        <v>0</v>
      </c>
      <c r="I305" s="309">
        <v>0</v>
      </c>
      <c r="J305" s="39">
        <f t="shared" si="86"/>
        <v>0</v>
      </c>
      <c r="K305" s="309">
        <f t="shared" si="91"/>
        <v>24.86</v>
      </c>
      <c r="L305" s="230">
        <f>K305*J599</f>
        <v>0</v>
      </c>
      <c r="M305" s="156" t="s">
        <v>655</v>
      </c>
      <c r="N305" s="140"/>
      <c r="O305" s="556">
        <v>0</v>
      </c>
      <c r="P305" s="490">
        <f t="shared" si="87"/>
        <v>0</v>
      </c>
      <c r="Q305" s="264" t="str">
        <f t="shared" si="75"/>
        <v>Д11х7х62</v>
      </c>
      <c r="R305" s="377">
        <f t="shared" si="88"/>
        <v>34.799999999999997</v>
      </c>
      <c r="S305" s="319">
        <v>29</v>
      </c>
      <c r="T305" s="353">
        <f t="shared" si="92"/>
        <v>0</v>
      </c>
      <c r="U305" s="20"/>
      <c r="V305" s="20">
        <f t="shared" si="89"/>
        <v>0</v>
      </c>
      <c r="W305" s="52">
        <f t="shared" si="90"/>
        <v>0</v>
      </c>
      <c r="X305" s="20"/>
    </row>
    <row r="306" spans="1:41" ht="26.25" hidden="1" customHeight="1" x14ac:dyDescent="0.25">
      <c r="B306" s="19"/>
      <c r="C306" s="6" t="s">
        <v>18</v>
      </c>
      <c r="D306" s="23" t="s">
        <v>40</v>
      </c>
      <c r="E306" s="106" t="s">
        <v>157</v>
      </c>
      <c r="F306" s="385" t="s">
        <v>218</v>
      </c>
      <c r="G306" s="48" t="s">
        <v>0</v>
      </c>
      <c r="H306" s="39"/>
      <c r="I306" s="309">
        <v>0</v>
      </c>
      <c r="J306" s="39">
        <f t="shared" si="86"/>
        <v>0</v>
      </c>
      <c r="K306" s="309">
        <f t="shared" si="91"/>
        <v>7.29</v>
      </c>
      <c r="L306" s="230">
        <f>K306*J600</f>
        <v>0</v>
      </c>
      <c r="M306" s="146" t="s">
        <v>609</v>
      </c>
      <c r="N306" s="141"/>
      <c r="O306" s="39"/>
      <c r="P306" s="507">
        <f t="shared" si="87"/>
        <v>0</v>
      </c>
      <c r="Q306" s="442" t="str">
        <f t="shared" si="75"/>
        <v>К12х3х4,5</v>
      </c>
      <c r="R306" s="377">
        <f t="shared" si="88"/>
        <v>10.199999999999999</v>
      </c>
      <c r="S306" s="326">
        <v>8.5</v>
      </c>
      <c r="T306" s="353">
        <f t="shared" si="92"/>
        <v>0</v>
      </c>
      <c r="U306" s="430">
        <f>551-14</f>
        <v>537</v>
      </c>
      <c r="V306" s="20">
        <f t="shared" si="89"/>
        <v>0</v>
      </c>
      <c r="W306" s="52">
        <f t="shared" si="90"/>
        <v>0</v>
      </c>
      <c r="X306" s="18">
        <f>551-14</f>
        <v>537</v>
      </c>
      <c r="Y306" s="10">
        <v>1</v>
      </c>
    </row>
    <row r="307" spans="1:41" ht="26.25" hidden="1" customHeight="1" x14ac:dyDescent="0.25">
      <c r="B307" s="19"/>
      <c r="C307" s="6" t="s">
        <v>18</v>
      </c>
      <c r="D307" s="23" t="s">
        <v>40</v>
      </c>
      <c r="E307" s="106" t="s">
        <v>299</v>
      </c>
      <c r="F307" s="384">
        <v>876</v>
      </c>
      <c r="G307" s="48"/>
      <c r="H307" s="39"/>
      <c r="I307" s="360">
        <v>0</v>
      </c>
      <c r="J307" s="39">
        <f t="shared" si="86"/>
        <v>0</v>
      </c>
      <c r="K307" s="309">
        <f t="shared" si="91"/>
        <v>27</v>
      </c>
      <c r="L307" s="230"/>
      <c r="M307" s="203" t="s">
        <v>748</v>
      </c>
      <c r="N307" s="141"/>
      <c r="O307" s="39"/>
      <c r="P307" s="309">
        <f t="shared" si="87"/>
        <v>0</v>
      </c>
      <c r="Q307" s="51" t="str">
        <f t="shared" si="75"/>
        <v>К12,5х5,2х7</v>
      </c>
      <c r="R307" s="377">
        <f t="shared" si="88"/>
        <v>37.799999999999997</v>
      </c>
      <c r="S307" s="319">
        <v>31.5</v>
      </c>
      <c r="T307" s="353">
        <f t="shared" si="92"/>
        <v>0</v>
      </c>
      <c r="U307" s="70">
        <v>24</v>
      </c>
      <c r="V307" s="20">
        <f t="shared" si="89"/>
        <v>0</v>
      </c>
      <c r="W307" s="52">
        <f t="shared" si="90"/>
        <v>0</v>
      </c>
      <c r="X307" s="20">
        <v>24</v>
      </c>
      <c r="Y307" s="10">
        <v>1</v>
      </c>
    </row>
    <row r="308" spans="1:41" s="4" customFormat="1" ht="26.25" hidden="1" customHeight="1" x14ac:dyDescent="0.25">
      <c r="A308" s="10"/>
      <c r="B308" s="15"/>
      <c r="C308" s="6" t="s">
        <v>18</v>
      </c>
      <c r="D308" s="23" t="s">
        <v>40</v>
      </c>
      <c r="E308" s="106" t="s">
        <v>291</v>
      </c>
      <c r="F308" s="395">
        <v>1307</v>
      </c>
      <c r="G308" s="48" t="s">
        <v>0</v>
      </c>
      <c r="H308" s="39">
        <v>0</v>
      </c>
      <c r="I308" s="360">
        <v>0</v>
      </c>
      <c r="J308" s="39">
        <f t="shared" si="86"/>
        <v>0</v>
      </c>
      <c r="K308" s="309">
        <f t="shared" si="91"/>
        <v>1.71</v>
      </c>
      <c r="L308" s="230">
        <f>K308*J602</f>
        <v>0</v>
      </c>
      <c r="M308" s="215" t="s">
        <v>529</v>
      </c>
      <c r="N308" s="140"/>
      <c r="O308" s="513">
        <v>0</v>
      </c>
      <c r="P308" s="469">
        <f t="shared" si="87"/>
        <v>0</v>
      </c>
      <c r="Q308" s="264" t="str">
        <f t="shared" si="75"/>
        <v>К15х5х5</v>
      </c>
      <c r="R308" s="377">
        <f t="shared" si="88"/>
        <v>2.4</v>
      </c>
      <c r="S308" s="330">
        <v>2</v>
      </c>
      <c r="T308" s="353">
        <f t="shared" si="92"/>
        <v>0</v>
      </c>
      <c r="U308" s="70">
        <v>452</v>
      </c>
      <c r="V308" s="20">
        <f t="shared" si="89"/>
        <v>0</v>
      </c>
      <c r="W308" s="52">
        <f t="shared" si="90"/>
        <v>0</v>
      </c>
      <c r="X308" s="444">
        <v>452</v>
      </c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1:41" ht="26.25" customHeight="1" x14ac:dyDescent="0.25">
      <c r="B309" s="11">
        <v>102</v>
      </c>
      <c r="C309" s="6" t="s">
        <v>18</v>
      </c>
      <c r="D309" s="23" t="s">
        <v>40</v>
      </c>
      <c r="E309" s="106" t="s">
        <v>762</v>
      </c>
      <c r="F309" s="383" t="s">
        <v>560</v>
      </c>
      <c r="G309" s="48"/>
      <c r="H309" s="39"/>
      <c r="I309" s="360">
        <v>0</v>
      </c>
      <c r="J309" s="39">
        <f t="shared" si="86"/>
        <v>170</v>
      </c>
      <c r="K309" s="309">
        <f t="shared" si="91"/>
        <v>1.86</v>
      </c>
      <c r="L309" s="230"/>
      <c r="M309" s="297" t="s">
        <v>940</v>
      </c>
      <c r="N309" s="141">
        <v>170</v>
      </c>
      <c r="O309" s="39"/>
      <c r="P309" s="309">
        <f t="shared" si="87"/>
        <v>0</v>
      </c>
      <c r="Q309" s="51" t="str">
        <f t="shared" si="75"/>
        <v>К15х5х5с зенк</v>
      </c>
      <c r="R309" s="377">
        <f t="shared" si="88"/>
        <v>2.6</v>
      </c>
      <c r="S309" s="319">
        <v>2.17</v>
      </c>
      <c r="T309" s="353">
        <f t="shared" si="92"/>
        <v>368.9</v>
      </c>
      <c r="U309" s="70"/>
      <c r="V309" s="20">
        <f t="shared" si="89"/>
        <v>170</v>
      </c>
      <c r="W309" s="52">
        <f t="shared" si="90"/>
        <v>313</v>
      </c>
      <c r="X309" s="444">
        <v>143</v>
      </c>
    </row>
    <row r="310" spans="1:41" ht="26.25" hidden="1" customHeight="1" x14ac:dyDescent="0.3">
      <c r="B310" s="19"/>
      <c r="C310" s="6"/>
      <c r="D310" s="23"/>
      <c r="E310" s="106"/>
      <c r="F310" s="385"/>
      <c r="G310" s="48"/>
      <c r="H310" s="39"/>
      <c r="I310" s="360"/>
      <c r="J310" s="39">
        <f t="shared" si="86"/>
        <v>0</v>
      </c>
      <c r="K310" s="309"/>
      <c r="L310" s="230"/>
      <c r="M310" s="274"/>
      <c r="N310" s="141"/>
      <c r="O310" s="489"/>
      <c r="P310" s="467"/>
      <c r="Q310" s="441">
        <f t="shared" si="75"/>
        <v>0</v>
      </c>
      <c r="R310" s="377"/>
      <c r="T310" s="353">
        <f t="shared" si="92"/>
        <v>0</v>
      </c>
      <c r="U310" s="20"/>
      <c r="V310" s="20">
        <f t="shared" si="89"/>
        <v>0</v>
      </c>
      <c r="W310" s="52">
        <f t="shared" si="90"/>
        <v>0</v>
      </c>
      <c r="X310" s="20"/>
    </row>
    <row r="311" spans="1:41" ht="26.25" hidden="1" customHeight="1" x14ac:dyDescent="0.25">
      <c r="B311" s="19"/>
      <c r="C311" s="6" t="s">
        <v>18</v>
      </c>
      <c r="D311" s="23" t="s">
        <v>40</v>
      </c>
      <c r="E311" s="106" t="s">
        <v>33</v>
      </c>
      <c r="F311" s="385" t="s">
        <v>377</v>
      </c>
      <c r="G311" s="48"/>
      <c r="H311" s="39"/>
      <c r="I311" s="309">
        <v>0</v>
      </c>
      <c r="J311" s="39">
        <f t="shared" si="86"/>
        <v>0</v>
      </c>
      <c r="K311" s="309">
        <f>R311/1.4</f>
        <v>3</v>
      </c>
      <c r="L311" s="230"/>
      <c r="M311" s="94" t="s">
        <v>591</v>
      </c>
      <c r="N311" s="141"/>
      <c r="O311" s="513"/>
      <c r="P311" s="497">
        <f t="shared" ref="P311:P327" si="93">K311*O311</f>
        <v>0</v>
      </c>
      <c r="Q311" s="264" t="str">
        <f t="shared" si="75"/>
        <v>К20х10х5</v>
      </c>
      <c r="R311" s="377">
        <f t="shared" ref="R311:R342" si="94">S311*1.2</f>
        <v>4.2</v>
      </c>
      <c r="S311" s="319">
        <v>3.5</v>
      </c>
      <c r="T311" s="353">
        <f t="shared" si="92"/>
        <v>0</v>
      </c>
      <c r="U311" s="20">
        <v>20</v>
      </c>
      <c r="V311" s="20">
        <f t="shared" si="89"/>
        <v>0</v>
      </c>
      <c r="W311" s="52">
        <f t="shared" si="90"/>
        <v>0</v>
      </c>
      <c r="X311" s="20">
        <v>20</v>
      </c>
      <c r="Y311" s="10">
        <v>1</v>
      </c>
    </row>
    <row r="312" spans="1:41" ht="26.25" hidden="1" customHeight="1" x14ac:dyDescent="0.25">
      <c r="B312" s="11"/>
      <c r="C312" s="6" t="s">
        <v>18</v>
      </c>
      <c r="D312" s="23" t="s">
        <v>40</v>
      </c>
      <c r="E312" s="1" t="s">
        <v>337</v>
      </c>
      <c r="F312" s="383" t="s">
        <v>436</v>
      </c>
      <c r="G312" s="12" t="s">
        <v>0</v>
      </c>
      <c r="H312" s="39"/>
      <c r="I312" s="360">
        <v>0</v>
      </c>
      <c r="J312" s="39">
        <f t="shared" si="86"/>
        <v>0</v>
      </c>
      <c r="K312" s="309">
        <v>25.71</v>
      </c>
      <c r="L312" s="230">
        <f>K312*J606</f>
        <v>0</v>
      </c>
      <c r="M312" s="250" t="s">
        <v>898</v>
      </c>
      <c r="N312" s="141"/>
      <c r="O312" s="39"/>
      <c r="P312" s="309">
        <f t="shared" si="93"/>
        <v>0</v>
      </c>
      <c r="Q312" s="51" t="str">
        <f t="shared" si="75"/>
        <v>К20х8х5</v>
      </c>
      <c r="R312" s="377">
        <f t="shared" si="94"/>
        <v>36</v>
      </c>
      <c r="S312" s="319">
        <v>30</v>
      </c>
      <c r="T312" s="353">
        <f t="shared" si="92"/>
        <v>0</v>
      </c>
      <c r="U312" s="20"/>
      <c r="V312" s="20">
        <f t="shared" si="89"/>
        <v>0</v>
      </c>
      <c r="W312" s="52">
        <f t="shared" si="90"/>
        <v>0</v>
      </c>
      <c r="X312" s="20"/>
    </row>
    <row r="313" spans="1:41" ht="26.25" customHeight="1" x14ac:dyDescent="0.25">
      <c r="B313" s="11">
        <v>103</v>
      </c>
      <c r="C313" s="6" t="s">
        <v>18</v>
      </c>
      <c r="D313" s="23" t="s">
        <v>40</v>
      </c>
      <c r="E313" s="402" t="s">
        <v>549</v>
      </c>
      <c r="F313" s="383">
        <v>1333</v>
      </c>
      <c r="G313" s="12" t="s">
        <v>0</v>
      </c>
      <c r="H313" s="39">
        <v>12</v>
      </c>
      <c r="I313" s="360">
        <v>843.48</v>
      </c>
      <c r="J313" s="39">
        <f t="shared" si="86"/>
        <v>0</v>
      </c>
      <c r="K313" s="309">
        <f t="shared" ref="K313:K327" si="95">R313/1.4</f>
        <v>70.290000000000006</v>
      </c>
      <c r="L313" s="230">
        <f>K313*J607</f>
        <v>0</v>
      </c>
      <c r="M313" s="64" t="s">
        <v>567</v>
      </c>
      <c r="N313" s="141"/>
      <c r="O313" s="39">
        <v>12</v>
      </c>
      <c r="P313" s="309">
        <f t="shared" si="93"/>
        <v>843.48</v>
      </c>
      <c r="Q313" s="51" t="str">
        <f t="shared" si="75"/>
        <v>К14,5х6х22, К29х6х22</v>
      </c>
      <c r="R313" s="377">
        <f t="shared" si="94"/>
        <v>98.4</v>
      </c>
      <c r="S313" s="339">
        <v>82</v>
      </c>
      <c r="T313" s="353">
        <f t="shared" si="92"/>
        <v>0</v>
      </c>
      <c r="U313" s="20"/>
      <c r="V313" s="20">
        <f t="shared" si="89"/>
        <v>0</v>
      </c>
      <c r="W313" s="52">
        <f t="shared" si="90"/>
        <v>0</v>
      </c>
      <c r="X313" s="20"/>
    </row>
    <row r="314" spans="1:41" s="4" customFormat="1" ht="33" hidden="1" customHeight="1" x14ac:dyDescent="0.25">
      <c r="A314" s="10"/>
      <c r="B314" s="19"/>
      <c r="C314" s="6" t="s">
        <v>18</v>
      </c>
      <c r="D314" s="23" t="s">
        <v>40</v>
      </c>
      <c r="E314" s="402" t="s">
        <v>639</v>
      </c>
      <c r="F314" s="384">
        <v>1086</v>
      </c>
      <c r="G314" s="48" t="s">
        <v>0</v>
      </c>
      <c r="H314" s="39"/>
      <c r="I314" s="360">
        <v>0</v>
      </c>
      <c r="J314" s="39">
        <f t="shared" si="86"/>
        <v>0</v>
      </c>
      <c r="K314" s="309">
        <f t="shared" si="95"/>
        <v>3.43</v>
      </c>
      <c r="L314" s="230">
        <f>K314*J608</f>
        <v>0</v>
      </c>
      <c r="M314" s="64" t="s">
        <v>548</v>
      </c>
      <c r="N314" s="141"/>
      <c r="O314" s="555"/>
      <c r="P314" s="469">
        <f t="shared" si="93"/>
        <v>0</v>
      </c>
      <c r="Q314" s="443" t="str">
        <f t="shared" si="75"/>
        <v>K20х5(8)х5</v>
      </c>
      <c r="R314" s="306">
        <f t="shared" si="94"/>
        <v>4.8</v>
      </c>
      <c r="S314" s="339">
        <v>4</v>
      </c>
      <c r="T314" s="353">
        <f t="shared" si="92"/>
        <v>0</v>
      </c>
      <c r="U314" s="70">
        <v>7</v>
      </c>
      <c r="V314" s="20">
        <f t="shared" si="89"/>
        <v>0</v>
      </c>
      <c r="W314" s="52">
        <f t="shared" si="90"/>
        <v>0</v>
      </c>
      <c r="X314" s="444">
        <v>7</v>
      </c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spans="1:41" s="21" customFormat="1" ht="26.25" customHeight="1" x14ac:dyDescent="0.25">
      <c r="B315" s="11">
        <v>104</v>
      </c>
      <c r="C315" s="6" t="s">
        <v>136</v>
      </c>
      <c r="D315" s="23" t="s">
        <v>40</v>
      </c>
      <c r="E315" s="112" t="s">
        <v>363</v>
      </c>
      <c r="F315" s="208">
        <v>595</v>
      </c>
      <c r="G315" s="12" t="s">
        <v>0</v>
      </c>
      <c r="H315" s="39">
        <v>5</v>
      </c>
      <c r="I315" s="360">
        <v>26.15</v>
      </c>
      <c r="J315" s="39">
        <f t="shared" si="86"/>
        <v>0</v>
      </c>
      <c r="K315" s="309">
        <f t="shared" si="95"/>
        <v>5.23</v>
      </c>
      <c r="L315" s="230">
        <f>K315*J609</f>
        <v>0</v>
      </c>
      <c r="M315" s="94" t="s">
        <v>592</v>
      </c>
      <c r="N315" s="140"/>
      <c r="O315" s="39">
        <v>5</v>
      </c>
      <c r="P315" s="309">
        <f t="shared" si="93"/>
        <v>26.15</v>
      </c>
      <c r="Q315" s="51" t="str">
        <f t="shared" si="75"/>
        <v>К22х6,2х3,2(ПМ-36Б-200)</v>
      </c>
      <c r="R315" s="306">
        <f t="shared" si="94"/>
        <v>7.32</v>
      </c>
      <c r="S315" s="319">
        <v>6.1</v>
      </c>
      <c r="T315" s="353">
        <f t="shared" si="92"/>
        <v>0</v>
      </c>
      <c r="U315" s="70">
        <f>281-12-5</f>
        <v>264</v>
      </c>
      <c r="V315" s="20">
        <f t="shared" si="89"/>
        <v>0</v>
      </c>
      <c r="W315" s="52">
        <f t="shared" si="90"/>
        <v>0</v>
      </c>
      <c r="X315" s="20">
        <f>281-12-5</f>
        <v>264</v>
      </c>
      <c r="Y315" s="21">
        <v>1</v>
      </c>
    </row>
    <row r="316" spans="1:41" ht="26.25" hidden="1" customHeight="1" x14ac:dyDescent="0.25">
      <c r="B316" s="11"/>
      <c r="C316" s="6" t="s">
        <v>18</v>
      </c>
      <c r="D316" s="23" t="s">
        <v>40</v>
      </c>
      <c r="E316" s="107" t="s">
        <v>467</v>
      </c>
      <c r="F316" s="386">
        <v>830</v>
      </c>
      <c r="G316" s="14" t="s">
        <v>0</v>
      </c>
      <c r="H316" s="39"/>
      <c r="I316" s="309">
        <v>0</v>
      </c>
      <c r="J316" s="39">
        <f t="shared" si="86"/>
        <v>0</v>
      </c>
      <c r="K316" s="309">
        <f t="shared" si="95"/>
        <v>17.23</v>
      </c>
      <c r="L316" s="230">
        <f>K316*J610</f>
        <v>0</v>
      </c>
      <c r="M316" s="64" t="s">
        <v>839</v>
      </c>
      <c r="N316" s="140"/>
      <c r="O316" s="39"/>
      <c r="P316" s="309">
        <f t="shared" si="93"/>
        <v>0</v>
      </c>
      <c r="Q316" s="51" t="str">
        <f t="shared" ref="Q316:Q379" si="96">E316</f>
        <v>К22,8х8,2х8,9</v>
      </c>
      <c r="R316" s="377">
        <f t="shared" si="94"/>
        <v>24.12</v>
      </c>
      <c r="S316" s="326">
        <v>20.100000000000001</v>
      </c>
      <c r="T316" s="353">
        <f t="shared" si="92"/>
        <v>0</v>
      </c>
      <c r="U316" s="430">
        <f>60+38-6</f>
        <v>92</v>
      </c>
      <c r="V316" s="20">
        <f t="shared" si="89"/>
        <v>0</v>
      </c>
      <c r="W316" s="52">
        <f t="shared" si="90"/>
        <v>0</v>
      </c>
      <c r="X316" s="18">
        <f>60+38-6</f>
        <v>92</v>
      </c>
      <c r="Y316" s="10">
        <v>1</v>
      </c>
    </row>
    <row r="317" spans="1:41" ht="26.25" hidden="1" customHeight="1" x14ac:dyDescent="0.25">
      <c r="B317" s="11"/>
      <c r="C317" s="6" t="s">
        <v>18</v>
      </c>
      <c r="D317" s="23" t="s">
        <v>40</v>
      </c>
      <c r="E317" s="112" t="s">
        <v>319</v>
      </c>
      <c r="F317" s="386">
        <v>1069</v>
      </c>
      <c r="G317" s="13" t="s">
        <v>0</v>
      </c>
      <c r="H317" s="39"/>
      <c r="I317" s="309">
        <v>0</v>
      </c>
      <c r="J317" s="39">
        <f t="shared" si="86"/>
        <v>0</v>
      </c>
      <c r="K317" s="309">
        <f t="shared" si="95"/>
        <v>21.43</v>
      </c>
      <c r="L317" s="230"/>
      <c r="M317" s="90"/>
      <c r="N317" s="140"/>
      <c r="O317" s="489"/>
      <c r="P317" s="490">
        <f t="shared" si="93"/>
        <v>0</v>
      </c>
      <c r="Q317" s="262" t="str">
        <f t="shared" si="96"/>
        <v>К26,6х11х0,7</v>
      </c>
      <c r="R317" s="377">
        <f t="shared" si="94"/>
        <v>30</v>
      </c>
      <c r="S317" s="322">
        <v>25</v>
      </c>
      <c r="T317" s="353">
        <f t="shared" si="92"/>
        <v>0</v>
      </c>
      <c r="U317" s="430">
        <v>30</v>
      </c>
      <c r="V317" s="20">
        <f t="shared" si="89"/>
        <v>0</v>
      </c>
      <c r="W317" s="52">
        <f t="shared" si="90"/>
        <v>0</v>
      </c>
      <c r="X317" s="18">
        <v>30</v>
      </c>
      <c r="Y317" s="10">
        <v>1</v>
      </c>
    </row>
    <row r="318" spans="1:41" ht="26.25" hidden="1" customHeight="1" x14ac:dyDescent="0.25">
      <c r="B318" s="11"/>
      <c r="C318" s="6" t="s">
        <v>18</v>
      </c>
      <c r="D318" s="23" t="s">
        <v>40</v>
      </c>
      <c r="E318" s="112" t="s">
        <v>902</v>
      </c>
      <c r="F318" s="386"/>
      <c r="G318" s="13"/>
      <c r="H318" s="39"/>
      <c r="I318" s="309">
        <v>0</v>
      </c>
      <c r="J318" s="39">
        <f t="shared" si="86"/>
        <v>0</v>
      </c>
      <c r="K318" s="309">
        <f t="shared" si="95"/>
        <v>10.39</v>
      </c>
      <c r="L318" s="230"/>
      <c r="M318" s="90"/>
      <c r="N318" s="140"/>
      <c r="O318" s="39"/>
      <c r="P318" s="309">
        <f t="shared" si="93"/>
        <v>0</v>
      </c>
      <c r="Q318" s="235" t="str">
        <f t="shared" si="96"/>
        <v>К32х12х5 нам.D</v>
      </c>
      <c r="R318" s="377">
        <f t="shared" si="94"/>
        <v>14.54</v>
      </c>
      <c r="S318" s="319">
        <v>12.12</v>
      </c>
      <c r="T318" s="353">
        <f t="shared" si="92"/>
        <v>0</v>
      </c>
      <c r="U318" s="848">
        <v>5</v>
      </c>
      <c r="V318" s="20">
        <f t="shared" si="89"/>
        <v>0</v>
      </c>
      <c r="W318" s="52">
        <f t="shared" si="90"/>
        <v>0</v>
      </c>
      <c r="X318" s="848">
        <v>5</v>
      </c>
    </row>
    <row r="319" spans="1:41" ht="26.25" hidden="1" customHeight="1" x14ac:dyDescent="0.25">
      <c r="B319" s="11"/>
      <c r="C319" s="6" t="s">
        <v>18</v>
      </c>
      <c r="D319" s="23" t="s">
        <v>40</v>
      </c>
      <c r="E319" s="276" t="s">
        <v>640</v>
      </c>
      <c r="F319" s="386"/>
      <c r="G319" s="13"/>
      <c r="H319" s="39"/>
      <c r="I319" s="309">
        <v>0</v>
      </c>
      <c r="J319" s="39">
        <f t="shared" si="86"/>
        <v>0</v>
      </c>
      <c r="K319" s="309">
        <f t="shared" si="95"/>
        <v>0</v>
      </c>
      <c r="L319" s="230"/>
      <c r="M319" s="90"/>
      <c r="N319" s="140"/>
      <c r="O319" s="39"/>
      <c r="P319" s="309">
        <f t="shared" si="93"/>
        <v>0</v>
      </c>
      <c r="Q319" s="235" t="str">
        <f t="shared" si="96"/>
        <v>К25х5,5(10)х3</v>
      </c>
      <c r="R319" s="377">
        <f t="shared" si="94"/>
        <v>0</v>
      </c>
      <c r="S319" s="326">
        <v>0</v>
      </c>
      <c r="T319" s="353">
        <f t="shared" si="92"/>
        <v>0</v>
      </c>
      <c r="U319" s="430">
        <v>10</v>
      </c>
      <c r="V319" s="20">
        <f t="shared" si="89"/>
        <v>0</v>
      </c>
      <c r="W319" s="52">
        <f t="shared" si="90"/>
        <v>0</v>
      </c>
      <c r="X319" s="848">
        <v>10</v>
      </c>
    </row>
    <row r="320" spans="1:41" ht="26.25" hidden="1" customHeight="1" x14ac:dyDescent="0.25">
      <c r="B320" s="11"/>
      <c r="C320" s="6" t="s">
        <v>18</v>
      </c>
      <c r="D320" s="23" t="s">
        <v>40</v>
      </c>
      <c r="E320" s="276" t="s">
        <v>641</v>
      </c>
      <c r="F320" s="387"/>
      <c r="G320" s="12"/>
      <c r="H320" s="39"/>
      <c r="I320" s="309">
        <v>0</v>
      </c>
      <c r="J320" s="39">
        <f t="shared" si="86"/>
        <v>0</v>
      </c>
      <c r="K320" s="309">
        <f t="shared" si="95"/>
        <v>0</v>
      </c>
      <c r="L320" s="230">
        <f>K320*J614</f>
        <v>0</v>
      </c>
      <c r="M320" s="90" t="s">
        <v>150</v>
      </c>
      <c r="N320" s="140"/>
      <c r="O320" s="39"/>
      <c r="P320" s="309">
        <f t="shared" si="93"/>
        <v>0</v>
      </c>
      <c r="Q320" s="235" t="str">
        <f t="shared" si="96"/>
        <v>К31х12х22</v>
      </c>
      <c r="R320" s="377">
        <f t="shared" si="94"/>
        <v>0</v>
      </c>
      <c r="S320" s="319">
        <v>0</v>
      </c>
      <c r="T320" s="353">
        <f t="shared" si="92"/>
        <v>0</v>
      </c>
      <c r="U320" s="430">
        <v>9</v>
      </c>
      <c r="V320" s="20">
        <f t="shared" si="89"/>
        <v>0</v>
      </c>
      <c r="W320" s="52">
        <f t="shared" si="90"/>
        <v>0</v>
      </c>
      <c r="X320" s="18">
        <v>9</v>
      </c>
      <c r="Y320" s="10">
        <v>1</v>
      </c>
    </row>
    <row r="321" spans="2:25" ht="26.25" hidden="1" customHeight="1" x14ac:dyDescent="0.25">
      <c r="B321" s="11"/>
      <c r="C321" s="6" t="s">
        <v>18</v>
      </c>
      <c r="D321" s="23" t="s">
        <v>40</v>
      </c>
      <c r="E321" s="463" t="s">
        <v>725</v>
      </c>
      <c r="F321" s="386">
        <v>1492</v>
      </c>
      <c r="G321" s="14"/>
      <c r="H321" s="39"/>
      <c r="I321" s="309">
        <v>0</v>
      </c>
      <c r="J321" s="39">
        <f t="shared" si="86"/>
        <v>0</v>
      </c>
      <c r="K321" s="309">
        <f t="shared" si="95"/>
        <v>152.57</v>
      </c>
      <c r="L321" s="230"/>
      <c r="M321" s="456" t="s">
        <v>805</v>
      </c>
      <c r="N321" s="140"/>
      <c r="O321" s="39"/>
      <c r="P321" s="309">
        <f t="shared" si="93"/>
        <v>0</v>
      </c>
      <c r="Q321" s="235" t="str">
        <f t="shared" si="96"/>
        <v>К59х44х4</v>
      </c>
      <c r="R321" s="377">
        <f t="shared" si="94"/>
        <v>213.6</v>
      </c>
      <c r="S321" s="326">
        <v>178</v>
      </c>
      <c r="T321" s="353">
        <f t="shared" si="92"/>
        <v>0</v>
      </c>
      <c r="U321" s="20"/>
      <c r="V321" s="20">
        <f t="shared" si="89"/>
        <v>0</v>
      </c>
      <c r="W321" s="52">
        <f t="shared" si="90"/>
        <v>0</v>
      </c>
      <c r="X321" s="20"/>
    </row>
    <row r="322" spans="2:25" ht="26.25" hidden="1" customHeight="1" x14ac:dyDescent="0.25">
      <c r="B322" s="11"/>
      <c r="C322" s="6" t="s">
        <v>18</v>
      </c>
      <c r="D322" s="23" t="s">
        <v>40</v>
      </c>
      <c r="E322" s="112" t="s">
        <v>494</v>
      </c>
      <c r="F322" s="526">
        <v>1332</v>
      </c>
      <c r="G322" s="12" t="s">
        <v>0</v>
      </c>
      <c r="H322" s="39"/>
      <c r="I322" s="360">
        <v>0</v>
      </c>
      <c r="J322" s="39">
        <f t="shared" si="86"/>
        <v>0</v>
      </c>
      <c r="K322" s="309">
        <f t="shared" si="95"/>
        <v>8.14</v>
      </c>
      <c r="L322" s="230"/>
      <c r="M322" s="250" t="s">
        <v>714</v>
      </c>
      <c r="N322" s="140"/>
      <c r="O322" s="503"/>
      <c r="P322" s="309">
        <f t="shared" si="93"/>
        <v>0</v>
      </c>
      <c r="Q322" s="235" t="str">
        <f t="shared" si="96"/>
        <v>К25х5,5(10)х5</v>
      </c>
      <c r="R322" s="377">
        <f t="shared" si="94"/>
        <v>11.4</v>
      </c>
      <c r="S322" s="326">
        <v>9.5</v>
      </c>
      <c r="T322" s="353">
        <f t="shared" si="92"/>
        <v>0</v>
      </c>
      <c r="U322" s="18"/>
      <c r="V322" s="20">
        <f t="shared" si="89"/>
        <v>0</v>
      </c>
      <c r="W322" s="52">
        <f t="shared" si="90"/>
        <v>0</v>
      </c>
      <c r="X322" s="18"/>
    </row>
    <row r="323" spans="2:25" ht="26.25" hidden="1" customHeight="1" x14ac:dyDescent="0.25">
      <c r="B323" s="11"/>
      <c r="C323" s="6" t="s">
        <v>18</v>
      </c>
      <c r="D323" s="23" t="s">
        <v>40</v>
      </c>
      <c r="E323" s="106" t="s">
        <v>660</v>
      </c>
      <c r="F323" s="387" t="s">
        <v>192</v>
      </c>
      <c r="G323" s="12" t="s">
        <v>0</v>
      </c>
      <c r="H323" s="39"/>
      <c r="I323" s="309">
        <v>0</v>
      </c>
      <c r="J323" s="39">
        <f t="shared" si="86"/>
        <v>0</v>
      </c>
      <c r="K323" s="309">
        <f t="shared" si="95"/>
        <v>83.14</v>
      </c>
      <c r="L323" s="230">
        <f>K323*J617</f>
        <v>0</v>
      </c>
      <c r="M323" s="90" t="s">
        <v>150</v>
      </c>
      <c r="N323" s="140"/>
      <c r="O323" s="39"/>
      <c r="P323" s="490">
        <f t="shared" si="93"/>
        <v>0</v>
      </c>
      <c r="Q323" s="235" t="str">
        <f t="shared" si="96"/>
        <v>К47х8(12)х14,5</v>
      </c>
      <c r="R323" s="377">
        <f t="shared" si="94"/>
        <v>116.4</v>
      </c>
      <c r="S323" s="319">
        <v>97</v>
      </c>
      <c r="T323" s="353">
        <f t="shared" si="92"/>
        <v>0</v>
      </c>
      <c r="U323" s="147">
        <v>15</v>
      </c>
      <c r="V323" s="20">
        <f t="shared" si="89"/>
        <v>0</v>
      </c>
      <c r="W323" s="52">
        <f t="shared" si="90"/>
        <v>0</v>
      </c>
      <c r="X323" s="18">
        <v>15</v>
      </c>
      <c r="Y323" s="10">
        <v>1</v>
      </c>
    </row>
    <row r="324" spans="2:25" ht="26.25" hidden="1" customHeight="1" x14ac:dyDescent="0.25">
      <c r="B324" s="11"/>
      <c r="C324" s="6" t="s">
        <v>18</v>
      </c>
      <c r="D324" s="23" t="s">
        <v>40</v>
      </c>
      <c r="E324" s="107" t="s">
        <v>311</v>
      </c>
      <c r="F324" s="386"/>
      <c r="G324" s="12" t="s">
        <v>0</v>
      </c>
      <c r="H324" s="39"/>
      <c r="I324" s="309">
        <v>0</v>
      </c>
      <c r="J324" s="39">
        <f t="shared" si="86"/>
        <v>0</v>
      </c>
      <c r="K324" s="309">
        <f t="shared" si="95"/>
        <v>0</v>
      </c>
      <c r="L324" s="230"/>
      <c r="M324" s="90"/>
      <c r="N324" s="140"/>
      <c r="O324" s="39"/>
      <c r="P324" s="309">
        <f t="shared" si="93"/>
        <v>0</v>
      </c>
      <c r="Q324" s="235" t="str">
        <f t="shared" si="96"/>
        <v>К47х20х15</v>
      </c>
      <c r="R324" s="377">
        <f t="shared" si="94"/>
        <v>0</v>
      </c>
      <c r="S324" s="319">
        <v>0</v>
      </c>
      <c r="T324" s="353">
        <f t="shared" si="92"/>
        <v>0</v>
      </c>
      <c r="U324" s="70">
        <v>10</v>
      </c>
      <c r="V324" s="20">
        <f t="shared" si="89"/>
        <v>0</v>
      </c>
      <c r="W324" s="52">
        <f t="shared" si="90"/>
        <v>0</v>
      </c>
      <c r="X324" s="20">
        <v>10</v>
      </c>
      <c r="Y324" s="10">
        <v>1</v>
      </c>
    </row>
    <row r="325" spans="2:25" ht="26.25" hidden="1" customHeight="1" x14ac:dyDescent="0.25">
      <c r="B325" s="11"/>
      <c r="C325" s="6" t="s">
        <v>18</v>
      </c>
      <c r="D325" s="23" t="s">
        <v>40</v>
      </c>
      <c r="E325" s="107" t="s">
        <v>778</v>
      </c>
      <c r="F325" s="386">
        <v>384</v>
      </c>
      <c r="G325" s="12" t="s">
        <v>0</v>
      </c>
      <c r="H325" s="39"/>
      <c r="I325" s="309">
        <v>0</v>
      </c>
      <c r="J325" s="39">
        <f t="shared" si="86"/>
        <v>0</v>
      </c>
      <c r="K325" s="309">
        <f t="shared" si="95"/>
        <v>75.430000000000007</v>
      </c>
      <c r="L325" s="230"/>
      <c r="M325" s="64"/>
      <c r="N325" s="140"/>
      <c r="O325" s="39"/>
      <c r="P325" s="309">
        <f t="shared" si="93"/>
        <v>0</v>
      </c>
      <c r="Q325" s="235" t="str">
        <f t="shared" si="96"/>
        <v>К53х23х15</v>
      </c>
      <c r="R325" s="377">
        <f t="shared" si="94"/>
        <v>105.6</v>
      </c>
      <c r="S325" s="319">
        <v>88</v>
      </c>
      <c r="T325" s="353">
        <f t="shared" si="92"/>
        <v>0</v>
      </c>
      <c r="U325" s="70">
        <v>1</v>
      </c>
      <c r="V325" s="20">
        <f t="shared" si="89"/>
        <v>0</v>
      </c>
      <c r="W325" s="52">
        <f t="shared" si="90"/>
        <v>0</v>
      </c>
      <c r="X325" s="20">
        <v>1</v>
      </c>
      <c r="Y325" s="10">
        <v>1</v>
      </c>
    </row>
    <row r="326" spans="2:25" ht="26.25" hidden="1" customHeight="1" x14ac:dyDescent="0.25">
      <c r="B326" s="11"/>
      <c r="C326" s="6" t="s">
        <v>18</v>
      </c>
      <c r="D326" s="23" t="s">
        <v>40</v>
      </c>
      <c r="E326" s="107" t="s">
        <v>393</v>
      </c>
      <c r="F326" s="386"/>
      <c r="G326" s="12" t="s">
        <v>0</v>
      </c>
      <c r="H326" s="39"/>
      <c r="I326" s="309">
        <v>0</v>
      </c>
      <c r="J326" s="39">
        <f t="shared" si="86"/>
        <v>0</v>
      </c>
      <c r="K326" s="309">
        <f t="shared" si="95"/>
        <v>0</v>
      </c>
      <c r="L326" s="230"/>
      <c r="M326" s="64"/>
      <c r="N326" s="140"/>
      <c r="O326" s="39"/>
      <c r="P326" s="309">
        <f t="shared" si="93"/>
        <v>0</v>
      </c>
      <c r="Q326" s="235" t="str">
        <f t="shared" si="96"/>
        <v>К60х36х20</v>
      </c>
      <c r="R326" s="377">
        <f t="shared" si="94"/>
        <v>0</v>
      </c>
      <c r="S326" s="319">
        <v>0</v>
      </c>
      <c r="T326" s="353">
        <f t="shared" si="92"/>
        <v>0</v>
      </c>
      <c r="U326" s="148">
        <v>13</v>
      </c>
      <c r="V326" s="20">
        <f t="shared" si="89"/>
        <v>0</v>
      </c>
      <c r="W326" s="52">
        <f t="shared" si="90"/>
        <v>0</v>
      </c>
      <c r="X326" s="20">
        <v>13</v>
      </c>
      <c r="Y326" s="10">
        <v>1</v>
      </c>
    </row>
    <row r="327" spans="2:25" ht="26.25" hidden="1" customHeight="1" x14ac:dyDescent="0.25">
      <c r="B327" s="11"/>
      <c r="C327" s="6" t="s">
        <v>18</v>
      </c>
      <c r="D327" s="23" t="s">
        <v>40</v>
      </c>
      <c r="E327" s="107" t="s">
        <v>392</v>
      </c>
      <c r="F327" s="386"/>
      <c r="G327" s="12" t="s">
        <v>0</v>
      </c>
      <c r="H327" s="39"/>
      <c r="I327" s="309">
        <v>0</v>
      </c>
      <c r="J327" s="39">
        <f t="shared" si="86"/>
        <v>0</v>
      </c>
      <c r="K327" s="309">
        <f t="shared" si="95"/>
        <v>0</v>
      </c>
      <c r="L327" s="230"/>
      <c r="M327" s="64"/>
      <c r="N327" s="140"/>
      <c r="O327" s="513"/>
      <c r="P327" s="497">
        <f t="shared" si="93"/>
        <v>0</v>
      </c>
      <c r="Q327" s="263" t="str">
        <f t="shared" si="96"/>
        <v>К80х10х10</v>
      </c>
      <c r="R327" s="377">
        <f t="shared" si="94"/>
        <v>0</v>
      </c>
      <c r="S327" s="319">
        <v>0</v>
      </c>
      <c r="T327" s="353">
        <f t="shared" si="92"/>
        <v>0</v>
      </c>
      <c r="U327" s="70">
        <v>6</v>
      </c>
      <c r="V327" s="20">
        <f t="shared" si="89"/>
        <v>0</v>
      </c>
      <c r="W327" s="52">
        <f t="shared" si="90"/>
        <v>0</v>
      </c>
      <c r="X327" s="20">
        <v>6</v>
      </c>
      <c r="Y327" s="10">
        <v>1</v>
      </c>
    </row>
    <row r="328" spans="2:25" ht="26.25" customHeight="1" x14ac:dyDescent="0.25">
      <c r="B328" s="11">
        <v>105</v>
      </c>
      <c r="C328" s="6" t="s">
        <v>18</v>
      </c>
      <c r="D328" s="23" t="s">
        <v>40</v>
      </c>
      <c r="E328" s="107" t="s">
        <v>138</v>
      </c>
      <c r="F328" s="396" t="s">
        <v>59</v>
      </c>
      <c r="G328" s="12" t="s">
        <v>0</v>
      </c>
      <c r="H328" s="39">
        <v>1000</v>
      </c>
      <c r="I328" s="360">
        <v>219.4</v>
      </c>
      <c r="J328" s="39">
        <f t="shared" si="86"/>
        <v>0</v>
      </c>
      <c r="K328" s="309">
        <v>0.22</v>
      </c>
      <c r="L328" s="230">
        <f>K328*J622</f>
        <v>0</v>
      </c>
      <c r="M328" s="249"/>
      <c r="N328" s="141"/>
      <c r="O328" s="39">
        <v>1000</v>
      </c>
      <c r="P328" s="309">
        <v>219.4</v>
      </c>
      <c r="Q328" s="51" t="str">
        <f t="shared" si="96"/>
        <v>П2,5х2,5х2</v>
      </c>
      <c r="R328" s="377">
        <f t="shared" si="94"/>
        <v>0.31</v>
      </c>
      <c r="S328" s="319">
        <v>0.25600000000000001</v>
      </c>
      <c r="T328" s="353">
        <f t="shared" si="92"/>
        <v>0</v>
      </c>
      <c r="U328" s="70">
        <f>3000-2</f>
        <v>2998</v>
      </c>
      <c r="V328" s="20">
        <f t="shared" si="89"/>
        <v>0</v>
      </c>
      <c r="W328" s="52">
        <f t="shared" si="90"/>
        <v>0</v>
      </c>
      <c r="X328" s="20">
        <f>3000-2</f>
        <v>2998</v>
      </c>
      <c r="Y328" s="10">
        <v>1</v>
      </c>
    </row>
    <row r="329" spans="2:25" ht="26.25" customHeight="1" thickBot="1" x14ac:dyDescent="0.3">
      <c r="B329" s="11">
        <v>106</v>
      </c>
      <c r="C329" s="6" t="s">
        <v>18</v>
      </c>
      <c r="D329" s="23" t="s">
        <v>40</v>
      </c>
      <c r="E329" s="104" t="s">
        <v>128</v>
      </c>
      <c r="F329" s="208">
        <v>480</v>
      </c>
      <c r="G329" s="12" t="s">
        <v>0</v>
      </c>
      <c r="H329" s="39">
        <v>1100</v>
      </c>
      <c r="I329" s="360">
        <v>770</v>
      </c>
      <c r="J329" s="39">
        <f t="shared" si="86"/>
        <v>1700</v>
      </c>
      <c r="K329" s="309">
        <f t="shared" ref="K329:K341" si="97">R329/1.4</f>
        <v>0.7</v>
      </c>
      <c r="L329" s="230">
        <f>K329*J623</f>
        <v>0</v>
      </c>
      <c r="M329" s="154" t="s">
        <v>941</v>
      </c>
      <c r="N329" s="140">
        <v>800</v>
      </c>
      <c r="O329" s="39">
        <v>2000</v>
      </c>
      <c r="P329" s="309">
        <f t="shared" ref="P329:P341" si="98">K329*O329</f>
        <v>1400</v>
      </c>
      <c r="Q329" s="51" t="str">
        <f t="shared" si="96"/>
        <v>П3х3х4 (ЭПГ 111.022)</v>
      </c>
      <c r="R329" s="306">
        <f t="shared" si="94"/>
        <v>0.98</v>
      </c>
      <c r="S329" s="319">
        <v>0.82</v>
      </c>
      <c r="T329" s="353">
        <f t="shared" si="92"/>
        <v>1394</v>
      </c>
      <c r="U329" s="70">
        <f>15650-1000</f>
        <v>14650</v>
      </c>
      <c r="V329" s="20">
        <f t="shared" si="89"/>
        <v>800</v>
      </c>
      <c r="W329" s="52">
        <f t="shared" si="90"/>
        <v>0</v>
      </c>
      <c r="X329" s="20">
        <f>15650-1000-800</f>
        <v>13850</v>
      </c>
      <c r="Y329" s="10">
        <v>1</v>
      </c>
    </row>
    <row r="330" spans="2:25" ht="26.25" hidden="1" customHeight="1" thickBot="1" x14ac:dyDescent="0.3">
      <c r="B330" s="15"/>
      <c r="C330" s="6" t="s">
        <v>18</v>
      </c>
      <c r="D330" s="23" t="s">
        <v>40</v>
      </c>
      <c r="E330" s="286" t="s">
        <v>564</v>
      </c>
      <c r="F330" s="208">
        <v>1300</v>
      </c>
      <c r="G330" s="48" t="s">
        <v>0</v>
      </c>
      <c r="H330" s="39"/>
      <c r="I330" s="360">
        <v>0</v>
      </c>
      <c r="J330" s="39">
        <f t="shared" ref="J330:J361" si="99">N330+O330-H330</f>
        <v>0</v>
      </c>
      <c r="K330" s="309">
        <f t="shared" si="97"/>
        <v>4.29</v>
      </c>
      <c r="L330" s="230"/>
      <c r="M330" s="158" t="s">
        <v>522</v>
      </c>
      <c r="N330" s="140"/>
      <c r="O330" s="489"/>
      <c r="P330" s="467">
        <f t="shared" si="98"/>
        <v>0</v>
      </c>
      <c r="Q330" s="256" t="str">
        <f t="shared" si="96"/>
        <v>П4х4х3 б/п</v>
      </c>
      <c r="R330" s="377">
        <f t="shared" si="94"/>
        <v>6</v>
      </c>
      <c r="S330" s="326">
        <v>5</v>
      </c>
      <c r="T330" s="353">
        <f t="shared" si="92"/>
        <v>0</v>
      </c>
      <c r="U330" s="70">
        <v>4</v>
      </c>
      <c r="V330" s="20">
        <f t="shared" si="89"/>
        <v>0</v>
      </c>
      <c r="W330" s="52">
        <f t="shared" si="90"/>
        <v>0</v>
      </c>
      <c r="X330" s="20">
        <v>4</v>
      </c>
      <c r="Y330" s="10">
        <v>1</v>
      </c>
    </row>
    <row r="331" spans="2:25" ht="26.25" hidden="1" customHeight="1" x14ac:dyDescent="0.25">
      <c r="B331" s="15"/>
      <c r="C331" s="6" t="s">
        <v>18</v>
      </c>
      <c r="D331" s="23" t="s">
        <v>40</v>
      </c>
      <c r="E331" s="286" t="s">
        <v>526</v>
      </c>
      <c r="F331" s="208">
        <v>1301</v>
      </c>
      <c r="G331" s="48" t="s">
        <v>0</v>
      </c>
      <c r="H331" s="39"/>
      <c r="I331" s="309">
        <v>0</v>
      </c>
      <c r="J331" s="39">
        <f t="shared" si="99"/>
        <v>0</v>
      </c>
      <c r="K331" s="309">
        <f t="shared" si="97"/>
        <v>4.29</v>
      </c>
      <c r="L331" s="230"/>
      <c r="M331" s="158" t="s">
        <v>522</v>
      </c>
      <c r="N331" s="140"/>
      <c r="O331" s="39"/>
      <c r="P331" s="497">
        <f t="shared" si="98"/>
        <v>0</v>
      </c>
      <c r="Q331" s="258" t="str">
        <f t="shared" si="96"/>
        <v>П7х6х2,5</v>
      </c>
      <c r="R331" s="377">
        <f t="shared" si="94"/>
        <v>6</v>
      </c>
      <c r="S331" s="326">
        <v>5</v>
      </c>
      <c r="T331" s="353">
        <f t="shared" si="92"/>
        <v>0</v>
      </c>
      <c r="U331" s="70">
        <v>41</v>
      </c>
      <c r="V331" s="20">
        <f t="shared" ref="V331:V362" si="100">N331</f>
        <v>0</v>
      </c>
      <c r="W331" s="52">
        <f t="shared" ref="W331:W362" si="101">X331-U331+V331</f>
        <v>0</v>
      </c>
      <c r="X331" s="20">
        <v>41</v>
      </c>
      <c r="Y331" s="10">
        <v>1</v>
      </c>
    </row>
    <row r="332" spans="2:25" ht="26.25" hidden="1" customHeight="1" x14ac:dyDescent="0.25">
      <c r="B332" s="11"/>
      <c r="C332" s="6" t="s">
        <v>18</v>
      </c>
      <c r="D332" s="23" t="s">
        <v>40</v>
      </c>
      <c r="E332" s="104" t="s">
        <v>390</v>
      </c>
      <c r="F332" s="208">
        <v>951</v>
      </c>
      <c r="G332" s="12" t="s">
        <v>0</v>
      </c>
      <c r="H332" s="39"/>
      <c r="I332" s="309">
        <v>0</v>
      </c>
      <c r="J332" s="39">
        <f t="shared" si="99"/>
        <v>0</v>
      </c>
      <c r="K332" s="309">
        <f t="shared" si="97"/>
        <v>0.94</v>
      </c>
      <c r="L332" s="230">
        <f>K332*J626</f>
        <v>0</v>
      </c>
      <c r="M332" s="155" t="s">
        <v>715</v>
      </c>
      <c r="N332" s="140"/>
      <c r="O332" s="39"/>
      <c r="P332" s="309">
        <f t="shared" si="98"/>
        <v>0</v>
      </c>
      <c r="Q332" s="51" t="str">
        <f t="shared" si="96"/>
        <v xml:space="preserve">П3,5х2х4 </v>
      </c>
      <c r="R332" s="377">
        <f t="shared" si="94"/>
        <v>1.32</v>
      </c>
      <c r="S332" s="326">
        <v>1.1000000000000001</v>
      </c>
      <c r="T332" s="353">
        <f t="shared" si="92"/>
        <v>0</v>
      </c>
      <c r="U332" s="70">
        <v>715</v>
      </c>
      <c r="V332" s="20">
        <f t="shared" si="100"/>
        <v>0</v>
      </c>
      <c r="W332" s="52">
        <f t="shared" si="101"/>
        <v>0</v>
      </c>
      <c r="X332" s="20">
        <v>715</v>
      </c>
      <c r="Y332" s="10">
        <v>1</v>
      </c>
    </row>
    <row r="333" spans="2:25" ht="26.25" hidden="1" customHeight="1" x14ac:dyDescent="0.25">
      <c r="B333" s="11"/>
      <c r="C333" s="6" t="s">
        <v>18</v>
      </c>
      <c r="D333" s="23" t="s">
        <v>40</v>
      </c>
      <c r="E333" s="104" t="s">
        <v>97</v>
      </c>
      <c r="F333" s="208"/>
      <c r="G333" s="12" t="s">
        <v>0</v>
      </c>
      <c r="H333" s="39"/>
      <c r="I333" s="309">
        <v>0</v>
      </c>
      <c r="J333" s="39">
        <f t="shared" si="99"/>
        <v>0</v>
      </c>
      <c r="K333" s="309">
        <f t="shared" si="97"/>
        <v>0</v>
      </c>
      <c r="L333" s="230"/>
      <c r="M333" s="158"/>
      <c r="N333" s="140"/>
      <c r="O333" s="39"/>
      <c r="P333" s="507">
        <f t="shared" si="98"/>
        <v>0</v>
      </c>
      <c r="Q333" s="264" t="str">
        <f t="shared" si="96"/>
        <v>П3х6х7</v>
      </c>
      <c r="R333" s="377">
        <f t="shared" si="94"/>
        <v>0</v>
      </c>
      <c r="S333" s="330">
        <v>0</v>
      </c>
      <c r="T333" s="353">
        <f t="shared" ref="T333:T338" si="102">S333*J333</f>
        <v>0</v>
      </c>
      <c r="U333" s="70">
        <v>100</v>
      </c>
      <c r="V333" s="20">
        <f t="shared" si="100"/>
        <v>0</v>
      </c>
      <c r="W333" s="52">
        <f t="shared" si="101"/>
        <v>0</v>
      </c>
      <c r="X333" s="20">
        <v>100</v>
      </c>
      <c r="Y333" s="10">
        <v>1</v>
      </c>
    </row>
    <row r="334" spans="2:25" ht="26.25" hidden="1" customHeight="1" x14ac:dyDescent="0.25">
      <c r="B334" s="11"/>
      <c r="C334" s="6" t="s">
        <v>18</v>
      </c>
      <c r="D334" s="23" t="s">
        <v>40</v>
      </c>
      <c r="E334" s="106" t="s">
        <v>273</v>
      </c>
      <c r="F334" s="526">
        <v>758</v>
      </c>
      <c r="G334" s="12" t="s">
        <v>0</v>
      </c>
      <c r="H334" s="39"/>
      <c r="I334" s="360">
        <v>0</v>
      </c>
      <c r="J334" s="39">
        <f t="shared" si="99"/>
        <v>0</v>
      </c>
      <c r="K334" s="309">
        <f t="shared" si="97"/>
        <v>7.31</v>
      </c>
      <c r="L334" s="230">
        <f>K334*J628</f>
        <v>0</v>
      </c>
      <c r="M334" s="155" t="s">
        <v>749</v>
      </c>
      <c r="N334" s="140"/>
      <c r="O334" s="513"/>
      <c r="P334" s="497">
        <f t="shared" si="98"/>
        <v>0</v>
      </c>
      <c r="Q334" s="442" t="str">
        <f t="shared" si="96"/>
        <v>П7х7х2,5</v>
      </c>
      <c r="R334" s="306">
        <f t="shared" si="94"/>
        <v>10.24</v>
      </c>
      <c r="S334" s="330">
        <v>8.5299999999999994</v>
      </c>
      <c r="T334" s="353">
        <f t="shared" si="102"/>
        <v>0</v>
      </c>
      <c r="U334" s="70">
        <v>24</v>
      </c>
      <c r="V334" s="20">
        <f t="shared" si="100"/>
        <v>0</v>
      </c>
      <c r="W334" s="52">
        <f t="shared" si="101"/>
        <v>0</v>
      </c>
      <c r="X334" s="20">
        <v>24</v>
      </c>
      <c r="Y334" s="10">
        <v>1</v>
      </c>
    </row>
    <row r="335" spans="2:25" ht="26.25" hidden="1" customHeight="1" x14ac:dyDescent="0.25">
      <c r="B335" s="11"/>
      <c r="C335" s="6" t="s">
        <v>18</v>
      </c>
      <c r="D335" s="23" t="s">
        <v>40</v>
      </c>
      <c r="E335" s="106" t="s">
        <v>767</v>
      </c>
      <c r="F335" s="526">
        <v>1437</v>
      </c>
      <c r="G335" s="12" t="s">
        <v>0</v>
      </c>
      <c r="H335" s="39"/>
      <c r="I335" s="309">
        <v>0</v>
      </c>
      <c r="J335" s="39">
        <f t="shared" si="99"/>
        <v>0</v>
      </c>
      <c r="K335" s="309">
        <f t="shared" si="97"/>
        <v>2.57</v>
      </c>
      <c r="L335" s="406">
        <f>K335*J629</f>
        <v>0</v>
      </c>
      <c r="M335" s="234" t="s">
        <v>684</v>
      </c>
      <c r="N335" s="41"/>
      <c r="O335" s="39"/>
      <c r="P335" s="309">
        <f t="shared" si="98"/>
        <v>0</v>
      </c>
      <c r="Q335" s="51" t="str">
        <f t="shared" si="96"/>
        <v>П14х7х2</v>
      </c>
      <c r="R335" s="377">
        <f t="shared" si="94"/>
        <v>3.6</v>
      </c>
      <c r="S335" s="330">
        <v>3</v>
      </c>
      <c r="T335" s="353">
        <f t="shared" si="102"/>
        <v>0</v>
      </c>
      <c r="U335" s="70">
        <v>20</v>
      </c>
      <c r="V335" s="20">
        <f t="shared" si="100"/>
        <v>0</v>
      </c>
      <c r="W335" s="52">
        <f t="shared" si="101"/>
        <v>0</v>
      </c>
      <c r="X335" s="20">
        <v>20</v>
      </c>
      <c r="Y335" s="10">
        <v>1</v>
      </c>
    </row>
    <row r="336" spans="2:25" ht="26.25" hidden="1" customHeight="1" x14ac:dyDescent="0.25">
      <c r="B336" s="11"/>
      <c r="C336" s="6" t="s">
        <v>18</v>
      </c>
      <c r="D336" s="23" t="s">
        <v>40</v>
      </c>
      <c r="E336" s="106" t="s">
        <v>380</v>
      </c>
      <c r="F336" s="210">
        <v>1169</v>
      </c>
      <c r="G336" s="12" t="s">
        <v>0</v>
      </c>
      <c r="H336" s="39"/>
      <c r="I336" s="309">
        <v>0</v>
      </c>
      <c r="J336" s="39">
        <f t="shared" si="99"/>
        <v>0</v>
      </c>
      <c r="K336" s="309">
        <f t="shared" si="97"/>
        <v>0.04</v>
      </c>
      <c r="L336" s="230">
        <f>K336*J630</f>
        <v>0</v>
      </c>
      <c r="M336" s="97" t="s">
        <v>388</v>
      </c>
      <c r="N336" s="41"/>
      <c r="O336" s="489"/>
      <c r="P336" s="490">
        <f t="shared" si="98"/>
        <v>0</v>
      </c>
      <c r="Q336" s="262" t="str">
        <f t="shared" si="96"/>
        <v>П8х3х0,7</v>
      </c>
      <c r="R336" s="377">
        <f t="shared" si="94"/>
        <v>0.05</v>
      </c>
      <c r="S336" s="339">
        <v>0.04</v>
      </c>
      <c r="T336" s="353">
        <f t="shared" si="102"/>
        <v>0</v>
      </c>
      <c r="U336" s="430">
        <f>46500-1000</f>
        <v>45500</v>
      </c>
      <c r="V336" s="20">
        <f t="shared" si="100"/>
        <v>0</v>
      </c>
      <c r="W336" s="52">
        <f t="shared" si="101"/>
        <v>0</v>
      </c>
      <c r="X336" s="430">
        <f>46500-1000</f>
        <v>45500</v>
      </c>
      <c r="Y336" s="10">
        <v>1</v>
      </c>
    </row>
    <row r="337" spans="1:40" ht="26.25" hidden="1" customHeight="1" x14ac:dyDescent="0.25">
      <c r="B337" s="19"/>
      <c r="C337" s="6" t="s">
        <v>18</v>
      </c>
      <c r="D337" s="23" t="s">
        <v>40</v>
      </c>
      <c r="E337" s="106" t="s">
        <v>196</v>
      </c>
      <c r="F337" s="387" t="s">
        <v>359</v>
      </c>
      <c r="G337" s="12" t="s">
        <v>0</v>
      </c>
      <c r="H337" s="39"/>
      <c r="I337" s="309">
        <v>0</v>
      </c>
      <c r="J337" s="39">
        <f t="shared" si="99"/>
        <v>0</v>
      </c>
      <c r="K337" s="309">
        <f t="shared" si="97"/>
        <v>4.24</v>
      </c>
      <c r="L337" s="230">
        <f>K337*J631</f>
        <v>0</v>
      </c>
      <c r="M337" s="99" t="s">
        <v>334</v>
      </c>
      <c r="N337" s="140"/>
      <c r="O337" s="39"/>
      <c r="P337" s="497">
        <f t="shared" si="98"/>
        <v>0</v>
      </c>
      <c r="Q337" s="263" t="str">
        <f t="shared" si="96"/>
        <v>П8,5х8,5х13</v>
      </c>
      <c r="R337" s="377">
        <f t="shared" si="94"/>
        <v>5.94</v>
      </c>
      <c r="S337" s="319">
        <v>4.95</v>
      </c>
      <c r="T337" s="353">
        <f t="shared" si="102"/>
        <v>0</v>
      </c>
      <c r="U337" s="70">
        <f>3*420+74-20-1</f>
        <v>1313</v>
      </c>
      <c r="V337" s="20">
        <f t="shared" si="100"/>
        <v>0</v>
      </c>
      <c r="W337" s="52">
        <f t="shared" si="101"/>
        <v>0</v>
      </c>
      <c r="X337" s="444">
        <f>3*420+74-20-1</f>
        <v>1313</v>
      </c>
    </row>
    <row r="338" spans="1:40" ht="26.25" customHeight="1" thickBot="1" x14ac:dyDescent="0.3">
      <c r="B338" s="19">
        <v>107</v>
      </c>
      <c r="C338" s="6" t="s">
        <v>18</v>
      </c>
      <c r="D338" s="23" t="s">
        <v>40</v>
      </c>
      <c r="E338" s="104" t="s">
        <v>77</v>
      </c>
      <c r="F338" s="208">
        <v>474</v>
      </c>
      <c r="G338" s="12" t="s">
        <v>0</v>
      </c>
      <c r="H338" s="39"/>
      <c r="I338" s="360">
        <v>0</v>
      </c>
      <c r="J338" s="39">
        <f t="shared" si="99"/>
        <v>150</v>
      </c>
      <c r="K338" s="309">
        <f t="shared" si="97"/>
        <v>4.24</v>
      </c>
      <c r="L338" s="230">
        <f>K338*J632</f>
        <v>0</v>
      </c>
      <c r="M338" s="154" t="s">
        <v>942</v>
      </c>
      <c r="N338" s="140">
        <v>150</v>
      </c>
      <c r="O338" s="503"/>
      <c r="P338" s="309">
        <f t="shared" si="98"/>
        <v>0</v>
      </c>
      <c r="Q338" s="265" t="str">
        <f t="shared" si="96"/>
        <v>П8,5х13х8,5</v>
      </c>
      <c r="R338" s="306">
        <f t="shared" si="94"/>
        <v>5.94</v>
      </c>
      <c r="S338" s="326">
        <v>4.95</v>
      </c>
      <c r="T338" s="353">
        <f t="shared" si="102"/>
        <v>742.5</v>
      </c>
      <c r="U338" s="148">
        <v>1014</v>
      </c>
      <c r="V338" s="20">
        <f t="shared" si="100"/>
        <v>150</v>
      </c>
      <c r="W338" s="52">
        <f t="shared" si="101"/>
        <v>0</v>
      </c>
      <c r="X338" s="444">
        <f>1014-150</f>
        <v>864</v>
      </c>
    </row>
    <row r="339" spans="1:40" ht="26.25" hidden="1" customHeight="1" x14ac:dyDescent="0.25">
      <c r="B339" s="19"/>
      <c r="C339" s="6" t="s">
        <v>18</v>
      </c>
      <c r="D339" s="23" t="s">
        <v>40</v>
      </c>
      <c r="E339" s="104" t="s">
        <v>313</v>
      </c>
      <c r="F339" s="208">
        <v>1108</v>
      </c>
      <c r="G339" s="48"/>
      <c r="H339" s="39"/>
      <c r="I339" s="309">
        <v>0</v>
      </c>
      <c r="J339" s="39">
        <f t="shared" si="99"/>
        <v>0</v>
      </c>
      <c r="K339" s="309">
        <f t="shared" si="97"/>
        <v>0.09</v>
      </c>
      <c r="L339" s="230"/>
      <c r="M339" s="116"/>
      <c r="N339" s="140"/>
      <c r="O339" s="39"/>
      <c r="P339" s="490">
        <f t="shared" si="98"/>
        <v>0</v>
      </c>
      <c r="Q339" s="262" t="str">
        <f t="shared" si="96"/>
        <v>П10х4х1</v>
      </c>
      <c r="R339" s="377">
        <f t="shared" si="94"/>
        <v>0.12</v>
      </c>
      <c r="S339" s="319">
        <v>0.1</v>
      </c>
      <c r="T339" s="353">
        <f t="shared" ref="T339:T370" si="103">S339*J339</f>
        <v>0</v>
      </c>
      <c r="U339" s="70">
        <f>7500-60</f>
        <v>7440</v>
      </c>
      <c r="V339" s="20">
        <f t="shared" si="100"/>
        <v>0</v>
      </c>
      <c r="W339" s="52">
        <f t="shared" si="101"/>
        <v>0</v>
      </c>
      <c r="X339" s="70">
        <f>7500-60</f>
        <v>7440</v>
      </c>
      <c r="Y339" s="10">
        <v>1</v>
      </c>
    </row>
    <row r="340" spans="1:40" ht="26.25" hidden="1" customHeight="1" x14ac:dyDescent="0.25">
      <c r="B340" s="19"/>
      <c r="C340" s="6" t="s">
        <v>18</v>
      </c>
      <c r="D340" s="23" t="s">
        <v>40</v>
      </c>
      <c r="E340" s="104" t="s">
        <v>385</v>
      </c>
      <c r="F340" s="208"/>
      <c r="G340" s="48"/>
      <c r="H340" s="39"/>
      <c r="I340" s="309">
        <v>0</v>
      </c>
      <c r="J340" s="39">
        <f t="shared" si="99"/>
        <v>0</v>
      </c>
      <c r="K340" s="309">
        <f t="shared" si="97"/>
        <v>0</v>
      </c>
      <c r="L340" s="230"/>
      <c r="M340" s="116"/>
      <c r="N340" s="140"/>
      <c r="O340" s="39"/>
      <c r="P340" s="309">
        <f t="shared" si="98"/>
        <v>0</v>
      </c>
      <c r="Q340" s="235" t="str">
        <f t="shared" si="96"/>
        <v>П10х10х0,5</v>
      </c>
      <c r="R340" s="377">
        <f t="shared" si="94"/>
        <v>0</v>
      </c>
      <c r="S340" s="319">
        <v>0</v>
      </c>
      <c r="T340" s="353">
        <f t="shared" si="103"/>
        <v>0</v>
      </c>
      <c r="U340" s="20">
        <v>192</v>
      </c>
      <c r="V340" s="20">
        <f t="shared" si="100"/>
        <v>0</v>
      </c>
      <c r="W340" s="52">
        <f t="shared" si="101"/>
        <v>0</v>
      </c>
      <c r="X340" s="20">
        <v>192</v>
      </c>
      <c r="Y340" s="10">
        <v>1</v>
      </c>
    </row>
    <row r="341" spans="1:40" ht="26.25" hidden="1" customHeight="1" x14ac:dyDescent="0.25">
      <c r="B341" s="15"/>
      <c r="C341" s="6" t="s">
        <v>18</v>
      </c>
      <c r="D341" s="23" t="s">
        <v>40</v>
      </c>
      <c r="E341" s="107" t="s">
        <v>100</v>
      </c>
      <c r="F341" s="208">
        <v>588</v>
      </c>
      <c r="G341" s="48"/>
      <c r="H341" s="39"/>
      <c r="I341" s="360">
        <v>0</v>
      </c>
      <c r="J341" s="39">
        <f t="shared" si="99"/>
        <v>0</v>
      </c>
      <c r="K341" s="309">
        <f t="shared" si="97"/>
        <v>2.61</v>
      </c>
      <c r="L341" s="230">
        <f>K341*J635</f>
        <v>0</v>
      </c>
      <c r="M341" s="363" t="s">
        <v>469</v>
      </c>
      <c r="N341" s="140"/>
      <c r="O341" s="513"/>
      <c r="P341" s="468">
        <f t="shared" si="98"/>
        <v>0</v>
      </c>
      <c r="Q341" s="263" t="str">
        <f t="shared" si="96"/>
        <v>П10х10х7</v>
      </c>
      <c r="R341" s="377">
        <f t="shared" si="94"/>
        <v>3.66</v>
      </c>
      <c r="S341" s="339">
        <v>3.05</v>
      </c>
      <c r="T341" s="353">
        <f t="shared" si="103"/>
        <v>0</v>
      </c>
      <c r="U341" s="70">
        <v>10</v>
      </c>
      <c r="V341" s="20">
        <f t="shared" si="100"/>
        <v>0</v>
      </c>
      <c r="W341" s="52">
        <f t="shared" si="101"/>
        <v>0</v>
      </c>
      <c r="X341" s="20">
        <v>10</v>
      </c>
      <c r="Y341" s="10">
        <v>1</v>
      </c>
    </row>
    <row r="342" spans="1:40" ht="26.25" hidden="1" customHeight="1" x14ac:dyDescent="0.25">
      <c r="B342" s="19"/>
      <c r="C342" s="6" t="s">
        <v>18</v>
      </c>
      <c r="D342" s="23" t="s">
        <v>40</v>
      </c>
      <c r="E342" s="107" t="s">
        <v>364</v>
      </c>
      <c r="F342" s="208">
        <v>567</v>
      </c>
      <c r="G342" s="48"/>
      <c r="H342" s="39"/>
      <c r="I342" s="360"/>
      <c r="J342" s="39">
        <f t="shared" si="99"/>
        <v>0</v>
      </c>
      <c r="K342" s="309">
        <v>1.53</v>
      </c>
      <c r="L342" s="230"/>
      <c r="M342" s="155" t="s">
        <v>841</v>
      </c>
      <c r="N342" s="140"/>
      <c r="O342" s="39"/>
      <c r="P342" s="309"/>
      <c r="Q342" s="51" t="str">
        <f t="shared" si="96"/>
        <v>П14х7х2,5 для Рифтека</v>
      </c>
      <c r="R342" s="377">
        <f t="shared" si="94"/>
        <v>2.2799999999999998</v>
      </c>
      <c r="S342" s="319">
        <v>1.9</v>
      </c>
      <c r="T342" s="353">
        <f t="shared" si="103"/>
        <v>0</v>
      </c>
      <c r="U342" s="70">
        <f>852-200+1000</f>
        <v>1652</v>
      </c>
      <c r="V342" s="20">
        <f t="shared" si="100"/>
        <v>0</v>
      </c>
      <c r="W342" s="52">
        <f t="shared" si="101"/>
        <v>0</v>
      </c>
      <c r="X342" s="20">
        <f>852-200+1000</f>
        <v>1652</v>
      </c>
      <c r="Y342" s="10">
        <v>1</v>
      </c>
    </row>
    <row r="343" spans="1:40" ht="26.25" customHeight="1" x14ac:dyDescent="0.25">
      <c r="B343" s="11">
        <v>108</v>
      </c>
      <c r="C343" s="6" t="s">
        <v>18</v>
      </c>
      <c r="D343" s="23" t="s">
        <v>40</v>
      </c>
      <c r="E343" s="107" t="s">
        <v>484</v>
      </c>
      <c r="F343" s="208">
        <v>588</v>
      </c>
      <c r="G343" s="12" t="s">
        <v>0</v>
      </c>
      <c r="H343" s="39">
        <v>212</v>
      </c>
      <c r="I343" s="360">
        <v>610.74</v>
      </c>
      <c r="J343" s="39">
        <f t="shared" si="99"/>
        <v>788</v>
      </c>
      <c r="K343" s="309">
        <f t="shared" ref="K343:K367" si="104">R343/1.4</f>
        <v>1.63</v>
      </c>
      <c r="L343" s="230">
        <f>K343*J637</f>
        <v>0</v>
      </c>
      <c r="M343" s="154" t="s">
        <v>943</v>
      </c>
      <c r="N343" s="141"/>
      <c r="O343" s="39">
        <v>1000</v>
      </c>
      <c r="P343" s="490">
        <f>K343*O343</f>
        <v>1630</v>
      </c>
      <c r="Q343" s="262" t="str">
        <f t="shared" si="96"/>
        <v>П14х7х2,4</v>
      </c>
      <c r="R343" s="377">
        <f t="shared" ref="R343:R374" si="105">S343*1.2</f>
        <v>2.2799999999999998</v>
      </c>
      <c r="S343" s="326">
        <v>1.9</v>
      </c>
      <c r="T343" s="353">
        <f t="shared" si="103"/>
        <v>1497.2</v>
      </c>
      <c r="U343" s="430">
        <v>808</v>
      </c>
      <c r="V343" s="20">
        <f t="shared" si="100"/>
        <v>0</v>
      </c>
      <c r="W343" s="52">
        <f t="shared" si="101"/>
        <v>0</v>
      </c>
      <c r="X343" s="18">
        <v>808</v>
      </c>
      <c r="Y343" s="10">
        <v>1</v>
      </c>
    </row>
    <row r="344" spans="1:40" ht="26.25" hidden="1" customHeight="1" thickBot="1" x14ac:dyDescent="0.3">
      <c r="B344" s="19"/>
      <c r="C344" s="6" t="s">
        <v>18</v>
      </c>
      <c r="D344" s="23" t="s">
        <v>40</v>
      </c>
      <c r="E344" s="107" t="s">
        <v>764</v>
      </c>
      <c r="F344" s="208">
        <v>1437</v>
      </c>
      <c r="G344" s="48" t="s">
        <v>0</v>
      </c>
      <c r="H344" s="39"/>
      <c r="I344" s="360">
        <v>0</v>
      </c>
      <c r="J344" s="39">
        <f t="shared" si="99"/>
        <v>0</v>
      </c>
      <c r="K344" s="309">
        <f t="shared" si="104"/>
        <v>2.57</v>
      </c>
      <c r="L344" s="230"/>
      <c r="M344" s="155" t="s">
        <v>716</v>
      </c>
      <c r="N344" s="141"/>
      <c r="O344" s="39"/>
      <c r="P344" s="467">
        <f t="shared" ref="P344:P376" si="106">K344*O344</f>
        <v>0</v>
      </c>
      <c r="Q344" s="256" t="str">
        <f t="shared" si="96"/>
        <v>П20х8х3</v>
      </c>
      <c r="R344" s="377">
        <f t="shared" si="105"/>
        <v>3.6</v>
      </c>
      <c r="S344" s="326">
        <v>3</v>
      </c>
      <c r="T344" s="353">
        <f t="shared" si="103"/>
        <v>0</v>
      </c>
      <c r="U344" s="147">
        <v>100</v>
      </c>
      <c r="V344" s="20">
        <f t="shared" si="100"/>
        <v>0</v>
      </c>
      <c r="W344" s="52">
        <f t="shared" si="101"/>
        <v>0</v>
      </c>
      <c r="X344" s="848">
        <v>100</v>
      </c>
    </row>
    <row r="345" spans="1:40" s="4" customFormat="1" ht="26.25" hidden="1" customHeight="1" x14ac:dyDescent="0.25">
      <c r="A345" s="10"/>
      <c r="B345" s="14"/>
      <c r="C345" s="6" t="s">
        <v>18</v>
      </c>
      <c r="D345" s="23" t="s">
        <v>40</v>
      </c>
      <c r="E345" s="107" t="s">
        <v>672</v>
      </c>
      <c r="F345" s="208">
        <v>892</v>
      </c>
      <c r="G345" s="14" t="s">
        <v>0</v>
      </c>
      <c r="H345" s="39"/>
      <c r="I345" s="309">
        <v>0</v>
      </c>
      <c r="J345" s="39">
        <f t="shared" si="99"/>
        <v>0</v>
      </c>
      <c r="K345" s="309">
        <f t="shared" si="104"/>
        <v>1.03</v>
      </c>
      <c r="L345" s="230">
        <f>K345*J639</f>
        <v>0</v>
      </c>
      <c r="M345" s="72" t="s">
        <v>261</v>
      </c>
      <c r="N345" s="140"/>
      <c r="O345" s="39"/>
      <c r="P345" s="309">
        <f t="shared" si="106"/>
        <v>0</v>
      </c>
      <c r="Q345" s="262" t="str">
        <f t="shared" si="96"/>
        <v>П20х20х5</v>
      </c>
      <c r="R345" s="377">
        <f t="shared" si="105"/>
        <v>1.44</v>
      </c>
      <c r="S345" s="326">
        <v>1.2</v>
      </c>
      <c r="T345" s="353">
        <f t="shared" si="103"/>
        <v>0</v>
      </c>
      <c r="U345" s="430">
        <v>25</v>
      </c>
      <c r="V345" s="20">
        <f t="shared" si="100"/>
        <v>0</v>
      </c>
      <c r="W345" s="52">
        <f t="shared" si="101"/>
        <v>0</v>
      </c>
      <c r="X345" s="18">
        <v>25</v>
      </c>
      <c r="Y345" s="10">
        <v>1</v>
      </c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1:40" ht="26.25" hidden="1" customHeight="1" x14ac:dyDescent="0.25">
      <c r="B346" s="15"/>
      <c r="C346" s="6" t="s">
        <v>18</v>
      </c>
      <c r="D346" s="23" t="s">
        <v>40</v>
      </c>
      <c r="E346" s="104" t="s">
        <v>149</v>
      </c>
      <c r="F346" s="387"/>
      <c r="G346" s="19"/>
      <c r="H346" s="39"/>
      <c r="I346" s="309">
        <v>0</v>
      </c>
      <c r="J346" s="39">
        <f t="shared" si="99"/>
        <v>0</v>
      </c>
      <c r="K346" s="309">
        <f t="shared" si="104"/>
        <v>0</v>
      </c>
      <c r="L346" s="230">
        <f>K346*J640</f>
        <v>0</v>
      </c>
      <c r="M346" s="90"/>
      <c r="N346" s="140"/>
      <c r="O346" s="39"/>
      <c r="P346" s="309">
        <f t="shared" si="106"/>
        <v>0</v>
      </c>
      <c r="Q346" s="235" t="str">
        <f t="shared" si="96"/>
        <v>П17х6х2</v>
      </c>
      <c r="R346" s="377">
        <f t="shared" si="105"/>
        <v>0</v>
      </c>
      <c r="S346" s="321">
        <v>0</v>
      </c>
      <c r="T346" s="353">
        <f t="shared" si="103"/>
        <v>0</v>
      </c>
      <c r="U346" s="430">
        <v>880</v>
      </c>
      <c r="V346" s="20">
        <f t="shared" si="100"/>
        <v>0</v>
      </c>
      <c r="W346" s="52">
        <f t="shared" si="101"/>
        <v>0</v>
      </c>
      <c r="X346" s="18">
        <v>880</v>
      </c>
      <c r="Y346" s="10">
        <v>1</v>
      </c>
    </row>
    <row r="347" spans="1:40" ht="26.25" hidden="1" customHeight="1" x14ac:dyDescent="0.25">
      <c r="B347" s="15"/>
      <c r="C347" s="6" t="s">
        <v>18</v>
      </c>
      <c r="D347" s="23" t="s">
        <v>40</v>
      </c>
      <c r="E347" s="104" t="s">
        <v>445</v>
      </c>
      <c r="F347" s="387" t="s">
        <v>448</v>
      </c>
      <c r="G347" s="19"/>
      <c r="H347" s="39"/>
      <c r="I347" s="309">
        <v>0</v>
      </c>
      <c r="J347" s="39">
        <f t="shared" si="99"/>
        <v>0</v>
      </c>
      <c r="K347" s="309">
        <f t="shared" si="104"/>
        <v>1.04</v>
      </c>
      <c r="L347" s="230"/>
      <c r="M347" s="90"/>
      <c r="N347" s="140"/>
      <c r="O347" s="39"/>
      <c r="P347" s="309">
        <f t="shared" si="106"/>
        <v>0</v>
      </c>
      <c r="Q347" s="235" t="str">
        <f t="shared" si="96"/>
        <v>П20х5х2</v>
      </c>
      <c r="R347" s="377">
        <f t="shared" si="105"/>
        <v>1.45</v>
      </c>
      <c r="S347" s="320">
        <v>1.21</v>
      </c>
      <c r="T347" s="353">
        <f t="shared" si="103"/>
        <v>0</v>
      </c>
      <c r="U347" s="430">
        <v>24</v>
      </c>
      <c r="V347" s="20">
        <f t="shared" si="100"/>
        <v>0</v>
      </c>
      <c r="W347" s="52">
        <f t="shared" si="101"/>
        <v>0</v>
      </c>
      <c r="X347" s="18">
        <v>24</v>
      </c>
      <c r="Y347" s="10">
        <v>1</v>
      </c>
    </row>
    <row r="348" spans="1:40" ht="26.25" hidden="1" customHeight="1" thickBot="1" x14ac:dyDescent="0.3">
      <c r="B348" s="15"/>
      <c r="C348" s="6" t="s">
        <v>18</v>
      </c>
      <c r="D348" s="23" t="s">
        <v>40</v>
      </c>
      <c r="E348" s="104" t="s">
        <v>763</v>
      </c>
      <c r="F348" s="387" t="s">
        <v>449</v>
      </c>
      <c r="G348" s="19"/>
      <c r="H348" s="39"/>
      <c r="I348" s="309">
        <v>0</v>
      </c>
      <c r="J348" s="39">
        <f t="shared" si="99"/>
        <v>0</v>
      </c>
      <c r="K348" s="309">
        <f t="shared" si="104"/>
        <v>1.56</v>
      </c>
      <c r="L348" s="230"/>
      <c r="M348" s="90"/>
      <c r="N348" s="140"/>
      <c r="O348" s="39"/>
      <c r="P348" s="309">
        <f t="shared" si="106"/>
        <v>0</v>
      </c>
      <c r="Q348" s="263" t="str">
        <f t="shared" si="96"/>
        <v>П26х15х4 б/п</v>
      </c>
      <c r="R348" s="377">
        <f t="shared" si="105"/>
        <v>2.19</v>
      </c>
      <c r="S348" s="320">
        <v>1.825</v>
      </c>
      <c r="T348" s="353">
        <f t="shared" si="103"/>
        <v>0</v>
      </c>
      <c r="U348" s="430">
        <v>5</v>
      </c>
      <c r="V348" s="20">
        <f t="shared" si="100"/>
        <v>0</v>
      </c>
      <c r="W348" s="52">
        <f t="shared" si="101"/>
        <v>0</v>
      </c>
      <c r="X348" s="848">
        <v>5</v>
      </c>
    </row>
    <row r="349" spans="1:40" ht="26.25" hidden="1" customHeight="1" x14ac:dyDescent="0.25">
      <c r="B349" s="15"/>
      <c r="C349" s="6" t="s">
        <v>18</v>
      </c>
      <c r="D349" s="23" t="s">
        <v>40</v>
      </c>
      <c r="E349" s="107" t="s">
        <v>249</v>
      </c>
      <c r="F349" s="208">
        <v>541</v>
      </c>
      <c r="G349" s="12" t="s">
        <v>0</v>
      </c>
      <c r="H349" s="39"/>
      <c r="I349" s="309">
        <v>0</v>
      </c>
      <c r="J349" s="39">
        <f t="shared" si="99"/>
        <v>0</v>
      </c>
      <c r="K349" s="309">
        <f t="shared" si="104"/>
        <v>5.14</v>
      </c>
      <c r="L349" s="230"/>
      <c r="M349" s="158" t="s">
        <v>503</v>
      </c>
      <c r="N349" s="140"/>
      <c r="O349" s="39"/>
      <c r="P349" s="309">
        <f t="shared" si="106"/>
        <v>0</v>
      </c>
      <c r="Q349" s="403" t="str">
        <f t="shared" si="96"/>
        <v>П20х10х7,5</v>
      </c>
      <c r="R349" s="377">
        <f t="shared" si="105"/>
        <v>7.2</v>
      </c>
      <c r="S349" s="326">
        <v>6</v>
      </c>
      <c r="T349" s="353">
        <f t="shared" si="103"/>
        <v>0</v>
      </c>
      <c r="U349" s="430">
        <f>240+55</f>
        <v>295</v>
      </c>
      <c r="V349" s="20">
        <f t="shared" si="100"/>
        <v>0</v>
      </c>
      <c r="W349" s="52">
        <f t="shared" si="101"/>
        <v>0</v>
      </c>
      <c r="X349" s="18">
        <f>240+55</f>
        <v>295</v>
      </c>
      <c r="Y349" s="10">
        <v>1</v>
      </c>
    </row>
    <row r="350" spans="1:40" ht="26.25" customHeight="1" x14ac:dyDescent="0.25">
      <c r="B350" s="14">
        <v>109</v>
      </c>
      <c r="C350" s="6" t="s">
        <v>18</v>
      </c>
      <c r="D350" s="23" t="s">
        <v>40</v>
      </c>
      <c r="E350" s="107" t="s">
        <v>387</v>
      </c>
      <c r="F350" s="208">
        <v>1123</v>
      </c>
      <c r="G350" s="12" t="s">
        <v>0</v>
      </c>
      <c r="H350" s="39">
        <v>50</v>
      </c>
      <c r="I350" s="360">
        <v>253</v>
      </c>
      <c r="J350" s="39">
        <f t="shared" si="99"/>
        <v>0</v>
      </c>
      <c r="K350" s="309">
        <f t="shared" si="104"/>
        <v>5.0599999999999996</v>
      </c>
      <c r="L350" s="230"/>
      <c r="M350" s="64" t="s">
        <v>842</v>
      </c>
      <c r="N350" s="140"/>
      <c r="O350" s="39">
        <v>50</v>
      </c>
      <c r="P350" s="360">
        <f t="shared" si="106"/>
        <v>253</v>
      </c>
      <c r="Q350" s="51" t="str">
        <f t="shared" si="96"/>
        <v>П20х10х5</v>
      </c>
      <c r="R350" s="377">
        <f t="shared" si="105"/>
        <v>7.08</v>
      </c>
      <c r="S350" s="319">
        <v>5.9</v>
      </c>
      <c r="T350" s="353">
        <f t="shared" si="103"/>
        <v>0</v>
      </c>
      <c r="U350" s="70">
        <v>80</v>
      </c>
      <c r="V350" s="20">
        <f t="shared" si="100"/>
        <v>0</v>
      </c>
      <c r="W350" s="52">
        <f t="shared" si="101"/>
        <v>0</v>
      </c>
      <c r="X350" s="20">
        <v>80</v>
      </c>
      <c r="Y350" s="10">
        <v>1</v>
      </c>
    </row>
    <row r="351" spans="1:40" ht="26.25" hidden="1" customHeight="1" x14ac:dyDescent="0.25">
      <c r="B351" s="14"/>
      <c r="C351" s="6" t="s">
        <v>18</v>
      </c>
      <c r="D351" s="23" t="s">
        <v>40</v>
      </c>
      <c r="E351" s="107" t="s">
        <v>312</v>
      </c>
      <c r="F351" s="208"/>
      <c r="G351" s="14"/>
      <c r="H351" s="39"/>
      <c r="I351" s="309">
        <v>0</v>
      </c>
      <c r="J351" s="39">
        <f t="shared" si="99"/>
        <v>0</v>
      </c>
      <c r="K351" s="309">
        <f t="shared" si="104"/>
        <v>0</v>
      </c>
      <c r="L351" s="230"/>
      <c r="M351" s="273"/>
      <c r="N351" s="140"/>
      <c r="O351" s="39"/>
      <c r="P351" s="309">
        <f t="shared" si="106"/>
        <v>0</v>
      </c>
      <c r="Q351" s="262" t="str">
        <f t="shared" si="96"/>
        <v>П18х18х3</v>
      </c>
      <c r="R351" s="377">
        <f t="shared" si="105"/>
        <v>0</v>
      </c>
      <c r="S351" s="319">
        <v>0</v>
      </c>
      <c r="T351" s="353">
        <f t="shared" si="103"/>
        <v>0</v>
      </c>
      <c r="U351" s="70">
        <v>50</v>
      </c>
      <c r="V351" s="20">
        <f t="shared" si="100"/>
        <v>0</v>
      </c>
      <c r="W351" s="52">
        <f t="shared" si="101"/>
        <v>0</v>
      </c>
      <c r="X351" s="20">
        <v>50</v>
      </c>
      <c r="Y351" s="10">
        <v>1</v>
      </c>
    </row>
    <row r="352" spans="1:40" ht="26.25" hidden="1" customHeight="1" x14ac:dyDescent="0.25">
      <c r="B352" s="14"/>
      <c r="C352" s="6" t="s">
        <v>18</v>
      </c>
      <c r="D352" s="23" t="s">
        <v>40</v>
      </c>
      <c r="E352" s="107" t="s">
        <v>254</v>
      </c>
      <c r="F352" s="208">
        <v>757</v>
      </c>
      <c r="G352" s="48" t="s">
        <v>0</v>
      </c>
      <c r="H352" s="39"/>
      <c r="I352" s="309">
        <v>0</v>
      </c>
      <c r="J352" s="39">
        <f t="shared" si="99"/>
        <v>0</v>
      </c>
      <c r="K352" s="309">
        <f t="shared" si="104"/>
        <v>4.63</v>
      </c>
      <c r="L352" s="230"/>
      <c r="M352" s="94" t="s">
        <v>718</v>
      </c>
      <c r="N352" s="140"/>
      <c r="O352" s="39"/>
      <c r="P352" s="309">
        <f t="shared" si="106"/>
        <v>0</v>
      </c>
      <c r="Q352" s="263" t="str">
        <f t="shared" si="96"/>
        <v>П26х19х3</v>
      </c>
      <c r="R352" s="377">
        <f t="shared" si="105"/>
        <v>6.48</v>
      </c>
      <c r="S352" s="319">
        <v>5.4</v>
      </c>
      <c r="T352" s="353">
        <f t="shared" si="103"/>
        <v>0</v>
      </c>
      <c r="U352" s="70">
        <v>2</v>
      </c>
      <c r="V352" s="20">
        <f t="shared" si="100"/>
        <v>0</v>
      </c>
      <c r="W352" s="52">
        <f t="shared" si="101"/>
        <v>0</v>
      </c>
      <c r="X352" s="20">
        <v>2</v>
      </c>
      <c r="Y352" s="10">
        <v>1</v>
      </c>
    </row>
    <row r="353" spans="1:40" ht="26.25" hidden="1" customHeight="1" x14ac:dyDescent="0.25">
      <c r="B353" s="14"/>
      <c r="C353" s="6" t="s">
        <v>18</v>
      </c>
      <c r="D353" s="23" t="s">
        <v>40</v>
      </c>
      <c r="E353" s="107" t="s">
        <v>722</v>
      </c>
      <c r="F353" s="208">
        <v>1398</v>
      </c>
      <c r="G353" s="48"/>
      <c r="H353" s="39"/>
      <c r="I353" s="360">
        <v>0</v>
      </c>
      <c r="J353" s="39">
        <f t="shared" si="99"/>
        <v>0</v>
      </c>
      <c r="K353" s="309">
        <f t="shared" si="104"/>
        <v>38.57</v>
      </c>
      <c r="L353" s="230"/>
      <c r="M353" s="94" t="s">
        <v>806</v>
      </c>
      <c r="N353" s="140"/>
      <c r="O353" s="39"/>
      <c r="P353" s="360">
        <f t="shared" si="106"/>
        <v>0</v>
      </c>
      <c r="Q353" s="260" t="str">
        <f t="shared" si="96"/>
        <v>П31х35х8</v>
      </c>
      <c r="R353" s="377">
        <f t="shared" si="105"/>
        <v>54</v>
      </c>
      <c r="S353" s="319">
        <v>45</v>
      </c>
      <c r="T353" s="353">
        <f t="shared" si="103"/>
        <v>0</v>
      </c>
      <c r="U353" s="70"/>
      <c r="V353" s="20">
        <f t="shared" si="100"/>
        <v>0</v>
      </c>
      <c r="W353" s="52">
        <f t="shared" si="101"/>
        <v>0</v>
      </c>
      <c r="X353" s="20"/>
    </row>
    <row r="354" spans="1:40" ht="26.25" hidden="1" customHeight="1" x14ac:dyDescent="0.25">
      <c r="B354" s="14"/>
      <c r="C354" s="6" t="s">
        <v>18</v>
      </c>
      <c r="D354" s="23" t="s">
        <v>40</v>
      </c>
      <c r="E354" s="87" t="s">
        <v>758</v>
      </c>
      <c r="F354" s="208">
        <v>1332</v>
      </c>
      <c r="G354" s="48"/>
      <c r="H354" s="39"/>
      <c r="I354" s="360">
        <v>0</v>
      </c>
      <c r="J354" s="39">
        <f t="shared" si="99"/>
        <v>0</v>
      </c>
      <c r="K354" s="309">
        <f t="shared" si="104"/>
        <v>8.14</v>
      </c>
      <c r="L354" s="230"/>
      <c r="M354" s="94" t="s">
        <v>807</v>
      </c>
      <c r="N354" s="140"/>
      <c r="O354" s="39"/>
      <c r="P354" s="360">
        <f t="shared" si="106"/>
        <v>0</v>
      </c>
      <c r="Q354" s="51" t="str">
        <f t="shared" si="96"/>
        <v>К25х5(10)х5</v>
      </c>
      <c r="R354" s="377">
        <f t="shared" si="105"/>
        <v>11.4</v>
      </c>
      <c r="S354" s="319">
        <v>9.5</v>
      </c>
      <c r="T354" s="353">
        <f t="shared" si="103"/>
        <v>0</v>
      </c>
      <c r="U354" s="70">
        <v>3</v>
      </c>
      <c r="V354" s="20">
        <f t="shared" si="100"/>
        <v>0</v>
      </c>
      <c r="W354" s="52">
        <f t="shared" si="101"/>
        <v>0</v>
      </c>
      <c r="X354" s="20">
        <v>3</v>
      </c>
      <c r="Y354" s="10">
        <v>1</v>
      </c>
    </row>
    <row r="355" spans="1:40" ht="26.25" hidden="1" customHeight="1" x14ac:dyDescent="0.25">
      <c r="B355" s="14"/>
      <c r="C355" s="6" t="s">
        <v>18</v>
      </c>
      <c r="D355" s="23" t="s">
        <v>40</v>
      </c>
      <c r="E355" s="107" t="s">
        <v>381</v>
      </c>
      <c r="F355" s="208"/>
      <c r="G355" s="14"/>
      <c r="H355" s="39"/>
      <c r="I355" s="309">
        <v>0</v>
      </c>
      <c r="J355" s="39">
        <f t="shared" si="99"/>
        <v>0</v>
      </c>
      <c r="K355" s="309">
        <f t="shared" si="104"/>
        <v>0</v>
      </c>
      <c r="L355" s="230"/>
      <c r="M355" s="273"/>
      <c r="N355" s="140"/>
      <c r="O355" s="39"/>
      <c r="P355" s="309">
        <f t="shared" si="106"/>
        <v>0</v>
      </c>
      <c r="Q355" s="262" t="str">
        <f t="shared" si="96"/>
        <v xml:space="preserve">п30х16х3 R50 </v>
      </c>
      <c r="R355" s="377">
        <f t="shared" si="105"/>
        <v>0</v>
      </c>
      <c r="S355" s="319">
        <v>0</v>
      </c>
      <c r="T355" s="353">
        <f t="shared" si="103"/>
        <v>0</v>
      </c>
      <c r="U355" s="70">
        <v>160</v>
      </c>
      <c r="V355" s="20">
        <f t="shared" si="100"/>
        <v>0</v>
      </c>
      <c r="W355" s="52">
        <f t="shared" si="101"/>
        <v>0</v>
      </c>
      <c r="X355" s="20">
        <v>160</v>
      </c>
      <c r="Y355" s="10">
        <v>1</v>
      </c>
    </row>
    <row r="356" spans="1:40" ht="26.25" hidden="1" customHeight="1" x14ac:dyDescent="0.25">
      <c r="B356" s="14"/>
      <c r="C356" s="6" t="s">
        <v>18</v>
      </c>
      <c r="D356" s="23" t="s">
        <v>40</v>
      </c>
      <c r="E356" s="107" t="s">
        <v>446</v>
      </c>
      <c r="F356" s="208"/>
      <c r="G356" s="14"/>
      <c r="H356" s="39"/>
      <c r="I356" s="309">
        <v>0</v>
      </c>
      <c r="J356" s="39">
        <f t="shared" si="99"/>
        <v>0</v>
      </c>
      <c r="K356" s="309">
        <f t="shared" si="104"/>
        <v>0</v>
      </c>
      <c r="L356" s="230"/>
      <c r="M356" s="273"/>
      <c r="N356" s="140"/>
      <c r="O356" s="39"/>
      <c r="P356" s="309">
        <f t="shared" si="106"/>
        <v>0</v>
      </c>
      <c r="Q356" s="235" t="str">
        <f t="shared" si="96"/>
        <v>П5х2х20</v>
      </c>
      <c r="R356" s="377">
        <f t="shared" si="105"/>
        <v>0</v>
      </c>
      <c r="S356" s="339">
        <v>0</v>
      </c>
      <c r="T356" s="353">
        <f t="shared" si="103"/>
        <v>0</v>
      </c>
      <c r="U356" s="70">
        <v>10</v>
      </c>
      <c r="V356" s="20">
        <f t="shared" si="100"/>
        <v>0</v>
      </c>
      <c r="W356" s="52">
        <f t="shared" si="101"/>
        <v>0</v>
      </c>
      <c r="X356" s="20">
        <v>10</v>
      </c>
      <c r="Y356" s="10">
        <v>1</v>
      </c>
    </row>
    <row r="357" spans="1:40" ht="26.25" hidden="1" customHeight="1" x14ac:dyDescent="0.25">
      <c r="B357" s="14"/>
      <c r="C357" s="6" t="s">
        <v>18</v>
      </c>
      <c r="D357" s="23" t="s">
        <v>40</v>
      </c>
      <c r="E357" s="1" t="s">
        <v>613</v>
      </c>
      <c r="F357" s="208">
        <v>1207</v>
      </c>
      <c r="G357" s="14"/>
      <c r="H357" s="39"/>
      <c r="I357" s="309">
        <v>0</v>
      </c>
      <c r="J357" s="39">
        <f t="shared" si="99"/>
        <v>0</v>
      </c>
      <c r="K357" s="309">
        <f t="shared" si="104"/>
        <v>34.29</v>
      </c>
      <c r="L357" s="230"/>
      <c r="M357" s="273"/>
      <c r="N357" s="140"/>
      <c r="O357" s="39"/>
      <c r="P357" s="309">
        <f t="shared" si="106"/>
        <v>0</v>
      </c>
      <c r="Q357" s="235" t="str">
        <f t="shared" si="96"/>
        <v>П30х10х4</v>
      </c>
      <c r="R357" s="377">
        <f t="shared" si="105"/>
        <v>48</v>
      </c>
      <c r="S357" s="319">
        <v>40</v>
      </c>
      <c r="T357" s="353">
        <f t="shared" si="103"/>
        <v>0</v>
      </c>
      <c r="U357" s="70">
        <v>73</v>
      </c>
      <c r="V357" s="20">
        <f t="shared" si="100"/>
        <v>0</v>
      </c>
      <c r="W357" s="52">
        <f t="shared" si="101"/>
        <v>0</v>
      </c>
      <c r="X357" s="20">
        <v>73</v>
      </c>
      <c r="Y357" s="10">
        <v>1</v>
      </c>
    </row>
    <row r="358" spans="1:40" ht="26.25" hidden="1" customHeight="1" x14ac:dyDescent="0.25">
      <c r="B358" s="14"/>
      <c r="C358" s="6" t="s">
        <v>18</v>
      </c>
      <c r="D358" s="23" t="s">
        <v>40</v>
      </c>
      <c r="E358" s="107" t="s">
        <v>690</v>
      </c>
      <c r="F358" s="208">
        <v>1194</v>
      </c>
      <c r="G358" s="14"/>
      <c r="H358" s="39"/>
      <c r="I358" s="309">
        <v>0</v>
      </c>
      <c r="J358" s="39">
        <f t="shared" si="99"/>
        <v>0</v>
      </c>
      <c r="K358" s="309">
        <f t="shared" si="104"/>
        <v>3.13</v>
      </c>
      <c r="L358" s="230"/>
      <c r="M358" s="273"/>
      <c r="N358" s="140"/>
      <c r="O358" s="39"/>
      <c r="P358" s="309">
        <f t="shared" si="106"/>
        <v>0</v>
      </c>
      <c r="Q358" s="235" t="str">
        <f t="shared" si="96"/>
        <v>П30х16х10</v>
      </c>
      <c r="R358" s="377">
        <f t="shared" si="105"/>
        <v>4.38</v>
      </c>
      <c r="S358" s="319">
        <v>3.65</v>
      </c>
      <c r="T358" s="353">
        <f t="shared" si="103"/>
        <v>0</v>
      </c>
      <c r="U358" s="70">
        <v>9</v>
      </c>
      <c r="V358" s="20">
        <f t="shared" si="100"/>
        <v>0</v>
      </c>
      <c r="W358" s="52">
        <f t="shared" si="101"/>
        <v>0</v>
      </c>
      <c r="X358" s="20">
        <v>9</v>
      </c>
      <c r="Y358" s="10">
        <v>1</v>
      </c>
    </row>
    <row r="359" spans="1:40" ht="26.25" hidden="1" customHeight="1" x14ac:dyDescent="0.25">
      <c r="B359" s="14"/>
      <c r="C359" s="6" t="s">
        <v>18</v>
      </c>
      <c r="D359" s="23" t="s">
        <v>40</v>
      </c>
      <c r="E359" s="107" t="s">
        <v>584</v>
      </c>
      <c r="F359" s="208">
        <v>1345</v>
      </c>
      <c r="G359" s="14"/>
      <c r="H359" s="39"/>
      <c r="I359" s="309">
        <v>0</v>
      </c>
      <c r="J359" s="39">
        <f t="shared" si="99"/>
        <v>0</v>
      </c>
      <c r="K359" s="309">
        <f t="shared" si="104"/>
        <v>3</v>
      </c>
      <c r="L359" s="230"/>
      <c r="M359" s="155" t="s">
        <v>593</v>
      </c>
      <c r="N359" s="140"/>
      <c r="O359" s="39"/>
      <c r="P359" s="309">
        <f t="shared" si="106"/>
        <v>0</v>
      </c>
      <c r="Q359" s="235" t="str">
        <f t="shared" si="96"/>
        <v>П25х14х7</v>
      </c>
      <c r="R359" s="377">
        <f t="shared" si="105"/>
        <v>4.2</v>
      </c>
      <c r="S359" s="319">
        <v>3.5</v>
      </c>
      <c r="T359" s="353">
        <f t="shared" si="103"/>
        <v>0</v>
      </c>
      <c r="U359" s="70">
        <f>126*6+29</f>
        <v>785</v>
      </c>
      <c r="V359" s="20">
        <f t="shared" si="100"/>
        <v>0</v>
      </c>
      <c r="W359" s="52">
        <f t="shared" si="101"/>
        <v>0</v>
      </c>
      <c r="X359" s="20">
        <f>126*6+29</f>
        <v>785</v>
      </c>
      <c r="Y359" s="10">
        <v>1</v>
      </c>
    </row>
    <row r="360" spans="1:40" ht="26.25" hidden="1" customHeight="1" x14ac:dyDescent="0.25">
      <c r="B360" s="14"/>
      <c r="C360" s="6" t="s">
        <v>18</v>
      </c>
      <c r="D360" s="23" t="s">
        <v>40</v>
      </c>
      <c r="E360" s="107" t="s">
        <v>222</v>
      </c>
      <c r="F360" s="208"/>
      <c r="G360" s="14"/>
      <c r="H360" s="39"/>
      <c r="I360" s="309">
        <v>0</v>
      </c>
      <c r="J360" s="39">
        <f t="shared" si="99"/>
        <v>0</v>
      </c>
      <c r="K360" s="309">
        <f t="shared" si="104"/>
        <v>0</v>
      </c>
      <c r="L360" s="230"/>
      <c r="M360" s="273"/>
      <c r="N360" s="140"/>
      <c r="O360" s="39"/>
      <c r="P360" s="309">
        <f t="shared" si="106"/>
        <v>0</v>
      </c>
      <c r="Q360" s="235" t="str">
        <f t="shared" si="96"/>
        <v>П40х20х10</v>
      </c>
      <c r="R360" s="377">
        <f t="shared" si="105"/>
        <v>0</v>
      </c>
      <c r="S360" s="326">
        <v>0</v>
      </c>
      <c r="T360" s="353">
        <f t="shared" si="103"/>
        <v>0</v>
      </c>
      <c r="U360" s="70">
        <v>60</v>
      </c>
      <c r="V360" s="20">
        <f t="shared" si="100"/>
        <v>0</v>
      </c>
      <c r="W360" s="52">
        <f t="shared" si="101"/>
        <v>0</v>
      </c>
      <c r="X360" s="20">
        <v>60</v>
      </c>
      <c r="Y360" s="10">
        <v>1</v>
      </c>
    </row>
    <row r="361" spans="1:40" s="4" customFormat="1" ht="26.25" hidden="1" customHeight="1" x14ac:dyDescent="0.25">
      <c r="A361" s="10"/>
      <c r="B361" s="14"/>
      <c r="C361" s="6" t="s">
        <v>18</v>
      </c>
      <c r="D361" s="23" t="s">
        <v>40</v>
      </c>
      <c r="E361" s="107" t="s">
        <v>633</v>
      </c>
      <c r="F361" s="208"/>
      <c r="G361" s="14"/>
      <c r="H361" s="39"/>
      <c r="I361" s="309">
        <v>0</v>
      </c>
      <c r="J361" s="39">
        <f t="shared" si="99"/>
        <v>0</v>
      </c>
      <c r="K361" s="309">
        <f t="shared" si="104"/>
        <v>0</v>
      </c>
      <c r="L361" s="230"/>
      <c r="M361" s="273"/>
      <c r="N361" s="140"/>
      <c r="O361" s="39"/>
      <c r="P361" s="309">
        <f t="shared" si="106"/>
        <v>0</v>
      </c>
      <c r="Q361" s="235" t="str">
        <f t="shared" si="96"/>
        <v>П25х8х6</v>
      </c>
      <c r="R361" s="377">
        <f t="shared" si="105"/>
        <v>0</v>
      </c>
      <c r="S361" s="319">
        <v>0</v>
      </c>
      <c r="T361" s="353">
        <f t="shared" si="103"/>
        <v>0</v>
      </c>
      <c r="U361" s="70">
        <v>2</v>
      </c>
      <c r="V361" s="20">
        <f t="shared" si="100"/>
        <v>0</v>
      </c>
      <c r="W361" s="52">
        <f t="shared" si="101"/>
        <v>0</v>
      </c>
      <c r="X361" s="20">
        <v>2</v>
      </c>
      <c r="Y361" s="10">
        <v>1</v>
      </c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</row>
    <row r="362" spans="1:40" ht="26.25" hidden="1" customHeight="1" x14ac:dyDescent="0.25">
      <c r="B362" s="14"/>
      <c r="C362" s="6" t="s">
        <v>18</v>
      </c>
      <c r="D362" s="23" t="s">
        <v>40</v>
      </c>
      <c r="E362" s="112" t="s">
        <v>320</v>
      </c>
      <c r="F362" s="208">
        <v>912</v>
      </c>
      <c r="G362" s="13" t="s">
        <v>0</v>
      </c>
      <c r="H362" s="39"/>
      <c r="I362" s="309">
        <v>0</v>
      </c>
      <c r="J362" s="39">
        <f t="shared" ref="J362:J379" si="107">N362+O362-H362</f>
        <v>0</v>
      </c>
      <c r="K362" s="309">
        <f t="shared" si="104"/>
        <v>10.29</v>
      </c>
      <c r="L362" s="230"/>
      <c r="M362" s="273"/>
      <c r="N362" s="140"/>
      <c r="O362" s="39"/>
      <c r="P362" s="309">
        <f t="shared" si="106"/>
        <v>0</v>
      </c>
      <c r="Q362" s="235" t="str">
        <f t="shared" si="96"/>
        <v>П31х26х4</v>
      </c>
      <c r="R362" s="377">
        <f t="shared" si="105"/>
        <v>14.4</v>
      </c>
      <c r="S362" s="319">
        <v>12</v>
      </c>
      <c r="T362" s="353">
        <f t="shared" si="103"/>
        <v>0</v>
      </c>
      <c r="U362" s="70">
        <v>18</v>
      </c>
      <c r="V362" s="20">
        <f t="shared" si="100"/>
        <v>0</v>
      </c>
      <c r="W362" s="52">
        <f t="shared" si="101"/>
        <v>0</v>
      </c>
      <c r="X362" s="20">
        <v>18</v>
      </c>
      <c r="Y362" s="10">
        <v>1</v>
      </c>
    </row>
    <row r="363" spans="1:40" ht="26.25" hidden="1" customHeight="1" x14ac:dyDescent="0.25">
      <c r="B363" s="14"/>
      <c r="C363" s="6" t="s">
        <v>18</v>
      </c>
      <c r="D363" s="23" t="s">
        <v>40</v>
      </c>
      <c r="E363" s="107" t="s">
        <v>305</v>
      </c>
      <c r="F363" s="208">
        <v>860</v>
      </c>
      <c r="G363" s="14"/>
      <c r="H363" s="39"/>
      <c r="I363" s="309">
        <v>0</v>
      </c>
      <c r="J363" s="39">
        <f t="shared" si="107"/>
        <v>0</v>
      </c>
      <c r="K363" s="309">
        <f t="shared" si="104"/>
        <v>2.83</v>
      </c>
      <c r="L363" s="230">
        <f>K363*J657</f>
        <v>0</v>
      </c>
      <c r="M363" s="273"/>
      <c r="N363" s="140"/>
      <c r="O363" s="39"/>
      <c r="P363" s="309">
        <f t="shared" si="106"/>
        <v>0</v>
      </c>
      <c r="Q363" s="235" t="str">
        <f t="shared" si="96"/>
        <v>П41,5х23х1,5</v>
      </c>
      <c r="R363" s="377">
        <f t="shared" si="105"/>
        <v>3.96</v>
      </c>
      <c r="S363" s="319">
        <v>3.3</v>
      </c>
      <c r="T363" s="353">
        <f t="shared" si="103"/>
        <v>0</v>
      </c>
      <c r="U363" s="70">
        <v>270</v>
      </c>
      <c r="V363" s="20">
        <f t="shared" ref="V363:V379" si="108">N363</f>
        <v>0</v>
      </c>
      <c r="W363" s="52">
        <f t="shared" ref="W363:W374" si="109">X363-U363+V363</f>
        <v>0</v>
      </c>
      <c r="X363" s="20">
        <v>270</v>
      </c>
      <c r="Y363" s="10">
        <v>1</v>
      </c>
    </row>
    <row r="364" spans="1:40" ht="26.25" hidden="1" customHeight="1" x14ac:dyDescent="0.25">
      <c r="B364" s="14"/>
      <c r="C364" s="6" t="s">
        <v>18</v>
      </c>
      <c r="D364" s="23" t="s">
        <v>40</v>
      </c>
      <c r="E364" s="107" t="s">
        <v>382</v>
      </c>
      <c r="F364" s="208"/>
      <c r="G364" s="14"/>
      <c r="H364" s="39"/>
      <c r="I364" s="309">
        <v>0</v>
      </c>
      <c r="J364" s="39">
        <f t="shared" si="107"/>
        <v>0</v>
      </c>
      <c r="K364" s="309">
        <f t="shared" si="104"/>
        <v>0</v>
      </c>
      <c r="L364" s="230"/>
      <c r="M364" s="273"/>
      <c r="N364" s="140"/>
      <c r="O364" s="39"/>
      <c r="P364" s="309">
        <f t="shared" si="106"/>
        <v>0</v>
      </c>
      <c r="Q364" s="235" t="str">
        <f t="shared" si="96"/>
        <v>П40х40х2</v>
      </c>
      <c r="R364" s="377">
        <f t="shared" si="105"/>
        <v>0</v>
      </c>
      <c r="S364" s="319">
        <v>0</v>
      </c>
      <c r="T364" s="353">
        <f t="shared" si="103"/>
        <v>0</v>
      </c>
      <c r="U364" s="70">
        <v>110</v>
      </c>
      <c r="V364" s="20">
        <f t="shared" si="108"/>
        <v>0</v>
      </c>
      <c r="W364" s="52">
        <f t="shared" si="109"/>
        <v>0</v>
      </c>
      <c r="X364" s="20">
        <v>110</v>
      </c>
      <c r="Y364" s="10">
        <v>1</v>
      </c>
    </row>
    <row r="365" spans="1:40" ht="26.25" hidden="1" customHeight="1" thickBot="1" x14ac:dyDescent="0.3">
      <c r="B365" s="14"/>
      <c r="C365" s="6" t="s">
        <v>18</v>
      </c>
      <c r="D365" s="23" t="s">
        <v>40</v>
      </c>
      <c r="E365" s="107" t="s">
        <v>314</v>
      </c>
      <c r="F365" s="208">
        <v>1393</v>
      </c>
      <c r="G365" s="14"/>
      <c r="H365" s="39"/>
      <c r="I365" s="309">
        <v>0</v>
      </c>
      <c r="J365" s="39">
        <f t="shared" si="107"/>
        <v>0</v>
      </c>
      <c r="K365" s="309">
        <f t="shared" si="104"/>
        <v>6.43</v>
      </c>
      <c r="L365" s="230"/>
      <c r="M365" s="155" t="s">
        <v>717</v>
      </c>
      <c r="N365" s="140"/>
      <c r="O365" s="39"/>
      <c r="P365" s="309">
        <f t="shared" si="106"/>
        <v>0</v>
      </c>
      <c r="Q365" s="263" t="str">
        <f t="shared" si="96"/>
        <v>П30х20х10</v>
      </c>
      <c r="R365" s="377">
        <f t="shared" si="105"/>
        <v>9</v>
      </c>
      <c r="S365" s="319">
        <v>7.5</v>
      </c>
      <c r="T365" s="353">
        <f t="shared" si="103"/>
        <v>0</v>
      </c>
      <c r="U365" s="70">
        <v>29</v>
      </c>
      <c r="V365" s="20">
        <f t="shared" si="108"/>
        <v>0</v>
      </c>
      <c r="W365" s="52">
        <f t="shared" si="109"/>
        <v>0</v>
      </c>
      <c r="X365" s="20">
        <v>29</v>
      </c>
      <c r="Y365" s="10">
        <v>1</v>
      </c>
    </row>
    <row r="366" spans="1:40" ht="26.25" hidden="1" customHeight="1" thickBot="1" x14ac:dyDescent="0.3">
      <c r="B366" s="14"/>
      <c r="C366" s="6" t="s">
        <v>18</v>
      </c>
      <c r="D366" s="23" t="s">
        <v>40</v>
      </c>
      <c r="E366" s="107" t="s">
        <v>386</v>
      </c>
      <c r="F366" s="208">
        <v>1257</v>
      </c>
      <c r="G366" s="12" t="s">
        <v>0</v>
      </c>
      <c r="H366" s="39"/>
      <c r="I366" s="309">
        <v>0</v>
      </c>
      <c r="J366" s="39">
        <f t="shared" si="107"/>
        <v>0</v>
      </c>
      <c r="K366" s="309">
        <f t="shared" si="104"/>
        <v>11.06</v>
      </c>
      <c r="L366" s="230">
        <f>K366*J660</f>
        <v>0</v>
      </c>
      <c r="M366" s="158" t="s">
        <v>504</v>
      </c>
      <c r="N366" s="140"/>
      <c r="O366" s="39"/>
      <c r="P366" s="309">
        <f t="shared" si="106"/>
        <v>0</v>
      </c>
      <c r="Q366" s="265" t="str">
        <f t="shared" si="96"/>
        <v>П40х10х10</v>
      </c>
      <c r="R366" s="377">
        <f t="shared" si="105"/>
        <v>15.49</v>
      </c>
      <c r="S366" s="319">
        <v>12.912000000000001</v>
      </c>
      <c r="T366" s="353">
        <f t="shared" si="103"/>
        <v>0</v>
      </c>
      <c r="U366" s="70">
        <v>9</v>
      </c>
      <c r="V366" s="20">
        <f t="shared" si="108"/>
        <v>0</v>
      </c>
      <c r="W366" s="52">
        <f t="shared" si="109"/>
        <v>0</v>
      </c>
      <c r="X366" s="20">
        <v>9</v>
      </c>
      <c r="Y366" s="10">
        <v>1</v>
      </c>
    </row>
    <row r="367" spans="1:40" ht="26.25" hidden="1" customHeight="1" x14ac:dyDescent="0.3">
      <c r="B367" s="14"/>
      <c r="C367" s="6" t="s">
        <v>18</v>
      </c>
      <c r="D367" s="23" t="s">
        <v>40</v>
      </c>
      <c r="E367" s="106" t="s">
        <v>370</v>
      </c>
      <c r="F367" s="208">
        <v>1488</v>
      </c>
      <c r="G367" s="14"/>
      <c r="H367" s="39"/>
      <c r="I367" s="309">
        <v>0</v>
      </c>
      <c r="J367" s="39">
        <f t="shared" si="107"/>
        <v>0</v>
      </c>
      <c r="K367" s="309">
        <f t="shared" si="104"/>
        <v>5.14</v>
      </c>
      <c r="L367" s="230"/>
      <c r="M367" s="64" t="s">
        <v>843</v>
      </c>
      <c r="N367" s="140"/>
      <c r="O367" s="39"/>
      <c r="P367" s="309">
        <f t="shared" si="106"/>
        <v>0</v>
      </c>
      <c r="Q367" s="262" t="str">
        <f t="shared" si="96"/>
        <v>П40х10х5</v>
      </c>
      <c r="R367" s="377">
        <f t="shared" si="105"/>
        <v>7.2</v>
      </c>
      <c r="S367" s="319">
        <v>6</v>
      </c>
      <c r="T367" s="353">
        <f t="shared" si="103"/>
        <v>0</v>
      </c>
      <c r="U367" s="431"/>
      <c r="V367" s="20">
        <f t="shared" si="108"/>
        <v>0</v>
      </c>
      <c r="W367" s="52">
        <f t="shared" si="109"/>
        <v>0</v>
      </c>
      <c r="X367" s="74"/>
    </row>
    <row r="368" spans="1:40" ht="26.25" hidden="1" customHeight="1" x14ac:dyDescent="0.25">
      <c r="B368" s="19"/>
      <c r="C368" s="6" t="s">
        <v>18</v>
      </c>
      <c r="D368" s="23" t="s">
        <v>40</v>
      </c>
      <c r="E368" s="106" t="s">
        <v>202</v>
      </c>
      <c r="F368" s="385" t="s">
        <v>219</v>
      </c>
      <c r="G368" s="48" t="s">
        <v>0</v>
      </c>
      <c r="H368" s="39"/>
      <c r="I368" s="360">
        <v>0</v>
      </c>
      <c r="J368" s="39">
        <f t="shared" si="107"/>
        <v>0</v>
      </c>
      <c r="K368" s="309">
        <v>21.43</v>
      </c>
      <c r="L368" s="230">
        <f>K368*J662</f>
        <v>0</v>
      </c>
      <c r="M368" s="363" t="s">
        <v>518</v>
      </c>
      <c r="N368" s="141"/>
      <c r="O368" s="39"/>
      <c r="P368" s="360">
        <f t="shared" si="106"/>
        <v>0</v>
      </c>
      <c r="Q368" s="235" t="str">
        <f t="shared" si="96"/>
        <v>П40х40х8</v>
      </c>
      <c r="R368" s="377">
        <f t="shared" si="105"/>
        <v>30</v>
      </c>
      <c r="S368" s="319">
        <v>25</v>
      </c>
      <c r="T368" s="353">
        <f t="shared" si="103"/>
        <v>0</v>
      </c>
      <c r="U368" s="70">
        <v>7</v>
      </c>
      <c r="V368" s="20">
        <f t="shared" si="108"/>
        <v>0</v>
      </c>
      <c r="W368" s="52">
        <f t="shared" si="109"/>
        <v>0</v>
      </c>
      <c r="X368" s="20">
        <v>7</v>
      </c>
      <c r="Y368" s="10">
        <v>1</v>
      </c>
    </row>
    <row r="369" spans="1:25" ht="36" hidden="1" customHeight="1" x14ac:dyDescent="0.25">
      <c r="B369" s="19"/>
      <c r="C369" s="6" t="s">
        <v>18</v>
      </c>
      <c r="D369" s="23" t="s">
        <v>40</v>
      </c>
      <c r="E369" s="84" t="s">
        <v>253</v>
      </c>
      <c r="F369" s="393" t="s">
        <v>258</v>
      </c>
      <c r="G369" s="48" t="s">
        <v>0</v>
      </c>
      <c r="H369" s="39"/>
      <c r="I369" s="309">
        <v>0</v>
      </c>
      <c r="J369" s="39">
        <f t="shared" si="107"/>
        <v>0</v>
      </c>
      <c r="K369" s="309">
        <f t="shared" ref="K369:K387" si="110">R369/1.4</f>
        <v>25.71</v>
      </c>
      <c r="L369" s="230">
        <f>K369*J663</f>
        <v>0</v>
      </c>
      <c r="M369" s="117" t="s">
        <v>259</v>
      </c>
      <c r="N369" s="141"/>
      <c r="O369" s="39"/>
      <c r="P369" s="309">
        <f t="shared" si="106"/>
        <v>0</v>
      </c>
      <c r="Q369" s="235" t="str">
        <f t="shared" si="96"/>
        <v>П40х40х10</v>
      </c>
      <c r="R369" s="377">
        <f t="shared" si="105"/>
        <v>36</v>
      </c>
      <c r="S369" s="339">
        <v>30</v>
      </c>
      <c r="T369" s="353">
        <f t="shared" si="103"/>
        <v>0</v>
      </c>
      <c r="U369" s="70">
        <v>9</v>
      </c>
      <c r="V369" s="20">
        <f t="shared" si="108"/>
        <v>0</v>
      </c>
      <c r="W369" s="52">
        <f t="shared" si="109"/>
        <v>0</v>
      </c>
      <c r="X369" s="20">
        <v>9</v>
      </c>
      <c r="Y369" s="10">
        <v>1</v>
      </c>
    </row>
    <row r="370" spans="1:25" s="4" customFormat="1" ht="26.25" hidden="1" customHeight="1" x14ac:dyDescent="0.25">
      <c r="A370" s="10"/>
      <c r="B370" s="19"/>
      <c r="C370" s="6" t="s">
        <v>18</v>
      </c>
      <c r="D370" s="23" t="s">
        <v>40</v>
      </c>
      <c r="E370" s="84" t="s">
        <v>202</v>
      </c>
      <c r="F370" s="393" t="s">
        <v>626</v>
      </c>
      <c r="G370" s="48" t="s">
        <v>0</v>
      </c>
      <c r="H370" s="39"/>
      <c r="I370" s="309">
        <v>0</v>
      </c>
      <c r="J370" s="39">
        <f t="shared" si="107"/>
        <v>0</v>
      </c>
      <c r="K370" s="309">
        <f t="shared" si="110"/>
        <v>43.71</v>
      </c>
      <c r="L370" s="230">
        <f>K370*J664</f>
        <v>0</v>
      </c>
      <c r="M370" s="155" t="s">
        <v>631</v>
      </c>
      <c r="N370" s="141"/>
      <c r="O370" s="39"/>
      <c r="P370" s="309">
        <f t="shared" si="106"/>
        <v>0</v>
      </c>
      <c r="Q370" s="235" t="str">
        <f t="shared" si="96"/>
        <v>П40х40х8</v>
      </c>
      <c r="R370" s="306">
        <f t="shared" si="105"/>
        <v>61.2</v>
      </c>
      <c r="S370" s="319">
        <v>51</v>
      </c>
      <c r="T370" s="353">
        <f t="shared" si="103"/>
        <v>0</v>
      </c>
      <c r="U370" s="70">
        <v>24</v>
      </c>
      <c r="V370" s="20">
        <f t="shared" si="108"/>
        <v>0</v>
      </c>
      <c r="W370" s="52">
        <f t="shared" si="109"/>
        <v>0</v>
      </c>
      <c r="X370" s="20">
        <v>24</v>
      </c>
      <c r="Y370" s="4">
        <v>1</v>
      </c>
    </row>
    <row r="371" spans="1:25" ht="26.25" hidden="1" customHeight="1" x14ac:dyDescent="0.25">
      <c r="B371" s="19"/>
      <c r="C371" s="6" t="s">
        <v>18</v>
      </c>
      <c r="D371" s="23" t="s">
        <v>40</v>
      </c>
      <c r="E371" s="106" t="s">
        <v>662</v>
      </c>
      <c r="F371" s="385" t="s">
        <v>200</v>
      </c>
      <c r="G371" s="48" t="s">
        <v>0</v>
      </c>
      <c r="H371" s="39"/>
      <c r="I371" s="309">
        <v>0</v>
      </c>
      <c r="J371" s="39">
        <f t="shared" si="107"/>
        <v>0</v>
      </c>
      <c r="K371" s="309">
        <f t="shared" si="110"/>
        <v>45.43</v>
      </c>
      <c r="L371" s="230">
        <f>K371*J665</f>
        <v>0</v>
      </c>
      <c r="M371" s="72" t="s">
        <v>206</v>
      </c>
      <c r="N371" s="141"/>
      <c r="O371" s="39"/>
      <c r="P371" s="309">
        <f t="shared" si="106"/>
        <v>0</v>
      </c>
      <c r="Q371" s="235" t="str">
        <f t="shared" si="96"/>
        <v>П40х20х20(ЭПГ111.039)с д3,5</v>
      </c>
      <c r="R371" s="306">
        <f t="shared" si="105"/>
        <v>63.6</v>
      </c>
      <c r="S371" s="319">
        <v>53</v>
      </c>
      <c r="T371" s="353">
        <f t="shared" ref="T371:T404" si="111">S371*J371</f>
        <v>0</v>
      </c>
      <c r="U371" s="70">
        <v>94</v>
      </c>
      <c r="V371" s="20">
        <f t="shared" si="108"/>
        <v>0</v>
      </c>
      <c r="W371" s="52">
        <f t="shared" si="109"/>
        <v>0</v>
      </c>
      <c r="X371" s="20">
        <v>94</v>
      </c>
      <c r="Y371" s="10">
        <v>1</v>
      </c>
    </row>
    <row r="372" spans="1:25" ht="26.25" hidden="1" customHeight="1" x14ac:dyDescent="0.3">
      <c r="B372" s="19"/>
      <c r="C372" s="6" t="s">
        <v>18</v>
      </c>
      <c r="D372" s="23" t="s">
        <v>40</v>
      </c>
      <c r="E372" s="84" t="s">
        <v>304</v>
      </c>
      <c r="F372" s="385"/>
      <c r="G372" s="48"/>
      <c r="H372" s="39"/>
      <c r="I372" s="309">
        <v>0</v>
      </c>
      <c r="J372" s="39">
        <f t="shared" si="107"/>
        <v>0</v>
      </c>
      <c r="K372" s="309">
        <f t="shared" si="110"/>
        <v>0</v>
      </c>
      <c r="L372" s="230"/>
      <c r="M372" s="72"/>
      <c r="N372" s="141"/>
      <c r="O372" s="39"/>
      <c r="P372" s="309">
        <f t="shared" si="106"/>
        <v>0</v>
      </c>
      <c r="Q372" s="263" t="str">
        <f t="shared" si="96"/>
        <v>П50х30х5</v>
      </c>
      <c r="R372" s="306">
        <f t="shared" si="105"/>
        <v>0</v>
      </c>
      <c r="S372" s="319">
        <v>0</v>
      </c>
      <c r="T372" s="353">
        <f t="shared" si="111"/>
        <v>0</v>
      </c>
      <c r="U372" s="431">
        <v>42</v>
      </c>
      <c r="V372" s="20">
        <f t="shared" si="108"/>
        <v>0</v>
      </c>
      <c r="W372" s="52">
        <f t="shared" si="109"/>
        <v>0</v>
      </c>
      <c r="X372" s="74">
        <v>42</v>
      </c>
      <c r="Y372" s="10">
        <v>1</v>
      </c>
    </row>
    <row r="373" spans="1:25" ht="26.25" hidden="1" customHeight="1" x14ac:dyDescent="0.25">
      <c r="B373" s="11"/>
      <c r="C373" s="6" t="s">
        <v>18</v>
      </c>
      <c r="D373" s="23" t="s">
        <v>40</v>
      </c>
      <c r="E373" s="112" t="s">
        <v>321</v>
      </c>
      <c r="F373" s="383" t="s">
        <v>322</v>
      </c>
      <c r="G373" s="13" t="s">
        <v>0</v>
      </c>
      <c r="H373" s="39"/>
      <c r="I373" s="360">
        <v>0</v>
      </c>
      <c r="J373" s="39">
        <f t="shared" si="107"/>
        <v>0</v>
      </c>
      <c r="K373" s="309">
        <f t="shared" si="110"/>
        <v>30</v>
      </c>
      <c r="L373" s="230"/>
      <c r="M373" s="155" t="s">
        <v>844</v>
      </c>
      <c r="N373" s="141"/>
      <c r="O373" s="503"/>
      <c r="P373" s="309">
        <f t="shared" si="106"/>
        <v>0</v>
      </c>
      <c r="Q373" s="235" t="str">
        <f t="shared" si="96"/>
        <v>П50х43х12,5</v>
      </c>
      <c r="R373" s="306">
        <f t="shared" si="105"/>
        <v>42</v>
      </c>
      <c r="S373" s="319">
        <v>35</v>
      </c>
      <c r="T373" s="353">
        <f t="shared" si="111"/>
        <v>0</v>
      </c>
      <c r="U373" s="70">
        <v>39</v>
      </c>
      <c r="V373" s="20">
        <f t="shared" si="108"/>
        <v>0</v>
      </c>
      <c r="W373" s="52">
        <f t="shared" si="109"/>
        <v>0</v>
      </c>
      <c r="X373" s="20">
        <v>39</v>
      </c>
      <c r="Y373" s="10">
        <v>1</v>
      </c>
    </row>
    <row r="374" spans="1:25" ht="26.25" hidden="1" customHeight="1" x14ac:dyDescent="0.25">
      <c r="B374" s="11"/>
      <c r="C374" s="6" t="s">
        <v>18</v>
      </c>
      <c r="D374" s="23" t="s">
        <v>40</v>
      </c>
      <c r="E374" s="112" t="s">
        <v>691</v>
      </c>
      <c r="F374" s="385"/>
      <c r="G374" s="13"/>
      <c r="H374" s="39"/>
      <c r="I374" s="360">
        <v>0</v>
      </c>
      <c r="J374" s="39">
        <f t="shared" si="107"/>
        <v>0</v>
      </c>
      <c r="K374" s="309">
        <f t="shared" si="110"/>
        <v>0</v>
      </c>
      <c r="L374" s="230"/>
      <c r="M374" s="366"/>
      <c r="N374" s="141"/>
      <c r="O374" s="503"/>
      <c r="P374" s="309">
        <f t="shared" si="106"/>
        <v>0</v>
      </c>
      <c r="Q374" s="262" t="str">
        <f t="shared" si="96"/>
        <v>П55х16х25</v>
      </c>
      <c r="R374" s="306">
        <f t="shared" si="105"/>
        <v>0</v>
      </c>
      <c r="T374" s="353">
        <f t="shared" si="111"/>
        <v>0</v>
      </c>
      <c r="U374" s="70">
        <v>1</v>
      </c>
      <c r="V374" s="20">
        <f t="shared" si="108"/>
        <v>0</v>
      </c>
      <c r="W374" s="52">
        <f t="shared" si="109"/>
        <v>0</v>
      </c>
      <c r="X374" s="20">
        <v>1</v>
      </c>
      <c r="Y374" s="10">
        <v>1</v>
      </c>
    </row>
    <row r="375" spans="1:25" ht="26.25" hidden="1" customHeight="1" x14ac:dyDescent="0.25">
      <c r="B375" s="11"/>
      <c r="C375" s="6" t="s">
        <v>18</v>
      </c>
      <c r="D375" s="23" t="s">
        <v>40</v>
      </c>
      <c r="E375" s="112" t="s">
        <v>692</v>
      </c>
      <c r="F375" s="383" t="s">
        <v>704</v>
      </c>
      <c r="G375" s="13"/>
      <c r="H375" s="39"/>
      <c r="I375" s="360">
        <v>0</v>
      </c>
      <c r="J375" s="39">
        <f t="shared" si="107"/>
        <v>0</v>
      </c>
      <c r="K375" s="309">
        <f t="shared" si="110"/>
        <v>34.29</v>
      </c>
      <c r="L375" s="230"/>
      <c r="M375" s="155" t="s">
        <v>719</v>
      </c>
      <c r="N375" s="141"/>
      <c r="O375" s="503"/>
      <c r="P375" s="309">
        <f t="shared" si="106"/>
        <v>0</v>
      </c>
      <c r="Q375" s="262" t="str">
        <f t="shared" si="96"/>
        <v>П55х18х5</v>
      </c>
      <c r="R375" s="306">
        <f t="shared" ref="R375:R407" si="112">S375*1.2</f>
        <v>48</v>
      </c>
      <c r="S375" s="319">
        <v>40</v>
      </c>
      <c r="T375" s="353">
        <f t="shared" si="111"/>
        <v>0</v>
      </c>
      <c r="U375" s="70">
        <v>4</v>
      </c>
      <c r="V375" s="20">
        <f t="shared" si="108"/>
        <v>0</v>
      </c>
      <c r="W375" s="52"/>
      <c r="X375" s="20">
        <v>4</v>
      </c>
      <c r="Y375" s="10">
        <v>1</v>
      </c>
    </row>
    <row r="376" spans="1:25" ht="26.25" hidden="1" customHeight="1" x14ac:dyDescent="0.25">
      <c r="B376" s="19"/>
      <c r="C376" s="6" t="s">
        <v>18</v>
      </c>
      <c r="D376" s="23" t="s">
        <v>40</v>
      </c>
      <c r="E376" s="112" t="s">
        <v>761</v>
      </c>
      <c r="F376" s="385"/>
      <c r="G376" s="13"/>
      <c r="H376" s="39"/>
      <c r="I376" s="309">
        <v>0</v>
      </c>
      <c r="J376" s="39">
        <f t="shared" si="107"/>
        <v>0</v>
      </c>
      <c r="K376" s="309">
        <f t="shared" si="110"/>
        <v>0</v>
      </c>
      <c r="L376" s="230"/>
      <c r="M376" s="72"/>
      <c r="N376" s="141"/>
      <c r="O376" s="39"/>
      <c r="P376" s="490">
        <f t="shared" si="106"/>
        <v>0</v>
      </c>
      <c r="Q376" s="262" t="str">
        <f t="shared" si="96"/>
        <v>П50х50х24</v>
      </c>
      <c r="R376" s="306">
        <f t="shared" si="112"/>
        <v>0</v>
      </c>
      <c r="S376" s="319">
        <v>0</v>
      </c>
      <c r="T376" s="353">
        <f t="shared" si="111"/>
        <v>0</v>
      </c>
      <c r="U376" s="70">
        <v>3</v>
      </c>
      <c r="V376" s="20">
        <f t="shared" si="108"/>
        <v>0</v>
      </c>
      <c r="W376" s="52">
        <f>X376-U376+V376</f>
        <v>0</v>
      </c>
      <c r="X376" s="20">
        <v>3</v>
      </c>
      <c r="Y376" s="10">
        <v>1</v>
      </c>
    </row>
    <row r="377" spans="1:25" ht="26.25" hidden="1" customHeight="1" x14ac:dyDescent="0.25">
      <c r="B377" s="19"/>
      <c r="C377" s="6" t="s">
        <v>18</v>
      </c>
      <c r="D377" s="23" t="s">
        <v>40</v>
      </c>
      <c r="E377" s="112" t="s">
        <v>731</v>
      </c>
      <c r="F377" s="385"/>
      <c r="G377" s="13"/>
      <c r="H377" s="39"/>
      <c r="I377" s="309"/>
      <c r="J377" s="39">
        <f t="shared" si="107"/>
        <v>0</v>
      </c>
      <c r="K377" s="309">
        <f t="shared" si="110"/>
        <v>0</v>
      </c>
      <c r="L377" s="230"/>
      <c r="M377" s="72"/>
      <c r="N377" s="141"/>
      <c r="O377" s="39"/>
      <c r="P377" s="309"/>
      <c r="Q377" s="262" t="str">
        <f t="shared" si="96"/>
        <v>П80х40х20</v>
      </c>
      <c r="R377" s="306">
        <f t="shared" si="112"/>
        <v>0</v>
      </c>
      <c r="T377" s="353">
        <f t="shared" si="111"/>
        <v>0</v>
      </c>
      <c r="U377" s="70">
        <v>9</v>
      </c>
      <c r="V377" s="20">
        <f t="shared" si="108"/>
        <v>0</v>
      </c>
      <c r="W377" s="52">
        <f>X377-U377+V377</f>
        <v>0</v>
      </c>
      <c r="X377" s="20">
        <v>9</v>
      </c>
      <c r="Y377" s="10">
        <v>1</v>
      </c>
    </row>
    <row r="378" spans="1:25" ht="26.25" hidden="1" customHeight="1" x14ac:dyDescent="0.25">
      <c r="B378" s="19"/>
      <c r="C378" s="6" t="s">
        <v>18</v>
      </c>
      <c r="D378" s="23" t="s">
        <v>40</v>
      </c>
      <c r="E378" s="112" t="s">
        <v>588</v>
      </c>
      <c r="F378" s="385"/>
      <c r="G378" s="13"/>
      <c r="H378" s="39"/>
      <c r="I378" s="309"/>
      <c r="J378" s="39">
        <f t="shared" si="107"/>
        <v>0</v>
      </c>
      <c r="K378" s="309">
        <f t="shared" si="110"/>
        <v>0</v>
      </c>
      <c r="L378" s="230"/>
      <c r="M378" s="72"/>
      <c r="N378" s="141"/>
      <c r="O378" s="39"/>
      <c r="P378" s="309"/>
      <c r="Q378" s="262" t="str">
        <f t="shared" si="96"/>
        <v>П50х20х20</v>
      </c>
      <c r="R378" s="306">
        <f t="shared" si="112"/>
        <v>0</v>
      </c>
      <c r="T378" s="353">
        <f t="shared" si="111"/>
        <v>0</v>
      </c>
      <c r="U378" s="70">
        <v>36</v>
      </c>
      <c r="V378" s="20">
        <f t="shared" si="108"/>
        <v>0</v>
      </c>
      <c r="W378" s="52">
        <f>X378-U378+V378</f>
        <v>-32</v>
      </c>
      <c r="X378" s="444">
        <v>4</v>
      </c>
    </row>
    <row r="379" spans="1:25" ht="26.25" hidden="1" customHeight="1" x14ac:dyDescent="0.25">
      <c r="B379" s="19"/>
      <c r="C379" s="6" t="s">
        <v>18</v>
      </c>
      <c r="D379" s="23" t="s">
        <v>40</v>
      </c>
      <c r="E379" s="112" t="s">
        <v>391</v>
      </c>
      <c r="F379" s="385"/>
      <c r="G379" s="13"/>
      <c r="H379" s="39"/>
      <c r="I379" s="309">
        <v>0</v>
      </c>
      <c r="J379" s="39">
        <f t="shared" si="107"/>
        <v>0</v>
      </c>
      <c r="K379" s="309">
        <f t="shared" si="110"/>
        <v>0</v>
      </c>
      <c r="L379" s="230"/>
      <c r="M379" s="72"/>
      <c r="N379" s="141"/>
      <c r="O379" s="39"/>
      <c r="P379" s="309">
        <f>K379*O379</f>
        <v>0</v>
      </c>
      <c r="Q379" s="235" t="str">
        <f t="shared" si="96"/>
        <v>П88х50х12,5</v>
      </c>
      <c r="R379" s="306">
        <f t="shared" si="112"/>
        <v>0</v>
      </c>
      <c r="S379" s="319">
        <v>0</v>
      </c>
      <c r="T379" s="353">
        <f t="shared" si="111"/>
        <v>0</v>
      </c>
      <c r="U379" s="70">
        <v>1</v>
      </c>
      <c r="V379" s="20">
        <f t="shared" si="108"/>
        <v>0</v>
      </c>
      <c r="W379" s="52">
        <f>X379-U379+V379</f>
        <v>0</v>
      </c>
      <c r="X379" s="20">
        <v>1</v>
      </c>
      <c r="Y379" s="10">
        <v>1</v>
      </c>
    </row>
    <row r="380" spans="1:25" ht="26.25" hidden="1" customHeight="1" x14ac:dyDescent="0.25">
      <c r="B380" s="19"/>
      <c r="C380" s="6" t="s">
        <v>18</v>
      </c>
      <c r="D380" s="23" t="s">
        <v>40</v>
      </c>
      <c r="E380" s="112" t="s">
        <v>768</v>
      </c>
      <c r="F380" s="385"/>
      <c r="G380" s="13"/>
      <c r="H380" s="39"/>
      <c r="I380" s="309"/>
      <c r="J380" s="39"/>
      <c r="K380" s="309">
        <f t="shared" si="110"/>
        <v>0</v>
      </c>
      <c r="L380" s="230"/>
      <c r="M380" s="72"/>
      <c r="N380" s="141"/>
      <c r="O380" s="39"/>
      <c r="P380" s="309"/>
      <c r="Q380" s="235" t="str">
        <f t="shared" ref="Q380:Q404" si="113">E380</f>
        <v>П70х4х11</v>
      </c>
      <c r="R380" s="306">
        <f t="shared" si="112"/>
        <v>0</v>
      </c>
      <c r="T380" s="353">
        <f t="shared" si="111"/>
        <v>0</v>
      </c>
      <c r="U380" s="70">
        <v>30</v>
      </c>
      <c r="V380" s="20"/>
      <c r="W380" s="52"/>
      <c r="X380" s="20">
        <v>30</v>
      </c>
      <c r="Y380" s="10">
        <v>1</v>
      </c>
    </row>
    <row r="381" spans="1:25" ht="26.25" hidden="1" customHeight="1" x14ac:dyDescent="0.25">
      <c r="B381" s="19"/>
      <c r="C381" s="6" t="s">
        <v>18</v>
      </c>
      <c r="D381" s="23" t="s">
        <v>40</v>
      </c>
      <c r="E381" s="112" t="s">
        <v>770</v>
      </c>
      <c r="F381" s="385"/>
      <c r="G381" s="13"/>
      <c r="H381" s="39"/>
      <c r="I381" s="309"/>
      <c r="J381" s="39"/>
      <c r="K381" s="309">
        <f t="shared" si="110"/>
        <v>0</v>
      </c>
      <c r="L381" s="230"/>
      <c r="M381" s="72"/>
      <c r="N381" s="141"/>
      <c r="O381" s="39"/>
      <c r="P381" s="309"/>
      <c r="Q381" s="235" t="str">
        <f t="shared" si="113"/>
        <v>П80х40х20 и П88х24х12,5</v>
      </c>
      <c r="R381" s="306">
        <f t="shared" si="112"/>
        <v>0</v>
      </c>
      <c r="T381" s="353">
        <f t="shared" si="111"/>
        <v>0</v>
      </c>
      <c r="U381" s="70">
        <v>2</v>
      </c>
      <c r="V381" s="20"/>
      <c r="W381" s="52"/>
      <c r="X381" s="20">
        <v>2</v>
      </c>
      <c r="Y381" s="10">
        <v>1</v>
      </c>
    </row>
    <row r="382" spans="1:25" ht="26.25" hidden="1" customHeight="1" x14ac:dyDescent="0.25">
      <c r="B382" s="19"/>
      <c r="C382" s="6" t="s">
        <v>18</v>
      </c>
      <c r="D382" s="23" t="s">
        <v>40</v>
      </c>
      <c r="E382" s="112"/>
      <c r="F382" s="385"/>
      <c r="G382" s="13"/>
      <c r="H382" s="39"/>
      <c r="I382" s="309"/>
      <c r="J382" s="39"/>
      <c r="K382" s="309">
        <f t="shared" si="110"/>
        <v>0</v>
      </c>
      <c r="L382" s="230"/>
      <c r="M382" s="72"/>
      <c r="N382" s="141"/>
      <c r="O382" s="39"/>
      <c r="P382" s="309"/>
      <c r="Q382" s="235">
        <f t="shared" si="113"/>
        <v>0</v>
      </c>
      <c r="R382" s="306">
        <f t="shared" si="112"/>
        <v>0</v>
      </c>
      <c r="T382" s="353">
        <f t="shared" si="111"/>
        <v>0</v>
      </c>
      <c r="U382" s="70"/>
      <c r="V382" s="20"/>
      <c r="W382" s="52"/>
      <c r="X382" s="20"/>
    </row>
    <row r="383" spans="1:25" ht="26.25" hidden="1" customHeight="1" x14ac:dyDescent="0.3">
      <c r="B383" s="19"/>
      <c r="C383" s="6" t="s">
        <v>18</v>
      </c>
      <c r="D383" s="23" t="s">
        <v>40</v>
      </c>
      <c r="E383" s="106" t="s">
        <v>168</v>
      </c>
      <c r="F383" s="385"/>
      <c r="G383" s="48"/>
      <c r="H383" s="39"/>
      <c r="I383" s="309">
        <v>0</v>
      </c>
      <c r="J383" s="39">
        <f t="shared" ref="J383:J415" si="114">N383+O383-H383</f>
        <v>0</v>
      </c>
      <c r="K383" s="309">
        <f t="shared" si="110"/>
        <v>5.66</v>
      </c>
      <c r="L383" s="230">
        <f>K383*J674</f>
        <v>0</v>
      </c>
      <c r="M383" s="275" t="s">
        <v>169</v>
      </c>
      <c r="N383" s="141"/>
      <c r="O383" s="39"/>
      <c r="P383" s="309">
        <f t="shared" ref="P383:P391" si="115">K383*O383</f>
        <v>0</v>
      </c>
      <c r="Q383" s="235" t="str">
        <f t="shared" si="113"/>
        <v>СК95х56х40х3,2</v>
      </c>
      <c r="R383" s="306">
        <f t="shared" si="112"/>
        <v>7.92</v>
      </c>
      <c r="S383" s="319">
        <v>6.6</v>
      </c>
      <c r="T383" s="353">
        <f t="shared" si="111"/>
        <v>0</v>
      </c>
      <c r="U383" s="70">
        <f>5439+5000-88</f>
        <v>10351</v>
      </c>
      <c r="V383" s="20">
        <f t="shared" ref="V383:V428" si="116">N383</f>
        <v>0</v>
      </c>
      <c r="W383" s="52">
        <f t="shared" ref="W383:W389" si="117">X383-U383+V383</f>
        <v>0</v>
      </c>
      <c r="X383" s="20">
        <f>5439+5000-88</f>
        <v>10351</v>
      </c>
      <c r="Y383" s="10">
        <v>1</v>
      </c>
    </row>
    <row r="384" spans="1:25" ht="26.25" hidden="1" customHeight="1" x14ac:dyDescent="0.25">
      <c r="B384" s="11"/>
      <c r="C384" s="6" t="s">
        <v>18</v>
      </c>
      <c r="D384" s="23" t="s">
        <v>25</v>
      </c>
      <c r="E384" s="104" t="s">
        <v>316</v>
      </c>
      <c r="F384" s="387"/>
      <c r="G384" s="14" t="s">
        <v>0</v>
      </c>
      <c r="H384" s="39"/>
      <c r="I384" s="309">
        <v>0</v>
      </c>
      <c r="J384" s="39">
        <f t="shared" si="114"/>
        <v>0</v>
      </c>
      <c r="K384" s="309">
        <f t="shared" si="110"/>
        <v>0</v>
      </c>
      <c r="L384" s="230">
        <f>K384*J675</f>
        <v>0</v>
      </c>
      <c r="M384" s="90" t="s">
        <v>132</v>
      </c>
      <c r="N384" s="140"/>
      <c r="O384" s="39"/>
      <c r="P384" s="309">
        <f t="shared" si="115"/>
        <v>0</v>
      </c>
      <c r="Q384" s="235" t="str">
        <f t="shared" si="113"/>
        <v>Д9,5х4х40</v>
      </c>
      <c r="R384" s="377">
        <f t="shared" si="112"/>
        <v>0</v>
      </c>
      <c r="S384" s="319">
        <v>0</v>
      </c>
      <c r="T384" s="353">
        <f t="shared" si="111"/>
        <v>0</v>
      </c>
      <c r="U384" s="430">
        <v>50</v>
      </c>
      <c r="V384" s="20">
        <f t="shared" si="116"/>
        <v>0</v>
      </c>
      <c r="W384" s="52">
        <f t="shared" si="117"/>
        <v>0</v>
      </c>
      <c r="X384" s="848">
        <v>50</v>
      </c>
    </row>
    <row r="385" spans="2:24" ht="26.25" hidden="1" customHeight="1" x14ac:dyDescent="0.25">
      <c r="B385" s="11"/>
      <c r="C385" s="6" t="s">
        <v>18</v>
      </c>
      <c r="D385" s="23" t="s">
        <v>25</v>
      </c>
      <c r="E385" s="104" t="s">
        <v>471</v>
      </c>
      <c r="F385" s="387" t="s">
        <v>473</v>
      </c>
      <c r="G385" s="14"/>
      <c r="H385" s="39"/>
      <c r="I385" s="309">
        <v>0</v>
      </c>
      <c r="J385" s="39">
        <f t="shared" si="114"/>
        <v>0</v>
      </c>
      <c r="K385" s="309">
        <f t="shared" si="110"/>
        <v>12.86</v>
      </c>
      <c r="L385" s="230"/>
      <c r="M385" s="214" t="s">
        <v>476</v>
      </c>
      <c r="N385" s="140"/>
      <c r="O385" s="39"/>
      <c r="P385" s="309">
        <f t="shared" si="115"/>
        <v>0</v>
      </c>
      <c r="Q385" s="263" t="str">
        <f t="shared" si="113"/>
        <v>П24х14х10</v>
      </c>
      <c r="R385" s="306">
        <f t="shared" si="112"/>
        <v>18</v>
      </c>
      <c r="S385" s="319">
        <v>15</v>
      </c>
      <c r="T385" s="353">
        <f t="shared" si="111"/>
        <v>0</v>
      </c>
      <c r="U385" s="20"/>
      <c r="V385" s="20">
        <f t="shared" si="116"/>
        <v>0</v>
      </c>
      <c r="W385" s="52">
        <f t="shared" si="117"/>
        <v>0</v>
      </c>
      <c r="X385" s="20"/>
    </row>
    <row r="386" spans="2:24" ht="43.5" customHeight="1" x14ac:dyDescent="0.25">
      <c r="B386" s="19">
        <v>110</v>
      </c>
      <c r="C386" s="6" t="s">
        <v>18</v>
      </c>
      <c r="D386" s="23" t="s">
        <v>25</v>
      </c>
      <c r="E386" s="104" t="s">
        <v>24</v>
      </c>
      <c r="F386" s="208">
        <v>311</v>
      </c>
      <c r="G386" s="12" t="s">
        <v>0</v>
      </c>
      <c r="H386" s="39">
        <v>200</v>
      </c>
      <c r="I386" s="360">
        <v>566</v>
      </c>
      <c r="J386" s="39">
        <f t="shared" si="114"/>
        <v>0</v>
      </c>
      <c r="K386" s="309">
        <f t="shared" si="110"/>
        <v>2.83</v>
      </c>
      <c r="L386" s="230">
        <f>K386*J677</f>
        <v>0</v>
      </c>
      <c r="M386" s="470" t="s">
        <v>685</v>
      </c>
      <c r="N386" s="140"/>
      <c r="O386" s="39">
        <v>200</v>
      </c>
      <c r="P386" s="309">
        <f t="shared" si="115"/>
        <v>566</v>
      </c>
      <c r="Q386" s="51" t="str">
        <f t="shared" si="113"/>
        <v>Д22,7хд8,2х8,9 ЭПГ 112.001</v>
      </c>
      <c r="R386" s="306">
        <f t="shared" si="112"/>
        <v>3.96</v>
      </c>
      <c r="S386" s="320">
        <v>3.3</v>
      </c>
      <c r="T386" s="353">
        <f t="shared" si="111"/>
        <v>0</v>
      </c>
      <c r="U386" s="70">
        <v>2232</v>
      </c>
      <c r="V386" s="20">
        <f t="shared" si="116"/>
        <v>0</v>
      </c>
      <c r="W386" s="52">
        <f t="shared" si="117"/>
        <v>0</v>
      </c>
      <c r="X386" s="20">
        <v>2232</v>
      </c>
    </row>
    <row r="387" spans="2:24" ht="26.25" customHeight="1" x14ac:dyDescent="0.25">
      <c r="B387" s="11">
        <v>111</v>
      </c>
      <c r="C387" s="6" t="s">
        <v>18</v>
      </c>
      <c r="D387" s="23" t="s">
        <v>25</v>
      </c>
      <c r="E387" s="107" t="s">
        <v>137</v>
      </c>
      <c r="F387" s="210" t="s">
        <v>180</v>
      </c>
      <c r="G387" s="48" t="s">
        <v>0</v>
      </c>
      <c r="H387" s="39">
        <v>200</v>
      </c>
      <c r="I387" s="360">
        <v>1866</v>
      </c>
      <c r="J387" s="39">
        <f t="shared" si="114"/>
        <v>0</v>
      </c>
      <c r="K387" s="309">
        <f t="shared" si="110"/>
        <v>9.33</v>
      </c>
      <c r="L387" s="230">
        <f>K387*J678</f>
        <v>0</v>
      </c>
      <c r="M387" s="94" t="s">
        <v>845</v>
      </c>
      <c r="N387" s="140"/>
      <c r="O387" s="39">
        <v>200</v>
      </c>
      <c r="P387" s="309">
        <f t="shared" si="115"/>
        <v>1866</v>
      </c>
      <c r="Q387" s="235" t="str">
        <f t="shared" si="113"/>
        <v>К21х7х25</v>
      </c>
      <c r="R387" s="306">
        <f t="shared" si="112"/>
        <v>13.06</v>
      </c>
      <c r="S387" s="319">
        <v>10.88</v>
      </c>
      <c r="T387" s="353">
        <f t="shared" si="111"/>
        <v>0</v>
      </c>
      <c r="U387" s="70">
        <v>430</v>
      </c>
      <c r="V387" s="20">
        <f t="shared" si="116"/>
        <v>0</v>
      </c>
      <c r="W387" s="52">
        <f t="shared" si="117"/>
        <v>0</v>
      </c>
      <c r="X387" s="20">
        <v>430</v>
      </c>
    </row>
    <row r="388" spans="2:24" ht="26.25" hidden="1" customHeight="1" x14ac:dyDescent="0.25">
      <c r="B388" s="11"/>
      <c r="C388" s="6" t="s">
        <v>18</v>
      </c>
      <c r="D388" s="23" t="s">
        <v>72</v>
      </c>
      <c r="E388" s="107" t="s">
        <v>211</v>
      </c>
      <c r="F388" s="210"/>
      <c r="G388" s="48"/>
      <c r="H388" s="39"/>
      <c r="I388" s="309">
        <v>0</v>
      </c>
      <c r="J388" s="39">
        <f t="shared" si="114"/>
        <v>0</v>
      </c>
      <c r="K388" s="309"/>
      <c r="L388" s="230"/>
      <c r="M388" s="96"/>
      <c r="N388" s="140"/>
      <c r="O388" s="39"/>
      <c r="P388" s="490">
        <f t="shared" si="115"/>
        <v>0</v>
      </c>
      <c r="Q388" s="262" t="str">
        <f t="shared" si="113"/>
        <v>Д3х2</v>
      </c>
      <c r="R388" s="377">
        <f t="shared" si="112"/>
        <v>0</v>
      </c>
      <c r="S388" s="319">
        <v>0</v>
      </c>
      <c r="T388" s="353">
        <f t="shared" si="111"/>
        <v>0</v>
      </c>
      <c r="U388" s="20">
        <v>34</v>
      </c>
      <c r="V388" s="20">
        <f t="shared" si="116"/>
        <v>0</v>
      </c>
      <c r="W388" s="52">
        <f t="shared" si="117"/>
        <v>0</v>
      </c>
      <c r="X388" s="20">
        <v>34</v>
      </c>
    </row>
    <row r="389" spans="2:24" ht="26.25" hidden="1" customHeight="1" x14ac:dyDescent="0.25">
      <c r="B389" s="14"/>
      <c r="C389" s="6" t="s">
        <v>18</v>
      </c>
      <c r="D389" s="23" t="s">
        <v>72</v>
      </c>
      <c r="E389" s="104" t="s">
        <v>243</v>
      </c>
      <c r="F389" s="386"/>
      <c r="G389" s="48" t="s">
        <v>0</v>
      </c>
      <c r="H389" s="39"/>
      <c r="I389" s="309">
        <v>0</v>
      </c>
      <c r="J389" s="39">
        <f t="shared" si="114"/>
        <v>0</v>
      </c>
      <c r="K389" s="309">
        <f>R389/1.4</f>
        <v>0.12</v>
      </c>
      <c r="L389" s="230">
        <f>K389*J680</f>
        <v>0</v>
      </c>
      <c r="M389" s="213" t="s">
        <v>162</v>
      </c>
      <c r="N389" s="140"/>
      <c r="O389" s="39"/>
      <c r="P389" s="309">
        <f t="shared" si="115"/>
        <v>0</v>
      </c>
      <c r="Q389" s="263" t="str">
        <f t="shared" si="113"/>
        <v>Д3х5</v>
      </c>
      <c r="R389" s="819">
        <f t="shared" si="112"/>
        <v>0.17</v>
      </c>
      <c r="S389" s="319">
        <v>0.14000000000000001</v>
      </c>
      <c r="T389" s="353">
        <f t="shared" si="111"/>
        <v>0</v>
      </c>
      <c r="U389" s="430">
        <v>800</v>
      </c>
      <c r="V389" s="20">
        <f t="shared" si="116"/>
        <v>0</v>
      </c>
      <c r="W389" s="52">
        <f t="shared" si="117"/>
        <v>0</v>
      </c>
      <c r="X389" s="18">
        <v>800</v>
      </c>
    </row>
    <row r="390" spans="2:24" ht="26.25" customHeight="1" x14ac:dyDescent="0.25">
      <c r="B390" s="14">
        <v>112</v>
      </c>
      <c r="C390" s="6" t="s">
        <v>18</v>
      </c>
      <c r="D390" s="23" t="s">
        <v>72</v>
      </c>
      <c r="E390" s="104" t="s">
        <v>216</v>
      </c>
      <c r="F390" s="526">
        <v>1510</v>
      </c>
      <c r="G390" s="48"/>
      <c r="H390" s="39"/>
      <c r="I390" s="360">
        <v>0</v>
      </c>
      <c r="J390" s="39">
        <f t="shared" si="114"/>
        <v>15</v>
      </c>
      <c r="K390" s="309">
        <f>R390/1.4</f>
        <v>8.57</v>
      </c>
      <c r="L390" s="230"/>
      <c r="M390" s="292" t="s">
        <v>947</v>
      </c>
      <c r="N390" s="140">
        <v>15</v>
      </c>
      <c r="O390" s="503"/>
      <c r="P390" s="309">
        <f t="shared" si="115"/>
        <v>0</v>
      </c>
      <c r="Q390" s="263" t="str">
        <f t="shared" si="113"/>
        <v>Д6х2</v>
      </c>
      <c r="R390" s="306">
        <f t="shared" si="112"/>
        <v>12</v>
      </c>
      <c r="S390" s="319">
        <v>10</v>
      </c>
      <c r="T390" s="353">
        <f t="shared" si="111"/>
        <v>150</v>
      </c>
      <c r="U390" s="20"/>
      <c r="V390" s="20">
        <f t="shared" si="116"/>
        <v>15</v>
      </c>
      <c r="W390" s="52"/>
      <c r="X390" s="20"/>
    </row>
    <row r="391" spans="2:24" ht="26.25" customHeight="1" x14ac:dyDescent="0.25">
      <c r="B391" s="11">
        <v>113</v>
      </c>
      <c r="C391" s="6" t="s">
        <v>18</v>
      </c>
      <c r="D391" s="23" t="s">
        <v>72</v>
      </c>
      <c r="E391" s="104" t="s">
        <v>289</v>
      </c>
      <c r="F391" s="208">
        <v>447</v>
      </c>
      <c r="G391" s="48" t="s">
        <v>0</v>
      </c>
      <c r="H391" s="39">
        <v>345</v>
      </c>
      <c r="I391" s="360">
        <v>234.6</v>
      </c>
      <c r="J391" s="39">
        <f t="shared" si="114"/>
        <v>0</v>
      </c>
      <c r="K391" s="309">
        <v>0.68</v>
      </c>
      <c r="L391" s="230">
        <f>K391*J682</f>
        <v>0</v>
      </c>
      <c r="M391" s="94"/>
      <c r="N391" s="140"/>
      <c r="O391" s="39">
        <v>345</v>
      </c>
      <c r="P391" s="309">
        <f t="shared" si="115"/>
        <v>234.6</v>
      </c>
      <c r="Q391" s="263" t="str">
        <f t="shared" si="113"/>
        <v>Д8х3</v>
      </c>
      <c r="R391" s="819">
        <f t="shared" si="112"/>
        <v>5.4</v>
      </c>
      <c r="S391" s="319">
        <v>4.5</v>
      </c>
      <c r="T391" s="353">
        <f t="shared" si="111"/>
        <v>0</v>
      </c>
      <c r="U391" s="20">
        <v>270</v>
      </c>
      <c r="V391" s="20">
        <f t="shared" si="116"/>
        <v>0</v>
      </c>
      <c r="W391" s="52">
        <f>X391-U391+V391</f>
        <v>0</v>
      </c>
      <c r="X391" s="20">
        <v>270</v>
      </c>
    </row>
    <row r="392" spans="2:24" ht="26.25" hidden="1" customHeight="1" x14ac:dyDescent="0.25">
      <c r="B392" s="11"/>
      <c r="C392" s="6" t="s">
        <v>18</v>
      </c>
      <c r="D392" s="23" t="s">
        <v>72</v>
      </c>
      <c r="E392" s="104" t="s">
        <v>669</v>
      </c>
      <c r="F392" s="208">
        <v>1427</v>
      </c>
      <c r="G392" s="48"/>
      <c r="H392" s="39"/>
      <c r="I392" s="360"/>
      <c r="J392" s="39">
        <f t="shared" si="114"/>
        <v>0</v>
      </c>
      <c r="K392" s="309"/>
      <c r="L392" s="230"/>
      <c r="M392" s="94"/>
      <c r="N392" s="140"/>
      <c r="O392" s="503"/>
      <c r="P392" s="309"/>
      <c r="Q392" s="263" t="str">
        <f t="shared" si="113"/>
        <v>Д8х5</v>
      </c>
      <c r="R392" s="819">
        <f t="shared" si="112"/>
        <v>8.4</v>
      </c>
      <c r="S392" s="319">
        <v>7</v>
      </c>
      <c r="T392" s="353">
        <f t="shared" si="111"/>
        <v>0</v>
      </c>
      <c r="U392" s="20"/>
      <c r="V392" s="20">
        <f t="shared" si="116"/>
        <v>0</v>
      </c>
      <c r="W392" s="52"/>
      <c r="X392" s="20"/>
    </row>
    <row r="393" spans="2:24" ht="26.25" hidden="1" customHeight="1" x14ac:dyDescent="0.25">
      <c r="B393" s="11"/>
      <c r="C393" s="6" t="s">
        <v>18</v>
      </c>
      <c r="D393" s="23" t="s">
        <v>72</v>
      </c>
      <c r="E393" s="104" t="s">
        <v>668</v>
      </c>
      <c r="F393" s="208">
        <v>1420</v>
      </c>
      <c r="G393" s="48"/>
      <c r="H393" s="39"/>
      <c r="I393" s="360"/>
      <c r="J393" s="39">
        <f t="shared" si="114"/>
        <v>0</v>
      </c>
      <c r="K393" s="309"/>
      <c r="L393" s="230"/>
      <c r="M393" s="94"/>
      <c r="N393" s="140"/>
      <c r="O393" s="503"/>
      <c r="P393" s="309"/>
      <c r="Q393" s="263" t="str">
        <f t="shared" si="113"/>
        <v>Д8х7</v>
      </c>
      <c r="R393" s="819">
        <f t="shared" si="112"/>
        <v>8.4</v>
      </c>
      <c r="S393" s="319">
        <v>7</v>
      </c>
      <c r="T393" s="353">
        <f t="shared" si="111"/>
        <v>0</v>
      </c>
      <c r="U393" s="20"/>
      <c r="V393" s="20">
        <f t="shared" si="116"/>
        <v>0</v>
      </c>
      <c r="W393" s="52"/>
      <c r="X393" s="20"/>
    </row>
    <row r="394" spans="2:24" ht="26.25" hidden="1" customHeight="1" x14ac:dyDescent="0.25">
      <c r="B394" s="15"/>
      <c r="C394" s="6" t="s">
        <v>18</v>
      </c>
      <c r="D394" s="23" t="s">
        <v>72</v>
      </c>
      <c r="E394" s="106" t="s">
        <v>495</v>
      </c>
      <c r="F394" s="210"/>
      <c r="G394" s="13"/>
      <c r="H394" s="39"/>
      <c r="I394" s="309">
        <v>0</v>
      </c>
      <c r="J394" s="39">
        <f t="shared" si="114"/>
        <v>0</v>
      </c>
      <c r="K394" s="309">
        <f>R394/1.4</f>
        <v>1.8</v>
      </c>
      <c r="L394" s="230">
        <f>K394*J685</f>
        <v>0</v>
      </c>
      <c r="M394" s="90"/>
      <c r="N394" s="140"/>
      <c r="O394" s="39"/>
      <c r="P394" s="490">
        <f t="shared" ref="P394:P411" si="118">K394*O394</f>
        <v>0</v>
      </c>
      <c r="Q394" s="264" t="str">
        <f t="shared" si="113"/>
        <v>Д8х10</v>
      </c>
      <c r="R394" s="819">
        <f t="shared" si="112"/>
        <v>2.52</v>
      </c>
      <c r="S394" s="319">
        <v>2.1</v>
      </c>
      <c r="T394" s="353">
        <f t="shared" si="111"/>
        <v>0</v>
      </c>
      <c r="U394" s="18">
        <v>87980</v>
      </c>
      <c r="V394" s="20">
        <f t="shared" si="116"/>
        <v>0</v>
      </c>
      <c r="W394" s="52">
        <f t="shared" ref="W394:W403" si="119">X394-U394+V394</f>
        <v>0</v>
      </c>
      <c r="X394" s="848">
        <v>87980</v>
      </c>
    </row>
    <row r="395" spans="2:24" ht="26.25" hidden="1" customHeight="1" x14ac:dyDescent="0.25">
      <c r="B395" s="15"/>
      <c r="C395" s="6" t="s">
        <v>18</v>
      </c>
      <c r="D395" s="23" t="s">
        <v>72</v>
      </c>
      <c r="E395" s="106" t="s">
        <v>527</v>
      </c>
      <c r="F395" s="210">
        <v>1419</v>
      </c>
      <c r="G395" s="13"/>
      <c r="H395" s="39"/>
      <c r="I395" s="309">
        <v>0</v>
      </c>
      <c r="J395" s="39">
        <f t="shared" si="114"/>
        <v>0</v>
      </c>
      <c r="K395" s="309">
        <f>R395/1.4</f>
        <v>1.71</v>
      </c>
      <c r="L395" s="230">
        <f>K395*J686</f>
        <v>0</v>
      </c>
      <c r="M395" s="155" t="s">
        <v>686</v>
      </c>
      <c r="N395" s="140"/>
      <c r="O395" s="503"/>
      <c r="P395" s="309">
        <f t="shared" si="118"/>
        <v>0</v>
      </c>
      <c r="Q395" s="51" t="str">
        <f t="shared" si="113"/>
        <v>Д5х2,5</v>
      </c>
      <c r="R395" s="819">
        <f t="shared" si="112"/>
        <v>2.4</v>
      </c>
      <c r="S395" s="319">
        <v>2</v>
      </c>
      <c r="T395" s="353">
        <f t="shared" si="111"/>
        <v>0</v>
      </c>
      <c r="U395" s="20">
        <v>75</v>
      </c>
      <c r="V395" s="20">
        <f t="shared" si="116"/>
        <v>0</v>
      </c>
      <c r="W395" s="52">
        <f t="shared" si="119"/>
        <v>0</v>
      </c>
      <c r="X395" s="20">
        <v>75</v>
      </c>
    </row>
    <row r="396" spans="2:24" ht="26.25" hidden="1" customHeight="1" x14ac:dyDescent="0.25">
      <c r="B396" s="15"/>
      <c r="C396" s="6" t="s">
        <v>18</v>
      </c>
      <c r="D396" s="23" t="s">
        <v>72</v>
      </c>
      <c r="E396" s="106" t="s">
        <v>287</v>
      </c>
      <c r="F396" s="210">
        <v>1388</v>
      </c>
      <c r="G396" s="13"/>
      <c r="H396" s="39"/>
      <c r="I396" s="309">
        <v>0</v>
      </c>
      <c r="J396" s="39">
        <f t="shared" si="114"/>
        <v>0</v>
      </c>
      <c r="K396" s="309">
        <f>R396/1.4</f>
        <v>3.43</v>
      </c>
      <c r="L396" s="230"/>
      <c r="M396" s="215" t="s">
        <v>610</v>
      </c>
      <c r="N396" s="140"/>
      <c r="O396" s="39"/>
      <c r="P396" s="490">
        <f t="shared" si="118"/>
        <v>0</v>
      </c>
      <c r="Q396" s="442" t="str">
        <f t="shared" si="113"/>
        <v>Д10х2</v>
      </c>
      <c r="R396" s="819">
        <f t="shared" si="112"/>
        <v>4.8</v>
      </c>
      <c r="S396" s="319">
        <v>4</v>
      </c>
      <c r="T396" s="353">
        <f t="shared" si="111"/>
        <v>0</v>
      </c>
      <c r="U396" s="20">
        <v>4</v>
      </c>
      <c r="V396" s="20">
        <f t="shared" si="116"/>
        <v>0</v>
      </c>
      <c r="W396" s="52">
        <f t="shared" si="119"/>
        <v>0</v>
      </c>
      <c r="X396" s="20">
        <v>4</v>
      </c>
    </row>
    <row r="397" spans="2:24" ht="26.25" hidden="1" customHeight="1" x14ac:dyDescent="0.25">
      <c r="B397" s="15"/>
      <c r="C397" s="6" t="s">
        <v>18</v>
      </c>
      <c r="D397" s="23" t="s">
        <v>72</v>
      </c>
      <c r="E397" s="106" t="s">
        <v>565</v>
      </c>
      <c r="F397" s="210">
        <v>841</v>
      </c>
      <c r="G397" s="13"/>
      <c r="H397" s="39"/>
      <c r="I397" s="309">
        <v>0</v>
      </c>
      <c r="J397" s="39">
        <f t="shared" si="114"/>
        <v>0</v>
      </c>
      <c r="K397" s="309">
        <f>R397/1.4</f>
        <v>12</v>
      </c>
      <c r="L397" s="230"/>
      <c r="M397" s="155" t="s">
        <v>687</v>
      </c>
      <c r="N397" s="140"/>
      <c r="O397" s="503"/>
      <c r="P397" s="309">
        <f t="shared" si="118"/>
        <v>0</v>
      </c>
      <c r="Q397" s="51" t="str">
        <f t="shared" si="113"/>
        <v>Д10х5</v>
      </c>
      <c r="R397" s="819">
        <f t="shared" si="112"/>
        <v>16.8</v>
      </c>
      <c r="S397" s="319">
        <v>14</v>
      </c>
      <c r="T397" s="353">
        <f t="shared" si="111"/>
        <v>0</v>
      </c>
      <c r="U397" s="20">
        <v>4</v>
      </c>
      <c r="V397" s="20">
        <f t="shared" si="116"/>
        <v>0</v>
      </c>
      <c r="W397" s="52">
        <f t="shared" si="119"/>
        <v>0</v>
      </c>
      <c r="X397" s="20">
        <v>4</v>
      </c>
    </row>
    <row r="398" spans="2:24" ht="26.25" hidden="1" customHeight="1" x14ac:dyDescent="0.25">
      <c r="B398" s="15"/>
      <c r="C398" s="6" t="s">
        <v>18</v>
      </c>
      <c r="D398" s="23" t="s">
        <v>72</v>
      </c>
      <c r="E398" s="106" t="s">
        <v>486</v>
      </c>
      <c r="F398" s="210"/>
      <c r="G398" s="13"/>
      <c r="H398" s="39"/>
      <c r="I398" s="309">
        <v>0</v>
      </c>
      <c r="J398" s="39">
        <f t="shared" si="114"/>
        <v>0</v>
      </c>
      <c r="K398" s="309">
        <f>R398/1.4</f>
        <v>0</v>
      </c>
      <c r="L398" s="230"/>
      <c r="M398" s="90"/>
      <c r="N398" s="140"/>
      <c r="O398" s="39"/>
      <c r="P398" s="490">
        <f t="shared" si="118"/>
        <v>0</v>
      </c>
      <c r="Q398" s="235" t="str">
        <f t="shared" si="113"/>
        <v>Д40х5х3</v>
      </c>
      <c r="R398" s="377">
        <f t="shared" si="112"/>
        <v>0</v>
      </c>
      <c r="S398" s="319">
        <v>0</v>
      </c>
      <c r="T398" s="353">
        <f t="shared" si="111"/>
        <v>0</v>
      </c>
      <c r="U398" s="20">
        <v>5</v>
      </c>
      <c r="V398" s="20">
        <f t="shared" si="116"/>
        <v>0</v>
      </c>
      <c r="W398" s="52">
        <f t="shared" si="119"/>
        <v>0</v>
      </c>
      <c r="X398" s="20">
        <v>5</v>
      </c>
    </row>
    <row r="399" spans="2:24" ht="26.25" hidden="1" customHeight="1" x14ac:dyDescent="0.25">
      <c r="B399" s="15"/>
      <c r="C399" s="6" t="s">
        <v>18</v>
      </c>
      <c r="D399" s="23" t="s">
        <v>72</v>
      </c>
      <c r="E399" s="106" t="s">
        <v>487</v>
      </c>
      <c r="F399" s="210"/>
      <c r="G399" s="13"/>
      <c r="H399" s="39"/>
      <c r="I399" s="309">
        <v>0</v>
      </c>
      <c r="J399" s="39">
        <f t="shared" si="114"/>
        <v>0</v>
      </c>
      <c r="K399" s="309"/>
      <c r="L399" s="230"/>
      <c r="M399" s="90"/>
      <c r="N399" s="140"/>
      <c r="O399" s="39"/>
      <c r="P399" s="309">
        <f t="shared" si="118"/>
        <v>0</v>
      </c>
      <c r="Q399" s="235" t="str">
        <f t="shared" si="113"/>
        <v>Д40х5х2</v>
      </c>
      <c r="R399" s="377">
        <f t="shared" si="112"/>
        <v>0</v>
      </c>
      <c r="S399" s="319">
        <v>0</v>
      </c>
      <c r="T399" s="353">
        <f t="shared" si="111"/>
        <v>0</v>
      </c>
      <c r="U399" s="20">
        <v>2</v>
      </c>
      <c r="V399" s="20">
        <f t="shared" si="116"/>
        <v>0</v>
      </c>
      <c r="W399" s="52">
        <f t="shared" si="119"/>
        <v>0</v>
      </c>
      <c r="X399" s="20">
        <v>2</v>
      </c>
    </row>
    <row r="400" spans="2:24" ht="26.25" customHeight="1" x14ac:dyDescent="0.25">
      <c r="B400" s="15">
        <v>114</v>
      </c>
      <c r="C400" s="6" t="s">
        <v>18</v>
      </c>
      <c r="D400" s="23" t="s">
        <v>72</v>
      </c>
      <c r="E400" s="104" t="s">
        <v>468</v>
      </c>
      <c r="F400" s="210">
        <v>1249</v>
      </c>
      <c r="G400" s="48" t="s">
        <v>0</v>
      </c>
      <c r="H400" s="39"/>
      <c r="I400" s="309">
        <v>0</v>
      </c>
      <c r="J400" s="39">
        <f t="shared" si="114"/>
        <v>200</v>
      </c>
      <c r="K400" s="309">
        <f t="shared" ref="K400:K409" si="120">R400/1.4</f>
        <v>1.74</v>
      </c>
      <c r="L400" s="230">
        <f>K400*J691</f>
        <v>0</v>
      </c>
      <c r="M400" s="154" t="s">
        <v>948</v>
      </c>
      <c r="N400" s="140">
        <v>200</v>
      </c>
      <c r="O400" s="503"/>
      <c r="P400" s="309">
        <f t="shared" si="118"/>
        <v>0</v>
      </c>
      <c r="Q400" s="235" t="str">
        <f t="shared" si="113"/>
        <v>П5х5х3</v>
      </c>
      <c r="R400" s="306">
        <f t="shared" si="112"/>
        <v>2.44</v>
      </c>
      <c r="S400" s="319">
        <v>2.0299999999999998</v>
      </c>
      <c r="T400" s="353">
        <f t="shared" si="111"/>
        <v>406</v>
      </c>
      <c r="U400" s="148">
        <f>124+60+42-140</f>
        <v>86</v>
      </c>
      <c r="V400" s="20">
        <f t="shared" si="116"/>
        <v>200</v>
      </c>
      <c r="W400" s="52">
        <f t="shared" si="119"/>
        <v>200</v>
      </c>
      <c r="X400" s="444">
        <f>124+60+42-140</f>
        <v>86</v>
      </c>
    </row>
    <row r="401" spans="2:24" ht="26.25" hidden="1" customHeight="1" x14ac:dyDescent="0.25">
      <c r="B401" s="15"/>
      <c r="C401" s="6" t="s">
        <v>18</v>
      </c>
      <c r="D401" s="23" t="s">
        <v>72</v>
      </c>
      <c r="E401" s="347" t="s">
        <v>481</v>
      </c>
      <c r="F401" s="210">
        <v>1235</v>
      </c>
      <c r="G401" s="13"/>
      <c r="H401" s="39"/>
      <c r="I401" s="309">
        <v>0</v>
      </c>
      <c r="J401" s="39">
        <f t="shared" si="114"/>
        <v>0</v>
      </c>
      <c r="K401" s="309">
        <f t="shared" si="120"/>
        <v>3.46</v>
      </c>
      <c r="L401" s="230"/>
      <c r="M401" s="155" t="s">
        <v>464</v>
      </c>
      <c r="N401" s="140"/>
      <c r="O401" s="39"/>
      <c r="P401" s="490">
        <f t="shared" si="118"/>
        <v>0</v>
      </c>
      <c r="Q401" s="263" t="str">
        <f t="shared" si="113"/>
        <v>Д16х3 ВМ-1950.5679.13.03.003</v>
      </c>
      <c r="R401" s="377">
        <f t="shared" si="112"/>
        <v>4.84</v>
      </c>
      <c r="S401" s="319">
        <v>4.03</v>
      </c>
      <c r="T401" s="353">
        <f t="shared" si="111"/>
        <v>0</v>
      </c>
      <c r="U401" s="20">
        <v>100</v>
      </c>
      <c r="V401" s="20">
        <f t="shared" si="116"/>
        <v>0</v>
      </c>
      <c r="W401" s="52">
        <f t="shared" si="119"/>
        <v>0</v>
      </c>
      <c r="X401" s="444">
        <v>100</v>
      </c>
    </row>
    <row r="402" spans="2:24" ht="32.25" customHeight="1" x14ac:dyDescent="0.25">
      <c r="B402" s="11">
        <v>115</v>
      </c>
      <c r="C402" s="6" t="s">
        <v>18</v>
      </c>
      <c r="D402" s="23" t="s">
        <v>72</v>
      </c>
      <c r="E402" s="104" t="s">
        <v>97</v>
      </c>
      <c r="F402" s="208">
        <v>509</v>
      </c>
      <c r="G402" s="48" t="s">
        <v>0</v>
      </c>
      <c r="H402" s="39">
        <v>2000</v>
      </c>
      <c r="I402" s="360">
        <v>3260</v>
      </c>
      <c r="J402" s="39">
        <f t="shared" si="114"/>
        <v>0</v>
      </c>
      <c r="K402" s="309">
        <f t="shared" si="120"/>
        <v>1.67</v>
      </c>
      <c r="L402" s="230">
        <f>K402*J693</f>
        <v>0</v>
      </c>
      <c r="M402" s="233" t="s">
        <v>846</v>
      </c>
      <c r="N402" s="140">
        <v>450</v>
      </c>
      <c r="O402" s="39">
        <v>1550</v>
      </c>
      <c r="P402" s="309">
        <f t="shared" si="118"/>
        <v>2588.5</v>
      </c>
      <c r="Q402" s="235" t="str">
        <f t="shared" si="113"/>
        <v>П3х6х7</v>
      </c>
      <c r="R402" s="306">
        <f t="shared" si="112"/>
        <v>2.34</v>
      </c>
      <c r="S402" s="319">
        <v>1.95</v>
      </c>
      <c r="T402" s="353">
        <f t="shared" si="111"/>
        <v>0</v>
      </c>
      <c r="U402" s="148">
        <f>1920*2+100-800</f>
        <v>3140</v>
      </c>
      <c r="V402" s="20">
        <f t="shared" si="116"/>
        <v>450</v>
      </c>
      <c r="W402" s="52">
        <f t="shared" si="119"/>
        <v>0</v>
      </c>
      <c r="X402" s="444">
        <f>1920*2+100-800-450</f>
        <v>2690</v>
      </c>
    </row>
    <row r="403" spans="2:24" ht="26.25" customHeight="1" x14ac:dyDescent="0.25">
      <c r="B403" s="19">
        <v>116</v>
      </c>
      <c r="C403" s="6" t="s">
        <v>18</v>
      </c>
      <c r="D403" s="23" t="s">
        <v>72</v>
      </c>
      <c r="E403" s="104" t="s">
        <v>92</v>
      </c>
      <c r="F403" s="208">
        <v>557</v>
      </c>
      <c r="G403" s="48" t="s">
        <v>0</v>
      </c>
      <c r="H403" s="39"/>
      <c r="I403" s="360">
        <v>0</v>
      </c>
      <c r="J403" s="39">
        <f t="shared" si="114"/>
        <v>300</v>
      </c>
      <c r="K403" s="309">
        <f t="shared" si="120"/>
        <v>1.68</v>
      </c>
      <c r="L403" s="230">
        <f>K403*J694</f>
        <v>0</v>
      </c>
      <c r="M403" s="154" t="s">
        <v>949</v>
      </c>
      <c r="N403" s="140">
        <v>300</v>
      </c>
      <c r="O403" s="503"/>
      <c r="P403" s="309">
        <f t="shared" si="118"/>
        <v>0</v>
      </c>
      <c r="Q403" s="235" t="str">
        <f t="shared" si="113"/>
        <v>П5х5х2</v>
      </c>
      <c r="R403" s="306">
        <f t="shared" si="112"/>
        <v>2.35</v>
      </c>
      <c r="S403" s="319">
        <v>1.96</v>
      </c>
      <c r="T403" s="353">
        <f t="shared" si="111"/>
        <v>588</v>
      </c>
      <c r="U403" s="148">
        <f>257+191+27+36+100+26-200</f>
        <v>437</v>
      </c>
      <c r="V403" s="20">
        <f t="shared" si="116"/>
        <v>300</v>
      </c>
      <c r="W403" s="52">
        <f t="shared" si="119"/>
        <v>0</v>
      </c>
      <c r="X403" s="444">
        <f>257+191+27+36+100+26-200-300</f>
        <v>137</v>
      </c>
    </row>
    <row r="404" spans="2:24" ht="26.25" customHeight="1" x14ac:dyDescent="0.25">
      <c r="B404" s="11">
        <v>117</v>
      </c>
      <c r="C404" s="6" t="s">
        <v>18</v>
      </c>
      <c r="D404" s="23" t="s">
        <v>72</v>
      </c>
      <c r="E404" s="104" t="s">
        <v>909</v>
      </c>
      <c r="F404" s="208">
        <v>1316</v>
      </c>
      <c r="G404" s="48"/>
      <c r="H404" s="39"/>
      <c r="I404" s="360"/>
      <c r="J404" s="39">
        <f t="shared" si="114"/>
        <v>20</v>
      </c>
      <c r="K404" s="309">
        <f t="shared" si="120"/>
        <v>4.29</v>
      </c>
      <c r="L404" s="41"/>
      <c r="M404" s="154" t="s">
        <v>950</v>
      </c>
      <c r="N404" s="851">
        <v>20</v>
      </c>
      <c r="O404" s="503"/>
      <c r="P404" s="309">
        <f t="shared" si="118"/>
        <v>0</v>
      </c>
      <c r="Q404" s="235" t="str">
        <f t="shared" si="113"/>
        <v xml:space="preserve">П4х4х3 </v>
      </c>
      <c r="R404" s="306">
        <f t="shared" si="112"/>
        <v>6</v>
      </c>
      <c r="S404" s="319">
        <v>5</v>
      </c>
      <c r="T404" s="353">
        <f t="shared" si="111"/>
        <v>100</v>
      </c>
      <c r="U404" s="52"/>
      <c r="V404" s="20">
        <f t="shared" si="116"/>
        <v>20</v>
      </c>
      <c r="W404" s="52"/>
      <c r="X404" s="20"/>
    </row>
    <row r="405" spans="2:24" ht="26.25" hidden="1" customHeight="1" x14ac:dyDescent="0.25">
      <c r="B405" s="19"/>
      <c r="C405" s="6" t="s">
        <v>18</v>
      </c>
      <c r="D405" s="23" t="s">
        <v>72</v>
      </c>
      <c r="E405" s="104" t="s">
        <v>670</v>
      </c>
      <c r="F405" s="208">
        <v>1416</v>
      </c>
      <c r="G405" s="48"/>
      <c r="H405" s="39"/>
      <c r="I405" s="360">
        <v>0</v>
      </c>
      <c r="J405" s="39">
        <f t="shared" si="114"/>
        <v>0</v>
      </c>
      <c r="K405" s="309">
        <f t="shared" si="120"/>
        <v>1.63</v>
      </c>
      <c r="L405" s="230"/>
      <c r="M405" s="234" t="s">
        <v>689</v>
      </c>
      <c r="N405" s="140"/>
      <c r="O405" s="503"/>
      <c r="P405" s="309">
        <f t="shared" si="118"/>
        <v>0</v>
      </c>
      <c r="Q405" s="235"/>
      <c r="R405" s="306">
        <f t="shared" si="112"/>
        <v>2.2799999999999998</v>
      </c>
      <c r="S405" s="319">
        <v>1.9</v>
      </c>
      <c r="T405" s="353">
        <f t="shared" ref="T405:T429" si="121">S405*J405</f>
        <v>0</v>
      </c>
      <c r="U405" s="70">
        <v>20</v>
      </c>
      <c r="V405" s="20">
        <f t="shared" si="116"/>
        <v>0</v>
      </c>
      <c r="W405" s="52"/>
      <c r="X405" s="20">
        <v>20</v>
      </c>
    </row>
    <row r="406" spans="2:24" ht="26.25" customHeight="1" x14ac:dyDescent="0.25">
      <c r="B406" s="11">
        <v>118</v>
      </c>
      <c r="C406" s="6" t="s">
        <v>18</v>
      </c>
      <c r="D406" s="23" t="s">
        <v>72</v>
      </c>
      <c r="E406" s="104" t="s">
        <v>145</v>
      </c>
      <c r="F406" s="208">
        <v>726</v>
      </c>
      <c r="G406" s="48" t="s">
        <v>0</v>
      </c>
      <c r="H406" s="40">
        <v>270</v>
      </c>
      <c r="I406" s="360">
        <v>1366.2</v>
      </c>
      <c r="J406" s="39">
        <f t="shared" si="114"/>
        <v>0</v>
      </c>
      <c r="K406" s="309">
        <f t="shared" si="120"/>
        <v>5.0599999999999996</v>
      </c>
      <c r="L406" s="230">
        <f>K406*J696</f>
        <v>0</v>
      </c>
      <c r="M406" s="367"/>
      <c r="N406" s="140"/>
      <c r="O406" s="40">
        <v>270</v>
      </c>
      <c r="P406" s="309">
        <f t="shared" si="118"/>
        <v>1366.2</v>
      </c>
      <c r="Q406" s="235" t="str">
        <f t="shared" ref="Q406:Q411" si="122">E406</f>
        <v>П7х7х4,8</v>
      </c>
      <c r="R406" s="377">
        <f t="shared" si="112"/>
        <v>7.08</v>
      </c>
      <c r="S406" s="343">
        <v>5.9</v>
      </c>
      <c r="T406" s="353">
        <f t="shared" si="121"/>
        <v>0</v>
      </c>
      <c r="U406" s="18">
        <f>350+407</f>
        <v>757</v>
      </c>
      <c r="V406" s="20">
        <f t="shared" si="116"/>
        <v>0</v>
      </c>
      <c r="W406" s="52">
        <f t="shared" ref="W406:W411" si="123">X406-U406+V406</f>
        <v>0</v>
      </c>
      <c r="X406" s="18">
        <f>350+407</f>
        <v>757</v>
      </c>
    </row>
    <row r="407" spans="2:24" ht="26.25" hidden="1" customHeight="1" x14ac:dyDescent="0.25">
      <c r="B407" s="11"/>
      <c r="C407" s="6" t="s">
        <v>18</v>
      </c>
      <c r="D407" s="23" t="s">
        <v>72</v>
      </c>
      <c r="E407" s="104" t="s">
        <v>273</v>
      </c>
      <c r="F407" s="208">
        <v>758</v>
      </c>
      <c r="G407" s="48" t="s">
        <v>0</v>
      </c>
      <c r="H407" s="40"/>
      <c r="I407" s="360">
        <v>0</v>
      </c>
      <c r="J407" s="39">
        <f t="shared" si="114"/>
        <v>0</v>
      </c>
      <c r="K407" s="309">
        <f t="shared" si="120"/>
        <v>7.31</v>
      </c>
      <c r="L407" s="230"/>
      <c r="M407" s="366" t="s">
        <v>611</v>
      </c>
      <c r="N407" s="140"/>
      <c r="O407" s="40"/>
      <c r="P407" s="469">
        <f t="shared" si="118"/>
        <v>0</v>
      </c>
      <c r="Q407" s="51" t="str">
        <f t="shared" si="122"/>
        <v>П7х7х2,5</v>
      </c>
      <c r="R407" s="377">
        <f t="shared" si="112"/>
        <v>10.24</v>
      </c>
      <c r="S407" s="343">
        <v>8.5299999999999994</v>
      </c>
      <c r="T407" s="353">
        <f t="shared" si="121"/>
        <v>0</v>
      </c>
      <c r="U407" s="18">
        <f>6-3</f>
        <v>3</v>
      </c>
      <c r="V407" s="20">
        <f t="shared" si="116"/>
        <v>0</v>
      </c>
      <c r="W407" s="52">
        <f t="shared" si="123"/>
        <v>0</v>
      </c>
      <c r="X407" s="18">
        <f>6-3</f>
        <v>3</v>
      </c>
    </row>
    <row r="408" spans="2:24" ht="26.25" hidden="1" customHeight="1" x14ac:dyDescent="0.25">
      <c r="B408" s="11"/>
      <c r="C408" s="6" t="s">
        <v>18</v>
      </c>
      <c r="D408" s="23" t="s">
        <v>72</v>
      </c>
      <c r="E408" s="104" t="s">
        <v>484</v>
      </c>
      <c r="F408" s="270">
        <v>494</v>
      </c>
      <c r="G408" s="48"/>
      <c r="H408" s="40"/>
      <c r="I408" s="309">
        <v>0</v>
      </c>
      <c r="J408" s="39">
        <f t="shared" si="114"/>
        <v>0</v>
      </c>
      <c r="K408" s="309">
        <f t="shared" si="120"/>
        <v>4.5</v>
      </c>
      <c r="L408" s="230"/>
      <c r="M408" s="234" t="s">
        <v>657</v>
      </c>
      <c r="N408" s="140"/>
      <c r="O408" s="504"/>
      <c r="P408" s="309">
        <f t="shared" si="118"/>
        <v>0</v>
      </c>
      <c r="Q408" s="262" t="str">
        <f t="shared" si="122"/>
        <v>П14х7х2,4</v>
      </c>
      <c r="R408" s="377">
        <f>S408*1.2</f>
        <v>6.3</v>
      </c>
      <c r="S408" s="343">
        <v>5.25</v>
      </c>
      <c r="T408" s="353">
        <f t="shared" si="121"/>
        <v>0</v>
      </c>
      <c r="U408" s="18">
        <v>79</v>
      </c>
      <c r="V408" s="20">
        <f t="shared" si="116"/>
        <v>0</v>
      </c>
      <c r="W408" s="52">
        <f t="shared" si="123"/>
        <v>0</v>
      </c>
      <c r="X408" s="18">
        <v>79</v>
      </c>
    </row>
    <row r="409" spans="2:24" ht="26.25" hidden="1" customHeight="1" x14ac:dyDescent="0.25">
      <c r="B409" s="11"/>
      <c r="C409" s="6" t="s">
        <v>18</v>
      </c>
      <c r="D409" s="23" t="s">
        <v>72</v>
      </c>
      <c r="E409" s="104" t="s">
        <v>485</v>
      </c>
      <c r="F409" s="270"/>
      <c r="G409" s="48"/>
      <c r="H409" s="40"/>
      <c r="I409" s="309">
        <v>0</v>
      </c>
      <c r="J409" s="39">
        <f t="shared" si="114"/>
        <v>0</v>
      </c>
      <c r="K409" s="309">
        <f t="shared" si="120"/>
        <v>0</v>
      </c>
      <c r="L409" s="230"/>
      <c r="M409" s="64"/>
      <c r="N409" s="140"/>
      <c r="O409" s="40"/>
      <c r="P409" s="490">
        <f t="shared" si="118"/>
        <v>0</v>
      </c>
      <c r="Q409" s="263" t="str">
        <f t="shared" si="122"/>
        <v>П7х6х3</v>
      </c>
      <c r="R409" s="377">
        <f>S409*1.2</f>
        <v>0</v>
      </c>
      <c r="S409" s="343">
        <v>0</v>
      </c>
      <c r="T409" s="353">
        <f t="shared" si="121"/>
        <v>0</v>
      </c>
      <c r="U409" s="18">
        <v>9</v>
      </c>
      <c r="V409" s="20">
        <f t="shared" si="116"/>
        <v>0</v>
      </c>
      <c r="W409" s="52">
        <f t="shared" si="123"/>
        <v>0</v>
      </c>
      <c r="X409" s="18">
        <v>9</v>
      </c>
    </row>
    <row r="410" spans="2:24" ht="26.25" customHeight="1" x14ac:dyDescent="0.25">
      <c r="B410" s="11">
        <v>119</v>
      </c>
      <c r="C410" s="6" t="s">
        <v>18</v>
      </c>
      <c r="D410" s="23" t="s">
        <v>72</v>
      </c>
      <c r="E410" s="107" t="s">
        <v>496</v>
      </c>
      <c r="F410" s="526">
        <v>1268</v>
      </c>
      <c r="G410" s="48" t="s">
        <v>0</v>
      </c>
      <c r="H410" s="40">
        <v>2</v>
      </c>
      <c r="I410" s="360">
        <v>12.26</v>
      </c>
      <c r="J410" s="39">
        <f t="shared" si="114"/>
        <v>0</v>
      </c>
      <c r="K410" s="309">
        <v>6.13</v>
      </c>
      <c r="L410" s="230">
        <f>K410*J700</f>
        <v>0</v>
      </c>
      <c r="M410" s="368"/>
      <c r="N410" s="140"/>
      <c r="O410" s="40">
        <v>2</v>
      </c>
      <c r="P410" s="309">
        <f t="shared" si="118"/>
        <v>12.26</v>
      </c>
      <c r="Q410" s="235" t="str">
        <f t="shared" si="122"/>
        <v>П10х10х4</v>
      </c>
      <c r="R410" s="377">
        <f>S410*1.2</f>
        <v>8.58</v>
      </c>
      <c r="S410" s="343">
        <v>7.15</v>
      </c>
      <c r="T410" s="353">
        <f t="shared" si="121"/>
        <v>0</v>
      </c>
      <c r="U410" s="18">
        <v>8</v>
      </c>
      <c r="V410" s="20">
        <f t="shared" si="116"/>
        <v>0</v>
      </c>
      <c r="W410" s="52">
        <f t="shared" si="123"/>
        <v>0</v>
      </c>
      <c r="X410" s="18">
        <v>8</v>
      </c>
    </row>
    <row r="411" spans="2:24" ht="26.25" hidden="1" customHeight="1" x14ac:dyDescent="0.25">
      <c r="B411" s="11"/>
      <c r="C411" s="6" t="s">
        <v>18</v>
      </c>
      <c r="D411" s="23" t="s">
        <v>72</v>
      </c>
      <c r="E411" s="107" t="s">
        <v>664</v>
      </c>
      <c r="F411" s="386">
        <v>1255</v>
      </c>
      <c r="G411" s="12"/>
      <c r="H411" s="40"/>
      <c r="I411" s="309">
        <v>0</v>
      </c>
      <c r="J411" s="39">
        <f t="shared" si="114"/>
        <v>0</v>
      </c>
      <c r="K411" s="309">
        <f>R411/1.4</f>
        <v>12</v>
      </c>
      <c r="L411" s="230"/>
      <c r="M411" s="96" t="s">
        <v>475</v>
      </c>
      <c r="N411" s="140"/>
      <c r="O411" s="40"/>
      <c r="P411" s="490">
        <f t="shared" si="118"/>
        <v>0</v>
      </c>
      <c r="Q411" s="262" t="str">
        <f t="shared" si="122"/>
        <v>П12х10х20 (скл. Интеграл)</v>
      </c>
      <c r="R411" s="377">
        <f>S411*1.2</f>
        <v>16.8</v>
      </c>
      <c r="S411" s="343">
        <v>14</v>
      </c>
      <c r="T411" s="353">
        <f t="shared" si="121"/>
        <v>0</v>
      </c>
      <c r="U411" s="18">
        <v>8</v>
      </c>
      <c r="V411" s="20">
        <f t="shared" si="116"/>
        <v>0</v>
      </c>
      <c r="W411" s="52">
        <f t="shared" si="123"/>
        <v>0</v>
      </c>
      <c r="X411" s="18">
        <v>8</v>
      </c>
    </row>
    <row r="412" spans="2:24" ht="26.25" hidden="1" customHeight="1" x14ac:dyDescent="0.25">
      <c r="B412" s="11"/>
      <c r="C412" s="6"/>
      <c r="D412" s="23"/>
      <c r="E412" s="1" t="s">
        <v>330</v>
      </c>
      <c r="F412" s="386"/>
      <c r="G412" s="12"/>
      <c r="H412" s="40"/>
      <c r="I412" s="309"/>
      <c r="J412" s="39">
        <f t="shared" si="114"/>
        <v>0</v>
      </c>
      <c r="K412" s="309"/>
      <c r="L412" s="230"/>
      <c r="M412" s="96"/>
      <c r="N412" s="140"/>
      <c r="O412" s="40"/>
      <c r="P412" s="309"/>
      <c r="Q412" s="262"/>
      <c r="R412" s="377"/>
      <c r="S412" s="343"/>
      <c r="T412" s="353">
        <f t="shared" si="121"/>
        <v>0</v>
      </c>
      <c r="U412" s="18"/>
      <c r="V412" s="20">
        <f t="shared" si="116"/>
        <v>0</v>
      </c>
      <c r="W412" s="52"/>
      <c r="X412" s="18"/>
    </row>
    <row r="413" spans="2:24" ht="26.25" hidden="1" customHeight="1" x14ac:dyDescent="0.25">
      <c r="B413" s="11"/>
      <c r="C413" s="6" t="s">
        <v>18</v>
      </c>
      <c r="D413" s="23" t="s">
        <v>72</v>
      </c>
      <c r="E413" s="1" t="s">
        <v>249</v>
      </c>
      <c r="F413" s="386">
        <v>1222</v>
      </c>
      <c r="G413" s="12"/>
      <c r="H413" s="40"/>
      <c r="I413" s="309">
        <v>0</v>
      </c>
      <c r="J413" s="39">
        <f t="shared" si="114"/>
        <v>0</v>
      </c>
      <c r="K413" s="309">
        <f t="shared" ref="K413:K439" si="124">R413/1.4</f>
        <v>7.97</v>
      </c>
      <c r="L413" s="230"/>
      <c r="M413" s="96" t="s">
        <v>335</v>
      </c>
      <c r="N413" s="140"/>
      <c r="O413" s="40"/>
      <c r="P413" s="309">
        <f t="shared" ref="P413:P427" si="125">K413*O413</f>
        <v>0</v>
      </c>
      <c r="Q413" s="235" t="str">
        <f t="shared" ref="Q413:Q439" si="126">E413</f>
        <v>П20х10х7,5</v>
      </c>
      <c r="R413" s="377">
        <f t="shared" ref="R413:R439" si="127">S413*1.2</f>
        <v>11.16</v>
      </c>
      <c r="S413" s="343">
        <v>9.3000000000000007</v>
      </c>
      <c r="T413" s="353">
        <f t="shared" si="121"/>
        <v>0</v>
      </c>
      <c r="U413" s="18">
        <f>162*4+32</f>
        <v>680</v>
      </c>
      <c r="V413" s="20">
        <f t="shared" si="116"/>
        <v>0</v>
      </c>
      <c r="W413" s="52">
        <f t="shared" ref="W413:W428" si="128">X413-U413+V413</f>
        <v>0</v>
      </c>
      <c r="X413" s="18">
        <f>162*4+32</f>
        <v>680</v>
      </c>
    </row>
    <row r="414" spans="2:24" ht="26.25" hidden="1" customHeight="1" x14ac:dyDescent="0.25">
      <c r="B414" s="19"/>
      <c r="C414" s="6" t="s">
        <v>18</v>
      </c>
      <c r="D414" s="23" t="s">
        <v>72</v>
      </c>
      <c r="E414" s="106" t="s">
        <v>247</v>
      </c>
      <c r="F414" s="386"/>
      <c r="G414" s="13" t="s">
        <v>0</v>
      </c>
      <c r="H414" s="39"/>
      <c r="I414" s="309">
        <v>0</v>
      </c>
      <c r="J414" s="39">
        <f t="shared" si="114"/>
        <v>0</v>
      </c>
      <c r="K414" s="309">
        <f t="shared" si="124"/>
        <v>197.14</v>
      </c>
      <c r="L414" s="230"/>
      <c r="M414" s="217" t="s">
        <v>279</v>
      </c>
      <c r="N414" s="140"/>
      <c r="O414" s="39"/>
      <c r="P414" s="309">
        <f t="shared" si="125"/>
        <v>0</v>
      </c>
      <c r="Q414" s="235" t="str">
        <f t="shared" si="126"/>
        <v>П30х30х15</v>
      </c>
      <c r="R414" s="377">
        <f t="shared" si="127"/>
        <v>276</v>
      </c>
      <c r="S414" s="319">
        <v>230</v>
      </c>
      <c r="T414" s="353">
        <f t="shared" si="121"/>
        <v>0</v>
      </c>
      <c r="U414" s="18">
        <v>2</v>
      </c>
      <c r="V414" s="20">
        <f t="shared" si="116"/>
        <v>0</v>
      </c>
      <c r="W414" s="52">
        <f t="shared" si="128"/>
        <v>0</v>
      </c>
      <c r="X414" s="18">
        <v>2</v>
      </c>
    </row>
    <row r="415" spans="2:24" ht="26.25" hidden="1" customHeight="1" x14ac:dyDescent="0.25">
      <c r="B415" s="19"/>
      <c r="C415" s="6" t="s">
        <v>18</v>
      </c>
      <c r="D415" s="23" t="s">
        <v>72</v>
      </c>
      <c r="E415" s="106" t="s">
        <v>483</v>
      </c>
      <c r="F415" s="386"/>
      <c r="G415" s="13"/>
      <c r="H415" s="39"/>
      <c r="I415" s="309">
        <v>0</v>
      </c>
      <c r="J415" s="39">
        <f t="shared" si="114"/>
        <v>0</v>
      </c>
      <c r="K415" s="309">
        <f t="shared" si="124"/>
        <v>14.66</v>
      </c>
      <c r="L415" s="230">
        <f>K415*J705</f>
        <v>0</v>
      </c>
      <c r="M415" s="90"/>
      <c r="N415" s="140"/>
      <c r="O415" s="39"/>
      <c r="P415" s="309">
        <f t="shared" si="125"/>
        <v>0</v>
      </c>
      <c r="Q415" s="235" t="str">
        <f t="shared" si="126"/>
        <v>П55х24х3</v>
      </c>
      <c r="R415" s="377">
        <f t="shared" si="127"/>
        <v>20.52</v>
      </c>
      <c r="S415" s="319">
        <v>17.100000000000001</v>
      </c>
      <c r="T415" s="353">
        <f t="shared" si="121"/>
        <v>0</v>
      </c>
      <c r="U415" s="18">
        <f>16*8+11</f>
        <v>139</v>
      </c>
      <c r="V415" s="20">
        <f t="shared" si="116"/>
        <v>0</v>
      </c>
      <c r="W415" s="52">
        <f t="shared" si="128"/>
        <v>0</v>
      </c>
      <c r="X415" s="18">
        <f>16*8+11</f>
        <v>139</v>
      </c>
    </row>
    <row r="416" spans="2:24" ht="26.25" hidden="1" customHeight="1" x14ac:dyDescent="0.25">
      <c r="B416" s="19"/>
      <c r="C416" s="6" t="s">
        <v>18</v>
      </c>
      <c r="D416" s="23" t="s">
        <v>72</v>
      </c>
      <c r="E416" s="106" t="s">
        <v>254</v>
      </c>
      <c r="F416" s="386"/>
      <c r="G416" s="13"/>
      <c r="H416" s="39"/>
      <c r="I416" s="309">
        <v>0</v>
      </c>
      <c r="J416" s="39">
        <f t="shared" ref="J416:J439" si="129">N416+O416-H416</f>
        <v>0</v>
      </c>
      <c r="K416" s="309">
        <f t="shared" si="124"/>
        <v>0</v>
      </c>
      <c r="L416" s="230"/>
      <c r="M416" s="90"/>
      <c r="N416" s="140"/>
      <c r="O416" s="39"/>
      <c r="P416" s="309">
        <f t="shared" si="125"/>
        <v>0</v>
      </c>
      <c r="Q416" s="235" t="str">
        <f t="shared" si="126"/>
        <v>П26х19х3</v>
      </c>
      <c r="R416" s="377">
        <f t="shared" si="127"/>
        <v>0</v>
      </c>
      <c r="S416" s="319">
        <v>0</v>
      </c>
      <c r="T416" s="353">
        <f t="shared" si="121"/>
        <v>0</v>
      </c>
      <c r="U416" s="18">
        <v>4</v>
      </c>
      <c r="V416" s="20">
        <f t="shared" si="116"/>
        <v>0</v>
      </c>
      <c r="W416" s="52">
        <f t="shared" si="128"/>
        <v>0</v>
      </c>
      <c r="X416" s="18">
        <v>4</v>
      </c>
    </row>
    <row r="417" spans="1:24" ht="26.25" hidden="1" customHeight="1" x14ac:dyDescent="0.25">
      <c r="B417" s="19"/>
      <c r="C417" s="6" t="s">
        <v>18</v>
      </c>
      <c r="D417" s="23" t="s">
        <v>72</v>
      </c>
      <c r="E417" s="106" t="s">
        <v>387</v>
      </c>
      <c r="F417" s="386"/>
      <c r="G417" s="13"/>
      <c r="H417" s="39"/>
      <c r="I417" s="309">
        <v>0</v>
      </c>
      <c r="J417" s="39">
        <f t="shared" si="129"/>
        <v>0</v>
      </c>
      <c r="K417" s="309">
        <f t="shared" si="124"/>
        <v>0</v>
      </c>
      <c r="L417" s="230"/>
      <c r="M417" s="90"/>
      <c r="N417" s="140"/>
      <c r="O417" s="39"/>
      <c r="P417" s="309">
        <f t="shared" si="125"/>
        <v>0</v>
      </c>
      <c r="Q417" s="235" t="str">
        <f t="shared" si="126"/>
        <v>П20х10х5</v>
      </c>
      <c r="R417" s="377">
        <f t="shared" si="127"/>
        <v>0</v>
      </c>
      <c r="S417" s="319">
        <v>0</v>
      </c>
      <c r="T417" s="353">
        <f t="shared" si="121"/>
        <v>0</v>
      </c>
      <c r="U417" s="18">
        <v>40</v>
      </c>
      <c r="V417" s="20">
        <f t="shared" si="116"/>
        <v>0</v>
      </c>
      <c r="W417" s="52">
        <f t="shared" si="128"/>
        <v>0</v>
      </c>
      <c r="X417" s="18">
        <v>40</v>
      </c>
    </row>
    <row r="418" spans="1:24" ht="26.25" hidden="1" customHeight="1" x14ac:dyDescent="0.25">
      <c r="B418" s="19"/>
      <c r="C418" s="6" t="s">
        <v>18</v>
      </c>
      <c r="D418" s="23" t="s">
        <v>72</v>
      </c>
      <c r="E418" s="106" t="s">
        <v>510</v>
      </c>
      <c r="F418" s="386">
        <v>1066</v>
      </c>
      <c r="G418" s="48" t="s">
        <v>0</v>
      </c>
      <c r="H418" s="39"/>
      <c r="I418" s="360">
        <v>0</v>
      </c>
      <c r="J418" s="39">
        <f t="shared" si="129"/>
        <v>0</v>
      </c>
      <c r="K418" s="309">
        <f t="shared" si="124"/>
        <v>54.43</v>
      </c>
      <c r="L418" s="230"/>
      <c r="M418" s="91" t="s">
        <v>568</v>
      </c>
      <c r="N418" s="140"/>
      <c r="O418" s="39"/>
      <c r="P418" s="360">
        <f t="shared" si="125"/>
        <v>0</v>
      </c>
      <c r="Q418" s="235" t="str">
        <f t="shared" si="126"/>
        <v>П50х8,5х2,7(БРАС757157.001-01)</v>
      </c>
      <c r="R418" s="377">
        <f t="shared" si="127"/>
        <v>76.2</v>
      </c>
      <c r="S418" s="319">
        <v>63.5</v>
      </c>
      <c r="T418" s="353">
        <f t="shared" si="121"/>
        <v>0</v>
      </c>
      <c r="U418" s="462">
        <v>2</v>
      </c>
      <c r="V418" s="20">
        <f t="shared" si="116"/>
        <v>0</v>
      </c>
      <c r="W418" s="52">
        <f t="shared" si="128"/>
        <v>0</v>
      </c>
      <c r="X418" s="462">
        <v>2</v>
      </c>
    </row>
    <row r="419" spans="1:24" ht="26.25" hidden="1" customHeight="1" x14ac:dyDescent="0.25">
      <c r="B419" s="19"/>
      <c r="C419" s="6" t="s">
        <v>18</v>
      </c>
      <c r="D419" s="23" t="s">
        <v>72</v>
      </c>
      <c r="E419" s="106" t="s">
        <v>509</v>
      </c>
      <c r="F419" s="386">
        <v>1059</v>
      </c>
      <c r="G419" s="48" t="s">
        <v>0</v>
      </c>
      <c r="H419" s="39"/>
      <c r="I419" s="360">
        <v>0</v>
      </c>
      <c r="J419" s="39">
        <f t="shared" si="129"/>
        <v>0</v>
      </c>
      <c r="K419" s="309">
        <f t="shared" si="124"/>
        <v>54.43</v>
      </c>
      <c r="L419" s="230"/>
      <c r="M419" s="91" t="s">
        <v>568</v>
      </c>
      <c r="N419" s="140"/>
      <c r="O419" s="39"/>
      <c r="P419" s="360">
        <f t="shared" si="125"/>
        <v>0</v>
      </c>
      <c r="Q419" s="235" t="str">
        <f t="shared" si="126"/>
        <v>П50х8,5х2,7(БРАС757157.001)</v>
      </c>
      <c r="R419" s="377">
        <f t="shared" si="127"/>
        <v>76.2</v>
      </c>
      <c r="S419" s="319">
        <v>63.5</v>
      </c>
      <c r="T419" s="353">
        <f t="shared" si="121"/>
        <v>0</v>
      </c>
      <c r="U419" s="462">
        <v>2</v>
      </c>
      <c r="V419" s="20">
        <f t="shared" si="116"/>
        <v>0</v>
      </c>
      <c r="W419" s="52">
        <f t="shared" si="128"/>
        <v>0</v>
      </c>
      <c r="X419" s="462">
        <v>2</v>
      </c>
    </row>
    <row r="420" spans="1:24" ht="26.25" hidden="1" customHeight="1" x14ac:dyDescent="0.25">
      <c r="B420" s="19"/>
      <c r="C420" s="6" t="s">
        <v>18</v>
      </c>
      <c r="D420" s="23" t="s">
        <v>72</v>
      </c>
      <c r="E420" s="106" t="s">
        <v>569</v>
      </c>
      <c r="F420" s="386"/>
      <c r="G420" s="13"/>
      <c r="H420" s="39"/>
      <c r="I420" s="309">
        <v>0</v>
      </c>
      <c r="J420" s="39">
        <f t="shared" si="129"/>
        <v>0</v>
      </c>
      <c r="K420" s="309">
        <f t="shared" si="124"/>
        <v>17.14</v>
      </c>
      <c r="L420" s="230">
        <f>K420*J710</f>
        <v>0</v>
      </c>
      <c r="M420" s="90"/>
      <c r="N420" s="140"/>
      <c r="O420" s="39"/>
      <c r="P420" s="309">
        <f t="shared" si="125"/>
        <v>0</v>
      </c>
      <c r="Q420" s="235" t="str">
        <f t="shared" si="126"/>
        <v>П10х7х2,5</v>
      </c>
      <c r="R420" s="377">
        <f t="shared" si="127"/>
        <v>24</v>
      </c>
      <c r="S420" s="319">
        <v>20</v>
      </c>
      <c r="T420" s="353">
        <f t="shared" si="121"/>
        <v>0</v>
      </c>
      <c r="U420" s="18">
        <f>30+49</f>
        <v>79</v>
      </c>
      <c r="V420" s="20">
        <f t="shared" si="116"/>
        <v>0</v>
      </c>
      <c r="W420" s="52">
        <f t="shared" si="128"/>
        <v>0</v>
      </c>
      <c r="X420" s="18">
        <f>30+49</f>
        <v>79</v>
      </c>
    </row>
    <row r="421" spans="1:24" ht="26.25" hidden="1" customHeight="1" x14ac:dyDescent="0.25">
      <c r="B421" s="19"/>
      <c r="C421" s="6" t="s">
        <v>18</v>
      </c>
      <c r="D421" s="23" t="s">
        <v>72</v>
      </c>
      <c r="E421" s="106" t="s">
        <v>482</v>
      </c>
      <c r="F421" s="386"/>
      <c r="G421" s="13" t="s">
        <v>0</v>
      </c>
      <c r="H421" s="39"/>
      <c r="I421" s="309">
        <v>0</v>
      </c>
      <c r="J421" s="39">
        <f t="shared" si="129"/>
        <v>0</v>
      </c>
      <c r="K421" s="309">
        <f t="shared" si="124"/>
        <v>0</v>
      </c>
      <c r="L421" s="230">
        <f>K421*J711</f>
        <v>0</v>
      </c>
      <c r="M421" s="64"/>
      <c r="N421" s="140"/>
      <c r="O421" s="39"/>
      <c r="P421" s="309">
        <f t="shared" si="125"/>
        <v>0</v>
      </c>
      <c r="Q421" s="235" t="str">
        <f t="shared" si="126"/>
        <v>П55х40х3</v>
      </c>
      <c r="R421" s="377">
        <f t="shared" si="127"/>
        <v>0</v>
      </c>
      <c r="S421" s="319">
        <v>0</v>
      </c>
      <c r="T421" s="353">
        <f t="shared" si="121"/>
        <v>0</v>
      </c>
      <c r="U421" s="18">
        <f>20*11+5</f>
        <v>225</v>
      </c>
      <c r="V421" s="20">
        <f t="shared" si="116"/>
        <v>0</v>
      </c>
      <c r="W421" s="52">
        <f t="shared" si="128"/>
        <v>0</v>
      </c>
      <c r="X421" s="18">
        <f>20*11+5</f>
        <v>225</v>
      </c>
    </row>
    <row r="422" spans="1:24" ht="26.25" hidden="1" customHeight="1" x14ac:dyDescent="0.25">
      <c r="B422" s="19"/>
      <c r="C422" s="6" t="s">
        <v>18</v>
      </c>
      <c r="D422" s="23" t="s">
        <v>72</v>
      </c>
      <c r="E422" s="106" t="s">
        <v>274</v>
      </c>
      <c r="F422" s="386"/>
      <c r="G422" s="13"/>
      <c r="H422" s="39"/>
      <c r="I422" s="309">
        <v>0</v>
      </c>
      <c r="J422" s="39">
        <f t="shared" si="129"/>
        <v>0</v>
      </c>
      <c r="K422" s="309">
        <f t="shared" si="124"/>
        <v>0</v>
      </c>
      <c r="L422" s="230"/>
      <c r="M422" s="116"/>
      <c r="N422" s="140"/>
      <c r="O422" s="39"/>
      <c r="P422" s="497">
        <f t="shared" si="125"/>
        <v>0</v>
      </c>
      <c r="Q422" s="235" t="str">
        <f t="shared" si="126"/>
        <v>П42х42х47</v>
      </c>
      <c r="R422" s="377">
        <f t="shared" si="127"/>
        <v>0</v>
      </c>
      <c r="S422" s="319">
        <v>0</v>
      </c>
      <c r="T422" s="353">
        <f t="shared" si="121"/>
        <v>0</v>
      </c>
      <c r="U422" s="18"/>
      <c r="V422" s="20">
        <f t="shared" si="116"/>
        <v>0</v>
      </c>
      <c r="W422" s="52">
        <f t="shared" si="128"/>
        <v>0</v>
      </c>
      <c r="X422" s="18"/>
    </row>
    <row r="423" spans="1:24" s="4" customFormat="1" ht="26.25" hidden="1" customHeight="1" x14ac:dyDescent="0.25">
      <c r="A423" s="10"/>
      <c r="B423" s="19"/>
      <c r="C423" s="6" t="s">
        <v>18</v>
      </c>
      <c r="D423" s="23" t="s">
        <v>72</v>
      </c>
      <c r="E423" s="87" t="s">
        <v>635</v>
      </c>
      <c r="F423" s="397">
        <v>693</v>
      </c>
      <c r="G423" s="13"/>
      <c r="H423" s="39"/>
      <c r="I423" s="360">
        <v>0</v>
      </c>
      <c r="J423" s="39">
        <f t="shared" si="129"/>
        <v>0</v>
      </c>
      <c r="K423" s="309">
        <f t="shared" si="124"/>
        <v>3.51</v>
      </c>
      <c r="L423" s="230"/>
      <c r="M423" s="234" t="s">
        <v>656</v>
      </c>
      <c r="N423" s="140"/>
      <c r="O423" s="503"/>
      <c r="P423" s="309">
        <f t="shared" si="125"/>
        <v>0</v>
      </c>
      <c r="Q423" s="235" t="str">
        <f t="shared" si="126"/>
        <v>П10х7х2,4</v>
      </c>
      <c r="R423" s="306">
        <f t="shared" si="127"/>
        <v>4.92</v>
      </c>
      <c r="S423" s="319">
        <v>4.0999999999999996</v>
      </c>
      <c r="T423" s="353">
        <f t="shared" si="121"/>
        <v>0</v>
      </c>
      <c r="U423" s="18"/>
      <c r="V423" s="20">
        <f t="shared" si="116"/>
        <v>0</v>
      </c>
      <c r="W423" s="52">
        <f t="shared" si="128"/>
        <v>0</v>
      </c>
      <c r="X423" s="18"/>
    </row>
    <row r="424" spans="1:24" ht="26.25" hidden="1" customHeight="1" x14ac:dyDescent="0.25">
      <c r="B424" s="15"/>
      <c r="C424" s="6" t="s">
        <v>18</v>
      </c>
      <c r="D424" s="23" t="s">
        <v>72</v>
      </c>
      <c r="E424" s="1" t="s">
        <v>480</v>
      </c>
      <c r="F424" s="386">
        <v>1148</v>
      </c>
      <c r="G424" s="13"/>
      <c r="H424" s="39"/>
      <c r="I424" s="309">
        <v>0</v>
      </c>
      <c r="J424" s="39">
        <f t="shared" si="129"/>
        <v>0</v>
      </c>
      <c r="K424" s="309">
        <f t="shared" si="124"/>
        <v>6</v>
      </c>
      <c r="L424" s="230"/>
      <c r="M424" s="217" t="s">
        <v>278</v>
      </c>
      <c r="N424" s="140"/>
      <c r="O424" s="39"/>
      <c r="P424" s="490">
        <f t="shared" si="125"/>
        <v>0</v>
      </c>
      <c r="Q424" s="235" t="str">
        <f t="shared" si="126"/>
        <v>П50х40х5</v>
      </c>
      <c r="R424" s="377">
        <f t="shared" si="127"/>
        <v>8.4</v>
      </c>
      <c r="S424" s="319">
        <v>7</v>
      </c>
      <c r="T424" s="353">
        <f t="shared" si="121"/>
        <v>0</v>
      </c>
      <c r="U424" s="18">
        <v>13</v>
      </c>
      <c r="V424" s="20">
        <f t="shared" si="116"/>
        <v>0</v>
      </c>
      <c r="W424" s="52">
        <f t="shared" si="128"/>
        <v>0</v>
      </c>
      <c r="X424" s="18">
        <v>13</v>
      </c>
    </row>
    <row r="425" spans="1:24" ht="26.25" hidden="1" customHeight="1" x14ac:dyDescent="0.25">
      <c r="B425" s="15"/>
      <c r="C425" s="6" t="s">
        <v>18</v>
      </c>
      <c r="D425" s="23" t="s">
        <v>72</v>
      </c>
      <c r="E425" s="1" t="s">
        <v>479</v>
      </c>
      <c r="F425" s="386">
        <v>1150</v>
      </c>
      <c r="G425" s="13"/>
      <c r="H425" s="39"/>
      <c r="I425" s="309">
        <v>0</v>
      </c>
      <c r="J425" s="39">
        <f t="shared" si="129"/>
        <v>0</v>
      </c>
      <c r="K425" s="309">
        <f t="shared" si="124"/>
        <v>21.43</v>
      </c>
      <c r="L425" s="230"/>
      <c r="M425" s="217" t="s">
        <v>278</v>
      </c>
      <c r="N425" s="140"/>
      <c r="O425" s="39"/>
      <c r="P425" s="309">
        <f t="shared" si="125"/>
        <v>0</v>
      </c>
      <c r="Q425" s="235" t="str">
        <f t="shared" si="126"/>
        <v>П50х40х10</v>
      </c>
      <c r="R425" s="377">
        <f t="shared" si="127"/>
        <v>30</v>
      </c>
      <c r="S425" s="319">
        <v>25</v>
      </c>
      <c r="T425" s="353">
        <f t="shared" si="121"/>
        <v>0</v>
      </c>
      <c r="U425" s="18">
        <v>41</v>
      </c>
      <c r="V425" s="20">
        <f t="shared" si="116"/>
        <v>0</v>
      </c>
      <c r="W425" s="52">
        <f t="shared" si="128"/>
        <v>0</v>
      </c>
      <c r="X425" s="18">
        <v>41</v>
      </c>
    </row>
    <row r="426" spans="1:24" ht="26.25" hidden="1" customHeight="1" x14ac:dyDescent="0.25">
      <c r="B426" s="11"/>
      <c r="C426" s="6" t="s">
        <v>18</v>
      </c>
      <c r="D426" s="23" t="s">
        <v>72</v>
      </c>
      <c r="E426" s="112" t="s">
        <v>362</v>
      </c>
      <c r="F426" s="208">
        <v>1136</v>
      </c>
      <c r="G426" s="48" t="s">
        <v>0</v>
      </c>
      <c r="H426" s="39"/>
      <c r="I426" s="309">
        <v>0</v>
      </c>
      <c r="J426" s="39">
        <f t="shared" si="129"/>
        <v>0</v>
      </c>
      <c r="K426" s="309">
        <f t="shared" si="124"/>
        <v>3.46</v>
      </c>
      <c r="L426" s="230">
        <f>K426*J716</f>
        <v>0</v>
      </c>
      <c r="M426" s="93" t="s">
        <v>365</v>
      </c>
      <c r="N426" s="140"/>
      <c r="O426" s="39"/>
      <c r="P426" s="309">
        <f t="shared" si="125"/>
        <v>0</v>
      </c>
      <c r="Q426" s="263" t="str">
        <f t="shared" si="126"/>
        <v>ВМ-1950.5679.13.03.003 (Д16х3)</v>
      </c>
      <c r="R426" s="377">
        <f t="shared" si="127"/>
        <v>4.84</v>
      </c>
      <c r="S426" s="319">
        <v>4.03</v>
      </c>
      <c r="T426" s="353">
        <f t="shared" si="121"/>
        <v>0</v>
      </c>
      <c r="U426" s="20"/>
      <c r="V426" s="20">
        <f t="shared" si="116"/>
        <v>0</v>
      </c>
      <c r="W426" s="52">
        <f t="shared" si="128"/>
        <v>0</v>
      </c>
      <c r="X426" s="20"/>
    </row>
    <row r="427" spans="1:24" ht="26.25" customHeight="1" x14ac:dyDescent="0.25">
      <c r="B427" s="11">
        <v>120</v>
      </c>
      <c r="C427" s="6" t="s">
        <v>26</v>
      </c>
      <c r="D427" s="23" t="s">
        <v>40</v>
      </c>
      <c r="E427" s="105" t="s">
        <v>73</v>
      </c>
      <c r="F427" s="208" t="s">
        <v>60</v>
      </c>
      <c r="G427" s="48" t="s">
        <v>0</v>
      </c>
      <c r="H427" s="39">
        <v>160</v>
      </c>
      <c r="I427" s="360">
        <v>8358.4</v>
      </c>
      <c r="J427" s="39">
        <f t="shared" si="129"/>
        <v>0</v>
      </c>
      <c r="K427" s="309">
        <f t="shared" si="124"/>
        <v>59.4</v>
      </c>
      <c r="L427" s="230">
        <f>K427*J717</f>
        <v>0</v>
      </c>
      <c r="M427" s="203" t="s">
        <v>213</v>
      </c>
      <c r="N427" s="140">
        <v>130</v>
      </c>
      <c r="O427" s="39">
        <v>30</v>
      </c>
      <c r="P427" s="309">
        <f t="shared" si="125"/>
        <v>1782</v>
      </c>
      <c r="Q427" s="235" t="str">
        <f t="shared" si="126"/>
        <v>Стержневой  СКЛ Д32-175</v>
      </c>
      <c r="R427" s="306">
        <f t="shared" si="127"/>
        <v>83.16</v>
      </c>
      <c r="S427" s="319">
        <v>69.3</v>
      </c>
      <c r="T427" s="353">
        <f t="shared" si="121"/>
        <v>0</v>
      </c>
      <c r="U427" s="148">
        <f>16*10</f>
        <v>160</v>
      </c>
      <c r="V427" s="20">
        <f t="shared" si="116"/>
        <v>130</v>
      </c>
      <c r="W427" s="52">
        <f t="shared" si="128"/>
        <v>100</v>
      </c>
      <c r="X427" s="444">
        <v>130</v>
      </c>
    </row>
    <row r="428" spans="1:24" ht="26.25" customHeight="1" x14ac:dyDescent="0.25">
      <c r="B428" s="11">
        <v>121</v>
      </c>
      <c r="C428" s="6" t="s">
        <v>26</v>
      </c>
      <c r="D428" s="23" t="s">
        <v>9</v>
      </c>
      <c r="E428" s="237" t="s">
        <v>133</v>
      </c>
      <c r="F428" s="208">
        <v>658</v>
      </c>
      <c r="G428" s="48" t="s">
        <v>0</v>
      </c>
      <c r="H428" s="39">
        <v>16</v>
      </c>
      <c r="I428" s="360">
        <v>71.66</v>
      </c>
      <c r="J428" s="39">
        <f t="shared" si="129"/>
        <v>0</v>
      </c>
      <c r="K428" s="309">
        <f t="shared" si="124"/>
        <v>4.47</v>
      </c>
      <c r="L428" s="230">
        <f>K428*J718</f>
        <v>0</v>
      </c>
      <c r="M428" s="94"/>
      <c r="N428" s="279"/>
      <c r="O428" s="39">
        <v>16</v>
      </c>
      <c r="P428" s="309">
        <v>71.66</v>
      </c>
      <c r="Q428" s="235" t="str">
        <f t="shared" si="126"/>
        <v>СКЛ   Д22х90</v>
      </c>
      <c r="R428" s="306">
        <f t="shared" si="127"/>
        <v>6.26</v>
      </c>
      <c r="S428" s="319">
        <v>5.22</v>
      </c>
      <c r="T428" s="353">
        <f t="shared" si="121"/>
        <v>0</v>
      </c>
      <c r="U428" s="20">
        <v>9</v>
      </c>
      <c r="V428" s="20">
        <f t="shared" si="116"/>
        <v>0</v>
      </c>
      <c r="W428" s="52">
        <f t="shared" si="128"/>
        <v>0</v>
      </c>
      <c r="X428" s="20">
        <v>9</v>
      </c>
    </row>
    <row r="429" spans="1:24" ht="26.25" customHeight="1" x14ac:dyDescent="0.25">
      <c r="B429" s="11">
        <v>122</v>
      </c>
      <c r="C429" s="6" t="s">
        <v>26</v>
      </c>
      <c r="D429" s="23" t="s">
        <v>9</v>
      </c>
      <c r="E429" s="463" t="s">
        <v>904</v>
      </c>
      <c r="F429" s="208">
        <v>1501</v>
      </c>
      <c r="G429" s="48"/>
      <c r="H429" s="39"/>
      <c r="I429" s="360">
        <v>0</v>
      </c>
      <c r="J429" s="39">
        <f t="shared" si="129"/>
        <v>1</v>
      </c>
      <c r="K429" s="309">
        <f t="shared" si="124"/>
        <v>728.57</v>
      </c>
      <c r="L429" s="230"/>
      <c r="M429" s="197" t="s">
        <v>213</v>
      </c>
      <c r="N429" s="279">
        <v>1</v>
      </c>
      <c r="O429" s="503"/>
      <c r="P429" s="309">
        <f t="shared" ref="P429:P439" si="130">K429*O429</f>
        <v>0</v>
      </c>
      <c r="Q429" s="235" t="str">
        <f t="shared" si="126"/>
        <v>СМП1 470х450х200</v>
      </c>
      <c r="R429" s="306">
        <f t="shared" si="127"/>
        <v>1020</v>
      </c>
      <c r="S429" s="319">
        <v>850</v>
      </c>
      <c r="T429" s="353">
        <f t="shared" si="121"/>
        <v>850</v>
      </c>
      <c r="U429" s="20"/>
      <c r="V429" s="20"/>
      <c r="W429" s="52"/>
      <c r="X429" s="20"/>
    </row>
    <row r="430" spans="1:24" ht="26.25" hidden="1" customHeight="1" x14ac:dyDescent="0.25">
      <c r="B430" s="11"/>
      <c r="C430" s="6" t="s">
        <v>811</v>
      </c>
      <c r="D430" s="23" t="s">
        <v>9</v>
      </c>
      <c r="E430" s="237" t="s">
        <v>814</v>
      </c>
      <c r="F430" s="208">
        <v>1385</v>
      </c>
      <c r="G430" s="48"/>
      <c r="H430" s="39"/>
      <c r="I430" s="360">
        <v>0</v>
      </c>
      <c r="J430" s="39">
        <f t="shared" si="129"/>
        <v>0</v>
      </c>
      <c r="K430" s="309">
        <f t="shared" si="124"/>
        <v>14.31</v>
      </c>
      <c r="L430" s="230"/>
      <c r="M430" s="94"/>
      <c r="N430" s="279"/>
      <c r="O430" s="503"/>
      <c r="P430" s="309">
        <f t="shared" si="130"/>
        <v>0</v>
      </c>
      <c r="Q430" s="235" t="str">
        <f t="shared" si="126"/>
        <v>Планка магнитная 0,75 м</v>
      </c>
      <c r="R430" s="306">
        <f t="shared" si="127"/>
        <v>20.04</v>
      </c>
      <c r="S430" s="319">
        <v>16.7</v>
      </c>
      <c r="T430" s="353"/>
      <c r="U430" s="20"/>
      <c r="V430" s="20"/>
      <c r="W430" s="52"/>
      <c r="X430" s="20"/>
    </row>
    <row r="431" spans="1:24" ht="26.25" hidden="1" customHeight="1" x14ac:dyDescent="0.25">
      <c r="B431" s="11"/>
      <c r="C431" s="6" t="s">
        <v>811</v>
      </c>
      <c r="D431" s="23" t="s">
        <v>9</v>
      </c>
      <c r="E431" s="237" t="s">
        <v>813</v>
      </c>
      <c r="F431" s="208">
        <v>1483</v>
      </c>
      <c r="G431" s="48"/>
      <c r="H431" s="39"/>
      <c r="I431" s="360">
        <v>0</v>
      </c>
      <c r="J431" s="39">
        <f t="shared" si="129"/>
        <v>0</v>
      </c>
      <c r="K431" s="309">
        <f t="shared" si="124"/>
        <v>18</v>
      </c>
      <c r="L431" s="230"/>
      <c r="M431" s="94"/>
      <c r="N431" s="279"/>
      <c r="O431" s="503"/>
      <c r="P431" s="309">
        <f t="shared" si="130"/>
        <v>0</v>
      </c>
      <c r="Q431" s="235" t="str">
        <f t="shared" si="126"/>
        <v>Планка магнитная  1 м</v>
      </c>
      <c r="R431" s="306">
        <f t="shared" si="127"/>
        <v>25.2</v>
      </c>
      <c r="S431" s="319">
        <v>21</v>
      </c>
      <c r="T431" s="353"/>
      <c r="U431" s="20"/>
      <c r="V431" s="20"/>
      <c r="W431" s="52"/>
      <c r="X431" s="20"/>
    </row>
    <row r="432" spans="1:24" ht="26.25" customHeight="1" x14ac:dyDescent="0.25">
      <c r="B432" s="11">
        <v>123</v>
      </c>
      <c r="C432" s="6" t="s">
        <v>431</v>
      </c>
      <c r="D432" s="23" t="s">
        <v>72</v>
      </c>
      <c r="E432" s="87" t="s">
        <v>432</v>
      </c>
      <c r="F432" s="526">
        <v>1190</v>
      </c>
      <c r="G432" s="48" t="s">
        <v>0</v>
      </c>
      <c r="H432" s="39">
        <v>50</v>
      </c>
      <c r="I432" s="360">
        <v>240</v>
      </c>
      <c r="J432" s="39">
        <f t="shared" si="129"/>
        <v>0</v>
      </c>
      <c r="K432" s="309">
        <f t="shared" si="124"/>
        <v>4.8</v>
      </c>
      <c r="L432" s="230">
        <f>K432*J719</f>
        <v>0</v>
      </c>
      <c r="M432" s="368"/>
      <c r="N432" s="140"/>
      <c r="O432" s="39">
        <v>50</v>
      </c>
      <c r="P432" s="309">
        <f t="shared" si="130"/>
        <v>240</v>
      </c>
      <c r="Q432" s="235" t="str">
        <f t="shared" si="126"/>
        <v>ПМ-8</v>
      </c>
      <c r="R432" s="377">
        <f t="shared" si="127"/>
        <v>6.72</v>
      </c>
      <c r="S432" s="319">
        <v>5.6</v>
      </c>
      <c r="T432" s="353">
        <f>S432*J432</f>
        <v>0</v>
      </c>
      <c r="U432" s="147">
        <v>50</v>
      </c>
      <c r="V432" s="20">
        <f t="shared" ref="V432:V439" si="131">N432</f>
        <v>0</v>
      </c>
      <c r="W432" s="52">
        <f>X432-U432+V432</f>
        <v>0</v>
      </c>
      <c r="X432" s="848">
        <v>50</v>
      </c>
    </row>
    <row r="433" spans="2:208" ht="26.25" customHeight="1" x14ac:dyDescent="0.25">
      <c r="B433" s="11">
        <v>124</v>
      </c>
      <c r="C433" s="6" t="s">
        <v>26</v>
      </c>
      <c r="D433" s="23" t="s">
        <v>40</v>
      </c>
      <c r="E433" s="107" t="s">
        <v>251</v>
      </c>
      <c r="F433" s="208">
        <v>1056</v>
      </c>
      <c r="G433" s="48" t="s">
        <v>0</v>
      </c>
      <c r="H433" s="39">
        <v>24</v>
      </c>
      <c r="I433" s="360">
        <v>575.76</v>
      </c>
      <c r="J433" s="39">
        <f t="shared" si="129"/>
        <v>156</v>
      </c>
      <c r="K433" s="309">
        <f t="shared" si="124"/>
        <v>23.99</v>
      </c>
      <c r="L433" s="230">
        <f>K433*J720</f>
        <v>0</v>
      </c>
      <c r="M433" s="197" t="s">
        <v>213</v>
      </c>
      <c r="N433" s="140"/>
      <c r="O433" s="39">
        <v>180</v>
      </c>
      <c r="P433" s="309">
        <f t="shared" si="130"/>
        <v>4318.2</v>
      </c>
      <c r="Q433" s="263" t="str">
        <f t="shared" si="126"/>
        <v>СМУ-СКЛ НЖБ- 22х120</v>
      </c>
      <c r="R433" s="306">
        <f t="shared" si="127"/>
        <v>33.58</v>
      </c>
      <c r="S433" s="320">
        <v>27.98</v>
      </c>
      <c r="T433" s="353">
        <f>S433*J433</f>
        <v>4364.88</v>
      </c>
      <c r="U433" s="148">
        <v>20</v>
      </c>
      <c r="V433" s="20">
        <f t="shared" si="131"/>
        <v>0</v>
      </c>
      <c r="W433" s="52">
        <f>X433-U433+V433</f>
        <v>160</v>
      </c>
      <c r="X433" s="444">
        <v>180</v>
      </c>
    </row>
    <row r="434" spans="2:208" ht="26.25" hidden="1" customHeight="1" x14ac:dyDescent="0.25">
      <c r="B434" s="15"/>
      <c r="C434" s="6" t="s">
        <v>26</v>
      </c>
      <c r="D434" s="23" t="s">
        <v>40</v>
      </c>
      <c r="E434" s="463" t="s">
        <v>874</v>
      </c>
      <c r="F434" s="528">
        <v>435</v>
      </c>
      <c r="G434" s="9" t="s">
        <v>0</v>
      </c>
      <c r="H434" s="43"/>
      <c r="I434" s="360">
        <v>0</v>
      </c>
      <c r="J434" s="39">
        <f t="shared" si="129"/>
        <v>0</v>
      </c>
      <c r="K434" s="309">
        <f t="shared" si="124"/>
        <v>132.86000000000001</v>
      </c>
      <c r="L434" s="230">
        <f>K434*J721</f>
        <v>0</v>
      </c>
      <c r="M434" s="203" t="s">
        <v>213</v>
      </c>
      <c r="N434" s="283"/>
      <c r="O434" s="505"/>
      <c r="P434" s="309">
        <f t="shared" si="130"/>
        <v>0</v>
      </c>
      <c r="Q434" s="51" t="str">
        <f t="shared" si="126"/>
        <v>уловитель НЖБ стерж 22х125</v>
      </c>
      <c r="R434" s="306">
        <f t="shared" si="127"/>
        <v>186</v>
      </c>
      <c r="S434" s="320">
        <v>155</v>
      </c>
      <c r="T434" s="353">
        <f t="shared" ref="T434:T439" si="132">S434*J434</f>
        <v>0</v>
      </c>
      <c r="U434" s="20"/>
      <c r="V434" s="20">
        <f t="shared" si="131"/>
        <v>0</v>
      </c>
      <c r="W434" s="52">
        <f>X434-U434+V434</f>
        <v>0</v>
      </c>
      <c r="X434" s="20"/>
    </row>
    <row r="435" spans="2:208" ht="26.25" hidden="1" customHeight="1" x14ac:dyDescent="0.25">
      <c r="B435" s="15"/>
      <c r="C435" s="6" t="s">
        <v>26</v>
      </c>
      <c r="D435" s="23" t="s">
        <v>40</v>
      </c>
      <c r="E435" s="558" t="s">
        <v>856</v>
      </c>
      <c r="F435" s="528">
        <v>1494</v>
      </c>
      <c r="G435" s="48" t="s">
        <v>0</v>
      </c>
      <c r="H435" s="43"/>
      <c r="I435" s="360">
        <v>0</v>
      </c>
      <c r="J435" s="39">
        <f t="shared" si="129"/>
        <v>0</v>
      </c>
      <c r="K435" s="309">
        <f t="shared" si="124"/>
        <v>1457.14</v>
      </c>
      <c r="L435" s="230"/>
      <c r="M435" s="203" t="s">
        <v>213</v>
      </c>
      <c r="N435" s="283"/>
      <c r="O435" s="505"/>
      <c r="P435" s="309">
        <f t="shared" si="130"/>
        <v>0</v>
      </c>
      <c r="Q435" s="51" t="str">
        <f t="shared" si="126"/>
        <v>СМР1 300х250/5 с корпусом</v>
      </c>
      <c r="R435" s="306">
        <f t="shared" si="127"/>
        <v>2040</v>
      </c>
      <c r="S435" s="320">
        <v>1700</v>
      </c>
      <c r="T435" s="353">
        <f t="shared" si="132"/>
        <v>0</v>
      </c>
      <c r="U435" s="20"/>
      <c r="V435" s="20">
        <f t="shared" si="131"/>
        <v>0</v>
      </c>
      <c r="W435" s="52"/>
      <c r="X435" s="20"/>
    </row>
    <row r="436" spans="2:208" ht="26.25" hidden="1" customHeight="1" x14ac:dyDescent="0.25">
      <c r="B436" s="15"/>
      <c r="C436" s="6" t="s">
        <v>26</v>
      </c>
      <c r="D436" s="23" t="s">
        <v>40</v>
      </c>
      <c r="E436" s="463" t="s">
        <v>857</v>
      </c>
      <c r="F436" s="210">
        <v>1474</v>
      </c>
      <c r="G436" s="48" t="s">
        <v>0</v>
      </c>
      <c r="H436" s="39"/>
      <c r="I436" s="360">
        <v>0</v>
      </c>
      <c r="J436" s="39">
        <f t="shared" si="129"/>
        <v>0</v>
      </c>
      <c r="K436" s="309">
        <f t="shared" si="124"/>
        <v>5142.8599999999997</v>
      </c>
      <c r="L436" s="230">
        <f>K436*J723</f>
        <v>0</v>
      </c>
      <c r="M436" s="203" t="s">
        <v>213</v>
      </c>
      <c r="N436" s="279"/>
      <c r="O436" s="503"/>
      <c r="P436" s="309">
        <f t="shared" si="130"/>
        <v>0</v>
      </c>
      <c r="Q436" s="51" t="str">
        <f t="shared" si="126"/>
        <v>СМБ1-305/400</v>
      </c>
      <c r="R436" s="306">
        <f t="shared" si="127"/>
        <v>7200</v>
      </c>
      <c r="S436" s="320">
        <v>6000</v>
      </c>
      <c r="T436" s="353">
        <f t="shared" si="132"/>
        <v>0</v>
      </c>
      <c r="U436" s="20"/>
      <c r="V436" s="20">
        <f t="shared" si="131"/>
        <v>0</v>
      </c>
      <c r="W436" s="52">
        <f>X436-U436+V436</f>
        <v>0</v>
      </c>
      <c r="X436" s="20"/>
    </row>
    <row r="437" spans="2:208" ht="26.25" customHeight="1" thickBot="1" x14ac:dyDescent="0.3">
      <c r="B437" s="11">
        <v>125</v>
      </c>
      <c r="C437" s="6" t="s">
        <v>26</v>
      </c>
      <c r="D437" s="23" t="s">
        <v>40</v>
      </c>
      <c r="E437" s="463" t="s">
        <v>723</v>
      </c>
      <c r="F437" s="388">
        <v>1465</v>
      </c>
      <c r="G437" s="48" t="s">
        <v>0</v>
      </c>
      <c r="H437" s="39">
        <v>1</v>
      </c>
      <c r="I437" s="360">
        <v>102.86</v>
      </c>
      <c r="J437" s="39">
        <f t="shared" si="129"/>
        <v>0</v>
      </c>
      <c r="K437" s="309">
        <f t="shared" si="124"/>
        <v>102.86</v>
      </c>
      <c r="L437" s="230">
        <f>K437*J724</f>
        <v>0</v>
      </c>
      <c r="M437" s="203" t="s">
        <v>213</v>
      </c>
      <c r="N437" s="279">
        <v>1</v>
      </c>
      <c r="O437" s="39"/>
      <c r="P437" s="309">
        <f t="shared" si="130"/>
        <v>0</v>
      </c>
      <c r="Q437" s="51" t="str">
        <f t="shared" si="126"/>
        <v>Магнит Д90/2</v>
      </c>
      <c r="R437" s="306">
        <f t="shared" si="127"/>
        <v>144</v>
      </c>
      <c r="S437" s="463">
        <v>120</v>
      </c>
      <c r="T437" s="353">
        <f t="shared" si="132"/>
        <v>0</v>
      </c>
      <c r="U437" s="18"/>
      <c r="V437" s="20">
        <f t="shared" si="131"/>
        <v>1</v>
      </c>
      <c r="W437" s="52">
        <f>X437-U437+V437</f>
        <v>1</v>
      </c>
      <c r="X437" s="18"/>
    </row>
    <row r="438" spans="2:208" ht="26.25" hidden="1" customHeight="1" x14ac:dyDescent="0.25">
      <c r="B438" s="15"/>
      <c r="C438" s="6" t="s">
        <v>26</v>
      </c>
      <c r="D438" s="23" t="s">
        <v>40</v>
      </c>
      <c r="E438" s="1" t="s">
        <v>556</v>
      </c>
      <c r="F438" s="388">
        <v>1298</v>
      </c>
      <c r="G438" s="48" t="s">
        <v>0</v>
      </c>
      <c r="H438" s="39"/>
      <c r="I438" s="360">
        <v>0</v>
      </c>
      <c r="J438" s="39">
        <f t="shared" si="129"/>
        <v>0</v>
      </c>
      <c r="K438" s="309">
        <f t="shared" si="124"/>
        <v>8.57</v>
      </c>
      <c r="L438" s="230">
        <f>K438*J725</f>
        <v>0</v>
      </c>
      <c r="M438" s="203" t="s">
        <v>213</v>
      </c>
      <c r="N438" s="279"/>
      <c r="O438" s="503"/>
      <c r="P438" s="490">
        <f t="shared" si="130"/>
        <v>0</v>
      </c>
      <c r="Q438" s="262" t="str">
        <f t="shared" si="126"/>
        <v>магнит в оправе Д20+-0,5</v>
      </c>
      <c r="R438" s="306">
        <f t="shared" si="127"/>
        <v>12</v>
      </c>
      <c r="S438" s="463">
        <v>10</v>
      </c>
      <c r="T438" s="353">
        <f t="shared" si="132"/>
        <v>0</v>
      </c>
      <c r="U438" s="18"/>
      <c r="V438" s="20">
        <f t="shared" si="131"/>
        <v>0</v>
      </c>
      <c r="W438" s="52">
        <f>X438-U438+V438</f>
        <v>0</v>
      </c>
      <c r="X438" s="18"/>
    </row>
    <row r="439" spans="2:208" ht="31.5" hidden="1" customHeight="1" x14ac:dyDescent="0.25">
      <c r="B439" s="15"/>
      <c r="C439" s="6" t="s">
        <v>26</v>
      </c>
      <c r="D439" s="23" t="s">
        <v>40</v>
      </c>
      <c r="E439" s="1" t="s">
        <v>760</v>
      </c>
      <c r="F439" s="383">
        <v>1468</v>
      </c>
      <c r="G439" s="12" t="s">
        <v>0</v>
      </c>
      <c r="H439" s="39"/>
      <c r="I439" s="309">
        <v>0</v>
      </c>
      <c r="J439" s="39">
        <f t="shared" si="129"/>
        <v>0</v>
      </c>
      <c r="K439" s="309">
        <f t="shared" si="124"/>
        <v>655.71</v>
      </c>
      <c r="L439" s="406">
        <f>K439*J726</f>
        <v>0</v>
      </c>
      <c r="M439" s="203" t="s">
        <v>213</v>
      </c>
      <c r="N439" s="553"/>
      <c r="O439" s="39"/>
      <c r="P439" s="309">
        <f t="shared" si="130"/>
        <v>0</v>
      </c>
      <c r="Q439" s="51" t="str">
        <f t="shared" si="126"/>
        <v>СМР1 L220х165/7</v>
      </c>
      <c r="R439" s="306">
        <f t="shared" si="127"/>
        <v>918</v>
      </c>
      <c r="S439" s="320">
        <v>765</v>
      </c>
      <c r="T439" s="353">
        <f t="shared" si="132"/>
        <v>0</v>
      </c>
      <c r="U439" s="18">
        <v>0</v>
      </c>
      <c r="V439" s="20">
        <f t="shared" si="131"/>
        <v>0</v>
      </c>
      <c r="W439" s="52">
        <f>X439-U439+V439</f>
        <v>0</v>
      </c>
      <c r="X439" s="18">
        <v>0</v>
      </c>
    </row>
    <row r="440" spans="2:208" ht="26.25" customHeight="1" thickBot="1" x14ac:dyDescent="0.3">
      <c r="B440" s="548">
        <v>126</v>
      </c>
      <c r="C440" s="267"/>
      <c r="D440" s="252"/>
      <c r="E440" s="253" t="s">
        <v>3</v>
      </c>
      <c r="F440" s="549"/>
      <c r="G440" s="254"/>
      <c r="H440" s="551">
        <f>SUBTOTAL(9,H6:H439)</f>
        <v>562623</v>
      </c>
      <c r="I440" s="551">
        <f>SUBTOTAL(9,I6:I439)</f>
        <v>146265.53</v>
      </c>
      <c r="J440" s="552">
        <f>N136+O136-H136</f>
        <v>0</v>
      </c>
      <c r="K440" s="358"/>
      <c r="L440" s="268">
        <f>SUBTOTAL(9,L6:L439)</f>
        <v>1808</v>
      </c>
      <c r="M440" s="400"/>
      <c r="N440" s="255">
        <f>SUBTOTAL(9,N7:N437)</f>
        <v>115104</v>
      </c>
      <c r="O440" s="506">
        <f>SUBTOTAL(9,O6:O439)</f>
        <v>546996</v>
      </c>
      <c r="P440" s="884">
        <f>SUBTOTAL(9,P6:P439)</f>
        <v>143540</v>
      </c>
      <c r="Q440" s="51"/>
      <c r="R440" s="852">
        <v>350</v>
      </c>
      <c r="S440" s="344"/>
      <c r="T440" s="354">
        <f>SUBTOTAL(9,T6:T439)</f>
        <v>60849.07</v>
      </c>
      <c r="U440" s="73">
        <f>SUBTOTAL(9,U5:U439)</f>
        <v>1268313</v>
      </c>
      <c r="V440" s="20"/>
      <c r="W440" s="52"/>
      <c r="X440" s="73">
        <f>SUBTOTAL(9,X5:X439)</f>
        <v>1122877</v>
      </c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  <c r="CG440" s="24"/>
      <c r="CH440" s="24"/>
      <c r="CI440" s="24"/>
      <c r="CJ440" s="24"/>
      <c r="CK440" s="24"/>
      <c r="CL440" s="24"/>
      <c r="CM440" s="24"/>
      <c r="CN440" s="24"/>
      <c r="CO440" s="24"/>
      <c r="CP440" s="24"/>
      <c r="CQ440" s="24"/>
      <c r="CR440" s="24"/>
      <c r="CS440" s="24"/>
      <c r="CT440" s="24"/>
      <c r="CU440" s="24"/>
      <c r="CV440" s="24"/>
      <c r="CW440" s="24"/>
      <c r="CX440" s="24"/>
      <c r="CY440" s="24"/>
      <c r="CZ440" s="24"/>
      <c r="DA440" s="24"/>
      <c r="DB440" s="24"/>
      <c r="DC440" s="24"/>
      <c r="DD440" s="24"/>
      <c r="DE440" s="24"/>
      <c r="DF440" s="24"/>
      <c r="DG440" s="24"/>
      <c r="DH440" s="24"/>
      <c r="DI440" s="24"/>
      <c r="DJ440" s="24"/>
      <c r="DK440" s="24"/>
      <c r="DL440" s="24"/>
      <c r="DM440" s="24"/>
      <c r="DN440" s="24"/>
      <c r="DO440" s="24"/>
      <c r="DP440" s="24"/>
      <c r="DQ440" s="24"/>
      <c r="DR440" s="24"/>
      <c r="DS440" s="24"/>
      <c r="DT440" s="24"/>
      <c r="DU440" s="24"/>
      <c r="DV440" s="24"/>
      <c r="DW440" s="24"/>
      <c r="DX440" s="24"/>
      <c r="DY440" s="24"/>
      <c r="DZ440" s="24"/>
      <c r="EA440" s="24"/>
      <c r="EB440" s="24"/>
      <c r="EC440" s="24"/>
      <c r="ED440" s="24"/>
      <c r="EE440" s="24"/>
      <c r="EF440" s="24"/>
      <c r="EG440" s="24"/>
      <c r="EH440" s="24"/>
      <c r="EI440" s="24"/>
      <c r="EJ440" s="24"/>
      <c r="EK440" s="24"/>
      <c r="EL440" s="24"/>
      <c r="EM440" s="24"/>
      <c r="EN440" s="24"/>
      <c r="EO440" s="24"/>
      <c r="EP440" s="24"/>
      <c r="EQ440" s="24"/>
      <c r="ER440" s="24"/>
      <c r="ES440" s="24"/>
      <c r="ET440" s="24"/>
      <c r="EU440" s="24"/>
      <c r="EV440" s="24"/>
      <c r="EW440" s="24"/>
      <c r="EX440" s="24"/>
      <c r="EY440" s="24"/>
      <c r="EZ440" s="24"/>
      <c r="FA440" s="24"/>
      <c r="FB440" s="24"/>
      <c r="FC440" s="24"/>
      <c r="FD440" s="24"/>
      <c r="FE440" s="24"/>
      <c r="FF440" s="24"/>
      <c r="FG440" s="24"/>
      <c r="FH440" s="24"/>
      <c r="FI440" s="24"/>
      <c r="FJ440" s="24"/>
      <c r="FK440" s="24"/>
      <c r="FL440" s="24"/>
      <c r="FM440" s="24"/>
      <c r="FN440" s="24"/>
      <c r="FO440" s="24"/>
      <c r="FP440" s="24"/>
      <c r="FQ440" s="24"/>
      <c r="FR440" s="24"/>
      <c r="FS440" s="24"/>
      <c r="FT440" s="24"/>
      <c r="FU440" s="24"/>
      <c r="FV440" s="24"/>
      <c r="FW440" s="24"/>
      <c r="FX440" s="24"/>
      <c r="FY440" s="24"/>
      <c r="FZ440" s="24"/>
      <c r="GA440" s="24"/>
      <c r="GB440" s="24"/>
      <c r="GC440" s="24"/>
      <c r="GD440" s="24"/>
      <c r="GE440" s="24"/>
      <c r="GF440" s="24"/>
      <c r="GG440" s="24"/>
      <c r="GH440" s="24"/>
      <c r="GI440" s="24"/>
      <c r="GJ440" s="24"/>
      <c r="GK440" s="24"/>
      <c r="GL440" s="24"/>
      <c r="GM440" s="24"/>
      <c r="GN440" s="24"/>
      <c r="GO440" s="24"/>
      <c r="GP440" s="24"/>
      <c r="GQ440" s="24"/>
      <c r="GR440" s="24"/>
      <c r="GS440" s="24"/>
      <c r="GT440" s="24"/>
      <c r="GU440" s="24"/>
      <c r="GV440" s="24"/>
      <c r="GW440" s="24"/>
      <c r="GX440" s="24"/>
      <c r="GY440" s="24"/>
      <c r="GZ440" s="24"/>
    </row>
    <row r="441" spans="2:208" s="26" customFormat="1" ht="26.25" customHeight="1" x14ac:dyDescent="0.3">
      <c r="B441" s="33">
        <v>127</v>
      </c>
      <c r="C441" s="26" t="s">
        <v>820</v>
      </c>
      <c r="D441" s="80"/>
      <c r="E441" s="108"/>
      <c r="F441" s="524"/>
      <c r="G441" s="49"/>
      <c r="H441" s="44"/>
      <c r="I441" s="311"/>
      <c r="J441" s="44">
        <f>N137+O137-H137</f>
        <v>0</v>
      </c>
      <c r="K441" s="310" t="s">
        <v>34</v>
      </c>
      <c r="L441" s="231"/>
      <c r="M441" s="38"/>
      <c r="N441" s="144"/>
      <c r="O441" s="61"/>
      <c r="P441" s="312"/>
      <c r="Q441" s="251"/>
      <c r="R441" s="293"/>
      <c r="S441" s="345"/>
      <c r="T441" s="355"/>
      <c r="U441" s="134"/>
      <c r="V441" s="153"/>
      <c r="W441" s="133"/>
      <c r="X441" s="134"/>
    </row>
    <row r="442" spans="2:208" s="28" customFormat="1" ht="20.25" x14ac:dyDescent="0.3">
      <c r="B442" s="824">
        <v>128</v>
      </c>
      <c r="D442" s="81"/>
      <c r="E442" s="108"/>
      <c r="F442" s="389"/>
      <c r="H442" s="44"/>
      <c r="I442" s="308"/>
      <c r="J442" s="44"/>
      <c r="K442" s="311"/>
      <c r="L442" s="232"/>
      <c r="M442" s="71"/>
      <c r="N442" s="823"/>
      <c r="O442" s="46"/>
      <c r="P442" s="312"/>
      <c r="Q442" s="37"/>
      <c r="R442" s="293"/>
      <c r="S442" s="345"/>
      <c r="T442" s="821"/>
      <c r="U442" s="134"/>
      <c r="V442" s="153"/>
      <c r="W442" s="133"/>
      <c r="X442" s="134"/>
    </row>
    <row r="443" spans="2:208" s="30" customFormat="1" ht="20.25" x14ac:dyDescent="0.3">
      <c r="B443" s="29">
        <v>1</v>
      </c>
      <c r="D443" s="81"/>
      <c r="E443" s="108"/>
      <c r="F443" s="389"/>
      <c r="G443" s="49"/>
      <c r="H443" s="44"/>
      <c r="I443" s="311"/>
      <c r="J443" s="44"/>
      <c r="K443" s="311"/>
      <c r="L443" s="232"/>
      <c r="M443" s="71"/>
      <c r="N443" s="823"/>
      <c r="O443" s="46"/>
      <c r="P443" s="312"/>
      <c r="Q443" s="37"/>
      <c r="R443" s="293"/>
      <c r="S443" s="345"/>
      <c r="T443" s="355"/>
      <c r="U443" s="134"/>
      <c r="V443" s="153"/>
      <c r="W443" s="133"/>
      <c r="X443" s="134"/>
    </row>
    <row r="444" spans="2:208" s="30" customFormat="1" ht="20.25" x14ac:dyDescent="0.3">
      <c r="B444" s="29">
        <v>1</v>
      </c>
      <c r="D444" s="81"/>
      <c r="E444" s="108"/>
      <c r="F444" s="389"/>
      <c r="H444" s="44"/>
      <c r="I444" s="311"/>
      <c r="J444" s="44"/>
      <c r="K444" s="311"/>
      <c r="L444" s="232"/>
      <c r="M444" s="71"/>
      <c r="N444" s="823"/>
      <c r="O444" s="46"/>
      <c r="P444" s="312"/>
      <c r="Q444" s="37"/>
      <c r="R444" s="293"/>
      <c r="S444" s="345"/>
      <c r="T444" s="355"/>
      <c r="U444" s="134"/>
      <c r="V444" s="153"/>
      <c r="W444" s="133"/>
      <c r="X444" s="134"/>
    </row>
    <row r="445" spans="2:208" s="30" customFormat="1" ht="20.25" x14ac:dyDescent="0.3">
      <c r="B445" s="31"/>
      <c r="C445" s="26"/>
      <c r="D445" s="81"/>
      <c r="E445" s="108"/>
      <c r="F445" s="389"/>
      <c r="G445" s="32"/>
      <c r="H445" s="44"/>
      <c r="I445" s="311"/>
      <c r="J445" s="44"/>
      <c r="K445" s="311"/>
      <c r="L445" s="232"/>
      <c r="M445" s="71"/>
      <c r="N445" s="823"/>
      <c r="O445" s="46"/>
      <c r="P445" s="312"/>
      <c r="Q445" s="37"/>
      <c r="R445" s="293"/>
      <c r="S445" s="345"/>
      <c r="T445" s="355"/>
      <c r="U445" s="134"/>
      <c r="V445" s="153"/>
      <c r="W445" s="133"/>
      <c r="X445" s="134"/>
    </row>
    <row r="446" spans="2:208" s="30" customFormat="1" ht="20.25" x14ac:dyDescent="0.3">
      <c r="B446" s="31"/>
      <c r="D446" s="81"/>
      <c r="E446" s="45"/>
      <c r="F446" s="389"/>
      <c r="G446" s="49"/>
      <c r="H446" s="44"/>
      <c r="I446" s="311"/>
      <c r="J446" s="44"/>
      <c r="K446" s="311"/>
      <c r="L446" s="232"/>
      <c r="M446" s="225"/>
      <c r="N446" s="823"/>
      <c r="O446" s="45"/>
      <c r="P446" s="405"/>
      <c r="Q446" s="37"/>
      <c r="R446" s="293"/>
      <c r="S446" s="345"/>
      <c r="T446" s="355"/>
      <c r="U446" s="134"/>
      <c r="V446" s="153"/>
      <c r="W446" s="133"/>
      <c r="X446" s="134"/>
    </row>
    <row r="447" spans="2:208" s="30" customFormat="1" ht="20.25" x14ac:dyDescent="0.3">
      <c r="B447" s="27"/>
      <c r="D447" s="81"/>
      <c r="E447" s="45"/>
      <c r="F447" s="389"/>
      <c r="G447" s="49"/>
      <c r="H447" s="44"/>
      <c r="I447" s="311"/>
      <c r="J447" s="44"/>
      <c r="K447" s="311"/>
      <c r="L447" s="232"/>
      <c r="M447" s="225"/>
      <c r="N447" s="823"/>
      <c r="O447" s="45"/>
      <c r="P447" s="311"/>
      <c r="Q447" s="149"/>
      <c r="R447" s="293"/>
      <c r="S447" s="345"/>
      <c r="T447" s="355"/>
      <c r="U447" s="134"/>
      <c r="V447" s="153"/>
      <c r="W447" s="133"/>
      <c r="X447" s="134"/>
    </row>
    <row r="448" spans="2:208" s="30" customFormat="1" ht="20.25" x14ac:dyDescent="0.3">
      <c r="B448" s="27"/>
      <c r="D448" s="81"/>
      <c r="E448" s="45"/>
      <c r="F448" s="389"/>
      <c r="G448" s="49"/>
      <c r="H448" s="44"/>
      <c r="I448" s="311"/>
      <c r="J448" s="44"/>
      <c r="K448" s="311"/>
      <c r="L448" s="232"/>
      <c r="M448" s="225"/>
      <c r="N448" s="823"/>
      <c r="O448" s="45"/>
      <c r="P448" s="311"/>
      <c r="Q448" s="149"/>
      <c r="R448" s="293"/>
      <c r="S448" s="345"/>
      <c r="T448" s="355"/>
      <c r="U448" s="134"/>
      <c r="V448" s="153"/>
      <c r="W448" s="133"/>
      <c r="X448" s="134"/>
    </row>
    <row r="449" spans="2:24" s="30" customFormat="1" ht="20.25" x14ac:dyDescent="0.3">
      <c r="B449" s="27"/>
      <c r="D449" s="81"/>
      <c r="E449" s="45"/>
      <c r="F449" s="389"/>
      <c r="G449" s="49"/>
      <c r="H449" s="44"/>
      <c r="I449" s="311"/>
      <c r="J449" s="44"/>
      <c r="K449" s="311"/>
      <c r="L449" s="232"/>
      <c r="M449" s="225"/>
      <c r="N449" s="380"/>
      <c r="O449" s="45"/>
      <c r="P449" s="311"/>
      <c r="Q449" s="149"/>
      <c r="R449" s="293"/>
      <c r="S449" s="345"/>
      <c r="T449" s="355"/>
      <c r="U449" s="134"/>
      <c r="V449" s="153"/>
      <c r="W449" s="133"/>
      <c r="X449" s="134"/>
    </row>
    <row r="450" spans="2:24" s="30" customFormat="1" ht="20.25" x14ac:dyDescent="0.3">
      <c r="B450" s="27"/>
      <c r="D450" s="81"/>
      <c r="E450" s="45"/>
      <c r="F450" s="389"/>
      <c r="G450" s="49"/>
      <c r="H450" s="44"/>
      <c r="I450" s="311"/>
      <c r="J450" s="44"/>
      <c r="K450" s="311"/>
      <c r="L450" s="232"/>
      <c r="M450" s="225"/>
      <c r="N450" s="380"/>
      <c r="O450" s="45"/>
      <c r="P450" s="311"/>
      <c r="Q450" s="149"/>
      <c r="R450" s="293"/>
      <c r="S450" s="345"/>
      <c r="T450" s="355"/>
      <c r="U450" s="134"/>
      <c r="V450" s="153"/>
      <c r="W450" s="133"/>
      <c r="X450" s="134"/>
    </row>
    <row r="451" spans="2:24" s="30" customFormat="1" ht="20.25" x14ac:dyDescent="0.3">
      <c r="B451" s="27"/>
      <c r="D451" s="81"/>
      <c r="E451" s="45"/>
      <c r="F451" s="389"/>
      <c r="G451" s="49"/>
      <c r="H451" s="44"/>
      <c r="I451" s="311"/>
      <c r="J451" s="44"/>
      <c r="K451" s="311"/>
      <c r="L451" s="232"/>
      <c r="M451" s="225"/>
      <c r="N451" s="380"/>
      <c r="O451" s="45"/>
      <c r="P451" s="311"/>
      <c r="Q451" s="149"/>
      <c r="R451" s="293"/>
      <c r="S451" s="345"/>
      <c r="T451" s="355"/>
      <c r="U451" s="134"/>
      <c r="V451" s="153"/>
      <c r="W451" s="133"/>
      <c r="X451" s="134"/>
    </row>
    <row r="452" spans="2:24" s="30" customFormat="1" ht="20.25" x14ac:dyDescent="0.3">
      <c r="B452" s="27"/>
      <c r="D452" s="81"/>
      <c r="E452" s="45"/>
      <c r="F452" s="389"/>
      <c r="G452" s="49"/>
      <c r="H452" s="44"/>
      <c r="I452" s="311"/>
      <c r="J452" s="44"/>
      <c r="K452" s="311"/>
      <c r="L452" s="232"/>
      <c r="M452" s="225"/>
      <c r="N452" s="380"/>
      <c r="O452" s="45"/>
      <c r="P452" s="311"/>
      <c r="Q452" s="149"/>
      <c r="R452" s="293"/>
      <c r="S452" s="345"/>
      <c r="T452" s="355"/>
      <c r="U452" s="134"/>
      <c r="V452" s="153"/>
      <c r="W452" s="133"/>
      <c r="X452" s="134"/>
    </row>
    <row r="453" spans="2:24" s="30" customFormat="1" ht="20.25" x14ac:dyDescent="0.3">
      <c r="B453" s="27"/>
      <c r="D453" s="81"/>
      <c r="E453" s="45"/>
      <c r="F453" s="389"/>
      <c r="G453" s="49"/>
      <c r="H453" s="44"/>
      <c r="I453" s="311"/>
      <c r="J453" s="44"/>
      <c r="K453" s="311"/>
      <c r="L453" s="232"/>
      <c r="M453" s="225"/>
      <c r="N453" s="380"/>
      <c r="O453" s="45"/>
      <c r="P453" s="311"/>
      <c r="Q453" s="149"/>
      <c r="R453" s="293"/>
      <c r="S453" s="345"/>
      <c r="T453" s="355"/>
      <c r="U453" s="134"/>
      <c r="V453" s="153"/>
      <c r="W453" s="133"/>
      <c r="X453" s="134"/>
    </row>
    <row r="454" spans="2:24" s="30" customFormat="1" x14ac:dyDescent="0.25">
      <c r="B454" s="27"/>
      <c r="D454" s="81"/>
      <c r="E454" s="45"/>
      <c r="F454" s="389"/>
      <c r="G454" s="49"/>
      <c r="H454" s="44"/>
      <c r="I454" s="311"/>
      <c r="J454" s="44"/>
      <c r="K454" s="311"/>
      <c r="L454" s="232"/>
      <c r="M454" s="225"/>
      <c r="N454" s="380"/>
      <c r="O454" s="45"/>
      <c r="P454" s="311"/>
      <c r="Q454" s="149"/>
      <c r="R454" s="293"/>
      <c r="S454" s="316"/>
      <c r="T454" s="349"/>
      <c r="U454" s="111"/>
      <c r="V454" s="111"/>
      <c r="X454" s="111"/>
    </row>
    <row r="455" spans="2:24" s="30" customFormat="1" x14ac:dyDescent="0.25">
      <c r="B455" s="27"/>
      <c r="D455" s="81"/>
      <c r="E455" s="45"/>
      <c r="F455" s="389"/>
      <c r="G455" s="49"/>
      <c r="H455" s="44"/>
      <c r="I455" s="311"/>
      <c r="J455" s="44"/>
      <c r="K455" s="311"/>
      <c r="L455" s="232"/>
      <c r="M455" s="225"/>
      <c r="N455" s="380"/>
      <c r="O455" s="45"/>
      <c r="P455" s="311"/>
      <c r="Q455" s="149"/>
      <c r="R455" s="293"/>
      <c r="S455" s="316"/>
      <c r="T455" s="349"/>
      <c r="U455" s="111"/>
      <c r="V455" s="111"/>
      <c r="X455" s="111"/>
    </row>
    <row r="456" spans="2:24" s="30" customFormat="1" x14ac:dyDescent="0.25">
      <c r="B456" s="27"/>
      <c r="D456" s="81"/>
      <c r="E456" s="45"/>
      <c r="F456" s="389"/>
      <c r="G456" s="49"/>
      <c r="H456" s="44"/>
      <c r="I456" s="311"/>
      <c r="J456" s="44"/>
      <c r="K456" s="311"/>
      <c r="L456" s="232"/>
      <c r="M456" s="225"/>
      <c r="N456" s="380"/>
      <c r="O456" s="45"/>
      <c r="P456" s="311"/>
      <c r="Q456" s="149"/>
      <c r="R456" s="293"/>
      <c r="S456" s="316"/>
      <c r="T456" s="355"/>
      <c r="U456" s="111"/>
      <c r="V456" s="111"/>
      <c r="X456" s="111"/>
    </row>
    <row r="457" spans="2:24" s="30" customFormat="1" x14ac:dyDescent="0.25">
      <c r="B457" s="27"/>
      <c r="D457" s="81"/>
      <c r="E457" s="45"/>
      <c r="F457" s="389"/>
      <c r="G457" s="49"/>
      <c r="H457" s="44"/>
      <c r="I457" s="311"/>
      <c r="J457" s="44"/>
      <c r="K457" s="311"/>
      <c r="L457" s="232"/>
      <c r="M457" s="225"/>
      <c r="N457" s="380"/>
      <c r="O457" s="45"/>
      <c r="P457" s="311"/>
      <c r="Q457" s="149"/>
      <c r="R457" s="293"/>
      <c r="S457" s="316"/>
      <c r="T457" s="355"/>
      <c r="U457" s="111"/>
      <c r="V457" s="111"/>
      <c r="X457" s="111"/>
    </row>
    <row r="458" spans="2:24" s="30" customFormat="1" x14ac:dyDescent="0.25">
      <c r="B458" s="27"/>
      <c r="D458" s="81"/>
      <c r="E458" s="45"/>
      <c r="F458" s="389"/>
      <c r="G458" s="49"/>
      <c r="H458" s="44"/>
      <c r="I458" s="311"/>
      <c r="J458" s="44"/>
      <c r="K458" s="311"/>
      <c r="L458" s="232"/>
      <c r="M458" s="225"/>
      <c r="N458" s="380"/>
      <c r="O458" s="45"/>
      <c r="P458" s="311"/>
      <c r="Q458" s="149"/>
      <c r="R458" s="293"/>
      <c r="S458" s="316"/>
      <c r="T458" s="355"/>
      <c r="U458" s="111"/>
      <c r="V458" s="111"/>
      <c r="X458" s="111"/>
    </row>
    <row r="459" spans="2:24" s="30" customFormat="1" x14ac:dyDescent="0.25">
      <c r="B459" s="27"/>
      <c r="D459" s="81"/>
      <c r="E459" s="45"/>
      <c r="F459" s="389"/>
      <c r="G459" s="49"/>
      <c r="H459" s="44"/>
      <c r="I459" s="311"/>
      <c r="J459" s="44"/>
      <c r="K459" s="311"/>
      <c r="L459" s="232"/>
      <c r="M459" s="225"/>
      <c r="N459" s="380"/>
      <c r="O459" s="45"/>
      <c r="P459" s="311"/>
      <c r="Q459" s="149"/>
      <c r="R459" s="293"/>
      <c r="S459" s="316"/>
      <c r="T459" s="355"/>
      <c r="U459" s="111"/>
      <c r="V459" s="111"/>
      <c r="X459" s="111"/>
    </row>
    <row r="460" spans="2:24" s="30" customFormat="1" x14ac:dyDescent="0.25">
      <c r="B460" s="27"/>
      <c r="D460" s="81"/>
      <c r="E460" s="45"/>
      <c r="F460" s="389"/>
      <c r="G460" s="49"/>
      <c r="H460" s="44"/>
      <c r="I460" s="311"/>
      <c r="J460" s="44"/>
      <c r="K460" s="311"/>
      <c r="L460" s="232"/>
      <c r="M460" s="225"/>
      <c r="N460" s="380"/>
      <c r="O460" s="45"/>
      <c r="P460" s="311"/>
      <c r="Q460" s="149"/>
      <c r="R460" s="293"/>
      <c r="S460" s="316"/>
      <c r="T460" s="355"/>
      <c r="U460" s="111"/>
      <c r="V460" s="111"/>
      <c r="X460" s="111"/>
    </row>
    <row r="461" spans="2:24" s="30" customFormat="1" x14ac:dyDescent="0.25">
      <c r="B461" s="27"/>
      <c r="D461" s="81"/>
      <c r="E461" s="45"/>
      <c r="F461" s="389"/>
      <c r="G461" s="49"/>
      <c r="H461" s="44"/>
      <c r="I461" s="311"/>
      <c r="J461" s="44"/>
      <c r="K461" s="311"/>
      <c r="L461" s="232"/>
      <c r="M461" s="225"/>
      <c r="N461" s="380"/>
      <c r="O461" s="45"/>
      <c r="P461" s="311"/>
      <c r="Q461" s="149"/>
      <c r="R461" s="293"/>
      <c r="S461" s="316"/>
      <c r="T461" s="355"/>
      <c r="U461" s="111"/>
      <c r="V461" s="111"/>
      <c r="X461" s="111"/>
    </row>
    <row r="462" spans="2:24" s="30" customFormat="1" x14ac:dyDescent="0.25">
      <c r="B462" s="27"/>
      <c r="D462" s="81"/>
      <c r="E462" s="45"/>
      <c r="F462" s="389"/>
      <c r="G462" s="49"/>
      <c r="H462" s="44"/>
      <c r="I462" s="311"/>
      <c r="J462" s="44"/>
      <c r="K462" s="311"/>
      <c r="L462" s="232"/>
      <c r="M462" s="225"/>
      <c r="N462" s="380"/>
      <c r="O462" s="45"/>
      <c r="P462" s="311"/>
      <c r="Q462" s="149"/>
      <c r="R462" s="293"/>
      <c r="S462" s="316"/>
      <c r="T462" s="355"/>
      <c r="U462" s="111"/>
      <c r="V462" s="111"/>
      <c r="X462" s="111"/>
    </row>
    <row r="463" spans="2:24" s="30" customFormat="1" x14ac:dyDescent="0.25">
      <c r="B463" s="27"/>
      <c r="D463" s="81"/>
      <c r="E463" s="45"/>
      <c r="F463" s="389"/>
      <c r="G463" s="49"/>
      <c r="H463" s="44"/>
      <c r="I463" s="311"/>
      <c r="J463" s="44"/>
      <c r="K463" s="311"/>
      <c r="L463" s="232"/>
      <c r="M463" s="225"/>
      <c r="N463" s="380"/>
      <c r="O463" s="45"/>
      <c r="P463" s="311"/>
      <c r="Q463" s="149"/>
      <c r="R463" s="293"/>
      <c r="S463" s="316"/>
      <c r="T463" s="355"/>
      <c r="U463" s="111"/>
      <c r="V463" s="111"/>
      <c r="X463" s="111"/>
    </row>
    <row r="464" spans="2:24" s="30" customFormat="1" x14ac:dyDescent="0.25">
      <c r="B464" s="27"/>
      <c r="D464" s="81"/>
      <c r="E464" s="45"/>
      <c r="F464" s="389"/>
      <c r="G464" s="49"/>
      <c r="H464" s="44"/>
      <c r="I464" s="311"/>
      <c r="J464" s="44"/>
      <c r="K464" s="311"/>
      <c r="L464" s="232"/>
      <c r="M464" s="225"/>
      <c r="N464" s="380"/>
      <c r="O464" s="45"/>
      <c r="P464" s="311"/>
      <c r="Q464" s="149"/>
      <c r="R464" s="293"/>
      <c r="S464" s="316"/>
      <c r="T464" s="355"/>
      <c r="U464" s="111"/>
      <c r="V464" s="111"/>
      <c r="X464" s="111"/>
    </row>
    <row r="465" spans="2:24" s="30" customFormat="1" x14ac:dyDescent="0.25">
      <c r="B465" s="27"/>
      <c r="D465" s="81"/>
      <c r="E465" s="45"/>
      <c r="F465" s="389"/>
      <c r="G465" s="49"/>
      <c r="H465" s="44"/>
      <c r="I465" s="311"/>
      <c r="J465" s="44"/>
      <c r="K465" s="311"/>
      <c r="L465" s="232"/>
      <c r="M465" s="225"/>
      <c r="N465" s="380"/>
      <c r="O465" s="45"/>
      <c r="P465" s="311"/>
      <c r="Q465" s="149"/>
      <c r="R465" s="293"/>
      <c r="S465" s="316"/>
      <c r="T465" s="355"/>
      <c r="U465" s="111"/>
      <c r="V465" s="111"/>
      <c r="X465" s="111"/>
    </row>
    <row r="466" spans="2:24" s="30" customFormat="1" x14ac:dyDescent="0.25">
      <c r="B466" s="27"/>
      <c r="D466" s="81"/>
      <c r="E466" s="45"/>
      <c r="F466" s="389"/>
      <c r="G466" s="49"/>
      <c r="H466" s="44"/>
      <c r="I466" s="311"/>
      <c r="J466" s="44"/>
      <c r="K466" s="311"/>
      <c r="L466" s="232"/>
      <c r="M466" s="225"/>
      <c r="N466" s="380"/>
      <c r="O466" s="45"/>
      <c r="P466" s="311"/>
      <c r="Q466" s="149"/>
      <c r="R466" s="293"/>
      <c r="S466" s="316"/>
      <c r="T466" s="355"/>
      <c r="U466" s="111"/>
      <c r="V466" s="111"/>
      <c r="X466" s="111"/>
    </row>
    <row r="467" spans="2:24" s="30" customFormat="1" x14ac:dyDescent="0.25">
      <c r="B467" s="27"/>
      <c r="D467" s="81"/>
      <c r="E467" s="45"/>
      <c r="F467" s="389"/>
      <c r="G467" s="49"/>
      <c r="H467" s="44"/>
      <c r="I467" s="311"/>
      <c r="J467" s="44"/>
      <c r="K467" s="311"/>
      <c r="L467" s="232"/>
      <c r="M467" s="225"/>
      <c r="N467" s="380"/>
      <c r="O467" s="45"/>
      <c r="P467" s="311"/>
      <c r="Q467" s="149"/>
      <c r="R467" s="293"/>
      <c r="S467" s="316"/>
      <c r="T467" s="355"/>
      <c r="U467" s="111"/>
      <c r="V467" s="111"/>
      <c r="X467" s="111"/>
    </row>
    <row r="468" spans="2:24" s="30" customFormat="1" x14ac:dyDescent="0.25">
      <c r="B468" s="27"/>
      <c r="D468" s="81"/>
      <c r="E468" s="45"/>
      <c r="F468" s="389"/>
      <c r="G468" s="49"/>
      <c r="H468" s="44"/>
      <c r="I468" s="311"/>
      <c r="J468" s="44"/>
      <c r="K468" s="311"/>
      <c r="L468" s="232"/>
      <c r="M468" s="225"/>
      <c r="N468" s="380"/>
      <c r="O468" s="45"/>
      <c r="P468" s="311"/>
      <c r="Q468" s="149"/>
      <c r="R468" s="293"/>
      <c r="S468" s="316"/>
      <c r="T468" s="355"/>
      <c r="U468" s="111"/>
      <c r="V468" s="111"/>
      <c r="X468" s="111"/>
    </row>
    <row r="469" spans="2:24" s="30" customFormat="1" x14ac:dyDescent="0.25">
      <c r="B469" s="27"/>
      <c r="D469" s="81"/>
      <c r="E469" s="45"/>
      <c r="F469" s="389"/>
      <c r="G469" s="49"/>
      <c r="H469" s="44"/>
      <c r="I469" s="311"/>
      <c r="J469" s="44"/>
      <c r="K469" s="311"/>
      <c r="L469" s="232"/>
      <c r="M469" s="225"/>
      <c r="N469" s="380"/>
      <c r="O469" s="45"/>
      <c r="P469" s="311"/>
      <c r="Q469" s="149"/>
      <c r="R469" s="293"/>
      <c r="S469" s="316"/>
      <c r="T469" s="355"/>
      <c r="U469" s="111"/>
      <c r="V469" s="111"/>
      <c r="X469" s="111"/>
    </row>
    <row r="470" spans="2:24" s="30" customFormat="1" x14ac:dyDescent="0.25">
      <c r="B470" s="27"/>
      <c r="D470" s="81"/>
      <c r="E470" s="45"/>
      <c r="F470" s="389"/>
      <c r="G470" s="49"/>
      <c r="H470" s="44"/>
      <c r="I470" s="311"/>
      <c r="J470" s="44"/>
      <c r="K470" s="311"/>
      <c r="L470" s="232"/>
      <c r="M470" s="225"/>
      <c r="N470" s="380"/>
      <c r="O470" s="45"/>
      <c r="P470" s="311"/>
      <c r="Q470" s="149"/>
      <c r="R470" s="293"/>
      <c r="S470" s="316"/>
      <c r="T470" s="355"/>
      <c r="U470" s="111"/>
      <c r="V470" s="111"/>
      <c r="X470" s="111"/>
    </row>
    <row r="471" spans="2:24" s="30" customFormat="1" x14ac:dyDescent="0.25">
      <c r="B471" s="27"/>
      <c r="D471" s="81"/>
      <c r="E471" s="45"/>
      <c r="F471" s="389"/>
      <c r="G471" s="49"/>
      <c r="H471" s="44"/>
      <c r="I471" s="311"/>
      <c r="J471" s="44"/>
      <c r="K471" s="311"/>
      <c r="L471" s="232"/>
      <c r="M471" s="225"/>
      <c r="N471" s="380"/>
      <c r="O471" s="45"/>
      <c r="P471" s="311"/>
      <c r="Q471" s="149"/>
      <c r="R471" s="293"/>
      <c r="S471" s="316"/>
      <c r="T471" s="355"/>
      <c r="U471" s="111"/>
      <c r="V471" s="111"/>
      <c r="X471" s="111"/>
    </row>
    <row r="472" spans="2:24" s="30" customFormat="1" x14ac:dyDescent="0.25">
      <c r="B472" s="27"/>
      <c r="D472" s="81"/>
      <c r="E472" s="45"/>
      <c r="F472" s="389"/>
      <c r="G472" s="49"/>
      <c r="H472" s="44"/>
      <c r="I472" s="311"/>
      <c r="J472" s="44"/>
      <c r="K472" s="311"/>
      <c r="L472" s="232"/>
      <c r="M472" s="225"/>
      <c r="N472" s="380"/>
      <c r="O472" s="45"/>
      <c r="P472" s="311"/>
      <c r="Q472" s="149"/>
      <c r="R472" s="293"/>
      <c r="S472" s="316"/>
      <c r="T472" s="355"/>
      <c r="U472" s="111"/>
      <c r="V472" s="111"/>
      <c r="X472" s="111"/>
    </row>
    <row r="473" spans="2:24" s="30" customFormat="1" x14ac:dyDescent="0.25">
      <c r="B473" s="27"/>
      <c r="D473" s="81"/>
      <c r="E473" s="45"/>
      <c r="F473" s="389"/>
      <c r="G473" s="49"/>
      <c r="H473" s="44"/>
      <c r="I473" s="311"/>
      <c r="J473" s="44"/>
      <c r="K473" s="311"/>
      <c r="L473" s="232"/>
      <c r="M473" s="225"/>
      <c r="N473" s="380"/>
      <c r="O473" s="45"/>
      <c r="P473" s="311"/>
      <c r="Q473" s="149"/>
      <c r="R473" s="293"/>
      <c r="S473" s="316"/>
      <c r="T473" s="355"/>
      <c r="U473" s="111"/>
      <c r="V473" s="111"/>
      <c r="X473" s="111"/>
    </row>
    <row r="474" spans="2:24" s="30" customFormat="1" x14ac:dyDescent="0.25">
      <c r="B474" s="27"/>
      <c r="D474" s="81"/>
      <c r="E474" s="45"/>
      <c r="F474" s="389"/>
      <c r="G474" s="49"/>
      <c r="H474" s="44"/>
      <c r="I474" s="311"/>
      <c r="J474" s="44"/>
      <c r="K474" s="311"/>
      <c r="L474" s="232"/>
      <c r="M474" s="225"/>
      <c r="N474" s="380"/>
      <c r="O474" s="45"/>
      <c r="P474" s="311"/>
      <c r="Q474" s="149"/>
      <c r="R474" s="293"/>
      <c r="S474" s="316"/>
      <c r="T474" s="355"/>
      <c r="U474" s="111"/>
      <c r="V474" s="111"/>
      <c r="X474" s="111"/>
    </row>
    <row r="475" spans="2:24" s="30" customFormat="1" x14ac:dyDescent="0.25">
      <c r="B475" s="27"/>
      <c r="D475" s="81"/>
      <c r="E475" s="45"/>
      <c r="F475" s="389"/>
      <c r="G475" s="49"/>
      <c r="H475" s="44"/>
      <c r="I475" s="311"/>
      <c r="J475" s="44"/>
      <c r="K475" s="311"/>
      <c r="L475" s="232"/>
      <c r="M475" s="225"/>
      <c r="N475" s="380"/>
      <c r="O475" s="45"/>
      <c r="P475" s="311"/>
      <c r="Q475" s="149"/>
      <c r="R475" s="293"/>
      <c r="S475" s="316"/>
      <c r="T475" s="355"/>
      <c r="U475" s="111"/>
      <c r="V475" s="111"/>
      <c r="X475" s="111"/>
    </row>
    <row r="476" spans="2:24" s="30" customFormat="1" x14ac:dyDescent="0.25">
      <c r="B476" s="27"/>
      <c r="D476" s="81"/>
      <c r="E476" s="45"/>
      <c r="F476" s="389"/>
      <c r="G476" s="49"/>
      <c r="H476" s="44"/>
      <c r="I476" s="311"/>
      <c r="J476" s="44"/>
      <c r="K476" s="311"/>
      <c r="L476" s="232"/>
      <c r="M476" s="225"/>
      <c r="N476" s="380"/>
      <c r="O476" s="45"/>
      <c r="P476" s="311"/>
      <c r="Q476" s="149"/>
      <c r="R476" s="293"/>
      <c r="S476" s="316"/>
      <c r="T476" s="355"/>
      <c r="U476" s="111"/>
      <c r="V476" s="111"/>
      <c r="X476" s="111"/>
    </row>
    <row r="477" spans="2:24" s="30" customFormat="1" x14ac:dyDescent="0.25">
      <c r="B477" s="27"/>
      <c r="D477" s="81"/>
      <c r="E477" s="45"/>
      <c r="F477" s="389"/>
      <c r="G477" s="49"/>
      <c r="H477" s="44"/>
      <c r="I477" s="311"/>
      <c r="J477" s="44"/>
      <c r="K477" s="311"/>
      <c r="L477" s="232"/>
      <c r="M477" s="225"/>
      <c r="N477" s="380"/>
      <c r="O477" s="45"/>
      <c r="P477" s="311"/>
      <c r="Q477" s="149"/>
      <c r="R477" s="293"/>
      <c r="S477" s="316"/>
      <c r="T477" s="355"/>
      <c r="U477" s="111"/>
      <c r="V477" s="111"/>
      <c r="X477" s="111"/>
    </row>
    <row r="478" spans="2:24" s="30" customFormat="1" x14ac:dyDescent="0.25">
      <c r="B478" s="27"/>
      <c r="D478" s="81"/>
      <c r="E478" s="45"/>
      <c r="F478" s="389"/>
      <c r="G478" s="49"/>
      <c r="H478" s="44"/>
      <c r="I478" s="311"/>
      <c r="J478" s="44"/>
      <c r="K478" s="311"/>
      <c r="L478" s="232"/>
      <c r="M478" s="225"/>
      <c r="N478" s="380"/>
      <c r="O478" s="45"/>
      <c r="P478" s="311"/>
      <c r="Q478" s="149"/>
      <c r="R478" s="293"/>
      <c r="S478" s="316"/>
      <c r="T478" s="355"/>
      <c r="U478" s="111"/>
      <c r="V478" s="111"/>
      <c r="X478" s="111"/>
    </row>
    <row r="479" spans="2:24" s="30" customFormat="1" x14ac:dyDescent="0.25">
      <c r="B479" s="27"/>
      <c r="D479" s="81"/>
      <c r="E479" s="45"/>
      <c r="F479" s="389"/>
      <c r="G479" s="49"/>
      <c r="H479" s="44"/>
      <c r="I479" s="311"/>
      <c r="J479" s="44"/>
      <c r="K479" s="311"/>
      <c r="L479" s="232"/>
      <c r="M479" s="225"/>
      <c r="N479" s="380"/>
      <c r="O479" s="45"/>
      <c r="P479" s="311"/>
      <c r="Q479" s="149"/>
      <c r="R479" s="293"/>
      <c r="S479" s="316"/>
      <c r="T479" s="355"/>
      <c r="U479" s="111"/>
      <c r="V479" s="111"/>
      <c r="X479" s="111"/>
    </row>
    <row r="480" spans="2:24" s="30" customFormat="1" x14ac:dyDescent="0.25">
      <c r="B480" s="27"/>
      <c r="D480" s="81"/>
      <c r="E480" s="45"/>
      <c r="F480" s="389"/>
      <c r="G480" s="49"/>
      <c r="H480" s="44"/>
      <c r="I480" s="311"/>
      <c r="J480" s="44"/>
      <c r="K480" s="311"/>
      <c r="L480" s="232"/>
      <c r="M480" s="225"/>
      <c r="N480" s="380"/>
      <c r="O480" s="45"/>
      <c r="P480" s="311"/>
      <c r="Q480" s="149"/>
      <c r="R480" s="293"/>
      <c r="S480" s="316"/>
      <c r="T480" s="355"/>
      <c r="U480" s="111"/>
      <c r="V480" s="111"/>
      <c r="X480" s="111"/>
    </row>
    <row r="481" spans="2:24" s="30" customFormat="1" x14ac:dyDescent="0.25">
      <c r="B481" s="27"/>
      <c r="D481" s="81"/>
      <c r="E481" s="45"/>
      <c r="F481" s="389"/>
      <c r="G481" s="49"/>
      <c r="H481" s="44"/>
      <c r="I481" s="311"/>
      <c r="J481" s="44"/>
      <c r="K481" s="311"/>
      <c r="L481" s="232"/>
      <c r="M481" s="225"/>
      <c r="N481" s="380"/>
      <c r="O481" s="45"/>
      <c r="P481" s="311"/>
      <c r="Q481" s="149"/>
      <c r="R481" s="293"/>
      <c r="S481" s="316"/>
      <c r="T481" s="355"/>
      <c r="U481" s="111"/>
      <c r="V481" s="111"/>
      <c r="X481" s="111"/>
    </row>
    <row r="482" spans="2:24" s="30" customFormat="1" x14ac:dyDescent="0.25">
      <c r="B482" s="27"/>
      <c r="D482" s="81"/>
      <c r="E482" s="45"/>
      <c r="F482" s="389"/>
      <c r="G482" s="49"/>
      <c r="H482" s="44"/>
      <c r="I482" s="311"/>
      <c r="J482" s="44"/>
      <c r="K482" s="311"/>
      <c r="L482" s="232"/>
      <c r="M482" s="225"/>
      <c r="N482" s="380"/>
      <c r="O482" s="45"/>
      <c r="P482" s="311"/>
      <c r="Q482" s="149"/>
      <c r="R482" s="293"/>
      <c r="S482" s="316"/>
      <c r="T482" s="355"/>
      <c r="U482" s="111"/>
      <c r="V482" s="111"/>
      <c r="X482" s="111"/>
    </row>
    <row r="483" spans="2:24" s="30" customFormat="1" x14ac:dyDescent="0.25">
      <c r="B483" s="27"/>
      <c r="D483" s="81"/>
      <c r="E483" s="45"/>
      <c r="F483" s="389"/>
      <c r="G483" s="49"/>
      <c r="H483" s="44"/>
      <c r="I483" s="311"/>
      <c r="J483" s="44"/>
      <c r="K483" s="311"/>
      <c r="L483" s="232"/>
      <c r="M483" s="225"/>
      <c r="N483" s="380"/>
      <c r="O483" s="45"/>
      <c r="P483" s="311"/>
      <c r="Q483" s="149"/>
      <c r="R483" s="293"/>
      <c r="S483" s="316"/>
      <c r="T483" s="355"/>
      <c r="U483" s="111"/>
      <c r="V483" s="111"/>
      <c r="X483" s="111"/>
    </row>
    <row r="484" spans="2:24" s="30" customFormat="1" x14ac:dyDescent="0.25">
      <c r="B484" s="27"/>
      <c r="D484" s="81"/>
      <c r="E484" s="45"/>
      <c r="F484" s="389"/>
      <c r="G484" s="49"/>
      <c r="H484" s="44"/>
      <c r="I484" s="311"/>
      <c r="J484" s="44"/>
      <c r="K484" s="311"/>
      <c r="L484" s="232"/>
      <c r="M484" s="225"/>
      <c r="N484" s="380"/>
      <c r="O484" s="45"/>
      <c r="P484" s="311"/>
      <c r="Q484" s="149"/>
      <c r="R484" s="293"/>
      <c r="S484" s="316"/>
      <c r="T484" s="355"/>
      <c r="U484" s="111"/>
      <c r="V484" s="111"/>
      <c r="X484" s="111"/>
    </row>
    <row r="485" spans="2:24" s="30" customFormat="1" x14ac:dyDescent="0.25">
      <c r="B485" s="27"/>
      <c r="D485" s="81"/>
      <c r="E485" s="45"/>
      <c r="F485" s="389"/>
      <c r="G485" s="49"/>
      <c r="H485" s="44"/>
      <c r="I485" s="311"/>
      <c r="J485" s="44"/>
      <c r="K485" s="311"/>
      <c r="L485" s="232"/>
      <c r="M485" s="225"/>
      <c r="N485" s="380"/>
      <c r="O485" s="45"/>
      <c r="P485" s="311"/>
      <c r="Q485" s="149"/>
      <c r="R485" s="293"/>
      <c r="S485" s="316"/>
      <c r="T485" s="355"/>
      <c r="U485" s="111"/>
      <c r="V485" s="111"/>
      <c r="X485" s="111"/>
    </row>
    <row r="486" spans="2:24" s="30" customFormat="1" x14ac:dyDescent="0.25">
      <c r="B486" s="27"/>
      <c r="D486" s="81"/>
      <c r="E486" s="45"/>
      <c r="F486" s="389"/>
      <c r="G486" s="49"/>
      <c r="H486" s="44"/>
      <c r="I486" s="311"/>
      <c r="J486" s="44"/>
      <c r="K486" s="311"/>
      <c r="L486" s="232"/>
      <c r="M486" s="225"/>
      <c r="N486" s="380"/>
      <c r="O486" s="45"/>
      <c r="P486" s="311"/>
      <c r="Q486" s="149"/>
      <c r="R486" s="293"/>
      <c r="S486" s="316"/>
      <c r="T486" s="355"/>
      <c r="U486" s="111"/>
      <c r="V486" s="111"/>
      <c r="X486" s="111"/>
    </row>
    <row r="487" spans="2:24" s="30" customFormat="1" x14ac:dyDescent="0.25">
      <c r="B487" s="27"/>
      <c r="D487" s="81"/>
      <c r="E487" s="45"/>
      <c r="F487" s="389"/>
      <c r="G487" s="49"/>
      <c r="H487" s="44"/>
      <c r="I487" s="311"/>
      <c r="J487" s="44"/>
      <c r="K487" s="311"/>
      <c r="L487" s="232"/>
      <c r="M487" s="225"/>
      <c r="N487" s="380"/>
      <c r="O487" s="45"/>
      <c r="P487" s="311"/>
      <c r="Q487" s="149"/>
      <c r="R487" s="293"/>
      <c r="S487" s="316"/>
      <c r="T487" s="355"/>
      <c r="U487" s="111"/>
      <c r="V487" s="111"/>
      <c r="X487" s="111"/>
    </row>
    <row r="488" spans="2:24" s="30" customFormat="1" x14ac:dyDescent="0.25">
      <c r="B488" s="27"/>
      <c r="D488" s="81"/>
      <c r="E488" s="45"/>
      <c r="F488" s="389"/>
      <c r="G488" s="49"/>
      <c r="H488" s="44"/>
      <c r="I488" s="311"/>
      <c r="J488" s="44"/>
      <c r="K488" s="311"/>
      <c r="L488" s="232"/>
      <c r="M488" s="225"/>
      <c r="N488" s="380"/>
      <c r="O488" s="45"/>
      <c r="P488" s="311"/>
      <c r="Q488" s="149"/>
      <c r="R488" s="293"/>
      <c r="S488" s="316"/>
      <c r="T488" s="355"/>
      <c r="U488" s="111"/>
      <c r="V488" s="111"/>
      <c r="X488" s="111"/>
    </row>
    <row r="489" spans="2:24" s="30" customFormat="1" x14ac:dyDescent="0.25">
      <c r="B489" s="27"/>
      <c r="D489" s="81"/>
      <c r="E489" s="45"/>
      <c r="F489" s="389"/>
      <c r="G489" s="49"/>
      <c r="H489" s="44"/>
      <c r="I489" s="311"/>
      <c r="J489" s="44"/>
      <c r="K489" s="311"/>
      <c r="L489" s="232"/>
      <c r="M489" s="225"/>
      <c r="N489" s="380"/>
      <c r="O489" s="45"/>
      <c r="P489" s="311"/>
      <c r="Q489" s="149"/>
      <c r="R489" s="293"/>
      <c r="S489" s="316"/>
      <c r="T489" s="355"/>
      <c r="U489" s="111"/>
      <c r="V489" s="111"/>
      <c r="X489" s="111"/>
    </row>
    <row r="490" spans="2:24" s="30" customFormat="1" x14ac:dyDescent="0.25">
      <c r="B490" s="27"/>
      <c r="D490" s="81"/>
      <c r="E490" s="45"/>
      <c r="F490" s="389"/>
      <c r="G490" s="49"/>
      <c r="H490" s="44"/>
      <c r="I490" s="311"/>
      <c r="J490" s="44"/>
      <c r="K490" s="311"/>
      <c r="L490" s="232"/>
      <c r="M490" s="225"/>
      <c r="N490" s="380"/>
      <c r="O490" s="45"/>
      <c r="P490" s="311"/>
      <c r="Q490" s="149"/>
      <c r="R490" s="293"/>
      <c r="S490" s="316"/>
      <c r="T490" s="355"/>
      <c r="U490" s="111"/>
      <c r="V490" s="111"/>
      <c r="X490" s="111"/>
    </row>
    <row r="491" spans="2:24" s="30" customFormat="1" x14ac:dyDescent="0.25">
      <c r="B491" s="27"/>
      <c r="D491" s="81"/>
      <c r="E491" s="45"/>
      <c r="F491" s="389"/>
      <c r="G491" s="49"/>
      <c r="H491" s="44"/>
      <c r="I491" s="311"/>
      <c r="J491" s="44"/>
      <c r="K491" s="311"/>
      <c r="L491" s="232"/>
      <c r="M491" s="225"/>
      <c r="N491" s="380"/>
      <c r="O491" s="45"/>
      <c r="P491" s="311"/>
      <c r="Q491" s="149"/>
      <c r="R491" s="293"/>
      <c r="S491" s="316"/>
      <c r="T491" s="355"/>
      <c r="U491" s="111"/>
      <c r="V491" s="111"/>
      <c r="X491" s="111"/>
    </row>
    <row r="492" spans="2:24" s="30" customFormat="1" x14ac:dyDescent="0.25">
      <c r="B492" s="27"/>
      <c r="D492" s="81"/>
      <c r="E492" s="45"/>
      <c r="F492" s="389"/>
      <c r="G492" s="49"/>
      <c r="H492" s="44"/>
      <c r="I492" s="311"/>
      <c r="J492" s="44"/>
      <c r="K492" s="311"/>
      <c r="L492" s="232"/>
      <c r="M492" s="225"/>
      <c r="N492" s="380"/>
      <c r="O492" s="45"/>
      <c r="P492" s="311"/>
      <c r="Q492" s="149"/>
      <c r="R492" s="293"/>
      <c r="S492" s="316"/>
      <c r="T492" s="355"/>
      <c r="U492" s="111"/>
      <c r="V492" s="111"/>
      <c r="X492" s="111"/>
    </row>
    <row r="493" spans="2:24" s="30" customFormat="1" x14ac:dyDescent="0.25">
      <c r="B493" s="27"/>
      <c r="D493" s="81"/>
      <c r="E493" s="45"/>
      <c r="F493" s="389"/>
      <c r="G493" s="49"/>
      <c r="H493" s="44"/>
      <c r="I493" s="311"/>
      <c r="J493" s="44"/>
      <c r="K493" s="311"/>
      <c r="L493" s="232"/>
      <c r="M493" s="225"/>
      <c r="N493" s="380"/>
      <c r="O493" s="45"/>
      <c r="P493" s="311"/>
      <c r="Q493" s="149"/>
      <c r="R493" s="293"/>
      <c r="S493" s="316"/>
      <c r="T493" s="355"/>
      <c r="U493" s="111"/>
      <c r="V493" s="111"/>
      <c r="X493" s="111"/>
    </row>
    <row r="494" spans="2:24" s="30" customFormat="1" x14ac:dyDescent="0.25">
      <c r="B494" s="27"/>
      <c r="D494" s="81"/>
      <c r="E494" s="45"/>
      <c r="F494" s="389"/>
      <c r="G494" s="49"/>
      <c r="H494" s="44"/>
      <c r="I494" s="311"/>
      <c r="J494" s="44"/>
      <c r="K494" s="311"/>
      <c r="L494" s="232"/>
      <c r="M494" s="225"/>
      <c r="N494" s="380"/>
      <c r="O494" s="45"/>
      <c r="P494" s="311"/>
      <c r="Q494" s="149"/>
      <c r="R494" s="293"/>
      <c r="S494" s="316"/>
      <c r="T494" s="355"/>
      <c r="U494" s="111"/>
      <c r="V494" s="111"/>
      <c r="X494" s="111"/>
    </row>
    <row r="495" spans="2:24" s="30" customFormat="1" x14ac:dyDescent="0.25">
      <c r="B495" s="27"/>
      <c r="D495" s="81"/>
      <c r="E495" s="45"/>
      <c r="F495" s="389"/>
      <c r="G495" s="49"/>
      <c r="H495" s="44"/>
      <c r="I495" s="311"/>
      <c r="J495" s="44"/>
      <c r="K495" s="311"/>
      <c r="L495" s="232"/>
      <c r="M495" s="225"/>
      <c r="N495" s="380"/>
      <c r="O495" s="45"/>
      <c r="P495" s="311"/>
      <c r="Q495" s="149"/>
      <c r="R495" s="293"/>
      <c r="S495" s="316"/>
      <c r="T495" s="355"/>
      <c r="U495" s="111"/>
      <c r="V495" s="111"/>
      <c r="X495" s="111"/>
    </row>
    <row r="496" spans="2:24" s="30" customFormat="1" x14ac:dyDescent="0.25">
      <c r="B496" s="27"/>
      <c r="D496" s="81"/>
      <c r="E496" s="45"/>
      <c r="F496" s="389"/>
      <c r="G496" s="49"/>
      <c r="H496" s="44"/>
      <c r="I496" s="311"/>
      <c r="J496" s="44"/>
      <c r="K496" s="311"/>
      <c r="L496" s="232"/>
      <c r="M496" s="225"/>
      <c r="N496" s="380"/>
      <c r="O496" s="45"/>
      <c r="P496" s="311"/>
      <c r="Q496" s="149"/>
      <c r="R496" s="293"/>
      <c r="S496" s="316"/>
      <c r="T496" s="355"/>
      <c r="U496" s="111"/>
      <c r="V496" s="111"/>
      <c r="X496" s="111"/>
    </row>
    <row r="497" spans="2:24" s="30" customFormat="1" x14ac:dyDescent="0.25">
      <c r="B497" s="27"/>
      <c r="D497" s="81"/>
      <c r="E497" s="45"/>
      <c r="F497" s="389"/>
      <c r="G497" s="49"/>
      <c r="H497" s="44"/>
      <c r="I497" s="311"/>
      <c r="J497" s="44"/>
      <c r="K497" s="311"/>
      <c r="L497" s="232"/>
      <c r="M497" s="225"/>
      <c r="N497" s="380"/>
      <c r="O497" s="45"/>
      <c r="P497" s="311"/>
      <c r="Q497" s="149"/>
      <c r="R497" s="293"/>
      <c r="S497" s="316"/>
      <c r="T497" s="355"/>
      <c r="U497" s="111"/>
      <c r="V497" s="111"/>
      <c r="X497" s="111"/>
    </row>
    <row r="498" spans="2:24" s="30" customFormat="1" x14ac:dyDescent="0.25">
      <c r="B498" s="27"/>
      <c r="D498" s="81"/>
      <c r="E498" s="45"/>
      <c r="F498" s="389"/>
      <c r="G498" s="49"/>
      <c r="H498" s="44"/>
      <c r="I498" s="311"/>
      <c r="J498" s="44"/>
      <c r="K498" s="311"/>
      <c r="L498" s="232"/>
      <c r="M498" s="225"/>
      <c r="N498" s="380"/>
      <c r="O498" s="45"/>
      <c r="P498" s="311"/>
      <c r="Q498" s="149"/>
      <c r="R498" s="293"/>
      <c r="S498" s="316"/>
      <c r="T498" s="355"/>
      <c r="U498" s="111"/>
      <c r="V498" s="111"/>
      <c r="X498" s="111"/>
    </row>
    <row r="499" spans="2:24" s="30" customFormat="1" x14ac:dyDescent="0.25">
      <c r="B499" s="27"/>
      <c r="D499" s="81"/>
      <c r="E499" s="45"/>
      <c r="F499" s="389"/>
      <c r="G499" s="49"/>
      <c r="H499" s="44"/>
      <c r="I499" s="311"/>
      <c r="J499" s="44"/>
      <c r="K499" s="311"/>
      <c r="L499" s="232"/>
      <c r="M499" s="225"/>
      <c r="N499" s="380"/>
      <c r="O499" s="45"/>
      <c r="P499" s="311"/>
      <c r="Q499" s="149"/>
      <c r="R499" s="293"/>
      <c r="S499" s="316"/>
      <c r="T499" s="355"/>
      <c r="U499" s="111"/>
      <c r="V499" s="111"/>
      <c r="X499" s="111"/>
    </row>
    <row r="500" spans="2:24" s="30" customFormat="1" x14ac:dyDescent="0.25">
      <c r="B500" s="27"/>
      <c r="D500" s="81"/>
      <c r="E500" s="45"/>
      <c r="F500" s="389"/>
      <c r="G500" s="49"/>
      <c r="H500" s="44"/>
      <c r="I500" s="311"/>
      <c r="J500" s="44"/>
      <c r="K500" s="311"/>
      <c r="L500" s="232"/>
      <c r="M500" s="225"/>
      <c r="N500" s="380"/>
      <c r="O500" s="45"/>
      <c r="P500" s="311"/>
      <c r="Q500" s="149"/>
      <c r="R500" s="293"/>
      <c r="S500" s="316"/>
      <c r="T500" s="355"/>
      <c r="U500" s="111"/>
      <c r="V500" s="111"/>
      <c r="X500" s="111"/>
    </row>
    <row r="501" spans="2:24" s="30" customFormat="1" x14ac:dyDescent="0.25">
      <c r="B501" s="27"/>
      <c r="D501" s="81"/>
      <c r="E501" s="45"/>
      <c r="F501" s="389"/>
      <c r="G501" s="49"/>
      <c r="H501" s="44"/>
      <c r="I501" s="311"/>
      <c r="J501" s="44"/>
      <c r="K501" s="311"/>
      <c r="L501" s="232"/>
      <c r="M501" s="225"/>
      <c r="N501" s="380"/>
      <c r="O501" s="45"/>
      <c r="P501" s="311"/>
      <c r="Q501" s="149"/>
      <c r="R501" s="293"/>
      <c r="S501" s="316"/>
      <c r="T501" s="355"/>
      <c r="U501" s="111"/>
      <c r="V501" s="111"/>
      <c r="X501" s="111"/>
    </row>
    <row r="502" spans="2:24" s="30" customFormat="1" x14ac:dyDescent="0.25">
      <c r="B502" s="27"/>
      <c r="D502" s="81"/>
      <c r="E502" s="45"/>
      <c r="F502" s="389"/>
      <c r="G502" s="49"/>
      <c r="H502" s="44"/>
      <c r="I502" s="311"/>
      <c r="J502" s="44"/>
      <c r="K502" s="311"/>
      <c r="L502" s="232"/>
      <c r="M502" s="225"/>
      <c r="N502" s="380"/>
      <c r="O502" s="45"/>
      <c r="P502" s="311"/>
      <c r="Q502" s="149"/>
      <c r="R502" s="293"/>
      <c r="S502" s="316"/>
      <c r="T502" s="355"/>
      <c r="U502" s="111"/>
      <c r="V502" s="111"/>
      <c r="X502" s="111"/>
    </row>
    <row r="503" spans="2:24" s="30" customFormat="1" x14ac:dyDescent="0.25">
      <c r="B503" s="27"/>
      <c r="D503" s="81"/>
      <c r="E503" s="45"/>
      <c r="F503" s="389"/>
      <c r="G503" s="49"/>
      <c r="H503" s="44"/>
      <c r="I503" s="311"/>
      <c r="J503" s="44"/>
      <c r="K503" s="311"/>
      <c r="L503" s="232"/>
      <c r="M503" s="225"/>
      <c r="N503" s="380"/>
      <c r="O503" s="45"/>
      <c r="P503" s="311"/>
      <c r="Q503" s="149"/>
      <c r="R503" s="293"/>
      <c r="S503" s="316"/>
      <c r="T503" s="355"/>
      <c r="U503" s="111"/>
      <c r="V503" s="111"/>
      <c r="X503" s="111"/>
    </row>
    <row r="504" spans="2:24" s="30" customFormat="1" x14ac:dyDescent="0.25">
      <c r="B504" s="27"/>
      <c r="D504" s="81"/>
      <c r="E504" s="45"/>
      <c r="F504" s="389"/>
      <c r="G504" s="49"/>
      <c r="H504" s="44"/>
      <c r="I504" s="311"/>
      <c r="J504" s="44"/>
      <c r="K504" s="311"/>
      <c r="L504" s="232"/>
      <c r="M504" s="225"/>
      <c r="N504" s="380"/>
      <c r="O504" s="45"/>
      <c r="P504" s="311"/>
      <c r="Q504" s="149"/>
      <c r="R504" s="293"/>
      <c r="S504" s="316"/>
      <c r="T504" s="355"/>
      <c r="U504" s="111"/>
      <c r="V504" s="111"/>
      <c r="X504" s="111"/>
    </row>
    <row r="505" spans="2:24" s="30" customFormat="1" x14ac:dyDescent="0.25">
      <c r="B505" s="27"/>
      <c r="D505" s="81"/>
      <c r="E505" s="45"/>
      <c r="F505" s="389"/>
      <c r="G505" s="49"/>
      <c r="H505" s="44"/>
      <c r="I505" s="311"/>
      <c r="J505" s="44"/>
      <c r="K505" s="311"/>
      <c r="L505" s="232"/>
      <c r="M505" s="225"/>
      <c r="N505" s="380"/>
      <c r="O505" s="45"/>
      <c r="P505" s="311"/>
      <c r="Q505" s="149"/>
      <c r="R505" s="293"/>
      <c r="S505" s="316"/>
      <c r="T505" s="355"/>
      <c r="U505" s="111"/>
      <c r="V505" s="111"/>
      <c r="X505" s="111"/>
    </row>
    <row r="506" spans="2:24" s="30" customFormat="1" x14ac:dyDescent="0.25">
      <c r="B506" s="27"/>
      <c r="D506" s="81"/>
      <c r="E506" s="45"/>
      <c r="F506" s="389"/>
      <c r="G506" s="49"/>
      <c r="H506" s="44"/>
      <c r="I506" s="311"/>
      <c r="J506" s="44"/>
      <c r="K506" s="311"/>
      <c r="L506" s="232"/>
      <c r="M506" s="225"/>
      <c r="N506" s="380"/>
      <c r="O506" s="45"/>
      <c r="P506" s="311"/>
      <c r="Q506" s="149"/>
      <c r="R506" s="293"/>
      <c r="S506" s="316"/>
      <c r="T506" s="355"/>
      <c r="U506" s="111"/>
      <c r="V506" s="111"/>
      <c r="X506" s="111"/>
    </row>
    <row r="507" spans="2:24" s="30" customFormat="1" x14ac:dyDescent="0.25">
      <c r="B507" s="27"/>
      <c r="D507" s="81"/>
      <c r="E507" s="45"/>
      <c r="F507" s="389"/>
      <c r="G507" s="49"/>
      <c r="H507" s="44"/>
      <c r="I507" s="311"/>
      <c r="J507" s="44"/>
      <c r="K507" s="311"/>
      <c r="L507" s="232"/>
      <c r="M507" s="225"/>
      <c r="N507" s="380"/>
      <c r="O507" s="45"/>
      <c r="P507" s="311"/>
      <c r="Q507" s="149"/>
      <c r="R507" s="293"/>
      <c r="S507" s="316"/>
      <c r="T507" s="355"/>
      <c r="U507" s="111"/>
      <c r="V507" s="111"/>
      <c r="X507" s="111"/>
    </row>
    <row r="508" spans="2:24" s="30" customFormat="1" x14ac:dyDescent="0.25">
      <c r="B508" s="27"/>
      <c r="D508" s="81"/>
      <c r="E508" s="45"/>
      <c r="F508" s="389"/>
      <c r="G508" s="49"/>
      <c r="H508" s="44"/>
      <c r="I508" s="311"/>
      <c r="J508" s="44"/>
      <c r="K508" s="311"/>
      <c r="L508" s="232"/>
      <c r="M508" s="225"/>
      <c r="N508" s="380"/>
      <c r="O508" s="45"/>
      <c r="P508" s="311"/>
      <c r="Q508" s="149"/>
      <c r="R508" s="293"/>
      <c r="S508" s="316"/>
      <c r="T508" s="355"/>
      <c r="U508" s="111"/>
      <c r="V508" s="111"/>
      <c r="X508" s="111"/>
    </row>
    <row r="509" spans="2:24" s="30" customFormat="1" x14ac:dyDescent="0.25">
      <c r="B509" s="27"/>
      <c r="D509" s="81"/>
      <c r="E509" s="45"/>
      <c r="F509" s="389"/>
      <c r="G509" s="49"/>
      <c r="H509" s="44"/>
      <c r="I509" s="311"/>
      <c r="J509" s="44"/>
      <c r="K509" s="311"/>
      <c r="L509" s="232"/>
      <c r="M509" s="225"/>
      <c r="N509" s="380"/>
      <c r="O509" s="45"/>
      <c r="P509" s="311"/>
      <c r="Q509" s="149"/>
      <c r="R509" s="293"/>
      <c r="S509" s="316"/>
      <c r="T509" s="355"/>
      <c r="U509" s="111"/>
      <c r="V509" s="111"/>
      <c r="X509" s="111"/>
    </row>
    <row r="510" spans="2:24" s="30" customFormat="1" x14ac:dyDescent="0.25">
      <c r="B510" s="27"/>
      <c r="D510" s="81"/>
      <c r="E510" s="45"/>
      <c r="F510" s="389"/>
      <c r="G510" s="49"/>
      <c r="H510" s="44"/>
      <c r="I510" s="311"/>
      <c r="J510" s="44"/>
      <c r="K510" s="311"/>
      <c r="L510" s="232"/>
      <c r="M510" s="225"/>
      <c r="N510" s="380"/>
      <c r="O510" s="45"/>
      <c r="P510" s="311"/>
      <c r="Q510" s="149"/>
      <c r="R510" s="293"/>
      <c r="S510" s="316"/>
      <c r="T510" s="355"/>
      <c r="U510" s="111"/>
      <c r="V510" s="111"/>
      <c r="X510" s="111"/>
    </row>
    <row r="511" spans="2:24" s="30" customFormat="1" x14ac:dyDescent="0.25">
      <c r="B511" s="27"/>
      <c r="D511" s="81"/>
      <c r="E511" s="45"/>
      <c r="F511" s="389"/>
      <c r="G511" s="49"/>
      <c r="H511" s="44"/>
      <c r="I511" s="311"/>
      <c r="J511" s="44"/>
      <c r="K511" s="311"/>
      <c r="L511" s="232"/>
      <c r="M511" s="225"/>
      <c r="N511" s="380"/>
      <c r="O511" s="45"/>
      <c r="P511" s="311"/>
      <c r="Q511" s="149"/>
      <c r="R511" s="293"/>
      <c r="S511" s="316"/>
      <c r="T511" s="355"/>
      <c r="U511" s="111"/>
      <c r="V511" s="111"/>
      <c r="X511" s="111"/>
    </row>
    <row r="512" spans="2:24" s="30" customFormat="1" x14ac:dyDescent="0.25">
      <c r="B512" s="27"/>
      <c r="D512" s="81"/>
      <c r="E512" s="45"/>
      <c r="F512" s="389"/>
      <c r="G512" s="49"/>
      <c r="H512" s="44"/>
      <c r="I512" s="311"/>
      <c r="J512" s="44"/>
      <c r="K512" s="311"/>
      <c r="L512" s="232"/>
      <c r="M512" s="225"/>
      <c r="N512" s="380"/>
      <c r="O512" s="45"/>
      <c r="P512" s="311"/>
      <c r="Q512" s="149"/>
      <c r="R512" s="293"/>
      <c r="S512" s="316"/>
      <c r="T512" s="355"/>
      <c r="U512" s="111"/>
      <c r="V512" s="111"/>
      <c r="X512" s="111"/>
    </row>
    <row r="513" spans="2:24" s="30" customFormat="1" x14ac:dyDescent="0.25">
      <c r="B513" s="27"/>
      <c r="D513" s="81"/>
      <c r="E513" s="45"/>
      <c r="F513" s="389"/>
      <c r="G513" s="49"/>
      <c r="H513" s="44"/>
      <c r="I513" s="311"/>
      <c r="J513" s="44"/>
      <c r="K513" s="311"/>
      <c r="L513" s="232"/>
      <c r="M513" s="225"/>
      <c r="N513" s="380"/>
      <c r="O513" s="45"/>
      <c r="P513" s="311"/>
      <c r="Q513" s="149"/>
      <c r="R513" s="293"/>
      <c r="S513" s="316"/>
      <c r="T513" s="355"/>
      <c r="U513" s="111"/>
      <c r="V513" s="111"/>
      <c r="X513" s="111"/>
    </row>
    <row r="514" spans="2:24" s="30" customFormat="1" x14ac:dyDescent="0.25">
      <c r="B514" s="27"/>
      <c r="D514" s="81"/>
      <c r="E514" s="45"/>
      <c r="F514" s="524"/>
      <c r="G514" s="49"/>
      <c r="H514" s="45"/>
      <c r="I514" s="314"/>
      <c r="J514" s="44"/>
      <c r="K514" s="311"/>
      <c r="L514" s="232"/>
      <c r="M514" s="225"/>
      <c r="N514" s="380"/>
      <c r="O514" s="45"/>
      <c r="P514" s="311"/>
      <c r="Q514" s="149"/>
      <c r="R514" s="293"/>
      <c r="S514" s="316"/>
      <c r="T514" s="355"/>
      <c r="V514" s="111"/>
    </row>
    <row r="515" spans="2:24" s="30" customFormat="1" x14ac:dyDescent="0.25">
      <c r="B515" s="27"/>
      <c r="D515" s="81"/>
      <c r="E515" s="45"/>
      <c r="F515" s="524"/>
      <c r="G515" s="49"/>
      <c r="H515" s="45"/>
      <c r="I515" s="314"/>
      <c r="J515" s="44"/>
      <c r="K515" s="311"/>
      <c r="L515" s="232"/>
      <c r="M515" s="225"/>
      <c r="N515" s="380"/>
      <c r="O515" s="45"/>
      <c r="P515" s="311"/>
      <c r="Q515" s="149"/>
      <c r="R515" s="293"/>
      <c r="S515" s="316"/>
      <c r="T515" s="355"/>
      <c r="V515" s="111"/>
    </row>
    <row r="516" spans="2:24" s="30" customFormat="1" x14ac:dyDescent="0.25">
      <c r="B516" s="27"/>
      <c r="D516" s="81"/>
      <c r="E516" s="45"/>
      <c r="F516" s="524"/>
      <c r="G516" s="49"/>
      <c r="H516" s="45"/>
      <c r="I516" s="314"/>
      <c r="J516" s="44"/>
      <c r="K516" s="311"/>
      <c r="L516" s="232"/>
      <c r="M516" s="225"/>
      <c r="N516" s="380"/>
      <c r="O516" s="45"/>
      <c r="P516" s="311"/>
      <c r="Q516" s="149"/>
      <c r="R516" s="293"/>
      <c r="S516" s="316"/>
      <c r="T516" s="355"/>
      <c r="V516" s="111"/>
    </row>
    <row r="517" spans="2:24" s="30" customFormat="1" x14ac:dyDescent="0.25">
      <c r="B517" s="27"/>
      <c r="D517" s="81"/>
      <c r="E517" s="45"/>
      <c r="F517" s="524"/>
      <c r="G517" s="49"/>
      <c r="H517" s="45"/>
      <c r="I517" s="314"/>
      <c r="J517" s="44"/>
      <c r="K517" s="311"/>
      <c r="L517" s="232"/>
      <c r="M517" s="225"/>
      <c r="N517" s="380"/>
      <c r="O517" s="45"/>
      <c r="P517" s="311"/>
      <c r="Q517" s="149"/>
      <c r="R517" s="293"/>
      <c r="S517" s="316"/>
      <c r="T517" s="355"/>
      <c r="V517" s="111"/>
    </row>
    <row r="518" spans="2:24" s="30" customFormat="1" x14ac:dyDescent="0.25">
      <c r="B518" s="27"/>
      <c r="D518" s="81"/>
      <c r="E518" s="45"/>
      <c r="F518" s="524"/>
      <c r="G518" s="49"/>
      <c r="H518" s="45"/>
      <c r="I518" s="314"/>
      <c r="J518" s="44"/>
      <c r="K518" s="311"/>
      <c r="L518" s="232"/>
      <c r="M518" s="225"/>
      <c r="N518" s="380"/>
      <c r="O518" s="45"/>
      <c r="P518" s="311"/>
      <c r="Q518" s="149"/>
      <c r="R518" s="293"/>
      <c r="S518" s="316"/>
      <c r="T518" s="355"/>
      <c r="V518" s="111"/>
    </row>
    <row r="519" spans="2:24" s="30" customFormat="1" x14ac:dyDescent="0.25">
      <c r="B519" s="27"/>
      <c r="D519" s="81"/>
      <c r="E519" s="45"/>
      <c r="F519" s="524"/>
      <c r="G519" s="49"/>
      <c r="H519" s="45"/>
      <c r="I519" s="314"/>
      <c r="J519" s="44"/>
      <c r="K519" s="311"/>
      <c r="L519" s="232"/>
      <c r="M519" s="225"/>
      <c r="N519" s="380"/>
      <c r="O519" s="45"/>
      <c r="P519" s="311"/>
      <c r="Q519" s="149"/>
      <c r="R519" s="293"/>
      <c r="S519" s="316"/>
      <c r="T519" s="355"/>
      <c r="V519" s="111"/>
    </row>
    <row r="520" spans="2:24" s="30" customFormat="1" x14ac:dyDescent="0.25">
      <c r="B520" s="27"/>
      <c r="D520" s="81"/>
      <c r="E520" s="45"/>
      <c r="F520" s="524"/>
      <c r="G520" s="49"/>
      <c r="H520" s="45"/>
      <c r="I520" s="314"/>
      <c r="J520" s="44"/>
      <c r="K520" s="311"/>
      <c r="L520" s="232"/>
      <c r="M520" s="225"/>
      <c r="N520" s="380"/>
      <c r="O520" s="45"/>
      <c r="P520" s="311"/>
      <c r="Q520" s="149"/>
      <c r="R520" s="293"/>
      <c r="S520" s="316"/>
      <c r="T520" s="355"/>
      <c r="V520" s="111"/>
    </row>
    <row r="521" spans="2:24" s="30" customFormat="1" x14ac:dyDescent="0.25">
      <c r="B521" s="27"/>
      <c r="D521" s="81"/>
      <c r="E521" s="45"/>
      <c r="F521" s="524"/>
      <c r="G521" s="49"/>
      <c r="H521" s="44"/>
      <c r="I521" s="314"/>
      <c r="J521" s="44"/>
      <c r="K521" s="311"/>
      <c r="L521" s="232"/>
      <c r="M521" s="225"/>
      <c r="N521" s="380"/>
      <c r="O521" s="45"/>
      <c r="P521" s="311"/>
      <c r="Q521" s="149"/>
      <c r="R521" s="293"/>
      <c r="S521" s="316"/>
      <c r="T521" s="355"/>
      <c r="V521" s="111"/>
    </row>
    <row r="522" spans="2:24" s="30" customFormat="1" x14ac:dyDescent="0.25">
      <c r="B522" s="27"/>
      <c r="D522" s="81"/>
      <c r="E522" s="45"/>
      <c r="F522" s="524"/>
      <c r="G522" s="151"/>
      <c r="H522" s="44"/>
      <c r="I522" s="314"/>
      <c r="J522" s="44"/>
      <c r="K522" s="311"/>
      <c r="L522" s="232"/>
      <c r="M522" s="225"/>
      <c r="N522" s="380"/>
      <c r="O522" s="45"/>
      <c r="P522" s="311"/>
      <c r="Q522" s="149"/>
      <c r="R522" s="293"/>
      <c r="S522" s="316"/>
      <c r="T522" s="355"/>
      <c r="V522" s="111"/>
    </row>
    <row r="523" spans="2:24" s="30" customFormat="1" x14ac:dyDescent="0.25">
      <c r="B523" s="27"/>
      <c r="D523" s="81"/>
      <c r="E523" s="45"/>
      <c r="F523" s="524"/>
      <c r="G523" s="151"/>
      <c r="H523" s="44"/>
      <c r="I523" s="314"/>
      <c r="J523" s="44"/>
      <c r="K523" s="311"/>
      <c r="L523" s="232"/>
      <c r="M523" s="225"/>
      <c r="N523" s="380"/>
      <c r="O523" s="45"/>
      <c r="P523" s="311"/>
      <c r="Q523" s="149"/>
      <c r="R523" s="293"/>
      <c r="S523" s="316"/>
      <c r="T523" s="355"/>
      <c r="V523" s="111"/>
    </row>
    <row r="524" spans="2:24" s="30" customFormat="1" x14ac:dyDescent="0.25">
      <c r="B524" s="27"/>
      <c r="D524" s="81"/>
      <c r="E524" s="45"/>
      <c r="F524" s="524"/>
      <c r="G524" s="49"/>
      <c r="H524" s="44"/>
      <c r="I524" s="314"/>
      <c r="J524" s="44"/>
      <c r="K524" s="311"/>
      <c r="L524" s="232"/>
      <c r="M524" s="225"/>
      <c r="N524" s="380"/>
      <c r="O524" s="45"/>
      <c r="P524" s="311"/>
      <c r="Q524" s="149"/>
      <c r="R524" s="293"/>
      <c r="S524" s="316"/>
      <c r="T524" s="355"/>
      <c r="V524" s="111"/>
    </row>
    <row r="525" spans="2:24" s="30" customFormat="1" x14ac:dyDescent="0.25">
      <c r="B525" s="27"/>
      <c r="D525" s="81"/>
      <c r="E525" s="45"/>
      <c r="F525" s="524"/>
      <c r="G525" s="151"/>
      <c r="H525" s="44"/>
      <c r="I525" s="314"/>
      <c r="J525" s="44"/>
      <c r="K525" s="311"/>
      <c r="L525" s="232"/>
      <c r="M525" s="225"/>
      <c r="N525" s="380"/>
      <c r="O525" s="45"/>
      <c r="P525" s="311"/>
      <c r="Q525" s="149"/>
      <c r="R525" s="293"/>
      <c r="S525" s="316"/>
      <c r="T525" s="355"/>
      <c r="V525" s="111"/>
    </row>
    <row r="526" spans="2:24" s="30" customFormat="1" x14ac:dyDescent="0.25">
      <c r="B526" s="27"/>
      <c r="D526" s="81"/>
      <c r="E526" s="45"/>
      <c r="F526" s="524"/>
      <c r="G526" s="151"/>
      <c r="H526" s="44"/>
      <c r="I526" s="314"/>
      <c r="J526" s="44"/>
      <c r="K526" s="311"/>
      <c r="L526" s="232"/>
      <c r="M526" s="225"/>
      <c r="N526" s="380"/>
      <c r="O526" s="45"/>
      <c r="P526" s="311"/>
      <c r="Q526" s="149"/>
      <c r="R526" s="293"/>
      <c r="S526" s="316"/>
      <c r="T526" s="355"/>
      <c r="V526" s="111"/>
    </row>
    <row r="527" spans="2:24" s="30" customFormat="1" x14ac:dyDescent="0.25">
      <c r="B527" s="27"/>
      <c r="D527" s="81"/>
      <c r="E527" s="45"/>
      <c r="F527" s="524"/>
      <c r="G527" s="49"/>
      <c r="H527" s="44"/>
      <c r="I527" s="314"/>
      <c r="J527" s="44"/>
      <c r="K527" s="311"/>
      <c r="L527" s="232"/>
      <c r="M527" s="225"/>
      <c r="N527" s="380"/>
      <c r="O527" s="45"/>
      <c r="P527" s="311"/>
      <c r="Q527" s="149"/>
      <c r="R527" s="293"/>
      <c r="S527" s="316"/>
      <c r="T527" s="355"/>
      <c r="V527" s="111"/>
    </row>
    <row r="528" spans="2:24" s="30" customFormat="1" x14ac:dyDescent="0.25">
      <c r="B528" s="27"/>
      <c r="D528" s="81"/>
      <c r="E528" s="45"/>
      <c r="F528" s="524"/>
      <c r="G528" s="49"/>
      <c r="H528" s="44"/>
      <c r="I528" s="314"/>
      <c r="J528" s="44"/>
      <c r="K528" s="311"/>
      <c r="L528" s="232"/>
      <c r="M528" s="225"/>
      <c r="N528" s="380"/>
      <c r="O528" s="45"/>
      <c r="P528" s="311"/>
      <c r="Q528" s="149"/>
      <c r="R528" s="293"/>
      <c r="S528" s="316"/>
      <c r="T528" s="355"/>
      <c r="V528" s="111"/>
    </row>
    <row r="529" spans="2:22" s="30" customFormat="1" x14ac:dyDescent="0.25">
      <c r="B529" s="27"/>
      <c r="D529" s="81"/>
      <c r="E529" s="45"/>
      <c r="F529" s="524"/>
      <c r="G529" s="49"/>
      <c r="H529" s="44"/>
      <c r="I529" s="314"/>
      <c r="J529" s="44"/>
      <c r="K529" s="311"/>
      <c r="L529" s="232"/>
      <c r="M529" s="225"/>
      <c r="N529" s="380"/>
      <c r="O529" s="45"/>
      <c r="P529" s="311"/>
      <c r="Q529" s="149"/>
      <c r="R529" s="293"/>
      <c r="S529" s="316"/>
      <c r="T529" s="355"/>
      <c r="V529" s="111"/>
    </row>
    <row r="530" spans="2:22" s="30" customFormat="1" x14ac:dyDescent="0.25">
      <c r="B530" s="27"/>
      <c r="D530" s="81"/>
      <c r="E530" s="45"/>
      <c r="F530" s="524"/>
      <c r="G530" s="151"/>
      <c r="H530" s="44"/>
      <c r="I530" s="314"/>
      <c r="J530" s="44"/>
      <c r="K530" s="311"/>
      <c r="L530" s="232"/>
      <c r="M530" s="225"/>
      <c r="N530" s="380"/>
      <c r="O530" s="45"/>
      <c r="P530" s="311"/>
      <c r="Q530" s="149"/>
      <c r="R530" s="293"/>
      <c r="S530" s="316"/>
      <c r="T530" s="355"/>
      <c r="V530" s="111"/>
    </row>
    <row r="531" spans="2:22" s="30" customFormat="1" x14ac:dyDescent="0.25">
      <c r="B531" s="27"/>
      <c r="D531" s="81"/>
      <c r="E531" s="45"/>
      <c r="F531" s="524"/>
      <c r="G531" s="151"/>
      <c r="H531" s="44"/>
      <c r="I531" s="314"/>
      <c r="J531" s="44"/>
      <c r="K531" s="311"/>
      <c r="L531" s="232"/>
      <c r="M531" s="225"/>
      <c r="N531" s="380"/>
      <c r="O531" s="45"/>
      <c r="P531" s="311"/>
      <c r="Q531" s="149"/>
      <c r="R531" s="293"/>
      <c r="S531" s="316"/>
      <c r="T531" s="355"/>
      <c r="V531" s="111"/>
    </row>
    <row r="532" spans="2:22" s="30" customFormat="1" x14ac:dyDescent="0.25">
      <c r="B532" s="27"/>
      <c r="D532" s="81"/>
      <c r="E532" s="45"/>
      <c r="F532" s="524"/>
      <c r="G532" s="151"/>
      <c r="H532" s="44"/>
      <c r="I532" s="314"/>
      <c r="J532" s="44"/>
      <c r="K532" s="311"/>
      <c r="L532" s="232"/>
      <c r="M532" s="225"/>
      <c r="N532" s="380"/>
      <c r="O532" s="45"/>
      <c r="P532" s="311"/>
      <c r="Q532" s="149"/>
      <c r="R532" s="293"/>
      <c r="S532" s="316"/>
      <c r="T532" s="355"/>
      <c r="V532" s="111"/>
    </row>
    <row r="533" spans="2:22" s="30" customFormat="1" x14ac:dyDescent="0.25">
      <c r="B533" s="27"/>
      <c r="D533" s="81"/>
      <c r="E533" s="45"/>
      <c r="F533" s="524"/>
      <c r="G533" s="49"/>
      <c r="H533" s="44"/>
      <c r="I533" s="314"/>
      <c r="J533" s="44"/>
      <c r="K533" s="311"/>
      <c r="L533" s="232"/>
      <c r="M533" s="225"/>
      <c r="N533" s="380"/>
      <c r="O533" s="45"/>
      <c r="P533" s="311"/>
      <c r="Q533" s="149"/>
      <c r="R533" s="293"/>
      <c r="S533" s="316"/>
      <c r="T533" s="355"/>
      <c r="V533" s="111"/>
    </row>
    <row r="534" spans="2:22" s="30" customFormat="1" x14ac:dyDescent="0.25">
      <c r="B534" s="27"/>
      <c r="D534" s="81"/>
      <c r="E534" s="45"/>
      <c r="F534" s="524"/>
      <c r="G534" s="151"/>
      <c r="H534" s="44"/>
      <c r="I534" s="314"/>
      <c r="J534" s="44"/>
      <c r="K534" s="311"/>
      <c r="L534" s="232"/>
      <c r="M534" s="225"/>
      <c r="N534" s="380"/>
      <c r="O534" s="45"/>
      <c r="P534" s="311"/>
      <c r="Q534" s="149"/>
      <c r="R534" s="293"/>
      <c r="S534" s="316"/>
      <c r="T534" s="355"/>
      <c r="V534" s="111"/>
    </row>
    <row r="535" spans="2:22" s="30" customFormat="1" x14ac:dyDescent="0.25">
      <c r="B535" s="27"/>
      <c r="D535" s="81"/>
      <c r="E535" s="45"/>
      <c r="F535" s="524"/>
      <c r="G535" s="49"/>
      <c r="H535" s="44"/>
      <c r="I535" s="314"/>
      <c r="J535" s="44"/>
      <c r="K535" s="311"/>
      <c r="L535" s="232"/>
      <c r="M535" s="225"/>
      <c r="N535" s="380"/>
      <c r="O535" s="45"/>
      <c r="P535" s="311"/>
      <c r="Q535" s="149"/>
      <c r="R535" s="293"/>
      <c r="S535" s="316"/>
      <c r="T535" s="355"/>
      <c r="V535" s="111"/>
    </row>
    <row r="536" spans="2:22" s="30" customFormat="1" x14ac:dyDescent="0.25">
      <c r="B536" s="27"/>
      <c r="D536" s="81"/>
      <c r="E536" s="45"/>
      <c r="F536" s="524"/>
      <c r="G536" s="49"/>
      <c r="H536" s="44"/>
      <c r="I536" s="314"/>
      <c r="J536" s="44"/>
      <c r="K536" s="311"/>
      <c r="L536" s="232"/>
      <c r="M536" s="225"/>
      <c r="N536" s="380"/>
      <c r="O536" s="45"/>
      <c r="P536" s="311"/>
      <c r="Q536" s="149"/>
      <c r="R536" s="293"/>
      <c r="S536" s="316"/>
      <c r="T536" s="355"/>
      <c r="V536" s="111"/>
    </row>
    <row r="537" spans="2:22" s="30" customFormat="1" x14ac:dyDescent="0.25">
      <c r="B537" s="27"/>
      <c r="D537" s="81"/>
      <c r="E537" s="45"/>
      <c r="F537" s="524"/>
      <c r="G537" s="151"/>
      <c r="H537" s="44"/>
      <c r="I537" s="314"/>
      <c r="J537" s="44"/>
      <c r="K537" s="311"/>
      <c r="L537" s="232"/>
      <c r="M537" s="225"/>
      <c r="N537" s="380"/>
      <c r="O537" s="45"/>
      <c r="P537" s="311"/>
      <c r="Q537" s="149"/>
      <c r="R537" s="293"/>
      <c r="S537" s="316"/>
      <c r="T537" s="355"/>
      <c r="V537" s="111"/>
    </row>
    <row r="538" spans="2:22" s="30" customFormat="1" x14ac:dyDescent="0.25">
      <c r="B538" s="27"/>
      <c r="D538" s="81"/>
      <c r="E538" s="45"/>
      <c r="F538" s="524"/>
      <c r="G538" s="49"/>
      <c r="H538" s="44"/>
      <c r="I538" s="314"/>
      <c r="J538" s="44"/>
      <c r="K538" s="311"/>
      <c r="L538" s="232"/>
      <c r="M538" s="225"/>
      <c r="N538" s="380"/>
      <c r="O538" s="45"/>
      <c r="P538" s="311"/>
      <c r="Q538" s="149"/>
      <c r="R538" s="293"/>
      <c r="S538" s="316"/>
      <c r="T538" s="355"/>
      <c r="V538" s="111"/>
    </row>
    <row r="539" spans="2:22" s="30" customFormat="1" x14ac:dyDescent="0.25">
      <c r="B539" s="27"/>
      <c r="D539" s="81"/>
      <c r="E539" s="45"/>
      <c r="F539" s="524"/>
      <c r="G539" s="49"/>
      <c r="H539" s="44"/>
      <c r="I539" s="314"/>
      <c r="J539" s="44"/>
      <c r="K539" s="311"/>
      <c r="L539" s="232"/>
      <c r="M539" s="225"/>
      <c r="N539" s="380"/>
      <c r="O539" s="45"/>
      <c r="P539" s="311"/>
      <c r="Q539" s="149"/>
      <c r="R539" s="293"/>
      <c r="S539" s="316"/>
      <c r="T539" s="355"/>
      <c r="V539" s="111"/>
    </row>
    <row r="540" spans="2:22" s="30" customFormat="1" x14ac:dyDescent="0.25">
      <c r="B540" s="27"/>
      <c r="D540" s="81"/>
      <c r="E540" s="45"/>
      <c r="F540" s="524"/>
      <c r="G540" s="151"/>
      <c r="H540" s="44"/>
      <c r="I540" s="314"/>
      <c r="J540" s="44"/>
      <c r="K540" s="311"/>
      <c r="L540" s="232"/>
      <c r="M540" s="225"/>
      <c r="N540" s="380"/>
      <c r="O540" s="45"/>
      <c r="P540" s="311"/>
      <c r="Q540" s="149"/>
      <c r="R540" s="293"/>
      <c r="S540" s="316"/>
      <c r="T540" s="355"/>
      <c r="V540" s="111"/>
    </row>
    <row r="541" spans="2:22" s="30" customFormat="1" x14ac:dyDescent="0.25">
      <c r="B541" s="27"/>
      <c r="D541" s="81"/>
      <c r="E541" s="45"/>
      <c r="F541" s="524"/>
      <c r="G541" s="151"/>
      <c r="H541" s="44"/>
      <c r="I541" s="314"/>
      <c r="J541" s="44"/>
      <c r="K541" s="311"/>
      <c r="L541" s="232"/>
      <c r="M541" s="225"/>
      <c r="N541" s="380"/>
      <c r="O541" s="45"/>
      <c r="P541" s="311"/>
      <c r="Q541" s="149"/>
      <c r="R541" s="293"/>
      <c r="S541" s="316"/>
      <c r="T541" s="355"/>
      <c r="V541" s="111"/>
    </row>
    <row r="542" spans="2:22" s="30" customFormat="1" x14ac:dyDescent="0.25">
      <c r="B542" s="27"/>
      <c r="D542" s="81"/>
      <c r="E542" s="45"/>
      <c r="F542" s="524"/>
      <c r="G542" s="49"/>
      <c r="H542" s="44"/>
      <c r="I542" s="314"/>
      <c r="J542" s="44"/>
      <c r="K542" s="311"/>
      <c r="L542" s="232"/>
      <c r="M542" s="225"/>
      <c r="N542" s="380"/>
      <c r="O542" s="45"/>
      <c r="P542" s="311"/>
      <c r="Q542" s="149"/>
      <c r="R542" s="293"/>
      <c r="S542" s="316"/>
      <c r="T542" s="355"/>
      <c r="V542" s="111"/>
    </row>
    <row r="543" spans="2:22" s="30" customFormat="1" x14ac:dyDescent="0.25">
      <c r="B543" s="27"/>
      <c r="D543" s="81"/>
      <c r="E543" s="45"/>
      <c r="F543" s="524"/>
      <c r="G543" s="151"/>
      <c r="H543" s="44"/>
      <c r="I543" s="314"/>
      <c r="J543" s="44"/>
      <c r="K543" s="311"/>
      <c r="L543" s="232"/>
      <c r="M543" s="225"/>
      <c r="N543" s="380"/>
      <c r="O543" s="45"/>
      <c r="P543" s="311"/>
      <c r="Q543" s="149"/>
      <c r="R543" s="293"/>
      <c r="S543" s="316"/>
      <c r="T543" s="355"/>
      <c r="V543" s="111"/>
    </row>
    <row r="544" spans="2:22" s="30" customFormat="1" x14ac:dyDescent="0.25">
      <c r="B544" s="27"/>
      <c r="D544" s="81"/>
      <c r="E544" s="45"/>
      <c r="F544" s="524"/>
      <c r="G544" s="151"/>
      <c r="H544" s="44"/>
      <c r="I544" s="314"/>
      <c r="J544" s="44"/>
      <c r="K544" s="311"/>
      <c r="L544" s="232"/>
      <c r="M544" s="225"/>
      <c r="N544" s="380"/>
      <c r="O544" s="45"/>
      <c r="P544" s="311"/>
      <c r="Q544" s="149"/>
      <c r="R544" s="293"/>
      <c r="S544" s="316"/>
      <c r="T544" s="355"/>
      <c r="V544" s="111"/>
    </row>
    <row r="545" spans="2:22" s="30" customFormat="1" x14ac:dyDescent="0.25">
      <c r="B545" s="27"/>
      <c r="D545" s="81"/>
      <c r="E545" s="45"/>
      <c r="F545" s="524"/>
      <c r="G545" s="151"/>
      <c r="H545" s="44"/>
      <c r="I545" s="314"/>
      <c r="J545" s="44"/>
      <c r="K545" s="311"/>
      <c r="L545" s="232"/>
      <c r="M545" s="225"/>
      <c r="N545" s="380"/>
      <c r="O545" s="45"/>
      <c r="P545" s="311"/>
      <c r="Q545" s="149"/>
      <c r="R545" s="293"/>
      <c r="S545" s="316"/>
      <c r="T545" s="355"/>
      <c r="V545" s="111"/>
    </row>
    <row r="546" spans="2:22" s="30" customFormat="1" x14ac:dyDescent="0.25">
      <c r="B546" s="27"/>
      <c r="D546" s="81"/>
      <c r="E546" s="45"/>
      <c r="F546" s="524"/>
      <c r="G546" s="151"/>
      <c r="H546" s="44"/>
      <c r="I546" s="314"/>
      <c r="J546" s="44"/>
      <c r="K546" s="311"/>
      <c r="L546" s="232"/>
      <c r="M546" s="225"/>
      <c r="N546" s="380"/>
      <c r="O546" s="45"/>
      <c r="P546" s="311"/>
      <c r="Q546" s="149"/>
      <c r="R546" s="293"/>
      <c r="S546" s="316"/>
      <c r="T546" s="355"/>
      <c r="V546" s="111"/>
    </row>
    <row r="547" spans="2:22" s="30" customFormat="1" x14ac:dyDescent="0.25">
      <c r="B547" s="27"/>
      <c r="D547" s="81"/>
      <c r="E547" s="45"/>
      <c r="F547" s="524"/>
      <c r="G547" s="151"/>
      <c r="H547" s="44"/>
      <c r="I547" s="314"/>
      <c r="J547" s="44"/>
      <c r="K547" s="311"/>
      <c r="L547" s="232"/>
      <c r="M547" s="225"/>
      <c r="N547" s="380"/>
      <c r="O547" s="45"/>
      <c r="P547" s="311"/>
      <c r="Q547" s="149"/>
      <c r="R547" s="293"/>
      <c r="S547" s="316"/>
      <c r="T547" s="355"/>
      <c r="V547" s="111"/>
    </row>
    <row r="548" spans="2:22" s="30" customFormat="1" x14ac:dyDescent="0.25">
      <c r="B548" s="27"/>
      <c r="D548" s="81"/>
      <c r="E548" s="45"/>
      <c r="F548" s="524"/>
      <c r="G548" s="151"/>
      <c r="H548" s="44"/>
      <c r="I548" s="314"/>
      <c r="J548" s="44"/>
      <c r="K548" s="311"/>
      <c r="L548" s="232"/>
      <c r="M548" s="225"/>
      <c r="N548" s="380"/>
      <c r="O548" s="45"/>
      <c r="P548" s="311"/>
      <c r="Q548" s="149"/>
      <c r="R548" s="293"/>
      <c r="S548" s="316"/>
      <c r="T548" s="355"/>
      <c r="V548" s="111"/>
    </row>
    <row r="549" spans="2:22" s="30" customFormat="1" x14ac:dyDescent="0.25">
      <c r="B549" s="27"/>
      <c r="D549" s="81"/>
      <c r="E549" s="45"/>
      <c r="F549" s="524"/>
      <c r="G549" s="151"/>
      <c r="H549" s="44"/>
      <c r="I549" s="314"/>
      <c r="J549" s="44"/>
      <c r="K549" s="311"/>
      <c r="L549" s="232"/>
      <c r="M549" s="225"/>
      <c r="N549" s="380"/>
      <c r="O549" s="45"/>
      <c r="P549" s="311"/>
      <c r="Q549" s="149"/>
      <c r="R549" s="293"/>
      <c r="S549" s="316"/>
      <c r="T549" s="355"/>
      <c r="V549" s="111"/>
    </row>
    <row r="550" spans="2:22" s="30" customFormat="1" x14ac:dyDescent="0.25">
      <c r="B550" s="27"/>
      <c r="D550" s="81"/>
      <c r="E550" s="45"/>
      <c r="F550" s="524"/>
      <c r="G550" s="151"/>
      <c r="H550" s="44"/>
      <c r="I550" s="314"/>
      <c r="J550" s="44"/>
      <c r="K550" s="311"/>
      <c r="L550" s="232"/>
      <c r="M550" s="225"/>
      <c r="N550" s="380"/>
      <c r="O550" s="45"/>
      <c r="P550" s="311"/>
      <c r="Q550" s="149"/>
      <c r="R550" s="293"/>
      <c r="S550" s="316"/>
      <c r="T550" s="355"/>
      <c r="V550" s="111"/>
    </row>
    <row r="551" spans="2:22" s="30" customFormat="1" x14ac:dyDescent="0.25">
      <c r="B551" s="27"/>
      <c r="D551" s="81"/>
      <c r="E551" s="45"/>
      <c r="F551" s="524"/>
      <c r="G551" s="151"/>
      <c r="H551" s="44"/>
      <c r="I551" s="314"/>
      <c r="J551" s="44"/>
      <c r="K551" s="311"/>
      <c r="L551" s="232"/>
      <c r="M551" s="225"/>
      <c r="N551" s="380"/>
      <c r="O551" s="45"/>
      <c r="P551" s="311"/>
      <c r="Q551" s="149"/>
      <c r="R551" s="293"/>
      <c r="S551" s="316"/>
      <c r="T551" s="355"/>
      <c r="V551" s="111"/>
    </row>
    <row r="552" spans="2:22" s="30" customFormat="1" x14ac:dyDescent="0.25">
      <c r="B552" s="27"/>
      <c r="D552" s="81"/>
      <c r="E552" s="45"/>
      <c r="F552" s="524"/>
      <c r="G552" s="151"/>
      <c r="H552" s="44"/>
      <c r="I552" s="314"/>
      <c r="J552" s="44"/>
      <c r="K552" s="311"/>
      <c r="L552" s="232"/>
      <c r="M552" s="225"/>
      <c r="N552" s="380"/>
      <c r="O552" s="45"/>
      <c r="P552" s="311"/>
      <c r="Q552" s="149"/>
      <c r="R552" s="293"/>
      <c r="S552" s="316"/>
      <c r="T552" s="355"/>
      <c r="V552" s="111"/>
    </row>
    <row r="553" spans="2:22" s="30" customFormat="1" x14ac:dyDescent="0.25">
      <c r="B553" s="27"/>
      <c r="D553" s="81"/>
      <c r="E553" s="45"/>
      <c r="F553" s="524"/>
      <c r="G553" s="151"/>
      <c r="H553" s="44"/>
      <c r="I553" s="314"/>
      <c r="J553" s="44"/>
      <c r="K553" s="311"/>
      <c r="L553" s="232"/>
      <c r="M553" s="225"/>
      <c r="N553" s="380"/>
      <c r="O553" s="45"/>
      <c r="P553" s="311"/>
      <c r="Q553" s="149"/>
      <c r="R553" s="293"/>
      <c r="S553" s="316"/>
      <c r="T553" s="355"/>
      <c r="V553" s="111"/>
    </row>
    <row r="554" spans="2:22" s="30" customFormat="1" x14ac:dyDescent="0.25">
      <c r="B554" s="27"/>
      <c r="D554" s="81"/>
      <c r="E554" s="45"/>
      <c r="F554" s="524"/>
      <c r="G554" s="151"/>
      <c r="H554" s="44"/>
      <c r="I554" s="314"/>
      <c r="J554" s="44"/>
      <c r="K554" s="311"/>
      <c r="L554" s="232"/>
      <c r="M554" s="225"/>
      <c r="N554" s="380"/>
      <c r="O554" s="45"/>
      <c r="P554" s="311"/>
      <c r="Q554" s="149"/>
      <c r="R554" s="293"/>
      <c r="S554" s="316"/>
      <c r="T554" s="355"/>
      <c r="V554" s="111"/>
    </row>
    <row r="555" spans="2:22" s="30" customFormat="1" x14ac:dyDescent="0.25">
      <c r="B555" s="27"/>
      <c r="D555" s="81"/>
      <c r="E555" s="45"/>
      <c r="F555" s="524"/>
      <c r="G555" s="151"/>
      <c r="H555" s="44"/>
      <c r="I555" s="314"/>
      <c r="J555" s="44"/>
      <c r="K555" s="311"/>
      <c r="L555" s="232"/>
      <c r="M555" s="225"/>
      <c r="N555" s="380"/>
      <c r="O555" s="45"/>
      <c r="P555" s="311"/>
      <c r="Q555" s="149"/>
      <c r="R555" s="293"/>
      <c r="S555" s="316"/>
      <c r="T555" s="355"/>
      <c r="V555" s="111"/>
    </row>
    <row r="556" spans="2:22" s="30" customFormat="1" x14ac:dyDescent="0.25">
      <c r="B556" s="27"/>
      <c r="D556" s="81"/>
      <c r="E556" s="45"/>
      <c r="F556" s="524"/>
      <c r="G556" s="151"/>
      <c r="H556" s="44"/>
      <c r="I556" s="314"/>
      <c r="J556" s="44"/>
      <c r="K556" s="311"/>
      <c r="L556" s="232"/>
      <c r="M556" s="225"/>
      <c r="N556" s="380"/>
      <c r="O556" s="45"/>
      <c r="P556" s="311"/>
      <c r="Q556" s="149"/>
      <c r="R556" s="293"/>
      <c r="S556" s="316"/>
      <c r="T556" s="355"/>
      <c r="V556" s="111"/>
    </row>
    <row r="557" spans="2:22" s="30" customFormat="1" x14ac:dyDescent="0.25">
      <c r="B557" s="27"/>
      <c r="D557" s="81"/>
      <c r="E557" s="45"/>
      <c r="F557" s="524"/>
      <c r="G557" s="151"/>
      <c r="H557" s="44"/>
      <c r="I557" s="314"/>
      <c r="J557" s="44"/>
      <c r="K557" s="311"/>
      <c r="L557" s="232"/>
      <c r="M557" s="225"/>
      <c r="N557" s="380"/>
      <c r="O557" s="45"/>
      <c r="P557" s="311"/>
      <c r="Q557" s="149"/>
      <c r="R557" s="293"/>
      <c r="S557" s="316"/>
      <c r="T557" s="355"/>
      <c r="V557" s="111"/>
    </row>
    <row r="558" spans="2:22" s="30" customFormat="1" x14ac:dyDescent="0.25">
      <c r="B558" s="27"/>
      <c r="D558" s="81"/>
      <c r="E558" s="45"/>
      <c r="F558" s="524"/>
      <c r="G558" s="151"/>
      <c r="H558" s="44"/>
      <c r="I558" s="314"/>
      <c r="J558" s="44"/>
      <c r="K558" s="311"/>
      <c r="L558" s="232"/>
      <c r="M558" s="225"/>
      <c r="N558" s="380"/>
      <c r="O558" s="45"/>
      <c r="P558" s="311"/>
      <c r="Q558" s="149"/>
      <c r="R558" s="293"/>
      <c r="S558" s="316"/>
      <c r="T558" s="355"/>
      <c r="V558" s="111"/>
    </row>
    <row r="559" spans="2:22" s="30" customFormat="1" x14ac:dyDescent="0.25">
      <c r="B559" s="27"/>
      <c r="D559" s="81"/>
      <c r="E559" s="45"/>
      <c r="F559" s="524"/>
      <c r="G559" s="151"/>
      <c r="H559" s="44"/>
      <c r="I559" s="314"/>
      <c r="J559" s="44"/>
      <c r="K559" s="311"/>
      <c r="L559" s="232"/>
      <c r="M559" s="225"/>
      <c r="N559" s="380"/>
      <c r="O559" s="45"/>
      <c r="P559" s="311"/>
      <c r="Q559" s="149"/>
      <c r="R559" s="293"/>
      <c r="S559" s="316"/>
      <c r="T559" s="355"/>
      <c r="V559" s="111"/>
    </row>
    <row r="560" spans="2:22" s="30" customFormat="1" x14ac:dyDescent="0.25">
      <c r="B560" s="27"/>
      <c r="D560" s="81"/>
      <c r="E560" s="45"/>
      <c r="F560" s="524"/>
      <c r="G560" s="49"/>
      <c r="H560" s="44"/>
      <c r="I560" s="314"/>
      <c r="J560" s="44"/>
      <c r="K560" s="311"/>
      <c r="L560" s="232"/>
      <c r="M560" s="225"/>
      <c r="N560" s="380"/>
      <c r="O560" s="45"/>
      <c r="P560" s="311"/>
      <c r="Q560" s="149"/>
      <c r="R560" s="293"/>
      <c r="S560" s="316"/>
      <c r="T560" s="355"/>
      <c r="V560" s="111"/>
    </row>
    <row r="561" spans="2:22" s="30" customFormat="1" x14ac:dyDescent="0.25">
      <c r="B561" s="27"/>
      <c r="D561" s="81"/>
      <c r="E561" s="45"/>
      <c r="F561" s="524"/>
      <c r="G561" s="49"/>
      <c r="H561" s="44"/>
      <c r="I561" s="314"/>
      <c r="J561" s="44"/>
      <c r="K561" s="311"/>
      <c r="L561" s="232"/>
      <c r="M561" s="225"/>
      <c r="N561" s="380"/>
      <c r="O561" s="45"/>
      <c r="P561" s="311"/>
      <c r="Q561" s="149"/>
      <c r="R561" s="293"/>
      <c r="S561" s="316"/>
      <c r="T561" s="355"/>
      <c r="V561" s="111"/>
    </row>
    <row r="562" spans="2:22" s="30" customFormat="1" x14ac:dyDescent="0.25">
      <c r="B562" s="27"/>
      <c r="D562" s="81"/>
      <c r="E562" s="45"/>
      <c r="F562" s="524"/>
      <c r="G562" s="49"/>
      <c r="H562" s="45"/>
      <c r="I562" s="314"/>
      <c r="J562" s="44"/>
      <c r="K562" s="311"/>
      <c r="L562" s="232"/>
      <c r="M562" s="225"/>
      <c r="N562" s="380"/>
      <c r="O562" s="45"/>
      <c r="P562" s="311"/>
      <c r="Q562" s="149"/>
      <c r="R562" s="293"/>
      <c r="S562" s="316"/>
      <c r="T562" s="355"/>
      <c r="V562" s="111"/>
    </row>
    <row r="563" spans="2:22" s="30" customFormat="1" x14ac:dyDescent="0.25">
      <c r="B563" s="27"/>
      <c r="D563" s="81"/>
      <c r="E563" s="45"/>
      <c r="F563" s="524"/>
      <c r="G563" s="49"/>
      <c r="H563" s="45"/>
      <c r="I563" s="314"/>
      <c r="J563" s="44"/>
      <c r="K563" s="311"/>
      <c r="L563" s="232"/>
      <c r="M563" s="225"/>
      <c r="N563" s="380"/>
      <c r="O563" s="45"/>
      <c r="P563" s="311"/>
      <c r="Q563" s="149"/>
      <c r="R563" s="293"/>
      <c r="S563" s="316"/>
      <c r="T563" s="355"/>
      <c r="V563" s="111"/>
    </row>
    <row r="564" spans="2:22" s="30" customFormat="1" x14ac:dyDescent="0.25">
      <c r="B564" s="27"/>
      <c r="D564" s="81"/>
      <c r="E564" s="45"/>
      <c r="F564" s="524"/>
      <c r="G564" s="49"/>
      <c r="H564" s="45"/>
      <c r="I564" s="314"/>
      <c r="J564" s="44"/>
      <c r="K564" s="311"/>
      <c r="L564" s="232"/>
      <c r="M564" s="225"/>
      <c r="N564" s="380"/>
      <c r="O564" s="45"/>
      <c r="P564" s="311"/>
      <c r="Q564" s="149"/>
      <c r="R564" s="293"/>
      <c r="S564" s="316"/>
      <c r="T564" s="355"/>
      <c r="V564" s="111"/>
    </row>
    <row r="565" spans="2:22" s="30" customFormat="1" x14ac:dyDescent="0.25">
      <c r="B565" s="27"/>
      <c r="D565" s="81"/>
      <c r="E565" s="45"/>
      <c r="F565" s="524"/>
      <c r="G565" s="49"/>
      <c r="H565" s="45"/>
      <c r="I565" s="314"/>
      <c r="J565" s="44"/>
      <c r="K565" s="311"/>
      <c r="L565" s="232"/>
      <c r="M565" s="225"/>
      <c r="N565" s="380"/>
      <c r="O565" s="45"/>
      <c r="P565" s="311"/>
      <c r="Q565" s="149"/>
      <c r="R565" s="293"/>
      <c r="S565" s="316"/>
      <c r="T565" s="355"/>
      <c r="V565" s="111"/>
    </row>
    <row r="566" spans="2:22" s="30" customFormat="1" x14ac:dyDescent="0.25">
      <c r="B566" s="27"/>
      <c r="D566" s="81"/>
      <c r="E566" s="45"/>
      <c r="F566" s="524"/>
      <c r="G566" s="49"/>
      <c r="H566" s="45"/>
      <c r="I566" s="314"/>
      <c r="J566" s="44"/>
      <c r="K566" s="311"/>
      <c r="L566" s="232"/>
      <c r="M566" s="225"/>
      <c r="N566" s="380"/>
      <c r="O566" s="45"/>
      <c r="P566" s="311"/>
      <c r="Q566" s="149"/>
      <c r="R566" s="293"/>
      <c r="S566" s="316"/>
      <c r="T566" s="355"/>
      <c r="V566" s="111"/>
    </row>
    <row r="567" spans="2:22" s="30" customFormat="1" x14ac:dyDescent="0.25">
      <c r="B567" s="27"/>
      <c r="D567" s="81"/>
      <c r="E567" s="45"/>
      <c r="F567" s="524"/>
      <c r="G567" s="49"/>
      <c r="H567" s="45"/>
      <c r="I567" s="314"/>
      <c r="J567" s="44"/>
      <c r="K567" s="311"/>
      <c r="L567" s="232"/>
      <c r="M567" s="225"/>
      <c r="N567" s="380"/>
      <c r="O567" s="45"/>
      <c r="P567" s="311"/>
      <c r="Q567" s="149"/>
      <c r="R567" s="293"/>
      <c r="S567" s="316"/>
      <c r="T567" s="355"/>
      <c r="V567" s="111"/>
    </row>
    <row r="568" spans="2:22" s="30" customFormat="1" x14ac:dyDescent="0.25">
      <c r="B568" s="27"/>
      <c r="D568" s="81"/>
      <c r="E568" s="45"/>
      <c r="F568" s="524"/>
      <c r="G568" s="49"/>
      <c r="H568" s="45"/>
      <c r="I568" s="314"/>
      <c r="J568" s="44"/>
      <c r="K568" s="311"/>
      <c r="L568" s="232"/>
      <c r="M568" s="225"/>
      <c r="N568" s="380"/>
      <c r="O568" s="45"/>
      <c r="P568" s="311"/>
      <c r="Q568" s="149"/>
      <c r="R568" s="293"/>
      <c r="S568" s="316"/>
      <c r="T568" s="355"/>
      <c r="V568" s="111"/>
    </row>
    <row r="569" spans="2:22" s="30" customFormat="1" x14ac:dyDescent="0.25">
      <c r="B569" s="27"/>
      <c r="D569" s="81"/>
      <c r="E569" s="45"/>
      <c r="F569" s="524"/>
      <c r="G569" s="49"/>
      <c r="H569" s="45"/>
      <c r="I569" s="314"/>
      <c r="J569" s="44"/>
      <c r="K569" s="311"/>
      <c r="L569" s="232"/>
      <c r="M569" s="225"/>
      <c r="N569" s="380"/>
      <c r="O569" s="45"/>
      <c r="P569" s="311"/>
      <c r="Q569" s="149"/>
      <c r="R569" s="293"/>
      <c r="S569" s="316"/>
      <c r="T569" s="355"/>
      <c r="V569" s="111"/>
    </row>
    <row r="570" spans="2:22" s="30" customFormat="1" x14ac:dyDescent="0.25">
      <c r="B570" s="27"/>
      <c r="D570" s="81"/>
      <c r="E570" s="45"/>
      <c r="F570" s="524"/>
      <c r="G570" s="49"/>
      <c r="H570" s="45"/>
      <c r="I570" s="314"/>
      <c r="J570" s="44"/>
      <c r="K570" s="311"/>
      <c r="L570" s="232"/>
      <c r="M570" s="225"/>
      <c r="N570" s="380"/>
      <c r="O570" s="45"/>
      <c r="P570" s="311"/>
      <c r="Q570" s="149"/>
      <c r="R570" s="293"/>
      <c r="S570" s="316"/>
      <c r="T570" s="355"/>
      <c r="V570" s="111"/>
    </row>
    <row r="571" spans="2:22" s="30" customFormat="1" x14ac:dyDescent="0.25">
      <c r="B571" s="27"/>
      <c r="D571" s="81"/>
      <c r="E571" s="45"/>
      <c r="F571" s="524"/>
      <c r="G571" s="49"/>
      <c r="H571" s="45"/>
      <c r="I571" s="314"/>
      <c r="J571" s="44"/>
      <c r="K571" s="311"/>
      <c r="L571" s="232"/>
      <c r="M571" s="225"/>
      <c r="N571" s="380"/>
      <c r="O571" s="45"/>
      <c r="P571" s="311"/>
      <c r="Q571" s="149"/>
      <c r="R571" s="293"/>
      <c r="S571" s="316"/>
      <c r="T571" s="355"/>
      <c r="V571" s="111"/>
    </row>
    <row r="572" spans="2:22" s="30" customFormat="1" x14ac:dyDescent="0.25">
      <c r="B572" s="27"/>
      <c r="D572" s="81"/>
      <c r="E572" s="45"/>
      <c r="F572" s="524"/>
      <c r="G572" s="49"/>
      <c r="H572" s="45"/>
      <c r="I572" s="314"/>
      <c r="J572" s="44"/>
      <c r="K572" s="311"/>
      <c r="L572" s="232"/>
      <c r="M572" s="225"/>
      <c r="N572" s="380"/>
      <c r="O572" s="45"/>
      <c r="P572" s="311"/>
      <c r="Q572" s="149"/>
      <c r="R572" s="293"/>
      <c r="S572" s="316"/>
      <c r="T572" s="355"/>
      <c r="V572" s="111"/>
    </row>
    <row r="573" spans="2:22" s="30" customFormat="1" x14ac:dyDescent="0.25">
      <c r="B573" s="27"/>
      <c r="D573" s="81"/>
      <c r="E573" s="45"/>
      <c r="F573" s="524"/>
      <c r="G573" s="49"/>
      <c r="H573" s="45"/>
      <c r="I573" s="314"/>
      <c r="J573" s="44"/>
      <c r="K573" s="311"/>
      <c r="L573" s="232"/>
      <c r="M573" s="225"/>
      <c r="N573" s="380"/>
      <c r="O573" s="45"/>
      <c r="P573" s="311"/>
      <c r="Q573" s="149"/>
      <c r="R573" s="293"/>
      <c r="S573" s="316"/>
      <c r="T573" s="355"/>
      <c r="V573" s="111"/>
    </row>
    <row r="574" spans="2:22" s="30" customFormat="1" x14ac:dyDescent="0.25">
      <c r="B574" s="27"/>
      <c r="D574" s="81"/>
      <c r="E574" s="45"/>
      <c r="F574" s="524"/>
      <c r="G574" s="49"/>
      <c r="H574" s="45"/>
      <c r="I574" s="314"/>
      <c r="J574" s="44"/>
      <c r="K574" s="311"/>
      <c r="L574" s="232"/>
      <c r="M574" s="225"/>
      <c r="N574" s="380"/>
      <c r="O574" s="45"/>
      <c r="P574" s="311"/>
      <c r="Q574" s="149"/>
      <c r="R574" s="293"/>
      <c r="S574" s="316"/>
      <c r="T574" s="355"/>
      <c r="V574" s="111"/>
    </row>
    <row r="575" spans="2:22" s="30" customFormat="1" x14ac:dyDescent="0.25">
      <c r="B575" s="27"/>
      <c r="D575" s="81"/>
      <c r="E575" s="45"/>
      <c r="F575" s="524"/>
      <c r="G575" s="49"/>
      <c r="H575" s="45"/>
      <c r="I575" s="314"/>
      <c r="J575" s="44"/>
      <c r="K575" s="311"/>
      <c r="L575" s="232"/>
      <c r="M575" s="225"/>
      <c r="N575" s="380"/>
      <c r="O575" s="45"/>
      <c r="P575" s="311"/>
      <c r="Q575" s="149"/>
      <c r="R575" s="293"/>
      <c r="S575" s="316"/>
      <c r="T575" s="355"/>
      <c r="V575" s="111"/>
    </row>
    <row r="576" spans="2:22" s="30" customFormat="1" x14ac:dyDescent="0.25">
      <c r="B576" s="27"/>
      <c r="D576" s="81"/>
      <c r="E576" s="45"/>
      <c r="F576" s="524"/>
      <c r="G576" s="49"/>
      <c r="H576" s="45"/>
      <c r="I576" s="314"/>
      <c r="J576" s="44"/>
      <c r="K576" s="311"/>
      <c r="L576" s="232"/>
      <c r="M576" s="225"/>
      <c r="N576" s="380"/>
      <c r="O576" s="45"/>
      <c r="P576" s="311"/>
      <c r="Q576" s="149"/>
      <c r="R576" s="293"/>
      <c r="S576" s="316"/>
      <c r="T576" s="355"/>
      <c r="V576" s="111"/>
    </row>
    <row r="577" spans="2:22" s="30" customFormat="1" x14ac:dyDescent="0.25">
      <c r="B577" s="27"/>
      <c r="D577" s="81"/>
      <c r="E577" s="45"/>
      <c r="F577" s="524"/>
      <c r="G577" s="49"/>
      <c r="H577" s="45"/>
      <c r="I577" s="314"/>
      <c r="J577" s="44"/>
      <c r="K577" s="311"/>
      <c r="L577" s="232"/>
      <c r="M577" s="225"/>
      <c r="N577" s="380"/>
      <c r="O577" s="45"/>
      <c r="P577" s="311"/>
      <c r="Q577" s="149"/>
      <c r="R577" s="293"/>
      <c r="S577" s="316"/>
      <c r="T577" s="355"/>
      <c r="V577" s="111"/>
    </row>
    <row r="578" spans="2:22" s="30" customFormat="1" x14ac:dyDescent="0.25">
      <c r="B578" s="27"/>
      <c r="D578" s="81"/>
      <c r="E578" s="45"/>
      <c r="F578" s="524"/>
      <c r="G578" s="49"/>
      <c r="H578" s="45"/>
      <c r="I578" s="314"/>
      <c r="J578" s="44"/>
      <c r="K578" s="311"/>
      <c r="L578" s="232"/>
      <c r="M578" s="225"/>
      <c r="N578" s="380"/>
      <c r="O578" s="45"/>
      <c r="P578" s="311"/>
      <c r="Q578" s="149"/>
      <c r="R578" s="293"/>
      <c r="S578" s="316"/>
      <c r="T578" s="355"/>
      <c r="V578" s="111"/>
    </row>
    <row r="579" spans="2:22" s="30" customFormat="1" x14ac:dyDescent="0.25">
      <c r="B579" s="27"/>
      <c r="D579" s="81"/>
      <c r="E579" s="45"/>
      <c r="F579" s="524"/>
      <c r="G579" s="49"/>
      <c r="H579" s="45"/>
      <c r="I579" s="314"/>
      <c r="J579" s="44"/>
      <c r="K579" s="311"/>
      <c r="L579" s="232"/>
      <c r="M579" s="225"/>
      <c r="N579" s="380"/>
      <c r="O579" s="45"/>
      <c r="P579" s="311"/>
      <c r="Q579" s="149"/>
      <c r="R579" s="293"/>
      <c r="S579" s="316"/>
      <c r="T579" s="355"/>
      <c r="V579" s="111"/>
    </row>
    <row r="580" spans="2:22" s="30" customFormat="1" x14ac:dyDescent="0.25">
      <c r="B580" s="27"/>
      <c r="D580" s="81"/>
      <c r="E580" s="45"/>
      <c r="F580" s="524"/>
      <c r="G580" s="49"/>
      <c r="H580" s="45"/>
      <c r="I580" s="314"/>
      <c r="J580" s="44"/>
      <c r="K580" s="311"/>
      <c r="L580" s="232"/>
      <c r="M580" s="225"/>
      <c r="N580" s="380"/>
      <c r="O580" s="45"/>
      <c r="P580" s="311"/>
      <c r="Q580" s="149"/>
      <c r="R580" s="293"/>
      <c r="S580" s="316"/>
      <c r="T580" s="355"/>
      <c r="V580" s="111"/>
    </row>
    <row r="581" spans="2:22" s="30" customFormat="1" x14ac:dyDescent="0.25">
      <c r="B581" s="27"/>
      <c r="D581" s="81"/>
      <c r="E581" s="45"/>
      <c r="F581" s="524"/>
      <c r="G581" s="49"/>
      <c r="H581" s="45"/>
      <c r="I581" s="314"/>
      <c r="J581" s="44"/>
      <c r="K581" s="311"/>
      <c r="L581" s="232"/>
      <c r="M581" s="225"/>
      <c r="N581" s="380"/>
      <c r="O581" s="45"/>
      <c r="P581" s="311"/>
      <c r="Q581" s="149"/>
      <c r="R581" s="293"/>
      <c r="S581" s="316"/>
      <c r="T581" s="355"/>
      <c r="V581" s="111"/>
    </row>
    <row r="582" spans="2:22" s="30" customFormat="1" x14ac:dyDescent="0.25">
      <c r="B582" s="27"/>
      <c r="D582" s="81"/>
      <c r="E582" s="45"/>
      <c r="F582" s="524"/>
      <c r="G582" s="49"/>
      <c r="H582" s="45"/>
      <c r="I582" s="314"/>
      <c r="J582" s="44"/>
      <c r="K582" s="311"/>
      <c r="L582" s="232"/>
      <c r="M582" s="225"/>
      <c r="N582" s="380"/>
      <c r="O582" s="45"/>
      <c r="P582" s="311"/>
      <c r="Q582" s="149"/>
      <c r="R582" s="293"/>
      <c r="S582" s="316"/>
      <c r="T582" s="355"/>
      <c r="V582" s="111"/>
    </row>
    <row r="583" spans="2:22" s="30" customFormat="1" x14ac:dyDescent="0.25">
      <c r="B583" s="27"/>
      <c r="D583" s="81"/>
      <c r="E583" s="45"/>
      <c r="F583" s="524"/>
      <c r="G583" s="49"/>
      <c r="H583" s="45"/>
      <c r="I583" s="314"/>
      <c r="J583" s="44"/>
      <c r="K583" s="311"/>
      <c r="L583" s="232"/>
      <c r="M583" s="225"/>
      <c r="N583" s="380"/>
      <c r="O583" s="45"/>
      <c r="P583" s="311"/>
      <c r="Q583" s="149"/>
      <c r="R583" s="293"/>
      <c r="S583" s="316"/>
      <c r="T583" s="355"/>
      <c r="V583" s="111"/>
    </row>
    <row r="584" spans="2:22" s="30" customFormat="1" x14ac:dyDescent="0.25">
      <c r="B584" s="27"/>
      <c r="D584" s="81"/>
      <c r="E584" s="45"/>
      <c r="F584" s="524"/>
      <c r="G584" s="49"/>
      <c r="H584" s="45"/>
      <c r="I584" s="314"/>
      <c r="J584" s="44"/>
      <c r="K584" s="311"/>
      <c r="L584" s="232"/>
      <c r="M584" s="225"/>
      <c r="N584" s="380"/>
      <c r="O584" s="45"/>
      <c r="P584" s="311"/>
      <c r="Q584" s="149"/>
      <c r="R584" s="293"/>
      <c r="S584" s="316"/>
      <c r="T584" s="355"/>
      <c r="V584" s="111"/>
    </row>
    <row r="585" spans="2:22" s="30" customFormat="1" x14ac:dyDescent="0.25">
      <c r="B585" s="27"/>
      <c r="D585" s="81"/>
      <c r="E585" s="45"/>
      <c r="F585" s="524"/>
      <c r="G585" s="49"/>
      <c r="H585" s="45"/>
      <c r="I585" s="314"/>
      <c r="J585" s="44"/>
      <c r="K585" s="311"/>
      <c r="L585" s="232"/>
      <c r="M585" s="225"/>
      <c r="N585" s="380"/>
      <c r="O585" s="45"/>
      <c r="P585" s="311"/>
      <c r="Q585" s="149"/>
      <c r="R585" s="293"/>
      <c r="S585" s="316"/>
      <c r="T585" s="355"/>
      <c r="V585" s="111"/>
    </row>
    <row r="586" spans="2:22" s="30" customFormat="1" x14ac:dyDescent="0.25">
      <c r="B586" s="27"/>
      <c r="D586" s="81"/>
      <c r="E586" s="45"/>
      <c r="F586" s="524"/>
      <c r="G586" s="49"/>
      <c r="H586" s="45"/>
      <c r="I586" s="314"/>
      <c r="J586" s="44"/>
      <c r="K586" s="311"/>
      <c r="L586" s="232"/>
      <c r="M586" s="225"/>
      <c r="N586" s="380"/>
      <c r="O586" s="45"/>
      <c r="P586" s="311"/>
      <c r="Q586" s="149"/>
      <c r="R586" s="293"/>
      <c r="S586" s="316"/>
      <c r="T586" s="355"/>
      <c r="V586" s="111"/>
    </row>
    <row r="587" spans="2:22" s="30" customFormat="1" x14ac:dyDescent="0.25">
      <c r="B587" s="27"/>
      <c r="D587" s="81"/>
      <c r="E587" s="45"/>
      <c r="F587" s="524"/>
      <c r="G587" s="49"/>
      <c r="H587" s="45"/>
      <c r="I587" s="314"/>
      <c r="J587" s="44"/>
      <c r="K587" s="311"/>
      <c r="L587" s="232"/>
      <c r="M587" s="225"/>
      <c r="N587" s="380"/>
      <c r="O587" s="45"/>
      <c r="P587" s="311"/>
      <c r="Q587" s="149"/>
      <c r="R587" s="293"/>
      <c r="S587" s="316"/>
      <c r="T587" s="355"/>
      <c r="V587" s="111"/>
    </row>
    <row r="588" spans="2:22" s="30" customFormat="1" x14ac:dyDescent="0.25">
      <c r="B588" s="27"/>
      <c r="D588" s="81"/>
      <c r="E588" s="45"/>
      <c r="F588" s="524"/>
      <c r="G588" s="49"/>
      <c r="H588" s="45"/>
      <c r="I588" s="314"/>
      <c r="J588" s="44"/>
      <c r="K588" s="311"/>
      <c r="L588" s="232"/>
      <c r="M588" s="225"/>
      <c r="N588" s="380"/>
      <c r="O588" s="45"/>
      <c r="P588" s="311"/>
      <c r="Q588" s="149"/>
      <c r="R588" s="293"/>
      <c r="S588" s="316"/>
      <c r="T588" s="355"/>
      <c r="V588" s="111"/>
    </row>
    <row r="589" spans="2:22" s="30" customFormat="1" x14ac:dyDescent="0.25">
      <c r="B589" s="27"/>
      <c r="D589" s="81"/>
      <c r="E589" s="45"/>
      <c r="F589" s="524"/>
      <c r="G589" s="49"/>
      <c r="H589" s="45"/>
      <c r="I589" s="314"/>
      <c r="J589" s="44"/>
      <c r="K589" s="311"/>
      <c r="L589" s="232"/>
      <c r="M589" s="225"/>
      <c r="N589" s="380"/>
      <c r="O589" s="45"/>
      <c r="P589" s="311"/>
      <c r="Q589" s="149"/>
      <c r="R589" s="293"/>
      <c r="S589" s="316"/>
      <c r="T589" s="355"/>
      <c r="V589" s="111"/>
    </row>
    <row r="590" spans="2:22" s="30" customFormat="1" x14ac:dyDescent="0.25">
      <c r="B590" s="27"/>
      <c r="D590" s="81"/>
      <c r="E590" s="45"/>
      <c r="F590" s="524"/>
      <c r="G590" s="49"/>
      <c r="H590" s="45"/>
      <c r="I590" s="314"/>
      <c r="J590" s="44"/>
      <c r="K590" s="311"/>
      <c r="L590" s="232"/>
      <c r="M590" s="225"/>
      <c r="N590" s="380"/>
      <c r="O590" s="45"/>
      <c r="P590" s="311"/>
      <c r="Q590" s="149"/>
      <c r="R590" s="293"/>
      <c r="S590" s="316"/>
      <c r="T590" s="355"/>
      <c r="V590" s="111"/>
    </row>
    <row r="591" spans="2:22" s="30" customFormat="1" x14ac:dyDescent="0.25">
      <c r="B591" s="27"/>
      <c r="D591" s="81"/>
      <c r="E591" s="45"/>
      <c r="F591" s="524"/>
      <c r="G591" s="49"/>
      <c r="H591" s="45"/>
      <c r="I591" s="314"/>
      <c r="J591" s="44"/>
      <c r="K591" s="311"/>
      <c r="L591" s="232"/>
      <c r="M591" s="225"/>
      <c r="N591" s="380"/>
      <c r="O591" s="45"/>
      <c r="P591" s="311"/>
      <c r="Q591" s="149"/>
      <c r="R591" s="293"/>
      <c r="S591" s="316"/>
      <c r="T591" s="355"/>
      <c r="V591" s="111"/>
    </row>
    <row r="592" spans="2:22" s="30" customFormat="1" x14ac:dyDescent="0.25">
      <c r="B592" s="27"/>
      <c r="D592" s="81"/>
      <c r="E592" s="45"/>
      <c r="F592" s="524"/>
      <c r="G592" s="49"/>
      <c r="H592" s="45"/>
      <c r="I592" s="314"/>
      <c r="J592" s="44"/>
      <c r="K592" s="311"/>
      <c r="L592" s="232"/>
      <c r="M592" s="225"/>
      <c r="N592" s="380"/>
      <c r="O592" s="45"/>
      <c r="P592" s="311"/>
      <c r="Q592" s="149"/>
      <c r="R592" s="293"/>
      <c r="S592" s="316"/>
      <c r="T592" s="355"/>
      <c r="V592" s="111"/>
    </row>
    <row r="593" spans="2:22" s="30" customFormat="1" x14ac:dyDescent="0.25">
      <c r="B593" s="27"/>
      <c r="D593" s="81"/>
      <c r="E593" s="45"/>
      <c r="F593" s="524"/>
      <c r="G593" s="49"/>
      <c r="H593" s="45"/>
      <c r="I593" s="314"/>
      <c r="J593" s="44"/>
      <c r="K593" s="311"/>
      <c r="L593" s="232"/>
      <c r="M593" s="225"/>
      <c r="N593" s="380"/>
      <c r="O593" s="45"/>
      <c r="P593" s="311"/>
      <c r="Q593" s="149"/>
      <c r="R593" s="293"/>
      <c r="S593" s="316"/>
      <c r="T593" s="355"/>
      <c r="V593" s="111"/>
    </row>
    <row r="594" spans="2:22" s="30" customFormat="1" x14ac:dyDescent="0.25">
      <c r="B594" s="27"/>
      <c r="D594" s="81"/>
      <c r="E594" s="45"/>
      <c r="F594" s="524"/>
      <c r="G594" s="49"/>
      <c r="H594" s="45"/>
      <c r="I594" s="314"/>
      <c r="J594" s="44"/>
      <c r="K594" s="311"/>
      <c r="L594" s="232"/>
      <c r="M594" s="225"/>
      <c r="N594" s="380"/>
      <c r="O594" s="45"/>
      <c r="P594" s="311"/>
      <c r="Q594" s="149"/>
      <c r="R594" s="293"/>
      <c r="S594" s="316"/>
      <c r="T594" s="355"/>
      <c r="V594" s="111"/>
    </row>
    <row r="595" spans="2:22" s="30" customFormat="1" x14ac:dyDescent="0.25">
      <c r="B595" s="27"/>
      <c r="D595" s="81"/>
      <c r="E595" s="45"/>
      <c r="F595" s="524"/>
      <c r="G595" s="49"/>
      <c r="H595" s="45"/>
      <c r="I595" s="314"/>
      <c r="J595" s="44"/>
      <c r="K595" s="311"/>
      <c r="L595" s="232"/>
      <c r="M595" s="225"/>
      <c r="N595" s="380"/>
      <c r="O595" s="45"/>
      <c r="P595" s="311"/>
      <c r="Q595" s="149"/>
      <c r="R595" s="293"/>
      <c r="S595" s="316"/>
      <c r="T595" s="355"/>
      <c r="V595" s="111"/>
    </row>
    <row r="596" spans="2:22" s="30" customFormat="1" x14ac:dyDescent="0.25">
      <c r="B596" s="27"/>
      <c r="D596" s="81"/>
      <c r="E596" s="45"/>
      <c r="F596" s="524"/>
      <c r="G596" s="49"/>
      <c r="H596" s="45"/>
      <c r="I596" s="314"/>
      <c r="J596" s="44"/>
      <c r="K596" s="311"/>
      <c r="L596" s="232"/>
      <c r="M596" s="225"/>
      <c r="N596" s="380"/>
      <c r="O596" s="45"/>
      <c r="P596" s="311"/>
      <c r="Q596" s="149"/>
      <c r="R596" s="293"/>
      <c r="S596" s="316"/>
      <c r="T596" s="355"/>
      <c r="V596" s="111"/>
    </row>
    <row r="597" spans="2:22" s="30" customFormat="1" x14ac:dyDescent="0.25">
      <c r="B597" s="27"/>
      <c r="D597" s="81"/>
      <c r="E597" s="45"/>
      <c r="F597" s="524"/>
      <c r="G597" s="49"/>
      <c r="H597" s="45"/>
      <c r="I597" s="314"/>
      <c r="J597" s="44"/>
      <c r="K597" s="311"/>
      <c r="L597" s="232"/>
      <c r="M597" s="225"/>
      <c r="N597" s="380"/>
      <c r="O597" s="45"/>
      <c r="P597" s="311"/>
      <c r="Q597" s="149"/>
      <c r="R597" s="293"/>
      <c r="S597" s="316"/>
      <c r="T597" s="355"/>
      <c r="V597" s="111"/>
    </row>
    <row r="598" spans="2:22" s="30" customFormat="1" x14ac:dyDescent="0.25">
      <c r="B598" s="27"/>
      <c r="D598" s="81"/>
      <c r="E598" s="45"/>
      <c r="F598" s="524"/>
      <c r="G598" s="49"/>
      <c r="H598" s="45"/>
      <c r="I598" s="314"/>
      <c r="J598" s="44"/>
      <c r="K598" s="311"/>
      <c r="L598" s="232"/>
      <c r="M598" s="225"/>
      <c r="N598" s="380"/>
      <c r="O598" s="45"/>
      <c r="P598" s="311"/>
      <c r="Q598" s="149"/>
      <c r="R598" s="293"/>
      <c r="S598" s="316"/>
      <c r="T598" s="355"/>
      <c r="V598" s="111"/>
    </row>
    <row r="599" spans="2:22" s="30" customFormat="1" x14ac:dyDescent="0.25">
      <c r="B599" s="27"/>
      <c r="D599" s="81"/>
      <c r="E599" s="45"/>
      <c r="F599" s="524"/>
      <c r="G599" s="49"/>
      <c r="H599" s="45"/>
      <c r="I599" s="314"/>
      <c r="J599" s="44"/>
      <c r="K599" s="311"/>
      <c r="L599" s="232"/>
      <c r="M599" s="225"/>
      <c r="N599" s="380"/>
      <c r="O599" s="45"/>
      <c r="P599" s="311"/>
      <c r="Q599" s="149"/>
      <c r="R599" s="293"/>
      <c r="S599" s="316"/>
      <c r="T599" s="355"/>
      <c r="V599" s="111"/>
    </row>
    <row r="600" spans="2:22" s="30" customFormat="1" x14ac:dyDescent="0.25">
      <c r="B600" s="27"/>
      <c r="D600" s="81"/>
      <c r="E600" s="45"/>
      <c r="F600" s="524"/>
      <c r="G600" s="49"/>
      <c r="H600" s="45"/>
      <c r="I600" s="314"/>
      <c r="J600" s="44"/>
      <c r="K600" s="311"/>
      <c r="L600" s="232"/>
      <c r="M600" s="225"/>
      <c r="N600" s="380"/>
      <c r="O600" s="45"/>
      <c r="P600" s="311"/>
      <c r="Q600" s="149"/>
      <c r="R600" s="293"/>
      <c r="S600" s="316"/>
      <c r="T600" s="355"/>
      <c r="V600" s="111"/>
    </row>
    <row r="601" spans="2:22" s="30" customFormat="1" x14ac:dyDescent="0.25">
      <c r="B601" s="27"/>
      <c r="D601" s="81"/>
      <c r="E601" s="45"/>
      <c r="F601" s="524"/>
      <c r="G601" s="49"/>
      <c r="H601" s="45"/>
      <c r="I601" s="314"/>
      <c r="J601" s="44"/>
      <c r="K601" s="311"/>
      <c r="L601" s="232"/>
      <c r="M601" s="225"/>
      <c r="N601" s="380"/>
      <c r="O601" s="45"/>
      <c r="P601" s="311"/>
      <c r="Q601" s="149"/>
      <c r="R601" s="293"/>
      <c r="S601" s="316"/>
      <c r="T601" s="355"/>
      <c r="V601" s="111"/>
    </row>
    <row r="602" spans="2:22" s="30" customFormat="1" x14ac:dyDescent="0.25">
      <c r="B602" s="27"/>
      <c r="D602" s="81"/>
      <c r="E602" s="45"/>
      <c r="F602" s="524"/>
      <c r="G602" s="49"/>
      <c r="H602" s="45"/>
      <c r="I602" s="314"/>
      <c r="J602" s="44"/>
      <c r="K602" s="311"/>
      <c r="L602" s="232"/>
      <c r="M602" s="225"/>
      <c r="N602" s="380"/>
      <c r="O602" s="45"/>
      <c r="P602" s="311"/>
      <c r="Q602" s="149"/>
      <c r="R602" s="293"/>
      <c r="S602" s="316"/>
      <c r="T602" s="355"/>
      <c r="V602" s="111"/>
    </row>
    <row r="603" spans="2:22" s="30" customFormat="1" x14ac:dyDescent="0.25">
      <c r="B603" s="27"/>
      <c r="D603" s="81"/>
      <c r="E603" s="45"/>
      <c r="F603" s="524"/>
      <c r="G603" s="49"/>
      <c r="H603" s="45"/>
      <c r="I603" s="314"/>
      <c r="J603" s="44"/>
      <c r="K603" s="311"/>
      <c r="L603" s="232"/>
      <c r="M603" s="225"/>
      <c r="N603" s="380"/>
      <c r="O603" s="45"/>
      <c r="P603" s="311"/>
      <c r="Q603" s="149"/>
      <c r="R603" s="293"/>
      <c r="S603" s="316"/>
      <c r="T603" s="355"/>
      <c r="V603" s="111"/>
    </row>
    <row r="604" spans="2:22" s="30" customFormat="1" x14ac:dyDescent="0.25">
      <c r="B604" s="27"/>
      <c r="D604" s="81"/>
      <c r="E604" s="45"/>
      <c r="F604" s="524"/>
      <c r="G604" s="49"/>
      <c r="H604" s="45"/>
      <c r="I604" s="314"/>
      <c r="J604" s="44"/>
      <c r="K604" s="311"/>
      <c r="L604" s="232"/>
      <c r="M604" s="225"/>
      <c r="N604" s="380"/>
      <c r="O604" s="45"/>
      <c r="P604" s="311"/>
      <c r="Q604" s="149"/>
      <c r="R604" s="293"/>
      <c r="S604" s="316"/>
      <c r="T604" s="355"/>
      <c r="V604" s="111"/>
    </row>
    <row r="605" spans="2:22" s="30" customFormat="1" x14ac:dyDescent="0.25">
      <c r="B605" s="27"/>
      <c r="D605" s="81"/>
      <c r="E605" s="45"/>
      <c r="F605" s="524"/>
      <c r="G605" s="49"/>
      <c r="H605" s="45"/>
      <c r="I605" s="314"/>
      <c r="J605" s="44"/>
      <c r="K605" s="311"/>
      <c r="L605" s="232"/>
      <c r="M605" s="225"/>
      <c r="N605" s="380"/>
      <c r="O605" s="45"/>
      <c r="P605" s="311"/>
      <c r="Q605" s="149"/>
      <c r="R605" s="293"/>
      <c r="S605" s="316"/>
      <c r="T605" s="355"/>
      <c r="V605" s="111"/>
    </row>
    <row r="606" spans="2:22" s="30" customFormat="1" x14ac:dyDescent="0.25">
      <c r="B606" s="27"/>
      <c r="D606" s="81"/>
      <c r="E606" s="45"/>
      <c r="F606" s="524"/>
      <c r="G606" s="49"/>
      <c r="H606" s="45"/>
      <c r="I606" s="314"/>
      <c r="J606" s="44"/>
      <c r="K606" s="311"/>
      <c r="L606" s="232"/>
      <c r="M606" s="225"/>
      <c r="N606" s="380"/>
      <c r="O606" s="45"/>
      <c r="P606" s="311"/>
      <c r="Q606" s="149"/>
      <c r="R606" s="293"/>
      <c r="S606" s="316"/>
      <c r="T606" s="355"/>
      <c r="V606" s="111"/>
    </row>
    <row r="607" spans="2:22" s="30" customFormat="1" x14ac:dyDescent="0.25">
      <c r="B607" s="27"/>
      <c r="D607" s="81"/>
      <c r="E607" s="45"/>
      <c r="F607" s="524"/>
      <c r="G607" s="49"/>
      <c r="H607" s="45"/>
      <c r="I607" s="314"/>
      <c r="J607" s="44"/>
      <c r="K607" s="311"/>
      <c r="L607" s="232"/>
      <c r="M607" s="225"/>
      <c r="N607" s="380"/>
      <c r="O607" s="45"/>
      <c r="P607" s="311"/>
      <c r="Q607" s="149"/>
      <c r="R607" s="293"/>
      <c r="S607" s="316"/>
      <c r="T607" s="355"/>
      <c r="V607" s="111"/>
    </row>
    <row r="608" spans="2:22" s="30" customFormat="1" x14ac:dyDescent="0.25">
      <c r="B608" s="27"/>
      <c r="D608" s="81"/>
      <c r="E608" s="45"/>
      <c r="F608" s="524"/>
      <c r="G608" s="49"/>
      <c r="H608" s="45"/>
      <c r="I608" s="314"/>
      <c r="J608" s="44"/>
      <c r="K608" s="311"/>
      <c r="L608" s="232"/>
      <c r="M608" s="225"/>
      <c r="N608" s="380"/>
      <c r="O608" s="45"/>
      <c r="P608" s="311"/>
      <c r="Q608" s="149"/>
      <c r="R608" s="293"/>
      <c r="S608" s="316"/>
      <c r="T608" s="355"/>
      <c r="V608" s="111"/>
    </row>
    <row r="609" spans="2:22" s="30" customFormat="1" x14ac:dyDescent="0.25">
      <c r="B609" s="27"/>
      <c r="D609" s="81"/>
      <c r="E609" s="45"/>
      <c r="F609" s="524"/>
      <c r="G609" s="49"/>
      <c r="H609" s="45"/>
      <c r="I609" s="314"/>
      <c r="J609" s="44"/>
      <c r="K609" s="311"/>
      <c r="L609" s="232"/>
      <c r="M609" s="225"/>
      <c r="N609" s="380"/>
      <c r="O609" s="45"/>
      <c r="P609" s="311"/>
      <c r="Q609" s="149"/>
      <c r="R609" s="293"/>
      <c r="S609" s="316"/>
      <c r="T609" s="355"/>
      <c r="V609" s="111"/>
    </row>
    <row r="610" spans="2:22" s="30" customFormat="1" x14ac:dyDescent="0.25">
      <c r="B610" s="27"/>
      <c r="D610" s="81"/>
      <c r="E610" s="45"/>
      <c r="F610" s="524"/>
      <c r="G610" s="49"/>
      <c r="H610" s="45"/>
      <c r="I610" s="314"/>
      <c r="J610" s="44"/>
      <c r="K610" s="311"/>
      <c r="L610" s="232"/>
      <c r="M610" s="225"/>
      <c r="N610" s="380"/>
      <c r="O610" s="45"/>
      <c r="P610" s="311"/>
      <c r="Q610" s="149"/>
      <c r="R610" s="293"/>
      <c r="S610" s="316"/>
      <c r="T610" s="355"/>
      <c r="V610" s="111"/>
    </row>
    <row r="611" spans="2:22" s="30" customFormat="1" x14ac:dyDescent="0.25">
      <c r="B611" s="27"/>
      <c r="D611" s="81"/>
      <c r="E611" s="45"/>
      <c r="F611" s="524"/>
      <c r="G611" s="49"/>
      <c r="H611" s="45"/>
      <c r="I611" s="314"/>
      <c r="J611" s="44"/>
      <c r="K611" s="311"/>
      <c r="L611" s="232"/>
      <c r="M611" s="225"/>
      <c r="N611" s="380"/>
      <c r="O611" s="45"/>
      <c r="P611" s="311"/>
      <c r="Q611" s="149"/>
      <c r="R611" s="293"/>
      <c r="S611" s="316"/>
      <c r="T611" s="355"/>
      <c r="V611" s="111"/>
    </row>
    <row r="612" spans="2:22" s="30" customFormat="1" x14ac:dyDescent="0.25">
      <c r="B612" s="27"/>
      <c r="D612" s="81"/>
      <c r="E612" s="45"/>
      <c r="F612" s="524"/>
      <c r="G612" s="49"/>
      <c r="H612" s="45"/>
      <c r="I612" s="314"/>
      <c r="J612" s="44"/>
      <c r="K612" s="311"/>
      <c r="L612" s="232"/>
      <c r="M612" s="225"/>
      <c r="N612" s="380"/>
      <c r="O612" s="45"/>
      <c r="P612" s="311"/>
      <c r="Q612" s="149"/>
      <c r="R612" s="293"/>
      <c r="S612" s="316"/>
      <c r="T612" s="355"/>
      <c r="V612" s="111"/>
    </row>
    <row r="613" spans="2:22" s="30" customFormat="1" x14ac:dyDescent="0.25">
      <c r="B613" s="27"/>
      <c r="D613" s="81"/>
      <c r="E613" s="45"/>
      <c r="F613" s="524"/>
      <c r="G613" s="49"/>
      <c r="H613" s="45"/>
      <c r="I613" s="314"/>
      <c r="J613" s="44"/>
      <c r="K613" s="311"/>
      <c r="L613" s="232"/>
      <c r="M613" s="225"/>
      <c r="N613" s="380"/>
      <c r="O613" s="45"/>
      <c r="P613" s="311"/>
      <c r="Q613" s="149"/>
      <c r="R613" s="293"/>
      <c r="S613" s="316"/>
      <c r="T613" s="355"/>
      <c r="V613" s="111"/>
    </row>
    <row r="614" spans="2:22" s="30" customFormat="1" x14ac:dyDescent="0.25">
      <c r="B614" s="27"/>
      <c r="D614" s="81"/>
      <c r="E614" s="45"/>
      <c r="F614" s="524"/>
      <c r="G614" s="49"/>
      <c r="H614" s="45"/>
      <c r="I614" s="314"/>
      <c r="J614" s="44"/>
      <c r="K614" s="311"/>
      <c r="L614" s="232"/>
      <c r="M614" s="225"/>
      <c r="N614" s="380"/>
      <c r="O614" s="45"/>
      <c r="P614" s="311"/>
      <c r="Q614" s="149"/>
      <c r="R614" s="293"/>
      <c r="S614" s="316"/>
      <c r="T614" s="355"/>
      <c r="V614" s="111"/>
    </row>
    <row r="615" spans="2:22" s="30" customFormat="1" x14ac:dyDescent="0.25">
      <c r="B615" s="27"/>
      <c r="D615" s="81"/>
      <c r="E615" s="45"/>
      <c r="F615" s="524"/>
      <c r="G615" s="49"/>
      <c r="H615" s="45"/>
      <c r="I615" s="314"/>
      <c r="J615" s="44"/>
      <c r="K615" s="311"/>
      <c r="L615" s="232"/>
      <c r="M615" s="225"/>
      <c r="N615" s="380"/>
      <c r="O615" s="45"/>
      <c r="P615" s="311"/>
      <c r="Q615" s="149"/>
      <c r="R615" s="293"/>
      <c r="S615" s="316"/>
      <c r="T615" s="355"/>
      <c r="V615" s="111"/>
    </row>
    <row r="616" spans="2:22" s="30" customFormat="1" x14ac:dyDescent="0.25">
      <c r="B616" s="27"/>
      <c r="D616" s="81"/>
      <c r="E616" s="45"/>
      <c r="F616" s="524"/>
      <c r="G616" s="49"/>
      <c r="H616" s="45"/>
      <c r="I616" s="314"/>
      <c r="J616" s="44"/>
      <c r="K616" s="311"/>
      <c r="L616" s="232"/>
      <c r="M616" s="225"/>
      <c r="N616" s="380"/>
      <c r="O616" s="45"/>
      <c r="P616" s="311"/>
      <c r="Q616" s="149"/>
      <c r="R616" s="293"/>
      <c r="S616" s="316"/>
      <c r="T616" s="355"/>
      <c r="V616" s="111"/>
    </row>
    <row r="617" spans="2:22" s="30" customFormat="1" x14ac:dyDescent="0.25">
      <c r="B617" s="27"/>
      <c r="D617" s="81"/>
      <c r="E617" s="45"/>
      <c r="F617" s="524"/>
      <c r="G617" s="49"/>
      <c r="H617" s="45"/>
      <c r="I617" s="314"/>
      <c r="J617" s="44"/>
      <c r="K617" s="311"/>
      <c r="L617" s="232"/>
      <c r="M617" s="225"/>
      <c r="N617" s="380"/>
      <c r="O617" s="45"/>
      <c r="P617" s="311"/>
      <c r="Q617" s="149"/>
      <c r="R617" s="293"/>
      <c r="S617" s="316"/>
      <c r="T617" s="355"/>
      <c r="V617" s="111"/>
    </row>
    <row r="618" spans="2:22" s="30" customFormat="1" x14ac:dyDescent="0.25">
      <c r="B618" s="27"/>
      <c r="D618" s="81"/>
      <c r="E618" s="45"/>
      <c r="F618" s="524"/>
      <c r="G618" s="49"/>
      <c r="H618" s="45"/>
      <c r="I618" s="314"/>
      <c r="J618" s="44"/>
      <c r="K618" s="311"/>
      <c r="L618" s="232"/>
      <c r="M618" s="225"/>
      <c r="N618" s="380"/>
      <c r="O618" s="45"/>
      <c r="P618" s="311"/>
      <c r="Q618" s="149"/>
      <c r="R618" s="293"/>
      <c r="S618" s="316"/>
      <c r="T618" s="355"/>
      <c r="V618" s="111"/>
    </row>
    <row r="619" spans="2:22" s="30" customFormat="1" x14ac:dyDescent="0.25">
      <c r="B619" s="27"/>
      <c r="D619" s="81"/>
      <c r="E619" s="45"/>
      <c r="F619" s="524"/>
      <c r="G619" s="49"/>
      <c r="H619" s="45"/>
      <c r="I619" s="314"/>
      <c r="J619" s="44"/>
      <c r="K619" s="311"/>
      <c r="L619" s="232"/>
      <c r="M619" s="225"/>
      <c r="N619" s="380"/>
      <c r="O619" s="45"/>
      <c r="P619" s="311"/>
      <c r="Q619" s="149"/>
      <c r="R619" s="293"/>
      <c r="S619" s="316"/>
      <c r="T619" s="355"/>
      <c r="V619" s="111"/>
    </row>
    <row r="620" spans="2:22" s="30" customFormat="1" x14ac:dyDescent="0.25">
      <c r="B620" s="27"/>
      <c r="D620" s="81"/>
      <c r="E620" s="45"/>
      <c r="F620" s="524"/>
      <c r="G620" s="49"/>
      <c r="H620" s="45"/>
      <c r="I620" s="314"/>
      <c r="J620" s="44"/>
      <c r="K620" s="311"/>
      <c r="L620" s="232"/>
      <c r="M620" s="225"/>
      <c r="N620" s="380"/>
      <c r="O620" s="45"/>
      <c r="P620" s="311"/>
      <c r="Q620" s="149"/>
      <c r="R620" s="293"/>
      <c r="S620" s="316"/>
      <c r="T620" s="355"/>
      <c r="V620" s="111"/>
    </row>
    <row r="621" spans="2:22" s="30" customFormat="1" x14ac:dyDescent="0.25">
      <c r="B621" s="27"/>
      <c r="D621" s="81"/>
      <c r="E621" s="45"/>
      <c r="F621" s="524"/>
      <c r="G621" s="49"/>
      <c r="H621" s="45"/>
      <c r="I621" s="314"/>
      <c r="J621" s="44"/>
      <c r="K621" s="311"/>
      <c r="L621" s="232"/>
      <c r="M621" s="225"/>
      <c r="N621" s="380"/>
      <c r="O621" s="45"/>
      <c r="P621" s="311"/>
      <c r="Q621" s="149"/>
      <c r="R621" s="293"/>
      <c r="S621" s="316"/>
      <c r="T621" s="355"/>
      <c r="V621" s="111"/>
    </row>
    <row r="622" spans="2:22" s="30" customFormat="1" x14ac:dyDescent="0.25">
      <c r="B622" s="27"/>
      <c r="D622" s="81"/>
      <c r="E622" s="45"/>
      <c r="F622" s="524"/>
      <c r="G622" s="49"/>
      <c r="H622" s="45"/>
      <c r="I622" s="314"/>
      <c r="J622" s="44"/>
      <c r="K622" s="311"/>
      <c r="L622" s="232"/>
      <c r="M622" s="225"/>
      <c r="N622" s="380"/>
      <c r="O622" s="45"/>
      <c r="P622" s="311"/>
      <c r="Q622" s="149"/>
      <c r="R622" s="293"/>
      <c r="S622" s="316"/>
      <c r="T622" s="355"/>
      <c r="V622" s="111"/>
    </row>
    <row r="623" spans="2:22" s="30" customFormat="1" x14ac:dyDescent="0.25">
      <c r="B623" s="27"/>
      <c r="D623" s="81"/>
      <c r="E623" s="45"/>
      <c r="F623" s="524"/>
      <c r="G623" s="49"/>
      <c r="H623" s="45"/>
      <c r="I623" s="314"/>
      <c r="J623" s="44"/>
      <c r="K623" s="311"/>
      <c r="L623" s="232"/>
      <c r="M623" s="225"/>
      <c r="N623" s="380"/>
      <c r="O623" s="45"/>
      <c r="P623" s="311"/>
      <c r="Q623" s="149"/>
      <c r="R623" s="293"/>
      <c r="S623" s="316"/>
      <c r="T623" s="355"/>
      <c r="V623" s="111"/>
    </row>
    <row r="624" spans="2:22" s="30" customFormat="1" x14ac:dyDescent="0.25">
      <c r="B624" s="27"/>
      <c r="D624" s="81"/>
      <c r="E624" s="45"/>
      <c r="F624" s="524"/>
      <c r="G624" s="49"/>
      <c r="H624" s="45"/>
      <c r="I624" s="314"/>
      <c r="J624" s="44"/>
      <c r="K624" s="311"/>
      <c r="L624" s="232"/>
      <c r="M624" s="225"/>
      <c r="N624" s="380"/>
      <c r="O624" s="45"/>
      <c r="P624" s="311"/>
      <c r="Q624" s="149"/>
      <c r="R624" s="293"/>
      <c r="S624" s="316"/>
      <c r="T624" s="355"/>
      <c r="V624" s="111"/>
    </row>
    <row r="625" spans="2:22" s="30" customFormat="1" x14ac:dyDescent="0.25">
      <c r="B625" s="27"/>
      <c r="D625" s="81"/>
      <c r="E625" s="45"/>
      <c r="F625" s="524"/>
      <c r="G625" s="49"/>
      <c r="H625" s="45"/>
      <c r="I625" s="314"/>
      <c r="J625" s="44"/>
      <c r="K625" s="311"/>
      <c r="L625" s="232"/>
      <c r="M625" s="225"/>
      <c r="N625" s="380"/>
      <c r="O625" s="45"/>
      <c r="P625" s="311"/>
      <c r="Q625" s="149"/>
      <c r="R625" s="293"/>
      <c r="S625" s="316"/>
      <c r="T625" s="355"/>
      <c r="V625" s="111"/>
    </row>
    <row r="626" spans="2:22" s="30" customFormat="1" x14ac:dyDescent="0.25">
      <c r="B626" s="27"/>
      <c r="D626" s="81"/>
      <c r="E626" s="45"/>
      <c r="F626" s="524"/>
      <c r="G626" s="49"/>
      <c r="H626" s="45"/>
      <c r="I626" s="314"/>
      <c r="J626" s="44"/>
      <c r="K626" s="311"/>
      <c r="L626" s="232"/>
      <c r="M626" s="225"/>
      <c r="N626" s="380"/>
      <c r="O626" s="45"/>
      <c r="P626" s="311"/>
      <c r="Q626" s="149"/>
      <c r="R626" s="293"/>
      <c r="S626" s="316"/>
      <c r="T626" s="355"/>
      <c r="V626" s="111"/>
    </row>
    <row r="627" spans="2:22" s="30" customFormat="1" x14ac:dyDescent="0.25">
      <c r="B627" s="27"/>
      <c r="D627" s="81"/>
      <c r="E627" s="45"/>
      <c r="F627" s="524"/>
      <c r="G627" s="49"/>
      <c r="H627" s="45"/>
      <c r="I627" s="314"/>
      <c r="J627" s="44"/>
      <c r="K627" s="311"/>
      <c r="L627" s="232"/>
      <c r="M627" s="225"/>
      <c r="N627" s="380"/>
      <c r="O627" s="45"/>
      <c r="P627" s="311"/>
      <c r="Q627" s="149"/>
      <c r="R627" s="293"/>
      <c r="S627" s="316"/>
      <c r="T627" s="355"/>
      <c r="V627" s="111"/>
    </row>
    <row r="628" spans="2:22" s="30" customFormat="1" x14ac:dyDescent="0.25">
      <c r="B628" s="27"/>
      <c r="D628" s="81"/>
      <c r="E628" s="45"/>
      <c r="F628" s="524"/>
      <c r="G628" s="49"/>
      <c r="H628" s="45"/>
      <c r="I628" s="314"/>
      <c r="J628" s="44"/>
      <c r="K628" s="311"/>
      <c r="L628" s="232"/>
      <c r="M628" s="225"/>
      <c r="N628" s="380"/>
      <c r="O628" s="45"/>
      <c r="P628" s="311"/>
      <c r="Q628" s="149"/>
      <c r="R628" s="293"/>
      <c r="S628" s="316"/>
      <c r="T628" s="355"/>
      <c r="V628" s="111"/>
    </row>
    <row r="629" spans="2:22" s="30" customFormat="1" x14ac:dyDescent="0.25">
      <c r="B629" s="27"/>
      <c r="D629" s="81"/>
      <c r="E629" s="45"/>
      <c r="F629" s="524"/>
      <c r="G629" s="49"/>
      <c r="H629" s="45"/>
      <c r="I629" s="314"/>
      <c r="J629" s="44"/>
      <c r="K629" s="311"/>
      <c r="L629" s="232"/>
      <c r="M629" s="225"/>
      <c r="N629" s="380"/>
      <c r="O629" s="45"/>
      <c r="P629" s="311"/>
      <c r="Q629" s="149"/>
      <c r="R629" s="293"/>
      <c r="S629" s="316"/>
      <c r="T629" s="355"/>
      <c r="V629" s="111"/>
    </row>
    <row r="630" spans="2:22" s="30" customFormat="1" x14ac:dyDescent="0.25">
      <c r="B630" s="27"/>
      <c r="D630" s="81"/>
      <c r="E630" s="45"/>
      <c r="F630" s="524"/>
      <c r="G630" s="49"/>
      <c r="H630" s="45"/>
      <c r="I630" s="314"/>
      <c r="J630" s="44"/>
      <c r="K630" s="311"/>
      <c r="L630" s="232"/>
      <c r="M630" s="225"/>
      <c r="N630" s="380"/>
      <c r="O630" s="45"/>
      <c r="P630" s="311"/>
      <c r="Q630" s="149"/>
      <c r="R630" s="293"/>
      <c r="S630" s="316"/>
      <c r="T630" s="355"/>
      <c r="V630" s="111"/>
    </row>
    <row r="631" spans="2:22" s="30" customFormat="1" x14ac:dyDescent="0.25">
      <c r="B631" s="27"/>
      <c r="D631" s="81"/>
      <c r="E631" s="45"/>
      <c r="F631" s="524"/>
      <c r="G631" s="49"/>
      <c r="H631" s="45"/>
      <c r="I631" s="314"/>
      <c r="J631" s="44"/>
      <c r="K631" s="311"/>
      <c r="L631" s="232"/>
      <c r="M631" s="225"/>
      <c r="N631" s="380"/>
      <c r="O631" s="45"/>
      <c r="P631" s="311"/>
      <c r="Q631" s="149"/>
      <c r="R631" s="293"/>
      <c r="S631" s="316"/>
      <c r="T631" s="355"/>
      <c r="V631" s="111"/>
    </row>
    <row r="632" spans="2:22" s="30" customFormat="1" x14ac:dyDescent="0.25">
      <c r="B632" s="27"/>
      <c r="D632" s="81"/>
      <c r="E632" s="45"/>
      <c r="F632" s="524"/>
      <c r="G632" s="49"/>
      <c r="H632" s="45"/>
      <c r="I632" s="314"/>
      <c r="J632" s="44"/>
      <c r="K632" s="311"/>
      <c r="L632" s="232"/>
      <c r="M632" s="225"/>
      <c r="N632" s="380"/>
      <c r="O632" s="45"/>
      <c r="P632" s="311"/>
      <c r="Q632" s="149"/>
      <c r="R632" s="293"/>
      <c r="S632" s="316"/>
      <c r="T632" s="355"/>
      <c r="V632" s="111"/>
    </row>
    <row r="633" spans="2:22" s="30" customFormat="1" x14ac:dyDescent="0.25">
      <c r="B633" s="27"/>
      <c r="D633" s="81"/>
      <c r="E633" s="45"/>
      <c r="F633" s="524"/>
      <c r="G633" s="49"/>
      <c r="H633" s="45"/>
      <c r="I633" s="314"/>
      <c r="J633" s="44"/>
      <c r="K633" s="311"/>
      <c r="L633" s="232"/>
      <c r="M633" s="225"/>
      <c r="N633" s="380"/>
      <c r="O633" s="45"/>
      <c r="P633" s="311"/>
      <c r="Q633" s="149"/>
      <c r="R633" s="293"/>
      <c r="S633" s="316"/>
      <c r="T633" s="355"/>
      <c r="V633" s="111"/>
    </row>
    <row r="634" spans="2:22" s="30" customFormat="1" x14ac:dyDescent="0.25">
      <c r="B634" s="27"/>
      <c r="D634" s="81"/>
      <c r="E634" s="45"/>
      <c r="F634" s="524"/>
      <c r="G634" s="49"/>
      <c r="H634" s="45"/>
      <c r="I634" s="314"/>
      <c r="J634" s="44"/>
      <c r="K634" s="311"/>
      <c r="L634" s="232"/>
      <c r="M634" s="225"/>
      <c r="N634" s="380"/>
      <c r="O634" s="45"/>
      <c r="P634" s="311"/>
      <c r="Q634" s="149"/>
      <c r="R634" s="293"/>
      <c r="S634" s="316"/>
      <c r="T634" s="355"/>
      <c r="V634" s="111"/>
    </row>
    <row r="635" spans="2:22" s="30" customFormat="1" x14ac:dyDescent="0.25">
      <c r="B635" s="27"/>
      <c r="D635" s="81"/>
      <c r="E635" s="45"/>
      <c r="F635" s="524"/>
      <c r="G635" s="49"/>
      <c r="H635" s="45"/>
      <c r="I635" s="314"/>
      <c r="J635" s="44"/>
      <c r="K635" s="311"/>
      <c r="L635" s="232"/>
      <c r="M635" s="225"/>
      <c r="N635" s="380"/>
      <c r="O635" s="45"/>
      <c r="P635" s="311"/>
      <c r="Q635" s="149"/>
      <c r="R635" s="293"/>
      <c r="S635" s="316"/>
      <c r="T635" s="355"/>
      <c r="V635" s="111"/>
    </row>
    <row r="636" spans="2:22" s="30" customFormat="1" x14ac:dyDescent="0.25">
      <c r="B636" s="27"/>
      <c r="D636" s="81"/>
      <c r="E636" s="45"/>
      <c r="F636" s="524"/>
      <c r="G636" s="49"/>
      <c r="H636" s="45"/>
      <c r="I636" s="314"/>
      <c r="J636" s="44"/>
      <c r="K636" s="311"/>
      <c r="L636" s="232"/>
      <c r="M636" s="225"/>
      <c r="N636" s="380"/>
      <c r="O636" s="45"/>
      <c r="P636" s="311"/>
      <c r="Q636" s="149"/>
      <c r="R636" s="293"/>
      <c r="S636" s="316"/>
      <c r="T636" s="355"/>
      <c r="V636" s="111"/>
    </row>
    <row r="637" spans="2:22" s="30" customFormat="1" x14ac:dyDescent="0.25">
      <c r="B637" s="27"/>
      <c r="D637" s="81"/>
      <c r="E637" s="45"/>
      <c r="F637" s="524"/>
      <c r="G637" s="49"/>
      <c r="H637" s="45"/>
      <c r="I637" s="314"/>
      <c r="J637" s="44"/>
      <c r="K637" s="311"/>
      <c r="L637" s="232"/>
      <c r="M637" s="225"/>
      <c r="N637" s="380"/>
      <c r="O637" s="45"/>
      <c r="P637" s="311"/>
      <c r="Q637" s="149"/>
      <c r="R637" s="293"/>
      <c r="S637" s="316"/>
      <c r="T637" s="355"/>
      <c r="V637" s="111"/>
    </row>
    <row r="638" spans="2:22" s="30" customFormat="1" x14ac:dyDescent="0.25">
      <c r="B638" s="27"/>
      <c r="D638" s="81"/>
      <c r="E638" s="45"/>
      <c r="F638" s="524"/>
      <c r="G638" s="49"/>
      <c r="H638" s="45"/>
      <c r="I638" s="314"/>
      <c r="J638" s="44"/>
      <c r="K638" s="311"/>
      <c r="L638" s="232"/>
      <c r="M638" s="225"/>
      <c r="N638" s="380"/>
      <c r="O638" s="45"/>
      <c r="P638" s="311"/>
      <c r="Q638" s="149"/>
      <c r="R638" s="293"/>
      <c r="S638" s="316"/>
      <c r="T638" s="355"/>
      <c r="V638" s="111"/>
    </row>
    <row r="639" spans="2:22" s="30" customFormat="1" x14ac:dyDescent="0.25">
      <c r="B639" s="27"/>
      <c r="D639" s="81"/>
      <c r="E639" s="45"/>
      <c r="F639" s="524"/>
      <c r="G639" s="49"/>
      <c r="H639" s="45"/>
      <c r="I639" s="314"/>
      <c r="J639" s="44"/>
      <c r="K639" s="311"/>
      <c r="L639" s="232"/>
      <c r="M639" s="225"/>
      <c r="N639" s="380"/>
      <c r="O639" s="45"/>
      <c r="P639" s="311"/>
      <c r="Q639" s="149"/>
      <c r="R639" s="293"/>
      <c r="S639" s="316"/>
      <c r="T639" s="355"/>
      <c r="V639" s="111"/>
    </row>
    <row r="640" spans="2:22" s="30" customFormat="1" x14ac:dyDescent="0.25">
      <c r="B640" s="27"/>
      <c r="D640" s="81"/>
      <c r="E640" s="45"/>
      <c r="F640" s="524"/>
      <c r="G640" s="49"/>
      <c r="H640" s="45"/>
      <c r="I640" s="314"/>
      <c r="J640" s="44"/>
      <c r="K640" s="311"/>
      <c r="L640" s="232"/>
      <c r="M640" s="225"/>
      <c r="N640" s="380"/>
      <c r="O640" s="45"/>
      <c r="P640" s="311"/>
      <c r="Q640" s="149"/>
      <c r="R640" s="293"/>
      <c r="S640" s="316"/>
      <c r="T640" s="355"/>
      <c r="V640" s="111"/>
    </row>
    <row r="641" spans="2:22" s="30" customFormat="1" x14ac:dyDescent="0.25">
      <c r="B641" s="27"/>
      <c r="D641" s="81"/>
      <c r="E641" s="45"/>
      <c r="F641" s="524"/>
      <c r="G641" s="49"/>
      <c r="H641" s="45"/>
      <c r="I641" s="314"/>
      <c r="J641" s="44"/>
      <c r="K641" s="311"/>
      <c r="L641" s="232"/>
      <c r="M641" s="225"/>
      <c r="N641" s="380"/>
      <c r="O641" s="45"/>
      <c r="P641" s="311"/>
      <c r="Q641" s="149"/>
      <c r="R641" s="293"/>
      <c r="S641" s="316"/>
      <c r="T641" s="355"/>
      <c r="V641" s="111"/>
    </row>
    <row r="642" spans="2:22" s="30" customFormat="1" x14ac:dyDescent="0.25">
      <c r="B642" s="27"/>
      <c r="D642" s="81"/>
      <c r="E642" s="45"/>
      <c r="F642" s="524"/>
      <c r="G642" s="49"/>
      <c r="H642" s="45"/>
      <c r="I642" s="314"/>
      <c r="J642" s="44"/>
      <c r="K642" s="311"/>
      <c r="L642" s="232"/>
      <c r="M642" s="225"/>
      <c r="N642" s="380"/>
      <c r="O642" s="45"/>
      <c r="P642" s="311"/>
      <c r="Q642" s="149"/>
      <c r="R642" s="293"/>
      <c r="S642" s="316"/>
      <c r="T642" s="355"/>
      <c r="V642" s="111"/>
    </row>
    <row r="643" spans="2:22" s="30" customFormat="1" x14ac:dyDescent="0.25">
      <c r="B643" s="27"/>
      <c r="D643" s="81"/>
      <c r="E643" s="45"/>
      <c r="F643" s="524"/>
      <c r="G643" s="49"/>
      <c r="H643" s="45"/>
      <c r="I643" s="314"/>
      <c r="J643" s="44"/>
      <c r="K643" s="311"/>
      <c r="L643" s="232"/>
      <c r="M643" s="225"/>
      <c r="N643" s="380"/>
      <c r="O643" s="45"/>
      <c r="P643" s="311"/>
      <c r="Q643" s="149"/>
      <c r="R643" s="293"/>
      <c r="S643" s="316"/>
      <c r="T643" s="355"/>
      <c r="V643" s="111"/>
    </row>
    <row r="644" spans="2:22" s="30" customFormat="1" x14ac:dyDescent="0.25">
      <c r="B644" s="27"/>
      <c r="D644" s="81"/>
      <c r="E644" s="45"/>
      <c r="F644" s="524"/>
      <c r="G644" s="49"/>
      <c r="H644" s="45"/>
      <c r="I644" s="314"/>
      <c r="J644" s="44"/>
      <c r="K644" s="311"/>
      <c r="L644" s="232"/>
      <c r="M644" s="225"/>
      <c r="N644" s="380"/>
      <c r="O644" s="45"/>
      <c r="P644" s="311"/>
      <c r="Q644" s="149"/>
      <c r="R644" s="293"/>
      <c r="S644" s="316"/>
      <c r="T644" s="355"/>
      <c r="V644" s="111"/>
    </row>
    <row r="645" spans="2:22" s="30" customFormat="1" x14ac:dyDescent="0.25">
      <c r="B645" s="27"/>
      <c r="D645" s="81"/>
      <c r="E645" s="45"/>
      <c r="F645" s="524"/>
      <c r="G645" s="49"/>
      <c r="H645" s="45"/>
      <c r="I645" s="314"/>
      <c r="J645" s="44"/>
      <c r="K645" s="311"/>
      <c r="L645" s="232"/>
      <c r="M645" s="225"/>
      <c r="N645" s="380"/>
      <c r="O645" s="45"/>
      <c r="P645" s="311"/>
      <c r="Q645" s="149"/>
      <c r="R645" s="293"/>
      <c r="S645" s="316"/>
      <c r="T645" s="355"/>
      <c r="V645" s="111"/>
    </row>
    <row r="646" spans="2:22" s="30" customFormat="1" x14ac:dyDescent="0.25">
      <c r="B646" s="27"/>
      <c r="D646" s="81"/>
      <c r="E646" s="45"/>
      <c r="F646" s="524"/>
      <c r="G646" s="49"/>
      <c r="H646" s="45"/>
      <c r="I646" s="314"/>
      <c r="J646" s="44"/>
      <c r="K646" s="311"/>
      <c r="L646" s="232"/>
      <c r="M646" s="225"/>
      <c r="N646" s="380"/>
      <c r="O646" s="45"/>
      <c r="P646" s="311"/>
      <c r="Q646" s="149"/>
      <c r="R646" s="293"/>
      <c r="S646" s="316"/>
      <c r="T646" s="355"/>
      <c r="V646" s="111"/>
    </row>
    <row r="647" spans="2:22" s="30" customFormat="1" x14ac:dyDescent="0.25">
      <c r="B647" s="27"/>
      <c r="D647" s="81"/>
      <c r="E647" s="45"/>
      <c r="F647" s="524"/>
      <c r="G647" s="49"/>
      <c r="H647" s="45"/>
      <c r="I647" s="314"/>
      <c r="J647" s="44"/>
      <c r="K647" s="311"/>
      <c r="L647" s="232"/>
      <c r="M647" s="225"/>
      <c r="N647" s="380"/>
      <c r="O647" s="45"/>
      <c r="P647" s="311"/>
      <c r="Q647" s="149"/>
      <c r="R647" s="293"/>
      <c r="S647" s="316"/>
      <c r="T647" s="355"/>
      <c r="V647" s="111"/>
    </row>
    <row r="648" spans="2:22" s="30" customFormat="1" x14ac:dyDescent="0.25">
      <c r="B648" s="27"/>
      <c r="D648" s="81"/>
      <c r="E648" s="45"/>
      <c r="F648" s="524"/>
      <c r="G648" s="49"/>
      <c r="H648" s="45"/>
      <c r="I648" s="314"/>
      <c r="J648" s="44"/>
      <c r="K648" s="311"/>
      <c r="L648" s="232"/>
      <c r="M648" s="225"/>
      <c r="N648" s="380"/>
      <c r="O648" s="45"/>
      <c r="P648" s="311"/>
      <c r="Q648" s="149"/>
      <c r="R648" s="293"/>
      <c r="S648" s="316"/>
      <c r="T648" s="355"/>
      <c r="V648" s="111"/>
    </row>
    <row r="649" spans="2:22" s="30" customFormat="1" x14ac:dyDescent="0.25">
      <c r="B649" s="27"/>
      <c r="D649" s="81"/>
      <c r="E649" s="45"/>
      <c r="F649" s="524"/>
      <c r="G649" s="49"/>
      <c r="H649" s="45"/>
      <c r="I649" s="314"/>
      <c r="J649" s="44"/>
      <c r="K649" s="311"/>
      <c r="L649" s="232"/>
      <c r="M649" s="225"/>
      <c r="N649" s="380"/>
      <c r="O649" s="45"/>
      <c r="P649" s="311"/>
      <c r="Q649" s="149"/>
      <c r="R649" s="293"/>
      <c r="S649" s="316"/>
      <c r="T649" s="355"/>
      <c r="V649" s="111"/>
    </row>
    <row r="650" spans="2:22" s="30" customFormat="1" x14ac:dyDescent="0.25">
      <c r="B650" s="27"/>
      <c r="D650" s="81"/>
      <c r="E650" s="45"/>
      <c r="F650" s="524"/>
      <c r="G650" s="49"/>
      <c r="H650" s="45"/>
      <c r="I650" s="314"/>
      <c r="J650" s="44"/>
      <c r="K650" s="311"/>
      <c r="L650" s="232"/>
      <c r="M650" s="225"/>
      <c r="N650" s="380"/>
      <c r="O650" s="45"/>
      <c r="P650" s="311"/>
      <c r="Q650" s="149"/>
      <c r="R650" s="293"/>
      <c r="S650" s="316"/>
      <c r="T650" s="355"/>
      <c r="V650" s="111"/>
    </row>
    <row r="651" spans="2:22" s="30" customFormat="1" x14ac:dyDescent="0.25">
      <c r="B651" s="27"/>
      <c r="D651" s="81"/>
      <c r="E651" s="45"/>
      <c r="F651" s="524"/>
      <c r="G651" s="49"/>
      <c r="H651" s="45"/>
      <c r="I651" s="314"/>
      <c r="J651" s="44"/>
      <c r="K651" s="311"/>
      <c r="L651" s="232"/>
      <c r="M651" s="225"/>
      <c r="N651" s="380"/>
      <c r="O651" s="45"/>
      <c r="P651" s="311"/>
      <c r="Q651" s="149"/>
      <c r="R651" s="293"/>
      <c r="S651" s="316"/>
      <c r="T651" s="355"/>
      <c r="V651" s="111"/>
    </row>
    <row r="652" spans="2:22" s="30" customFormat="1" x14ac:dyDescent="0.25">
      <c r="B652" s="27"/>
      <c r="D652" s="81"/>
      <c r="E652" s="45"/>
      <c r="F652" s="524"/>
      <c r="G652" s="49"/>
      <c r="H652" s="45"/>
      <c r="I652" s="314"/>
      <c r="J652" s="44"/>
      <c r="K652" s="311"/>
      <c r="L652" s="232"/>
      <c r="M652" s="225"/>
      <c r="N652" s="380"/>
      <c r="O652" s="45"/>
      <c r="P652" s="311"/>
      <c r="Q652" s="149"/>
      <c r="R652" s="293"/>
      <c r="S652" s="316"/>
      <c r="T652" s="355"/>
      <c r="V652" s="111"/>
    </row>
    <row r="653" spans="2:22" s="30" customFormat="1" x14ac:dyDescent="0.25">
      <c r="B653" s="27"/>
      <c r="D653" s="81"/>
      <c r="E653" s="45"/>
      <c r="F653" s="524"/>
      <c r="G653" s="49"/>
      <c r="H653" s="45"/>
      <c r="I653" s="314"/>
      <c r="J653" s="44"/>
      <c r="K653" s="311"/>
      <c r="L653" s="232"/>
      <c r="M653" s="225"/>
      <c r="N653" s="380"/>
      <c r="O653" s="45"/>
      <c r="P653" s="311"/>
      <c r="Q653" s="149"/>
      <c r="R653" s="293"/>
      <c r="S653" s="316"/>
      <c r="T653" s="355"/>
      <c r="V653" s="111"/>
    </row>
    <row r="654" spans="2:22" s="30" customFormat="1" x14ac:dyDescent="0.25">
      <c r="B654" s="27"/>
      <c r="D654" s="81"/>
      <c r="E654" s="45"/>
      <c r="F654" s="524"/>
      <c r="G654" s="49"/>
      <c r="H654" s="45"/>
      <c r="I654" s="314"/>
      <c r="J654" s="44"/>
      <c r="K654" s="311"/>
      <c r="L654" s="232"/>
      <c r="M654" s="225"/>
      <c r="N654" s="380"/>
      <c r="O654" s="45"/>
      <c r="P654" s="311"/>
      <c r="Q654" s="149"/>
      <c r="R654" s="293"/>
      <c r="S654" s="316"/>
      <c r="T654" s="355"/>
      <c r="V654" s="111"/>
    </row>
    <row r="655" spans="2:22" s="30" customFormat="1" x14ac:dyDescent="0.25">
      <c r="B655" s="27"/>
      <c r="D655" s="81"/>
      <c r="E655" s="45"/>
      <c r="F655" s="524"/>
      <c r="G655" s="49"/>
      <c r="H655" s="45"/>
      <c r="I655" s="314"/>
      <c r="J655" s="44"/>
      <c r="K655" s="311"/>
      <c r="L655" s="232"/>
      <c r="M655" s="225"/>
      <c r="N655" s="380"/>
      <c r="O655" s="45"/>
      <c r="P655" s="311"/>
      <c r="Q655" s="149"/>
      <c r="R655" s="293"/>
      <c r="S655" s="316"/>
      <c r="T655" s="355"/>
      <c r="V655" s="111"/>
    </row>
    <row r="656" spans="2:22" s="30" customFormat="1" x14ac:dyDescent="0.25">
      <c r="B656" s="27"/>
      <c r="D656" s="81"/>
      <c r="E656" s="45"/>
      <c r="F656" s="524"/>
      <c r="G656" s="49"/>
      <c r="H656" s="45"/>
      <c r="I656" s="314"/>
      <c r="J656" s="44"/>
      <c r="K656" s="311"/>
      <c r="L656" s="232"/>
      <c r="M656" s="225"/>
      <c r="N656" s="380"/>
      <c r="O656" s="45"/>
      <c r="P656" s="311"/>
      <c r="Q656" s="149"/>
      <c r="R656" s="293"/>
      <c r="S656" s="316"/>
      <c r="T656" s="355"/>
      <c r="V656" s="111"/>
    </row>
    <row r="657" spans="2:22" s="30" customFormat="1" x14ac:dyDescent="0.25">
      <c r="B657" s="27"/>
      <c r="D657" s="81"/>
      <c r="E657" s="45"/>
      <c r="F657" s="524"/>
      <c r="G657" s="49"/>
      <c r="H657" s="45"/>
      <c r="I657" s="314"/>
      <c r="J657" s="44"/>
      <c r="K657" s="311"/>
      <c r="L657" s="232"/>
      <c r="M657" s="225"/>
      <c r="N657" s="380"/>
      <c r="O657" s="45"/>
      <c r="P657" s="311"/>
      <c r="Q657" s="149"/>
      <c r="R657" s="293"/>
      <c r="S657" s="316"/>
      <c r="T657" s="355"/>
      <c r="V657" s="111"/>
    </row>
    <row r="658" spans="2:22" s="30" customFormat="1" x14ac:dyDescent="0.25">
      <c r="B658" s="27"/>
      <c r="D658" s="81"/>
      <c r="E658" s="45"/>
      <c r="F658" s="524"/>
      <c r="G658" s="49"/>
      <c r="H658" s="45"/>
      <c r="I658" s="314"/>
      <c r="J658" s="44"/>
      <c r="K658" s="311"/>
      <c r="L658" s="232"/>
      <c r="M658" s="225"/>
      <c r="N658" s="380"/>
      <c r="O658" s="45"/>
      <c r="P658" s="311"/>
      <c r="Q658" s="149"/>
      <c r="R658" s="293"/>
      <c r="S658" s="316"/>
      <c r="T658" s="355"/>
      <c r="V658" s="111"/>
    </row>
    <row r="659" spans="2:22" s="30" customFormat="1" x14ac:dyDescent="0.25">
      <c r="B659" s="27"/>
      <c r="D659" s="81"/>
      <c r="E659" s="45"/>
      <c r="F659" s="524"/>
      <c r="G659" s="49"/>
      <c r="H659" s="45"/>
      <c r="I659" s="314"/>
      <c r="J659" s="44"/>
      <c r="K659" s="311"/>
      <c r="L659" s="232"/>
      <c r="M659" s="225"/>
      <c r="N659" s="380"/>
      <c r="O659" s="45"/>
      <c r="P659" s="311"/>
      <c r="Q659" s="149"/>
      <c r="R659" s="293"/>
      <c r="S659" s="316"/>
      <c r="T659" s="355"/>
      <c r="V659" s="111"/>
    </row>
    <row r="660" spans="2:22" s="30" customFormat="1" x14ac:dyDescent="0.25">
      <c r="B660" s="27"/>
      <c r="D660" s="81"/>
      <c r="E660" s="45"/>
      <c r="F660" s="524"/>
      <c r="G660" s="49"/>
      <c r="H660" s="45"/>
      <c r="I660" s="314"/>
      <c r="J660" s="44"/>
      <c r="K660" s="311"/>
      <c r="L660" s="232"/>
      <c r="M660" s="225"/>
      <c r="N660" s="380"/>
      <c r="O660" s="45"/>
      <c r="P660" s="311"/>
      <c r="Q660" s="149"/>
      <c r="R660" s="293"/>
      <c r="S660" s="316"/>
      <c r="T660" s="355"/>
      <c r="V660" s="111"/>
    </row>
    <row r="661" spans="2:22" s="30" customFormat="1" x14ac:dyDescent="0.25">
      <c r="B661" s="27"/>
      <c r="D661" s="81"/>
      <c r="E661" s="45"/>
      <c r="F661" s="524"/>
      <c r="G661" s="49"/>
      <c r="H661" s="45"/>
      <c r="I661" s="314"/>
      <c r="J661" s="44"/>
      <c r="K661" s="311"/>
      <c r="L661" s="232"/>
      <c r="M661" s="225"/>
      <c r="N661" s="380"/>
      <c r="O661" s="45"/>
      <c r="P661" s="311"/>
      <c r="Q661" s="149"/>
      <c r="R661" s="293"/>
      <c r="S661" s="316"/>
      <c r="T661" s="355"/>
      <c r="V661" s="111"/>
    </row>
    <row r="662" spans="2:22" s="30" customFormat="1" x14ac:dyDescent="0.25">
      <c r="B662" s="27"/>
      <c r="D662" s="81"/>
      <c r="E662" s="45"/>
      <c r="F662" s="524"/>
      <c r="G662" s="49"/>
      <c r="H662" s="45"/>
      <c r="I662" s="314"/>
      <c r="J662" s="44"/>
      <c r="K662" s="311"/>
      <c r="L662" s="232"/>
      <c r="M662" s="225"/>
      <c r="N662" s="380"/>
      <c r="O662" s="45"/>
      <c r="P662" s="311"/>
      <c r="Q662" s="149"/>
      <c r="R662" s="293"/>
      <c r="S662" s="316"/>
      <c r="T662" s="355"/>
      <c r="V662" s="111"/>
    </row>
    <row r="663" spans="2:22" s="30" customFormat="1" x14ac:dyDescent="0.25">
      <c r="B663" s="27"/>
      <c r="D663" s="81"/>
      <c r="E663" s="45"/>
      <c r="F663" s="524"/>
      <c r="G663" s="49"/>
      <c r="H663" s="45"/>
      <c r="I663" s="314"/>
      <c r="J663" s="44"/>
      <c r="K663" s="311"/>
      <c r="L663" s="232"/>
      <c r="M663" s="225"/>
      <c r="N663" s="380"/>
      <c r="O663" s="45"/>
      <c r="P663" s="311"/>
      <c r="Q663" s="149"/>
      <c r="R663" s="293"/>
      <c r="S663" s="316"/>
      <c r="T663" s="355"/>
      <c r="V663" s="111"/>
    </row>
    <row r="664" spans="2:22" s="30" customFormat="1" x14ac:dyDescent="0.25">
      <c r="B664" s="27"/>
      <c r="D664" s="81"/>
      <c r="E664" s="45"/>
      <c r="F664" s="524"/>
      <c r="G664" s="49"/>
      <c r="H664" s="45"/>
      <c r="I664" s="314"/>
      <c r="J664" s="44"/>
      <c r="K664" s="311"/>
      <c r="L664" s="232"/>
      <c r="M664" s="225"/>
      <c r="N664" s="380"/>
      <c r="O664" s="45"/>
      <c r="P664" s="311"/>
      <c r="Q664" s="149"/>
      <c r="R664" s="293"/>
      <c r="S664" s="316"/>
      <c r="T664" s="355"/>
      <c r="V664" s="111"/>
    </row>
    <row r="665" spans="2:22" s="30" customFormat="1" x14ac:dyDescent="0.25">
      <c r="B665" s="27"/>
      <c r="D665" s="81"/>
      <c r="E665" s="45"/>
      <c r="F665" s="524"/>
      <c r="G665" s="49"/>
      <c r="H665" s="45"/>
      <c r="I665" s="314"/>
      <c r="J665" s="44"/>
      <c r="K665" s="311"/>
      <c r="L665" s="232"/>
      <c r="M665" s="225"/>
      <c r="N665" s="380"/>
      <c r="O665" s="45"/>
      <c r="P665" s="311"/>
      <c r="Q665" s="149"/>
      <c r="R665" s="293"/>
      <c r="S665" s="316"/>
      <c r="T665" s="355"/>
      <c r="V665" s="111"/>
    </row>
    <row r="666" spans="2:22" s="30" customFormat="1" x14ac:dyDescent="0.25">
      <c r="B666" s="27"/>
      <c r="D666" s="81"/>
      <c r="E666" s="45"/>
      <c r="F666" s="524"/>
      <c r="G666" s="49"/>
      <c r="H666" s="45"/>
      <c r="I666" s="314"/>
      <c r="J666" s="44"/>
      <c r="K666" s="311"/>
      <c r="L666" s="232"/>
      <c r="M666" s="225"/>
      <c r="N666" s="380"/>
      <c r="O666" s="45"/>
      <c r="P666" s="311"/>
      <c r="Q666" s="149"/>
      <c r="R666" s="293"/>
      <c r="S666" s="316"/>
      <c r="T666" s="355"/>
      <c r="V666" s="111"/>
    </row>
    <row r="667" spans="2:22" s="30" customFormat="1" x14ac:dyDescent="0.25">
      <c r="B667" s="27"/>
      <c r="D667" s="81"/>
      <c r="E667" s="45"/>
      <c r="F667" s="524"/>
      <c r="G667" s="49"/>
      <c r="H667" s="45"/>
      <c r="I667" s="314"/>
      <c r="J667" s="44"/>
      <c r="K667" s="311"/>
      <c r="L667" s="232"/>
      <c r="M667" s="225"/>
      <c r="N667" s="380"/>
      <c r="O667" s="45"/>
      <c r="P667" s="311"/>
      <c r="Q667" s="149"/>
      <c r="R667" s="293"/>
      <c r="S667" s="316"/>
      <c r="T667" s="355"/>
      <c r="V667" s="111"/>
    </row>
    <row r="668" spans="2:22" s="30" customFormat="1" x14ac:dyDescent="0.25">
      <c r="B668" s="27"/>
      <c r="D668" s="81"/>
      <c r="E668" s="45"/>
      <c r="F668" s="524"/>
      <c r="G668" s="49"/>
      <c r="H668" s="45"/>
      <c r="I668" s="314"/>
      <c r="J668" s="44"/>
      <c r="K668" s="311"/>
      <c r="L668" s="232"/>
      <c r="M668" s="225"/>
      <c r="N668" s="380"/>
      <c r="O668" s="45"/>
      <c r="P668" s="311"/>
      <c r="Q668" s="149"/>
      <c r="R668" s="293"/>
      <c r="S668" s="316"/>
      <c r="T668" s="355"/>
      <c r="V668" s="111"/>
    </row>
    <row r="669" spans="2:22" s="30" customFormat="1" x14ac:dyDescent="0.25">
      <c r="B669" s="27"/>
      <c r="D669" s="81"/>
      <c r="E669" s="45"/>
      <c r="F669" s="524"/>
      <c r="G669" s="49"/>
      <c r="H669" s="45"/>
      <c r="I669" s="314"/>
      <c r="J669" s="44"/>
      <c r="K669" s="311"/>
      <c r="L669" s="232"/>
      <c r="M669" s="225"/>
      <c r="N669" s="380"/>
      <c r="O669" s="45"/>
      <c r="P669" s="311"/>
      <c r="Q669" s="149"/>
      <c r="R669" s="293"/>
      <c r="S669" s="316"/>
      <c r="T669" s="355"/>
      <c r="V669" s="111"/>
    </row>
    <row r="670" spans="2:22" s="30" customFormat="1" x14ac:dyDescent="0.25">
      <c r="B670" s="27"/>
      <c r="D670" s="81"/>
      <c r="E670" s="45"/>
      <c r="F670" s="524"/>
      <c r="G670" s="49"/>
      <c r="H670" s="45"/>
      <c r="I670" s="314"/>
      <c r="J670" s="44"/>
      <c r="K670" s="311"/>
      <c r="L670" s="232"/>
      <c r="M670" s="225"/>
      <c r="N670" s="380"/>
      <c r="O670" s="45"/>
      <c r="P670" s="311"/>
      <c r="Q670" s="149"/>
      <c r="R670" s="293"/>
      <c r="S670" s="316"/>
      <c r="T670" s="355"/>
      <c r="V670" s="111"/>
    </row>
    <row r="671" spans="2:22" s="30" customFormat="1" x14ac:dyDescent="0.25">
      <c r="B671" s="27"/>
      <c r="D671" s="81"/>
      <c r="E671" s="45"/>
      <c r="F671" s="524"/>
      <c r="G671" s="49"/>
      <c r="H671" s="45"/>
      <c r="I671" s="314"/>
      <c r="J671" s="44"/>
      <c r="K671" s="311"/>
      <c r="L671" s="232"/>
      <c r="M671" s="225"/>
      <c r="N671" s="380"/>
      <c r="O671" s="45"/>
      <c r="P671" s="311"/>
      <c r="Q671" s="149"/>
      <c r="R671" s="293"/>
      <c r="S671" s="316"/>
      <c r="T671" s="355"/>
      <c r="V671" s="111"/>
    </row>
    <row r="672" spans="2:22" s="30" customFormat="1" x14ac:dyDescent="0.25">
      <c r="B672" s="27"/>
      <c r="D672" s="81"/>
      <c r="E672" s="45"/>
      <c r="F672" s="524"/>
      <c r="G672" s="49"/>
      <c r="H672" s="45"/>
      <c r="I672" s="314"/>
      <c r="J672" s="44"/>
      <c r="K672" s="311"/>
      <c r="L672" s="232"/>
      <c r="M672" s="225"/>
      <c r="N672" s="380"/>
      <c r="O672" s="45"/>
      <c r="P672" s="311"/>
      <c r="Q672" s="149"/>
      <c r="R672" s="293"/>
      <c r="S672" s="316"/>
      <c r="T672" s="355"/>
      <c r="V672" s="111"/>
    </row>
    <row r="673" spans="2:22" s="30" customFormat="1" x14ac:dyDescent="0.25">
      <c r="B673" s="27"/>
      <c r="D673" s="81"/>
      <c r="E673" s="45"/>
      <c r="F673" s="524"/>
      <c r="G673" s="49"/>
      <c r="H673" s="45"/>
      <c r="I673" s="314"/>
      <c r="J673" s="44"/>
      <c r="K673" s="311"/>
      <c r="L673" s="232"/>
      <c r="M673" s="225"/>
      <c r="N673" s="380"/>
      <c r="O673" s="45"/>
      <c r="P673" s="311"/>
      <c r="Q673" s="149"/>
      <c r="R673" s="293"/>
      <c r="S673" s="316"/>
      <c r="T673" s="355"/>
      <c r="V673" s="111"/>
    </row>
    <row r="674" spans="2:22" s="30" customFormat="1" x14ac:dyDescent="0.25">
      <c r="B674" s="27"/>
      <c r="D674" s="81"/>
      <c r="E674" s="45"/>
      <c r="F674" s="524"/>
      <c r="G674" s="49"/>
      <c r="H674" s="45"/>
      <c r="I674" s="314"/>
      <c r="J674" s="44"/>
      <c r="K674" s="311"/>
      <c r="L674" s="232"/>
      <c r="M674" s="225"/>
      <c r="N674" s="380"/>
      <c r="O674" s="45"/>
      <c r="P674" s="311"/>
      <c r="Q674" s="149"/>
      <c r="R674" s="293"/>
      <c r="S674" s="316"/>
      <c r="T674" s="355"/>
      <c r="V674" s="111"/>
    </row>
    <row r="675" spans="2:22" s="30" customFormat="1" x14ac:dyDescent="0.25">
      <c r="B675" s="27"/>
      <c r="D675" s="81"/>
      <c r="E675" s="45"/>
      <c r="F675" s="524"/>
      <c r="G675" s="49"/>
      <c r="H675" s="45"/>
      <c r="I675" s="314"/>
      <c r="J675" s="44"/>
      <c r="K675" s="311"/>
      <c r="L675" s="232"/>
      <c r="M675" s="225"/>
      <c r="N675" s="380"/>
      <c r="O675" s="45"/>
      <c r="P675" s="311"/>
      <c r="Q675" s="149"/>
      <c r="R675" s="293"/>
      <c r="S675" s="316"/>
      <c r="T675" s="355"/>
      <c r="V675" s="111"/>
    </row>
    <row r="676" spans="2:22" s="30" customFormat="1" x14ac:dyDescent="0.25">
      <c r="B676" s="27"/>
      <c r="D676" s="81"/>
      <c r="E676" s="45"/>
      <c r="F676" s="524"/>
      <c r="G676" s="49"/>
      <c r="H676" s="45"/>
      <c r="I676" s="314"/>
      <c r="J676" s="44"/>
      <c r="K676" s="311"/>
      <c r="L676" s="232"/>
      <c r="M676" s="225"/>
      <c r="N676" s="380"/>
      <c r="O676" s="45"/>
      <c r="P676" s="311"/>
      <c r="Q676" s="149"/>
      <c r="R676" s="293"/>
      <c r="S676" s="316"/>
      <c r="T676" s="355"/>
      <c r="V676" s="111"/>
    </row>
    <row r="677" spans="2:22" s="30" customFormat="1" x14ac:dyDescent="0.25">
      <c r="B677" s="27"/>
      <c r="D677" s="81"/>
      <c r="E677" s="45"/>
      <c r="F677" s="524"/>
      <c r="G677" s="49"/>
      <c r="H677" s="45"/>
      <c r="I677" s="314"/>
      <c r="J677" s="44"/>
      <c r="K677" s="311"/>
      <c r="L677" s="232"/>
      <c r="M677" s="225"/>
      <c r="N677" s="380"/>
      <c r="O677" s="45"/>
      <c r="P677" s="311"/>
      <c r="Q677" s="149"/>
      <c r="R677" s="293"/>
      <c r="S677" s="316"/>
      <c r="T677" s="355"/>
      <c r="V677" s="111"/>
    </row>
    <row r="678" spans="2:22" s="30" customFormat="1" x14ac:dyDescent="0.25">
      <c r="B678" s="27"/>
      <c r="D678" s="81"/>
      <c r="E678" s="45"/>
      <c r="F678" s="524"/>
      <c r="G678" s="49"/>
      <c r="H678" s="45"/>
      <c r="I678" s="314"/>
      <c r="J678" s="44"/>
      <c r="K678" s="311"/>
      <c r="L678" s="232"/>
      <c r="M678" s="225"/>
      <c r="N678" s="380"/>
      <c r="O678" s="45"/>
      <c r="P678" s="311"/>
      <c r="Q678" s="149"/>
      <c r="R678" s="293"/>
      <c r="S678" s="316"/>
      <c r="T678" s="355"/>
      <c r="V678" s="111"/>
    </row>
    <row r="679" spans="2:22" s="30" customFormat="1" x14ac:dyDescent="0.25">
      <c r="B679" s="27"/>
      <c r="D679" s="81"/>
      <c r="E679" s="45"/>
      <c r="F679" s="524"/>
      <c r="G679" s="49"/>
      <c r="H679" s="45"/>
      <c r="I679" s="314"/>
      <c r="J679" s="44"/>
      <c r="K679" s="311"/>
      <c r="L679" s="232"/>
      <c r="M679" s="225"/>
      <c r="N679" s="380"/>
      <c r="O679" s="45"/>
      <c r="P679" s="311"/>
      <c r="Q679" s="149"/>
      <c r="R679" s="293"/>
      <c r="S679" s="316"/>
      <c r="T679" s="355"/>
      <c r="V679" s="111"/>
    </row>
    <row r="680" spans="2:22" s="30" customFormat="1" x14ac:dyDescent="0.25">
      <c r="B680" s="27"/>
      <c r="D680" s="81"/>
      <c r="E680" s="45"/>
      <c r="F680" s="524"/>
      <c r="G680" s="49"/>
      <c r="H680" s="45"/>
      <c r="I680" s="314"/>
      <c r="J680" s="44"/>
      <c r="K680" s="311"/>
      <c r="L680" s="232"/>
      <c r="M680" s="225"/>
      <c r="N680" s="380"/>
      <c r="O680" s="45"/>
      <c r="P680" s="311"/>
      <c r="Q680" s="149"/>
      <c r="R680" s="293"/>
      <c r="S680" s="316"/>
      <c r="T680" s="355"/>
      <c r="V680" s="111"/>
    </row>
    <row r="681" spans="2:22" s="30" customFormat="1" x14ac:dyDescent="0.25">
      <c r="B681" s="27"/>
      <c r="D681" s="81"/>
      <c r="E681" s="45"/>
      <c r="F681" s="524"/>
      <c r="G681" s="49"/>
      <c r="H681" s="45"/>
      <c r="I681" s="314"/>
      <c r="J681" s="44"/>
      <c r="K681" s="311"/>
      <c r="L681" s="232"/>
      <c r="M681" s="225"/>
      <c r="N681" s="380"/>
      <c r="O681" s="45"/>
      <c r="P681" s="311"/>
      <c r="Q681" s="149"/>
      <c r="R681" s="293"/>
      <c r="S681" s="316"/>
      <c r="T681" s="355"/>
      <c r="V681" s="111"/>
    </row>
    <row r="682" spans="2:22" s="30" customFormat="1" x14ac:dyDescent="0.25">
      <c r="B682" s="27"/>
      <c r="D682" s="81"/>
      <c r="E682" s="45"/>
      <c r="F682" s="524"/>
      <c r="G682" s="49"/>
      <c r="H682" s="45"/>
      <c r="I682" s="314"/>
      <c r="J682" s="44"/>
      <c r="K682" s="311"/>
      <c r="L682" s="232"/>
      <c r="M682" s="225"/>
      <c r="N682" s="380"/>
      <c r="O682" s="45"/>
      <c r="P682" s="311"/>
      <c r="Q682" s="149"/>
      <c r="R682" s="293"/>
      <c r="S682" s="316"/>
      <c r="T682" s="355"/>
      <c r="V682" s="111"/>
    </row>
    <row r="683" spans="2:22" s="30" customFormat="1" x14ac:dyDescent="0.25">
      <c r="B683" s="27"/>
      <c r="D683" s="81"/>
      <c r="E683" s="45"/>
      <c r="F683" s="524"/>
      <c r="G683" s="49"/>
      <c r="H683" s="45"/>
      <c r="I683" s="314"/>
      <c r="J683" s="44"/>
      <c r="K683" s="311"/>
      <c r="L683" s="232"/>
      <c r="M683" s="225"/>
      <c r="N683" s="380"/>
      <c r="O683" s="45"/>
      <c r="P683" s="311"/>
      <c r="Q683" s="149"/>
      <c r="R683" s="293"/>
      <c r="S683" s="316"/>
      <c r="T683" s="355"/>
      <c r="V683" s="111"/>
    </row>
    <row r="684" spans="2:22" s="30" customFormat="1" x14ac:dyDescent="0.25">
      <c r="B684" s="27"/>
      <c r="D684" s="81"/>
      <c r="E684" s="45"/>
      <c r="F684" s="524"/>
      <c r="G684" s="49"/>
      <c r="H684" s="45"/>
      <c r="I684" s="314"/>
      <c r="J684" s="44"/>
      <c r="K684" s="311"/>
      <c r="L684" s="232"/>
      <c r="M684" s="225"/>
      <c r="N684" s="380"/>
      <c r="O684" s="45"/>
      <c r="P684" s="311"/>
      <c r="Q684" s="149"/>
      <c r="R684" s="293"/>
      <c r="S684" s="316"/>
      <c r="T684" s="355"/>
      <c r="V684" s="111"/>
    </row>
    <row r="685" spans="2:22" s="30" customFormat="1" x14ac:dyDescent="0.25">
      <c r="B685" s="27"/>
      <c r="D685" s="81"/>
      <c r="E685" s="45"/>
      <c r="F685" s="524"/>
      <c r="G685" s="49"/>
      <c r="H685" s="45"/>
      <c r="I685" s="314"/>
      <c r="J685" s="44"/>
      <c r="K685" s="311"/>
      <c r="L685" s="232"/>
      <c r="M685" s="225"/>
      <c r="N685" s="380"/>
      <c r="O685" s="45"/>
      <c r="P685" s="311"/>
      <c r="Q685" s="149"/>
      <c r="R685" s="293"/>
      <c r="S685" s="316"/>
      <c r="T685" s="355"/>
      <c r="V685" s="111"/>
    </row>
    <row r="686" spans="2:22" s="30" customFormat="1" x14ac:dyDescent="0.25">
      <c r="B686" s="27"/>
      <c r="D686" s="81"/>
      <c r="E686" s="45"/>
      <c r="F686" s="524"/>
      <c r="G686" s="49"/>
      <c r="H686" s="45"/>
      <c r="I686" s="314"/>
      <c r="J686" s="44"/>
      <c r="K686" s="311"/>
      <c r="L686" s="232"/>
      <c r="M686" s="225"/>
      <c r="N686" s="380"/>
      <c r="O686" s="45"/>
      <c r="P686" s="311"/>
      <c r="Q686" s="149"/>
      <c r="R686" s="293"/>
      <c r="S686" s="316"/>
      <c r="T686" s="355"/>
      <c r="V686" s="111"/>
    </row>
    <row r="687" spans="2:22" s="30" customFormat="1" x14ac:dyDescent="0.25">
      <c r="B687" s="27"/>
      <c r="D687" s="81"/>
      <c r="E687" s="45"/>
      <c r="F687" s="524"/>
      <c r="G687" s="49"/>
      <c r="H687" s="45"/>
      <c r="I687" s="314"/>
      <c r="J687" s="44"/>
      <c r="K687" s="311"/>
      <c r="L687" s="232"/>
      <c r="M687" s="225"/>
      <c r="N687" s="380"/>
      <c r="O687" s="45"/>
      <c r="P687" s="311"/>
      <c r="Q687" s="149"/>
      <c r="R687" s="293"/>
      <c r="S687" s="316"/>
      <c r="T687" s="355"/>
      <c r="V687" s="111"/>
    </row>
    <row r="688" spans="2:22" s="30" customFormat="1" x14ac:dyDescent="0.25">
      <c r="B688" s="27"/>
      <c r="D688" s="81"/>
      <c r="E688" s="45"/>
      <c r="F688" s="524"/>
      <c r="G688" s="49"/>
      <c r="H688" s="45"/>
      <c r="I688" s="314"/>
      <c r="J688" s="44"/>
      <c r="K688" s="311"/>
      <c r="L688" s="232"/>
      <c r="M688" s="225"/>
      <c r="N688" s="380"/>
      <c r="O688" s="45"/>
      <c r="P688" s="311"/>
      <c r="Q688" s="149"/>
      <c r="R688" s="293"/>
      <c r="S688" s="316"/>
      <c r="T688" s="355"/>
      <c r="V688" s="111"/>
    </row>
    <row r="689" spans="2:22" s="30" customFormat="1" x14ac:dyDescent="0.25">
      <c r="B689" s="27"/>
      <c r="D689" s="81"/>
      <c r="E689" s="45"/>
      <c r="F689" s="524"/>
      <c r="G689" s="49"/>
      <c r="H689" s="45"/>
      <c r="I689" s="314"/>
      <c r="J689" s="44"/>
      <c r="K689" s="311"/>
      <c r="L689" s="232"/>
      <c r="M689" s="225"/>
      <c r="N689" s="380"/>
      <c r="O689" s="45"/>
      <c r="P689" s="311"/>
      <c r="Q689" s="149"/>
      <c r="R689" s="293"/>
      <c r="S689" s="316"/>
      <c r="T689" s="355"/>
      <c r="V689" s="111"/>
    </row>
    <row r="690" spans="2:22" s="30" customFormat="1" x14ac:dyDescent="0.25">
      <c r="B690" s="27"/>
      <c r="D690" s="81"/>
      <c r="E690" s="45"/>
      <c r="F690" s="524"/>
      <c r="G690" s="49"/>
      <c r="H690" s="45"/>
      <c r="I690" s="314"/>
      <c r="J690" s="44"/>
      <c r="K690" s="311"/>
      <c r="L690" s="232"/>
      <c r="M690" s="225"/>
      <c r="N690" s="380"/>
      <c r="O690" s="45"/>
      <c r="P690" s="311"/>
      <c r="Q690" s="149"/>
      <c r="R690" s="293"/>
      <c r="S690" s="316"/>
      <c r="T690" s="355"/>
      <c r="V690" s="111"/>
    </row>
    <row r="691" spans="2:22" s="30" customFormat="1" x14ac:dyDescent="0.25">
      <c r="B691" s="27"/>
      <c r="D691" s="81"/>
      <c r="E691" s="45"/>
      <c r="F691" s="524"/>
      <c r="G691" s="49"/>
      <c r="H691" s="45"/>
      <c r="I691" s="314"/>
      <c r="J691" s="44"/>
      <c r="K691" s="311"/>
      <c r="L691" s="232"/>
      <c r="M691" s="225"/>
      <c r="N691" s="380"/>
      <c r="O691" s="45"/>
      <c r="P691" s="311"/>
      <c r="Q691" s="149"/>
      <c r="R691" s="293"/>
      <c r="S691" s="316"/>
      <c r="T691" s="355"/>
      <c r="V691" s="111"/>
    </row>
    <row r="692" spans="2:22" s="30" customFormat="1" x14ac:dyDescent="0.25">
      <c r="B692" s="27"/>
      <c r="D692" s="81"/>
      <c r="E692" s="45"/>
      <c r="F692" s="524"/>
      <c r="G692" s="49"/>
      <c r="H692" s="45"/>
      <c r="I692" s="314"/>
      <c r="J692" s="44"/>
      <c r="K692" s="311"/>
      <c r="L692" s="232"/>
      <c r="M692" s="225"/>
      <c r="N692" s="380"/>
      <c r="O692" s="45"/>
      <c r="P692" s="311"/>
      <c r="Q692" s="149"/>
      <c r="R692" s="293"/>
      <c r="S692" s="316"/>
      <c r="T692" s="355"/>
      <c r="V692" s="111"/>
    </row>
    <row r="693" spans="2:22" s="30" customFormat="1" x14ac:dyDescent="0.25">
      <c r="B693" s="27"/>
      <c r="D693" s="81"/>
      <c r="E693" s="45"/>
      <c r="F693" s="524"/>
      <c r="G693" s="49"/>
      <c r="H693" s="45"/>
      <c r="I693" s="314"/>
      <c r="J693" s="44"/>
      <c r="K693" s="311"/>
      <c r="L693" s="232"/>
      <c r="M693" s="225"/>
      <c r="N693" s="380"/>
      <c r="O693" s="45"/>
      <c r="P693" s="311"/>
      <c r="Q693" s="149"/>
      <c r="R693" s="293"/>
      <c r="S693" s="316"/>
      <c r="T693" s="355"/>
      <c r="V693" s="111"/>
    </row>
    <row r="694" spans="2:22" s="30" customFormat="1" x14ac:dyDescent="0.25">
      <c r="B694" s="27"/>
      <c r="D694" s="81"/>
      <c r="E694" s="45"/>
      <c r="F694" s="524"/>
      <c r="G694" s="49"/>
      <c r="H694" s="45"/>
      <c r="I694" s="314"/>
      <c r="J694" s="44"/>
      <c r="K694" s="311"/>
      <c r="L694" s="232"/>
      <c r="M694" s="225"/>
      <c r="N694" s="380"/>
      <c r="O694" s="45"/>
      <c r="P694" s="311"/>
      <c r="Q694" s="149"/>
      <c r="R694" s="293"/>
      <c r="S694" s="316"/>
      <c r="T694" s="355"/>
      <c r="V694" s="111"/>
    </row>
    <row r="695" spans="2:22" s="30" customFormat="1" x14ac:dyDescent="0.25">
      <c r="B695" s="27"/>
      <c r="D695" s="81"/>
      <c r="E695" s="45"/>
      <c r="F695" s="524"/>
      <c r="G695" s="49"/>
      <c r="H695" s="45"/>
      <c r="I695" s="314"/>
      <c r="J695" s="44"/>
      <c r="K695" s="311"/>
      <c r="L695" s="232"/>
      <c r="M695" s="225"/>
      <c r="N695" s="380"/>
      <c r="O695" s="45"/>
      <c r="P695" s="311"/>
      <c r="Q695" s="149"/>
      <c r="R695" s="293"/>
      <c r="S695" s="316"/>
      <c r="T695" s="355"/>
      <c r="V695" s="111"/>
    </row>
    <row r="696" spans="2:22" s="30" customFormat="1" x14ac:dyDescent="0.25">
      <c r="B696" s="27"/>
      <c r="D696" s="81"/>
      <c r="E696" s="45"/>
      <c r="F696" s="524"/>
      <c r="G696" s="49"/>
      <c r="H696" s="45"/>
      <c r="I696" s="314"/>
      <c r="J696" s="44"/>
      <c r="K696" s="311"/>
      <c r="L696" s="232"/>
      <c r="M696" s="225"/>
      <c r="N696" s="380"/>
      <c r="O696" s="45"/>
      <c r="P696" s="311"/>
      <c r="Q696" s="149"/>
      <c r="R696" s="293"/>
      <c r="S696" s="316"/>
      <c r="T696" s="355"/>
      <c r="V696" s="111"/>
    </row>
    <row r="697" spans="2:22" s="30" customFormat="1" x14ac:dyDescent="0.25">
      <c r="B697" s="27"/>
      <c r="D697" s="81"/>
      <c r="E697" s="45"/>
      <c r="F697" s="524"/>
      <c r="G697" s="49"/>
      <c r="H697" s="45"/>
      <c r="I697" s="314"/>
      <c r="J697" s="44"/>
      <c r="K697" s="311"/>
      <c r="L697" s="232"/>
      <c r="M697" s="225"/>
      <c r="N697" s="380"/>
      <c r="O697" s="45"/>
      <c r="P697" s="311"/>
      <c r="Q697" s="149"/>
      <c r="R697" s="293"/>
      <c r="S697" s="316"/>
      <c r="T697" s="355"/>
      <c r="V697" s="111"/>
    </row>
    <row r="698" spans="2:22" s="30" customFormat="1" x14ac:dyDescent="0.25">
      <c r="B698" s="27"/>
      <c r="D698" s="81"/>
      <c r="E698" s="45"/>
      <c r="F698" s="524"/>
      <c r="G698" s="49"/>
      <c r="H698" s="45"/>
      <c r="I698" s="314"/>
      <c r="J698" s="44"/>
      <c r="K698" s="311"/>
      <c r="L698" s="232"/>
      <c r="M698" s="225"/>
      <c r="N698" s="380"/>
      <c r="O698" s="45"/>
      <c r="P698" s="311"/>
      <c r="Q698" s="149"/>
      <c r="R698" s="293"/>
      <c r="S698" s="316"/>
      <c r="T698" s="355"/>
      <c r="V698" s="111"/>
    </row>
    <row r="699" spans="2:22" s="30" customFormat="1" x14ac:dyDescent="0.25">
      <c r="B699" s="27"/>
      <c r="D699" s="81"/>
      <c r="E699" s="45"/>
      <c r="F699" s="524"/>
      <c r="G699" s="49"/>
      <c r="H699" s="45"/>
      <c r="I699" s="314"/>
      <c r="J699" s="44"/>
      <c r="K699" s="311"/>
      <c r="L699" s="232"/>
      <c r="M699" s="225"/>
      <c r="N699" s="380"/>
      <c r="O699" s="45"/>
      <c r="P699" s="311"/>
      <c r="Q699" s="149"/>
      <c r="R699" s="293"/>
      <c r="S699" s="316"/>
      <c r="T699" s="355"/>
      <c r="V699" s="111"/>
    </row>
    <row r="700" spans="2:22" s="30" customFormat="1" x14ac:dyDescent="0.25">
      <c r="B700" s="27"/>
      <c r="D700" s="81"/>
      <c r="E700" s="45"/>
      <c r="F700" s="524"/>
      <c r="G700" s="49"/>
      <c r="H700" s="45"/>
      <c r="I700" s="314"/>
      <c r="J700" s="44"/>
      <c r="K700" s="311"/>
      <c r="L700" s="232"/>
      <c r="M700" s="225"/>
      <c r="N700" s="380"/>
      <c r="O700" s="45"/>
      <c r="P700" s="311"/>
      <c r="Q700" s="149"/>
      <c r="R700" s="293"/>
      <c r="S700" s="316"/>
      <c r="T700" s="355"/>
      <c r="V700" s="111"/>
    </row>
    <row r="701" spans="2:22" s="30" customFormat="1" x14ac:dyDescent="0.25">
      <c r="B701" s="27"/>
      <c r="D701" s="81"/>
      <c r="E701" s="45"/>
      <c r="F701" s="524"/>
      <c r="G701" s="49"/>
      <c r="H701" s="45"/>
      <c r="I701" s="314"/>
      <c r="J701" s="44"/>
      <c r="K701" s="311"/>
      <c r="L701" s="232"/>
      <c r="M701" s="225"/>
      <c r="N701" s="380"/>
      <c r="O701" s="45"/>
      <c r="P701" s="311"/>
      <c r="Q701" s="149"/>
      <c r="R701" s="293"/>
      <c r="S701" s="316"/>
      <c r="T701" s="355"/>
      <c r="V701" s="111"/>
    </row>
    <row r="702" spans="2:22" s="30" customFormat="1" x14ac:dyDescent="0.25">
      <c r="B702" s="27"/>
      <c r="D702" s="81"/>
      <c r="E702" s="45"/>
      <c r="F702" s="524"/>
      <c r="G702" s="49"/>
      <c r="H702" s="45"/>
      <c r="I702" s="314"/>
      <c r="J702" s="44"/>
      <c r="K702" s="311"/>
      <c r="L702" s="232"/>
      <c r="M702" s="225"/>
      <c r="N702" s="380"/>
      <c r="O702" s="45"/>
      <c r="P702" s="311"/>
      <c r="Q702" s="149"/>
      <c r="R702" s="293"/>
      <c r="S702" s="316"/>
      <c r="T702" s="355"/>
      <c r="V702" s="111"/>
    </row>
    <row r="703" spans="2:22" s="30" customFormat="1" x14ac:dyDescent="0.25">
      <c r="B703" s="27"/>
      <c r="D703" s="81"/>
      <c r="E703" s="45"/>
      <c r="F703" s="524"/>
      <c r="G703" s="49"/>
      <c r="H703" s="45"/>
      <c r="I703" s="314"/>
      <c r="J703" s="44"/>
      <c r="K703" s="311"/>
      <c r="L703" s="232"/>
      <c r="M703" s="225"/>
      <c r="N703" s="380"/>
      <c r="O703" s="45"/>
      <c r="P703" s="311"/>
      <c r="Q703" s="149"/>
      <c r="R703" s="293"/>
      <c r="S703" s="316"/>
      <c r="T703" s="355"/>
      <c r="V703" s="111"/>
    </row>
    <row r="704" spans="2:22" s="30" customFormat="1" x14ac:dyDescent="0.25">
      <c r="B704" s="27"/>
      <c r="D704" s="81"/>
      <c r="E704" s="45"/>
      <c r="F704" s="524"/>
      <c r="G704" s="49"/>
      <c r="H704" s="45"/>
      <c r="I704" s="314"/>
      <c r="J704" s="44"/>
      <c r="K704" s="311"/>
      <c r="L704" s="232"/>
      <c r="M704" s="225"/>
      <c r="N704" s="380"/>
      <c r="O704" s="45"/>
      <c r="P704" s="311"/>
      <c r="Q704" s="149"/>
      <c r="R704" s="293"/>
      <c r="S704" s="316"/>
      <c r="T704" s="355"/>
      <c r="V704" s="111"/>
    </row>
    <row r="705" spans="2:22" s="30" customFormat="1" x14ac:dyDescent="0.25">
      <c r="B705" s="27"/>
      <c r="D705" s="81"/>
      <c r="E705" s="45"/>
      <c r="F705" s="524"/>
      <c r="G705" s="49"/>
      <c r="H705" s="45"/>
      <c r="I705" s="314"/>
      <c r="J705" s="44"/>
      <c r="K705" s="311"/>
      <c r="L705" s="232"/>
      <c r="M705" s="225"/>
      <c r="N705" s="380"/>
      <c r="O705" s="45"/>
      <c r="P705" s="311"/>
      <c r="Q705" s="149"/>
      <c r="R705" s="293"/>
      <c r="S705" s="316"/>
      <c r="T705" s="355"/>
      <c r="V705" s="111"/>
    </row>
    <row r="706" spans="2:22" s="30" customFormat="1" x14ac:dyDescent="0.25">
      <c r="B706" s="27"/>
      <c r="D706" s="81"/>
      <c r="E706" s="45"/>
      <c r="F706" s="524"/>
      <c r="G706" s="49"/>
      <c r="H706" s="45"/>
      <c r="I706" s="314"/>
      <c r="J706" s="44"/>
      <c r="K706" s="311"/>
      <c r="L706" s="232"/>
      <c r="M706" s="225"/>
      <c r="N706" s="380"/>
      <c r="O706" s="45"/>
      <c r="P706" s="311"/>
      <c r="Q706" s="149"/>
      <c r="R706" s="293"/>
      <c r="S706" s="316"/>
      <c r="T706" s="355"/>
      <c r="V706" s="111"/>
    </row>
    <row r="707" spans="2:22" s="30" customFormat="1" x14ac:dyDescent="0.25">
      <c r="B707" s="27"/>
      <c r="D707" s="81"/>
      <c r="E707" s="45"/>
      <c r="F707" s="524"/>
      <c r="G707" s="49"/>
      <c r="H707" s="45"/>
      <c r="I707" s="314"/>
      <c r="J707" s="44"/>
      <c r="K707" s="311"/>
      <c r="L707" s="232"/>
      <c r="M707" s="225"/>
      <c r="N707" s="380"/>
      <c r="O707" s="45"/>
      <c r="P707" s="311"/>
      <c r="Q707" s="149"/>
      <c r="R707" s="293"/>
      <c r="S707" s="316"/>
      <c r="T707" s="355"/>
      <c r="V707" s="111"/>
    </row>
    <row r="708" spans="2:22" s="30" customFormat="1" x14ac:dyDescent="0.25">
      <c r="B708" s="27"/>
      <c r="D708" s="81"/>
      <c r="E708" s="45"/>
      <c r="F708" s="524"/>
      <c r="G708" s="49"/>
      <c r="H708" s="45"/>
      <c r="I708" s="314"/>
      <c r="J708" s="44"/>
      <c r="K708" s="311"/>
      <c r="L708" s="232"/>
      <c r="M708" s="225"/>
      <c r="N708" s="380"/>
      <c r="O708" s="45"/>
      <c r="P708" s="311"/>
      <c r="Q708" s="149"/>
      <c r="R708" s="293"/>
      <c r="S708" s="316"/>
      <c r="T708" s="355"/>
      <c r="V708" s="111"/>
    </row>
    <row r="709" spans="2:22" s="30" customFormat="1" x14ac:dyDescent="0.25">
      <c r="B709" s="27"/>
      <c r="D709" s="81"/>
      <c r="E709" s="45"/>
      <c r="F709" s="524"/>
      <c r="G709" s="49"/>
      <c r="H709" s="45"/>
      <c r="I709" s="314"/>
      <c r="J709" s="44"/>
      <c r="K709" s="311"/>
      <c r="L709" s="232"/>
      <c r="M709" s="225"/>
      <c r="N709" s="380"/>
      <c r="O709" s="45"/>
      <c r="P709" s="311"/>
      <c r="Q709" s="149"/>
      <c r="R709" s="293"/>
      <c r="S709" s="316"/>
      <c r="T709" s="355"/>
      <c r="V709" s="111"/>
    </row>
    <row r="710" spans="2:22" s="30" customFormat="1" x14ac:dyDescent="0.25">
      <c r="B710" s="27"/>
      <c r="D710" s="81"/>
      <c r="E710" s="45"/>
      <c r="F710" s="524"/>
      <c r="G710" s="49"/>
      <c r="H710" s="45"/>
      <c r="I710" s="314"/>
      <c r="J710" s="44"/>
      <c r="K710" s="311"/>
      <c r="L710" s="232"/>
      <c r="M710" s="225"/>
      <c r="N710" s="380"/>
      <c r="O710" s="45"/>
      <c r="P710" s="311"/>
      <c r="Q710" s="149"/>
      <c r="R710" s="293"/>
      <c r="S710" s="316"/>
      <c r="T710" s="355"/>
      <c r="V710" s="111"/>
    </row>
    <row r="711" spans="2:22" s="30" customFormat="1" x14ac:dyDescent="0.25">
      <c r="B711" s="27"/>
      <c r="D711" s="81"/>
      <c r="E711" s="45"/>
      <c r="F711" s="524"/>
      <c r="G711" s="49"/>
      <c r="H711" s="45"/>
      <c r="I711" s="314"/>
      <c r="J711" s="44"/>
      <c r="K711" s="311"/>
      <c r="L711" s="232"/>
      <c r="M711" s="225"/>
      <c r="N711" s="380"/>
      <c r="O711" s="45"/>
      <c r="P711" s="311"/>
      <c r="Q711" s="149"/>
      <c r="R711" s="293"/>
      <c r="S711" s="316"/>
      <c r="T711" s="355"/>
      <c r="V711" s="111"/>
    </row>
    <row r="712" spans="2:22" s="30" customFormat="1" x14ac:dyDescent="0.25">
      <c r="B712" s="27"/>
      <c r="D712" s="81"/>
      <c r="E712" s="45"/>
      <c r="F712" s="524"/>
      <c r="G712" s="49"/>
      <c r="H712" s="45"/>
      <c r="I712" s="314"/>
      <c r="J712" s="44"/>
      <c r="K712" s="311"/>
      <c r="L712" s="232"/>
      <c r="M712" s="225"/>
      <c r="N712" s="380"/>
      <c r="O712" s="45"/>
      <c r="P712" s="311"/>
      <c r="Q712" s="149"/>
      <c r="R712" s="293"/>
      <c r="S712" s="316"/>
      <c r="T712" s="355"/>
      <c r="V712" s="111"/>
    </row>
    <row r="713" spans="2:22" s="30" customFormat="1" x14ac:dyDescent="0.25">
      <c r="B713" s="27"/>
      <c r="D713" s="81"/>
      <c r="E713" s="45"/>
      <c r="F713" s="524"/>
      <c r="G713" s="49"/>
      <c r="H713" s="45"/>
      <c r="I713" s="314"/>
      <c r="J713" s="44"/>
      <c r="K713" s="311"/>
      <c r="L713" s="232"/>
      <c r="M713" s="225"/>
      <c r="N713" s="380"/>
      <c r="O713" s="45"/>
      <c r="P713" s="311"/>
      <c r="Q713" s="149"/>
      <c r="R713" s="293"/>
      <c r="S713" s="316"/>
      <c r="T713" s="355"/>
      <c r="V713" s="111"/>
    </row>
    <row r="714" spans="2:22" s="30" customFormat="1" x14ac:dyDescent="0.25">
      <c r="B714" s="27"/>
      <c r="D714" s="81"/>
      <c r="E714" s="45"/>
      <c r="F714" s="524"/>
      <c r="G714" s="49"/>
      <c r="H714" s="45"/>
      <c r="I714" s="314"/>
      <c r="J714" s="44"/>
      <c r="K714" s="311"/>
      <c r="L714" s="232"/>
      <c r="M714" s="225"/>
      <c r="N714" s="380"/>
      <c r="O714" s="45"/>
      <c r="P714" s="311"/>
      <c r="Q714" s="149"/>
      <c r="R714" s="293"/>
      <c r="S714" s="316"/>
      <c r="T714" s="355"/>
      <c r="V714" s="111"/>
    </row>
    <row r="715" spans="2:22" s="30" customFormat="1" x14ac:dyDescent="0.25">
      <c r="B715" s="27"/>
      <c r="D715" s="81"/>
      <c r="E715" s="45"/>
      <c r="F715" s="524"/>
      <c r="G715" s="49"/>
      <c r="H715" s="45"/>
      <c r="I715" s="314"/>
      <c r="J715" s="44"/>
      <c r="K715" s="311"/>
      <c r="L715" s="232"/>
      <c r="M715" s="225"/>
      <c r="N715" s="380"/>
      <c r="O715" s="45"/>
      <c r="P715" s="311"/>
      <c r="Q715" s="149"/>
      <c r="R715" s="293"/>
      <c r="S715" s="316"/>
      <c r="T715" s="355"/>
      <c r="V715" s="111"/>
    </row>
    <row r="716" spans="2:22" s="30" customFormat="1" x14ac:dyDescent="0.25">
      <c r="B716" s="27"/>
      <c r="D716" s="81"/>
      <c r="E716" s="45"/>
      <c r="F716" s="524"/>
      <c r="G716" s="49"/>
      <c r="H716" s="45"/>
      <c r="I716" s="314"/>
      <c r="J716" s="44"/>
      <c r="K716" s="311"/>
      <c r="L716" s="232"/>
      <c r="M716" s="225"/>
      <c r="N716" s="380"/>
      <c r="O716" s="45"/>
      <c r="P716" s="311"/>
      <c r="Q716" s="149"/>
      <c r="R716" s="293"/>
      <c r="S716" s="316"/>
      <c r="T716" s="355"/>
      <c r="V716" s="111"/>
    </row>
    <row r="717" spans="2:22" s="30" customFormat="1" x14ac:dyDescent="0.25">
      <c r="B717" s="27"/>
      <c r="D717" s="81"/>
      <c r="E717" s="45"/>
      <c r="F717" s="524"/>
      <c r="G717" s="49"/>
      <c r="H717" s="45"/>
      <c r="I717" s="314"/>
      <c r="J717" s="44"/>
      <c r="K717" s="311"/>
      <c r="L717" s="232"/>
      <c r="M717" s="225"/>
      <c r="N717" s="380"/>
      <c r="O717" s="45"/>
      <c r="P717" s="311"/>
      <c r="Q717" s="149"/>
      <c r="R717" s="293"/>
      <c r="S717" s="316"/>
      <c r="T717" s="355"/>
      <c r="V717" s="111"/>
    </row>
    <row r="718" spans="2:22" s="30" customFormat="1" x14ac:dyDescent="0.25">
      <c r="B718" s="27"/>
      <c r="D718" s="81"/>
      <c r="E718" s="45"/>
      <c r="F718" s="524"/>
      <c r="G718" s="49"/>
      <c r="H718" s="45"/>
      <c r="I718" s="314"/>
      <c r="J718" s="44"/>
      <c r="K718" s="311"/>
      <c r="L718" s="232"/>
      <c r="M718" s="225"/>
      <c r="N718" s="380"/>
      <c r="O718" s="45"/>
      <c r="P718" s="311"/>
      <c r="Q718" s="149"/>
      <c r="R718" s="293"/>
      <c r="S718" s="316"/>
      <c r="T718" s="355"/>
      <c r="V718" s="111"/>
    </row>
    <row r="719" spans="2:22" s="30" customFormat="1" x14ac:dyDescent="0.25">
      <c r="B719" s="27"/>
      <c r="D719" s="81"/>
      <c r="E719" s="45"/>
      <c r="F719" s="524"/>
      <c r="G719" s="49"/>
      <c r="H719" s="45"/>
      <c r="I719" s="314"/>
      <c r="J719" s="44"/>
      <c r="K719" s="311"/>
      <c r="L719" s="232"/>
      <c r="M719" s="225"/>
      <c r="N719" s="380"/>
      <c r="O719" s="45"/>
      <c r="P719" s="311"/>
      <c r="Q719" s="149"/>
      <c r="R719" s="293"/>
      <c r="S719" s="316"/>
      <c r="T719" s="355"/>
      <c r="V719" s="111"/>
    </row>
    <row r="720" spans="2:22" s="30" customFormat="1" x14ac:dyDescent="0.25">
      <c r="B720" s="27"/>
      <c r="D720" s="81"/>
      <c r="E720" s="45"/>
      <c r="F720" s="524"/>
      <c r="G720" s="49"/>
      <c r="H720" s="45"/>
      <c r="I720" s="314"/>
      <c r="J720" s="44"/>
      <c r="K720" s="311"/>
      <c r="L720" s="232"/>
      <c r="M720" s="225"/>
      <c r="N720" s="380"/>
      <c r="O720" s="45"/>
      <c r="P720" s="311"/>
      <c r="Q720" s="149"/>
      <c r="R720" s="293"/>
      <c r="S720" s="316"/>
      <c r="T720" s="355"/>
      <c r="V720" s="111"/>
    </row>
    <row r="721" spans="2:22" s="30" customFormat="1" x14ac:dyDescent="0.25">
      <c r="B721" s="27"/>
      <c r="D721" s="81"/>
      <c r="E721" s="45"/>
      <c r="F721" s="524"/>
      <c r="G721" s="49"/>
      <c r="H721" s="45"/>
      <c r="I721" s="314"/>
      <c r="J721" s="44"/>
      <c r="K721" s="311"/>
      <c r="L721" s="232"/>
      <c r="M721" s="225"/>
      <c r="N721" s="380"/>
      <c r="O721" s="45"/>
      <c r="P721" s="311"/>
      <c r="Q721" s="149"/>
      <c r="R721" s="293"/>
      <c r="S721" s="316"/>
      <c r="T721" s="355"/>
      <c r="V721" s="111"/>
    </row>
    <row r="722" spans="2:22" s="30" customFormat="1" x14ac:dyDescent="0.25">
      <c r="B722" s="27"/>
      <c r="D722" s="81"/>
      <c r="E722" s="45"/>
      <c r="F722" s="524"/>
      <c r="G722" s="49"/>
      <c r="H722" s="45"/>
      <c r="I722" s="314"/>
      <c r="J722" s="44"/>
      <c r="K722" s="311"/>
      <c r="L722" s="232"/>
      <c r="M722" s="225"/>
      <c r="N722" s="380"/>
      <c r="O722" s="45"/>
      <c r="P722" s="311"/>
      <c r="Q722" s="149"/>
      <c r="R722" s="293"/>
      <c r="S722" s="316"/>
      <c r="T722" s="355"/>
      <c r="V722" s="111"/>
    </row>
    <row r="723" spans="2:22" s="30" customFormat="1" x14ac:dyDescent="0.25">
      <c r="B723" s="27"/>
      <c r="D723" s="81"/>
      <c r="E723" s="45"/>
      <c r="F723" s="524"/>
      <c r="G723" s="49"/>
      <c r="H723" s="45"/>
      <c r="I723" s="314"/>
      <c r="J723" s="44"/>
      <c r="K723" s="311"/>
      <c r="L723" s="232"/>
      <c r="M723" s="225"/>
      <c r="N723" s="380"/>
      <c r="O723" s="45"/>
      <c r="P723" s="311"/>
      <c r="Q723" s="149"/>
      <c r="R723" s="293"/>
      <c r="S723" s="316"/>
      <c r="T723" s="355"/>
      <c r="V723" s="111"/>
    </row>
    <row r="724" spans="2:22" s="30" customFormat="1" x14ac:dyDescent="0.25">
      <c r="B724" s="27"/>
      <c r="D724" s="81"/>
      <c r="E724" s="45"/>
      <c r="F724" s="524"/>
      <c r="G724" s="49"/>
      <c r="H724" s="45"/>
      <c r="I724" s="314"/>
      <c r="J724" s="44"/>
      <c r="K724" s="311"/>
      <c r="L724" s="232"/>
      <c r="M724" s="225"/>
      <c r="N724" s="380"/>
      <c r="O724" s="45"/>
      <c r="P724" s="311"/>
      <c r="Q724" s="149"/>
      <c r="R724" s="293"/>
      <c r="S724" s="316"/>
      <c r="T724" s="355"/>
      <c r="V724" s="111"/>
    </row>
    <row r="725" spans="2:22" s="30" customFormat="1" x14ac:dyDescent="0.25">
      <c r="B725" s="27"/>
      <c r="D725" s="81"/>
      <c r="E725" s="45"/>
      <c r="F725" s="524"/>
      <c r="G725" s="49"/>
      <c r="H725" s="45"/>
      <c r="I725" s="314"/>
      <c r="J725" s="44"/>
      <c r="K725" s="311"/>
      <c r="L725" s="232"/>
      <c r="M725" s="225"/>
      <c r="N725" s="380"/>
      <c r="O725" s="45"/>
      <c r="P725" s="311"/>
      <c r="Q725" s="149"/>
      <c r="R725" s="293"/>
      <c r="S725" s="316"/>
      <c r="T725" s="355"/>
      <c r="V725" s="111"/>
    </row>
    <row r="726" spans="2:22" s="30" customFormat="1" x14ac:dyDescent="0.25">
      <c r="B726" s="27"/>
      <c r="D726" s="81"/>
      <c r="E726" s="45"/>
      <c r="F726" s="524"/>
      <c r="G726" s="49"/>
      <c r="H726" s="45"/>
      <c r="I726" s="314"/>
      <c r="J726" s="44"/>
      <c r="K726" s="311"/>
      <c r="L726" s="232"/>
      <c r="M726" s="225"/>
      <c r="N726" s="380"/>
      <c r="O726" s="45"/>
      <c r="P726" s="311"/>
      <c r="Q726" s="149"/>
      <c r="R726" s="293"/>
      <c r="S726" s="316"/>
      <c r="T726" s="355"/>
      <c r="V726" s="111"/>
    </row>
    <row r="727" spans="2:22" s="30" customFormat="1" x14ac:dyDescent="0.25">
      <c r="B727" s="27"/>
      <c r="D727" s="81"/>
      <c r="E727" s="45"/>
      <c r="F727" s="524"/>
      <c r="G727" s="49"/>
      <c r="H727" s="45"/>
      <c r="I727" s="314"/>
      <c r="J727" s="44"/>
      <c r="K727" s="311"/>
      <c r="L727" s="232"/>
      <c r="M727" s="225"/>
      <c r="N727" s="380"/>
      <c r="O727" s="45"/>
      <c r="P727" s="311"/>
      <c r="Q727" s="149"/>
      <c r="R727" s="293"/>
      <c r="S727" s="316"/>
      <c r="T727" s="355"/>
      <c r="V727" s="111"/>
    </row>
    <row r="728" spans="2:22" s="30" customFormat="1" x14ac:dyDescent="0.25">
      <c r="B728" s="27"/>
      <c r="D728" s="81"/>
      <c r="E728" s="45"/>
      <c r="F728" s="524"/>
      <c r="G728" s="49"/>
      <c r="H728" s="45"/>
      <c r="I728" s="314"/>
      <c r="J728" s="44"/>
      <c r="K728" s="311"/>
      <c r="L728" s="232"/>
      <c r="M728" s="225"/>
      <c r="N728" s="380"/>
      <c r="O728" s="45"/>
      <c r="P728" s="311"/>
      <c r="Q728" s="149"/>
      <c r="R728" s="293"/>
      <c r="S728" s="316"/>
      <c r="T728" s="355"/>
      <c r="V728" s="111"/>
    </row>
    <row r="729" spans="2:22" s="30" customFormat="1" x14ac:dyDescent="0.25">
      <c r="B729" s="27"/>
      <c r="D729" s="81"/>
      <c r="E729" s="45"/>
      <c r="F729" s="524"/>
      <c r="G729" s="49"/>
      <c r="H729" s="45"/>
      <c r="I729" s="314"/>
      <c r="J729" s="44"/>
      <c r="K729" s="311"/>
      <c r="L729" s="232"/>
      <c r="M729" s="225"/>
      <c r="N729" s="380"/>
      <c r="O729" s="45"/>
      <c r="P729" s="311"/>
      <c r="Q729" s="149"/>
      <c r="R729" s="293"/>
      <c r="S729" s="316"/>
      <c r="T729" s="355"/>
      <c r="V729" s="152"/>
    </row>
    <row r="730" spans="2:22" s="30" customFormat="1" x14ac:dyDescent="0.25">
      <c r="B730" s="27"/>
      <c r="D730" s="81"/>
      <c r="E730" s="45"/>
      <c r="F730" s="524"/>
      <c r="G730" s="49"/>
      <c r="H730" s="45"/>
      <c r="I730" s="314"/>
      <c r="J730" s="44"/>
      <c r="K730" s="311"/>
      <c r="L730" s="232"/>
      <c r="M730" s="225"/>
      <c r="N730" s="380"/>
      <c r="O730" s="45"/>
      <c r="P730" s="311"/>
      <c r="Q730" s="149"/>
      <c r="R730" s="293"/>
      <c r="S730" s="316"/>
      <c r="T730" s="355"/>
    </row>
    <row r="731" spans="2:22" x14ac:dyDescent="0.25">
      <c r="I731" s="314"/>
      <c r="J731" s="44"/>
      <c r="N731" s="514"/>
      <c r="Q731" s="149"/>
      <c r="R731" s="293"/>
      <c r="S731" s="316"/>
      <c r="T731" s="355"/>
    </row>
    <row r="732" spans="2:22" x14ac:dyDescent="0.25">
      <c r="I732" s="314"/>
      <c r="J732" s="44"/>
      <c r="N732" s="514"/>
      <c r="R732" s="293"/>
      <c r="S732" s="316"/>
      <c r="T732" s="355"/>
    </row>
    <row r="733" spans="2:22" x14ac:dyDescent="0.25">
      <c r="I733" s="314"/>
      <c r="J733" s="44"/>
      <c r="N733" s="514"/>
      <c r="R733" s="293"/>
      <c r="S733" s="316"/>
      <c r="T733" s="355"/>
    </row>
    <row r="734" spans="2:22" x14ac:dyDescent="0.25">
      <c r="I734" s="314"/>
      <c r="J734" s="44"/>
      <c r="N734" s="514"/>
      <c r="R734" s="293"/>
      <c r="S734" s="316"/>
      <c r="T734" s="355"/>
    </row>
    <row r="735" spans="2:22" x14ac:dyDescent="0.25">
      <c r="I735" s="314"/>
      <c r="J735" s="44"/>
      <c r="N735" s="514"/>
      <c r="R735" s="293"/>
      <c r="S735" s="316"/>
      <c r="T735" s="355"/>
    </row>
    <row r="736" spans="2:22" x14ac:dyDescent="0.25">
      <c r="I736" s="314"/>
      <c r="J736" s="44"/>
      <c r="N736" s="514"/>
      <c r="R736" s="293"/>
      <c r="S736" s="316"/>
      <c r="T736" s="355"/>
    </row>
    <row r="737" spans="9:20" x14ac:dyDescent="0.25">
      <c r="I737" s="314"/>
      <c r="J737" s="44"/>
      <c r="N737" s="514"/>
      <c r="R737" s="293"/>
      <c r="S737" s="316"/>
      <c r="T737" s="355"/>
    </row>
    <row r="738" spans="9:20" x14ac:dyDescent="0.25">
      <c r="I738" s="314"/>
      <c r="J738" s="44"/>
      <c r="N738" s="514"/>
      <c r="R738" s="293"/>
      <c r="S738" s="316"/>
      <c r="T738" s="355"/>
    </row>
    <row r="739" spans="9:20" x14ac:dyDescent="0.25">
      <c r="I739" s="314"/>
      <c r="J739" s="44"/>
      <c r="N739" s="514"/>
      <c r="R739" s="293"/>
      <c r="S739" s="316"/>
      <c r="T739" s="355"/>
    </row>
    <row r="740" spans="9:20" x14ac:dyDescent="0.25">
      <c r="I740" s="314"/>
      <c r="J740" s="44"/>
      <c r="N740" s="514"/>
      <c r="R740" s="293"/>
      <c r="S740" s="316"/>
      <c r="T740" s="355"/>
    </row>
    <row r="741" spans="9:20" x14ac:dyDescent="0.25">
      <c r="I741" s="314"/>
      <c r="J741" s="44"/>
      <c r="N741" s="514"/>
      <c r="R741" s="293"/>
      <c r="S741" s="316"/>
      <c r="T741" s="355"/>
    </row>
    <row r="742" spans="9:20" x14ac:dyDescent="0.25">
      <c r="I742" s="314"/>
      <c r="J742" s="44"/>
      <c r="N742" s="514"/>
      <c r="R742" s="293"/>
      <c r="S742" s="316"/>
      <c r="T742" s="355"/>
    </row>
    <row r="743" spans="9:20" x14ac:dyDescent="0.25">
      <c r="I743" s="314"/>
      <c r="J743" s="44"/>
      <c r="N743" s="514"/>
      <c r="R743" s="293"/>
      <c r="S743" s="316"/>
      <c r="T743" s="355"/>
    </row>
    <row r="744" spans="9:20" x14ac:dyDescent="0.25">
      <c r="I744" s="314"/>
      <c r="J744" s="44"/>
      <c r="N744" s="514"/>
      <c r="R744" s="293"/>
      <c r="S744" s="316"/>
      <c r="T744" s="355"/>
    </row>
    <row r="745" spans="9:20" x14ac:dyDescent="0.25">
      <c r="I745" s="314"/>
      <c r="J745" s="44"/>
      <c r="N745" s="514"/>
      <c r="R745" s="293"/>
      <c r="S745" s="316"/>
      <c r="T745" s="355"/>
    </row>
    <row r="746" spans="9:20" x14ac:dyDescent="0.25">
      <c r="I746" s="314"/>
      <c r="J746" s="44"/>
      <c r="N746" s="514"/>
      <c r="R746" s="293"/>
      <c r="S746" s="316"/>
      <c r="T746" s="355"/>
    </row>
    <row r="747" spans="9:20" x14ac:dyDescent="0.25">
      <c r="I747" s="314"/>
      <c r="J747" s="44"/>
      <c r="N747" s="514"/>
      <c r="R747" s="293"/>
      <c r="S747" s="316"/>
      <c r="T747" s="355"/>
    </row>
    <row r="748" spans="9:20" x14ac:dyDescent="0.25">
      <c r="I748" s="314"/>
      <c r="J748" s="44"/>
      <c r="N748" s="514"/>
      <c r="R748" s="293"/>
      <c r="S748" s="316"/>
      <c r="T748" s="355"/>
    </row>
    <row r="749" spans="9:20" x14ac:dyDescent="0.25">
      <c r="I749" s="314"/>
      <c r="J749" s="44"/>
      <c r="N749" s="514"/>
      <c r="R749" s="293"/>
      <c r="S749" s="316"/>
      <c r="T749" s="355"/>
    </row>
    <row r="750" spans="9:20" x14ac:dyDescent="0.25">
      <c r="I750" s="314"/>
      <c r="J750" s="44"/>
      <c r="N750" s="514"/>
      <c r="R750" s="293"/>
      <c r="S750" s="316"/>
      <c r="T750" s="355"/>
    </row>
    <row r="751" spans="9:20" x14ac:dyDescent="0.25">
      <c r="I751" s="314"/>
      <c r="J751" s="44"/>
      <c r="N751" s="514"/>
      <c r="R751" s="293"/>
      <c r="S751" s="316"/>
      <c r="T751" s="355"/>
    </row>
    <row r="752" spans="9:20" x14ac:dyDescent="0.25">
      <c r="I752" s="314"/>
      <c r="J752" s="44"/>
      <c r="N752" s="514"/>
      <c r="R752" s="293"/>
      <c r="S752" s="316"/>
      <c r="T752" s="355"/>
    </row>
    <row r="753" spans="9:20" x14ac:dyDescent="0.25">
      <c r="I753" s="314"/>
      <c r="J753" s="44"/>
      <c r="N753" s="514"/>
      <c r="R753" s="293"/>
      <c r="S753" s="316"/>
      <c r="T753" s="355"/>
    </row>
    <row r="754" spans="9:20" x14ac:dyDescent="0.25">
      <c r="I754" s="314"/>
      <c r="J754" s="44"/>
      <c r="N754" s="514"/>
      <c r="R754" s="293"/>
      <c r="S754" s="316"/>
      <c r="T754" s="355"/>
    </row>
    <row r="755" spans="9:20" x14ac:dyDescent="0.25">
      <c r="I755" s="314"/>
      <c r="J755" s="44"/>
      <c r="N755" s="514"/>
      <c r="R755" s="293"/>
      <c r="S755" s="316"/>
      <c r="T755" s="355"/>
    </row>
    <row r="756" spans="9:20" x14ac:dyDescent="0.25">
      <c r="I756" s="314"/>
      <c r="J756" s="44"/>
      <c r="N756" s="514"/>
      <c r="R756" s="293"/>
      <c r="S756" s="316"/>
      <c r="T756" s="355"/>
    </row>
    <row r="757" spans="9:20" x14ac:dyDescent="0.25">
      <c r="I757" s="314"/>
      <c r="J757" s="44"/>
      <c r="N757" s="514"/>
      <c r="R757" s="293"/>
      <c r="S757" s="316"/>
      <c r="T757" s="355"/>
    </row>
    <row r="758" spans="9:20" x14ac:dyDescent="0.25">
      <c r="I758" s="314"/>
      <c r="J758" s="44"/>
      <c r="N758" s="514"/>
      <c r="R758" s="293"/>
      <c r="S758" s="316"/>
      <c r="T758" s="355"/>
    </row>
    <row r="759" spans="9:20" x14ac:dyDescent="0.25">
      <c r="I759" s="314"/>
      <c r="J759" s="44"/>
      <c r="N759" s="514"/>
      <c r="R759" s="293"/>
      <c r="S759" s="316"/>
      <c r="T759" s="355"/>
    </row>
    <row r="760" spans="9:20" x14ac:dyDescent="0.25">
      <c r="I760" s="314"/>
      <c r="J760" s="44"/>
      <c r="N760" s="514"/>
      <c r="R760" s="293"/>
      <c r="S760" s="316"/>
      <c r="T760" s="355"/>
    </row>
    <row r="761" spans="9:20" x14ac:dyDescent="0.25">
      <c r="I761" s="314"/>
      <c r="J761" s="44"/>
      <c r="N761" s="514"/>
      <c r="R761" s="293"/>
      <c r="S761" s="316"/>
      <c r="T761" s="355"/>
    </row>
    <row r="762" spans="9:20" x14ac:dyDescent="0.25">
      <c r="I762" s="314"/>
      <c r="J762" s="44"/>
      <c r="N762" s="514"/>
      <c r="R762" s="293"/>
      <c r="S762" s="316"/>
      <c r="T762" s="355"/>
    </row>
    <row r="763" spans="9:20" x14ac:dyDescent="0.25">
      <c r="I763" s="314"/>
      <c r="J763" s="44"/>
      <c r="N763" s="514"/>
      <c r="R763" s="293"/>
      <c r="S763" s="316"/>
      <c r="T763" s="355"/>
    </row>
    <row r="764" spans="9:20" x14ac:dyDescent="0.25">
      <c r="I764" s="314"/>
      <c r="J764" s="44"/>
      <c r="N764" s="514"/>
      <c r="R764" s="293"/>
      <c r="S764" s="316"/>
      <c r="T764" s="355"/>
    </row>
    <row r="765" spans="9:20" x14ac:dyDescent="0.25">
      <c r="I765" s="314"/>
      <c r="J765" s="44"/>
      <c r="N765" s="514"/>
      <c r="R765" s="293"/>
      <c r="S765" s="316"/>
      <c r="T765" s="355"/>
    </row>
    <row r="766" spans="9:20" x14ac:dyDescent="0.25">
      <c r="I766" s="314"/>
      <c r="J766" s="44"/>
      <c r="N766" s="514"/>
      <c r="R766" s="293"/>
      <c r="S766" s="316"/>
      <c r="T766" s="355"/>
    </row>
    <row r="767" spans="9:20" x14ac:dyDescent="0.25">
      <c r="I767" s="314"/>
      <c r="J767" s="44"/>
      <c r="N767" s="514"/>
      <c r="R767" s="293"/>
      <c r="S767" s="316"/>
      <c r="T767" s="355"/>
    </row>
    <row r="768" spans="9:20" x14ac:dyDescent="0.25">
      <c r="I768" s="314"/>
      <c r="J768" s="44"/>
      <c r="N768" s="514"/>
      <c r="R768" s="293"/>
      <c r="S768" s="316"/>
      <c r="T768" s="355"/>
    </row>
    <row r="769" spans="9:20" x14ac:dyDescent="0.25">
      <c r="I769" s="314"/>
      <c r="J769" s="44"/>
      <c r="N769" s="514"/>
      <c r="R769" s="293"/>
      <c r="S769" s="316"/>
      <c r="T769" s="355"/>
    </row>
    <row r="770" spans="9:20" x14ac:dyDescent="0.25">
      <c r="I770" s="314"/>
      <c r="J770" s="44"/>
      <c r="N770" s="514"/>
      <c r="R770" s="293"/>
      <c r="S770" s="316"/>
      <c r="T770" s="355"/>
    </row>
    <row r="771" spans="9:20" x14ac:dyDescent="0.25">
      <c r="I771" s="314"/>
      <c r="J771" s="44"/>
      <c r="N771" s="514"/>
      <c r="R771" s="293"/>
      <c r="S771" s="316"/>
      <c r="T771" s="355"/>
    </row>
    <row r="772" spans="9:20" x14ac:dyDescent="0.25">
      <c r="I772" s="314"/>
      <c r="J772" s="44"/>
      <c r="N772" s="514"/>
      <c r="R772" s="293"/>
      <c r="S772" s="316"/>
      <c r="T772" s="355"/>
    </row>
    <row r="773" spans="9:20" x14ac:dyDescent="0.25">
      <c r="I773" s="314"/>
      <c r="J773" s="44"/>
      <c r="N773" s="514"/>
      <c r="R773" s="293"/>
      <c r="S773" s="316"/>
      <c r="T773" s="355"/>
    </row>
    <row r="774" spans="9:20" x14ac:dyDescent="0.25">
      <c r="I774" s="314"/>
      <c r="J774" s="44"/>
      <c r="N774" s="514"/>
      <c r="R774" s="293"/>
      <c r="S774" s="316"/>
      <c r="T774" s="355"/>
    </row>
    <row r="775" spans="9:20" x14ac:dyDescent="0.25">
      <c r="I775" s="314"/>
      <c r="J775" s="44"/>
      <c r="N775" s="514"/>
      <c r="R775" s="293"/>
      <c r="S775" s="316"/>
      <c r="T775" s="355"/>
    </row>
    <row r="776" spans="9:20" x14ac:dyDescent="0.25">
      <c r="I776" s="314"/>
      <c r="J776" s="44"/>
      <c r="N776" s="514"/>
      <c r="R776" s="293"/>
      <c r="S776" s="316"/>
      <c r="T776" s="355"/>
    </row>
    <row r="777" spans="9:20" x14ac:dyDescent="0.25">
      <c r="I777" s="314"/>
      <c r="J777" s="44"/>
      <c r="N777" s="514"/>
      <c r="R777" s="293"/>
      <c r="S777" s="316"/>
      <c r="T777" s="355"/>
    </row>
    <row r="778" spans="9:20" x14ac:dyDescent="0.25">
      <c r="I778" s="314"/>
      <c r="J778" s="44"/>
      <c r="N778" s="514"/>
      <c r="R778" s="293"/>
      <c r="S778" s="316"/>
      <c r="T778" s="355"/>
    </row>
    <row r="779" spans="9:20" x14ac:dyDescent="0.25">
      <c r="I779" s="314"/>
      <c r="J779" s="44"/>
      <c r="N779" s="514"/>
      <c r="R779" s="293"/>
      <c r="S779" s="316"/>
      <c r="T779" s="355"/>
    </row>
    <row r="780" spans="9:20" x14ac:dyDescent="0.25">
      <c r="I780" s="314"/>
      <c r="J780" s="44"/>
      <c r="N780" s="514"/>
      <c r="R780" s="293"/>
      <c r="S780" s="316"/>
      <c r="T780" s="355"/>
    </row>
    <row r="781" spans="9:20" x14ac:dyDescent="0.25">
      <c r="I781" s="314"/>
      <c r="J781" s="44"/>
      <c r="N781" s="514"/>
      <c r="R781" s="293"/>
      <c r="S781" s="316"/>
      <c r="T781" s="355"/>
    </row>
    <row r="782" spans="9:20" x14ac:dyDescent="0.25">
      <c r="I782" s="314"/>
      <c r="J782" s="44"/>
      <c r="N782" s="514"/>
      <c r="R782" s="293"/>
      <c r="S782" s="316"/>
      <c r="T782" s="355"/>
    </row>
    <row r="783" spans="9:20" x14ac:dyDescent="0.25">
      <c r="I783" s="314"/>
      <c r="J783" s="44"/>
      <c r="N783" s="514"/>
      <c r="R783" s="293"/>
      <c r="S783" s="316"/>
      <c r="T783" s="355"/>
    </row>
    <row r="784" spans="9:20" x14ac:dyDescent="0.25">
      <c r="I784" s="314"/>
      <c r="J784" s="44"/>
      <c r="N784" s="514"/>
      <c r="R784" s="293"/>
      <c r="S784" s="316"/>
      <c r="T784" s="355"/>
    </row>
    <row r="785" spans="9:20" x14ac:dyDescent="0.25">
      <c r="I785" s="314"/>
      <c r="J785" s="44"/>
      <c r="N785" s="514"/>
      <c r="R785" s="293"/>
      <c r="S785" s="316"/>
      <c r="T785" s="355"/>
    </row>
    <row r="786" spans="9:20" x14ac:dyDescent="0.25">
      <c r="I786" s="314"/>
      <c r="J786" s="44"/>
      <c r="N786" s="514"/>
      <c r="R786" s="293"/>
      <c r="S786" s="316"/>
      <c r="T786" s="355"/>
    </row>
    <row r="787" spans="9:20" x14ac:dyDescent="0.25">
      <c r="I787" s="314"/>
      <c r="J787" s="44"/>
      <c r="N787" s="514"/>
      <c r="R787" s="293"/>
      <c r="S787" s="316"/>
      <c r="T787" s="355"/>
    </row>
    <row r="788" spans="9:20" x14ac:dyDescent="0.25">
      <c r="I788" s="314"/>
      <c r="J788" s="44"/>
      <c r="N788" s="514"/>
      <c r="R788" s="293"/>
      <c r="S788" s="316"/>
      <c r="T788" s="355"/>
    </row>
    <row r="789" spans="9:20" x14ac:dyDescent="0.25">
      <c r="I789" s="314"/>
      <c r="J789" s="44"/>
      <c r="N789" s="514"/>
      <c r="R789" s="293"/>
      <c r="S789" s="316"/>
      <c r="T789" s="355"/>
    </row>
    <row r="790" spans="9:20" x14ac:dyDescent="0.25">
      <c r="I790" s="314"/>
      <c r="J790" s="44"/>
      <c r="N790" s="514"/>
      <c r="R790" s="293"/>
      <c r="S790" s="316"/>
      <c r="T790" s="355"/>
    </row>
    <row r="791" spans="9:20" x14ac:dyDescent="0.25">
      <c r="I791" s="314"/>
      <c r="J791" s="44"/>
      <c r="N791" s="514"/>
      <c r="R791" s="293"/>
      <c r="S791" s="316"/>
      <c r="T791" s="355"/>
    </row>
    <row r="792" spans="9:20" x14ac:dyDescent="0.25">
      <c r="I792" s="314"/>
      <c r="J792" s="44"/>
      <c r="N792" s="514"/>
      <c r="R792" s="293"/>
      <c r="S792" s="316"/>
      <c r="T792" s="355"/>
    </row>
    <row r="793" spans="9:20" x14ac:dyDescent="0.25">
      <c r="I793" s="314"/>
      <c r="J793" s="44"/>
      <c r="N793" s="514"/>
      <c r="R793" s="293"/>
      <c r="S793" s="316"/>
      <c r="T793" s="355"/>
    </row>
    <row r="794" spans="9:20" x14ac:dyDescent="0.25">
      <c r="I794" s="314"/>
      <c r="J794" s="44"/>
      <c r="N794" s="514"/>
      <c r="R794" s="293"/>
      <c r="S794" s="316"/>
      <c r="T794" s="355"/>
    </row>
    <row r="795" spans="9:20" x14ac:dyDescent="0.25">
      <c r="I795" s="314"/>
      <c r="J795" s="44"/>
      <c r="N795" s="514"/>
      <c r="R795" s="293"/>
      <c r="S795" s="316"/>
      <c r="T795" s="355"/>
    </row>
    <row r="796" spans="9:20" x14ac:dyDescent="0.25">
      <c r="I796" s="314"/>
      <c r="J796" s="44"/>
      <c r="N796" s="514"/>
      <c r="R796" s="293"/>
      <c r="S796" s="316"/>
      <c r="T796" s="355"/>
    </row>
    <row r="797" spans="9:20" x14ac:dyDescent="0.25">
      <c r="I797" s="314"/>
      <c r="J797" s="44"/>
      <c r="N797" s="514"/>
      <c r="R797" s="293"/>
      <c r="S797" s="316"/>
      <c r="T797" s="355"/>
    </row>
    <row r="798" spans="9:20" x14ac:dyDescent="0.25">
      <c r="I798" s="314"/>
      <c r="J798" s="44"/>
      <c r="N798" s="514"/>
      <c r="R798" s="293"/>
      <c r="S798" s="316"/>
      <c r="T798" s="355"/>
    </row>
    <row r="799" spans="9:20" x14ac:dyDescent="0.25">
      <c r="I799" s="314"/>
      <c r="J799" s="44"/>
      <c r="N799" s="514"/>
      <c r="R799" s="293"/>
      <c r="S799" s="316"/>
      <c r="T799" s="355"/>
    </row>
    <row r="800" spans="9:20" x14ac:dyDescent="0.25">
      <c r="I800" s="314"/>
      <c r="J800" s="44"/>
      <c r="N800" s="514"/>
      <c r="R800" s="293"/>
      <c r="S800" s="316"/>
      <c r="T800" s="355"/>
    </row>
    <row r="801" spans="9:20" x14ac:dyDescent="0.25">
      <c r="I801" s="314"/>
      <c r="J801" s="45"/>
      <c r="N801" s="514"/>
      <c r="R801" s="293"/>
      <c r="S801" s="316"/>
      <c r="T801" s="355"/>
    </row>
    <row r="802" spans="9:20" x14ac:dyDescent="0.25">
      <c r="I802" s="314"/>
      <c r="J802" s="45"/>
      <c r="N802" s="514"/>
      <c r="R802" s="293"/>
      <c r="S802" s="316"/>
      <c r="T802" s="355"/>
    </row>
    <row r="803" spans="9:20" x14ac:dyDescent="0.25">
      <c r="I803" s="314"/>
      <c r="J803" s="45"/>
      <c r="N803" s="514"/>
      <c r="R803" s="293"/>
      <c r="S803" s="316"/>
      <c r="T803" s="355"/>
    </row>
    <row r="804" spans="9:20" x14ac:dyDescent="0.25">
      <c r="I804" s="314"/>
      <c r="J804" s="45"/>
      <c r="N804" s="514"/>
      <c r="R804" s="293"/>
      <c r="S804" s="316"/>
      <c r="T804" s="355"/>
    </row>
    <row r="805" spans="9:20" x14ac:dyDescent="0.25">
      <c r="I805" s="314"/>
      <c r="J805" s="45"/>
      <c r="N805" s="514"/>
      <c r="R805" s="293"/>
      <c r="S805" s="316"/>
      <c r="T805" s="355"/>
    </row>
    <row r="806" spans="9:20" x14ac:dyDescent="0.25">
      <c r="I806" s="314"/>
      <c r="J806" s="45"/>
      <c r="N806" s="514"/>
      <c r="R806" s="293"/>
      <c r="S806" s="316"/>
      <c r="T806" s="355"/>
    </row>
    <row r="807" spans="9:20" x14ac:dyDescent="0.25">
      <c r="I807" s="314"/>
      <c r="J807" s="45"/>
      <c r="N807" s="514"/>
      <c r="R807" s="293"/>
      <c r="S807" s="316"/>
      <c r="T807" s="355"/>
    </row>
    <row r="808" spans="9:20" x14ac:dyDescent="0.25">
      <c r="I808" s="314"/>
      <c r="J808" s="45"/>
      <c r="N808" s="514"/>
      <c r="R808" s="293"/>
      <c r="S808" s="316"/>
      <c r="T808" s="355"/>
    </row>
    <row r="809" spans="9:20" x14ac:dyDescent="0.25">
      <c r="I809" s="314"/>
      <c r="J809" s="45"/>
      <c r="N809" s="514"/>
      <c r="R809" s="293"/>
      <c r="S809" s="316"/>
      <c r="T809" s="355"/>
    </row>
    <row r="810" spans="9:20" x14ac:dyDescent="0.25">
      <c r="I810" s="314"/>
      <c r="J810" s="45"/>
      <c r="N810" s="514"/>
      <c r="R810" s="293"/>
      <c r="S810" s="316"/>
      <c r="T810" s="355"/>
    </row>
    <row r="811" spans="9:20" x14ac:dyDescent="0.25">
      <c r="I811" s="314"/>
      <c r="J811" s="45"/>
      <c r="N811" s="514"/>
      <c r="R811" s="293"/>
      <c r="S811" s="316"/>
      <c r="T811" s="355"/>
    </row>
    <row r="812" spans="9:20" x14ac:dyDescent="0.25">
      <c r="I812" s="314"/>
      <c r="J812" s="45"/>
      <c r="N812" s="514"/>
      <c r="R812" s="293"/>
      <c r="S812" s="316"/>
      <c r="T812" s="355"/>
    </row>
    <row r="813" spans="9:20" x14ac:dyDescent="0.25">
      <c r="I813" s="314"/>
      <c r="J813" s="45"/>
      <c r="N813" s="514"/>
      <c r="R813" s="293"/>
      <c r="S813" s="316"/>
      <c r="T813" s="355"/>
    </row>
    <row r="814" spans="9:20" x14ac:dyDescent="0.25">
      <c r="I814" s="314"/>
      <c r="J814" s="45"/>
      <c r="N814" s="514"/>
      <c r="R814" s="293"/>
      <c r="S814" s="316"/>
      <c r="T814" s="355"/>
    </row>
    <row r="815" spans="9:20" x14ac:dyDescent="0.25">
      <c r="I815" s="314"/>
      <c r="J815" s="45"/>
      <c r="N815" s="514"/>
      <c r="R815" s="293"/>
      <c r="S815" s="316"/>
      <c r="T815" s="355"/>
    </row>
    <row r="816" spans="9:20" x14ac:dyDescent="0.25">
      <c r="I816" s="314"/>
      <c r="J816" s="45"/>
      <c r="N816" s="514"/>
      <c r="R816" s="293"/>
      <c r="S816" s="316"/>
      <c r="T816" s="355"/>
    </row>
    <row r="817" spans="9:20" x14ac:dyDescent="0.25">
      <c r="I817" s="314"/>
      <c r="J817" s="45"/>
      <c r="N817" s="514"/>
      <c r="R817" s="293"/>
      <c r="S817" s="316"/>
      <c r="T817" s="355"/>
    </row>
    <row r="818" spans="9:20" x14ac:dyDescent="0.25">
      <c r="I818" s="314"/>
      <c r="J818" s="45"/>
      <c r="N818" s="514"/>
      <c r="R818" s="293"/>
      <c r="S818" s="316"/>
      <c r="T818" s="355"/>
    </row>
    <row r="819" spans="9:20" x14ac:dyDescent="0.25">
      <c r="I819" s="314"/>
      <c r="J819" s="45"/>
      <c r="N819" s="514"/>
      <c r="R819" s="293"/>
      <c r="S819" s="316"/>
      <c r="T819" s="355"/>
    </row>
    <row r="820" spans="9:20" x14ac:dyDescent="0.25">
      <c r="I820" s="314"/>
      <c r="J820" s="45"/>
      <c r="N820" s="514"/>
      <c r="R820" s="293"/>
      <c r="S820" s="316"/>
      <c r="T820" s="355"/>
    </row>
    <row r="821" spans="9:20" x14ac:dyDescent="0.25">
      <c r="I821" s="314"/>
      <c r="J821" s="45"/>
      <c r="N821" s="514"/>
      <c r="R821" s="293"/>
      <c r="S821" s="316"/>
      <c r="T821" s="355"/>
    </row>
    <row r="822" spans="9:20" x14ac:dyDescent="0.25">
      <c r="I822" s="314"/>
      <c r="J822" s="45"/>
      <c r="N822" s="514"/>
      <c r="R822" s="293"/>
      <c r="S822" s="316"/>
      <c r="T822" s="355"/>
    </row>
    <row r="823" spans="9:20" x14ac:dyDescent="0.25">
      <c r="I823" s="314"/>
      <c r="J823" s="45"/>
      <c r="N823" s="514"/>
      <c r="R823" s="293"/>
      <c r="S823" s="316"/>
      <c r="T823" s="355"/>
    </row>
    <row r="824" spans="9:20" x14ac:dyDescent="0.25">
      <c r="I824" s="314"/>
      <c r="J824" s="45"/>
      <c r="N824" s="514"/>
      <c r="R824" s="293"/>
      <c r="S824" s="316"/>
      <c r="T824" s="355"/>
    </row>
    <row r="825" spans="9:20" x14ac:dyDescent="0.25">
      <c r="I825" s="314"/>
      <c r="J825" s="45"/>
      <c r="N825" s="514"/>
      <c r="R825" s="293"/>
      <c r="S825" s="316"/>
      <c r="T825" s="355"/>
    </row>
    <row r="826" spans="9:20" x14ac:dyDescent="0.25">
      <c r="I826" s="314"/>
      <c r="J826" s="45"/>
      <c r="N826" s="514"/>
      <c r="R826" s="293"/>
      <c r="S826" s="316"/>
      <c r="T826" s="355"/>
    </row>
    <row r="827" spans="9:20" x14ac:dyDescent="0.25">
      <c r="I827" s="314"/>
      <c r="J827" s="45"/>
      <c r="N827" s="514"/>
      <c r="R827" s="293"/>
      <c r="S827" s="316"/>
      <c r="T827" s="355"/>
    </row>
    <row r="828" spans="9:20" x14ac:dyDescent="0.25">
      <c r="I828" s="314"/>
      <c r="J828" s="45"/>
      <c r="N828" s="514"/>
      <c r="R828" s="293"/>
      <c r="S828" s="316"/>
      <c r="T828" s="355"/>
    </row>
    <row r="829" spans="9:20" x14ac:dyDescent="0.25">
      <c r="I829" s="314"/>
      <c r="J829" s="45"/>
      <c r="N829" s="514"/>
      <c r="R829" s="293"/>
      <c r="S829" s="316"/>
      <c r="T829" s="355"/>
    </row>
    <row r="830" spans="9:20" x14ac:dyDescent="0.25">
      <c r="I830" s="314"/>
      <c r="J830" s="45"/>
      <c r="N830" s="514"/>
      <c r="R830" s="293"/>
      <c r="S830" s="316"/>
      <c r="T830" s="355"/>
    </row>
    <row r="831" spans="9:20" x14ac:dyDescent="0.25">
      <c r="I831" s="314"/>
      <c r="J831" s="45"/>
      <c r="N831" s="514"/>
      <c r="R831" s="293"/>
      <c r="S831" s="316"/>
      <c r="T831" s="355"/>
    </row>
    <row r="832" spans="9:20" x14ac:dyDescent="0.25">
      <c r="I832" s="314"/>
      <c r="J832" s="45"/>
      <c r="N832" s="514"/>
      <c r="R832" s="293"/>
      <c r="S832" s="316"/>
      <c r="T832" s="355"/>
    </row>
    <row r="833" spans="9:20" x14ac:dyDescent="0.25">
      <c r="I833" s="314"/>
      <c r="J833" s="45"/>
      <c r="N833" s="514"/>
      <c r="R833" s="293"/>
      <c r="S833" s="316"/>
      <c r="T833" s="355"/>
    </row>
    <row r="834" spans="9:20" x14ac:dyDescent="0.25">
      <c r="I834" s="314"/>
      <c r="J834" s="45"/>
      <c r="N834" s="514"/>
      <c r="R834" s="293"/>
      <c r="S834" s="316"/>
      <c r="T834" s="355"/>
    </row>
    <row r="835" spans="9:20" x14ac:dyDescent="0.25">
      <c r="I835" s="314"/>
      <c r="J835" s="45"/>
      <c r="N835" s="514"/>
      <c r="R835" s="293"/>
      <c r="S835" s="316"/>
      <c r="T835" s="355"/>
    </row>
    <row r="836" spans="9:20" x14ac:dyDescent="0.25">
      <c r="I836" s="314"/>
      <c r="J836" s="45"/>
      <c r="N836" s="514"/>
      <c r="R836" s="293"/>
      <c r="S836" s="316"/>
      <c r="T836" s="355"/>
    </row>
    <row r="837" spans="9:20" x14ac:dyDescent="0.25">
      <c r="I837" s="314"/>
      <c r="J837" s="45"/>
      <c r="N837" s="514"/>
      <c r="R837" s="293"/>
      <c r="S837" s="316"/>
      <c r="T837" s="355"/>
    </row>
    <row r="838" spans="9:20" x14ac:dyDescent="0.25">
      <c r="I838" s="314"/>
      <c r="J838" s="45"/>
      <c r="N838" s="514"/>
      <c r="R838" s="293"/>
      <c r="S838" s="316"/>
      <c r="T838" s="355"/>
    </row>
    <row r="839" spans="9:20" x14ac:dyDescent="0.25">
      <c r="I839" s="314"/>
      <c r="J839" s="45"/>
      <c r="N839" s="514"/>
      <c r="R839" s="293"/>
      <c r="S839" s="316"/>
      <c r="T839" s="355"/>
    </row>
    <row r="840" spans="9:20" x14ac:dyDescent="0.25">
      <c r="I840" s="314"/>
      <c r="J840" s="45"/>
      <c r="N840" s="514"/>
      <c r="R840" s="293"/>
      <c r="S840" s="316"/>
      <c r="T840" s="355"/>
    </row>
    <row r="841" spans="9:20" x14ac:dyDescent="0.25">
      <c r="I841" s="314"/>
      <c r="J841" s="45"/>
      <c r="N841" s="514"/>
      <c r="R841" s="293"/>
      <c r="S841" s="316"/>
      <c r="T841" s="355"/>
    </row>
    <row r="842" spans="9:20" x14ac:dyDescent="0.25">
      <c r="I842" s="314"/>
      <c r="J842" s="45"/>
      <c r="N842" s="514"/>
      <c r="R842" s="293"/>
      <c r="S842" s="316"/>
      <c r="T842" s="355"/>
    </row>
    <row r="843" spans="9:20" x14ac:dyDescent="0.25">
      <c r="I843" s="314"/>
      <c r="J843" s="45"/>
      <c r="N843" s="514"/>
      <c r="R843" s="293"/>
      <c r="S843" s="316"/>
      <c r="T843" s="355"/>
    </row>
    <row r="844" spans="9:20" x14ac:dyDescent="0.25">
      <c r="I844" s="314"/>
      <c r="J844" s="45"/>
      <c r="N844" s="514"/>
      <c r="R844" s="293"/>
      <c r="S844" s="316"/>
      <c r="T844" s="355"/>
    </row>
    <row r="845" spans="9:20" x14ac:dyDescent="0.25">
      <c r="I845" s="314"/>
      <c r="J845" s="45"/>
      <c r="N845" s="514"/>
      <c r="R845" s="293"/>
      <c r="S845" s="316"/>
      <c r="T845" s="355"/>
    </row>
    <row r="846" spans="9:20" x14ac:dyDescent="0.25">
      <c r="I846" s="314"/>
      <c r="J846" s="45"/>
      <c r="N846" s="514"/>
      <c r="R846" s="293"/>
      <c r="S846" s="316"/>
      <c r="T846" s="355"/>
    </row>
    <row r="847" spans="9:20" x14ac:dyDescent="0.25">
      <c r="I847" s="314"/>
      <c r="J847" s="45"/>
      <c r="N847" s="514"/>
      <c r="R847" s="293"/>
      <c r="S847" s="316"/>
      <c r="T847" s="355"/>
    </row>
    <row r="848" spans="9:20" x14ac:dyDescent="0.25">
      <c r="I848" s="314"/>
      <c r="J848" s="45"/>
      <c r="N848" s="514"/>
      <c r="R848" s="293"/>
      <c r="S848" s="316"/>
      <c r="T848" s="355"/>
    </row>
    <row r="849" spans="9:20" x14ac:dyDescent="0.25">
      <c r="I849" s="314"/>
      <c r="J849" s="45"/>
      <c r="N849" s="514"/>
      <c r="R849" s="293"/>
      <c r="S849" s="316"/>
      <c r="T849" s="355"/>
    </row>
    <row r="850" spans="9:20" x14ac:dyDescent="0.25">
      <c r="I850" s="314"/>
      <c r="J850" s="45"/>
      <c r="N850" s="514"/>
      <c r="R850" s="293"/>
      <c r="S850" s="316"/>
      <c r="T850" s="355"/>
    </row>
    <row r="851" spans="9:20" x14ac:dyDescent="0.25">
      <c r="I851" s="314"/>
      <c r="J851" s="45"/>
      <c r="N851" s="514"/>
      <c r="R851" s="293"/>
      <c r="S851" s="316"/>
      <c r="T851" s="355"/>
    </row>
    <row r="852" spans="9:20" x14ac:dyDescent="0.25">
      <c r="I852" s="314"/>
      <c r="J852" s="45"/>
      <c r="N852" s="514"/>
      <c r="R852" s="293"/>
      <c r="S852" s="316"/>
      <c r="T852" s="355"/>
    </row>
    <row r="853" spans="9:20" x14ac:dyDescent="0.25">
      <c r="I853" s="314"/>
      <c r="J853" s="45"/>
      <c r="N853" s="514"/>
      <c r="R853" s="293"/>
      <c r="S853" s="316"/>
      <c r="T853" s="355"/>
    </row>
    <row r="854" spans="9:20" x14ac:dyDescent="0.25">
      <c r="I854" s="314"/>
      <c r="J854" s="45"/>
      <c r="N854" s="514"/>
      <c r="R854" s="293"/>
      <c r="S854" s="316"/>
      <c r="T854" s="355"/>
    </row>
    <row r="855" spans="9:20" x14ac:dyDescent="0.25">
      <c r="I855" s="314"/>
      <c r="J855" s="45"/>
      <c r="N855" s="514"/>
      <c r="R855" s="293"/>
      <c r="S855" s="316"/>
      <c r="T855" s="355"/>
    </row>
    <row r="856" spans="9:20" x14ac:dyDescent="0.25">
      <c r="I856" s="314"/>
      <c r="J856" s="45"/>
      <c r="N856" s="514"/>
      <c r="R856" s="293"/>
      <c r="S856" s="316"/>
      <c r="T856" s="355"/>
    </row>
    <row r="857" spans="9:20" x14ac:dyDescent="0.25">
      <c r="I857" s="314"/>
      <c r="J857" s="45"/>
      <c r="N857" s="514"/>
      <c r="R857" s="293"/>
      <c r="S857" s="316"/>
      <c r="T857" s="355"/>
    </row>
    <row r="858" spans="9:20" x14ac:dyDescent="0.25">
      <c r="I858" s="314"/>
      <c r="J858" s="45"/>
      <c r="N858" s="514"/>
      <c r="R858" s="293"/>
      <c r="S858" s="316"/>
      <c r="T858" s="355"/>
    </row>
    <row r="859" spans="9:20" x14ac:dyDescent="0.25">
      <c r="I859" s="314"/>
      <c r="J859" s="45"/>
      <c r="N859" s="514"/>
      <c r="R859" s="293"/>
      <c r="S859" s="316"/>
      <c r="T859" s="355"/>
    </row>
    <row r="860" spans="9:20" x14ac:dyDescent="0.25">
      <c r="I860" s="314"/>
      <c r="J860" s="45"/>
      <c r="N860" s="514"/>
      <c r="R860" s="293"/>
      <c r="S860" s="316"/>
      <c r="T860" s="355"/>
    </row>
    <row r="861" spans="9:20" x14ac:dyDescent="0.25">
      <c r="I861" s="314"/>
      <c r="J861" s="45"/>
      <c r="N861" s="514"/>
      <c r="R861" s="293"/>
      <c r="S861" s="316"/>
      <c r="T861" s="355"/>
    </row>
    <row r="862" spans="9:20" x14ac:dyDescent="0.25">
      <c r="I862" s="314"/>
      <c r="J862" s="45"/>
      <c r="N862" s="514"/>
      <c r="R862" s="293"/>
      <c r="S862" s="316"/>
      <c r="T862" s="355"/>
    </row>
    <row r="863" spans="9:20" x14ac:dyDescent="0.25">
      <c r="I863" s="314"/>
      <c r="J863" s="45"/>
      <c r="N863" s="514"/>
      <c r="R863" s="293"/>
      <c r="S863" s="316"/>
      <c r="T863" s="355"/>
    </row>
    <row r="864" spans="9:20" x14ac:dyDescent="0.25">
      <c r="I864" s="314"/>
      <c r="J864" s="45"/>
      <c r="N864" s="514"/>
      <c r="R864" s="293"/>
      <c r="S864" s="316"/>
      <c r="T864" s="355"/>
    </row>
    <row r="865" spans="9:20" x14ac:dyDescent="0.25">
      <c r="I865" s="314"/>
      <c r="J865" s="45"/>
      <c r="N865" s="514"/>
      <c r="R865" s="293"/>
      <c r="S865" s="316"/>
      <c r="T865" s="355"/>
    </row>
    <row r="866" spans="9:20" x14ac:dyDescent="0.25">
      <c r="I866" s="314"/>
      <c r="J866" s="45"/>
      <c r="N866" s="514"/>
      <c r="R866" s="293"/>
      <c r="S866" s="316"/>
      <c r="T866" s="355"/>
    </row>
    <row r="867" spans="9:20" x14ac:dyDescent="0.25">
      <c r="I867" s="314"/>
      <c r="J867" s="45"/>
      <c r="N867" s="514"/>
      <c r="R867" s="293"/>
      <c r="S867" s="316"/>
      <c r="T867" s="355"/>
    </row>
    <row r="868" spans="9:20" x14ac:dyDescent="0.25">
      <c r="I868" s="314"/>
      <c r="J868" s="45"/>
      <c r="N868" s="514"/>
      <c r="R868" s="293"/>
      <c r="S868" s="316"/>
      <c r="T868" s="355"/>
    </row>
    <row r="869" spans="9:20" x14ac:dyDescent="0.25">
      <c r="I869" s="314"/>
      <c r="J869" s="45"/>
      <c r="N869" s="514"/>
      <c r="R869" s="293"/>
      <c r="S869" s="316"/>
      <c r="T869" s="355"/>
    </row>
    <row r="870" spans="9:20" x14ac:dyDescent="0.25">
      <c r="I870" s="314"/>
      <c r="J870" s="45"/>
      <c r="N870" s="514"/>
      <c r="R870" s="293"/>
      <c r="S870" s="316"/>
      <c r="T870" s="355"/>
    </row>
    <row r="871" spans="9:20" x14ac:dyDescent="0.25">
      <c r="I871" s="314"/>
      <c r="J871" s="45"/>
      <c r="N871" s="514"/>
      <c r="R871" s="293"/>
      <c r="S871" s="316"/>
      <c r="T871" s="355"/>
    </row>
    <row r="872" spans="9:20" x14ac:dyDescent="0.25">
      <c r="I872" s="314"/>
      <c r="J872" s="45"/>
      <c r="N872" s="514"/>
      <c r="R872" s="293"/>
      <c r="S872" s="316"/>
      <c r="T872" s="355"/>
    </row>
    <row r="873" spans="9:20" x14ac:dyDescent="0.25">
      <c r="I873" s="314"/>
      <c r="J873" s="45"/>
      <c r="N873" s="514"/>
      <c r="R873" s="293"/>
      <c r="S873" s="316"/>
      <c r="T873" s="355"/>
    </row>
    <row r="874" spans="9:20" x14ac:dyDescent="0.25">
      <c r="I874" s="314"/>
      <c r="J874" s="45"/>
      <c r="N874" s="514"/>
      <c r="R874" s="293"/>
      <c r="S874" s="316"/>
      <c r="T874" s="355"/>
    </row>
    <row r="875" spans="9:20" x14ac:dyDescent="0.25">
      <c r="I875" s="314"/>
      <c r="J875" s="45"/>
      <c r="N875" s="514"/>
      <c r="R875" s="293"/>
      <c r="S875" s="316"/>
      <c r="T875" s="355"/>
    </row>
    <row r="876" spans="9:20" x14ac:dyDescent="0.25">
      <c r="I876" s="314"/>
      <c r="J876" s="45"/>
      <c r="N876" s="514"/>
      <c r="R876" s="293"/>
      <c r="S876" s="316"/>
      <c r="T876" s="355"/>
    </row>
    <row r="877" spans="9:20" x14ac:dyDescent="0.25">
      <c r="I877" s="314"/>
      <c r="J877" s="45"/>
      <c r="N877" s="514"/>
      <c r="R877" s="293"/>
      <c r="S877" s="316"/>
      <c r="T877" s="355"/>
    </row>
    <row r="878" spans="9:20" x14ac:dyDescent="0.25">
      <c r="I878" s="314"/>
      <c r="J878" s="45"/>
      <c r="N878" s="514"/>
      <c r="R878" s="293"/>
      <c r="S878" s="316"/>
      <c r="T878" s="355"/>
    </row>
    <row r="879" spans="9:20" x14ac:dyDescent="0.25">
      <c r="I879" s="314"/>
      <c r="J879" s="45"/>
      <c r="N879" s="514"/>
      <c r="R879" s="293"/>
      <c r="S879" s="316"/>
      <c r="T879" s="355"/>
    </row>
    <row r="880" spans="9:20" x14ac:dyDescent="0.25">
      <c r="I880" s="314"/>
      <c r="J880" s="45"/>
      <c r="N880" s="514"/>
      <c r="R880" s="293"/>
      <c r="S880" s="316"/>
      <c r="T880" s="355"/>
    </row>
    <row r="881" spans="9:20" x14ac:dyDescent="0.25">
      <c r="I881" s="314"/>
      <c r="J881" s="45"/>
      <c r="N881" s="514"/>
      <c r="R881" s="293"/>
      <c r="S881" s="316"/>
      <c r="T881" s="355"/>
    </row>
    <row r="882" spans="9:20" x14ac:dyDescent="0.25">
      <c r="I882" s="314"/>
      <c r="J882" s="45"/>
      <c r="N882" s="514"/>
      <c r="R882" s="293"/>
      <c r="S882" s="316"/>
      <c r="T882" s="355"/>
    </row>
    <row r="883" spans="9:20" x14ac:dyDescent="0.25">
      <c r="I883" s="314"/>
      <c r="J883" s="45"/>
      <c r="N883" s="514"/>
      <c r="R883" s="293"/>
      <c r="S883" s="316"/>
      <c r="T883" s="355"/>
    </row>
    <row r="884" spans="9:20" x14ac:dyDescent="0.25">
      <c r="I884" s="314"/>
      <c r="J884" s="45"/>
      <c r="N884" s="514"/>
      <c r="R884" s="293"/>
      <c r="S884" s="316"/>
      <c r="T884" s="355"/>
    </row>
    <row r="885" spans="9:20" x14ac:dyDescent="0.25">
      <c r="I885" s="314"/>
      <c r="J885" s="45"/>
      <c r="N885" s="514"/>
      <c r="R885" s="293"/>
      <c r="S885" s="316"/>
      <c r="T885" s="355"/>
    </row>
    <row r="886" spans="9:20" x14ac:dyDescent="0.25">
      <c r="I886" s="314"/>
      <c r="J886" s="45"/>
      <c r="N886" s="514"/>
      <c r="R886" s="293"/>
      <c r="S886" s="316"/>
      <c r="T886" s="355"/>
    </row>
    <row r="887" spans="9:20" x14ac:dyDescent="0.25">
      <c r="I887" s="314"/>
      <c r="J887" s="45"/>
      <c r="N887" s="514"/>
      <c r="R887" s="293"/>
      <c r="S887" s="316"/>
      <c r="T887" s="355"/>
    </row>
    <row r="888" spans="9:20" x14ac:dyDescent="0.25">
      <c r="I888" s="314"/>
      <c r="J888" s="45"/>
      <c r="N888" s="514"/>
      <c r="R888" s="293"/>
      <c r="S888" s="316"/>
      <c r="T888" s="355"/>
    </row>
    <row r="889" spans="9:20" x14ac:dyDescent="0.25">
      <c r="I889" s="314"/>
      <c r="J889" s="45"/>
      <c r="N889" s="514"/>
      <c r="R889" s="293"/>
      <c r="S889" s="316"/>
      <c r="T889" s="355"/>
    </row>
    <row r="890" spans="9:20" x14ac:dyDescent="0.25">
      <c r="I890" s="314"/>
      <c r="J890" s="45"/>
      <c r="N890" s="514"/>
      <c r="R890" s="293"/>
      <c r="S890" s="316"/>
      <c r="T890" s="355"/>
    </row>
    <row r="891" spans="9:20" x14ac:dyDescent="0.25">
      <c r="I891" s="314"/>
      <c r="J891" s="45"/>
      <c r="N891" s="514"/>
      <c r="R891" s="293"/>
      <c r="S891" s="316"/>
      <c r="T891" s="355"/>
    </row>
    <row r="892" spans="9:20" x14ac:dyDescent="0.25">
      <c r="I892" s="314"/>
      <c r="J892" s="45"/>
      <c r="N892" s="514"/>
      <c r="R892" s="293"/>
      <c r="S892" s="316"/>
      <c r="T892" s="355"/>
    </row>
    <row r="893" spans="9:20" x14ac:dyDescent="0.25">
      <c r="I893" s="314"/>
      <c r="J893" s="45"/>
      <c r="N893" s="514"/>
      <c r="R893" s="293"/>
      <c r="S893" s="316"/>
      <c r="T893" s="355"/>
    </row>
    <row r="894" spans="9:20" x14ac:dyDescent="0.25">
      <c r="I894" s="314"/>
      <c r="J894" s="45"/>
      <c r="N894" s="514"/>
      <c r="R894" s="293"/>
      <c r="S894" s="316"/>
      <c r="T894" s="355"/>
    </row>
    <row r="895" spans="9:20" x14ac:dyDescent="0.25">
      <c r="I895" s="314"/>
      <c r="J895" s="45"/>
      <c r="N895" s="514"/>
      <c r="R895" s="293"/>
      <c r="S895" s="316"/>
      <c r="T895" s="355"/>
    </row>
    <row r="896" spans="9:20" x14ac:dyDescent="0.25">
      <c r="I896" s="314"/>
      <c r="J896" s="45"/>
      <c r="N896" s="514"/>
      <c r="R896" s="293"/>
      <c r="S896" s="316"/>
      <c r="T896" s="355"/>
    </row>
    <row r="897" spans="9:20" x14ac:dyDescent="0.25">
      <c r="I897" s="314"/>
      <c r="J897" s="45"/>
      <c r="N897" s="514"/>
      <c r="R897" s="293"/>
      <c r="S897" s="316"/>
      <c r="T897" s="355"/>
    </row>
    <row r="898" spans="9:20" x14ac:dyDescent="0.25">
      <c r="I898" s="314"/>
      <c r="J898" s="45"/>
      <c r="N898" s="514"/>
      <c r="R898" s="293"/>
      <c r="S898" s="316"/>
      <c r="T898" s="355"/>
    </row>
    <row r="899" spans="9:20" x14ac:dyDescent="0.25">
      <c r="I899" s="314"/>
      <c r="J899" s="45"/>
      <c r="N899" s="514"/>
      <c r="R899" s="293"/>
      <c r="S899" s="316"/>
      <c r="T899" s="355"/>
    </row>
    <row r="900" spans="9:20" x14ac:dyDescent="0.25">
      <c r="I900" s="314"/>
      <c r="J900" s="45"/>
      <c r="N900" s="514"/>
      <c r="R900" s="293"/>
      <c r="S900" s="316"/>
      <c r="T900" s="355"/>
    </row>
    <row r="901" spans="9:20" x14ac:dyDescent="0.25">
      <c r="I901" s="314"/>
      <c r="J901" s="45"/>
      <c r="N901" s="514"/>
      <c r="R901" s="293"/>
      <c r="S901" s="316"/>
      <c r="T901" s="355"/>
    </row>
    <row r="902" spans="9:20" x14ac:dyDescent="0.25">
      <c r="I902" s="314"/>
      <c r="J902" s="45"/>
      <c r="N902" s="514"/>
      <c r="R902" s="293"/>
      <c r="S902" s="316"/>
      <c r="T902" s="355"/>
    </row>
    <row r="903" spans="9:20" x14ac:dyDescent="0.25">
      <c r="I903" s="314"/>
      <c r="J903" s="45"/>
      <c r="N903" s="514"/>
      <c r="R903" s="293"/>
      <c r="S903" s="316"/>
      <c r="T903" s="355"/>
    </row>
    <row r="904" spans="9:20" x14ac:dyDescent="0.25">
      <c r="I904" s="314"/>
      <c r="J904" s="45"/>
      <c r="N904" s="514"/>
      <c r="R904" s="293"/>
      <c r="S904" s="316"/>
      <c r="T904" s="355"/>
    </row>
    <row r="905" spans="9:20" x14ac:dyDescent="0.25">
      <c r="I905" s="314"/>
      <c r="J905" s="45"/>
      <c r="N905" s="514"/>
      <c r="R905" s="293"/>
      <c r="S905" s="316"/>
      <c r="T905" s="355"/>
    </row>
    <row r="906" spans="9:20" x14ac:dyDescent="0.25">
      <c r="I906" s="314"/>
      <c r="J906" s="45"/>
      <c r="N906" s="514"/>
      <c r="R906" s="293"/>
      <c r="S906" s="316"/>
      <c r="T906" s="355"/>
    </row>
    <row r="907" spans="9:20" x14ac:dyDescent="0.25">
      <c r="I907" s="314"/>
      <c r="J907" s="45"/>
      <c r="N907" s="514"/>
      <c r="R907" s="293"/>
      <c r="S907" s="316"/>
      <c r="T907" s="355"/>
    </row>
    <row r="908" spans="9:20" x14ac:dyDescent="0.25">
      <c r="I908" s="314"/>
      <c r="J908" s="45"/>
      <c r="N908" s="514"/>
      <c r="R908" s="293"/>
      <c r="S908" s="316"/>
      <c r="T908" s="355"/>
    </row>
    <row r="909" spans="9:20" x14ac:dyDescent="0.25">
      <c r="I909" s="314"/>
      <c r="J909" s="45"/>
      <c r="N909" s="514"/>
      <c r="R909" s="293"/>
      <c r="S909" s="316"/>
      <c r="T909" s="355"/>
    </row>
    <row r="910" spans="9:20" x14ac:dyDescent="0.25">
      <c r="I910" s="314"/>
      <c r="J910" s="45"/>
      <c r="N910" s="514"/>
      <c r="R910" s="293"/>
      <c r="S910" s="316"/>
      <c r="T910" s="355"/>
    </row>
    <row r="911" spans="9:20" x14ac:dyDescent="0.25">
      <c r="I911" s="314"/>
      <c r="J911" s="45"/>
      <c r="N911" s="514"/>
      <c r="R911" s="293"/>
      <c r="S911" s="316"/>
      <c r="T911" s="355"/>
    </row>
    <row r="912" spans="9:20" x14ac:dyDescent="0.25">
      <c r="I912" s="314"/>
      <c r="J912" s="45"/>
      <c r="N912" s="514"/>
      <c r="R912" s="293"/>
      <c r="S912" s="316"/>
      <c r="T912" s="355"/>
    </row>
    <row r="913" spans="9:20" x14ac:dyDescent="0.25">
      <c r="I913" s="314"/>
      <c r="J913" s="45"/>
      <c r="N913" s="514"/>
      <c r="R913" s="293"/>
      <c r="S913" s="316"/>
      <c r="T913" s="355"/>
    </row>
    <row r="914" spans="9:20" x14ac:dyDescent="0.25">
      <c r="I914" s="314"/>
      <c r="J914" s="45"/>
      <c r="N914" s="514"/>
      <c r="R914" s="293"/>
      <c r="S914" s="316"/>
      <c r="T914" s="355"/>
    </row>
    <row r="915" spans="9:20" x14ac:dyDescent="0.25">
      <c r="I915" s="314"/>
      <c r="J915" s="45"/>
      <c r="N915" s="514"/>
      <c r="R915" s="293"/>
      <c r="S915" s="316"/>
      <c r="T915" s="355"/>
    </row>
    <row r="916" spans="9:20" x14ac:dyDescent="0.25">
      <c r="I916" s="314"/>
      <c r="J916" s="45"/>
      <c r="N916" s="514"/>
      <c r="R916" s="293"/>
      <c r="S916" s="316"/>
      <c r="T916" s="355"/>
    </row>
    <row r="917" spans="9:20" x14ac:dyDescent="0.25">
      <c r="I917" s="314"/>
      <c r="J917" s="45"/>
      <c r="N917" s="514"/>
      <c r="R917" s="293"/>
      <c r="S917" s="316"/>
      <c r="T917" s="355"/>
    </row>
    <row r="918" spans="9:20" x14ac:dyDescent="0.25">
      <c r="I918" s="314"/>
      <c r="J918" s="45"/>
      <c r="N918" s="514"/>
      <c r="R918" s="293"/>
      <c r="S918" s="316"/>
      <c r="T918" s="355"/>
    </row>
    <row r="919" spans="9:20" x14ac:dyDescent="0.25">
      <c r="I919" s="314"/>
      <c r="J919" s="45"/>
      <c r="N919" s="514"/>
      <c r="R919" s="293"/>
      <c r="S919" s="316"/>
      <c r="T919" s="355"/>
    </row>
    <row r="920" spans="9:20" x14ac:dyDescent="0.25">
      <c r="I920" s="314"/>
      <c r="J920" s="45"/>
      <c r="N920" s="514"/>
      <c r="R920" s="293"/>
      <c r="S920" s="316"/>
      <c r="T920" s="355"/>
    </row>
    <row r="921" spans="9:20" x14ac:dyDescent="0.25">
      <c r="I921" s="314"/>
      <c r="J921" s="45"/>
      <c r="N921" s="514"/>
      <c r="R921" s="293"/>
      <c r="S921" s="316"/>
      <c r="T921" s="355"/>
    </row>
    <row r="922" spans="9:20" x14ac:dyDescent="0.25">
      <c r="I922" s="314"/>
      <c r="J922" s="45"/>
      <c r="N922" s="514"/>
      <c r="R922" s="293"/>
      <c r="S922" s="316"/>
      <c r="T922" s="355"/>
    </row>
    <row r="923" spans="9:20" x14ac:dyDescent="0.25">
      <c r="I923" s="314"/>
      <c r="J923" s="45"/>
      <c r="N923" s="514"/>
      <c r="R923" s="293"/>
      <c r="S923" s="316"/>
      <c r="T923" s="355"/>
    </row>
    <row r="924" spans="9:20" x14ac:dyDescent="0.25">
      <c r="I924" s="314"/>
      <c r="J924" s="45"/>
      <c r="N924" s="514"/>
      <c r="R924" s="293"/>
      <c r="S924" s="316"/>
      <c r="T924" s="355"/>
    </row>
    <row r="925" spans="9:20" x14ac:dyDescent="0.25">
      <c r="I925" s="314"/>
      <c r="J925" s="45"/>
      <c r="N925" s="514"/>
      <c r="R925" s="293"/>
      <c r="S925" s="316"/>
      <c r="T925" s="355"/>
    </row>
    <row r="926" spans="9:20" x14ac:dyDescent="0.25">
      <c r="I926" s="314"/>
      <c r="J926" s="45"/>
      <c r="N926" s="514"/>
      <c r="R926" s="293"/>
      <c r="S926" s="316"/>
      <c r="T926" s="355"/>
    </row>
    <row r="927" spans="9:20" x14ac:dyDescent="0.25">
      <c r="I927" s="314"/>
      <c r="J927" s="45"/>
      <c r="N927" s="514"/>
      <c r="R927" s="293"/>
      <c r="S927" s="316"/>
      <c r="T927" s="355"/>
    </row>
    <row r="928" spans="9:20" x14ac:dyDescent="0.25">
      <c r="I928" s="314"/>
      <c r="J928" s="45"/>
      <c r="N928" s="514"/>
      <c r="R928" s="293"/>
      <c r="S928" s="316"/>
      <c r="T928" s="355"/>
    </row>
    <row r="929" spans="9:20" x14ac:dyDescent="0.25">
      <c r="I929" s="314"/>
      <c r="J929" s="45"/>
      <c r="N929" s="514"/>
      <c r="R929" s="293"/>
      <c r="S929" s="316"/>
      <c r="T929" s="355"/>
    </row>
    <row r="930" spans="9:20" x14ac:dyDescent="0.25">
      <c r="I930" s="314"/>
      <c r="J930" s="45"/>
      <c r="N930" s="514"/>
      <c r="R930" s="293"/>
      <c r="S930" s="316"/>
      <c r="T930" s="355"/>
    </row>
    <row r="931" spans="9:20" x14ac:dyDescent="0.25">
      <c r="I931" s="314"/>
      <c r="J931" s="45"/>
      <c r="N931" s="514"/>
      <c r="R931" s="293"/>
      <c r="S931" s="316"/>
      <c r="T931" s="355"/>
    </row>
    <row r="932" spans="9:20" x14ac:dyDescent="0.25">
      <c r="I932" s="314"/>
      <c r="J932" s="45"/>
      <c r="N932" s="514"/>
      <c r="R932" s="293"/>
      <c r="S932" s="316"/>
      <c r="T932" s="355"/>
    </row>
    <row r="933" spans="9:20" x14ac:dyDescent="0.25">
      <c r="I933" s="314"/>
      <c r="J933" s="45"/>
      <c r="N933" s="514"/>
      <c r="R933" s="293"/>
      <c r="S933" s="316"/>
      <c r="T933" s="355"/>
    </row>
    <row r="934" spans="9:20" x14ac:dyDescent="0.25">
      <c r="I934" s="314"/>
      <c r="J934" s="45"/>
      <c r="N934" s="514"/>
      <c r="R934" s="293"/>
      <c r="S934" s="316"/>
      <c r="T934" s="355"/>
    </row>
    <row r="935" spans="9:20" x14ac:dyDescent="0.25">
      <c r="I935" s="314"/>
      <c r="J935" s="45"/>
      <c r="N935" s="514"/>
      <c r="R935" s="293"/>
      <c r="S935" s="316"/>
      <c r="T935" s="355"/>
    </row>
    <row r="936" spans="9:20" x14ac:dyDescent="0.25">
      <c r="I936" s="314"/>
      <c r="J936" s="45"/>
      <c r="N936" s="514"/>
      <c r="R936" s="293"/>
      <c r="S936" s="316"/>
      <c r="T936" s="355"/>
    </row>
    <row r="937" spans="9:20" x14ac:dyDescent="0.25">
      <c r="I937" s="314"/>
      <c r="J937" s="45"/>
      <c r="N937" s="514"/>
      <c r="R937" s="293"/>
      <c r="S937" s="316"/>
      <c r="T937" s="355"/>
    </row>
    <row r="938" spans="9:20" x14ac:dyDescent="0.25">
      <c r="I938" s="314"/>
      <c r="J938" s="45"/>
      <c r="N938" s="514"/>
      <c r="R938" s="293"/>
      <c r="S938" s="316"/>
      <c r="T938" s="355"/>
    </row>
    <row r="939" spans="9:20" x14ac:dyDescent="0.25">
      <c r="I939" s="314"/>
      <c r="J939" s="45"/>
      <c r="N939" s="514"/>
      <c r="R939" s="293"/>
      <c r="S939" s="316"/>
      <c r="T939" s="355"/>
    </row>
    <row r="940" spans="9:20" x14ac:dyDescent="0.25">
      <c r="I940" s="314"/>
      <c r="J940" s="45"/>
      <c r="N940" s="514"/>
      <c r="R940" s="293"/>
      <c r="S940" s="316"/>
      <c r="T940" s="355"/>
    </row>
    <row r="941" spans="9:20" x14ac:dyDescent="0.25">
      <c r="I941" s="314"/>
      <c r="J941" s="45"/>
      <c r="N941" s="514"/>
      <c r="R941" s="293"/>
      <c r="S941" s="316"/>
      <c r="T941" s="355"/>
    </row>
    <row r="942" spans="9:20" x14ac:dyDescent="0.25">
      <c r="I942" s="314"/>
      <c r="J942" s="45"/>
      <c r="N942" s="514"/>
      <c r="R942" s="293"/>
      <c r="S942" s="316"/>
      <c r="T942" s="355"/>
    </row>
    <row r="943" spans="9:20" x14ac:dyDescent="0.25">
      <c r="I943" s="314"/>
      <c r="J943" s="45"/>
      <c r="N943" s="514"/>
      <c r="R943" s="293"/>
      <c r="S943" s="316"/>
      <c r="T943" s="355"/>
    </row>
    <row r="944" spans="9:20" x14ac:dyDescent="0.25">
      <c r="I944" s="314"/>
      <c r="J944" s="45"/>
      <c r="N944" s="514"/>
      <c r="R944" s="293"/>
      <c r="S944" s="316"/>
      <c r="T944" s="355"/>
    </row>
    <row r="945" spans="9:20" x14ac:dyDescent="0.25">
      <c r="I945" s="314"/>
      <c r="J945" s="45"/>
      <c r="N945" s="514"/>
      <c r="R945" s="293"/>
      <c r="S945" s="316"/>
      <c r="T945" s="355"/>
    </row>
    <row r="946" spans="9:20" x14ac:dyDescent="0.25">
      <c r="I946" s="314"/>
      <c r="J946" s="45"/>
      <c r="N946" s="514"/>
      <c r="R946" s="293"/>
      <c r="S946" s="316"/>
      <c r="T946" s="355"/>
    </row>
    <row r="947" spans="9:20" x14ac:dyDescent="0.25">
      <c r="I947" s="314"/>
      <c r="J947" s="45"/>
      <c r="N947" s="514"/>
      <c r="R947" s="293"/>
      <c r="S947" s="316"/>
      <c r="T947" s="355"/>
    </row>
    <row r="948" spans="9:20" x14ac:dyDescent="0.25">
      <c r="I948" s="314"/>
      <c r="J948" s="45"/>
      <c r="N948" s="514"/>
      <c r="R948" s="293"/>
      <c r="S948" s="316"/>
      <c r="T948" s="355"/>
    </row>
    <row r="949" spans="9:20" x14ac:dyDescent="0.25">
      <c r="I949" s="314"/>
      <c r="J949" s="45"/>
      <c r="N949" s="514"/>
      <c r="R949" s="293"/>
      <c r="S949" s="316"/>
      <c r="T949" s="355"/>
    </row>
    <row r="950" spans="9:20" x14ac:dyDescent="0.25">
      <c r="I950" s="314"/>
      <c r="J950" s="45"/>
      <c r="N950" s="514"/>
      <c r="R950" s="293"/>
      <c r="S950" s="316"/>
      <c r="T950" s="355"/>
    </row>
    <row r="951" spans="9:20" x14ac:dyDescent="0.25">
      <c r="I951" s="314"/>
      <c r="J951" s="45"/>
      <c r="N951" s="514"/>
      <c r="R951" s="293"/>
      <c r="S951" s="316"/>
      <c r="T951" s="355"/>
    </row>
    <row r="952" spans="9:20" x14ac:dyDescent="0.25">
      <c r="I952" s="314"/>
      <c r="J952" s="45"/>
      <c r="N952" s="514"/>
      <c r="R952" s="293"/>
      <c r="S952" s="316"/>
      <c r="T952" s="355"/>
    </row>
    <row r="953" spans="9:20" x14ac:dyDescent="0.25">
      <c r="I953" s="314"/>
      <c r="J953" s="45"/>
      <c r="N953" s="514"/>
      <c r="R953" s="293"/>
      <c r="S953" s="316"/>
      <c r="T953" s="355"/>
    </row>
    <row r="954" spans="9:20" x14ac:dyDescent="0.25">
      <c r="I954" s="314"/>
      <c r="J954" s="45"/>
      <c r="N954" s="514"/>
      <c r="R954" s="293"/>
      <c r="S954" s="316"/>
      <c r="T954" s="355"/>
    </row>
    <row r="955" spans="9:20" x14ac:dyDescent="0.25">
      <c r="I955" s="314"/>
      <c r="J955" s="45"/>
      <c r="N955" s="514"/>
      <c r="R955" s="293"/>
      <c r="S955" s="316"/>
      <c r="T955" s="355"/>
    </row>
    <row r="956" spans="9:20" x14ac:dyDescent="0.25">
      <c r="I956" s="314"/>
      <c r="J956" s="45"/>
      <c r="N956" s="514"/>
      <c r="R956" s="293"/>
      <c r="S956" s="316"/>
      <c r="T956" s="355"/>
    </row>
    <row r="957" spans="9:20" x14ac:dyDescent="0.25">
      <c r="I957" s="314"/>
      <c r="J957" s="45"/>
      <c r="N957" s="514"/>
      <c r="R957" s="293"/>
      <c r="S957" s="316"/>
      <c r="T957" s="355"/>
    </row>
    <row r="958" spans="9:20" x14ac:dyDescent="0.25">
      <c r="I958" s="314"/>
      <c r="J958" s="45"/>
      <c r="N958" s="514"/>
      <c r="R958" s="293"/>
      <c r="S958" s="316"/>
      <c r="T958" s="355"/>
    </row>
    <row r="959" spans="9:20" x14ac:dyDescent="0.25">
      <c r="I959" s="314"/>
      <c r="J959" s="45"/>
      <c r="N959" s="514"/>
      <c r="R959" s="293"/>
      <c r="S959" s="316"/>
      <c r="T959" s="355"/>
    </row>
    <row r="960" spans="9:20" x14ac:dyDescent="0.25">
      <c r="I960" s="314"/>
      <c r="J960" s="45"/>
      <c r="N960" s="514"/>
      <c r="R960" s="293"/>
      <c r="S960" s="316"/>
      <c r="T960" s="355"/>
    </row>
    <row r="961" spans="9:20" x14ac:dyDescent="0.25">
      <c r="I961" s="314"/>
      <c r="J961" s="45"/>
      <c r="N961" s="514"/>
      <c r="R961" s="293"/>
      <c r="S961" s="316"/>
      <c r="T961" s="355"/>
    </row>
    <row r="962" spans="9:20" x14ac:dyDescent="0.25">
      <c r="I962" s="314"/>
      <c r="J962" s="45"/>
      <c r="N962" s="514"/>
      <c r="R962" s="293"/>
      <c r="S962" s="316"/>
      <c r="T962" s="355"/>
    </row>
    <row r="963" spans="9:20" x14ac:dyDescent="0.25">
      <c r="I963" s="314"/>
      <c r="J963" s="45"/>
      <c r="N963" s="514"/>
      <c r="R963" s="293"/>
      <c r="S963" s="316"/>
      <c r="T963" s="355"/>
    </row>
    <row r="964" spans="9:20" x14ac:dyDescent="0.25">
      <c r="I964" s="314"/>
      <c r="J964" s="45"/>
      <c r="N964" s="514"/>
      <c r="R964" s="293"/>
      <c r="S964" s="316"/>
      <c r="T964" s="355"/>
    </row>
    <row r="965" spans="9:20" x14ac:dyDescent="0.25">
      <c r="I965" s="314"/>
      <c r="J965" s="45"/>
      <c r="N965" s="514"/>
      <c r="R965" s="293"/>
      <c r="S965" s="316"/>
      <c r="T965" s="355"/>
    </row>
    <row r="966" spans="9:20" x14ac:dyDescent="0.25">
      <c r="I966" s="314"/>
      <c r="J966" s="45"/>
      <c r="N966" s="514"/>
      <c r="R966" s="293"/>
      <c r="S966" s="316"/>
      <c r="T966" s="355"/>
    </row>
    <row r="967" spans="9:20" x14ac:dyDescent="0.25">
      <c r="I967" s="314"/>
      <c r="J967" s="45"/>
      <c r="N967" s="514"/>
      <c r="R967" s="293"/>
      <c r="S967" s="316"/>
      <c r="T967" s="355"/>
    </row>
    <row r="968" spans="9:20" x14ac:dyDescent="0.25">
      <c r="I968" s="314"/>
      <c r="J968" s="45"/>
      <c r="N968" s="514"/>
      <c r="R968" s="293"/>
      <c r="S968" s="316"/>
      <c r="T968" s="355"/>
    </row>
    <row r="969" spans="9:20" x14ac:dyDescent="0.25">
      <c r="I969" s="314"/>
      <c r="J969" s="45"/>
      <c r="N969" s="514"/>
      <c r="R969" s="293"/>
      <c r="S969" s="316"/>
      <c r="T969" s="355"/>
    </row>
    <row r="970" spans="9:20" x14ac:dyDescent="0.25">
      <c r="I970" s="314"/>
      <c r="J970" s="45"/>
      <c r="N970" s="514"/>
      <c r="R970" s="293"/>
      <c r="S970" s="316"/>
      <c r="T970" s="355"/>
    </row>
    <row r="971" spans="9:20" x14ac:dyDescent="0.25">
      <c r="I971" s="314"/>
      <c r="J971" s="45"/>
      <c r="N971" s="514"/>
      <c r="R971" s="293"/>
      <c r="S971" s="316"/>
      <c r="T971" s="355"/>
    </row>
    <row r="972" spans="9:20" x14ac:dyDescent="0.25">
      <c r="I972" s="314"/>
      <c r="J972" s="45"/>
      <c r="N972" s="514"/>
      <c r="R972" s="293"/>
      <c r="S972" s="316"/>
      <c r="T972" s="355"/>
    </row>
    <row r="973" spans="9:20" x14ac:dyDescent="0.25">
      <c r="J973" s="45"/>
      <c r="N973" s="514"/>
      <c r="R973" s="293"/>
      <c r="S973" s="316"/>
      <c r="T973" s="355"/>
    </row>
    <row r="974" spans="9:20" x14ac:dyDescent="0.25">
      <c r="J974" s="45"/>
      <c r="N974" s="514"/>
      <c r="R974" s="293"/>
      <c r="S974" s="316"/>
      <c r="T974" s="355"/>
    </row>
    <row r="975" spans="9:20" x14ac:dyDescent="0.25">
      <c r="J975" s="45"/>
      <c r="N975" s="514"/>
      <c r="R975" s="293"/>
      <c r="S975" s="316"/>
      <c r="T975" s="355"/>
    </row>
    <row r="976" spans="9:20" x14ac:dyDescent="0.25">
      <c r="J976" s="45"/>
      <c r="N976" s="514"/>
      <c r="R976" s="293"/>
      <c r="S976" s="316"/>
      <c r="T976" s="355"/>
    </row>
    <row r="977" spans="10:20" x14ac:dyDescent="0.25">
      <c r="J977" s="45"/>
      <c r="N977" s="514"/>
      <c r="R977" s="293"/>
      <c r="S977" s="316"/>
      <c r="T977" s="355"/>
    </row>
    <row r="978" spans="10:20" x14ac:dyDescent="0.25">
      <c r="J978" s="45"/>
      <c r="N978" s="514"/>
      <c r="R978" s="293"/>
      <c r="S978" s="316"/>
      <c r="T978" s="355"/>
    </row>
    <row r="979" spans="10:20" x14ac:dyDescent="0.25">
      <c r="J979" s="45"/>
      <c r="N979" s="514"/>
      <c r="R979" s="293"/>
      <c r="S979" s="316"/>
      <c r="T979" s="355"/>
    </row>
    <row r="980" spans="10:20" x14ac:dyDescent="0.25">
      <c r="J980" s="45"/>
      <c r="N980" s="514"/>
      <c r="R980" s="293"/>
      <c r="S980" s="316"/>
      <c r="T980" s="355"/>
    </row>
    <row r="981" spans="10:20" x14ac:dyDescent="0.25">
      <c r="J981" s="45"/>
      <c r="N981" s="514"/>
      <c r="R981" s="293"/>
      <c r="S981" s="316"/>
      <c r="T981" s="355"/>
    </row>
    <row r="982" spans="10:20" x14ac:dyDescent="0.25">
      <c r="J982" s="45"/>
      <c r="N982" s="514"/>
      <c r="R982" s="293"/>
      <c r="S982" s="316"/>
      <c r="T982" s="355"/>
    </row>
    <row r="983" spans="10:20" x14ac:dyDescent="0.25">
      <c r="J983" s="45"/>
      <c r="N983" s="514"/>
      <c r="R983" s="293"/>
      <c r="S983" s="316"/>
      <c r="T983" s="355"/>
    </row>
    <row r="984" spans="10:20" x14ac:dyDescent="0.25">
      <c r="J984" s="45"/>
      <c r="N984" s="514"/>
      <c r="R984" s="293"/>
      <c r="S984" s="316"/>
      <c r="T984" s="355"/>
    </row>
    <row r="985" spans="10:20" x14ac:dyDescent="0.25">
      <c r="J985" s="45"/>
      <c r="N985" s="514"/>
      <c r="R985" s="293"/>
      <c r="S985" s="316"/>
      <c r="T985" s="355"/>
    </row>
    <row r="986" spans="10:20" x14ac:dyDescent="0.25">
      <c r="J986" s="45"/>
      <c r="N986" s="514"/>
      <c r="R986" s="293"/>
      <c r="S986" s="316"/>
      <c r="T986" s="355"/>
    </row>
    <row r="987" spans="10:20" x14ac:dyDescent="0.25">
      <c r="J987" s="45"/>
      <c r="N987" s="514"/>
      <c r="R987" s="293"/>
      <c r="S987" s="316"/>
      <c r="T987" s="355"/>
    </row>
    <row r="988" spans="10:20" x14ac:dyDescent="0.25">
      <c r="J988" s="45"/>
      <c r="N988" s="514"/>
      <c r="R988" s="293"/>
      <c r="S988" s="316"/>
      <c r="T988" s="355"/>
    </row>
    <row r="989" spans="10:20" x14ac:dyDescent="0.25">
      <c r="J989" s="45"/>
      <c r="N989" s="514"/>
      <c r="R989" s="293"/>
      <c r="S989" s="316"/>
      <c r="T989" s="355"/>
    </row>
    <row r="990" spans="10:20" x14ac:dyDescent="0.25">
      <c r="J990" s="45"/>
      <c r="N990" s="514"/>
      <c r="R990" s="293"/>
      <c r="S990" s="316"/>
      <c r="T990" s="355"/>
    </row>
    <row r="991" spans="10:20" x14ac:dyDescent="0.25">
      <c r="J991" s="45"/>
      <c r="N991" s="514"/>
      <c r="R991" s="293"/>
      <c r="S991" s="316"/>
      <c r="T991" s="355"/>
    </row>
    <row r="992" spans="10:20" x14ac:dyDescent="0.25">
      <c r="J992" s="45"/>
      <c r="N992" s="514"/>
      <c r="R992" s="293"/>
      <c r="S992" s="316"/>
      <c r="T992" s="355"/>
    </row>
    <row r="993" spans="10:20" x14ac:dyDescent="0.25">
      <c r="J993" s="45"/>
      <c r="N993" s="514"/>
      <c r="R993" s="293"/>
      <c r="S993" s="316"/>
      <c r="T993" s="355"/>
    </row>
    <row r="994" spans="10:20" x14ac:dyDescent="0.25">
      <c r="J994" s="45"/>
      <c r="N994" s="514"/>
      <c r="R994" s="293"/>
      <c r="S994" s="316"/>
      <c r="T994" s="355"/>
    </row>
    <row r="995" spans="10:20" x14ac:dyDescent="0.25">
      <c r="J995" s="45"/>
      <c r="N995" s="514"/>
      <c r="R995" s="293"/>
      <c r="S995" s="316"/>
      <c r="T995" s="355"/>
    </row>
    <row r="996" spans="10:20" x14ac:dyDescent="0.25">
      <c r="J996" s="45"/>
      <c r="N996" s="514"/>
      <c r="R996" s="293"/>
      <c r="S996" s="316"/>
      <c r="T996" s="355"/>
    </row>
    <row r="997" spans="10:20" x14ac:dyDescent="0.25">
      <c r="J997" s="45"/>
      <c r="N997" s="514"/>
      <c r="R997" s="293"/>
      <c r="S997" s="316"/>
      <c r="T997" s="355"/>
    </row>
    <row r="998" spans="10:20" x14ac:dyDescent="0.25">
      <c r="J998" s="45"/>
      <c r="N998" s="514"/>
      <c r="R998" s="293"/>
      <c r="S998" s="316"/>
      <c r="T998" s="355"/>
    </row>
    <row r="999" spans="10:20" x14ac:dyDescent="0.25">
      <c r="J999" s="45"/>
      <c r="N999" s="514"/>
      <c r="R999" s="293"/>
      <c r="S999" s="316"/>
      <c r="T999" s="355"/>
    </row>
    <row r="1000" spans="10:20" x14ac:dyDescent="0.25">
      <c r="J1000" s="45"/>
      <c r="N1000" s="514"/>
      <c r="R1000" s="293"/>
      <c r="S1000" s="316"/>
      <c r="T1000" s="355"/>
    </row>
    <row r="1001" spans="10:20" x14ac:dyDescent="0.25">
      <c r="J1001" s="45"/>
      <c r="N1001" s="514"/>
      <c r="R1001" s="293"/>
      <c r="S1001" s="316"/>
      <c r="T1001" s="355"/>
    </row>
    <row r="1002" spans="10:20" x14ac:dyDescent="0.25">
      <c r="J1002" s="45"/>
      <c r="N1002" s="514"/>
      <c r="R1002" s="293"/>
      <c r="S1002" s="316"/>
      <c r="T1002" s="355"/>
    </row>
    <row r="1003" spans="10:20" x14ac:dyDescent="0.25">
      <c r="J1003" s="45"/>
      <c r="N1003" s="514"/>
      <c r="R1003" s="293"/>
      <c r="S1003" s="316"/>
      <c r="T1003" s="355"/>
    </row>
    <row r="1004" spans="10:20" x14ac:dyDescent="0.25">
      <c r="J1004" s="45"/>
      <c r="N1004" s="514"/>
      <c r="R1004" s="293"/>
      <c r="S1004" s="316"/>
      <c r="T1004" s="355"/>
    </row>
    <row r="1005" spans="10:20" x14ac:dyDescent="0.25">
      <c r="J1005" s="45"/>
      <c r="N1005" s="514"/>
      <c r="R1005" s="293"/>
      <c r="S1005" s="316"/>
      <c r="T1005" s="355"/>
    </row>
    <row r="1006" spans="10:20" x14ac:dyDescent="0.25">
      <c r="J1006" s="45"/>
      <c r="N1006" s="514"/>
      <c r="R1006" s="293"/>
      <c r="S1006" s="316"/>
      <c r="T1006" s="355"/>
    </row>
    <row r="1007" spans="10:20" x14ac:dyDescent="0.25">
      <c r="J1007" s="45"/>
      <c r="N1007" s="514"/>
      <c r="R1007" s="293"/>
      <c r="S1007" s="316"/>
      <c r="T1007" s="355"/>
    </row>
    <row r="1008" spans="10:20" x14ac:dyDescent="0.25">
      <c r="J1008" s="45"/>
      <c r="N1008" s="514"/>
      <c r="R1008" s="293"/>
      <c r="S1008" s="316"/>
      <c r="T1008" s="355"/>
    </row>
    <row r="1009" spans="10:20" x14ac:dyDescent="0.25">
      <c r="J1009" s="45"/>
      <c r="N1009" s="514"/>
      <c r="R1009" s="293"/>
      <c r="S1009" s="316"/>
      <c r="T1009" s="355"/>
    </row>
    <row r="1010" spans="10:20" x14ac:dyDescent="0.25">
      <c r="J1010" s="45"/>
      <c r="N1010" s="514"/>
      <c r="R1010" s="293"/>
      <c r="S1010" s="316"/>
      <c r="T1010" s="355"/>
    </row>
    <row r="1011" spans="10:20" x14ac:dyDescent="0.25">
      <c r="J1011" s="45"/>
      <c r="N1011" s="514"/>
      <c r="R1011" s="293"/>
      <c r="S1011" s="316"/>
      <c r="T1011" s="355"/>
    </row>
    <row r="1012" spans="10:20" x14ac:dyDescent="0.25">
      <c r="J1012" s="45"/>
      <c r="N1012" s="514"/>
      <c r="R1012" s="293"/>
      <c r="S1012" s="316"/>
      <c r="T1012" s="355"/>
    </row>
    <row r="1013" spans="10:20" x14ac:dyDescent="0.25">
      <c r="J1013" s="45"/>
      <c r="N1013" s="514"/>
      <c r="R1013" s="293"/>
      <c r="S1013" s="316"/>
      <c r="T1013" s="355"/>
    </row>
    <row r="1014" spans="10:20" x14ac:dyDescent="0.25">
      <c r="J1014" s="45"/>
      <c r="N1014" s="514"/>
      <c r="R1014" s="293"/>
      <c r="S1014" s="316"/>
      <c r="T1014" s="355"/>
    </row>
    <row r="1015" spans="10:20" x14ac:dyDescent="0.25">
      <c r="J1015" s="45"/>
      <c r="N1015" s="514"/>
      <c r="R1015" s="293"/>
      <c r="S1015" s="316"/>
      <c r="T1015" s="355"/>
    </row>
    <row r="1016" spans="10:20" x14ac:dyDescent="0.25">
      <c r="J1016" s="45"/>
      <c r="N1016" s="514"/>
      <c r="R1016" s="293"/>
      <c r="S1016" s="316"/>
      <c r="T1016" s="355"/>
    </row>
    <row r="1017" spans="10:20" x14ac:dyDescent="0.25">
      <c r="J1017" s="45"/>
      <c r="N1017" s="514"/>
      <c r="R1017" s="293"/>
      <c r="S1017" s="316"/>
      <c r="T1017" s="355"/>
    </row>
    <row r="1018" spans="10:20" x14ac:dyDescent="0.25">
      <c r="N1018" s="514"/>
      <c r="R1018" s="293"/>
      <c r="S1018" s="316"/>
      <c r="T1018" s="355"/>
    </row>
    <row r="1019" spans="10:20" x14ac:dyDescent="0.25">
      <c r="N1019" s="514"/>
      <c r="R1019" s="293"/>
      <c r="S1019" s="316"/>
      <c r="T1019" s="355"/>
    </row>
    <row r="1020" spans="10:20" x14ac:dyDescent="0.25">
      <c r="N1020" s="514"/>
      <c r="R1020" s="293"/>
      <c r="S1020" s="316"/>
      <c r="T1020" s="355"/>
    </row>
    <row r="1021" spans="10:20" x14ac:dyDescent="0.25">
      <c r="N1021" s="514"/>
      <c r="R1021" s="293"/>
      <c r="S1021" s="316"/>
      <c r="T1021" s="355"/>
    </row>
    <row r="1022" spans="10:20" x14ac:dyDescent="0.25">
      <c r="N1022" s="514"/>
      <c r="R1022" s="293"/>
      <c r="S1022" s="316"/>
      <c r="T1022" s="355"/>
    </row>
    <row r="1023" spans="10:20" x14ac:dyDescent="0.25">
      <c r="N1023" s="514"/>
      <c r="R1023" s="293"/>
      <c r="S1023" s="316"/>
      <c r="T1023" s="355"/>
    </row>
    <row r="1024" spans="10:20" x14ac:dyDescent="0.25">
      <c r="N1024" s="514"/>
      <c r="R1024" s="293"/>
      <c r="S1024" s="316"/>
      <c r="T1024" s="355"/>
    </row>
    <row r="1025" spans="14:20" x14ac:dyDescent="0.25">
      <c r="N1025" s="514"/>
      <c r="R1025" s="293"/>
      <c r="S1025" s="316"/>
      <c r="T1025" s="355"/>
    </row>
    <row r="1026" spans="14:20" x14ac:dyDescent="0.25">
      <c r="N1026" s="514"/>
      <c r="R1026" s="293"/>
      <c r="S1026" s="316"/>
      <c r="T1026" s="355"/>
    </row>
    <row r="1027" spans="14:20" x14ac:dyDescent="0.25">
      <c r="N1027" s="514"/>
      <c r="R1027" s="293"/>
      <c r="S1027" s="316"/>
      <c r="T1027" s="355"/>
    </row>
    <row r="1028" spans="14:20" x14ac:dyDescent="0.25">
      <c r="N1028" s="514"/>
      <c r="R1028" s="293"/>
      <c r="S1028" s="316"/>
      <c r="T1028" s="355"/>
    </row>
    <row r="1029" spans="14:20" x14ac:dyDescent="0.25">
      <c r="N1029" s="514"/>
      <c r="R1029" s="293"/>
      <c r="S1029" s="316"/>
      <c r="T1029" s="355"/>
    </row>
    <row r="1030" spans="14:20" x14ac:dyDescent="0.25">
      <c r="N1030" s="514"/>
      <c r="R1030" s="293"/>
      <c r="S1030" s="316"/>
      <c r="T1030" s="355"/>
    </row>
    <row r="1031" spans="14:20" x14ac:dyDescent="0.25">
      <c r="N1031" s="514"/>
      <c r="R1031" s="293"/>
      <c r="S1031" s="316"/>
      <c r="T1031" s="355"/>
    </row>
    <row r="1032" spans="14:20" x14ac:dyDescent="0.25">
      <c r="N1032" s="514"/>
      <c r="R1032" s="293"/>
      <c r="S1032" s="316"/>
      <c r="T1032" s="355"/>
    </row>
    <row r="1033" spans="14:20" x14ac:dyDescent="0.25">
      <c r="N1033" s="514"/>
      <c r="R1033" s="293"/>
      <c r="S1033" s="316"/>
      <c r="T1033" s="355"/>
    </row>
    <row r="1034" spans="14:20" x14ac:dyDescent="0.25">
      <c r="N1034" s="514"/>
      <c r="R1034" s="293"/>
      <c r="S1034" s="316"/>
      <c r="T1034" s="355"/>
    </row>
    <row r="1035" spans="14:20" x14ac:dyDescent="0.25">
      <c r="N1035" s="514"/>
      <c r="R1035" s="293"/>
      <c r="S1035" s="316"/>
      <c r="T1035" s="355"/>
    </row>
    <row r="1036" spans="14:20" x14ac:dyDescent="0.25">
      <c r="N1036" s="514"/>
      <c r="R1036" s="293"/>
      <c r="S1036" s="316"/>
      <c r="T1036" s="355"/>
    </row>
    <row r="1037" spans="14:20" x14ac:dyDescent="0.25">
      <c r="N1037" s="514"/>
      <c r="R1037" s="293"/>
      <c r="S1037" s="316"/>
      <c r="T1037" s="355"/>
    </row>
    <row r="1038" spans="14:20" x14ac:dyDescent="0.25">
      <c r="N1038" s="514"/>
      <c r="R1038" s="293"/>
      <c r="S1038" s="316"/>
      <c r="T1038" s="355"/>
    </row>
    <row r="1039" spans="14:20" x14ac:dyDescent="0.25">
      <c r="N1039" s="514"/>
      <c r="R1039" s="293"/>
      <c r="S1039" s="316"/>
      <c r="T1039" s="355"/>
    </row>
    <row r="1040" spans="14:20" x14ac:dyDescent="0.25">
      <c r="N1040" s="514"/>
      <c r="R1040" s="293"/>
      <c r="S1040" s="316"/>
      <c r="T1040" s="355"/>
    </row>
    <row r="1041" spans="14:20" x14ac:dyDescent="0.25">
      <c r="N1041" s="514"/>
      <c r="R1041" s="293"/>
      <c r="S1041" s="316"/>
      <c r="T1041" s="355"/>
    </row>
    <row r="1042" spans="14:20" x14ac:dyDescent="0.25">
      <c r="N1042" s="514"/>
      <c r="R1042" s="293"/>
      <c r="S1042" s="316"/>
      <c r="T1042" s="355"/>
    </row>
    <row r="1043" spans="14:20" x14ac:dyDescent="0.25">
      <c r="N1043" s="514"/>
      <c r="R1043" s="293"/>
      <c r="S1043" s="316"/>
      <c r="T1043" s="355"/>
    </row>
    <row r="1044" spans="14:20" x14ac:dyDescent="0.25">
      <c r="N1044" s="514"/>
      <c r="R1044" s="293"/>
      <c r="S1044" s="316"/>
      <c r="T1044" s="355"/>
    </row>
    <row r="1045" spans="14:20" x14ac:dyDescent="0.25">
      <c r="N1045" s="514"/>
      <c r="R1045" s="293"/>
      <c r="S1045" s="316"/>
      <c r="T1045" s="355"/>
    </row>
    <row r="1046" spans="14:20" x14ac:dyDescent="0.25">
      <c r="N1046" s="514"/>
      <c r="R1046" s="293"/>
      <c r="S1046" s="316"/>
      <c r="T1046" s="355"/>
    </row>
    <row r="1047" spans="14:20" x14ac:dyDescent="0.25">
      <c r="N1047" s="514"/>
      <c r="R1047" s="293"/>
      <c r="S1047" s="316"/>
      <c r="T1047" s="355"/>
    </row>
    <row r="1048" spans="14:20" x14ac:dyDescent="0.25">
      <c r="N1048" s="514"/>
      <c r="R1048" s="293"/>
      <c r="S1048" s="316"/>
      <c r="T1048" s="355"/>
    </row>
    <row r="1049" spans="14:20" x14ac:dyDescent="0.25">
      <c r="N1049" s="514"/>
      <c r="R1049" s="293"/>
      <c r="S1049" s="316"/>
      <c r="T1049" s="355"/>
    </row>
    <row r="1050" spans="14:20" x14ac:dyDescent="0.25">
      <c r="N1050" s="514"/>
      <c r="R1050" s="293"/>
      <c r="S1050" s="316"/>
      <c r="T1050" s="355"/>
    </row>
    <row r="1051" spans="14:20" x14ac:dyDescent="0.25">
      <c r="N1051" s="514"/>
      <c r="R1051" s="293"/>
      <c r="S1051" s="316"/>
      <c r="T1051" s="355"/>
    </row>
    <row r="1052" spans="14:20" x14ac:dyDescent="0.25">
      <c r="N1052" s="514"/>
      <c r="R1052" s="293"/>
      <c r="S1052" s="316"/>
      <c r="T1052" s="355"/>
    </row>
    <row r="1053" spans="14:20" x14ac:dyDescent="0.25">
      <c r="N1053" s="514"/>
      <c r="R1053" s="293"/>
      <c r="S1053" s="316"/>
      <c r="T1053" s="355"/>
    </row>
    <row r="1054" spans="14:20" x14ac:dyDescent="0.25">
      <c r="N1054" s="514"/>
      <c r="R1054" s="293"/>
      <c r="S1054" s="316"/>
      <c r="T1054" s="355"/>
    </row>
    <row r="1055" spans="14:20" x14ac:dyDescent="0.25">
      <c r="N1055" s="514"/>
      <c r="R1055" s="293"/>
      <c r="S1055" s="316"/>
      <c r="T1055" s="355"/>
    </row>
    <row r="1056" spans="14:20" x14ac:dyDescent="0.25">
      <c r="N1056" s="514"/>
      <c r="R1056" s="293"/>
      <c r="S1056" s="316"/>
      <c r="T1056" s="355"/>
    </row>
    <row r="1057" spans="14:20" x14ac:dyDescent="0.25">
      <c r="N1057" s="514"/>
      <c r="R1057" s="293"/>
      <c r="S1057" s="316"/>
      <c r="T1057" s="355"/>
    </row>
    <row r="1058" spans="14:20" x14ac:dyDescent="0.25">
      <c r="N1058" s="514"/>
      <c r="R1058" s="293"/>
      <c r="S1058" s="316"/>
      <c r="T1058" s="355"/>
    </row>
    <row r="1059" spans="14:20" x14ac:dyDescent="0.25">
      <c r="N1059" s="514"/>
      <c r="R1059" s="293"/>
      <c r="S1059" s="316"/>
      <c r="T1059" s="355"/>
    </row>
    <row r="1060" spans="14:20" x14ac:dyDescent="0.25">
      <c r="N1060" s="514"/>
      <c r="R1060" s="293"/>
      <c r="S1060" s="316"/>
      <c r="T1060" s="355"/>
    </row>
    <row r="1061" spans="14:20" x14ac:dyDescent="0.25">
      <c r="N1061" s="514"/>
      <c r="R1061" s="293"/>
      <c r="S1061" s="316"/>
      <c r="T1061" s="355"/>
    </row>
    <row r="1062" spans="14:20" x14ac:dyDescent="0.25">
      <c r="N1062" s="514"/>
      <c r="R1062" s="293"/>
      <c r="S1062" s="316"/>
      <c r="T1062" s="355"/>
    </row>
    <row r="1063" spans="14:20" x14ac:dyDescent="0.25">
      <c r="N1063" s="514"/>
      <c r="R1063" s="293"/>
      <c r="S1063" s="316"/>
      <c r="T1063" s="355"/>
    </row>
    <row r="1064" spans="14:20" x14ac:dyDescent="0.25">
      <c r="N1064" s="514"/>
      <c r="R1064" s="293"/>
      <c r="S1064" s="316"/>
      <c r="T1064" s="355"/>
    </row>
    <row r="1065" spans="14:20" x14ac:dyDescent="0.25">
      <c r="N1065" s="514"/>
      <c r="R1065" s="293"/>
      <c r="S1065" s="316"/>
      <c r="T1065" s="355"/>
    </row>
    <row r="1066" spans="14:20" x14ac:dyDescent="0.25">
      <c r="N1066" s="514"/>
      <c r="R1066" s="293"/>
      <c r="S1066" s="316"/>
      <c r="T1066" s="355"/>
    </row>
    <row r="1067" spans="14:20" x14ac:dyDescent="0.25">
      <c r="N1067" s="514"/>
      <c r="R1067" s="293"/>
      <c r="S1067" s="316"/>
      <c r="T1067" s="355"/>
    </row>
    <row r="1068" spans="14:20" x14ac:dyDescent="0.25">
      <c r="N1068" s="514"/>
      <c r="R1068" s="293"/>
      <c r="S1068" s="316"/>
      <c r="T1068" s="355"/>
    </row>
    <row r="1069" spans="14:20" x14ac:dyDescent="0.25">
      <c r="N1069" s="514"/>
      <c r="R1069" s="293"/>
      <c r="S1069" s="316"/>
      <c r="T1069" s="355"/>
    </row>
    <row r="1070" spans="14:20" x14ac:dyDescent="0.25">
      <c r="N1070" s="514"/>
      <c r="R1070" s="293"/>
      <c r="S1070" s="316"/>
      <c r="T1070" s="355"/>
    </row>
    <row r="1071" spans="14:20" x14ac:dyDescent="0.25">
      <c r="N1071" s="514"/>
      <c r="R1071" s="293"/>
      <c r="S1071" s="316"/>
      <c r="T1071" s="355"/>
    </row>
    <row r="1072" spans="14:20" x14ac:dyDescent="0.25">
      <c r="N1072" s="514"/>
      <c r="R1072" s="293"/>
      <c r="S1072" s="316"/>
      <c r="T1072" s="355"/>
    </row>
    <row r="1073" spans="14:20" x14ac:dyDescent="0.25">
      <c r="N1073" s="514"/>
      <c r="R1073" s="293"/>
      <c r="S1073" s="316"/>
      <c r="T1073" s="355"/>
    </row>
    <row r="1074" spans="14:20" x14ac:dyDescent="0.25">
      <c r="N1074" s="514"/>
      <c r="R1074" s="293"/>
      <c r="S1074" s="316"/>
      <c r="T1074" s="355"/>
    </row>
    <row r="1075" spans="14:20" x14ac:dyDescent="0.25">
      <c r="N1075" s="514"/>
      <c r="R1075" s="293"/>
      <c r="S1075" s="316"/>
      <c r="T1075" s="355"/>
    </row>
    <row r="1076" spans="14:20" x14ac:dyDescent="0.25">
      <c r="N1076" s="514"/>
      <c r="R1076" s="293"/>
      <c r="S1076" s="316"/>
      <c r="T1076" s="355"/>
    </row>
    <row r="1077" spans="14:20" x14ac:dyDescent="0.25">
      <c r="N1077" s="514"/>
      <c r="R1077" s="293"/>
      <c r="S1077" s="316"/>
      <c r="T1077" s="355"/>
    </row>
    <row r="1078" spans="14:20" x14ac:dyDescent="0.25">
      <c r="N1078" s="514"/>
      <c r="R1078" s="293"/>
      <c r="S1078" s="316"/>
      <c r="T1078" s="355"/>
    </row>
    <row r="1079" spans="14:20" x14ac:dyDescent="0.25">
      <c r="N1079" s="514"/>
      <c r="R1079" s="293"/>
      <c r="S1079" s="316"/>
      <c r="T1079" s="355"/>
    </row>
    <row r="1080" spans="14:20" x14ac:dyDescent="0.25">
      <c r="N1080" s="514"/>
      <c r="R1080" s="293"/>
      <c r="S1080" s="316"/>
      <c r="T1080" s="355"/>
    </row>
    <row r="1081" spans="14:20" x14ac:dyDescent="0.25">
      <c r="N1081" s="514"/>
      <c r="R1081" s="293"/>
      <c r="S1081" s="316"/>
      <c r="T1081" s="355"/>
    </row>
    <row r="1082" spans="14:20" x14ac:dyDescent="0.25">
      <c r="N1082" s="514"/>
      <c r="R1082" s="293"/>
      <c r="S1082" s="316"/>
      <c r="T1082" s="355"/>
    </row>
    <row r="1083" spans="14:20" x14ac:dyDescent="0.25">
      <c r="N1083" s="514"/>
      <c r="R1083" s="293"/>
      <c r="S1083" s="316"/>
      <c r="T1083" s="355"/>
    </row>
    <row r="1084" spans="14:20" x14ac:dyDescent="0.25">
      <c r="N1084" s="514"/>
      <c r="R1084" s="293"/>
      <c r="S1084" s="316"/>
      <c r="T1084" s="355"/>
    </row>
    <row r="1085" spans="14:20" x14ac:dyDescent="0.25">
      <c r="N1085" s="514"/>
      <c r="R1085" s="293"/>
      <c r="S1085" s="316"/>
      <c r="T1085" s="355"/>
    </row>
    <row r="1086" spans="14:20" x14ac:dyDescent="0.25">
      <c r="N1086" s="514"/>
      <c r="R1086" s="293"/>
      <c r="S1086" s="316"/>
      <c r="T1086" s="355"/>
    </row>
    <row r="1087" spans="14:20" x14ac:dyDescent="0.25">
      <c r="N1087" s="514"/>
      <c r="R1087" s="293"/>
      <c r="S1087" s="316"/>
      <c r="T1087" s="355"/>
    </row>
    <row r="1088" spans="14:20" x14ac:dyDescent="0.25">
      <c r="N1088" s="514"/>
      <c r="R1088" s="293"/>
      <c r="S1088" s="316"/>
      <c r="T1088" s="355"/>
    </row>
    <row r="1089" spans="14:20" x14ac:dyDescent="0.25">
      <c r="N1089" s="514"/>
      <c r="R1089" s="293"/>
      <c r="S1089" s="316"/>
      <c r="T1089" s="355"/>
    </row>
    <row r="1090" spans="14:20" x14ac:dyDescent="0.25">
      <c r="N1090" s="514"/>
      <c r="R1090" s="293"/>
      <c r="S1090" s="316"/>
      <c r="T1090" s="355"/>
    </row>
    <row r="1091" spans="14:20" x14ac:dyDescent="0.25">
      <c r="N1091" s="514"/>
      <c r="R1091" s="293"/>
      <c r="S1091" s="316"/>
      <c r="T1091" s="355"/>
    </row>
    <row r="1092" spans="14:20" x14ac:dyDescent="0.25">
      <c r="N1092" s="514"/>
      <c r="R1092" s="293"/>
      <c r="S1092" s="316"/>
      <c r="T1092" s="355"/>
    </row>
    <row r="1093" spans="14:20" x14ac:dyDescent="0.25">
      <c r="N1093" s="514"/>
      <c r="R1093" s="293"/>
      <c r="S1093" s="316"/>
      <c r="T1093" s="355"/>
    </row>
    <row r="1094" spans="14:20" x14ac:dyDescent="0.25">
      <c r="N1094" s="514"/>
      <c r="R1094" s="293"/>
      <c r="S1094" s="316"/>
      <c r="T1094" s="355"/>
    </row>
    <row r="1095" spans="14:20" x14ac:dyDescent="0.25">
      <c r="N1095" s="514"/>
      <c r="R1095" s="293"/>
      <c r="S1095" s="316"/>
      <c r="T1095" s="355"/>
    </row>
    <row r="1096" spans="14:20" x14ac:dyDescent="0.25">
      <c r="N1096" s="514"/>
      <c r="R1096" s="293"/>
      <c r="S1096" s="316"/>
      <c r="T1096" s="355"/>
    </row>
    <row r="1097" spans="14:20" x14ac:dyDescent="0.25">
      <c r="N1097" s="514"/>
      <c r="R1097" s="293"/>
      <c r="S1097" s="316"/>
      <c r="T1097" s="355"/>
    </row>
    <row r="1098" spans="14:20" x14ac:dyDescent="0.25">
      <c r="N1098" s="514"/>
      <c r="R1098" s="293"/>
      <c r="S1098" s="316"/>
      <c r="T1098" s="355"/>
    </row>
    <row r="1099" spans="14:20" x14ac:dyDescent="0.25">
      <c r="N1099" s="514"/>
      <c r="R1099" s="293"/>
      <c r="S1099" s="316"/>
      <c r="T1099" s="355"/>
    </row>
    <row r="1100" spans="14:20" x14ac:dyDescent="0.25">
      <c r="N1100" s="514"/>
      <c r="R1100" s="293"/>
      <c r="S1100" s="316"/>
      <c r="T1100" s="355"/>
    </row>
    <row r="1101" spans="14:20" x14ac:dyDescent="0.25">
      <c r="N1101" s="514"/>
      <c r="R1101" s="293"/>
      <c r="S1101" s="316"/>
      <c r="T1101" s="355"/>
    </row>
    <row r="1102" spans="14:20" x14ac:dyDescent="0.25">
      <c r="N1102" s="514"/>
      <c r="R1102" s="293"/>
      <c r="S1102" s="316"/>
      <c r="T1102" s="355"/>
    </row>
    <row r="1103" spans="14:20" x14ac:dyDescent="0.25">
      <c r="N1103" s="514"/>
      <c r="R1103" s="293"/>
      <c r="S1103" s="316"/>
      <c r="T1103" s="355"/>
    </row>
    <row r="1104" spans="14:20" x14ac:dyDescent="0.25">
      <c r="N1104" s="514"/>
      <c r="R1104" s="293"/>
      <c r="S1104" s="316"/>
      <c r="T1104" s="355"/>
    </row>
    <row r="1105" spans="14:20" x14ac:dyDescent="0.25">
      <c r="N1105" s="514"/>
      <c r="R1105" s="293"/>
      <c r="S1105" s="316"/>
      <c r="T1105" s="355"/>
    </row>
    <row r="1106" spans="14:20" x14ac:dyDescent="0.25">
      <c r="N1106" s="514"/>
      <c r="R1106" s="293"/>
      <c r="S1106" s="316"/>
      <c r="T1106" s="355"/>
    </row>
    <row r="1107" spans="14:20" x14ac:dyDescent="0.25">
      <c r="N1107" s="514"/>
      <c r="R1107" s="293"/>
      <c r="S1107" s="316"/>
      <c r="T1107" s="355"/>
    </row>
    <row r="1108" spans="14:20" x14ac:dyDescent="0.25">
      <c r="N1108" s="514"/>
      <c r="R1108" s="293"/>
      <c r="S1108" s="316"/>
      <c r="T1108" s="355"/>
    </row>
    <row r="1109" spans="14:20" x14ac:dyDescent="0.25">
      <c r="N1109" s="514"/>
      <c r="R1109" s="293"/>
      <c r="S1109" s="316"/>
      <c r="T1109" s="355"/>
    </row>
    <row r="1110" spans="14:20" x14ac:dyDescent="0.25">
      <c r="N1110" s="514"/>
      <c r="R1110" s="293"/>
      <c r="S1110" s="316"/>
      <c r="T1110" s="355"/>
    </row>
    <row r="1111" spans="14:20" x14ac:dyDescent="0.25">
      <c r="N1111" s="514"/>
      <c r="R1111" s="293"/>
      <c r="S1111" s="316"/>
      <c r="T1111" s="355"/>
    </row>
    <row r="1112" spans="14:20" x14ac:dyDescent="0.25">
      <c r="N1112" s="514"/>
      <c r="R1112" s="293"/>
      <c r="S1112" s="316"/>
      <c r="T1112" s="355"/>
    </row>
    <row r="1113" spans="14:20" x14ac:dyDescent="0.25">
      <c r="N1113" s="514"/>
      <c r="R1113" s="293"/>
      <c r="S1113" s="316"/>
      <c r="T1113" s="355"/>
    </row>
    <row r="1114" spans="14:20" x14ac:dyDescent="0.25">
      <c r="N1114" s="514"/>
      <c r="R1114" s="293"/>
      <c r="S1114" s="316"/>
      <c r="T1114" s="355"/>
    </row>
    <row r="1115" spans="14:20" x14ac:dyDescent="0.25">
      <c r="N1115" s="514"/>
      <c r="R1115" s="293"/>
      <c r="S1115" s="316"/>
      <c r="T1115" s="355"/>
    </row>
    <row r="1116" spans="14:20" x14ac:dyDescent="0.25">
      <c r="N1116" s="514"/>
      <c r="R1116" s="293"/>
      <c r="S1116" s="316"/>
      <c r="T1116" s="355"/>
    </row>
    <row r="1117" spans="14:20" x14ac:dyDescent="0.25">
      <c r="N1117" s="514"/>
      <c r="R1117" s="293"/>
      <c r="S1117" s="316"/>
      <c r="T1117" s="355"/>
    </row>
    <row r="1118" spans="14:20" x14ac:dyDescent="0.25">
      <c r="N1118" s="514"/>
      <c r="R1118" s="293"/>
      <c r="S1118" s="316"/>
      <c r="T1118" s="355"/>
    </row>
    <row r="1119" spans="14:20" x14ac:dyDescent="0.25">
      <c r="N1119" s="514"/>
      <c r="R1119" s="293"/>
      <c r="S1119" s="316"/>
      <c r="T1119" s="355"/>
    </row>
    <row r="1120" spans="14:20" x14ac:dyDescent="0.25">
      <c r="N1120" s="514"/>
      <c r="R1120" s="293"/>
      <c r="S1120" s="316"/>
      <c r="T1120" s="355"/>
    </row>
    <row r="1121" spans="14:20" x14ac:dyDescent="0.25">
      <c r="N1121" s="514"/>
      <c r="R1121" s="293"/>
      <c r="S1121" s="316"/>
      <c r="T1121" s="355"/>
    </row>
    <row r="1122" spans="14:20" x14ac:dyDescent="0.25">
      <c r="N1122" s="514"/>
      <c r="R1122" s="293"/>
      <c r="S1122" s="316"/>
      <c r="T1122" s="355"/>
    </row>
    <row r="1123" spans="14:20" x14ac:dyDescent="0.25">
      <c r="N1123" s="514"/>
      <c r="R1123" s="293"/>
      <c r="S1123" s="316"/>
      <c r="T1123" s="355"/>
    </row>
    <row r="1124" spans="14:20" x14ac:dyDescent="0.25">
      <c r="N1124" s="514"/>
      <c r="R1124" s="293"/>
      <c r="S1124" s="316"/>
      <c r="T1124" s="355"/>
    </row>
    <row r="1125" spans="14:20" x14ac:dyDescent="0.25">
      <c r="N1125" s="514"/>
      <c r="R1125" s="293"/>
      <c r="S1125" s="316"/>
      <c r="T1125" s="355"/>
    </row>
    <row r="1126" spans="14:20" x14ac:dyDescent="0.25">
      <c r="N1126" s="514"/>
      <c r="R1126" s="293"/>
      <c r="S1126" s="316"/>
      <c r="T1126" s="355"/>
    </row>
    <row r="1127" spans="14:20" x14ac:dyDescent="0.25">
      <c r="N1127" s="514"/>
      <c r="R1127" s="293"/>
      <c r="S1127" s="316"/>
      <c r="T1127" s="355"/>
    </row>
    <row r="1128" spans="14:20" x14ac:dyDescent="0.25">
      <c r="N1128" s="514"/>
      <c r="R1128" s="293"/>
      <c r="S1128" s="316"/>
      <c r="T1128" s="355"/>
    </row>
    <row r="1129" spans="14:20" x14ac:dyDescent="0.25">
      <c r="N1129" s="514"/>
      <c r="R1129" s="293"/>
      <c r="S1129" s="316"/>
      <c r="T1129" s="355"/>
    </row>
    <row r="1130" spans="14:20" x14ac:dyDescent="0.25">
      <c r="N1130" s="514"/>
      <c r="R1130" s="293"/>
      <c r="S1130" s="316"/>
      <c r="T1130" s="355"/>
    </row>
    <row r="1131" spans="14:20" x14ac:dyDescent="0.25">
      <c r="N1131" s="514"/>
      <c r="R1131" s="293"/>
      <c r="S1131" s="316"/>
      <c r="T1131" s="355"/>
    </row>
    <row r="1132" spans="14:20" x14ac:dyDescent="0.25">
      <c r="N1132" s="514"/>
      <c r="R1132" s="293"/>
      <c r="S1132" s="316"/>
      <c r="T1132" s="355"/>
    </row>
    <row r="1133" spans="14:20" x14ac:dyDescent="0.25">
      <c r="N1133" s="514"/>
      <c r="R1133" s="293"/>
      <c r="S1133" s="316"/>
      <c r="T1133" s="355"/>
    </row>
    <row r="1134" spans="14:20" x14ac:dyDescent="0.25">
      <c r="N1134" s="514"/>
      <c r="R1134" s="293"/>
      <c r="S1134" s="316"/>
      <c r="T1134" s="355"/>
    </row>
    <row r="1135" spans="14:20" x14ac:dyDescent="0.25">
      <c r="N1135" s="514"/>
      <c r="R1135" s="293"/>
      <c r="S1135" s="316"/>
      <c r="T1135" s="355"/>
    </row>
    <row r="1136" spans="14:20" x14ac:dyDescent="0.25">
      <c r="N1136" s="514"/>
      <c r="R1136" s="293"/>
      <c r="S1136" s="316"/>
      <c r="T1136" s="355"/>
    </row>
    <row r="1137" spans="14:20" x14ac:dyDescent="0.25">
      <c r="N1137" s="514"/>
      <c r="R1137" s="293"/>
      <c r="S1137" s="316"/>
      <c r="T1137" s="355"/>
    </row>
    <row r="1138" spans="14:20" x14ac:dyDescent="0.25">
      <c r="N1138" s="514"/>
      <c r="R1138" s="293"/>
      <c r="S1138" s="316"/>
      <c r="T1138" s="355"/>
    </row>
    <row r="1139" spans="14:20" x14ac:dyDescent="0.25">
      <c r="N1139" s="514"/>
      <c r="R1139" s="293"/>
      <c r="S1139" s="316"/>
      <c r="T1139" s="355"/>
    </row>
    <row r="1140" spans="14:20" x14ac:dyDescent="0.25">
      <c r="N1140" s="514"/>
      <c r="R1140" s="293"/>
      <c r="S1140" s="316"/>
      <c r="T1140" s="355"/>
    </row>
    <row r="1141" spans="14:20" x14ac:dyDescent="0.25">
      <c r="N1141" s="514"/>
      <c r="R1141" s="293"/>
      <c r="S1141" s="316"/>
      <c r="T1141" s="355"/>
    </row>
    <row r="1142" spans="14:20" x14ac:dyDescent="0.25">
      <c r="N1142" s="514"/>
      <c r="R1142" s="293"/>
      <c r="S1142" s="316"/>
      <c r="T1142" s="355"/>
    </row>
    <row r="1143" spans="14:20" x14ac:dyDescent="0.25">
      <c r="N1143" s="514"/>
      <c r="R1143" s="293"/>
      <c r="S1143" s="316"/>
      <c r="T1143" s="355"/>
    </row>
    <row r="1144" spans="14:20" x14ac:dyDescent="0.25">
      <c r="N1144" s="514"/>
      <c r="R1144" s="293"/>
      <c r="S1144" s="316"/>
      <c r="T1144" s="355"/>
    </row>
    <row r="1145" spans="14:20" x14ac:dyDescent="0.25">
      <c r="N1145" s="514"/>
      <c r="R1145" s="293"/>
      <c r="S1145" s="316"/>
      <c r="T1145" s="355"/>
    </row>
    <row r="1146" spans="14:20" x14ac:dyDescent="0.25">
      <c r="N1146" s="514"/>
      <c r="R1146" s="293"/>
      <c r="S1146" s="316"/>
      <c r="T1146" s="355"/>
    </row>
    <row r="1147" spans="14:20" x14ac:dyDescent="0.25">
      <c r="N1147" s="514"/>
      <c r="R1147" s="293"/>
      <c r="S1147" s="316"/>
      <c r="T1147" s="355"/>
    </row>
    <row r="1148" spans="14:20" x14ac:dyDescent="0.25">
      <c r="N1148" s="514"/>
      <c r="R1148" s="293"/>
      <c r="S1148" s="316"/>
      <c r="T1148" s="355"/>
    </row>
    <row r="1149" spans="14:20" x14ac:dyDescent="0.25">
      <c r="N1149" s="514"/>
      <c r="R1149" s="293"/>
      <c r="S1149" s="316"/>
      <c r="T1149" s="355"/>
    </row>
    <row r="1150" spans="14:20" x14ac:dyDescent="0.25">
      <c r="N1150" s="514"/>
      <c r="R1150" s="293"/>
      <c r="S1150" s="316"/>
      <c r="T1150" s="355"/>
    </row>
    <row r="1151" spans="14:20" x14ac:dyDescent="0.25">
      <c r="N1151" s="514"/>
      <c r="R1151" s="293"/>
      <c r="S1151" s="316"/>
      <c r="T1151" s="355"/>
    </row>
    <row r="1152" spans="14:20" x14ac:dyDescent="0.25">
      <c r="N1152" s="514"/>
      <c r="R1152" s="293"/>
      <c r="S1152" s="316"/>
      <c r="T1152" s="355"/>
    </row>
    <row r="1153" spans="14:20" x14ac:dyDescent="0.25">
      <c r="N1153" s="514"/>
      <c r="R1153" s="293"/>
      <c r="S1153" s="316"/>
      <c r="T1153" s="355"/>
    </row>
    <row r="1154" spans="14:20" x14ac:dyDescent="0.25">
      <c r="N1154" s="514"/>
      <c r="R1154" s="293"/>
      <c r="S1154" s="316"/>
      <c r="T1154" s="355"/>
    </row>
    <row r="1155" spans="14:20" x14ac:dyDescent="0.25">
      <c r="N1155" s="514"/>
      <c r="R1155" s="293"/>
      <c r="S1155" s="316"/>
      <c r="T1155" s="355"/>
    </row>
    <row r="1156" spans="14:20" x14ac:dyDescent="0.25">
      <c r="N1156" s="514"/>
      <c r="R1156" s="293"/>
      <c r="S1156" s="316"/>
      <c r="T1156" s="355"/>
    </row>
    <row r="1157" spans="14:20" x14ac:dyDescent="0.25">
      <c r="N1157" s="514"/>
      <c r="R1157" s="293"/>
      <c r="S1157" s="316"/>
      <c r="T1157" s="355"/>
    </row>
    <row r="1158" spans="14:20" x14ac:dyDescent="0.25">
      <c r="N1158" s="514"/>
      <c r="R1158" s="293"/>
      <c r="S1158" s="316"/>
      <c r="T1158" s="355"/>
    </row>
    <row r="1159" spans="14:20" x14ac:dyDescent="0.25">
      <c r="N1159" s="514"/>
      <c r="R1159" s="293"/>
      <c r="S1159" s="316"/>
      <c r="T1159" s="355"/>
    </row>
    <row r="1160" spans="14:20" x14ac:dyDescent="0.25">
      <c r="N1160" s="514"/>
      <c r="R1160" s="293"/>
      <c r="S1160" s="316"/>
      <c r="T1160" s="355"/>
    </row>
    <row r="1161" spans="14:20" x14ac:dyDescent="0.25">
      <c r="N1161" s="514"/>
      <c r="R1161" s="293"/>
      <c r="S1161" s="316"/>
      <c r="T1161" s="355"/>
    </row>
    <row r="1162" spans="14:20" x14ac:dyDescent="0.25">
      <c r="N1162" s="514"/>
      <c r="R1162" s="293"/>
      <c r="S1162" s="316"/>
      <c r="T1162" s="355"/>
    </row>
    <row r="1163" spans="14:20" x14ac:dyDescent="0.25">
      <c r="N1163" s="514"/>
      <c r="R1163" s="293"/>
      <c r="S1163" s="316"/>
      <c r="T1163" s="355"/>
    </row>
    <row r="1164" spans="14:20" x14ac:dyDescent="0.25">
      <c r="N1164" s="514"/>
      <c r="R1164" s="293"/>
      <c r="S1164" s="316"/>
      <c r="T1164" s="355"/>
    </row>
    <row r="1165" spans="14:20" x14ac:dyDescent="0.25">
      <c r="N1165" s="514"/>
      <c r="R1165" s="293"/>
      <c r="S1165" s="316"/>
      <c r="T1165" s="355"/>
    </row>
    <row r="1166" spans="14:20" x14ac:dyDescent="0.25">
      <c r="N1166" s="514"/>
      <c r="R1166" s="293"/>
      <c r="S1166" s="316"/>
      <c r="T1166" s="355"/>
    </row>
    <row r="1167" spans="14:20" x14ac:dyDescent="0.25">
      <c r="N1167" s="514"/>
      <c r="R1167" s="293"/>
      <c r="S1167" s="316"/>
      <c r="T1167" s="355"/>
    </row>
    <row r="1168" spans="14:20" x14ac:dyDescent="0.25">
      <c r="N1168" s="514"/>
      <c r="R1168" s="293"/>
      <c r="S1168" s="316"/>
      <c r="T1168" s="355"/>
    </row>
    <row r="1169" spans="14:20" x14ac:dyDescent="0.25">
      <c r="N1169" s="514"/>
      <c r="R1169" s="293"/>
      <c r="S1169" s="316"/>
      <c r="T1169" s="355"/>
    </row>
    <row r="1170" spans="14:20" x14ac:dyDescent="0.25">
      <c r="N1170" s="514"/>
      <c r="R1170" s="293"/>
      <c r="S1170" s="316"/>
      <c r="T1170" s="355"/>
    </row>
    <row r="1171" spans="14:20" x14ac:dyDescent="0.25">
      <c r="N1171" s="514"/>
      <c r="R1171" s="293"/>
      <c r="S1171" s="316"/>
      <c r="T1171" s="355"/>
    </row>
    <row r="1172" spans="14:20" x14ac:dyDescent="0.25">
      <c r="N1172" s="514"/>
      <c r="R1172" s="293"/>
      <c r="S1172" s="316"/>
      <c r="T1172" s="355"/>
    </row>
    <row r="1173" spans="14:20" x14ac:dyDescent="0.25">
      <c r="N1173" s="514"/>
      <c r="R1173" s="293"/>
      <c r="S1173" s="316"/>
      <c r="T1173" s="355"/>
    </row>
    <row r="1174" spans="14:20" x14ac:dyDescent="0.25">
      <c r="N1174" s="514"/>
      <c r="R1174" s="293"/>
      <c r="S1174" s="316"/>
      <c r="T1174" s="355"/>
    </row>
    <row r="1175" spans="14:20" x14ac:dyDescent="0.25">
      <c r="N1175" s="514"/>
      <c r="R1175" s="293"/>
      <c r="S1175" s="316"/>
      <c r="T1175" s="355"/>
    </row>
    <row r="1176" spans="14:20" x14ac:dyDescent="0.25">
      <c r="N1176" s="514"/>
      <c r="R1176" s="293"/>
      <c r="S1176" s="316"/>
      <c r="T1176" s="355"/>
    </row>
    <row r="1177" spans="14:20" x14ac:dyDescent="0.25">
      <c r="N1177" s="514"/>
      <c r="R1177" s="293"/>
      <c r="S1177" s="316"/>
      <c r="T1177" s="355"/>
    </row>
    <row r="1178" spans="14:20" x14ac:dyDescent="0.25">
      <c r="N1178" s="514"/>
      <c r="R1178" s="293"/>
      <c r="S1178" s="316"/>
      <c r="T1178" s="355"/>
    </row>
    <row r="1179" spans="14:20" x14ac:dyDescent="0.25">
      <c r="N1179" s="514"/>
      <c r="R1179" s="293"/>
      <c r="S1179" s="316"/>
      <c r="T1179" s="355"/>
    </row>
    <row r="1180" spans="14:20" x14ac:dyDescent="0.25">
      <c r="N1180" s="514"/>
      <c r="R1180" s="293"/>
      <c r="S1180" s="316"/>
      <c r="T1180" s="355"/>
    </row>
    <row r="1181" spans="14:20" x14ac:dyDescent="0.25">
      <c r="N1181" s="514"/>
      <c r="R1181" s="293"/>
      <c r="S1181" s="316"/>
      <c r="T1181" s="355"/>
    </row>
    <row r="1182" spans="14:20" x14ac:dyDescent="0.25">
      <c r="N1182" s="514"/>
      <c r="R1182" s="293"/>
      <c r="S1182" s="316"/>
      <c r="T1182" s="355"/>
    </row>
    <row r="1183" spans="14:20" x14ac:dyDescent="0.25">
      <c r="N1183" s="514"/>
      <c r="R1183" s="293"/>
      <c r="S1183" s="316"/>
      <c r="T1183" s="355"/>
    </row>
    <row r="1184" spans="14:20" x14ac:dyDescent="0.25">
      <c r="N1184" s="514"/>
      <c r="R1184" s="293"/>
      <c r="S1184" s="316"/>
      <c r="T1184" s="355"/>
    </row>
    <row r="1185" spans="14:20" x14ac:dyDescent="0.25">
      <c r="N1185" s="514"/>
      <c r="R1185" s="293"/>
      <c r="S1185" s="316"/>
      <c r="T1185" s="355"/>
    </row>
    <row r="1186" spans="14:20" x14ac:dyDescent="0.25">
      <c r="N1186" s="514"/>
      <c r="R1186" s="293"/>
      <c r="S1186" s="316"/>
      <c r="T1186" s="355"/>
    </row>
    <row r="1187" spans="14:20" x14ac:dyDescent="0.25">
      <c r="N1187" s="514"/>
      <c r="R1187" s="293"/>
      <c r="S1187" s="316"/>
      <c r="T1187" s="355"/>
    </row>
    <row r="1188" spans="14:20" x14ac:dyDescent="0.25">
      <c r="N1188" s="514"/>
      <c r="R1188" s="293"/>
      <c r="S1188" s="316"/>
      <c r="T1188" s="355"/>
    </row>
    <row r="1189" spans="14:20" x14ac:dyDescent="0.25">
      <c r="N1189" s="514"/>
      <c r="R1189" s="293"/>
      <c r="S1189" s="316"/>
      <c r="T1189" s="355"/>
    </row>
    <row r="1190" spans="14:20" x14ac:dyDescent="0.25">
      <c r="N1190" s="514"/>
      <c r="R1190" s="293"/>
      <c r="S1190" s="316"/>
      <c r="T1190" s="355"/>
    </row>
    <row r="1191" spans="14:20" x14ac:dyDescent="0.25">
      <c r="N1191" s="514"/>
      <c r="R1191" s="293"/>
      <c r="S1191" s="316"/>
      <c r="T1191" s="355"/>
    </row>
    <row r="1192" spans="14:20" x14ac:dyDescent="0.25">
      <c r="N1192" s="514"/>
      <c r="R1192" s="293"/>
      <c r="S1192" s="316"/>
      <c r="T1192" s="355"/>
    </row>
    <row r="1193" spans="14:20" x14ac:dyDescent="0.25">
      <c r="N1193" s="514"/>
      <c r="R1193" s="293"/>
      <c r="S1193" s="316"/>
      <c r="T1193" s="355"/>
    </row>
    <row r="1194" spans="14:20" x14ac:dyDescent="0.25">
      <c r="N1194" s="514"/>
      <c r="R1194" s="293"/>
      <c r="S1194" s="316"/>
      <c r="T1194" s="355"/>
    </row>
    <row r="1195" spans="14:20" x14ac:dyDescent="0.25">
      <c r="N1195" s="514"/>
      <c r="R1195" s="293"/>
      <c r="S1195" s="316"/>
      <c r="T1195" s="355"/>
    </row>
    <row r="1196" spans="14:20" x14ac:dyDescent="0.25">
      <c r="N1196" s="514"/>
      <c r="R1196" s="293"/>
      <c r="S1196" s="316"/>
      <c r="T1196" s="355"/>
    </row>
    <row r="1197" spans="14:20" x14ac:dyDescent="0.25">
      <c r="N1197" s="514"/>
      <c r="R1197" s="293"/>
      <c r="S1197" s="316"/>
      <c r="T1197" s="355"/>
    </row>
    <row r="1198" spans="14:20" x14ac:dyDescent="0.25">
      <c r="N1198" s="514"/>
      <c r="R1198" s="293"/>
      <c r="S1198" s="316"/>
      <c r="T1198" s="355"/>
    </row>
    <row r="1199" spans="14:20" x14ac:dyDescent="0.25">
      <c r="N1199" s="514"/>
      <c r="R1199" s="293"/>
      <c r="S1199" s="316"/>
      <c r="T1199" s="355"/>
    </row>
    <row r="1200" spans="14:20" x14ac:dyDescent="0.25">
      <c r="N1200" s="514"/>
      <c r="R1200" s="293"/>
      <c r="S1200" s="316"/>
      <c r="T1200" s="355"/>
    </row>
    <row r="1201" spans="14:20" x14ac:dyDescent="0.25">
      <c r="N1201" s="514"/>
      <c r="R1201" s="293"/>
      <c r="S1201" s="316"/>
      <c r="T1201" s="355"/>
    </row>
    <row r="1202" spans="14:20" x14ac:dyDescent="0.25">
      <c r="N1202" s="514"/>
      <c r="R1202" s="293"/>
      <c r="S1202" s="316"/>
      <c r="T1202" s="355"/>
    </row>
    <row r="1203" spans="14:20" x14ac:dyDescent="0.25">
      <c r="N1203" s="514"/>
      <c r="R1203" s="293"/>
      <c r="S1203" s="316"/>
      <c r="T1203" s="355"/>
    </row>
    <row r="1204" spans="14:20" x14ac:dyDescent="0.25">
      <c r="N1204" s="514"/>
      <c r="R1204" s="293"/>
      <c r="S1204" s="316"/>
      <c r="T1204" s="355"/>
    </row>
    <row r="1205" spans="14:20" x14ac:dyDescent="0.25">
      <c r="N1205" s="514"/>
      <c r="R1205" s="293"/>
      <c r="S1205" s="316"/>
      <c r="T1205" s="355"/>
    </row>
    <row r="1206" spans="14:20" x14ac:dyDescent="0.25">
      <c r="N1206" s="514"/>
      <c r="R1206" s="293"/>
      <c r="S1206" s="316"/>
      <c r="T1206" s="355"/>
    </row>
    <row r="1207" spans="14:20" x14ac:dyDescent="0.25">
      <c r="N1207" s="514"/>
      <c r="R1207" s="293"/>
      <c r="S1207" s="316"/>
      <c r="T1207" s="355"/>
    </row>
    <row r="1208" spans="14:20" x14ac:dyDescent="0.25">
      <c r="N1208" s="514"/>
      <c r="R1208" s="293"/>
      <c r="S1208" s="316"/>
      <c r="T1208" s="355"/>
    </row>
    <row r="1209" spans="14:20" x14ac:dyDescent="0.25">
      <c r="N1209" s="514"/>
      <c r="R1209" s="293"/>
      <c r="S1209" s="316"/>
      <c r="T1209" s="355"/>
    </row>
    <row r="1210" spans="14:20" x14ac:dyDescent="0.25">
      <c r="N1210" s="514"/>
      <c r="R1210" s="293"/>
      <c r="S1210" s="316"/>
      <c r="T1210" s="355"/>
    </row>
    <row r="1211" spans="14:20" x14ac:dyDescent="0.25">
      <c r="N1211" s="514"/>
      <c r="R1211" s="293"/>
      <c r="S1211" s="316"/>
      <c r="T1211" s="355"/>
    </row>
    <row r="1212" spans="14:20" x14ac:dyDescent="0.25">
      <c r="N1212" s="514"/>
      <c r="R1212" s="293"/>
      <c r="S1212" s="316"/>
      <c r="T1212" s="355"/>
    </row>
    <row r="1213" spans="14:20" x14ac:dyDescent="0.25">
      <c r="N1213" s="514"/>
      <c r="R1213" s="293"/>
      <c r="S1213" s="316"/>
      <c r="T1213" s="355"/>
    </row>
    <row r="1214" spans="14:20" x14ac:dyDescent="0.25">
      <c r="N1214" s="514"/>
      <c r="R1214" s="293"/>
      <c r="S1214" s="316"/>
      <c r="T1214" s="355"/>
    </row>
    <row r="1215" spans="14:20" x14ac:dyDescent="0.25">
      <c r="N1215" s="514"/>
      <c r="R1215" s="293"/>
      <c r="S1215" s="316"/>
      <c r="T1215" s="355"/>
    </row>
    <row r="1216" spans="14:20" x14ac:dyDescent="0.25">
      <c r="N1216" s="514"/>
      <c r="R1216" s="293"/>
      <c r="S1216" s="316"/>
      <c r="T1216" s="355"/>
    </row>
    <row r="1217" spans="14:20" x14ac:dyDescent="0.25">
      <c r="N1217" s="514"/>
      <c r="R1217" s="293"/>
      <c r="S1217" s="316"/>
      <c r="T1217" s="355"/>
    </row>
    <row r="1218" spans="14:20" x14ac:dyDescent="0.25">
      <c r="N1218" s="514"/>
      <c r="R1218" s="293"/>
      <c r="S1218" s="316"/>
      <c r="T1218" s="355"/>
    </row>
    <row r="1219" spans="14:20" x14ac:dyDescent="0.25">
      <c r="N1219" s="514"/>
      <c r="R1219" s="293"/>
      <c r="S1219" s="316"/>
      <c r="T1219" s="355"/>
    </row>
    <row r="1220" spans="14:20" x14ac:dyDescent="0.25">
      <c r="N1220" s="514"/>
      <c r="R1220" s="293"/>
      <c r="S1220" s="316"/>
      <c r="T1220" s="355"/>
    </row>
    <row r="1221" spans="14:20" x14ac:dyDescent="0.25">
      <c r="N1221" s="514"/>
      <c r="R1221" s="293"/>
      <c r="S1221" s="316"/>
      <c r="T1221" s="355"/>
    </row>
    <row r="1222" spans="14:20" x14ac:dyDescent="0.25">
      <c r="N1222" s="514"/>
      <c r="R1222" s="293"/>
      <c r="S1222" s="316"/>
      <c r="T1222" s="355"/>
    </row>
    <row r="1223" spans="14:20" x14ac:dyDescent="0.25">
      <c r="N1223" s="514"/>
      <c r="R1223" s="293"/>
      <c r="S1223" s="316"/>
      <c r="T1223" s="355"/>
    </row>
    <row r="1224" spans="14:20" x14ac:dyDescent="0.25">
      <c r="N1224" s="514"/>
      <c r="R1224" s="293"/>
      <c r="S1224" s="316"/>
      <c r="T1224" s="355"/>
    </row>
    <row r="1225" spans="14:20" x14ac:dyDescent="0.25">
      <c r="N1225" s="514"/>
      <c r="R1225" s="293"/>
      <c r="S1225" s="316"/>
      <c r="T1225" s="355"/>
    </row>
    <row r="1226" spans="14:20" x14ac:dyDescent="0.25">
      <c r="N1226" s="514"/>
      <c r="R1226" s="293"/>
      <c r="S1226" s="316"/>
      <c r="T1226" s="355"/>
    </row>
    <row r="1227" spans="14:20" x14ac:dyDescent="0.25">
      <c r="N1227" s="514"/>
      <c r="R1227" s="293"/>
      <c r="S1227" s="316"/>
      <c r="T1227" s="355"/>
    </row>
    <row r="1228" spans="14:20" x14ac:dyDescent="0.25">
      <c r="N1228" s="514"/>
      <c r="R1228" s="293"/>
      <c r="S1228" s="316"/>
      <c r="T1228" s="355"/>
    </row>
    <row r="1229" spans="14:20" x14ac:dyDescent="0.25">
      <c r="N1229" s="514"/>
      <c r="R1229" s="293"/>
      <c r="S1229" s="316"/>
      <c r="T1229" s="355"/>
    </row>
    <row r="1230" spans="14:20" x14ac:dyDescent="0.25">
      <c r="N1230" s="514"/>
      <c r="R1230" s="293"/>
      <c r="S1230" s="316"/>
      <c r="T1230" s="355"/>
    </row>
    <row r="1231" spans="14:20" x14ac:dyDescent="0.25">
      <c r="N1231" s="514"/>
      <c r="R1231" s="293"/>
      <c r="S1231" s="316"/>
      <c r="T1231" s="355"/>
    </row>
    <row r="1232" spans="14:20" x14ac:dyDescent="0.25">
      <c r="N1232" s="514"/>
      <c r="R1232" s="293"/>
      <c r="S1232" s="316"/>
      <c r="T1232" s="355"/>
    </row>
    <row r="1233" spans="14:20" x14ac:dyDescent="0.25">
      <c r="N1233" s="514"/>
      <c r="R1233" s="293"/>
      <c r="S1233" s="316"/>
      <c r="T1233" s="355"/>
    </row>
    <row r="1234" spans="14:20" x14ac:dyDescent="0.25">
      <c r="N1234" s="514"/>
      <c r="R1234" s="293"/>
      <c r="S1234" s="316"/>
      <c r="T1234" s="355"/>
    </row>
    <row r="1235" spans="14:20" x14ac:dyDescent="0.25">
      <c r="N1235" s="514"/>
      <c r="R1235" s="293"/>
      <c r="S1235" s="316"/>
      <c r="T1235" s="355"/>
    </row>
    <row r="1236" spans="14:20" x14ac:dyDescent="0.25">
      <c r="N1236" s="514"/>
      <c r="R1236" s="293"/>
      <c r="S1236" s="316"/>
      <c r="T1236" s="355"/>
    </row>
    <row r="1237" spans="14:20" x14ac:dyDescent="0.25">
      <c r="N1237" s="514"/>
      <c r="R1237" s="293"/>
      <c r="S1237" s="316"/>
      <c r="T1237" s="355"/>
    </row>
    <row r="1238" spans="14:20" x14ac:dyDescent="0.25">
      <c r="N1238" s="514"/>
      <c r="R1238" s="293"/>
      <c r="S1238" s="316"/>
      <c r="T1238" s="355"/>
    </row>
    <row r="1239" spans="14:20" x14ac:dyDescent="0.25">
      <c r="N1239" s="514"/>
      <c r="R1239" s="293"/>
      <c r="S1239" s="316"/>
      <c r="T1239" s="355"/>
    </row>
    <row r="1240" spans="14:20" x14ac:dyDescent="0.25">
      <c r="N1240" s="514"/>
      <c r="R1240" s="293"/>
      <c r="S1240" s="316"/>
      <c r="T1240" s="355"/>
    </row>
    <row r="1241" spans="14:20" x14ac:dyDescent="0.25">
      <c r="N1241" s="514"/>
      <c r="R1241" s="293"/>
      <c r="S1241" s="316"/>
      <c r="T1241" s="355"/>
    </row>
    <row r="1242" spans="14:20" x14ac:dyDescent="0.25">
      <c r="N1242" s="514"/>
      <c r="R1242" s="293"/>
      <c r="S1242" s="316"/>
      <c r="T1242" s="355"/>
    </row>
    <row r="1243" spans="14:20" x14ac:dyDescent="0.25">
      <c r="N1243" s="514"/>
      <c r="R1243" s="293"/>
      <c r="S1243" s="316"/>
      <c r="T1243" s="355"/>
    </row>
    <row r="1244" spans="14:20" x14ac:dyDescent="0.25">
      <c r="N1244" s="514"/>
      <c r="R1244" s="293"/>
      <c r="S1244" s="316"/>
      <c r="T1244" s="355"/>
    </row>
    <row r="1245" spans="14:20" x14ac:dyDescent="0.25">
      <c r="N1245" s="514"/>
      <c r="R1245" s="293"/>
      <c r="S1245" s="316"/>
      <c r="T1245" s="355"/>
    </row>
    <row r="1246" spans="14:20" x14ac:dyDescent="0.25">
      <c r="N1246" s="514"/>
      <c r="R1246" s="293"/>
      <c r="S1246" s="316"/>
      <c r="T1246" s="355"/>
    </row>
    <row r="1247" spans="14:20" x14ac:dyDescent="0.25">
      <c r="N1247" s="514"/>
      <c r="R1247" s="293"/>
      <c r="S1247" s="316"/>
      <c r="T1247" s="355"/>
    </row>
    <row r="1248" spans="14:20" x14ac:dyDescent="0.25">
      <c r="N1248" s="514"/>
      <c r="R1248" s="293"/>
      <c r="S1248" s="316"/>
      <c r="T1248" s="355"/>
    </row>
    <row r="1249" spans="14:20" x14ac:dyDescent="0.25">
      <c r="N1249" s="514"/>
      <c r="R1249" s="293"/>
      <c r="S1249" s="316"/>
      <c r="T1249" s="355"/>
    </row>
    <row r="1250" spans="14:20" x14ac:dyDescent="0.25">
      <c r="N1250" s="514"/>
      <c r="R1250" s="293"/>
      <c r="S1250" s="316"/>
      <c r="T1250" s="355"/>
    </row>
    <row r="1251" spans="14:20" x14ac:dyDescent="0.25">
      <c r="N1251" s="514"/>
      <c r="R1251" s="293"/>
      <c r="S1251" s="316"/>
      <c r="T1251" s="355"/>
    </row>
    <row r="1252" spans="14:20" x14ac:dyDescent="0.25">
      <c r="N1252" s="514"/>
      <c r="R1252" s="293"/>
      <c r="S1252" s="316"/>
      <c r="T1252" s="355"/>
    </row>
    <row r="1253" spans="14:20" x14ac:dyDescent="0.25">
      <c r="N1253" s="514"/>
      <c r="R1253" s="293"/>
      <c r="S1253" s="316"/>
      <c r="T1253" s="355"/>
    </row>
    <row r="1254" spans="14:20" x14ac:dyDescent="0.25">
      <c r="N1254" s="514"/>
      <c r="R1254" s="293"/>
      <c r="S1254" s="316"/>
      <c r="T1254" s="355"/>
    </row>
    <row r="1255" spans="14:20" x14ac:dyDescent="0.25">
      <c r="N1255" s="514"/>
      <c r="R1255" s="293"/>
      <c r="S1255" s="316"/>
      <c r="T1255" s="355"/>
    </row>
    <row r="1256" spans="14:20" x14ac:dyDescent="0.25">
      <c r="N1256" s="514"/>
      <c r="R1256" s="293"/>
      <c r="S1256" s="316"/>
      <c r="T1256" s="355"/>
    </row>
    <row r="1257" spans="14:20" x14ac:dyDescent="0.25">
      <c r="N1257" s="514"/>
      <c r="R1257" s="293"/>
      <c r="S1257" s="316"/>
      <c r="T1257" s="355"/>
    </row>
    <row r="1258" spans="14:20" x14ac:dyDescent="0.25">
      <c r="N1258" s="514"/>
      <c r="R1258" s="293"/>
      <c r="S1258" s="316"/>
      <c r="T1258" s="355"/>
    </row>
    <row r="1259" spans="14:20" x14ac:dyDescent="0.25">
      <c r="N1259" s="514"/>
      <c r="R1259" s="293"/>
      <c r="S1259" s="316"/>
      <c r="T1259" s="355"/>
    </row>
    <row r="1260" spans="14:20" x14ac:dyDescent="0.25">
      <c r="N1260" s="514"/>
      <c r="R1260" s="293"/>
      <c r="S1260" s="316"/>
      <c r="T1260" s="355"/>
    </row>
    <row r="1261" spans="14:20" x14ac:dyDescent="0.25">
      <c r="N1261" s="514"/>
      <c r="R1261" s="293"/>
      <c r="S1261" s="316"/>
      <c r="T1261" s="355"/>
    </row>
    <row r="1262" spans="14:20" x14ac:dyDescent="0.25">
      <c r="N1262" s="514"/>
      <c r="R1262" s="293"/>
      <c r="S1262" s="316"/>
      <c r="T1262" s="355"/>
    </row>
    <row r="1263" spans="14:20" x14ac:dyDescent="0.25">
      <c r="N1263" s="514"/>
      <c r="R1263" s="293"/>
      <c r="S1263" s="316"/>
      <c r="T1263" s="355"/>
    </row>
    <row r="1264" spans="14:20" x14ac:dyDescent="0.25">
      <c r="N1264" s="514"/>
      <c r="R1264" s="293"/>
      <c r="S1264" s="316"/>
      <c r="T1264" s="355"/>
    </row>
    <row r="1265" spans="14:20" x14ac:dyDescent="0.25">
      <c r="N1265" s="514"/>
      <c r="R1265" s="293"/>
      <c r="S1265" s="316"/>
      <c r="T1265" s="355"/>
    </row>
    <row r="1266" spans="14:20" x14ac:dyDescent="0.25">
      <c r="N1266" s="514"/>
      <c r="R1266" s="293"/>
      <c r="S1266" s="316"/>
      <c r="T1266" s="355"/>
    </row>
    <row r="1267" spans="14:20" x14ac:dyDescent="0.25">
      <c r="N1267" s="514"/>
      <c r="R1267" s="293"/>
      <c r="S1267" s="316"/>
      <c r="T1267" s="355"/>
    </row>
    <row r="1268" spans="14:20" x14ac:dyDescent="0.25">
      <c r="N1268" s="514"/>
      <c r="R1268" s="293"/>
      <c r="S1268" s="316"/>
      <c r="T1268" s="355"/>
    </row>
    <row r="1269" spans="14:20" x14ac:dyDescent="0.25">
      <c r="N1269" s="514"/>
      <c r="R1269" s="293"/>
      <c r="S1269" s="316"/>
      <c r="T1269" s="355"/>
    </row>
    <row r="1270" spans="14:20" x14ac:dyDescent="0.25">
      <c r="N1270" s="514"/>
      <c r="R1270" s="293"/>
      <c r="S1270" s="316"/>
      <c r="T1270" s="355"/>
    </row>
    <row r="1271" spans="14:20" x14ac:dyDescent="0.25">
      <c r="N1271" s="514"/>
      <c r="R1271" s="293"/>
      <c r="S1271" s="316"/>
      <c r="T1271" s="355"/>
    </row>
    <row r="1272" spans="14:20" x14ac:dyDescent="0.25">
      <c r="N1272" s="514"/>
      <c r="R1272" s="293"/>
      <c r="S1272" s="316"/>
      <c r="T1272" s="355"/>
    </row>
    <row r="1273" spans="14:20" x14ac:dyDescent="0.25">
      <c r="N1273" s="514"/>
      <c r="R1273" s="293"/>
      <c r="S1273" s="316"/>
      <c r="T1273" s="355"/>
    </row>
    <row r="1274" spans="14:20" x14ac:dyDescent="0.25">
      <c r="N1274" s="514"/>
      <c r="R1274" s="293"/>
      <c r="S1274" s="316"/>
      <c r="T1274" s="355"/>
    </row>
    <row r="1275" spans="14:20" x14ac:dyDescent="0.25">
      <c r="N1275" s="514"/>
      <c r="R1275" s="293"/>
      <c r="S1275" s="316"/>
      <c r="T1275" s="355"/>
    </row>
    <row r="1276" spans="14:20" x14ac:dyDescent="0.25">
      <c r="N1276" s="514"/>
      <c r="R1276" s="293"/>
      <c r="S1276" s="316"/>
      <c r="T1276" s="355"/>
    </row>
    <row r="1277" spans="14:20" x14ac:dyDescent="0.25">
      <c r="N1277" s="514"/>
      <c r="R1277" s="293"/>
      <c r="S1277" s="316"/>
      <c r="T1277" s="355"/>
    </row>
    <row r="1278" spans="14:20" x14ac:dyDescent="0.25">
      <c r="N1278" s="514"/>
      <c r="R1278" s="293"/>
      <c r="S1278" s="316"/>
      <c r="T1278" s="355"/>
    </row>
    <row r="1279" spans="14:20" x14ac:dyDescent="0.25">
      <c r="N1279" s="514"/>
      <c r="R1279" s="293"/>
      <c r="S1279" s="316"/>
      <c r="T1279" s="355"/>
    </row>
    <row r="1280" spans="14:20" x14ac:dyDescent="0.25">
      <c r="N1280" s="514"/>
      <c r="R1280" s="293"/>
      <c r="S1280" s="316"/>
      <c r="T1280" s="355"/>
    </row>
    <row r="1281" spans="14:20" x14ac:dyDescent="0.25">
      <c r="N1281" s="514"/>
      <c r="R1281" s="293"/>
      <c r="S1281" s="316"/>
      <c r="T1281" s="355"/>
    </row>
    <row r="1282" spans="14:20" x14ac:dyDescent="0.25">
      <c r="N1282" s="514"/>
      <c r="R1282" s="293"/>
      <c r="S1282" s="316"/>
      <c r="T1282" s="355"/>
    </row>
    <row r="1283" spans="14:20" x14ac:dyDescent="0.25">
      <c r="N1283" s="514"/>
      <c r="R1283" s="293"/>
      <c r="S1283" s="316"/>
      <c r="T1283" s="355"/>
    </row>
    <row r="1284" spans="14:20" x14ac:dyDescent="0.25">
      <c r="N1284" s="514"/>
      <c r="R1284" s="293"/>
      <c r="S1284" s="316"/>
      <c r="T1284" s="355"/>
    </row>
    <row r="1285" spans="14:20" x14ac:dyDescent="0.25">
      <c r="N1285" s="514"/>
      <c r="R1285" s="293"/>
      <c r="S1285" s="316"/>
      <c r="T1285" s="355"/>
    </row>
    <row r="1286" spans="14:20" x14ac:dyDescent="0.25">
      <c r="N1286" s="514"/>
      <c r="R1286" s="293"/>
      <c r="S1286" s="316"/>
      <c r="T1286" s="355"/>
    </row>
    <row r="1287" spans="14:20" x14ac:dyDescent="0.25">
      <c r="N1287" s="514"/>
      <c r="R1287" s="293"/>
      <c r="S1287" s="316"/>
      <c r="T1287" s="355"/>
    </row>
    <row r="1288" spans="14:20" x14ac:dyDescent="0.25">
      <c r="N1288" s="514"/>
      <c r="R1288" s="293"/>
      <c r="S1288" s="316"/>
      <c r="T1288" s="355"/>
    </row>
    <row r="1289" spans="14:20" x14ac:dyDescent="0.25">
      <c r="N1289" s="514"/>
      <c r="R1289" s="293"/>
      <c r="S1289" s="316"/>
      <c r="T1289" s="355"/>
    </row>
    <row r="1290" spans="14:20" x14ac:dyDescent="0.25">
      <c r="N1290" s="514"/>
      <c r="R1290" s="293"/>
      <c r="S1290" s="316"/>
      <c r="T1290" s="355"/>
    </row>
    <row r="1291" spans="14:20" x14ac:dyDescent="0.25">
      <c r="N1291" s="514"/>
      <c r="R1291" s="293"/>
      <c r="S1291" s="316"/>
      <c r="T1291" s="355"/>
    </row>
    <row r="1292" spans="14:20" x14ac:dyDescent="0.25">
      <c r="N1292" s="514"/>
      <c r="R1292" s="293"/>
      <c r="S1292" s="316"/>
      <c r="T1292" s="355"/>
    </row>
    <row r="1293" spans="14:20" x14ac:dyDescent="0.25">
      <c r="N1293" s="514"/>
      <c r="R1293" s="293"/>
      <c r="S1293" s="316"/>
      <c r="T1293" s="355"/>
    </row>
    <row r="1294" spans="14:20" x14ac:dyDescent="0.25">
      <c r="N1294" s="514"/>
      <c r="R1294" s="293"/>
      <c r="S1294" s="316"/>
      <c r="T1294" s="355"/>
    </row>
    <row r="1295" spans="14:20" x14ac:dyDescent="0.25">
      <c r="N1295" s="514"/>
      <c r="R1295" s="293"/>
      <c r="S1295" s="316"/>
      <c r="T1295" s="355"/>
    </row>
    <row r="1296" spans="14:20" x14ac:dyDescent="0.25">
      <c r="N1296" s="514"/>
      <c r="R1296" s="293"/>
      <c r="S1296" s="316"/>
      <c r="T1296" s="355"/>
    </row>
    <row r="1297" spans="14:20" x14ac:dyDescent="0.25">
      <c r="N1297" s="514"/>
      <c r="R1297" s="293"/>
      <c r="S1297" s="316"/>
      <c r="T1297" s="355"/>
    </row>
    <row r="1298" spans="14:20" x14ac:dyDescent="0.25">
      <c r="N1298" s="514"/>
      <c r="R1298" s="293"/>
      <c r="S1298" s="316"/>
      <c r="T1298" s="355"/>
    </row>
    <row r="1299" spans="14:20" x14ac:dyDescent="0.25">
      <c r="N1299" s="514"/>
      <c r="R1299" s="293"/>
      <c r="S1299" s="316"/>
      <c r="T1299" s="355"/>
    </row>
    <row r="1300" spans="14:20" x14ac:dyDescent="0.25">
      <c r="N1300" s="514"/>
      <c r="R1300" s="293"/>
      <c r="S1300" s="316"/>
      <c r="T1300" s="355"/>
    </row>
    <row r="1301" spans="14:20" x14ac:dyDescent="0.25">
      <c r="N1301" s="514"/>
      <c r="R1301" s="293"/>
      <c r="S1301" s="316"/>
      <c r="T1301" s="355"/>
    </row>
    <row r="1302" spans="14:20" x14ac:dyDescent="0.25">
      <c r="N1302" s="514"/>
      <c r="R1302" s="293"/>
      <c r="S1302" s="316"/>
      <c r="T1302" s="355"/>
    </row>
    <row r="1303" spans="14:20" x14ac:dyDescent="0.25">
      <c r="N1303" s="514"/>
      <c r="R1303" s="293"/>
      <c r="S1303" s="316"/>
      <c r="T1303" s="355"/>
    </row>
    <row r="1304" spans="14:20" x14ac:dyDescent="0.25">
      <c r="N1304" s="514"/>
      <c r="R1304" s="293"/>
      <c r="S1304" s="316"/>
      <c r="T1304" s="355"/>
    </row>
    <row r="1305" spans="14:20" x14ac:dyDescent="0.25">
      <c r="N1305" s="514"/>
      <c r="R1305" s="293"/>
      <c r="S1305" s="316"/>
      <c r="T1305" s="355"/>
    </row>
    <row r="1306" spans="14:20" x14ac:dyDescent="0.25">
      <c r="N1306" s="514"/>
      <c r="R1306" s="293"/>
      <c r="S1306" s="316"/>
      <c r="T1306" s="355"/>
    </row>
    <row r="1307" spans="14:20" x14ac:dyDescent="0.25">
      <c r="N1307" s="514"/>
      <c r="R1307" s="293"/>
      <c r="S1307" s="316"/>
      <c r="T1307" s="355"/>
    </row>
    <row r="1308" spans="14:20" x14ac:dyDescent="0.25">
      <c r="N1308" s="514"/>
      <c r="R1308" s="293"/>
      <c r="S1308" s="316"/>
      <c r="T1308" s="355"/>
    </row>
    <row r="1309" spans="14:20" x14ac:dyDescent="0.25">
      <c r="N1309" s="514"/>
      <c r="R1309" s="293"/>
      <c r="S1309" s="316"/>
      <c r="T1309" s="355"/>
    </row>
    <row r="1310" spans="14:20" x14ac:dyDescent="0.25">
      <c r="N1310" s="514"/>
      <c r="R1310" s="293"/>
      <c r="S1310" s="316"/>
      <c r="T1310" s="355"/>
    </row>
    <row r="1311" spans="14:20" x14ac:dyDescent="0.25">
      <c r="N1311" s="514"/>
      <c r="R1311" s="293"/>
      <c r="S1311" s="316"/>
      <c r="T1311" s="355"/>
    </row>
    <row r="1312" spans="14:20" x14ac:dyDescent="0.25">
      <c r="N1312" s="514"/>
      <c r="R1312" s="293"/>
      <c r="S1312" s="316"/>
      <c r="T1312" s="355"/>
    </row>
    <row r="1313" spans="14:20" x14ac:dyDescent="0.25">
      <c r="N1313" s="514"/>
      <c r="R1313" s="293"/>
      <c r="S1313" s="316"/>
      <c r="T1313" s="355"/>
    </row>
    <row r="1314" spans="14:20" x14ac:dyDescent="0.25">
      <c r="N1314" s="514"/>
      <c r="R1314" s="293"/>
      <c r="S1314" s="316"/>
      <c r="T1314" s="355"/>
    </row>
    <row r="1315" spans="14:20" x14ac:dyDescent="0.25">
      <c r="N1315" s="514"/>
      <c r="R1315" s="293"/>
      <c r="S1315" s="316"/>
      <c r="T1315" s="355"/>
    </row>
    <row r="1316" spans="14:20" x14ac:dyDescent="0.25">
      <c r="N1316" s="514"/>
      <c r="R1316" s="293"/>
      <c r="S1316" s="316"/>
      <c r="T1316" s="355"/>
    </row>
    <row r="1317" spans="14:20" x14ac:dyDescent="0.25">
      <c r="N1317" s="514"/>
      <c r="R1317" s="293"/>
      <c r="S1317" s="316"/>
      <c r="T1317" s="355"/>
    </row>
    <row r="1318" spans="14:20" x14ac:dyDescent="0.25">
      <c r="N1318" s="514"/>
      <c r="R1318" s="293"/>
      <c r="S1318" s="316"/>
      <c r="T1318" s="355"/>
    </row>
    <row r="1319" spans="14:20" x14ac:dyDescent="0.25">
      <c r="N1319" s="514"/>
      <c r="R1319" s="293"/>
      <c r="S1319" s="316"/>
      <c r="T1319" s="355"/>
    </row>
    <row r="1320" spans="14:20" x14ac:dyDescent="0.25">
      <c r="N1320" s="514"/>
      <c r="R1320" s="293"/>
      <c r="S1320" s="316"/>
      <c r="T1320" s="355"/>
    </row>
    <row r="1321" spans="14:20" x14ac:dyDescent="0.25">
      <c r="N1321" s="514"/>
      <c r="R1321" s="293"/>
      <c r="S1321" s="316"/>
      <c r="T1321" s="355"/>
    </row>
    <row r="1322" spans="14:20" x14ac:dyDescent="0.25">
      <c r="N1322" s="514"/>
      <c r="R1322" s="293"/>
      <c r="S1322" s="316"/>
      <c r="T1322" s="355"/>
    </row>
    <row r="1323" spans="14:20" x14ac:dyDescent="0.25">
      <c r="N1323" s="514"/>
      <c r="R1323" s="293"/>
      <c r="S1323" s="316"/>
      <c r="T1323" s="355"/>
    </row>
    <row r="1324" spans="14:20" x14ac:dyDescent="0.25">
      <c r="N1324" s="514"/>
      <c r="R1324" s="293"/>
      <c r="S1324" s="316"/>
      <c r="T1324" s="355"/>
    </row>
    <row r="1325" spans="14:20" x14ac:dyDescent="0.25">
      <c r="N1325" s="514"/>
      <c r="R1325" s="293"/>
      <c r="S1325" s="316"/>
      <c r="T1325" s="355"/>
    </row>
    <row r="1326" spans="14:20" x14ac:dyDescent="0.25">
      <c r="N1326" s="514"/>
      <c r="R1326" s="293"/>
      <c r="S1326" s="316"/>
      <c r="T1326" s="355"/>
    </row>
    <row r="1327" spans="14:20" x14ac:dyDescent="0.25">
      <c r="N1327" s="514"/>
      <c r="R1327" s="293"/>
      <c r="S1327" s="316"/>
      <c r="T1327" s="355"/>
    </row>
    <row r="1328" spans="14:20" x14ac:dyDescent="0.25">
      <c r="N1328" s="514"/>
      <c r="R1328" s="293"/>
      <c r="S1328" s="316"/>
      <c r="T1328" s="355"/>
    </row>
    <row r="1329" spans="14:20" x14ac:dyDescent="0.25">
      <c r="N1329" s="514"/>
      <c r="R1329" s="293"/>
      <c r="S1329" s="316"/>
      <c r="T1329" s="355"/>
    </row>
    <row r="1330" spans="14:20" x14ac:dyDescent="0.25">
      <c r="N1330" s="514"/>
      <c r="R1330" s="293"/>
      <c r="S1330" s="316"/>
      <c r="T1330" s="355"/>
    </row>
    <row r="1331" spans="14:20" x14ac:dyDescent="0.25">
      <c r="N1331" s="514"/>
      <c r="R1331" s="293"/>
      <c r="S1331" s="316"/>
      <c r="T1331" s="355"/>
    </row>
    <row r="1332" spans="14:20" x14ac:dyDescent="0.25">
      <c r="N1332" s="514"/>
      <c r="R1332" s="293"/>
      <c r="S1332" s="316"/>
      <c r="T1332" s="355"/>
    </row>
    <row r="1333" spans="14:20" x14ac:dyDescent="0.25">
      <c r="N1333" s="514"/>
      <c r="R1333" s="293"/>
      <c r="S1333" s="316"/>
      <c r="T1333" s="355"/>
    </row>
    <row r="1334" spans="14:20" x14ac:dyDescent="0.25">
      <c r="N1334" s="514"/>
      <c r="R1334" s="293"/>
      <c r="S1334" s="316"/>
      <c r="T1334" s="355"/>
    </row>
    <row r="1335" spans="14:20" x14ac:dyDescent="0.25">
      <c r="N1335" s="514"/>
      <c r="R1335" s="293"/>
      <c r="S1335" s="316"/>
      <c r="T1335" s="355"/>
    </row>
    <row r="1336" spans="14:20" x14ac:dyDescent="0.25">
      <c r="N1336" s="514"/>
      <c r="R1336" s="293"/>
      <c r="S1336" s="316"/>
      <c r="T1336" s="355"/>
    </row>
    <row r="1337" spans="14:20" x14ac:dyDescent="0.25">
      <c r="N1337" s="514"/>
      <c r="R1337" s="293"/>
      <c r="S1337" s="316"/>
      <c r="T1337" s="355"/>
    </row>
    <row r="1338" spans="14:20" x14ac:dyDescent="0.25">
      <c r="N1338" s="514"/>
      <c r="R1338" s="293"/>
      <c r="S1338" s="316"/>
      <c r="T1338" s="355"/>
    </row>
    <row r="1339" spans="14:20" x14ac:dyDescent="0.25">
      <c r="N1339" s="514"/>
      <c r="R1339" s="293"/>
      <c r="S1339" s="316"/>
      <c r="T1339" s="355"/>
    </row>
    <row r="1340" spans="14:20" x14ac:dyDescent="0.25">
      <c r="N1340" s="514"/>
      <c r="R1340" s="293"/>
      <c r="S1340" s="316"/>
      <c r="T1340" s="355"/>
    </row>
    <row r="1341" spans="14:20" x14ac:dyDescent="0.25">
      <c r="N1341" s="514"/>
      <c r="R1341" s="293"/>
      <c r="S1341" s="316"/>
      <c r="T1341" s="355"/>
    </row>
    <row r="1342" spans="14:20" x14ac:dyDescent="0.25">
      <c r="N1342" s="514"/>
      <c r="R1342" s="293"/>
      <c r="S1342" s="316"/>
      <c r="T1342" s="355"/>
    </row>
    <row r="1343" spans="14:20" x14ac:dyDescent="0.25">
      <c r="N1343" s="514"/>
      <c r="R1343" s="293"/>
      <c r="S1343" s="316"/>
      <c r="T1343" s="355"/>
    </row>
    <row r="1344" spans="14:20" x14ac:dyDescent="0.25">
      <c r="N1344" s="514"/>
      <c r="R1344" s="293"/>
      <c r="S1344" s="316"/>
      <c r="T1344" s="355"/>
    </row>
    <row r="1345" spans="14:20" x14ac:dyDescent="0.25">
      <c r="N1345" s="514"/>
      <c r="R1345" s="293"/>
      <c r="S1345" s="316"/>
      <c r="T1345" s="355"/>
    </row>
    <row r="1346" spans="14:20" x14ac:dyDescent="0.25">
      <c r="N1346" s="514"/>
      <c r="R1346" s="293"/>
      <c r="S1346" s="316"/>
      <c r="T1346" s="355"/>
    </row>
    <row r="1347" spans="14:20" x14ac:dyDescent="0.25">
      <c r="N1347" s="514"/>
      <c r="R1347" s="293"/>
      <c r="S1347" s="316"/>
      <c r="T1347" s="355"/>
    </row>
    <row r="1348" spans="14:20" x14ac:dyDescent="0.25">
      <c r="N1348" s="514"/>
      <c r="R1348" s="293"/>
      <c r="S1348" s="316"/>
      <c r="T1348" s="355"/>
    </row>
    <row r="1349" spans="14:20" x14ac:dyDescent="0.25">
      <c r="N1349" s="514"/>
      <c r="R1349" s="293"/>
      <c r="S1349" s="316"/>
      <c r="T1349" s="355"/>
    </row>
    <row r="1350" spans="14:20" x14ac:dyDescent="0.25">
      <c r="N1350" s="514"/>
      <c r="R1350" s="293"/>
      <c r="S1350" s="316"/>
      <c r="T1350" s="355"/>
    </row>
    <row r="1351" spans="14:20" x14ac:dyDescent="0.25">
      <c r="N1351" s="514"/>
      <c r="R1351" s="293"/>
      <c r="S1351" s="316"/>
      <c r="T1351" s="355"/>
    </row>
    <row r="1352" spans="14:20" x14ac:dyDescent="0.25">
      <c r="N1352" s="514"/>
      <c r="R1352" s="293"/>
      <c r="S1352" s="316"/>
      <c r="T1352" s="355"/>
    </row>
    <row r="1353" spans="14:20" x14ac:dyDescent="0.25">
      <c r="N1353" s="514"/>
      <c r="R1353" s="293"/>
      <c r="S1353" s="316"/>
      <c r="T1353" s="355"/>
    </row>
    <row r="1354" spans="14:20" x14ac:dyDescent="0.25">
      <c r="N1354" s="514"/>
      <c r="R1354" s="293"/>
      <c r="S1354" s="316"/>
      <c r="T1354" s="355"/>
    </row>
    <row r="1355" spans="14:20" x14ac:dyDescent="0.25">
      <c r="N1355" s="514"/>
      <c r="R1355" s="293"/>
      <c r="S1355" s="316"/>
      <c r="T1355" s="355"/>
    </row>
    <row r="1356" spans="14:20" x14ac:dyDescent="0.25">
      <c r="N1356" s="514"/>
      <c r="R1356" s="293"/>
      <c r="S1356" s="316"/>
      <c r="T1356" s="355"/>
    </row>
    <row r="1357" spans="14:20" x14ac:dyDescent="0.25">
      <c r="N1357" s="514"/>
      <c r="R1357" s="293"/>
      <c r="S1357" s="316"/>
      <c r="T1357" s="355"/>
    </row>
    <row r="1358" spans="14:20" x14ac:dyDescent="0.25">
      <c r="N1358" s="514"/>
      <c r="R1358" s="293"/>
      <c r="S1358" s="316"/>
      <c r="T1358" s="355"/>
    </row>
    <row r="1359" spans="14:20" x14ac:dyDescent="0.25">
      <c r="N1359" s="514"/>
      <c r="R1359" s="293"/>
      <c r="S1359" s="316"/>
      <c r="T1359" s="355"/>
    </row>
    <row r="1360" spans="14:20" x14ac:dyDescent="0.25">
      <c r="N1360" s="514"/>
      <c r="R1360" s="293"/>
      <c r="S1360" s="316"/>
      <c r="T1360" s="355"/>
    </row>
    <row r="1361" spans="14:20" x14ac:dyDescent="0.25">
      <c r="N1361" s="514"/>
      <c r="R1361" s="293"/>
      <c r="S1361" s="316"/>
      <c r="T1361" s="355"/>
    </row>
    <row r="1362" spans="14:20" x14ac:dyDescent="0.25">
      <c r="N1362" s="514"/>
      <c r="R1362" s="293"/>
      <c r="S1362" s="316"/>
      <c r="T1362" s="355"/>
    </row>
    <row r="1363" spans="14:20" x14ac:dyDescent="0.25">
      <c r="N1363" s="514"/>
      <c r="R1363" s="293"/>
      <c r="S1363" s="316"/>
      <c r="T1363" s="355"/>
    </row>
    <row r="1364" spans="14:20" x14ac:dyDescent="0.25">
      <c r="N1364" s="514"/>
      <c r="R1364" s="293"/>
      <c r="S1364" s="316"/>
      <c r="T1364" s="355"/>
    </row>
    <row r="1365" spans="14:20" x14ac:dyDescent="0.25">
      <c r="N1365" s="514"/>
      <c r="R1365" s="293"/>
      <c r="S1365" s="316"/>
      <c r="T1365" s="355"/>
    </row>
    <row r="1366" spans="14:20" x14ac:dyDescent="0.25">
      <c r="N1366" s="514"/>
      <c r="R1366" s="293"/>
      <c r="S1366" s="316"/>
      <c r="T1366" s="355"/>
    </row>
    <row r="1367" spans="14:20" x14ac:dyDescent="0.25">
      <c r="N1367" s="514"/>
      <c r="R1367" s="293"/>
      <c r="S1367" s="316"/>
      <c r="T1367" s="355"/>
    </row>
    <row r="1368" spans="14:20" x14ac:dyDescent="0.25">
      <c r="N1368" s="514"/>
      <c r="R1368" s="293"/>
      <c r="S1368" s="316"/>
      <c r="T1368" s="355"/>
    </row>
    <row r="1369" spans="14:20" x14ac:dyDescent="0.25">
      <c r="N1369" s="514"/>
      <c r="R1369" s="293"/>
      <c r="S1369" s="316"/>
      <c r="T1369" s="355"/>
    </row>
    <row r="1370" spans="14:20" x14ac:dyDescent="0.25">
      <c r="N1370" s="514"/>
      <c r="R1370" s="293"/>
      <c r="S1370" s="316"/>
      <c r="T1370" s="355"/>
    </row>
    <row r="1371" spans="14:20" x14ac:dyDescent="0.25">
      <c r="N1371" s="514"/>
      <c r="R1371" s="293"/>
      <c r="S1371" s="316"/>
      <c r="T1371" s="355"/>
    </row>
    <row r="1372" spans="14:20" x14ac:dyDescent="0.25">
      <c r="N1372" s="514"/>
      <c r="R1372" s="293"/>
      <c r="S1372" s="316"/>
      <c r="T1372" s="355"/>
    </row>
    <row r="1373" spans="14:20" x14ac:dyDescent="0.25">
      <c r="N1373" s="514"/>
      <c r="R1373" s="293"/>
      <c r="S1373" s="316"/>
      <c r="T1373" s="355"/>
    </row>
    <row r="1374" spans="14:20" x14ac:dyDescent="0.25">
      <c r="N1374" s="514"/>
      <c r="R1374" s="293"/>
      <c r="S1374" s="316"/>
      <c r="T1374" s="355"/>
    </row>
    <row r="1375" spans="14:20" x14ac:dyDescent="0.25">
      <c r="N1375" s="514"/>
      <c r="R1375" s="293"/>
      <c r="S1375" s="316"/>
      <c r="T1375" s="355"/>
    </row>
    <row r="1376" spans="14:20" x14ac:dyDescent="0.25">
      <c r="N1376" s="514"/>
      <c r="R1376" s="293"/>
      <c r="S1376" s="316"/>
      <c r="T1376" s="355"/>
    </row>
    <row r="1377" spans="14:20" x14ac:dyDescent="0.25">
      <c r="N1377" s="514"/>
      <c r="R1377" s="293"/>
      <c r="S1377" s="316"/>
      <c r="T1377" s="355"/>
    </row>
    <row r="1378" spans="14:20" x14ac:dyDescent="0.25">
      <c r="N1378" s="514"/>
      <c r="R1378" s="293"/>
      <c r="S1378" s="316"/>
      <c r="T1378" s="355"/>
    </row>
    <row r="1379" spans="14:20" x14ac:dyDescent="0.25">
      <c r="N1379" s="514"/>
      <c r="R1379" s="293"/>
      <c r="S1379" s="316"/>
      <c r="T1379" s="355"/>
    </row>
    <row r="1380" spans="14:20" x14ac:dyDescent="0.25">
      <c r="N1380" s="514"/>
      <c r="R1380" s="293"/>
      <c r="S1380" s="316"/>
      <c r="T1380" s="355"/>
    </row>
    <row r="1381" spans="14:20" x14ac:dyDescent="0.25">
      <c r="N1381" s="514"/>
      <c r="R1381" s="293"/>
      <c r="S1381" s="316"/>
      <c r="T1381" s="355"/>
    </row>
    <row r="1382" spans="14:20" x14ac:dyDescent="0.25">
      <c r="N1382" s="514"/>
      <c r="R1382" s="293"/>
      <c r="S1382" s="316"/>
      <c r="T1382" s="355"/>
    </row>
    <row r="1383" spans="14:20" x14ac:dyDescent="0.25">
      <c r="N1383" s="514"/>
      <c r="R1383" s="293"/>
      <c r="S1383" s="316"/>
      <c r="T1383" s="355"/>
    </row>
    <row r="1384" spans="14:20" x14ac:dyDescent="0.25">
      <c r="N1384" s="514"/>
      <c r="R1384" s="293"/>
      <c r="S1384" s="316"/>
      <c r="T1384" s="355"/>
    </row>
    <row r="1385" spans="14:20" x14ac:dyDescent="0.25">
      <c r="N1385" s="514"/>
      <c r="R1385" s="293"/>
      <c r="S1385" s="316"/>
      <c r="T1385" s="355"/>
    </row>
    <row r="1386" spans="14:20" x14ac:dyDescent="0.25">
      <c r="N1386" s="514"/>
      <c r="R1386" s="293"/>
      <c r="S1386" s="316"/>
      <c r="T1386" s="355"/>
    </row>
    <row r="1387" spans="14:20" x14ac:dyDescent="0.25">
      <c r="N1387" s="514"/>
      <c r="R1387" s="293"/>
      <c r="S1387" s="316"/>
      <c r="T1387" s="355"/>
    </row>
    <row r="1388" spans="14:20" x14ac:dyDescent="0.25">
      <c r="N1388" s="514"/>
      <c r="R1388" s="293"/>
      <c r="S1388" s="316"/>
      <c r="T1388" s="355"/>
    </row>
    <row r="1389" spans="14:20" x14ac:dyDescent="0.25">
      <c r="N1389" s="514"/>
      <c r="R1389" s="293"/>
      <c r="S1389" s="316"/>
      <c r="T1389" s="355"/>
    </row>
    <row r="1390" spans="14:20" x14ac:dyDescent="0.25">
      <c r="N1390" s="514"/>
      <c r="R1390" s="293"/>
      <c r="S1390" s="316"/>
      <c r="T1390" s="355"/>
    </row>
    <row r="1391" spans="14:20" x14ac:dyDescent="0.25">
      <c r="N1391" s="514"/>
      <c r="R1391" s="293"/>
      <c r="S1391" s="316"/>
      <c r="T1391" s="355"/>
    </row>
    <row r="1392" spans="14:20" x14ac:dyDescent="0.25">
      <c r="N1392" s="514"/>
      <c r="R1392" s="293"/>
      <c r="S1392" s="316"/>
      <c r="T1392" s="355"/>
    </row>
    <row r="1393" spans="14:20" x14ac:dyDescent="0.25">
      <c r="N1393" s="514"/>
      <c r="R1393" s="293"/>
      <c r="S1393" s="316"/>
      <c r="T1393" s="355"/>
    </row>
    <row r="1394" spans="14:20" x14ac:dyDescent="0.25">
      <c r="N1394" s="514"/>
      <c r="R1394" s="293"/>
      <c r="S1394" s="316"/>
      <c r="T1394" s="355"/>
    </row>
    <row r="1395" spans="14:20" x14ac:dyDescent="0.25">
      <c r="N1395" s="514"/>
      <c r="R1395" s="293"/>
      <c r="S1395" s="316"/>
      <c r="T1395" s="355"/>
    </row>
    <row r="1396" spans="14:20" x14ac:dyDescent="0.25">
      <c r="N1396" s="514"/>
      <c r="R1396" s="293"/>
      <c r="S1396" s="316"/>
      <c r="T1396" s="355"/>
    </row>
    <row r="1397" spans="14:20" x14ac:dyDescent="0.25">
      <c r="N1397" s="514"/>
      <c r="R1397" s="293"/>
      <c r="S1397" s="316"/>
      <c r="T1397" s="355"/>
    </row>
    <row r="1398" spans="14:20" x14ac:dyDescent="0.25">
      <c r="N1398" s="514"/>
      <c r="R1398" s="293"/>
      <c r="S1398" s="316"/>
      <c r="T1398" s="355"/>
    </row>
    <row r="1399" spans="14:20" x14ac:dyDescent="0.25">
      <c r="N1399" s="514"/>
      <c r="R1399" s="293"/>
      <c r="S1399" s="316"/>
      <c r="T1399" s="355"/>
    </row>
    <row r="1400" spans="14:20" x14ac:dyDescent="0.25">
      <c r="N1400" s="514"/>
      <c r="R1400" s="293"/>
      <c r="S1400" s="316"/>
      <c r="T1400" s="355"/>
    </row>
    <row r="1401" spans="14:20" x14ac:dyDescent="0.25">
      <c r="N1401" s="514"/>
      <c r="R1401" s="293"/>
      <c r="S1401" s="316"/>
      <c r="T1401" s="355"/>
    </row>
    <row r="1402" spans="14:20" x14ac:dyDescent="0.25">
      <c r="N1402" s="514"/>
      <c r="R1402" s="293"/>
      <c r="S1402" s="316"/>
      <c r="T1402" s="355"/>
    </row>
    <row r="1403" spans="14:20" x14ac:dyDescent="0.25">
      <c r="N1403" s="514"/>
      <c r="R1403" s="293"/>
      <c r="S1403" s="316"/>
      <c r="T1403" s="355"/>
    </row>
    <row r="1404" spans="14:20" x14ac:dyDescent="0.25">
      <c r="N1404" s="514"/>
      <c r="R1404" s="293"/>
      <c r="S1404" s="316"/>
      <c r="T1404" s="355"/>
    </row>
    <row r="1405" spans="14:20" x14ac:dyDescent="0.25">
      <c r="N1405" s="514"/>
      <c r="R1405" s="293"/>
      <c r="S1405" s="316"/>
      <c r="T1405" s="355"/>
    </row>
    <row r="1406" spans="14:20" x14ac:dyDescent="0.25">
      <c r="N1406" s="514"/>
      <c r="R1406" s="293"/>
      <c r="S1406" s="316"/>
      <c r="T1406" s="355"/>
    </row>
    <row r="1407" spans="14:20" x14ac:dyDescent="0.25">
      <c r="N1407" s="514"/>
      <c r="R1407" s="293"/>
      <c r="S1407" s="316"/>
      <c r="T1407" s="355"/>
    </row>
    <row r="1408" spans="14:20" x14ac:dyDescent="0.25">
      <c r="N1408" s="514"/>
      <c r="R1408" s="293"/>
      <c r="S1408" s="316"/>
      <c r="T1408" s="355"/>
    </row>
    <row r="1409" spans="14:20" x14ac:dyDescent="0.25">
      <c r="N1409" s="514"/>
      <c r="R1409" s="293"/>
      <c r="S1409" s="316"/>
      <c r="T1409" s="355"/>
    </row>
    <row r="1410" spans="14:20" x14ac:dyDescent="0.25">
      <c r="N1410" s="514"/>
      <c r="R1410" s="293"/>
      <c r="S1410" s="316"/>
      <c r="T1410" s="355"/>
    </row>
    <row r="1411" spans="14:20" x14ac:dyDescent="0.25">
      <c r="N1411" s="514"/>
      <c r="R1411" s="293"/>
      <c r="S1411" s="316"/>
      <c r="T1411" s="355"/>
    </row>
    <row r="1412" spans="14:20" x14ac:dyDescent="0.25">
      <c r="N1412" s="514"/>
      <c r="R1412" s="293"/>
      <c r="S1412" s="316"/>
      <c r="T1412" s="355"/>
    </row>
    <row r="1413" spans="14:20" x14ac:dyDescent="0.25">
      <c r="N1413" s="514"/>
      <c r="R1413" s="293"/>
      <c r="S1413" s="316"/>
      <c r="T1413" s="355"/>
    </row>
    <row r="1414" spans="14:20" x14ac:dyDescent="0.25">
      <c r="N1414" s="514"/>
      <c r="R1414" s="293"/>
      <c r="S1414" s="316"/>
      <c r="T1414" s="355"/>
    </row>
    <row r="1415" spans="14:20" x14ac:dyDescent="0.25">
      <c r="N1415" s="514"/>
      <c r="R1415" s="293"/>
      <c r="S1415" s="316"/>
      <c r="T1415" s="355"/>
    </row>
    <row r="1416" spans="14:20" x14ac:dyDescent="0.25">
      <c r="N1416" s="514"/>
      <c r="R1416" s="293"/>
      <c r="S1416" s="316"/>
      <c r="T1416" s="355"/>
    </row>
    <row r="1417" spans="14:20" x14ac:dyDescent="0.25">
      <c r="N1417" s="514"/>
      <c r="R1417" s="293"/>
      <c r="S1417" s="316"/>
      <c r="T1417" s="355"/>
    </row>
    <row r="1418" spans="14:20" x14ac:dyDescent="0.25">
      <c r="N1418" s="514"/>
      <c r="R1418" s="293"/>
      <c r="S1418" s="316"/>
      <c r="T1418" s="355"/>
    </row>
    <row r="1419" spans="14:20" x14ac:dyDescent="0.25">
      <c r="N1419" s="514"/>
      <c r="R1419" s="293"/>
      <c r="S1419" s="316"/>
      <c r="T1419" s="355"/>
    </row>
    <row r="1420" spans="14:20" x14ac:dyDescent="0.25">
      <c r="N1420" s="514"/>
      <c r="R1420" s="293"/>
      <c r="S1420" s="316"/>
      <c r="T1420" s="355"/>
    </row>
    <row r="1421" spans="14:20" x14ac:dyDescent="0.25">
      <c r="N1421" s="514"/>
      <c r="R1421" s="293"/>
      <c r="S1421" s="316"/>
      <c r="T1421" s="355"/>
    </row>
    <row r="1422" spans="14:20" x14ac:dyDescent="0.25">
      <c r="N1422" s="514"/>
      <c r="R1422" s="293"/>
      <c r="S1422" s="316"/>
      <c r="T1422" s="355"/>
    </row>
    <row r="1423" spans="14:20" x14ac:dyDescent="0.25">
      <c r="N1423" s="514"/>
      <c r="R1423" s="293"/>
      <c r="S1423" s="316"/>
      <c r="T1423" s="355"/>
    </row>
    <row r="1424" spans="14:20" x14ac:dyDescent="0.25">
      <c r="N1424" s="514"/>
      <c r="R1424" s="293"/>
      <c r="S1424" s="316"/>
      <c r="T1424" s="355"/>
    </row>
    <row r="1425" spans="14:20" x14ac:dyDescent="0.25">
      <c r="N1425" s="514"/>
      <c r="R1425" s="293"/>
      <c r="S1425" s="316"/>
      <c r="T1425" s="355"/>
    </row>
    <row r="1426" spans="14:20" x14ac:dyDescent="0.25">
      <c r="N1426" s="514"/>
      <c r="R1426" s="293"/>
      <c r="S1426" s="316"/>
      <c r="T1426" s="355"/>
    </row>
    <row r="1427" spans="14:20" x14ac:dyDescent="0.25">
      <c r="N1427" s="514"/>
      <c r="R1427" s="293"/>
      <c r="S1427" s="316"/>
      <c r="T1427" s="355"/>
    </row>
    <row r="1428" spans="14:20" x14ac:dyDescent="0.25">
      <c r="N1428" s="514"/>
      <c r="R1428" s="293"/>
      <c r="S1428" s="316"/>
      <c r="T1428" s="355"/>
    </row>
    <row r="1429" spans="14:20" x14ac:dyDescent="0.25">
      <c r="N1429" s="514"/>
      <c r="R1429" s="293"/>
      <c r="S1429" s="316"/>
      <c r="T1429" s="355"/>
    </row>
    <row r="1430" spans="14:20" x14ac:dyDescent="0.25">
      <c r="N1430" s="514"/>
      <c r="R1430" s="293"/>
      <c r="S1430" s="316"/>
      <c r="T1430" s="355"/>
    </row>
    <row r="1431" spans="14:20" x14ac:dyDescent="0.25">
      <c r="N1431" s="514"/>
      <c r="R1431" s="293"/>
      <c r="S1431" s="316"/>
      <c r="T1431" s="355"/>
    </row>
    <row r="1432" spans="14:20" x14ac:dyDescent="0.25">
      <c r="N1432" s="514"/>
      <c r="R1432" s="293"/>
      <c r="S1432" s="316"/>
      <c r="T1432" s="355"/>
    </row>
    <row r="1433" spans="14:20" x14ac:dyDescent="0.25">
      <c r="N1433" s="514"/>
      <c r="R1433" s="293"/>
      <c r="S1433" s="316"/>
      <c r="T1433" s="355"/>
    </row>
    <row r="1434" spans="14:20" x14ac:dyDescent="0.25">
      <c r="N1434" s="514"/>
      <c r="R1434" s="293"/>
      <c r="S1434" s="316"/>
      <c r="T1434" s="355"/>
    </row>
    <row r="1435" spans="14:20" x14ac:dyDescent="0.25">
      <c r="N1435" s="514"/>
      <c r="R1435" s="293"/>
      <c r="S1435" s="316"/>
      <c r="T1435" s="355"/>
    </row>
    <row r="1436" spans="14:20" x14ac:dyDescent="0.25">
      <c r="N1436" s="514"/>
      <c r="R1436" s="293"/>
      <c r="S1436" s="316"/>
      <c r="T1436" s="355"/>
    </row>
    <row r="1437" spans="14:20" x14ac:dyDescent="0.25">
      <c r="N1437" s="514"/>
      <c r="R1437" s="293"/>
      <c r="S1437" s="316"/>
      <c r="T1437" s="355"/>
    </row>
    <row r="1438" spans="14:20" x14ac:dyDescent="0.25">
      <c r="N1438" s="514"/>
      <c r="R1438" s="293"/>
      <c r="S1438" s="316"/>
      <c r="T1438" s="355"/>
    </row>
    <row r="1439" spans="14:20" x14ac:dyDescent="0.25">
      <c r="N1439" s="514"/>
      <c r="R1439" s="293"/>
      <c r="S1439" s="316"/>
      <c r="T1439" s="355"/>
    </row>
    <row r="1440" spans="14:20" x14ac:dyDescent="0.25">
      <c r="N1440" s="514"/>
      <c r="R1440" s="293"/>
      <c r="S1440" s="316"/>
      <c r="T1440" s="355"/>
    </row>
    <row r="1441" spans="14:20" x14ac:dyDescent="0.25">
      <c r="N1441" s="514"/>
      <c r="R1441" s="293"/>
      <c r="S1441" s="316"/>
      <c r="T1441" s="355"/>
    </row>
    <row r="1442" spans="14:20" x14ac:dyDescent="0.25">
      <c r="N1442" s="514"/>
      <c r="R1442" s="293"/>
      <c r="S1442" s="316"/>
      <c r="T1442" s="355"/>
    </row>
    <row r="1443" spans="14:20" x14ac:dyDescent="0.25">
      <c r="N1443" s="514"/>
      <c r="R1443" s="293"/>
      <c r="S1443" s="316"/>
      <c r="T1443" s="355"/>
    </row>
    <row r="1444" spans="14:20" x14ac:dyDescent="0.25">
      <c r="N1444" s="514"/>
      <c r="R1444" s="293"/>
      <c r="S1444" s="316"/>
      <c r="T1444" s="355"/>
    </row>
    <row r="1445" spans="14:20" x14ac:dyDescent="0.25">
      <c r="N1445" s="514"/>
      <c r="R1445" s="293"/>
      <c r="S1445" s="316"/>
      <c r="T1445" s="355"/>
    </row>
    <row r="1446" spans="14:20" x14ac:dyDescent="0.25">
      <c r="N1446" s="514"/>
      <c r="R1446" s="293"/>
      <c r="S1446" s="316"/>
      <c r="T1446" s="355"/>
    </row>
    <row r="1447" spans="14:20" x14ac:dyDescent="0.25">
      <c r="N1447" s="514"/>
      <c r="R1447" s="293"/>
      <c r="S1447" s="316"/>
      <c r="T1447" s="355"/>
    </row>
    <row r="1448" spans="14:20" x14ac:dyDescent="0.25">
      <c r="N1448" s="514"/>
      <c r="R1448" s="293"/>
      <c r="S1448" s="316"/>
      <c r="T1448" s="355"/>
    </row>
    <row r="1449" spans="14:20" x14ac:dyDescent="0.25">
      <c r="N1449" s="514"/>
      <c r="R1449" s="293"/>
      <c r="S1449" s="316"/>
      <c r="T1449" s="355"/>
    </row>
    <row r="1450" spans="14:20" x14ac:dyDescent="0.25">
      <c r="N1450" s="514"/>
      <c r="R1450" s="293"/>
      <c r="S1450" s="316"/>
      <c r="T1450" s="355"/>
    </row>
    <row r="1451" spans="14:20" x14ac:dyDescent="0.25">
      <c r="N1451" s="514"/>
      <c r="R1451" s="293"/>
      <c r="S1451" s="316"/>
      <c r="T1451" s="355"/>
    </row>
    <row r="1452" spans="14:20" x14ac:dyDescent="0.25">
      <c r="N1452" s="514"/>
      <c r="R1452" s="293"/>
      <c r="S1452" s="316"/>
      <c r="T1452" s="355"/>
    </row>
    <row r="1453" spans="14:20" x14ac:dyDescent="0.25">
      <c r="N1453" s="514"/>
      <c r="R1453" s="293"/>
      <c r="S1453" s="316"/>
      <c r="T1453" s="355"/>
    </row>
    <row r="1454" spans="14:20" x14ac:dyDescent="0.25">
      <c r="N1454" s="514"/>
      <c r="R1454" s="293"/>
      <c r="S1454" s="316"/>
      <c r="T1454" s="355"/>
    </row>
    <row r="1455" spans="14:20" x14ac:dyDescent="0.25">
      <c r="N1455" s="514"/>
      <c r="R1455" s="293"/>
      <c r="S1455" s="316"/>
      <c r="T1455" s="355"/>
    </row>
    <row r="1456" spans="14:20" x14ac:dyDescent="0.25">
      <c r="N1456" s="514"/>
      <c r="R1456" s="293"/>
      <c r="S1456" s="316"/>
      <c r="T1456" s="355"/>
    </row>
    <row r="1457" spans="14:20" x14ac:dyDescent="0.25">
      <c r="N1457" s="514"/>
      <c r="R1457" s="293"/>
      <c r="S1457" s="316"/>
      <c r="T1457" s="355"/>
    </row>
    <row r="1458" spans="14:20" x14ac:dyDescent="0.25">
      <c r="N1458" s="514"/>
      <c r="R1458" s="293"/>
      <c r="S1458" s="316"/>
      <c r="T1458" s="355"/>
    </row>
    <row r="1459" spans="14:20" x14ac:dyDescent="0.25">
      <c r="N1459" s="514"/>
      <c r="R1459" s="293"/>
      <c r="S1459" s="316"/>
      <c r="T1459" s="355"/>
    </row>
    <row r="1460" spans="14:20" x14ac:dyDescent="0.25">
      <c r="N1460" s="514"/>
      <c r="R1460" s="293"/>
      <c r="S1460" s="316"/>
      <c r="T1460" s="355"/>
    </row>
    <row r="1461" spans="14:20" x14ac:dyDescent="0.25">
      <c r="N1461" s="514"/>
      <c r="R1461" s="293"/>
      <c r="S1461" s="316"/>
      <c r="T1461" s="355"/>
    </row>
    <row r="1462" spans="14:20" x14ac:dyDescent="0.25">
      <c r="N1462" s="514"/>
      <c r="R1462" s="293"/>
      <c r="S1462" s="316"/>
      <c r="T1462" s="355"/>
    </row>
    <row r="1463" spans="14:20" x14ac:dyDescent="0.25">
      <c r="N1463" s="514"/>
      <c r="R1463" s="293"/>
      <c r="S1463" s="316"/>
      <c r="T1463" s="355"/>
    </row>
    <row r="1464" spans="14:20" x14ac:dyDescent="0.25">
      <c r="N1464" s="514"/>
      <c r="R1464" s="293"/>
      <c r="S1464" s="316"/>
      <c r="T1464" s="355"/>
    </row>
    <row r="1465" spans="14:20" x14ac:dyDescent="0.25">
      <c r="N1465" s="514"/>
      <c r="R1465" s="293"/>
      <c r="S1465" s="316"/>
      <c r="T1465" s="355"/>
    </row>
    <row r="1466" spans="14:20" x14ac:dyDescent="0.25">
      <c r="N1466" s="514"/>
      <c r="R1466" s="293"/>
      <c r="S1466" s="316"/>
      <c r="T1466" s="355"/>
    </row>
    <row r="1467" spans="14:20" x14ac:dyDescent="0.25">
      <c r="N1467" s="514"/>
      <c r="R1467" s="293"/>
      <c r="S1467" s="316"/>
      <c r="T1467" s="355"/>
    </row>
    <row r="1468" spans="14:20" x14ac:dyDescent="0.25">
      <c r="N1468" s="514"/>
      <c r="R1468" s="293"/>
      <c r="S1468" s="316"/>
      <c r="T1468" s="355"/>
    </row>
    <row r="1469" spans="14:20" x14ac:dyDescent="0.25">
      <c r="N1469" s="514"/>
      <c r="R1469" s="293"/>
      <c r="S1469" s="316"/>
      <c r="T1469" s="355"/>
    </row>
    <row r="1470" spans="14:20" x14ac:dyDescent="0.25">
      <c r="N1470" s="514"/>
      <c r="R1470" s="293"/>
      <c r="S1470" s="316"/>
      <c r="T1470" s="355"/>
    </row>
    <row r="1471" spans="14:20" x14ac:dyDescent="0.25">
      <c r="N1471" s="514"/>
      <c r="R1471" s="293"/>
      <c r="S1471" s="316"/>
      <c r="T1471" s="355"/>
    </row>
    <row r="1472" spans="14:20" x14ac:dyDescent="0.25">
      <c r="N1472" s="514"/>
      <c r="R1472" s="293"/>
      <c r="S1472" s="316"/>
      <c r="T1472" s="355"/>
    </row>
    <row r="1473" spans="14:20" x14ac:dyDescent="0.25">
      <c r="N1473" s="514"/>
      <c r="R1473" s="293"/>
      <c r="S1473" s="316"/>
      <c r="T1473" s="355"/>
    </row>
    <row r="1474" spans="14:20" x14ac:dyDescent="0.25">
      <c r="N1474" s="514"/>
      <c r="R1474" s="293"/>
      <c r="S1474" s="316"/>
      <c r="T1474" s="355"/>
    </row>
    <row r="1475" spans="14:20" x14ac:dyDescent="0.25">
      <c r="N1475" s="514"/>
      <c r="R1475" s="293"/>
      <c r="S1475" s="316"/>
      <c r="T1475" s="355"/>
    </row>
    <row r="1476" spans="14:20" x14ac:dyDescent="0.25">
      <c r="N1476" s="514"/>
      <c r="R1476" s="293"/>
      <c r="S1476" s="316"/>
      <c r="T1476" s="355"/>
    </row>
    <row r="1477" spans="14:20" x14ac:dyDescent="0.25">
      <c r="N1477" s="514"/>
      <c r="R1477" s="293"/>
      <c r="S1477" s="316"/>
      <c r="T1477" s="355"/>
    </row>
    <row r="1478" spans="14:20" x14ac:dyDescent="0.25">
      <c r="N1478" s="514"/>
      <c r="R1478" s="293"/>
      <c r="S1478" s="316"/>
      <c r="T1478" s="355"/>
    </row>
    <row r="1479" spans="14:20" x14ac:dyDescent="0.25">
      <c r="N1479" s="514"/>
      <c r="R1479" s="293"/>
      <c r="S1479" s="316"/>
      <c r="T1479" s="355"/>
    </row>
    <row r="1480" spans="14:20" x14ac:dyDescent="0.25">
      <c r="N1480" s="514"/>
      <c r="R1480" s="293"/>
      <c r="S1480" s="316"/>
      <c r="T1480" s="355"/>
    </row>
    <row r="1481" spans="14:20" x14ac:dyDescent="0.25">
      <c r="N1481" s="514"/>
      <c r="R1481" s="293"/>
      <c r="S1481" s="316"/>
      <c r="T1481" s="355"/>
    </row>
    <row r="1482" spans="14:20" x14ac:dyDescent="0.25">
      <c r="N1482" s="514"/>
      <c r="R1482" s="293"/>
      <c r="S1482" s="316"/>
      <c r="T1482" s="355"/>
    </row>
    <row r="1483" spans="14:20" x14ac:dyDescent="0.25">
      <c r="N1483" s="514"/>
      <c r="R1483" s="293"/>
      <c r="S1483" s="316"/>
      <c r="T1483" s="355"/>
    </row>
    <row r="1484" spans="14:20" x14ac:dyDescent="0.25">
      <c r="N1484" s="514"/>
      <c r="R1484" s="293"/>
      <c r="S1484" s="316"/>
      <c r="T1484" s="355"/>
    </row>
    <row r="1485" spans="14:20" x14ac:dyDescent="0.25">
      <c r="N1485" s="514"/>
      <c r="R1485" s="293"/>
      <c r="S1485" s="316"/>
      <c r="T1485" s="355"/>
    </row>
    <row r="1486" spans="14:20" x14ac:dyDescent="0.25">
      <c r="N1486" s="514"/>
      <c r="R1486" s="293"/>
      <c r="S1486" s="316"/>
      <c r="T1486" s="355"/>
    </row>
    <row r="1487" spans="14:20" x14ac:dyDescent="0.25">
      <c r="N1487" s="514"/>
      <c r="R1487" s="293"/>
      <c r="S1487" s="316"/>
      <c r="T1487" s="355"/>
    </row>
    <row r="1488" spans="14:20" x14ac:dyDescent="0.25">
      <c r="N1488" s="514"/>
      <c r="R1488" s="293"/>
      <c r="S1488" s="316"/>
      <c r="T1488" s="355"/>
    </row>
    <row r="1489" spans="14:20" x14ac:dyDescent="0.25">
      <c r="N1489" s="514"/>
      <c r="R1489" s="293"/>
      <c r="S1489" s="316"/>
      <c r="T1489" s="355"/>
    </row>
    <row r="1490" spans="14:20" x14ac:dyDescent="0.25">
      <c r="N1490" s="514"/>
      <c r="R1490" s="293"/>
      <c r="S1490" s="316"/>
      <c r="T1490" s="355"/>
    </row>
    <row r="1491" spans="14:20" x14ac:dyDescent="0.25">
      <c r="N1491" s="514"/>
      <c r="R1491" s="293"/>
      <c r="S1491" s="316"/>
      <c r="T1491" s="355"/>
    </row>
    <row r="1492" spans="14:20" x14ac:dyDescent="0.25">
      <c r="N1492" s="514"/>
      <c r="R1492" s="293"/>
      <c r="S1492" s="316"/>
      <c r="T1492" s="355"/>
    </row>
    <row r="1493" spans="14:20" x14ac:dyDescent="0.25">
      <c r="N1493" s="514"/>
      <c r="R1493" s="293"/>
      <c r="S1493" s="316"/>
      <c r="T1493" s="355"/>
    </row>
    <row r="1494" spans="14:20" x14ac:dyDescent="0.25">
      <c r="N1494" s="514"/>
      <c r="R1494" s="293"/>
      <c r="S1494" s="316"/>
      <c r="T1494" s="355"/>
    </row>
    <row r="1495" spans="14:20" x14ac:dyDescent="0.25">
      <c r="N1495" s="514"/>
      <c r="R1495" s="293"/>
      <c r="S1495" s="316"/>
      <c r="T1495" s="355"/>
    </row>
    <row r="1496" spans="14:20" x14ac:dyDescent="0.25">
      <c r="N1496" s="514"/>
      <c r="R1496" s="293"/>
      <c r="S1496" s="316"/>
      <c r="T1496" s="355"/>
    </row>
    <row r="1497" spans="14:20" x14ac:dyDescent="0.25">
      <c r="N1497" s="514"/>
      <c r="R1497" s="293"/>
      <c r="S1497" s="316"/>
      <c r="T1497" s="355"/>
    </row>
    <row r="1498" spans="14:20" x14ac:dyDescent="0.25">
      <c r="N1498" s="514"/>
      <c r="R1498" s="293"/>
      <c r="S1498" s="316"/>
      <c r="T1498" s="355"/>
    </row>
    <row r="1499" spans="14:20" x14ac:dyDescent="0.25">
      <c r="N1499" s="514"/>
      <c r="R1499" s="293"/>
      <c r="S1499" s="316"/>
      <c r="T1499" s="355"/>
    </row>
    <row r="1500" spans="14:20" x14ac:dyDescent="0.25">
      <c r="N1500" s="514"/>
      <c r="R1500" s="293"/>
      <c r="S1500" s="316"/>
      <c r="T1500" s="355"/>
    </row>
    <row r="1501" spans="14:20" x14ac:dyDescent="0.25">
      <c r="N1501" s="514"/>
      <c r="R1501" s="293"/>
      <c r="S1501" s="316"/>
      <c r="T1501" s="355"/>
    </row>
    <row r="1502" spans="14:20" x14ac:dyDescent="0.25">
      <c r="N1502" s="514"/>
      <c r="R1502" s="293"/>
      <c r="S1502" s="316"/>
      <c r="T1502" s="355"/>
    </row>
    <row r="1503" spans="14:20" x14ac:dyDescent="0.25">
      <c r="N1503" s="514"/>
      <c r="R1503" s="293"/>
      <c r="S1503" s="316"/>
      <c r="T1503" s="355"/>
    </row>
    <row r="1504" spans="14:20" x14ac:dyDescent="0.25">
      <c r="N1504" s="514"/>
      <c r="R1504" s="293"/>
      <c r="S1504" s="316"/>
      <c r="T1504" s="355"/>
    </row>
    <row r="1505" spans="14:20" x14ac:dyDescent="0.25">
      <c r="N1505" s="514"/>
      <c r="R1505" s="293"/>
      <c r="S1505" s="316"/>
      <c r="T1505" s="355"/>
    </row>
    <row r="1506" spans="14:20" x14ac:dyDescent="0.25">
      <c r="N1506" s="514"/>
      <c r="R1506" s="293"/>
      <c r="S1506" s="316"/>
      <c r="T1506" s="355"/>
    </row>
    <row r="1507" spans="14:20" x14ac:dyDescent="0.25">
      <c r="N1507" s="514"/>
      <c r="R1507" s="293"/>
      <c r="S1507" s="316"/>
      <c r="T1507" s="355"/>
    </row>
    <row r="1508" spans="14:20" x14ac:dyDescent="0.25">
      <c r="N1508" s="514"/>
      <c r="R1508" s="293"/>
      <c r="S1508" s="316"/>
      <c r="T1508" s="355"/>
    </row>
    <row r="1509" spans="14:20" x14ac:dyDescent="0.25">
      <c r="N1509" s="514"/>
      <c r="R1509" s="293"/>
      <c r="S1509" s="316"/>
      <c r="T1509" s="355"/>
    </row>
    <row r="1510" spans="14:20" x14ac:dyDescent="0.25">
      <c r="N1510" s="514"/>
      <c r="R1510" s="293"/>
      <c r="S1510" s="316"/>
      <c r="T1510" s="355"/>
    </row>
    <row r="1511" spans="14:20" x14ac:dyDescent="0.25">
      <c r="N1511" s="514"/>
      <c r="R1511" s="293"/>
      <c r="S1511" s="316"/>
      <c r="T1511" s="355"/>
    </row>
    <row r="1512" spans="14:20" x14ac:dyDescent="0.25">
      <c r="N1512" s="514"/>
      <c r="R1512" s="293"/>
      <c r="S1512" s="316"/>
      <c r="T1512" s="355"/>
    </row>
    <row r="1513" spans="14:20" x14ac:dyDescent="0.25">
      <c r="N1513" s="514"/>
      <c r="R1513" s="293"/>
      <c r="S1513" s="316"/>
      <c r="T1513" s="355"/>
    </row>
    <row r="1514" spans="14:20" x14ac:dyDescent="0.25">
      <c r="N1514" s="514"/>
      <c r="R1514" s="293"/>
      <c r="S1514" s="316"/>
      <c r="T1514" s="355"/>
    </row>
    <row r="1515" spans="14:20" x14ac:dyDescent="0.25">
      <c r="N1515" s="514"/>
      <c r="R1515" s="293"/>
      <c r="S1515" s="316"/>
      <c r="T1515" s="355"/>
    </row>
    <row r="1516" spans="14:20" x14ac:dyDescent="0.25">
      <c r="N1516" s="514"/>
      <c r="R1516" s="293"/>
      <c r="S1516" s="316"/>
      <c r="T1516" s="355"/>
    </row>
    <row r="1517" spans="14:20" x14ac:dyDescent="0.25">
      <c r="N1517" s="514"/>
      <c r="R1517" s="293"/>
      <c r="S1517" s="316"/>
      <c r="T1517" s="355"/>
    </row>
    <row r="1518" spans="14:20" x14ac:dyDescent="0.25">
      <c r="N1518" s="514"/>
      <c r="R1518" s="293"/>
      <c r="S1518" s="316"/>
      <c r="T1518" s="355"/>
    </row>
    <row r="1519" spans="14:20" x14ac:dyDescent="0.25">
      <c r="N1519" s="514"/>
      <c r="R1519" s="293"/>
      <c r="S1519" s="316"/>
      <c r="T1519" s="355"/>
    </row>
    <row r="1520" spans="14:20" x14ac:dyDescent="0.25">
      <c r="N1520" s="514"/>
      <c r="R1520" s="293"/>
      <c r="S1520" s="316"/>
      <c r="T1520" s="355"/>
    </row>
    <row r="1521" spans="14:20" x14ac:dyDescent="0.25">
      <c r="N1521" s="514"/>
      <c r="R1521" s="293"/>
      <c r="S1521" s="316"/>
      <c r="T1521" s="355"/>
    </row>
    <row r="1522" spans="14:20" x14ac:dyDescent="0.25">
      <c r="N1522" s="514"/>
      <c r="R1522" s="293"/>
      <c r="S1522" s="316"/>
      <c r="T1522" s="355"/>
    </row>
    <row r="1523" spans="14:20" x14ac:dyDescent="0.25">
      <c r="N1523" s="514"/>
      <c r="R1523" s="293"/>
      <c r="S1523" s="316"/>
      <c r="T1523" s="355"/>
    </row>
    <row r="1524" spans="14:20" x14ac:dyDescent="0.25">
      <c r="N1524" s="514"/>
      <c r="R1524" s="293"/>
      <c r="S1524" s="316"/>
      <c r="T1524" s="355"/>
    </row>
    <row r="1525" spans="14:20" x14ac:dyDescent="0.25">
      <c r="N1525" s="514"/>
      <c r="R1525" s="293"/>
      <c r="S1525" s="316"/>
      <c r="T1525" s="355"/>
    </row>
    <row r="1526" spans="14:20" x14ac:dyDescent="0.25">
      <c r="N1526" s="514"/>
      <c r="R1526" s="293"/>
      <c r="S1526" s="316"/>
      <c r="T1526" s="355"/>
    </row>
    <row r="1527" spans="14:20" x14ac:dyDescent="0.25">
      <c r="N1527" s="514"/>
      <c r="R1527" s="293"/>
      <c r="S1527" s="316"/>
      <c r="T1527" s="355"/>
    </row>
    <row r="1528" spans="14:20" x14ac:dyDescent="0.25">
      <c r="N1528" s="514"/>
      <c r="R1528" s="293"/>
      <c r="S1528" s="316"/>
      <c r="T1528" s="355"/>
    </row>
    <row r="1529" spans="14:20" x14ac:dyDescent="0.25">
      <c r="N1529" s="514"/>
      <c r="R1529" s="293"/>
      <c r="S1529" s="316"/>
      <c r="T1529" s="355"/>
    </row>
    <row r="1530" spans="14:20" x14ac:dyDescent="0.25">
      <c r="N1530" s="514"/>
      <c r="R1530" s="293"/>
      <c r="S1530" s="316"/>
      <c r="T1530" s="355"/>
    </row>
    <row r="1531" spans="14:20" x14ac:dyDescent="0.25">
      <c r="N1531" s="514"/>
      <c r="R1531" s="293"/>
      <c r="S1531" s="316"/>
      <c r="T1531" s="355"/>
    </row>
    <row r="1532" spans="14:20" x14ac:dyDescent="0.25">
      <c r="N1532" s="514"/>
      <c r="R1532" s="293"/>
      <c r="S1532" s="316"/>
      <c r="T1532" s="355"/>
    </row>
    <row r="1533" spans="14:20" x14ac:dyDescent="0.25">
      <c r="N1533" s="514"/>
      <c r="R1533" s="293"/>
      <c r="S1533" s="316"/>
      <c r="T1533" s="355"/>
    </row>
    <row r="1534" spans="14:20" x14ac:dyDescent="0.25">
      <c r="N1534" s="514"/>
      <c r="R1534" s="293"/>
      <c r="S1534" s="316"/>
      <c r="T1534" s="355"/>
    </row>
    <row r="1535" spans="14:20" x14ac:dyDescent="0.25">
      <c r="N1535" s="514"/>
      <c r="R1535" s="293"/>
      <c r="S1535" s="316"/>
      <c r="T1535" s="355"/>
    </row>
    <row r="1536" spans="14:20" x14ac:dyDescent="0.25">
      <c r="N1536" s="514"/>
      <c r="R1536" s="293"/>
      <c r="S1536" s="316"/>
      <c r="T1536" s="355"/>
    </row>
    <row r="1537" spans="14:20" x14ac:dyDescent="0.25">
      <c r="N1537" s="514"/>
      <c r="R1537" s="293"/>
      <c r="S1537" s="316"/>
      <c r="T1537" s="355"/>
    </row>
    <row r="1538" spans="14:20" x14ac:dyDescent="0.25">
      <c r="N1538" s="514"/>
      <c r="R1538" s="293"/>
      <c r="S1538" s="316"/>
      <c r="T1538" s="355"/>
    </row>
    <row r="1539" spans="14:20" x14ac:dyDescent="0.25">
      <c r="N1539" s="514"/>
      <c r="R1539" s="293"/>
      <c r="S1539" s="316"/>
      <c r="T1539" s="355"/>
    </row>
    <row r="1540" spans="14:20" x14ac:dyDescent="0.25">
      <c r="N1540" s="514"/>
      <c r="R1540" s="293"/>
      <c r="S1540" s="316"/>
      <c r="T1540" s="355"/>
    </row>
    <row r="1541" spans="14:20" x14ac:dyDescent="0.25">
      <c r="N1541" s="514"/>
      <c r="R1541" s="293"/>
      <c r="S1541" s="316"/>
      <c r="T1541" s="355"/>
    </row>
    <row r="1542" spans="14:20" x14ac:dyDescent="0.25">
      <c r="N1542" s="514"/>
      <c r="R1542" s="293"/>
      <c r="S1542" s="316"/>
      <c r="T1542" s="355"/>
    </row>
    <row r="1543" spans="14:20" x14ac:dyDescent="0.25">
      <c r="N1543" s="514"/>
      <c r="R1543" s="293"/>
      <c r="S1543" s="316"/>
      <c r="T1543" s="355"/>
    </row>
    <row r="1544" spans="14:20" x14ac:dyDescent="0.25">
      <c r="N1544" s="514"/>
      <c r="R1544" s="293"/>
      <c r="S1544" s="316"/>
      <c r="T1544" s="355"/>
    </row>
    <row r="1545" spans="14:20" x14ac:dyDescent="0.25">
      <c r="N1545" s="514"/>
      <c r="R1545" s="293"/>
      <c r="S1545" s="316"/>
      <c r="T1545" s="355"/>
    </row>
    <row r="1546" spans="14:20" x14ac:dyDescent="0.25">
      <c r="N1546" s="514"/>
      <c r="R1546" s="293"/>
      <c r="S1546" s="316"/>
      <c r="T1546" s="355"/>
    </row>
    <row r="1547" spans="14:20" x14ac:dyDescent="0.25">
      <c r="N1547" s="514"/>
      <c r="R1547" s="293"/>
      <c r="S1547" s="316"/>
      <c r="T1547" s="355"/>
    </row>
    <row r="1548" spans="14:20" x14ac:dyDescent="0.25">
      <c r="N1548" s="514"/>
      <c r="R1548" s="293"/>
      <c r="S1548" s="316"/>
      <c r="T1548" s="355"/>
    </row>
    <row r="1549" spans="14:20" x14ac:dyDescent="0.25">
      <c r="N1549" s="514"/>
      <c r="R1549" s="293"/>
      <c r="S1549" s="316"/>
      <c r="T1549" s="355"/>
    </row>
    <row r="1550" spans="14:20" x14ac:dyDescent="0.25">
      <c r="N1550" s="514"/>
      <c r="R1550" s="293"/>
      <c r="S1550" s="316"/>
      <c r="T1550" s="355"/>
    </row>
    <row r="1551" spans="14:20" x14ac:dyDescent="0.25">
      <c r="N1551" s="514"/>
      <c r="R1551" s="293"/>
      <c r="S1551" s="316"/>
      <c r="T1551" s="355"/>
    </row>
    <row r="1552" spans="14:20" x14ac:dyDescent="0.25">
      <c r="N1552" s="514"/>
      <c r="R1552" s="293"/>
      <c r="S1552" s="316"/>
      <c r="T1552" s="355"/>
    </row>
    <row r="1553" spans="14:20" x14ac:dyDescent="0.25">
      <c r="N1553" s="514"/>
      <c r="R1553" s="293"/>
      <c r="S1553" s="316"/>
      <c r="T1553" s="355"/>
    </row>
    <row r="1554" spans="14:20" x14ac:dyDescent="0.25">
      <c r="N1554" s="514"/>
      <c r="R1554" s="293"/>
      <c r="S1554" s="316"/>
      <c r="T1554" s="355"/>
    </row>
    <row r="1555" spans="14:20" x14ac:dyDescent="0.25">
      <c r="N1555" s="514"/>
      <c r="R1555" s="293"/>
      <c r="S1555" s="316"/>
      <c r="T1555" s="355"/>
    </row>
    <row r="1556" spans="14:20" x14ac:dyDescent="0.25">
      <c r="N1556" s="514"/>
      <c r="R1556" s="293"/>
      <c r="S1556" s="316"/>
      <c r="T1556" s="355"/>
    </row>
    <row r="1557" spans="14:20" x14ac:dyDescent="0.25">
      <c r="N1557" s="514"/>
      <c r="R1557" s="293"/>
      <c r="S1557" s="316"/>
      <c r="T1557" s="355"/>
    </row>
    <row r="1558" spans="14:20" x14ac:dyDescent="0.25">
      <c r="N1558" s="514"/>
      <c r="R1558" s="293"/>
      <c r="S1558" s="316"/>
      <c r="T1558" s="355"/>
    </row>
    <row r="1559" spans="14:20" x14ac:dyDescent="0.25">
      <c r="N1559" s="514"/>
      <c r="R1559" s="293"/>
      <c r="S1559" s="316"/>
      <c r="T1559" s="355"/>
    </row>
    <row r="1560" spans="14:20" x14ac:dyDescent="0.25">
      <c r="N1560" s="514"/>
      <c r="R1560" s="293"/>
      <c r="S1560" s="316"/>
      <c r="T1560" s="355"/>
    </row>
    <row r="1561" spans="14:20" x14ac:dyDescent="0.25">
      <c r="N1561" s="514"/>
      <c r="R1561" s="293"/>
      <c r="S1561" s="316"/>
      <c r="T1561" s="355"/>
    </row>
    <row r="1562" spans="14:20" x14ac:dyDescent="0.25">
      <c r="N1562" s="514"/>
      <c r="R1562" s="293"/>
      <c r="S1562" s="316"/>
      <c r="T1562" s="355"/>
    </row>
    <row r="1563" spans="14:20" x14ac:dyDescent="0.25">
      <c r="N1563" s="514"/>
      <c r="R1563" s="293"/>
      <c r="S1563" s="316"/>
      <c r="T1563" s="355"/>
    </row>
    <row r="1564" spans="14:20" x14ac:dyDescent="0.25">
      <c r="N1564" s="514"/>
      <c r="R1564" s="293"/>
      <c r="S1564" s="316"/>
      <c r="T1564" s="355"/>
    </row>
    <row r="1565" spans="14:20" x14ac:dyDescent="0.25">
      <c r="N1565" s="514"/>
      <c r="R1565" s="293"/>
      <c r="S1565" s="316"/>
      <c r="T1565" s="355"/>
    </row>
    <row r="1566" spans="14:20" x14ac:dyDescent="0.25">
      <c r="N1566" s="514"/>
      <c r="R1566" s="293"/>
      <c r="S1566" s="316"/>
      <c r="T1566" s="355"/>
    </row>
    <row r="1567" spans="14:20" x14ac:dyDescent="0.25">
      <c r="N1567" s="514"/>
      <c r="R1567" s="293"/>
      <c r="S1567" s="316"/>
      <c r="T1567" s="355"/>
    </row>
    <row r="1568" spans="14:20" x14ac:dyDescent="0.25">
      <c r="N1568" s="514"/>
      <c r="R1568" s="293"/>
      <c r="S1568" s="316"/>
      <c r="T1568" s="355"/>
    </row>
    <row r="1569" spans="14:20" x14ac:dyDescent="0.25">
      <c r="N1569" s="514"/>
      <c r="R1569" s="293"/>
      <c r="S1569" s="316"/>
      <c r="T1569" s="355"/>
    </row>
    <row r="1570" spans="14:20" x14ac:dyDescent="0.25">
      <c r="N1570" s="514"/>
      <c r="R1570" s="293"/>
      <c r="S1570" s="316"/>
      <c r="T1570" s="355"/>
    </row>
    <row r="1571" spans="14:20" x14ac:dyDescent="0.25">
      <c r="N1571" s="514"/>
      <c r="R1571" s="293"/>
      <c r="S1571" s="316"/>
      <c r="T1571" s="355"/>
    </row>
    <row r="1572" spans="14:20" x14ac:dyDescent="0.25">
      <c r="N1572" s="514"/>
      <c r="R1572" s="293"/>
      <c r="S1572" s="316"/>
      <c r="T1572" s="355"/>
    </row>
    <row r="1573" spans="14:20" x14ac:dyDescent="0.25">
      <c r="N1573" s="514"/>
      <c r="R1573" s="293"/>
      <c r="S1573" s="316"/>
      <c r="T1573" s="355"/>
    </row>
    <row r="1574" spans="14:20" x14ac:dyDescent="0.25">
      <c r="N1574" s="514"/>
      <c r="R1574" s="293"/>
      <c r="S1574" s="316"/>
      <c r="T1574" s="355"/>
    </row>
    <row r="1575" spans="14:20" x14ac:dyDescent="0.25">
      <c r="N1575" s="514"/>
      <c r="R1575" s="293"/>
      <c r="S1575" s="316"/>
      <c r="T1575" s="355"/>
    </row>
    <row r="1576" spans="14:20" x14ac:dyDescent="0.25">
      <c r="N1576" s="514"/>
      <c r="R1576" s="293"/>
      <c r="S1576" s="316"/>
      <c r="T1576" s="355"/>
    </row>
    <row r="1577" spans="14:20" x14ac:dyDescent="0.25">
      <c r="N1577" s="514"/>
      <c r="R1577" s="293"/>
      <c r="S1577" s="316"/>
      <c r="T1577" s="355"/>
    </row>
    <row r="1578" spans="14:20" x14ac:dyDescent="0.25">
      <c r="N1578" s="514"/>
      <c r="R1578" s="293"/>
      <c r="S1578" s="316"/>
      <c r="T1578" s="355"/>
    </row>
    <row r="1579" spans="14:20" x14ac:dyDescent="0.25">
      <c r="N1579" s="514"/>
      <c r="R1579" s="293"/>
      <c r="S1579" s="316"/>
      <c r="T1579" s="355"/>
    </row>
    <row r="1580" spans="14:20" x14ac:dyDescent="0.25">
      <c r="N1580" s="514"/>
      <c r="R1580" s="293"/>
      <c r="S1580" s="316"/>
      <c r="T1580" s="355"/>
    </row>
    <row r="1581" spans="14:20" x14ac:dyDescent="0.25">
      <c r="N1581" s="514"/>
      <c r="R1581" s="293"/>
      <c r="S1581" s="316"/>
      <c r="T1581" s="355"/>
    </row>
    <row r="1582" spans="14:20" x14ac:dyDescent="0.25">
      <c r="N1582" s="514"/>
      <c r="R1582" s="293"/>
      <c r="S1582" s="316"/>
      <c r="T1582" s="355"/>
    </row>
    <row r="1583" spans="14:20" x14ac:dyDescent="0.25">
      <c r="N1583" s="514"/>
      <c r="R1583" s="293"/>
      <c r="S1583" s="316"/>
      <c r="T1583" s="355"/>
    </row>
    <row r="1584" spans="14:20" x14ac:dyDescent="0.25">
      <c r="N1584" s="514"/>
      <c r="R1584" s="293"/>
      <c r="S1584" s="316"/>
      <c r="T1584" s="355"/>
    </row>
    <row r="1585" spans="14:20" x14ac:dyDescent="0.25">
      <c r="N1585" s="514"/>
      <c r="R1585" s="293"/>
      <c r="S1585" s="316"/>
      <c r="T1585" s="355"/>
    </row>
    <row r="1586" spans="14:20" x14ac:dyDescent="0.25">
      <c r="N1586" s="514"/>
      <c r="R1586" s="293"/>
      <c r="S1586" s="316"/>
      <c r="T1586" s="355"/>
    </row>
    <row r="1587" spans="14:20" x14ac:dyDescent="0.25">
      <c r="N1587" s="514"/>
      <c r="R1587" s="293"/>
      <c r="S1587" s="316"/>
      <c r="T1587" s="355"/>
    </row>
    <row r="1588" spans="14:20" x14ac:dyDescent="0.25">
      <c r="N1588" s="514"/>
      <c r="R1588" s="293"/>
      <c r="S1588" s="316"/>
      <c r="T1588" s="355"/>
    </row>
    <row r="1589" spans="14:20" x14ac:dyDescent="0.25">
      <c r="N1589" s="514"/>
      <c r="R1589" s="293"/>
      <c r="S1589" s="316"/>
      <c r="T1589" s="355"/>
    </row>
    <row r="1590" spans="14:20" x14ac:dyDescent="0.25">
      <c r="N1590" s="514"/>
      <c r="R1590" s="293"/>
      <c r="S1590" s="316"/>
      <c r="T1590" s="355"/>
    </row>
    <row r="1591" spans="14:20" x14ac:dyDescent="0.25">
      <c r="N1591" s="514"/>
      <c r="R1591" s="293"/>
      <c r="S1591" s="316"/>
      <c r="T1591" s="355"/>
    </row>
    <row r="1592" spans="14:20" x14ac:dyDescent="0.25">
      <c r="N1592" s="514"/>
      <c r="R1592" s="293"/>
      <c r="S1592" s="316"/>
      <c r="T1592" s="355"/>
    </row>
    <row r="1593" spans="14:20" x14ac:dyDescent="0.25">
      <c r="N1593" s="514"/>
      <c r="R1593" s="293"/>
      <c r="S1593" s="316"/>
      <c r="T1593" s="355"/>
    </row>
    <row r="1594" spans="14:20" x14ac:dyDescent="0.25">
      <c r="N1594" s="514"/>
      <c r="R1594" s="293"/>
      <c r="S1594" s="316"/>
      <c r="T1594" s="355"/>
    </row>
    <row r="1595" spans="14:20" x14ac:dyDescent="0.25">
      <c r="N1595" s="514"/>
      <c r="R1595" s="293"/>
      <c r="S1595" s="316"/>
      <c r="T1595" s="355"/>
    </row>
    <row r="1596" spans="14:20" x14ac:dyDescent="0.25">
      <c r="N1596" s="514"/>
      <c r="R1596" s="293"/>
      <c r="S1596" s="316"/>
      <c r="T1596" s="355"/>
    </row>
    <row r="1597" spans="14:20" x14ac:dyDescent="0.25">
      <c r="N1597" s="514"/>
      <c r="R1597" s="293"/>
      <c r="S1597" s="316"/>
      <c r="T1597" s="355"/>
    </row>
    <row r="1598" spans="14:20" x14ac:dyDescent="0.25">
      <c r="N1598" s="514"/>
      <c r="R1598" s="293"/>
      <c r="S1598" s="316"/>
      <c r="T1598" s="355"/>
    </row>
    <row r="1599" spans="14:20" x14ac:dyDescent="0.25">
      <c r="N1599" s="514"/>
      <c r="R1599" s="293"/>
      <c r="S1599" s="316"/>
      <c r="T1599" s="355"/>
    </row>
    <row r="1600" spans="14:20" x14ac:dyDescent="0.25">
      <c r="N1600" s="514"/>
      <c r="R1600" s="293"/>
      <c r="S1600" s="316"/>
      <c r="T1600" s="355"/>
    </row>
    <row r="1601" spans="14:20" x14ac:dyDescent="0.25">
      <c r="N1601" s="514"/>
      <c r="R1601" s="293"/>
      <c r="S1601" s="316"/>
      <c r="T1601" s="355"/>
    </row>
    <row r="1602" spans="14:20" x14ac:dyDescent="0.25">
      <c r="N1602" s="514"/>
      <c r="R1602" s="293"/>
      <c r="S1602" s="316"/>
      <c r="T1602" s="355"/>
    </row>
    <row r="1603" spans="14:20" x14ac:dyDescent="0.25">
      <c r="N1603" s="514"/>
      <c r="R1603" s="293"/>
      <c r="S1603" s="316"/>
      <c r="T1603" s="355"/>
    </row>
    <row r="1604" spans="14:20" x14ac:dyDescent="0.25">
      <c r="N1604" s="514"/>
      <c r="R1604" s="293"/>
      <c r="S1604" s="316"/>
      <c r="T1604" s="355"/>
    </row>
    <row r="1605" spans="14:20" x14ac:dyDescent="0.25">
      <c r="N1605" s="514"/>
      <c r="R1605" s="293"/>
      <c r="S1605" s="316"/>
      <c r="T1605" s="355"/>
    </row>
    <row r="1606" spans="14:20" x14ac:dyDescent="0.25">
      <c r="N1606" s="514"/>
      <c r="R1606" s="293"/>
      <c r="S1606" s="316"/>
      <c r="T1606" s="355"/>
    </row>
    <row r="1607" spans="14:20" x14ac:dyDescent="0.25">
      <c r="N1607" s="514"/>
      <c r="R1607" s="293"/>
      <c r="S1607" s="316"/>
      <c r="T1607" s="355"/>
    </row>
    <row r="1608" spans="14:20" x14ac:dyDescent="0.25">
      <c r="N1608" s="514"/>
      <c r="R1608" s="293"/>
      <c r="S1608" s="316"/>
      <c r="T1608" s="355"/>
    </row>
    <row r="1609" spans="14:20" x14ac:dyDescent="0.25">
      <c r="N1609" s="514"/>
      <c r="R1609" s="293"/>
      <c r="S1609" s="316"/>
      <c r="T1609" s="355"/>
    </row>
    <row r="1610" spans="14:20" x14ac:dyDescent="0.25">
      <c r="N1610" s="514"/>
      <c r="R1610" s="293"/>
      <c r="S1610" s="316"/>
      <c r="T1610" s="355"/>
    </row>
    <row r="1611" spans="14:20" x14ac:dyDescent="0.25">
      <c r="N1611" s="514"/>
      <c r="R1611" s="293"/>
      <c r="S1611" s="316"/>
      <c r="T1611" s="355"/>
    </row>
    <row r="1612" spans="14:20" x14ac:dyDescent="0.25">
      <c r="N1612" s="514"/>
      <c r="R1612" s="293"/>
      <c r="S1612" s="316"/>
      <c r="T1612" s="355"/>
    </row>
    <row r="1613" spans="14:20" x14ac:dyDescent="0.25">
      <c r="N1613" s="514"/>
      <c r="R1613" s="293"/>
      <c r="S1613" s="316"/>
      <c r="T1613" s="355"/>
    </row>
    <row r="1614" spans="14:20" x14ac:dyDescent="0.25">
      <c r="N1614" s="514"/>
      <c r="R1614" s="293"/>
      <c r="S1614" s="316"/>
      <c r="T1614" s="355"/>
    </row>
    <row r="1615" spans="14:20" x14ac:dyDescent="0.25">
      <c r="N1615" s="514"/>
      <c r="R1615" s="293"/>
      <c r="S1615" s="316"/>
      <c r="T1615" s="355"/>
    </row>
    <row r="1616" spans="14:20" x14ac:dyDescent="0.25">
      <c r="N1616" s="514"/>
      <c r="R1616" s="293"/>
      <c r="S1616" s="316"/>
      <c r="T1616" s="355"/>
    </row>
    <row r="1617" spans="14:20" x14ac:dyDescent="0.25">
      <c r="N1617" s="514"/>
      <c r="R1617" s="293"/>
      <c r="S1617" s="316"/>
      <c r="T1617" s="355"/>
    </row>
    <row r="1618" spans="14:20" x14ac:dyDescent="0.25">
      <c r="N1618" s="514"/>
      <c r="R1618" s="293"/>
      <c r="S1618" s="316"/>
      <c r="T1618" s="355"/>
    </row>
    <row r="1619" spans="14:20" x14ac:dyDescent="0.25">
      <c r="N1619" s="514"/>
      <c r="R1619" s="293"/>
      <c r="S1619" s="316"/>
      <c r="T1619" s="355"/>
    </row>
    <row r="1620" spans="14:20" x14ac:dyDescent="0.25">
      <c r="N1620" s="514"/>
      <c r="R1620" s="293"/>
      <c r="S1620" s="316"/>
      <c r="T1620" s="355"/>
    </row>
    <row r="1621" spans="14:20" x14ac:dyDescent="0.25">
      <c r="N1621" s="514"/>
      <c r="R1621" s="293"/>
      <c r="S1621" s="316"/>
      <c r="T1621" s="355"/>
    </row>
    <row r="1622" spans="14:20" x14ac:dyDescent="0.25">
      <c r="N1622" s="514"/>
      <c r="R1622" s="293"/>
      <c r="S1622" s="316"/>
      <c r="T1622" s="355"/>
    </row>
    <row r="1623" spans="14:20" x14ac:dyDescent="0.25">
      <c r="N1623" s="514"/>
      <c r="R1623" s="293"/>
      <c r="S1623" s="316"/>
      <c r="T1623" s="355"/>
    </row>
    <row r="1624" spans="14:20" x14ac:dyDescent="0.25">
      <c r="N1624" s="514"/>
      <c r="R1624" s="293"/>
      <c r="S1624" s="316"/>
      <c r="T1624" s="355"/>
    </row>
    <row r="1625" spans="14:20" x14ac:dyDescent="0.25">
      <c r="N1625" s="514"/>
      <c r="R1625" s="293"/>
      <c r="S1625" s="316"/>
      <c r="T1625" s="355"/>
    </row>
    <row r="1626" spans="14:20" x14ac:dyDescent="0.25">
      <c r="N1626" s="514"/>
      <c r="R1626" s="293"/>
      <c r="S1626" s="316"/>
      <c r="T1626" s="355"/>
    </row>
    <row r="1627" spans="14:20" x14ac:dyDescent="0.25">
      <c r="N1627" s="514"/>
      <c r="R1627" s="293"/>
      <c r="S1627" s="316"/>
      <c r="T1627" s="355"/>
    </row>
    <row r="1628" spans="14:20" x14ac:dyDescent="0.25">
      <c r="N1628" s="514"/>
      <c r="R1628" s="293"/>
      <c r="S1628" s="316"/>
      <c r="T1628" s="355"/>
    </row>
    <row r="1629" spans="14:20" x14ac:dyDescent="0.25">
      <c r="N1629" s="514"/>
      <c r="R1629" s="293"/>
      <c r="S1629" s="316"/>
      <c r="T1629" s="355"/>
    </row>
    <row r="1630" spans="14:20" x14ac:dyDescent="0.25">
      <c r="N1630" s="514"/>
      <c r="R1630" s="293"/>
      <c r="S1630" s="316"/>
      <c r="T1630" s="355"/>
    </row>
    <row r="1631" spans="14:20" x14ac:dyDescent="0.25">
      <c r="N1631" s="514"/>
      <c r="R1631" s="293"/>
      <c r="S1631" s="316"/>
      <c r="T1631" s="355"/>
    </row>
    <row r="1632" spans="14:20" x14ac:dyDescent="0.25">
      <c r="N1632" s="514"/>
      <c r="R1632" s="293"/>
      <c r="S1632" s="316"/>
      <c r="T1632" s="355"/>
    </row>
    <row r="1633" spans="14:20" x14ac:dyDescent="0.25">
      <c r="N1633" s="514"/>
      <c r="R1633" s="293"/>
      <c r="S1633" s="316"/>
      <c r="T1633" s="355"/>
    </row>
    <row r="1634" spans="14:20" x14ac:dyDescent="0.25">
      <c r="N1634" s="514"/>
      <c r="R1634" s="293"/>
      <c r="S1634" s="316"/>
      <c r="T1634" s="355"/>
    </row>
    <row r="1635" spans="14:20" x14ac:dyDescent="0.25">
      <c r="N1635" s="514"/>
      <c r="R1635" s="293"/>
      <c r="S1635" s="316"/>
      <c r="T1635" s="355"/>
    </row>
    <row r="1636" spans="14:20" x14ac:dyDescent="0.25">
      <c r="N1636" s="514"/>
      <c r="R1636" s="293"/>
      <c r="S1636" s="316"/>
      <c r="T1636" s="355"/>
    </row>
    <row r="1637" spans="14:20" x14ac:dyDescent="0.25">
      <c r="N1637" s="514"/>
      <c r="R1637" s="293"/>
      <c r="S1637" s="316"/>
      <c r="T1637" s="355"/>
    </row>
    <row r="1638" spans="14:20" x14ac:dyDescent="0.25">
      <c r="N1638" s="514"/>
      <c r="R1638" s="293"/>
      <c r="S1638" s="316"/>
      <c r="T1638" s="355"/>
    </row>
    <row r="1639" spans="14:20" x14ac:dyDescent="0.25">
      <c r="N1639" s="514"/>
      <c r="R1639" s="293"/>
      <c r="S1639" s="316"/>
      <c r="T1639" s="355"/>
    </row>
    <row r="1640" spans="14:20" x14ac:dyDescent="0.25">
      <c r="N1640" s="514"/>
      <c r="R1640" s="293"/>
      <c r="S1640" s="316"/>
      <c r="T1640" s="355"/>
    </row>
    <row r="1641" spans="14:20" x14ac:dyDescent="0.25">
      <c r="N1641" s="514"/>
      <c r="R1641" s="293"/>
      <c r="S1641" s="316"/>
      <c r="T1641" s="355"/>
    </row>
    <row r="1642" spans="14:20" x14ac:dyDescent="0.25">
      <c r="N1642" s="514"/>
      <c r="R1642" s="293"/>
      <c r="S1642" s="316"/>
      <c r="T1642" s="355"/>
    </row>
    <row r="1643" spans="14:20" x14ac:dyDescent="0.25">
      <c r="N1643" s="514"/>
      <c r="R1643" s="293"/>
      <c r="S1643" s="316"/>
      <c r="T1643" s="355"/>
    </row>
    <row r="1644" spans="14:20" x14ac:dyDescent="0.25">
      <c r="N1644" s="514"/>
      <c r="R1644" s="293"/>
      <c r="S1644" s="316"/>
      <c r="T1644" s="355"/>
    </row>
    <row r="1645" spans="14:20" x14ac:dyDescent="0.25">
      <c r="N1645" s="514"/>
      <c r="R1645" s="293"/>
      <c r="S1645" s="316"/>
      <c r="T1645" s="355"/>
    </row>
    <row r="1646" spans="14:20" x14ac:dyDescent="0.25">
      <c r="N1646" s="514"/>
      <c r="R1646" s="293"/>
      <c r="S1646" s="316"/>
      <c r="T1646" s="355"/>
    </row>
    <row r="1647" spans="14:20" x14ac:dyDescent="0.25">
      <c r="N1647" s="514"/>
      <c r="R1647" s="293"/>
      <c r="S1647" s="316"/>
      <c r="T1647" s="355"/>
    </row>
    <row r="1648" spans="14:20" x14ac:dyDescent="0.25">
      <c r="N1648" s="514"/>
      <c r="R1648" s="293"/>
      <c r="S1648" s="316"/>
      <c r="T1648" s="355"/>
    </row>
    <row r="1649" spans="14:20" x14ac:dyDescent="0.25">
      <c r="N1649" s="514"/>
      <c r="R1649" s="293"/>
      <c r="S1649" s="316"/>
      <c r="T1649" s="355"/>
    </row>
    <row r="1650" spans="14:20" x14ac:dyDescent="0.25">
      <c r="N1650" s="514"/>
      <c r="R1650" s="293"/>
      <c r="S1650" s="316"/>
      <c r="T1650" s="355"/>
    </row>
    <row r="1651" spans="14:20" x14ac:dyDescent="0.25">
      <c r="N1651" s="514"/>
      <c r="R1651" s="293"/>
      <c r="S1651" s="316"/>
      <c r="T1651" s="355"/>
    </row>
    <row r="1652" spans="14:20" x14ac:dyDescent="0.25">
      <c r="N1652" s="514"/>
      <c r="R1652" s="293"/>
      <c r="S1652" s="316"/>
      <c r="T1652" s="355"/>
    </row>
    <row r="1653" spans="14:20" x14ac:dyDescent="0.25">
      <c r="N1653" s="514"/>
      <c r="R1653" s="293"/>
      <c r="S1653" s="316"/>
      <c r="T1653" s="355"/>
    </row>
    <row r="1654" spans="14:20" x14ac:dyDescent="0.25">
      <c r="N1654" s="514"/>
      <c r="R1654" s="293"/>
      <c r="S1654" s="316"/>
      <c r="T1654" s="355"/>
    </row>
    <row r="1655" spans="14:20" x14ac:dyDescent="0.25">
      <c r="N1655" s="514"/>
      <c r="R1655" s="293"/>
      <c r="S1655" s="316"/>
      <c r="T1655" s="355"/>
    </row>
    <row r="1656" spans="14:20" x14ac:dyDescent="0.25">
      <c r="N1656" s="514"/>
      <c r="R1656" s="293"/>
      <c r="S1656" s="316"/>
      <c r="T1656" s="355"/>
    </row>
    <row r="1657" spans="14:20" x14ac:dyDescent="0.25">
      <c r="N1657" s="514"/>
      <c r="R1657" s="293"/>
      <c r="S1657" s="316"/>
      <c r="T1657" s="355"/>
    </row>
    <row r="1658" spans="14:20" x14ac:dyDescent="0.25">
      <c r="N1658" s="514"/>
      <c r="R1658" s="293"/>
      <c r="S1658" s="316"/>
      <c r="T1658" s="355"/>
    </row>
    <row r="1659" spans="14:20" x14ac:dyDescent="0.25">
      <c r="N1659" s="514"/>
      <c r="R1659" s="293"/>
      <c r="S1659" s="316"/>
      <c r="T1659" s="355"/>
    </row>
    <row r="1660" spans="14:20" x14ac:dyDescent="0.25">
      <c r="N1660" s="514"/>
      <c r="R1660" s="293"/>
      <c r="S1660" s="316"/>
      <c r="T1660" s="355"/>
    </row>
    <row r="1661" spans="14:20" x14ac:dyDescent="0.25">
      <c r="N1661" s="514"/>
      <c r="R1661" s="293"/>
      <c r="S1661" s="316"/>
      <c r="T1661" s="355"/>
    </row>
    <row r="1662" spans="14:20" x14ac:dyDescent="0.25">
      <c r="N1662" s="514"/>
      <c r="R1662" s="293"/>
      <c r="S1662" s="316"/>
      <c r="T1662" s="355"/>
    </row>
    <row r="1663" spans="14:20" x14ac:dyDescent="0.25">
      <c r="N1663" s="514"/>
      <c r="R1663" s="293"/>
      <c r="S1663" s="316"/>
      <c r="T1663" s="355"/>
    </row>
    <row r="1664" spans="14:20" x14ac:dyDescent="0.25">
      <c r="N1664" s="514"/>
      <c r="R1664" s="293"/>
      <c r="S1664" s="316"/>
      <c r="T1664" s="355"/>
    </row>
    <row r="1665" spans="14:20" x14ac:dyDescent="0.25">
      <c r="N1665" s="514"/>
      <c r="R1665" s="293"/>
      <c r="S1665" s="316"/>
      <c r="T1665" s="355"/>
    </row>
    <row r="1666" spans="14:20" x14ac:dyDescent="0.25">
      <c r="N1666" s="514"/>
      <c r="R1666" s="293"/>
      <c r="S1666" s="316"/>
      <c r="T1666" s="355"/>
    </row>
    <row r="1667" spans="14:20" x14ac:dyDescent="0.25">
      <c r="N1667" s="514"/>
      <c r="R1667" s="293"/>
      <c r="S1667" s="316"/>
      <c r="T1667" s="355"/>
    </row>
    <row r="1668" spans="14:20" x14ac:dyDescent="0.25">
      <c r="N1668" s="514"/>
      <c r="R1668" s="293"/>
      <c r="S1668" s="316"/>
      <c r="T1668" s="355"/>
    </row>
    <row r="1669" spans="14:20" x14ac:dyDescent="0.25">
      <c r="N1669" s="514"/>
      <c r="R1669" s="293"/>
      <c r="S1669" s="316"/>
      <c r="T1669" s="355"/>
    </row>
    <row r="1670" spans="14:20" x14ac:dyDescent="0.25">
      <c r="N1670" s="514"/>
      <c r="R1670" s="293"/>
      <c r="S1670" s="316"/>
      <c r="T1670" s="355"/>
    </row>
    <row r="1671" spans="14:20" x14ac:dyDescent="0.25">
      <c r="N1671" s="514"/>
      <c r="R1671" s="293"/>
      <c r="S1671" s="316"/>
      <c r="T1671" s="355"/>
    </row>
    <row r="1672" spans="14:20" x14ac:dyDescent="0.25">
      <c r="N1672" s="514"/>
      <c r="R1672" s="293"/>
      <c r="S1672" s="316"/>
      <c r="T1672" s="355"/>
    </row>
    <row r="1673" spans="14:20" x14ac:dyDescent="0.25">
      <c r="N1673" s="514"/>
      <c r="R1673" s="293"/>
      <c r="S1673" s="316"/>
      <c r="T1673" s="355"/>
    </row>
    <row r="1674" spans="14:20" x14ac:dyDescent="0.25">
      <c r="N1674" s="514"/>
      <c r="R1674" s="293"/>
      <c r="S1674" s="316"/>
      <c r="T1674" s="355"/>
    </row>
    <row r="1675" spans="14:20" x14ac:dyDescent="0.25">
      <c r="N1675" s="514"/>
      <c r="R1675" s="293"/>
      <c r="S1675" s="316"/>
      <c r="T1675" s="355"/>
    </row>
    <row r="1676" spans="14:20" x14ac:dyDescent="0.25">
      <c r="N1676" s="514"/>
      <c r="R1676" s="293"/>
      <c r="S1676" s="316"/>
      <c r="T1676" s="355"/>
    </row>
    <row r="1677" spans="14:20" x14ac:dyDescent="0.25">
      <c r="N1677" s="514"/>
      <c r="R1677" s="293"/>
      <c r="S1677" s="316"/>
      <c r="T1677" s="355"/>
    </row>
    <row r="1678" spans="14:20" x14ac:dyDescent="0.25">
      <c r="N1678" s="514"/>
      <c r="R1678" s="293"/>
      <c r="S1678" s="316"/>
      <c r="T1678" s="355"/>
    </row>
    <row r="1679" spans="14:20" x14ac:dyDescent="0.25">
      <c r="N1679" s="514"/>
      <c r="R1679" s="293"/>
      <c r="S1679" s="316"/>
      <c r="T1679" s="355"/>
    </row>
    <row r="1680" spans="14:20" x14ac:dyDescent="0.25">
      <c r="N1680" s="514"/>
      <c r="R1680" s="293"/>
      <c r="S1680" s="316"/>
      <c r="T1680" s="355"/>
    </row>
    <row r="1681" spans="14:20" x14ac:dyDescent="0.25">
      <c r="N1681" s="514"/>
      <c r="R1681" s="293"/>
      <c r="S1681" s="316"/>
      <c r="T1681" s="355"/>
    </row>
    <row r="1682" spans="14:20" x14ac:dyDescent="0.25">
      <c r="N1682" s="514"/>
      <c r="R1682" s="293"/>
      <c r="S1682" s="316"/>
      <c r="T1682" s="355"/>
    </row>
    <row r="1683" spans="14:20" x14ac:dyDescent="0.25">
      <c r="N1683" s="514"/>
      <c r="R1683" s="293"/>
      <c r="S1683" s="316"/>
      <c r="T1683" s="355"/>
    </row>
    <row r="1684" spans="14:20" x14ac:dyDescent="0.25">
      <c r="N1684" s="514"/>
      <c r="R1684" s="293"/>
      <c r="S1684" s="316"/>
      <c r="T1684" s="355"/>
    </row>
    <row r="1685" spans="14:20" x14ac:dyDescent="0.25">
      <c r="N1685" s="514"/>
      <c r="R1685" s="293"/>
      <c r="S1685" s="316"/>
      <c r="T1685" s="355"/>
    </row>
    <row r="1686" spans="14:20" x14ac:dyDescent="0.25">
      <c r="N1686" s="514"/>
      <c r="R1686" s="293"/>
      <c r="S1686" s="316"/>
      <c r="T1686" s="355"/>
    </row>
    <row r="1687" spans="14:20" x14ac:dyDescent="0.25">
      <c r="N1687" s="514"/>
      <c r="R1687" s="293"/>
      <c r="S1687" s="316"/>
      <c r="T1687" s="355"/>
    </row>
    <row r="1688" spans="14:20" x14ac:dyDescent="0.25">
      <c r="N1688" s="514"/>
      <c r="R1688" s="293"/>
      <c r="S1688" s="316"/>
      <c r="T1688" s="355"/>
    </row>
    <row r="1689" spans="14:20" x14ac:dyDescent="0.25">
      <c r="N1689" s="514"/>
      <c r="R1689" s="293"/>
      <c r="S1689" s="316"/>
      <c r="T1689" s="355"/>
    </row>
    <row r="1690" spans="14:20" x14ac:dyDescent="0.25">
      <c r="N1690" s="514"/>
      <c r="R1690" s="293"/>
      <c r="S1690" s="316"/>
      <c r="T1690" s="355"/>
    </row>
    <row r="1691" spans="14:20" x14ac:dyDescent="0.25">
      <c r="N1691" s="514"/>
      <c r="R1691" s="293"/>
      <c r="S1691" s="316"/>
      <c r="T1691" s="355"/>
    </row>
    <row r="1692" spans="14:20" x14ac:dyDescent="0.25">
      <c r="N1692" s="514"/>
      <c r="R1692" s="293"/>
      <c r="S1692" s="316"/>
      <c r="T1692" s="355"/>
    </row>
    <row r="1693" spans="14:20" x14ac:dyDescent="0.25">
      <c r="N1693" s="514"/>
      <c r="R1693" s="293"/>
      <c r="S1693" s="316"/>
      <c r="T1693" s="355"/>
    </row>
    <row r="1694" spans="14:20" x14ac:dyDescent="0.25">
      <c r="N1694" s="514"/>
      <c r="R1694" s="293"/>
      <c r="S1694" s="316"/>
      <c r="T1694" s="355"/>
    </row>
    <row r="1695" spans="14:20" x14ac:dyDescent="0.25">
      <c r="N1695" s="514"/>
      <c r="R1695" s="293"/>
      <c r="S1695" s="316"/>
      <c r="T1695" s="355"/>
    </row>
    <row r="1696" spans="14:20" x14ac:dyDescent="0.25">
      <c r="N1696" s="514"/>
      <c r="R1696" s="293"/>
      <c r="S1696" s="316"/>
      <c r="T1696" s="355"/>
    </row>
    <row r="1697" spans="14:20" x14ac:dyDescent="0.25">
      <c r="N1697" s="514"/>
      <c r="R1697" s="293"/>
      <c r="S1697" s="316"/>
      <c r="T1697" s="355"/>
    </row>
    <row r="1698" spans="14:20" x14ac:dyDescent="0.25">
      <c r="N1698" s="514"/>
      <c r="R1698" s="293"/>
      <c r="S1698" s="316"/>
      <c r="T1698" s="355"/>
    </row>
    <row r="1699" spans="14:20" x14ac:dyDescent="0.25">
      <c r="N1699" s="514"/>
      <c r="R1699" s="293"/>
      <c r="S1699" s="316"/>
      <c r="T1699" s="355"/>
    </row>
    <row r="1700" spans="14:20" x14ac:dyDescent="0.25">
      <c r="N1700" s="514"/>
      <c r="R1700" s="293"/>
      <c r="S1700" s="316"/>
      <c r="T1700" s="355"/>
    </row>
    <row r="1701" spans="14:20" x14ac:dyDescent="0.25">
      <c r="N1701" s="514"/>
      <c r="R1701" s="293"/>
      <c r="S1701" s="316"/>
      <c r="T1701" s="355"/>
    </row>
    <row r="1702" spans="14:20" x14ac:dyDescent="0.25">
      <c r="N1702" s="514"/>
      <c r="R1702" s="293"/>
      <c r="S1702" s="316"/>
      <c r="T1702" s="355"/>
    </row>
    <row r="1703" spans="14:20" x14ac:dyDescent="0.25">
      <c r="N1703" s="514"/>
      <c r="R1703" s="293"/>
      <c r="S1703" s="316"/>
      <c r="T1703" s="355"/>
    </row>
    <row r="1704" spans="14:20" x14ac:dyDescent="0.25">
      <c r="N1704" s="514"/>
      <c r="R1704" s="293"/>
      <c r="S1704" s="316"/>
      <c r="T1704" s="355"/>
    </row>
    <row r="1705" spans="14:20" x14ac:dyDescent="0.25">
      <c r="N1705" s="514"/>
      <c r="R1705" s="293"/>
      <c r="S1705" s="316"/>
      <c r="T1705" s="355"/>
    </row>
    <row r="1706" spans="14:20" x14ac:dyDescent="0.25">
      <c r="N1706" s="514"/>
      <c r="R1706" s="293"/>
      <c r="S1706" s="316"/>
      <c r="T1706" s="355"/>
    </row>
    <row r="1707" spans="14:20" x14ac:dyDescent="0.25">
      <c r="N1707" s="514"/>
      <c r="R1707" s="293"/>
      <c r="S1707" s="316"/>
      <c r="T1707" s="355"/>
    </row>
    <row r="1708" spans="14:20" x14ac:dyDescent="0.25">
      <c r="N1708" s="514"/>
      <c r="R1708" s="293"/>
      <c r="S1708" s="316"/>
      <c r="T1708" s="355"/>
    </row>
    <row r="1709" spans="14:20" x14ac:dyDescent="0.25">
      <c r="N1709" s="514"/>
      <c r="R1709" s="293"/>
      <c r="S1709" s="316"/>
      <c r="T1709" s="355"/>
    </row>
    <row r="1710" spans="14:20" x14ac:dyDescent="0.25">
      <c r="N1710" s="514"/>
      <c r="R1710" s="293"/>
      <c r="S1710" s="316"/>
      <c r="T1710" s="355"/>
    </row>
    <row r="1711" spans="14:20" x14ac:dyDescent="0.25">
      <c r="N1711" s="514"/>
      <c r="R1711" s="293"/>
      <c r="S1711" s="316"/>
      <c r="T1711" s="355"/>
    </row>
    <row r="1712" spans="14:20" x14ac:dyDescent="0.25">
      <c r="N1712" s="514"/>
      <c r="R1712" s="293"/>
      <c r="S1712" s="316"/>
      <c r="T1712" s="355"/>
    </row>
    <row r="1713" spans="14:20" x14ac:dyDescent="0.25">
      <c r="N1713" s="514"/>
      <c r="R1713" s="293"/>
      <c r="S1713" s="316"/>
      <c r="T1713" s="355"/>
    </row>
    <row r="1714" spans="14:20" x14ac:dyDescent="0.25">
      <c r="N1714" s="514"/>
      <c r="R1714" s="293"/>
      <c r="S1714" s="316"/>
      <c r="T1714" s="355"/>
    </row>
    <row r="1715" spans="14:20" x14ac:dyDescent="0.25">
      <c r="N1715" s="514"/>
      <c r="R1715" s="293"/>
      <c r="S1715" s="316"/>
      <c r="T1715" s="355"/>
    </row>
    <row r="1716" spans="14:20" x14ac:dyDescent="0.25">
      <c r="N1716" s="514"/>
      <c r="R1716" s="293"/>
      <c r="S1716" s="316"/>
      <c r="T1716" s="355"/>
    </row>
    <row r="1717" spans="14:20" x14ac:dyDescent="0.25">
      <c r="N1717" s="514"/>
      <c r="R1717" s="293"/>
      <c r="S1717" s="316"/>
      <c r="T1717" s="355"/>
    </row>
    <row r="1718" spans="14:20" x14ac:dyDescent="0.25">
      <c r="N1718" s="514"/>
      <c r="R1718" s="293"/>
      <c r="S1718" s="316"/>
      <c r="T1718" s="355"/>
    </row>
    <row r="1719" spans="14:20" x14ac:dyDescent="0.25">
      <c r="N1719" s="514"/>
      <c r="R1719" s="293"/>
      <c r="S1719" s="316"/>
      <c r="T1719" s="355"/>
    </row>
    <row r="1720" spans="14:20" x14ac:dyDescent="0.25">
      <c r="N1720" s="514"/>
      <c r="R1720" s="293"/>
      <c r="S1720" s="316"/>
      <c r="T1720" s="355"/>
    </row>
    <row r="1721" spans="14:20" x14ac:dyDescent="0.25">
      <c r="N1721" s="514"/>
      <c r="R1721" s="293"/>
      <c r="S1721" s="316"/>
      <c r="T1721" s="355"/>
    </row>
    <row r="1722" spans="14:20" x14ac:dyDescent="0.25">
      <c r="N1722" s="514"/>
      <c r="R1722" s="293"/>
      <c r="S1722" s="316"/>
      <c r="T1722" s="355"/>
    </row>
    <row r="1723" spans="14:20" x14ac:dyDescent="0.25">
      <c r="N1723" s="514"/>
      <c r="R1723" s="293"/>
      <c r="S1723" s="316"/>
      <c r="T1723" s="355"/>
    </row>
    <row r="1724" spans="14:20" x14ac:dyDescent="0.25">
      <c r="N1724" s="514"/>
      <c r="R1724" s="293"/>
      <c r="S1724" s="316"/>
      <c r="T1724" s="355"/>
    </row>
    <row r="1725" spans="14:20" x14ac:dyDescent="0.25">
      <c r="N1725" s="514"/>
      <c r="R1725" s="293"/>
      <c r="S1725" s="316"/>
      <c r="T1725" s="355"/>
    </row>
    <row r="1726" spans="14:20" x14ac:dyDescent="0.25">
      <c r="N1726" s="514"/>
      <c r="R1726" s="293"/>
      <c r="S1726" s="316"/>
      <c r="T1726" s="355"/>
    </row>
    <row r="1727" spans="14:20" x14ac:dyDescent="0.25">
      <c r="N1727" s="514"/>
      <c r="R1727" s="293"/>
      <c r="S1727" s="316"/>
      <c r="T1727" s="355"/>
    </row>
    <row r="1728" spans="14:20" x14ac:dyDescent="0.25">
      <c r="N1728" s="514"/>
      <c r="R1728" s="293"/>
      <c r="S1728" s="316"/>
      <c r="T1728" s="355"/>
    </row>
    <row r="1729" spans="14:20" x14ac:dyDescent="0.25">
      <c r="N1729" s="514"/>
      <c r="R1729" s="293"/>
      <c r="S1729" s="316"/>
      <c r="T1729" s="355"/>
    </row>
    <row r="1730" spans="14:20" x14ac:dyDescent="0.25">
      <c r="N1730" s="514"/>
      <c r="R1730" s="293"/>
      <c r="S1730" s="316"/>
      <c r="T1730" s="355"/>
    </row>
    <row r="1731" spans="14:20" x14ac:dyDescent="0.25">
      <c r="N1731" s="514"/>
      <c r="R1731" s="293"/>
      <c r="S1731" s="316"/>
      <c r="T1731" s="355"/>
    </row>
    <row r="1732" spans="14:20" x14ac:dyDescent="0.25">
      <c r="N1732" s="514"/>
      <c r="R1732" s="293"/>
      <c r="S1732" s="316"/>
      <c r="T1732" s="355"/>
    </row>
    <row r="1733" spans="14:20" x14ac:dyDescent="0.25">
      <c r="N1733" s="514"/>
      <c r="R1733" s="293"/>
      <c r="S1733" s="316"/>
      <c r="T1733" s="355"/>
    </row>
    <row r="1734" spans="14:20" x14ac:dyDescent="0.25">
      <c r="N1734" s="514"/>
      <c r="R1734" s="293"/>
      <c r="S1734" s="316"/>
      <c r="T1734" s="355"/>
    </row>
    <row r="1735" spans="14:20" x14ac:dyDescent="0.25">
      <c r="N1735" s="514"/>
      <c r="R1735" s="293"/>
      <c r="S1735" s="316"/>
      <c r="T1735" s="355"/>
    </row>
    <row r="1736" spans="14:20" x14ac:dyDescent="0.25">
      <c r="N1736" s="514"/>
      <c r="R1736" s="293"/>
      <c r="S1736" s="316"/>
      <c r="T1736" s="355"/>
    </row>
    <row r="1737" spans="14:20" x14ac:dyDescent="0.25">
      <c r="N1737" s="514"/>
      <c r="R1737" s="293"/>
      <c r="S1737" s="316"/>
      <c r="T1737" s="355"/>
    </row>
    <row r="1738" spans="14:20" x14ac:dyDescent="0.25">
      <c r="N1738" s="514"/>
      <c r="R1738" s="293"/>
      <c r="S1738" s="316"/>
      <c r="T1738" s="355"/>
    </row>
    <row r="1739" spans="14:20" x14ac:dyDescent="0.25">
      <c r="N1739" s="514"/>
      <c r="R1739" s="293"/>
      <c r="S1739" s="316"/>
      <c r="T1739" s="355"/>
    </row>
    <row r="1740" spans="14:20" x14ac:dyDescent="0.25">
      <c r="N1740" s="514"/>
      <c r="R1740" s="293"/>
      <c r="S1740" s="316"/>
      <c r="T1740" s="355"/>
    </row>
    <row r="1741" spans="14:20" x14ac:dyDescent="0.25">
      <c r="N1741" s="514"/>
      <c r="R1741" s="293"/>
      <c r="S1741" s="316"/>
      <c r="T1741" s="355"/>
    </row>
    <row r="1742" spans="14:20" x14ac:dyDescent="0.25">
      <c r="N1742" s="514"/>
      <c r="R1742" s="293"/>
      <c r="S1742" s="316"/>
      <c r="T1742" s="355"/>
    </row>
    <row r="1743" spans="14:20" x14ac:dyDescent="0.25">
      <c r="N1743" s="514"/>
      <c r="R1743" s="293"/>
      <c r="S1743" s="316"/>
      <c r="T1743" s="355"/>
    </row>
    <row r="1744" spans="14:20" x14ac:dyDescent="0.25">
      <c r="N1744" s="514"/>
      <c r="R1744" s="293"/>
      <c r="S1744" s="316"/>
      <c r="T1744" s="355"/>
    </row>
    <row r="1745" spans="14:20" x14ac:dyDescent="0.25">
      <c r="N1745" s="514"/>
      <c r="R1745" s="293"/>
      <c r="S1745" s="316"/>
      <c r="T1745" s="355"/>
    </row>
    <row r="1746" spans="14:20" x14ac:dyDescent="0.25">
      <c r="N1746" s="514"/>
      <c r="R1746" s="293"/>
      <c r="S1746" s="316"/>
      <c r="T1746" s="355"/>
    </row>
    <row r="1747" spans="14:20" x14ac:dyDescent="0.25">
      <c r="N1747" s="514"/>
      <c r="R1747" s="293"/>
      <c r="S1747" s="316"/>
      <c r="T1747" s="355"/>
    </row>
    <row r="1748" spans="14:20" x14ac:dyDescent="0.25">
      <c r="N1748" s="514"/>
      <c r="R1748" s="293"/>
      <c r="S1748" s="316"/>
      <c r="T1748" s="355"/>
    </row>
    <row r="1749" spans="14:20" x14ac:dyDescent="0.25">
      <c r="N1749" s="514"/>
      <c r="R1749" s="293"/>
      <c r="S1749" s="316"/>
      <c r="T1749" s="355"/>
    </row>
    <row r="1750" spans="14:20" x14ac:dyDescent="0.25">
      <c r="N1750" s="514"/>
      <c r="R1750" s="293"/>
      <c r="S1750" s="316"/>
      <c r="T1750" s="355"/>
    </row>
    <row r="1751" spans="14:20" x14ac:dyDescent="0.25">
      <c r="N1751" s="514"/>
      <c r="R1751" s="293"/>
      <c r="S1751" s="316"/>
      <c r="T1751" s="355"/>
    </row>
    <row r="1752" spans="14:20" x14ac:dyDescent="0.25">
      <c r="N1752" s="514"/>
      <c r="R1752" s="293"/>
      <c r="S1752" s="316"/>
      <c r="T1752" s="355"/>
    </row>
    <row r="1753" spans="14:20" x14ac:dyDescent="0.25">
      <c r="N1753" s="514"/>
      <c r="R1753" s="293"/>
      <c r="S1753" s="316"/>
      <c r="T1753" s="355"/>
    </row>
    <row r="1754" spans="14:20" x14ac:dyDescent="0.25">
      <c r="N1754" s="514"/>
      <c r="R1754" s="293"/>
      <c r="S1754" s="316"/>
      <c r="T1754" s="355"/>
    </row>
    <row r="1755" spans="14:20" x14ac:dyDescent="0.25">
      <c r="N1755" s="514"/>
      <c r="R1755" s="293"/>
      <c r="S1755" s="316"/>
      <c r="T1755" s="355"/>
    </row>
    <row r="1756" spans="14:20" x14ac:dyDescent="0.25">
      <c r="N1756" s="514"/>
      <c r="R1756" s="293"/>
      <c r="S1756" s="316"/>
      <c r="T1756" s="355"/>
    </row>
    <row r="1757" spans="14:20" x14ac:dyDescent="0.25">
      <c r="N1757" s="514"/>
      <c r="R1757" s="293"/>
      <c r="S1757" s="316"/>
      <c r="T1757" s="355"/>
    </row>
    <row r="1758" spans="14:20" x14ac:dyDescent="0.25">
      <c r="N1758" s="514"/>
      <c r="R1758" s="293"/>
      <c r="S1758" s="316"/>
      <c r="T1758" s="355"/>
    </row>
    <row r="1759" spans="14:20" x14ac:dyDescent="0.25">
      <c r="N1759" s="514"/>
      <c r="R1759" s="293"/>
      <c r="S1759" s="316"/>
      <c r="T1759" s="355"/>
    </row>
    <row r="1760" spans="14:20" x14ac:dyDescent="0.25">
      <c r="N1760" s="514"/>
      <c r="R1760" s="293"/>
      <c r="S1760" s="316"/>
      <c r="T1760" s="355"/>
    </row>
    <row r="1761" spans="14:20" x14ac:dyDescent="0.25">
      <c r="N1761" s="514"/>
      <c r="R1761" s="293"/>
      <c r="S1761" s="316"/>
      <c r="T1761" s="355"/>
    </row>
    <row r="1762" spans="14:20" x14ac:dyDescent="0.25">
      <c r="N1762" s="514"/>
      <c r="R1762" s="293"/>
      <c r="S1762" s="316"/>
      <c r="T1762" s="355"/>
    </row>
    <row r="1763" spans="14:20" x14ac:dyDescent="0.25">
      <c r="N1763" s="514"/>
      <c r="R1763" s="293"/>
      <c r="S1763" s="316"/>
      <c r="T1763" s="355"/>
    </row>
    <row r="1764" spans="14:20" x14ac:dyDescent="0.25">
      <c r="N1764" s="514"/>
      <c r="R1764" s="293"/>
      <c r="S1764" s="316"/>
      <c r="T1764" s="355"/>
    </row>
    <row r="1765" spans="14:20" x14ac:dyDescent="0.25">
      <c r="N1765" s="514"/>
      <c r="R1765" s="293"/>
      <c r="S1765" s="316"/>
      <c r="T1765" s="355"/>
    </row>
    <row r="1766" spans="14:20" x14ac:dyDescent="0.25">
      <c r="N1766" s="514"/>
      <c r="R1766" s="293"/>
      <c r="S1766" s="316"/>
      <c r="T1766" s="355"/>
    </row>
    <row r="1767" spans="14:20" x14ac:dyDescent="0.25">
      <c r="N1767" s="514"/>
      <c r="R1767" s="293"/>
      <c r="S1767" s="316"/>
      <c r="T1767" s="355"/>
    </row>
    <row r="1768" spans="14:20" x14ac:dyDescent="0.25">
      <c r="N1768" s="514"/>
      <c r="R1768" s="293"/>
      <c r="S1768" s="316"/>
      <c r="T1768" s="355"/>
    </row>
    <row r="1769" spans="14:20" x14ac:dyDescent="0.25">
      <c r="N1769" s="514"/>
      <c r="R1769" s="293"/>
      <c r="S1769" s="316"/>
      <c r="T1769" s="355"/>
    </row>
    <row r="1770" spans="14:20" x14ac:dyDescent="0.25">
      <c r="N1770" s="514"/>
      <c r="R1770" s="293"/>
      <c r="S1770" s="316"/>
      <c r="T1770" s="355"/>
    </row>
    <row r="1771" spans="14:20" x14ac:dyDescent="0.25">
      <c r="N1771" s="514"/>
      <c r="R1771" s="293"/>
      <c r="S1771" s="316"/>
      <c r="T1771" s="355"/>
    </row>
    <row r="1772" spans="14:20" x14ac:dyDescent="0.25">
      <c r="N1772" s="514"/>
      <c r="R1772" s="293"/>
      <c r="S1772" s="316"/>
      <c r="T1772" s="355"/>
    </row>
    <row r="1773" spans="14:20" x14ac:dyDescent="0.25">
      <c r="N1773" s="514"/>
      <c r="R1773" s="293"/>
      <c r="S1773" s="316"/>
      <c r="T1773" s="355"/>
    </row>
    <row r="1774" spans="14:20" x14ac:dyDescent="0.25">
      <c r="N1774" s="514"/>
      <c r="R1774" s="293"/>
      <c r="S1774" s="316"/>
      <c r="T1774" s="355"/>
    </row>
    <row r="1775" spans="14:20" x14ac:dyDescent="0.25">
      <c r="N1775" s="514"/>
      <c r="R1775" s="293"/>
      <c r="S1775" s="316"/>
      <c r="T1775" s="355"/>
    </row>
    <row r="1776" spans="14:20" x14ac:dyDescent="0.25">
      <c r="N1776" s="514"/>
      <c r="R1776" s="293"/>
      <c r="S1776" s="316"/>
      <c r="T1776" s="355"/>
    </row>
    <row r="1777" spans="14:20" x14ac:dyDescent="0.25">
      <c r="N1777" s="514"/>
      <c r="R1777" s="293"/>
      <c r="S1777" s="316"/>
      <c r="T1777" s="355"/>
    </row>
    <row r="1778" spans="14:20" x14ac:dyDescent="0.25">
      <c r="N1778" s="514"/>
      <c r="R1778" s="293"/>
      <c r="S1778" s="316"/>
      <c r="T1778" s="355"/>
    </row>
    <row r="1779" spans="14:20" x14ac:dyDescent="0.25">
      <c r="N1779" s="514"/>
      <c r="R1779" s="293"/>
      <c r="S1779" s="316"/>
      <c r="T1779" s="355"/>
    </row>
    <row r="1780" spans="14:20" x14ac:dyDescent="0.25">
      <c r="N1780" s="514"/>
      <c r="R1780" s="293"/>
      <c r="S1780" s="316"/>
      <c r="T1780" s="355"/>
    </row>
    <row r="1781" spans="14:20" x14ac:dyDescent="0.25">
      <c r="N1781" s="514"/>
      <c r="R1781" s="293"/>
      <c r="S1781" s="316"/>
      <c r="T1781" s="355"/>
    </row>
    <row r="1782" spans="14:20" x14ac:dyDescent="0.25">
      <c r="N1782" s="514"/>
      <c r="R1782" s="293"/>
      <c r="S1782" s="316"/>
      <c r="T1782" s="355"/>
    </row>
    <row r="1783" spans="14:20" x14ac:dyDescent="0.25">
      <c r="N1783" s="514"/>
      <c r="R1783" s="293"/>
      <c r="S1783" s="316"/>
      <c r="T1783" s="355"/>
    </row>
    <row r="1784" spans="14:20" x14ac:dyDescent="0.25">
      <c r="N1784" s="514"/>
      <c r="R1784" s="293"/>
      <c r="S1784" s="316"/>
      <c r="T1784" s="355"/>
    </row>
    <row r="1785" spans="14:20" x14ac:dyDescent="0.25">
      <c r="N1785" s="514"/>
      <c r="R1785" s="293"/>
      <c r="S1785" s="316"/>
      <c r="T1785" s="355"/>
    </row>
    <row r="1786" spans="14:20" x14ac:dyDescent="0.25">
      <c r="N1786" s="514"/>
      <c r="R1786" s="293"/>
      <c r="S1786" s="316"/>
      <c r="T1786" s="355"/>
    </row>
    <row r="1787" spans="14:20" x14ac:dyDescent="0.25">
      <c r="N1787" s="514"/>
      <c r="R1787" s="293"/>
      <c r="S1787" s="316"/>
      <c r="T1787" s="355"/>
    </row>
    <row r="1788" spans="14:20" x14ac:dyDescent="0.25">
      <c r="N1788" s="514"/>
      <c r="R1788" s="293"/>
      <c r="S1788" s="316"/>
      <c r="T1788" s="355"/>
    </row>
    <row r="1789" spans="14:20" x14ac:dyDescent="0.25">
      <c r="N1789" s="514"/>
      <c r="R1789" s="293"/>
      <c r="S1789" s="316"/>
      <c r="T1789" s="355"/>
    </row>
    <row r="1790" spans="14:20" x14ac:dyDescent="0.25">
      <c r="N1790" s="514"/>
      <c r="R1790" s="293"/>
      <c r="S1790" s="316"/>
      <c r="T1790" s="355"/>
    </row>
    <row r="1791" spans="14:20" x14ac:dyDescent="0.25">
      <c r="N1791" s="514"/>
      <c r="R1791" s="293"/>
      <c r="S1791" s="316"/>
      <c r="T1791" s="355"/>
    </row>
    <row r="1792" spans="14:20" x14ac:dyDescent="0.25">
      <c r="N1792" s="514"/>
      <c r="R1792" s="293"/>
      <c r="S1792" s="316"/>
      <c r="T1792" s="355"/>
    </row>
    <row r="1793" spans="14:20" x14ac:dyDescent="0.25">
      <c r="N1793" s="514"/>
      <c r="R1793" s="293"/>
      <c r="S1793" s="316"/>
      <c r="T1793" s="355"/>
    </row>
    <row r="1794" spans="14:20" x14ac:dyDescent="0.25">
      <c r="N1794" s="514"/>
      <c r="R1794" s="293"/>
      <c r="S1794" s="316"/>
      <c r="T1794" s="355"/>
    </row>
    <row r="1795" spans="14:20" x14ac:dyDescent="0.25">
      <c r="N1795" s="514"/>
      <c r="R1795" s="293"/>
      <c r="S1795" s="316"/>
      <c r="T1795" s="355"/>
    </row>
    <row r="1796" spans="14:20" x14ac:dyDescent="0.25">
      <c r="N1796" s="514"/>
      <c r="R1796" s="293"/>
      <c r="S1796" s="316"/>
      <c r="T1796" s="355"/>
    </row>
    <row r="1797" spans="14:20" x14ac:dyDescent="0.25">
      <c r="N1797" s="514"/>
      <c r="R1797" s="293"/>
      <c r="S1797" s="316"/>
      <c r="T1797" s="355"/>
    </row>
    <row r="1798" spans="14:20" x14ac:dyDescent="0.25">
      <c r="N1798" s="514"/>
      <c r="R1798" s="293"/>
      <c r="S1798" s="316"/>
      <c r="T1798" s="355"/>
    </row>
    <row r="1799" spans="14:20" x14ac:dyDescent="0.25">
      <c r="N1799" s="514"/>
      <c r="R1799" s="293"/>
      <c r="S1799" s="316"/>
      <c r="T1799" s="355"/>
    </row>
    <row r="1800" spans="14:20" x14ac:dyDescent="0.25">
      <c r="N1800" s="514"/>
      <c r="R1800" s="293"/>
      <c r="S1800" s="316"/>
      <c r="T1800" s="355"/>
    </row>
    <row r="1801" spans="14:20" x14ac:dyDescent="0.25">
      <c r="N1801" s="514"/>
      <c r="R1801" s="293"/>
      <c r="S1801" s="316"/>
      <c r="T1801" s="355"/>
    </row>
    <row r="1802" spans="14:20" x14ac:dyDescent="0.25">
      <c r="N1802" s="514"/>
      <c r="R1802" s="293"/>
      <c r="S1802" s="316"/>
      <c r="T1802" s="355"/>
    </row>
    <row r="1803" spans="14:20" x14ac:dyDescent="0.25">
      <c r="N1803" s="514"/>
      <c r="R1803" s="293"/>
      <c r="S1803" s="316"/>
      <c r="T1803" s="355"/>
    </row>
    <row r="1804" spans="14:20" x14ac:dyDescent="0.25">
      <c r="N1804" s="514"/>
      <c r="R1804" s="293"/>
      <c r="S1804" s="316"/>
      <c r="T1804" s="355"/>
    </row>
    <row r="1805" spans="14:20" x14ac:dyDescent="0.25">
      <c r="N1805" s="514"/>
      <c r="R1805" s="293"/>
      <c r="S1805" s="316"/>
      <c r="T1805" s="355"/>
    </row>
    <row r="1806" spans="14:20" x14ac:dyDescent="0.25">
      <c r="N1806" s="514"/>
      <c r="R1806" s="293"/>
      <c r="S1806" s="316"/>
      <c r="T1806" s="355"/>
    </row>
    <row r="1807" spans="14:20" x14ac:dyDescent="0.25">
      <c r="N1807" s="514"/>
      <c r="R1807" s="293"/>
      <c r="S1807" s="316"/>
      <c r="T1807" s="355"/>
    </row>
    <row r="1808" spans="14:20" x14ac:dyDescent="0.25">
      <c r="N1808" s="514"/>
      <c r="R1808" s="293"/>
      <c r="S1808" s="316"/>
      <c r="T1808" s="355"/>
    </row>
    <row r="1809" spans="14:20" x14ac:dyDescent="0.25">
      <c r="N1809" s="514"/>
      <c r="R1809" s="293"/>
      <c r="S1809" s="316"/>
      <c r="T1809" s="355"/>
    </row>
    <row r="1810" spans="14:20" x14ac:dyDescent="0.25">
      <c r="N1810" s="514"/>
      <c r="R1810" s="293"/>
      <c r="S1810" s="316"/>
      <c r="T1810" s="355"/>
    </row>
    <row r="1811" spans="14:20" x14ac:dyDescent="0.25">
      <c r="N1811" s="514"/>
      <c r="R1811" s="293"/>
      <c r="S1811" s="316"/>
      <c r="T1811" s="355"/>
    </row>
    <row r="1812" spans="14:20" x14ac:dyDescent="0.25">
      <c r="N1812" s="514"/>
      <c r="R1812" s="293"/>
      <c r="S1812" s="316"/>
      <c r="T1812" s="355"/>
    </row>
    <row r="1813" spans="14:20" x14ac:dyDescent="0.25">
      <c r="N1813" s="514"/>
      <c r="R1813" s="293"/>
      <c r="S1813" s="316"/>
      <c r="T1813" s="355"/>
    </row>
    <row r="1814" spans="14:20" x14ac:dyDescent="0.25">
      <c r="N1814" s="514"/>
      <c r="R1814" s="293"/>
      <c r="S1814" s="316"/>
      <c r="T1814" s="355"/>
    </row>
    <row r="1815" spans="14:20" x14ac:dyDescent="0.25">
      <c r="N1815" s="514"/>
      <c r="R1815" s="293"/>
      <c r="S1815" s="316"/>
      <c r="T1815" s="355"/>
    </row>
    <row r="1816" spans="14:20" x14ac:dyDescent="0.25">
      <c r="N1816" s="514"/>
      <c r="R1816" s="293"/>
      <c r="S1816" s="316"/>
      <c r="T1816" s="355"/>
    </row>
    <row r="1817" spans="14:20" x14ac:dyDescent="0.25">
      <c r="N1817" s="514"/>
      <c r="R1817" s="293"/>
      <c r="S1817" s="316"/>
      <c r="T1817" s="355"/>
    </row>
    <row r="1818" spans="14:20" x14ac:dyDescent="0.25">
      <c r="N1818" s="514"/>
      <c r="R1818" s="293"/>
      <c r="S1818" s="316"/>
      <c r="T1818" s="355"/>
    </row>
    <row r="1819" spans="14:20" x14ac:dyDescent="0.25">
      <c r="N1819" s="514"/>
      <c r="R1819" s="293"/>
      <c r="S1819" s="316"/>
      <c r="T1819" s="355"/>
    </row>
    <row r="1820" spans="14:20" x14ac:dyDescent="0.25">
      <c r="N1820" s="514"/>
      <c r="R1820" s="293"/>
      <c r="S1820" s="316"/>
      <c r="T1820" s="355"/>
    </row>
    <row r="1821" spans="14:20" x14ac:dyDescent="0.25">
      <c r="N1821" s="514"/>
      <c r="R1821" s="293"/>
      <c r="S1821" s="316"/>
      <c r="T1821" s="355"/>
    </row>
    <row r="1822" spans="14:20" x14ac:dyDescent="0.25">
      <c r="N1822" s="514"/>
      <c r="R1822" s="293"/>
      <c r="S1822" s="316"/>
      <c r="T1822" s="355"/>
    </row>
    <row r="1823" spans="14:20" x14ac:dyDescent="0.25">
      <c r="N1823" s="514"/>
      <c r="R1823" s="293"/>
      <c r="S1823" s="316"/>
      <c r="T1823" s="355"/>
    </row>
    <row r="1824" spans="14:20" x14ac:dyDescent="0.25">
      <c r="N1824" s="514"/>
      <c r="R1824" s="293"/>
      <c r="S1824" s="316"/>
      <c r="T1824" s="355"/>
    </row>
    <row r="1825" spans="14:20" x14ac:dyDescent="0.25">
      <c r="N1825" s="514"/>
      <c r="R1825" s="293"/>
      <c r="S1825" s="316"/>
      <c r="T1825" s="355"/>
    </row>
    <row r="1826" spans="14:20" x14ac:dyDescent="0.25">
      <c r="N1826" s="514"/>
      <c r="R1826" s="293"/>
      <c r="S1826" s="316"/>
      <c r="T1826" s="355"/>
    </row>
    <row r="1827" spans="14:20" x14ac:dyDescent="0.25">
      <c r="N1827" s="514"/>
      <c r="R1827" s="293"/>
      <c r="S1827" s="316"/>
      <c r="T1827" s="355"/>
    </row>
    <row r="1828" spans="14:20" x14ac:dyDescent="0.25">
      <c r="N1828" s="514"/>
      <c r="R1828" s="293"/>
      <c r="S1828" s="316"/>
      <c r="T1828" s="355"/>
    </row>
    <row r="1829" spans="14:20" x14ac:dyDescent="0.25">
      <c r="N1829" s="514"/>
      <c r="R1829" s="293"/>
      <c r="S1829" s="316"/>
      <c r="T1829" s="355"/>
    </row>
    <row r="1830" spans="14:20" x14ac:dyDescent="0.25">
      <c r="N1830" s="514"/>
      <c r="R1830" s="293"/>
      <c r="S1830" s="316"/>
      <c r="T1830" s="355"/>
    </row>
    <row r="1831" spans="14:20" x14ac:dyDescent="0.25">
      <c r="N1831" s="514"/>
      <c r="R1831" s="293"/>
      <c r="S1831" s="316"/>
      <c r="T1831" s="355"/>
    </row>
    <row r="1832" spans="14:20" x14ac:dyDescent="0.25">
      <c r="N1832" s="514"/>
      <c r="R1832" s="293"/>
      <c r="S1832" s="316"/>
      <c r="T1832" s="355"/>
    </row>
    <row r="1833" spans="14:20" x14ac:dyDescent="0.25">
      <c r="N1833" s="514"/>
      <c r="R1833" s="293"/>
      <c r="S1833" s="316"/>
      <c r="T1833" s="355"/>
    </row>
    <row r="1834" spans="14:20" x14ac:dyDescent="0.25">
      <c r="N1834" s="514"/>
      <c r="R1834" s="293"/>
      <c r="S1834" s="316"/>
      <c r="T1834" s="355"/>
    </row>
    <row r="1835" spans="14:20" x14ac:dyDescent="0.25">
      <c r="N1835" s="514"/>
      <c r="R1835" s="293"/>
      <c r="S1835" s="316"/>
      <c r="T1835" s="355"/>
    </row>
    <row r="1836" spans="14:20" x14ac:dyDescent="0.25">
      <c r="N1836" s="514"/>
      <c r="R1836" s="293"/>
      <c r="S1836" s="316"/>
      <c r="T1836" s="355"/>
    </row>
    <row r="1837" spans="14:20" x14ac:dyDescent="0.25">
      <c r="N1837" s="514"/>
      <c r="R1837" s="293"/>
      <c r="S1837" s="316"/>
      <c r="T1837" s="355"/>
    </row>
    <row r="1838" spans="14:20" x14ac:dyDescent="0.25">
      <c r="N1838" s="514"/>
      <c r="R1838" s="293"/>
      <c r="S1838" s="316"/>
      <c r="T1838" s="355"/>
    </row>
    <row r="1839" spans="14:20" x14ac:dyDescent="0.25">
      <c r="N1839" s="514"/>
      <c r="R1839" s="293"/>
      <c r="S1839" s="316"/>
      <c r="T1839" s="355"/>
    </row>
    <row r="1840" spans="14:20" x14ac:dyDescent="0.25">
      <c r="N1840" s="514"/>
      <c r="R1840" s="293"/>
      <c r="S1840" s="316"/>
      <c r="T1840" s="355"/>
    </row>
    <row r="1841" spans="14:20" x14ac:dyDescent="0.25">
      <c r="N1841" s="514"/>
      <c r="R1841" s="293"/>
      <c r="S1841" s="316"/>
      <c r="T1841" s="355"/>
    </row>
    <row r="1842" spans="14:20" x14ac:dyDescent="0.25">
      <c r="N1842" s="514"/>
      <c r="R1842" s="293"/>
      <c r="S1842" s="316"/>
      <c r="T1842" s="355"/>
    </row>
    <row r="1843" spans="14:20" x14ac:dyDescent="0.25">
      <c r="N1843" s="514"/>
      <c r="R1843" s="293"/>
      <c r="S1843" s="316"/>
      <c r="T1843" s="355"/>
    </row>
    <row r="1844" spans="14:20" x14ac:dyDescent="0.25">
      <c r="N1844" s="514"/>
      <c r="R1844" s="293"/>
      <c r="S1844" s="316"/>
      <c r="T1844" s="355"/>
    </row>
    <row r="1845" spans="14:20" x14ac:dyDescent="0.25">
      <c r="N1845" s="514"/>
      <c r="R1845" s="293"/>
      <c r="S1845" s="316"/>
      <c r="T1845" s="355"/>
    </row>
    <row r="1846" spans="14:20" x14ac:dyDescent="0.25">
      <c r="N1846" s="514"/>
      <c r="R1846" s="293"/>
      <c r="S1846" s="316"/>
      <c r="T1846" s="355"/>
    </row>
    <row r="1847" spans="14:20" x14ac:dyDescent="0.25">
      <c r="N1847" s="514"/>
      <c r="R1847" s="293"/>
      <c r="S1847" s="316"/>
      <c r="T1847" s="355"/>
    </row>
    <row r="1848" spans="14:20" x14ac:dyDescent="0.25">
      <c r="N1848" s="514"/>
      <c r="R1848" s="293"/>
      <c r="S1848" s="316"/>
      <c r="T1848" s="355"/>
    </row>
    <row r="1849" spans="14:20" x14ac:dyDescent="0.25">
      <c r="N1849" s="514"/>
      <c r="R1849" s="293"/>
      <c r="S1849" s="316"/>
      <c r="T1849" s="355"/>
    </row>
    <row r="1850" spans="14:20" x14ac:dyDescent="0.25">
      <c r="N1850" s="514"/>
      <c r="R1850" s="293"/>
      <c r="S1850" s="316"/>
      <c r="T1850" s="355"/>
    </row>
    <row r="1851" spans="14:20" x14ac:dyDescent="0.25">
      <c r="N1851" s="514"/>
      <c r="R1851" s="293"/>
      <c r="S1851" s="316"/>
      <c r="T1851" s="355"/>
    </row>
    <row r="1852" spans="14:20" x14ac:dyDescent="0.25">
      <c r="N1852" s="514"/>
      <c r="R1852" s="293"/>
      <c r="S1852" s="316"/>
      <c r="T1852" s="355"/>
    </row>
    <row r="1853" spans="14:20" x14ac:dyDescent="0.25">
      <c r="N1853" s="514"/>
      <c r="R1853" s="293"/>
      <c r="S1853" s="316"/>
      <c r="T1853" s="355"/>
    </row>
    <row r="1854" spans="14:20" x14ac:dyDescent="0.25">
      <c r="N1854" s="514"/>
      <c r="R1854" s="293"/>
      <c r="S1854" s="316"/>
      <c r="T1854" s="355"/>
    </row>
    <row r="1855" spans="14:20" x14ac:dyDescent="0.25">
      <c r="N1855" s="514"/>
      <c r="R1855" s="293"/>
      <c r="S1855" s="316"/>
      <c r="T1855" s="355"/>
    </row>
    <row r="1856" spans="14:20" x14ac:dyDescent="0.25">
      <c r="N1856" s="514"/>
      <c r="R1856" s="293"/>
      <c r="S1856" s="316"/>
      <c r="T1856" s="355"/>
    </row>
    <row r="1857" spans="14:20" x14ac:dyDescent="0.25">
      <c r="N1857" s="514"/>
      <c r="R1857" s="293"/>
      <c r="S1857" s="316"/>
      <c r="T1857" s="355"/>
    </row>
    <row r="1858" spans="14:20" x14ac:dyDescent="0.25">
      <c r="N1858" s="514"/>
      <c r="R1858" s="293"/>
      <c r="S1858" s="316"/>
      <c r="T1858" s="355"/>
    </row>
    <row r="1859" spans="14:20" x14ac:dyDescent="0.25">
      <c r="N1859" s="514"/>
      <c r="R1859" s="293"/>
      <c r="S1859" s="316"/>
      <c r="T1859" s="355"/>
    </row>
    <row r="1860" spans="14:20" x14ac:dyDescent="0.25">
      <c r="N1860" s="514"/>
      <c r="R1860" s="293"/>
      <c r="S1860" s="316"/>
      <c r="T1860" s="355"/>
    </row>
    <row r="1861" spans="14:20" x14ac:dyDescent="0.25">
      <c r="N1861" s="514"/>
      <c r="R1861" s="293"/>
      <c r="S1861" s="316"/>
      <c r="T1861" s="355"/>
    </row>
    <row r="1862" spans="14:20" x14ac:dyDescent="0.25">
      <c r="N1862" s="514"/>
      <c r="R1862" s="293"/>
      <c r="S1862" s="316"/>
      <c r="T1862" s="355"/>
    </row>
    <row r="1863" spans="14:20" x14ac:dyDescent="0.25">
      <c r="N1863" s="514"/>
      <c r="R1863" s="293"/>
      <c r="S1863" s="316"/>
      <c r="T1863" s="355"/>
    </row>
    <row r="1864" spans="14:20" x14ac:dyDescent="0.25">
      <c r="N1864" s="514"/>
      <c r="R1864" s="293"/>
      <c r="S1864" s="316"/>
      <c r="T1864" s="355"/>
    </row>
    <row r="1865" spans="14:20" x14ac:dyDescent="0.25">
      <c r="N1865" s="514"/>
      <c r="R1865" s="293"/>
      <c r="S1865" s="316"/>
      <c r="T1865" s="355"/>
    </row>
    <row r="1866" spans="14:20" x14ac:dyDescent="0.25">
      <c r="N1866" s="514"/>
      <c r="R1866" s="293"/>
      <c r="S1866" s="316"/>
      <c r="T1866" s="355"/>
    </row>
    <row r="1867" spans="14:20" x14ac:dyDescent="0.25">
      <c r="N1867" s="514"/>
      <c r="R1867" s="293"/>
      <c r="S1867" s="316"/>
      <c r="T1867" s="355"/>
    </row>
    <row r="1868" spans="14:20" x14ac:dyDescent="0.25">
      <c r="N1868" s="514"/>
      <c r="R1868" s="293"/>
      <c r="S1868" s="316"/>
      <c r="T1868" s="355"/>
    </row>
    <row r="1869" spans="14:20" x14ac:dyDescent="0.25">
      <c r="N1869" s="514"/>
      <c r="R1869" s="293"/>
      <c r="S1869" s="316"/>
      <c r="T1869" s="355"/>
    </row>
    <row r="1870" spans="14:20" x14ac:dyDescent="0.25">
      <c r="N1870" s="514"/>
      <c r="R1870" s="293"/>
      <c r="S1870" s="316"/>
      <c r="T1870" s="355"/>
    </row>
    <row r="1871" spans="14:20" x14ac:dyDescent="0.25">
      <c r="N1871" s="514"/>
      <c r="R1871" s="293"/>
      <c r="S1871" s="316"/>
      <c r="T1871" s="355"/>
    </row>
    <row r="1872" spans="14:20" x14ac:dyDescent="0.25">
      <c r="N1872" s="514"/>
      <c r="R1872" s="293"/>
      <c r="S1872" s="316"/>
      <c r="T1872" s="355"/>
    </row>
    <row r="1873" spans="14:20" x14ac:dyDescent="0.25">
      <c r="N1873" s="514"/>
      <c r="R1873" s="293"/>
      <c r="S1873" s="316"/>
      <c r="T1873" s="355"/>
    </row>
    <row r="1874" spans="14:20" x14ac:dyDescent="0.25">
      <c r="N1874" s="514"/>
      <c r="R1874" s="293"/>
      <c r="S1874" s="316"/>
      <c r="T1874" s="355"/>
    </row>
    <row r="1875" spans="14:20" x14ac:dyDescent="0.25">
      <c r="N1875" s="514"/>
      <c r="R1875" s="293"/>
      <c r="S1875" s="316"/>
      <c r="T1875" s="355"/>
    </row>
    <row r="1876" spans="14:20" x14ac:dyDescent="0.25">
      <c r="N1876" s="514"/>
      <c r="R1876" s="293"/>
      <c r="S1876" s="316"/>
      <c r="T1876" s="355"/>
    </row>
    <row r="1877" spans="14:20" x14ac:dyDescent="0.25">
      <c r="N1877" s="514"/>
      <c r="R1877" s="293"/>
      <c r="S1877" s="316"/>
      <c r="T1877" s="355"/>
    </row>
    <row r="1878" spans="14:20" x14ac:dyDescent="0.25">
      <c r="N1878" s="514"/>
      <c r="R1878" s="293"/>
      <c r="S1878" s="316"/>
      <c r="T1878" s="355"/>
    </row>
    <row r="1879" spans="14:20" x14ac:dyDescent="0.25">
      <c r="N1879" s="514"/>
      <c r="R1879" s="293"/>
      <c r="S1879" s="316"/>
      <c r="T1879" s="355"/>
    </row>
    <row r="1880" spans="14:20" x14ac:dyDescent="0.25">
      <c r="N1880" s="514"/>
      <c r="R1880" s="293"/>
      <c r="S1880" s="316"/>
      <c r="T1880" s="355"/>
    </row>
    <row r="1881" spans="14:20" x14ac:dyDescent="0.25">
      <c r="N1881" s="514"/>
      <c r="R1881" s="293"/>
      <c r="S1881" s="316"/>
      <c r="T1881" s="355"/>
    </row>
    <row r="1882" spans="14:20" x14ac:dyDescent="0.25">
      <c r="N1882" s="514"/>
      <c r="R1882" s="293"/>
      <c r="S1882" s="316"/>
      <c r="T1882" s="355"/>
    </row>
    <row r="1883" spans="14:20" x14ac:dyDescent="0.25">
      <c r="N1883" s="514"/>
      <c r="R1883" s="293"/>
      <c r="S1883" s="316"/>
      <c r="T1883" s="355"/>
    </row>
    <row r="1884" spans="14:20" x14ac:dyDescent="0.25">
      <c r="N1884" s="514"/>
      <c r="R1884" s="293"/>
      <c r="S1884" s="316"/>
      <c r="T1884" s="355"/>
    </row>
    <row r="1885" spans="14:20" x14ac:dyDescent="0.25">
      <c r="N1885" s="514"/>
      <c r="R1885" s="293"/>
      <c r="S1885" s="316"/>
      <c r="T1885" s="355"/>
    </row>
    <row r="1886" spans="14:20" x14ac:dyDescent="0.25">
      <c r="N1886" s="514"/>
      <c r="R1886" s="293"/>
      <c r="S1886" s="316"/>
      <c r="T1886" s="355"/>
    </row>
    <row r="1887" spans="14:20" x14ac:dyDescent="0.25">
      <c r="N1887" s="514"/>
      <c r="R1887" s="293"/>
      <c r="S1887" s="316"/>
      <c r="T1887" s="355"/>
    </row>
    <row r="1888" spans="14:20" x14ac:dyDescent="0.25">
      <c r="N1888" s="514"/>
      <c r="R1888" s="293"/>
      <c r="S1888" s="316"/>
      <c r="T1888" s="355"/>
    </row>
    <row r="1889" spans="14:20" x14ac:dyDescent="0.25">
      <c r="N1889" s="514"/>
      <c r="R1889" s="293"/>
      <c r="S1889" s="316"/>
      <c r="T1889" s="355"/>
    </row>
    <row r="1890" spans="14:20" x14ac:dyDescent="0.25">
      <c r="N1890" s="514"/>
      <c r="R1890" s="293"/>
      <c r="S1890" s="316"/>
      <c r="T1890" s="355"/>
    </row>
    <row r="1891" spans="14:20" x14ac:dyDescent="0.25">
      <c r="N1891" s="514"/>
      <c r="R1891" s="293"/>
      <c r="S1891" s="316"/>
      <c r="T1891" s="355"/>
    </row>
    <row r="1892" spans="14:20" x14ac:dyDescent="0.25">
      <c r="N1892" s="514"/>
      <c r="R1892" s="293"/>
      <c r="S1892" s="316"/>
      <c r="T1892" s="355"/>
    </row>
    <row r="1893" spans="14:20" x14ac:dyDescent="0.25">
      <c r="N1893" s="514"/>
      <c r="R1893" s="293"/>
      <c r="S1893" s="316"/>
      <c r="T1893" s="355"/>
    </row>
    <row r="1894" spans="14:20" x14ac:dyDescent="0.25">
      <c r="N1894" s="514"/>
      <c r="R1894" s="293"/>
      <c r="S1894" s="316"/>
      <c r="T1894" s="355"/>
    </row>
    <row r="1895" spans="14:20" x14ac:dyDescent="0.25">
      <c r="N1895" s="514"/>
      <c r="R1895" s="293"/>
      <c r="S1895" s="316"/>
      <c r="T1895" s="355"/>
    </row>
    <row r="1896" spans="14:20" x14ac:dyDescent="0.25">
      <c r="N1896" s="514"/>
      <c r="R1896" s="293"/>
      <c r="S1896" s="316"/>
      <c r="T1896" s="355"/>
    </row>
    <row r="1897" spans="14:20" x14ac:dyDescent="0.25">
      <c r="N1897" s="514"/>
      <c r="R1897" s="293"/>
      <c r="S1897" s="316"/>
      <c r="T1897" s="355"/>
    </row>
    <row r="1898" spans="14:20" x14ac:dyDescent="0.25">
      <c r="N1898" s="514"/>
      <c r="R1898" s="293"/>
      <c r="S1898" s="316"/>
      <c r="T1898" s="355"/>
    </row>
    <row r="1899" spans="14:20" x14ac:dyDescent="0.25">
      <c r="N1899" s="514"/>
      <c r="R1899" s="293"/>
      <c r="S1899" s="316"/>
      <c r="T1899" s="355"/>
    </row>
    <row r="1900" spans="14:20" x14ac:dyDescent="0.25">
      <c r="N1900" s="514"/>
      <c r="R1900" s="293"/>
      <c r="S1900" s="316"/>
      <c r="T1900" s="355"/>
    </row>
    <row r="1901" spans="14:20" x14ac:dyDescent="0.25">
      <c r="N1901" s="514"/>
      <c r="R1901" s="293"/>
      <c r="S1901" s="316"/>
      <c r="T1901" s="355"/>
    </row>
    <row r="1902" spans="14:20" x14ac:dyDescent="0.25">
      <c r="N1902" s="514"/>
      <c r="R1902" s="293"/>
      <c r="S1902" s="316"/>
      <c r="T1902" s="355"/>
    </row>
    <row r="1903" spans="14:20" x14ac:dyDescent="0.25">
      <c r="N1903" s="514"/>
      <c r="R1903" s="293"/>
      <c r="S1903" s="316"/>
      <c r="T1903" s="355"/>
    </row>
    <row r="1904" spans="14:20" x14ac:dyDescent="0.25">
      <c r="N1904" s="514"/>
      <c r="R1904" s="293"/>
      <c r="S1904" s="316"/>
      <c r="T1904" s="355"/>
    </row>
    <row r="1905" spans="14:20" x14ac:dyDescent="0.25">
      <c r="N1905" s="514"/>
      <c r="R1905" s="293"/>
      <c r="S1905" s="316"/>
      <c r="T1905" s="355"/>
    </row>
    <row r="1906" spans="14:20" x14ac:dyDescent="0.25">
      <c r="N1906" s="514"/>
      <c r="R1906" s="293"/>
      <c r="S1906" s="316"/>
      <c r="T1906" s="355"/>
    </row>
    <row r="1907" spans="14:20" x14ac:dyDescent="0.25">
      <c r="N1907" s="514"/>
      <c r="R1907" s="293"/>
      <c r="S1907" s="316"/>
      <c r="T1907" s="355"/>
    </row>
    <row r="1908" spans="14:20" x14ac:dyDescent="0.25">
      <c r="N1908" s="514"/>
      <c r="R1908" s="293"/>
      <c r="S1908" s="316"/>
      <c r="T1908" s="355"/>
    </row>
    <row r="1909" spans="14:20" x14ac:dyDescent="0.25">
      <c r="N1909" s="514"/>
      <c r="R1909" s="293"/>
      <c r="S1909" s="316"/>
      <c r="T1909" s="355"/>
    </row>
    <row r="1910" spans="14:20" x14ac:dyDescent="0.25">
      <c r="N1910" s="514"/>
      <c r="R1910" s="293"/>
      <c r="S1910" s="316"/>
      <c r="T1910" s="355"/>
    </row>
    <row r="1911" spans="14:20" x14ac:dyDescent="0.25">
      <c r="N1911" s="514"/>
      <c r="R1911" s="293"/>
      <c r="S1911" s="316"/>
      <c r="T1911" s="355"/>
    </row>
    <row r="1912" spans="14:20" x14ac:dyDescent="0.25">
      <c r="N1912" s="514"/>
      <c r="R1912" s="293"/>
      <c r="S1912" s="316"/>
      <c r="T1912" s="355"/>
    </row>
    <row r="1913" spans="14:20" x14ac:dyDescent="0.25">
      <c r="N1913" s="514"/>
      <c r="R1913" s="293"/>
      <c r="S1913" s="316"/>
      <c r="T1913" s="355"/>
    </row>
    <row r="1914" spans="14:20" x14ac:dyDescent="0.25">
      <c r="N1914" s="514"/>
      <c r="R1914" s="293"/>
      <c r="S1914" s="316"/>
      <c r="T1914" s="355"/>
    </row>
    <row r="1915" spans="14:20" x14ac:dyDescent="0.25">
      <c r="N1915" s="514"/>
      <c r="R1915" s="293"/>
      <c r="S1915" s="316"/>
      <c r="T1915" s="355"/>
    </row>
    <row r="1916" spans="14:20" x14ac:dyDescent="0.25">
      <c r="N1916" s="514"/>
      <c r="R1916" s="293"/>
      <c r="S1916" s="316"/>
      <c r="T1916" s="355"/>
    </row>
    <row r="1917" spans="14:20" x14ac:dyDescent="0.25">
      <c r="N1917" s="514"/>
      <c r="R1917" s="293"/>
      <c r="S1917" s="316"/>
      <c r="T1917" s="355"/>
    </row>
    <row r="1918" spans="14:20" x14ac:dyDescent="0.25">
      <c r="N1918" s="514"/>
      <c r="R1918" s="293"/>
      <c r="S1918" s="316"/>
      <c r="T1918" s="355"/>
    </row>
    <row r="1919" spans="14:20" x14ac:dyDescent="0.25">
      <c r="N1919" s="514"/>
      <c r="R1919" s="293"/>
      <c r="S1919" s="316"/>
      <c r="T1919" s="355"/>
    </row>
    <row r="1920" spans="14:20" x14ac:dyDescent="0.25">
      <c r="N1920" s="514"/>
      <c r="R1920" s="293"/>
      <c r="S1920" s="316"/>
      <c r="T1920" s="355"/>
    </row>
    <row r="1921" spans="14:20" x14ac:dyDescent="0.25">
      <c r="N1921" s="514"/>
      <c r="R1921" s="293"/>
      <c r="S1921" s="316"/>
      <c r="T1921" s="355"/>
    </row>
    <row r="1922" spans="14:20" x14ac:dyDescent="0.25">
      <c r="N1922" s="514"/>
      <c r="R1922" s="293"/>
      <c r="S1922" s="316"/>
      <c r="T1922" s="355"/>
    </row>
    <row r="1923" spans="14:20" x14ac:dyDescent="0.25">
      <c r="N1923" s="514"/>
      <c r="R1923" s="293"/>
      <c r="S1923" s="316"/>
      <c r="T1923" s="355"/>
    </row>
    <row r="1924" spans="14:20" x14ac:dyDescent="0.25">
      <c r="N1924" s="514"/>
      <c r="R1924" s="293"/>
      <c r="S1924" s="316"/>
      <c r="T1924" s="355"/>
    </row>
    <row r="1925" spans="14:20" x14ac:dyDescent="0.25">
      <c r="N1925" s="514"/>
      <c r="R1925" s="293"/>
      <c r="S1925" s="316"/>
      <c r="T1925" s="355"/>
    </row>
    <row r="1926" spans="14:20" x14ac:dyDescent="0.25">
      <c r="N1926" s="514"/>
      <c r="R1926" s="293"/>
      <c r="S1926" s="316"/>
      <c r="T1926" s="355"/>
    </row>
    <row r="1927" spans="14:20" x14ac:dyDescent="0.25">
      <c r="N1927" s="514"/>
      <c r="R1927" s="293"/>
      <c r="S1927" s="316"/>
      <c r="T1927" s="355"/>
    </row>
    <row r="1928" spans="14:20" x14ac:dyDescent="0.25">
      <c r="N1928" s="514"/>
      <c r="R1928" s="293"/>
      <c r="S1928" s="316"/>
      <c r="T1928" s="355"/>
    </row>
    <row r="1929" spans="14:20" x14ac:dyDescent="0.25">
      <c r="N1929" s="514"/>
      <c r="R1929" s="293"/>
      <c r="S1929" s="316"/>
      <c r="T1929" s="355"/>
    </row>
    <row r="1930" spans="14:20" x14ac:dyDescent="0.25">
      <c r="N1930" s="514"/>
      <c r="R1930" s="293"/>
      <c r="S1930" s="316"/>
      <c r="T1930" s="355"/>
    </row>
    <row r="1931" spans="14:20" x14ac:dyDescent="0.25">
      <c r="N1931" s="514"/>
      <c r="R1931" s="293"/>
      <c r="S1931" s="316"/>
      <c r="T1931" s="355"/>
    </row>
    <row r="1932" spans="14:20" x14ac:dyDescent="0.25">
      <c r="N1932" s="514"/>
      <c r="R1932" s="293"/>
      <c r="S1932" s="316"/>
      <c r="T1932" s="355"/>
    </row>
    <row r="1933" spans="14:20" x14ac:dyDescent="0.25">
      <c r="N1933" s="514"/>
      <c r="R1933" s="293"/>
      <c r="S1933" s="316"/>
      <c r="T1933" s="355"/>
    </row>
    <row r="1934" spans="14:20" x14ac:dyDescent="0.25">
      <c r="N1934" s="514"/>
      <c r="R1934" s="293"/>
      <c r="S1934" s="316"/>
      <c r="T1934" s="355"/>
    </row>
    <row r="1935" spans="14:20" x14ac:dyDescent="0.25">
      <c r="N1935" s="514"/>
      <c r="R1935" s="293"/>
      <c r="S1935" s="316"/>
      <c r="T1935" s="355"/>
    </row>
    <row r="1936" spans="14:20" x14ac:dyDescent="0.25">
      <c r="N1936" s="514"/>
      <c r="R1936" s="293"/>
      <c r="S1936" s="316"/>
      <c r="T1936" s="355"/>
    </row>
    <row r="1937" spans="14:20" x14ac:dyDescent="0.25">
      <c r="N1937" s="514"/>
      <c r="R1937" s="293"/>
      <c r="S1937" s="316"/>
      <c r="T1937" s="355"/>
    </row>
    <row r="1938" spans="14:20" x14ac:dyDescent="0.25">
      <c r="N1938" s="514"/>
      <c r="R1938" s="293"/>
      <c r="S1938" s="316"/>
      <c r="T1938" s="355"/>
    </row>
    <row r="1939" spans="14:20" x14ac:dyDescent="0.25">
      <c r="N1939" s="514"/>
      <c r="R1939" s="293"/>
      <c r="S1939" s="316"/>
      <c r="T1939" s="355"/>
    </row>
    <row r="1940" spans="14:20" x14ac:dyDescent="0.25">
      <c r="N1940" s="514"/>
      <c r="R1940" s="293"/>
      <c r="S1940" s="316"/>
      <c r="T1940" s="355"/>
    </row>
    <row r="1941" spans="14:20" x14ac:dyDescent="0.25">
      <c r="N1941" s="514"/>
      <c r="R1941" s="293"/>
      <c r="S1941" s="316"/>
      <c r="T1941" s="355"/>
    </row>
    <row r="1942" spans="14:20" x14ac:dyDescent="0.25">
      <c r="N1942" s="514"/>
      <c r="R1942" s="293"/>
      <c r="S1942" s="316"/>
      <c r="T1942" s="355"/>
    </row>
    <row r="1943" spans="14:20" x14ac:dyDescent="0.25">
      <c r="N1943" s="514"/>
      <c r="R1943" s="293"/>
      <c r="S1943" s="316"/>
      <c r="T1943" s="355"/>
    </row>
    <row r="1944" spans="14:20" x14ac:dyDescent="0.25">
      <c r="N1944" s="514"/>
      <c r="R1944" s="293"/>
      <c r="S1944" s="316"/>
      <c r="T1944" s="355"/>
    </row>
    <row r="1945" spans="14:20" x14ac:dyDescent="0.25">
      <c r="N1945" s="514"/>
      <c r="R1945" s="293"/>
      <c r="S1945" s="316"/>
      <c r="T1945" s="355"/>
    </row>
    <row r="1946" spans="14:20" x14ac:dyDescent="0.25">
      <c r="N1946" s="514"/>
      <c r="R1946" s="293"/>
      <c r="S1946" s="316"/>
      <c r="T1946" s="355"/>
    </row>
    <row r="1947" spans="14:20" x14ac:dyDescent="0.25">
      <c r="N1947" s="514"/>
      <c r="R1947" s="293"/>
      <c r="S1947" s="316"/>
      <c r="T1947" s="355"/>
    </row>
    <row r="1948" spans="14:20" x14ac:dyDescent="0.25">
      <c r="N1948" s="514"/>
      <c r="R1948" s="293"/>
      <c r="S1948" s="316"/>
      <c r="T1948" s="355"/>
    </row>
    <row r="1949" spans="14:20" x14ac:dyDescent="0.25">
      <c r="N1949" s="514"/>
      <c r="R1949" s="293"/>
      <c r="S1949" s="316"/>
      <c r="T1949" s="355"/>
    </row>
    <row r="1950" spans="14:20" x14ac:dyDescent="0.25">
      <c r="N1950" s="514"/>
      <c r="R1950" s="293"/>
      <c r="S1950" s="316"/>
      <c r="T1950" s="355"/>
    </row>
    <row r="1951" spans="14:20" x14ac:dyDescent="0.25">
      <c r="N1951" s="514"/>
      <c r="R1951" s="293"/>
      <c r="S1951" s="316"/>
      <c r="T1951" s="355"/>
    </row>
    <row r="1952" spans="14:20" x14ac:dyDescent="0.25">
      <c r="N1952" s="514"/>
      <c r="R1952" s="293"/>
      <c r="S1952" s="316"/>
      <c r="T1952" s="355"/>
    </row>
    <row r="1953" spans="14:20" x14ac:dyDescent="0.25">
      <c r="N1953" s="514"/>
      <c r="R1953" s="293"/>
      <c r="S1953" s="316"/>
      <c r="T1953" s="355"/>
    </row>
    <row r="1954" spans="14:20" x14ac:dyDescent="0.25">
      <c r="N1954" s="514"/>
      <c r="R1954" s="293"/>
      <c r="S1954" s="316"/>
      <c r="T1954" s="355"/>
    </row>
    <row r="1955" spans="14:20" x14ac:dyDescent="0.25">
      <c r="N1955" s="514"/>
      <c r="R1955" s="293"/>
      <c r="S1955" s="316"/>
      <c r="T1955" s="355"/>
    </row>
    <row r="1956" spans="14:20" x14ac:dyDescent="0.25">
      <c r="N1956" s="514"/>
      <c r="R1956" s="293"/>
      <c r="S1956" s="316"/>
      <c r="T1956" s="355"/>
    </row>
    <row r="1957" spans="14:20" x14ac:dyDescent="0.25">
      <c r="N1957" s="514"/>
      <c r="R1957" s="293"/>
      <c r="S1957" s="316"/>
      <c r="T1957" s="355"/>
    </row>
    <row r="1958" spans="14:20" x14ac:dyDescent="0.25">
      <c r="N1958" s="514"/>
      <c r="R1958" s="293"/>
      <c r="S1958" s="316"/>
      <c r="T1958" s="355"/>
    </row>
    <row r="1959" spans="14:20" x14ac:dyDescent="0.25">
      <c r="N1959" s="514"/>
      <c r="R1959" s="293"/>
      <c r="S1959" s="316"/>
      <c r="T1959" s="355"/>
    </row>
    <row r="1960" spans="14:20" x14ac:dyDescent="0.25">
      <c r="N1960" s="514"/>
      <c r="R1960" s="293"/>
      <c r="S1960" s="316"/>
      <c r="T1960" s="355"/>
    </row>
    <row r="1961" spans="14:20" x14ac:dyDescent="0.25">
      <c r="N1961" s="514"/>
      <c r="R1961" s="293"/>
      <c r="S1961" s="316"/>
      <c r="T1961" s="355"/>
    </row>
    <row r="1962" spans="14:20" x14ac:dyDescent="0.25">
      <c r="N1962" s="514"/>
      <c r="R1962" s="293"/>
      <c r="S1962" s="316"/>
      <c r="T1962" s="355"/>
    </row>
    <row r="1963" spans="14:20" x14ac:dyDescent="0.25">
      <c r="N1963" s="514"/>
      <c r="R1963" s="293"/>
      <c r="S1963" s="316"/>
      <c r="T1963" s="355"/>
    </row>
    <row r="1964" spans="14:20" x14ac:dyDescent="0.25">
      <c r="N1964" s="514"/>
      <c r="R1964" s="293"/>
      <c r="S1964" s="316"/>
      <c r="T1964" s="355"/>
    </row>
    <row r="1965" spans="14:20" x14ac:dyDescent="0.25">
      <c r="N1965" s="514"/>
      <c r="R1965" s="293"/>
      <c r="S1965" s="316"/>
      <c r="T1965" s="355"/>
    </row>
    <row r="1966" spans="14:20" x14ac:dyDescent="0.25">
      <c r="N1966" s="514"/>
      <c r="R1966" s="293"/>
      <c r="S1966" s="316"/>
      <c r="T1966" s="355"/>
    </row>
    <row r="1967" spans="14:20" x14ac:dyDescent="0.25">
      <c r="N1967" s="514"/>
      <c r="R1967" s="293"/>
      <c r="S1967" s="316"/>
      <c r="T1967" s="355"/>
    </row>
    <row r="1968" spans="14:20" x14ac:dyDescent="0.25">
      <c r="N1968" s="514"/>
      <c r="R1968" s="293"/>
      <c r="S1968" s="316"/>
      <c r="T1968" s="355"/>
    </row>
    <row r="1969" spans="14:20" x14ac:dyDescent="0.25">
      <c r="N1969" s="514"/>
      <c r="R1969" s="293"/>
      <c r="S1969" s="316"/>
      <c r="T1969" s="355"/>
    </row>
    <row r="1970" spans="14:20" x14ac:dyDescent="0.25">
      <c r="N1970" s="514"/>
      <c r="R1970" s="293"/>
      <c r="S1970" s="316"/>
      <c r="T1970" s="355"/>
    </row>
    <row r="1971" spans="14:20" x14ac:dyDescent="0.25">
      <c r="N1971" s="514"/>
      <c r="R1971" s="293"/>
      <c r="S1971" s="316"/>
      <c r="T1971" s="355"/>
    </row>
    <row r="1972" spans="14:20" x14ac:dyDescent="0.25">
      <c r="N1972" s="514"/>
      <c r="R1972" s="293"/>
      <c r="S1972" s="316"/>
      <c r="T1972" s="355"/>
    </row>
    <row r="1973" spans="14:20" x14ac:dyDescent="0.25">
      <c r="N1973" s="514"/>
      <c r="R1973" s="293"/>
      <c r="S1973" s="316"/>
      <c r="T1973" s="355"/>
    </row>
    <row r="1974" spans="14:20" x14ac:dyDescent="0.25">
      <c r="N1974" s="514"/>
      <c r="R1974" s="293"/>
      <c r="S1974" s="316"/>
      <c r="T1974" s="355"/>
    </row>
    <row r="1975" spans="14:20" x14ac:dyDescent="0.25">
      <c r="N1975" s="514"/>
      <c r="R1975" s="293"/>
      <c r="S1975" s="316"/>
      <c r="T1975" s="355"/>
    </row>
    <row r="1976" spans="14:20" x14ac:dyDescent="0.25">
      <c r="N1976" s="514"/>
      <c r="R1976" s="293"/>
      <c r="S1976" s="316"/>
      <c r="T1976" s="355"/>
    </row>
    <row r="1977" spans="14:20" x14ac:dyDescent="0.25">
      <c r="N1977" s="514"/>
      <c r="R1977" s="293"/>
      <c r="S1977" s="316"/>
      <c r="T1977" s="355"/>
    </row>
    <row r="1978" spans="14:20" x14ac:dyDescent="0.25">
      <c r="N1978" s="514"/>
      <c r="R1978" s="293"/>
      <c r="S1978" s="316"/>
      <c r="T1978" s="355"/>
    </row>
    <row r="1979" spans="14:20" x14ac:dyDescent="0.25">
      <c r="N1979" s="514"/>
      <c r="R1979" s="293"/>
      <c r="S1979" s="316"/>
      <c r="T1979" s="355"/>
    </row>
    <row r="1980" spans="14:20" x14ac:dyDescent="0.25">
      <c r="N1980" s="514"/>
      <c r="R1980" s="293"/>
      <c r="S1980" s="316"/>
      <c r="T1980" s="355"/>
    </row>
    <row r="1981" spans="14:20" x14ac:dyDescent="0.25">
      <c r="N1981" s="514"/>
      <c r="R1981" s="293"/>
      <c r="S1981" s="316"/>
      <c r="T1981" s="355"/>
    </row>
    <row r="1982" spans="14:20" x14ac:dyDescent="0.25">
      <c r="N1982" s="514"/>
      <c r="R1982" s="293"/>
      <c r="S1982" s="316"/>
      <c r="T1982" s="355"/>
    </row>
    <row r="1983" spans="14:20" x14ac:dyDescent="0.25">
      <c r="N1983" s="514"/>
      <c r="R1983" s="293"/>
      <c r="S1983" s="316"/>
      <c r="T1983" s="355"/>
    </row>
    <row r="1984" spans="14:20" x14ac:dyDescent="0.25">
      <c r="N1984" s="514"/>
      <c r="R1984" s="293"/>
      <c r="S1984" s="316"/>
      <c r="T1984" s="355"/>
    </row>
    <row r="1985" spans="14:20" x14ac:dyDescent="0.25">
      <c r="N1985" s="514"/>
      <c r="R1985" s="293"/>
      <c r="S1985" s="316"/>
      <c r="T1985" s="355"/>
    </row>
    <row r="1986" spans="14:20" x14ac:dyDescent="0.25">
      <c r="N1986" s="514"/>
      <c r="R1986" s="293"/>
      <c r="S1986" s="316"/>
      <c r="T1986" s="355"/>
    </row>
    <row r="1987" spans="14:20" x14ac:dyDescent="0.25">
      <c r="N1987" s="514"/>
      <c r="R1987" s="293"/>
      <c r="S1987" s="316"/>
      <c r="T1987" s="355"/>
    </row>
    <row r="1988" spans="14:20" x14ac:dyDescent="0.25">
      <c r="N1988" s="514"/>
      <c r="R1988" s="293"/>
      <c r="S1988" s="316"/>
      <c r="T1988" s="355"/>
    </row>
    <row r="1989" spans="14:20" x14ac:dyDescent="0.25">
      <c r="N1989" s="514"/>
      <c r="R1989" s="293"/>
      <c r="S1989" s="316"/>
      <c r="T1989" s="355"/>
    </row>
    <row r="1990" spans="14:20" x14ac:dyDescent="0.25">
      <c r="N1990" s="514"/>
      <c r="R1990" s="293"/>
      <c r="S1990" s="316"/>
      <c r="T1990" s="355"/>
    </row>
    <row r="1991" spans="14:20" x14ac:dyDescent="0.25">
      <c r="N1991" s="514"/>
      <c r="R1991" s="293"/>
      <c r="S1991" s="316"/>
      <c r="T1991" s="355"/>
    </row>
    <row r="1992" spans="14:20" x14ac:dyDescent="0.25">
      <c r="N1992" s="514"/>
      <c r="R1992" s="293"/>
      <c r="S1992" s="316"/>
      <c r="T1992" s="355"/>
    </row>
    <row r="1993" spans="14:20" x14ac:dyDescent="0.25">
      <c r="N1993" s="514"/>
      <c r="R1993" s="293"/>
      <c r="S1993" s="316"/>
      <c r="T1993" s="355"/>
    </row>
    <row r="1994" spans="14:20" x14ac:dyDescent="0.25">
      <c r="N1994" s="514"/>
      <c r="R1994" s="293"/>
      <c r="S1994" s="316"/>
      <c r="T1994" s="355"/>
    </row>
    <row r="1995" spans="14:20" x14ac:dyDescent="0.25">
      <c r="N1995" s="514"/>
      <c r="R1995" s="293"/>
      <c r="S1995" s="316"/>
      <c r="T1995" s="355"/>
    </row>
    <row r="1996" spans="14:20" x14ac:dyDescent="0.25">
      <c r="N1996" s="514"/>
      <c r="R1996" s="293"/>
      <c r="S1996" s="316"/>
      <c r="T1996" s="355"/>
    </row>
    <row r="1997" spans="14:20" x14ac:dyDescent="0.25">
      <c r="N1997" s="514"/>
      <c r="R1997" s="293"/>
      <c r="S1997" s="316"/>
      <c r="T1997" s="355"/>
    </row>
    <row r="1998" spans="14:20" x14ac:dyDescent="0.25">
      <c r="N1998" s="514"/>
      <c r="R1998" s="293"/>
      <c r="S1998" s="316"/>
      <c r="T1998" s="355"/>
    </row>
    <row r="1999" spans="14:20" x14ac:dyDescent="0.25">
      <c r="N1999" s="514"/>
      <c r="R1999" s="293"/>
      <c r="S1999" s="316"/>
      <c r="T1999" s="355"/>
    </row>
    <row r="2000" spans="14:20" x14ac:dyDescent="0.25">
      <c r="N2000" s="514"/>
      <c r="R2000" s="293"/>
      <c r="S2000" s="316"/>
      <c r="T2000" s="355"/>
    </row>
    <row r="2001" spans="14:20" x14ac:dyDescent="0.25">
      <c r="N2001" s="514"/>
      <c r="R2001" s="293"/>
      <c r="S2001" s="316"/>
      <c r="T2001" s="355"/>
    </row>
    <row r="2002" spans="14:20" x14ac:dyDescent="0.25">
      <c r="N2002" s="514"/>
      <c r="R2002" s="293"/>
      <c r="S2002" s="316"/>
      <c r="T2002" s="355"/>
    </row>
    <row r="2003" spans="14:20" x14ac:dyDescent="0.25">
      <c r="N2003" s="514"/>
      <c r="R2003" s="293"/>
      <c r="S2003" s="316"/>
      <c r="T2003" s="355"/>
    </row>
    <row r="2004" spans="14:20" x14ac:dyDescent="0.25">
      <c r="N2004" s="514"/>
      <c r="R2004" s="293"/>
      <c r="S2004" s="316"/>
      <c r="T2004" s="355"/>
    </row>
    <row r="2005" spans="14:20" x14ac:dyDescent="0.25">
      <c r="N2005" s="514"/>
      <c r="R2005" s="293"/>
      <c r="S2005" s="316"/>
      <c r="T2005" s="355"/>
    </row>
    <row r="2006" spans="14:20" x14ac:dyDescent="0.25">
      <c r="N2006" s="514"/>
      <c r="R2006" s="293"/>
      <c r="S2006" s="316"/>
      <c r="T2006" s="355"/>
    </row>
    <row r="2007" spans="14:20" x14ac:dyDescent="0.25">
      <c r="N2007" s="514"/>
      <c r="R2007" s="293"/>
      <c r="S2007" s="316"/>
      <c r="T2007" s="355"/>
    </row>
    <row r="2008" spans="14:20" x14ac:dyDescent="0.25">
      <c r="N2008" s="514"/>
      <c r="R2008" s="293"/>
      <c r="S2008" s="316"/>
      <c r="T2008" s="355"/>
    </row>
    <row r="2009" spans="14:20" x14ac:dyDescent="0.25">
      <c r="N2009" s="514"/>
      <c r="R2009" s="293"/>
      <c r="S2009" s="316"/>
      <c r="T2009" s="355"/>
    </row>
    <row r="2010" spans="14:20" x14ac:dyDescent="0.25">
      <c r="N2010" s="514"/>
      <c r="R2010" s="293"/>
      <c r="S2010" s="316"/>
      <c r="T2010" s="355"/>
    </row>
    <row r="2011" spans="14:20" x14ac:dyDescent="0.25">
      <c r="N2011" s="514"/>
      <c r="R2011" s="293"/>
      <c r="S2011" s="316"/>
      <c r="T2011" s="355"/>
    </row>
    <row r="2012" spans="14:20" x14ac:dyDescent="0.25">
      <c r="N2012" s="514"/>
      <c r="R2012" s="293"/>
      <c r="S2012" s="316"/>
      <c r="T2012" s="355"/>
    </row>
    <row r="2013" spans="14:20" x14ac:dyDescent="0.25">
      <c r="N2013" s="514"/>
      <c r="R2013" s="293"/>
      <c r="S2013" s="316"/>
      <c r="T2013" s="355"/>
    </row>
    <row r="2014" spans="14:20" x14ac:dyDescent="0.25">
      <c r="N2014" s="514"/>
      <c r="R2014" s="293"/>
      <c r="S2014" s="316"/>
      <c r="T2014" s="355"/>
    </row>
    <row r="2015" spans="14:20" x14ac:dyDescent="0.25">
      <c r="N2015" s="514"/>
      <c r="R2015" s="293"/>
      <c r="S2015" s="316"/>
      <c r="T2015" s="355"/>
    </row>
    <row r="2016" spans="14:20" x14ac:dyDescent="0.25">
      <c r="N2016" s="514"/>
      <c r="R2016" s="293"/>
      <c r="S2016" s="316"/>
      <c r="T2016" s="355"/>
    </row>
    <row r="2017" spans="14:20" x14ac:dyDescent="0.25">
      <c r="N2017" s="514"/>
      <c r="R2017" s="293"/>
      <c r="S2017" s="316"/>
      <c r="T2017" s="355"/>
    </row>
    <row r="2018" spans="14:20" x14ac:dyDescent="0.25">
      <c r="N2018" s="514"/>
      <c r="R2018" s="293"/>
      <c r="S2018" s="316"/>
      <c r="T2018" s="355"/>
    </row>
    <row r="2019" spans="14:20" x14ac:dyDescent="0.25">
      <c r="N2019" s="514"/>
      <c r="R2019" s="293"/>
      <c r="S2019" s="316"/>
      <c r="T2019" s="355"/>
    </row>
    <row r="2020" spans="14:20" x14ac:dyDescent="0.25">
      <c r="N2020" s="514"/>
      <c r="R2020" s="293"/>
      <c r="S2020" s="316"/>
      <c r="T2020" s="355"/>
    </row>
    <row r="2021" spans="14:20" x14ac:dyDescent="0.25">
      <c r="N2021" s="514"/>
      <c r="R2021" s="293"/>
      <c r="S2021" s="316"/>
      <c r="T2021" s="355"/>
    </row>
    <row r="2022" spans="14:20" x14ac:dyDescent="0.25">
      <c r="N2022" s="514"/>
      <c r="R2022" s="293"/>
      <c r="S2022" s="316"/>
      <c r="T2022" s="355"/>
    </row>
    <row r="2023" spans="14:20" x14ac:dyDescent="0.25">
      <c r="N2023" s="514"/>
      <c r="R2023" s="293"/>
      <c r="S2023" s="316"/>
      <c r="T2023" s="355"/>
    </row>
    <row r="2024" spans="14:20" x14ac:dyDescent="0.25">
      <c r="N2024" s="514"/>
      <c r="R2024" s="293"/>
      <c r="S2024" s="316"/>
      <c r="T2024" s="355"/>
    </row>
    <row r="2025" spans="14:20" x14ac:dyDescent="0.25">
      <c r="N2025" s="514"/>
      <c r="R2025" s="293"/>
      <c r="S2025" s="316"/>
      <c r="T2025" s="355"/>
    </row>
    <row r="2026" spans="14:20" x14ac:dyDescent="0.25">
      <c r="N2026" s="514"/>
      <c r="R2026" s="293"/>
      <c r="S2026" s="316"/>
      <c r="T2026" s="355"/>
    </row>
    <row r="2027" spans="14:20" x14ac:dyDescent="0.25">
      <c r="N2027" s="514"/>
      <c r="R2027" s="293"/>
      <c r="S2027" s="316"/>
      <c r="T2027" s="355"/>
    </row>
    <row r="2028" spans="14:20" x14ac:dyDescent="0.25">
      <c r="N2028" s="514"/>
      <c r="R2028" s="293"/>
      <c r="S2028" s="316"/>
      <c r="T2028" s="355"/>
    </row>
    <row r="2029" spans="14:20" x14ac:dyDescent="0.25">
      <c r="N2029" s="514"/>
      <c r="R2029" s="293"/>
      <c r="S2029" s="316"/>
      <c r="T2029" s="355"/>
    </row>
    <row r="2030" spans="14:20" x14ac:dyDescent="0.25">
      <c r="N2030" s="514"/>
      <c r="R2030" s="293"/>
      <c r="S2030" s="316"/>
      <c r="T2030" s="355"/>
    </row>
    <row r="2031" spans="14:20" x14ac:dyDescent="0.25">
      <c r="N2031" s="514"/>
      <c r="R2031" s="293"/>
      <c r="S2031" s="316"/>
      <c r="T2031" s="355"/>
    </row>
    <row r="2032" spans="14:20" x14ac:dyDescent="0.25">
      <c r="N2032" s="514"/>
      <c r="R2032" s="293"/>
      <c r="S2032" s="316"/>
      <c r="T2032" s="355"/>
    </row>
    <row r="2033" spans="14:20" x14ac:dyDescent="0.25">
      <c r="N2033" s="514"/>
      <c r="R2033" s="293"/>
      <c r="S2033" s="316"/>
      <c r="T2033" s="355"/>
    </row>
    <row r="2034" spans="14:20" x14ac:dyDescent="0.25">
      <c r="N2034" s="514"/>
      <c r="R2034" s="293"/>
      <c r="S2034" s="316"/>
      <c r="T2034" s="355"/>
    </row>
    <row r="2035" spans="14:20" x14ac:dyDescent="0.25">
      <c r="N2035" s="514"/>
      <c r="R2035" s="293"/>
      <c r="S2035" s="316"/>
      <c r="T2035" s="355"/>
    </row>
    <row r="2036" spans="14:20" x14ac:dyDescent="0.25">
      <c r="N2036" s="514"/>
      <c r="R2036" s="293"/>
      <c r="S2036" s="316"/>
      <c r="T2036" s="355"/>
    </row>
    <row r="2037" spans="14:20" x14ac:dyDescent="0.25">
      <c r="N2037" s="514"/>
      <c r="R2037" s="293"/>
      <c r="S2037" s="316"/>
      <c r="T2037" s="355"/>
    </row>
    <row r="2038" spans="14:20" x14ac:dyDescent="0.25">
      <c r="N2038" s="514"/>
      <c r="R2038" s="293"/>
      <c r="S2038" s="316"/>
      <c r="T2038" s="355"/>
    </row>
    <row r="2039" spans="14:20" x14ac:dyDescent="0.25">
      <c r="N2039" s="514"/>
      <c r="R2039" s="293"/>
      <c r="S2039" s="316"/>
      <c r="T2039" s="355"/>
    </row>
    <row r="2040" spans="14:20" x14ac:dyDescent="0.25">
      <c r="N2040" s="514"/>
      <c r="R2040" s="293"/>
      <c r="S2040" s="316"/>
      <c r="T2040" s="355"/>
    </row>
    <row r="2041" spans="14:20" x14ac:dyDescent="0.25">
      <c r="N2041" s="514"/>
      <c r="R2041" s="293"/>
      <c r="S2041" s="316"/>
      <c r="T2041" s="355"/>
    </row>
    <row r="2042" spans="14:20" x14ac:dyDescent="0.25">
      <c r="N2042" s="514"/>
      <c r="R2042" s="293"/>
      <c r="S2042" s="316"/>
      <c r="T2042" s="355"/>
    </row>
    <row r="2043" spans="14:20" x14ac:dyDescent="0.25">
      <c r="N2043" s="514"/>
      <c r="R2043" s="293"/>
      <c r="S2043" s="316"/>
      <c r="T2043" s="355"/>
    </row>
    <row r="2044" spans="14:20" x14ac:dyDescent="0.25">
      <c r="N2044" s="514"/>
      <c r="R2044" s="293"/>
      <c r="S2044" s="316"/>
      <c r="T2044" s="355"/>
    </row>
    <row r="2045" spans="14:20" x14ac:dyDescent="0.25">
      <c r="N2045" s="514"/>
      <c r="R2045" s="293"/>
      <c r="S2045" s="316"/>
      <c r="T2045" s="355"/>
    </row>
    <row r="2046" spans="14:20" x14ac:dyDescent="0.25">
      <c r="N2046" s="514"/>
      <c r="R2046" s="293"/>
      <c r="S2046" s="316"/>
      <c r="T2046" s="355"/>
    </row>
    <row r="2047" spans="14:20" x14ac:dyDescent="0.25">
      <c r="N2047" s="514"/>
      <c r="R2047" s="293"/>
      <c r="S2047" s="316"/>
      <c r="T2047" s="355"/>
    </row>
    <row r="2048" spans="14:20" x14ac:dyDescent="0.25">
      <c r="N2048" s="514"/>
      <c r="R2048" s="293"/>
      <c r="S2048" s="316"/>
      <c r="T2048" s="355"/>
    </row>
    <row r="2049" spans="14:20" x14ac:dyDescent="0.25">
      <c r="N2049" s="514"/>
      <c r="R2049" s="293"/>
      <c r="S2049" s="316"/>
      <c r="T2049" s="355"/>
    </row>
    <row r="2050" spans="14:20" x14ac:dyDescent="0.25">
      <c r="N2050" s="514"/>
      <c r="R2050" s="293"/>
      <c r="S2050" s="316"/>
      <c r="T2050" s="355"/>
    </row>
    <row r="2051" spans="14:20" x14ac:dyDescent="0.25">
      <c r="N2051" s="514"/>
      <c r="R2051" s="293"/>
      <c r="S2051" s="316"/>
      <c r="T2051" s="355"/>
    </row>
    <row r="2052" spans="14:20" x14ac:dyDescent="0.25">
      <c r="N2052" s="514"/>
      <c r="R2052" s="293"/>
      <c r="S2052" s="316"/>
      <c r="T2052" s="355"/>
    </row>
    <row r="2053" spans="14:20" x14ac:dyDescent="0.25">
      <c r="N2053" s="514"/>
      <c r="R2053" s="293"/>
      <c r="S2053" s="316"/>
      <c r="T2053" s="355"/>
    </row>
    <row r="2054" spans="14:20" x14ac:dyDescent="0.25">
      <c r="N2054" s="514"/>
      <c r="R2054" s="293"/>
      <c r="S2054" s="316"/>
      <c r="T2054" s="355"/>
    </row>
    <row r="2055" spans="14:20" x14ac:dyDescent="0.25">
      <c r="N2055" s="514"/>
      <c r="R2055" s="293"/>
      <c r="S2055" s="316"/>
      <c r="T2055" s="355"/>
    </row>
    <row r="2056" spans="14:20" x14ac:dyDescent="0.25">
      <c r="N2056" s="514"/>
      <c r="R2056" s="293"/>
      <c r="S2056" s="316"/>
      <c r="T2056" s="355"/>
    </row>
    <row r="2057" spans="14:20" x14ac:dyDescent="0.25">
      <c r="N2057" s="514"/>
      <c r="R2057" s="293"/>
      <c r="S2057" s="316"/>
      <c r="T2057" s="355"/>
    </row>
    <row r="2058" spans="14:20" x14ac:dyDescent="0.25">
      <c r="N2058" s="514"/>
      <c r="R2058" s="293"/>
      <c r="S2058" s="316"/>
      <c r="T2058" s="355"/>
    </row>
    <row r="2059" spans="14:20" x14ac:dyDescent="0.25">
      <c r="N2059" s="514"/>
      <c r="R2059" s="293"/>
      <c r="S2059" s="316"/>
      <c r="T2059" s="355"/>
    </row>
    <row r="2060" spans="14:20" x14ac:dyDescent="0.25">
      <c r="N2060" s="514"/>
      <c r="R2060" s="293"/>
      <c r="S2060" s="316"/>
      <c r="T2060" s="355"/>
    </row>
    <row r="2061" spans="14:20" x14ac:dyDescent="0.25">
      <c r="N2061" s="514"/>
      <c r="R2061" s="293"/>
      <c r="S2061" s="316"/>
      <c r="T2061" s="355"/>
    </row>
    <row r="2062" spans="14:20" x14ac:dyDescent="0.25">
      <c r="N2062" s="514"/>
      <c r="R2062" s="293"/>
      <c r="S2062" s="316"/>
      <c r="T2062" s="355"/>
    </row>
    <row r="2063" spans="14:20" x14ac:dyDescent="0.25">
      <c r="N2063" s="514"/>
      <c r="R2063" s="293"/>
      <c r="S2063" s="316"/>
      <c r="T2063" s="355"/>
    </row>
    <row r="2064" spans="14:20" x14ac:dyDescent="0.25">
      <c r="N2064" s="514"/>
      <c r="R2064" s="293"/>
      <c r="S2064" s="316"/>
      <c r="T2064" s="355"/>
    </row>
    <row r="2065" spans="14:20" x14ac:dyDescent="0.25">
      <c r="N2065" s="514"/>
      <c r="R2065" s="293"/>
      <c r="S2065" s="316"/>
      <c r="T2065" s="355"/>
    </row>
    <row r="2066" spans="14:20" x14ac:dyDescent="0.25">
      <c r="N2066" s="514"/>
      <c r="R2066" s="293"/>
      <c r="S2066" s="316"/>
      <c r="T2066" s="355"/>
    </row>
    <row r="2067" spans="14:20" x14ac:dyDescent="0.25">
      <c r="N2067" s="514"/>
      <c r="R2067" s="293"/>
      <c r="S2067" s="316"/>
      <c r="T2067" s="355"/>
    </row>
    <row r="2068" spans="14:20" x14ac:dyDescent="0.25">
      <c r="N2068" s="514"/>
      <c r="R2068" s="293"/>
      <c r="S2068" s="316"/>
      <c r="T2068" s="355"/>
    </row>
    <row r="2069" spans="14:20" x14ac:dyDescent="0.25">
      <c r="N2069" s="514"/>
      <c r="R2069" s="293"/>
      <c r="S2069" s="316"/>
      <c r="T2069" s="355"/>
    </row>
    <row r="2070" spans="14:20" x14ac:dyDescent="0.25">
      <c r="N2070" s="514"/>
      <c r="R2070" s="293"/>
      <c r="S2070" s="316"/>
      <c r="T2070" s="355"/>
    </row>
    <row r="2071" spans="14:20" x14ac:dyDescent="0.25">
      <c r="N2071" s="514"/>
      <c r="R2071" s="293"/>
      <c r="S2071" s="316"/>
      <c r="T2071" s="355"/>
    </row>
    <row r="2072" spans="14:20" x14ac:dyDescent="0.25">
      <c r="N2072" s="514"/>
      <c r="R2072" s="293"/>
      <c r="S2072" s="316"/>
      <c r="T2072" s="355"/>
    </row>
    <row r="2073" spans="14:20" x14ac:dyDescent="0.25">
      <c r="N2073" s="514"/>
      <c r="R2073" s="293"/>
      <c r="S2073" s="316"/>
      <c r="T2073" s="355"/>
    </row>
    <row r="2074" spans="14:20" x14ac:dyDescent="0.25">
      <c r="N2074" s="514"/>
      <c r="R2074" s="293"/>
      <c r="S2074" s="316"/>
      <c r="T2074" s="355"/>
    </row>
    <row r="2075" spans="14:20" x14ac:dyDescent="0.25">
      <c r="N2075" s="514"/>
      <c r="R2075" s="293"/>
      <c r="S2075" s="316"/>
      <c r="T2075" s="355"/>
    </row>
    <row r="2076" spans="14:20" x14ac:dyDescent="0.25">
      <c r="N2076" s="514"/>
      <c r="R2076" s="293"/>
      <c r="S2076" s="316"/>
      <c r="T2076" s="355"/>
    </row>
    <row r="2077" spans="14:20" x14ac:dyDescent="0.25">
      <c r="N2077" s="514"/>
      <c r="R2077" s="293"/>
      <c r="S2077" s="316"/>
      <c r="T2077" s="355"/>
    </row>
    <row r="2078" spans="14:20" x14ac:dyDescent="0.25">
      <c r="N2078" s="514"/>
      <c r="R2078" s="293"/>
      <c r="S2078" s="316"/>
      <c r="T2078" s="355"/>
    </row>
    <row r="2079" spans="14:20" x14ac:dyDescent="0.25">
      <c r="N2079" s="514"/>
      <c r="R2079" s="293"/>
      <c r="S2079" s="316"/>
      <c r="T2079" s="355"/>
    </row>
    <row r="2080" spans="14:20" x14ac:dyDescent="0.25">
      <c r="N2080" s="514"/>
      <c r="R2080" s="293"/>
      <c r="S2080" s="316"/>
      <c r="T2080" s="355"/>
    </row>
    <row r="2081" spans="14:20" x14ac:dyDescent="0.25">
      <c r="N2081" s="514"/>
      <c r="R2081" s="293"/>
      <c r="S2081" s="316"/>
      <c r="T2081" s="355"/>
    </row>
    <row r="2082" spans="14:20" x14ac:dyDescent="0.25">
      <c r="N2082" s="514"/>
      <c r="R2082" s="293"/>
      <c r="S2082" s="316"/>
      <c r="T2082" s="355"/>
    </row>
    <row r="2083" spans="14:20" x14ac:dyDescent="0.25">
      <c r="N2083" s="514"/>
      <c r="R2083" s="293"/>
      <c r="S2083" s="316"/>
      <c r="T2083" s="355"/>
    </row>
    <row r="2084" spans="14:20" x14ac:dyDescent="0.25">
      <c r="N2084" s="514"/>
      <c r="R2084" s="293"/>
      <c r="S2084" s="316"/>
      <c r="T2084" s="355"/>
    </row>
    <row r="2085" spans="14:20" x14ac:dyDescent="0.25">
      <c r="N2085" s="514"/>
      <c r="R2085" s="293"/>
      <c r="S2085" s="316"/>
      <c r="T2085" s="355"/>
    </row>
    <row r="2086" spans="14:20" x14ac:dyDescent="0.25">
      <c r="N2086" s="514"/>
      <c r="R2086" s="293"/>
      <c r="S2086" s="316"/>
      <c r="T2086" s="355"/>
    </row>
    <row r="2087" spans="14:20" x14ac:dyDescent="0.25">
      <c r="N2087" s="514"/>
      <c r="R2087" s="293"/>
      <c r="S2087" s="316"/>
      <c r="T2087" s="355"/>
    </row>
    <row r="2088" spans="14:20" x14ac:dyDescent="0.25">
      <c r="N2088" s="514"/>
      <c r="R2088" s="293"/>
      <c r="S2088" s="316"/>
      <c r="T2088" s="355"/>
    </row>
    <row r="2089" spans="14:20" x14ac:dyDescent="0.25">
      <c r="N2089" s="514"/>
      <c r="R2089" s="293"/>
      <c r="S2089" s="316"/>
      <c r="T2089" s="355"/>
    </row>
    <row r="2090" spans="14:20" x14ac:dyDescent="0.25">
      <c r="N2090" s="514"/>
      <c r="R2090" s="293"/>
      <c r="S2090" s="316"/>
      <c r="T2090" s="355"/>
    </row>
    <row r="2091" spans="14:20" x14ac:dyDescent="0.25">
      <c r="N2091" s="514"/>
      <c r="R2091" s="293"/>
      <c r="S2091" s="316"/>
      <c r="T2091" s="355"/>
    </row>
    <row r="2092" spans="14:20" x14ac:dyDescent="0.25">
      <c r="N2092" s="514"/>
      <c r="R2092" s="293"/>
      <c r="S2092" s="316"/>
      <c r="T2092" s="355"/>
    </row>
    <row r="2093" spans="14:20" x14ac:dyDescent="0.25">
      <c r="N2093" s="514"/>
      <c r="R2093" s="293"/>
      <c r="S2093" s="316"/>
      <c r="T2093" s="355"/>
    </row>
    <row r="2094" spans="14:20" x14ac:dyDescent="0.25">
      <c r="N2094" s="514"/>
      <c r="R2094" s="293"/>
      <c r="S2094" s="316"/>
      <c r="T2094" s="355"/>
    </row>
    <row r="2095" spans="14:20" x14ac:dyDescent="0.25">
      <c r="N2095" s="514"/>
      <c r="R2095" s="293"/>
      <c r="S2095" s="316"/>
      <c r="T2095" s="355"/>
    </row>
    <row r="2096" spans="14:20" x14ac:dyDescent="0.25">
      <c r="N2096" s="514"/>
      <c r="R2096" s="293"/>
      <c r="S2096" s="316"/>
      <c r="T2096" s="355"/>
    </row>
    <row r="2097" spans="14:20" x14ac:dyDescent="0.25">
      <c r="N2097" s="514"/>
      <c r="R2097" s="293"/>
      <c r="S2097" s="316"/>
      <c r="T2097" s="355"/>
    </row>
    <row r="2098" spans="14:20" x14ac:dyDescent="0.25">
      <c r="N2098" s="514"/>
      <c r="R2098" s="293"/>
      <c r="S2098" s="316"/>
      <c r="T2098" s="355"/>
    </row>
    <row r="2099" spans="14:20" x14ac:dyDescent="0.25">
      <c r="N2099" s="514"/>
      <c r="R2099" s="293"/>
      <c r="S2099" s="316"/>
      <c r="T2099" s="355"/>
    </row>
    <row r="2100" spans="14:20" x14ac:dyDescent="0.25">
      <c r="N2100" s="514"/>
      <c r="R2100" s="293"/>
      <c r="S2100" s="316"/>
      <c r="T2100" s="355"/>
    </row>
    <row r="2101" spans="14:20" x14ac:dyDescent="0.25">
      <c r="N2101" s="514"/>
      <c r="R2101" s="293"/>
      <c r="S2101" s="316"/>
      <c r="T2101" s="355"/>
    </row>
    <row r="2102" spans="14:20" x14ac:dyDescent="0.25">
      <c r="N2102" s="514"/>
      <c r="R2102" s="293"/>
      <c r="S2102" s="316"/>
      <c r="T2102" s="355"/>
    </row>
    <row r="2103" spans="14:20" x14ac:dyDescent="0.25">
      <c r="N2103" s="514"/>
      <c r="R2103" s="293"/>
      <c r="S2103" s="316"/>
      <c r="T2103" s="355"/>
    </row>
    <row r="2104" spans="14:20" x14ac:dyDescent="0.25">
      <c r="N2104" s="514"/>
      <c r="R2104" s="293"/>
      <c r="S2104" s="316"/>
      <c r="T2104" s="355"/>
    </row>
    <row r="2105" spans="14:20" x14ac:dyDescent="0.25">
      <c r="N2105" s="514"/>
      <c r="R2105" s="293"/>
      <c r="S2105" s="316"/>
      <c r="T2105" s="355"/>
    </row>
    <row r="2106" spans="14:20" x14ac:dyDescent="0.25">
      <c r="N2106" s="514"/>
      <c r="R2106" s="293"/>
      <c r="S2106" s="316"/>
      <c r="T2106" s="355"/>
    </row>
    <row r="2107" spans="14:20" x14ac:dyDescent="0.25">
      <c r="N2107" s="514"/>
      <c r="R2107" s="293"/>
      <c r="S2107" s="316"/>
      <c r="T2107" s="355"/>
    </row>
    <row r="2108" spans="14:20" x14ac:dyDescent="0.25">
      <c r="N2108" s="514"/>
      <c r="R2108" s="293"/>
      <c r="S2108" s="316"/>
      <c r="T2108" s="355"/>
    </row>
    <row r="2109" spans="14:20" x14ac:dyDescent="0.25">
      <c r="N2109" s="514"/>
      <c r="R2109" s="293"/>
      <c r="S2109" s="316"/>
      <c r="T2109" s="355"/>
    </row>
    <row r="2110" spans="14:20" x14ac:dyDescent="0.25">
      <c r="N2110" s="514"/>
      <c r="R2110" s="293"/>
      <c r="S2110" s="316"/>
      <c r="T2110" s="355"/>
    </row>
    <row r="2111" spans="14:20" x14ac:dyDescent="0.25">
      <c r="N2111" s="514"/>
      <c r="R2111" s="293"/>
      <c r="S2111" s="316"/>
      <c r="T2111" s="355"/>
    </row>
    <row r="2112" spans="14:20" x14ac:dyDescent="0.25">
      <c r="N2112" s="514"/>
      <c r="R2112" s="293"/>
      <c r="S2112" s="316"/>
      <c r="T2112" s="355"/>
    </row>
    <row r="2113" spans="14:20" x14ac:dyDescent="0.25">
      <c r="N2113" s="514"/>
      <c r="R2113" s="293"/>
      <c r="S2113" s="316"/>
      <c r="T2113" s="355"/>
    </row>
    <row r="2114" spans="14:20" x14ac:dyDescent="0.25">
      <c r="N2114" s="514"/>
      <c r="R2114" s="293"/>
      <c r="S2114" s="316"/>
      <c r="T2114" s="355"/>
    </row>
    <row r="2115" spans="14:20" x14ac:dyDescent="0.25">
      <c r="N2115" s="514"/>
      <c r="R2115" s="293"/>
      <c r="S2115" s="316"/>
      <c r="T2115" s="355"/>
    </row>
    <row r="2116" spans="14:20" x14ac:dyDescent="0.25">
      <c r="N2116" s="514"/>
      <c r="R2116" s="293"/>
      <c r="S2116" s="316"/>
      <c r="T2116" s="355"/>
    </row>
    <row r="2117" spans="14:20" x14ac:dyDescent="0.25">
      <c r="N2117" s="514"/>
      <c r="R2117" s="293"/>
      <c r="S2117" s="316"/>
      <c r="T2117" s="355"/>
    </row>
    <row r="2118" spans="14:20" x14ac:dyDescent="0.25">
      <c r="N2118" s="514"/>
      <c r="R2118" s="293"/>
      <c r="S2118" s="316"/>
      <c r="T2118" s="355"/>
    </row>
    <row r="2119" spans="14:20" x14ac:dyDescent="0.25">
      <c r="N2119" s="514"/>
      <c r="R2119" s="293"/>
      <c r="S2119" s="316"/>
      <c r="T2119" s="355"/>
    </row>
    <row r="2120" spans="14:20" x14ac:dyDescent="0.25">
      <c r="N2120" s="514"/>
      <c r="R2120" s="293"/>
      <c r="S2120" s="316"/>
      <c r="T2120" s="355"/>
    </row>
    <row r="2121" spans="14:20" x14ac:dyDescent="0.25">
      <c r="N2121" s="514"/>
      <c r="R2121" s="293"/>
      <c r="S2121" s="316"/>
      <c r="T2121" s="355"/>
    </row>
    <row r="2122" spans="14:20" x14ac:dyDescent="0.25">
      <c r="N2122" s="514"/>
      <c r="R2122" s="293"/>
      <c r="S2122" s="316"/>
      <c r="T2122" s="355"/>
    </row>
    <row r="2123" spans="14:20" x14ac:dyDescent="0.25">
      <c r="N2123" s="514"/>
      <c r="R2123" s="293"/>
      <c r="S2123" s="316"/>
      <c r="T2123" s="355"/>
    </row>
    <row r="2124" spans="14:20" x14ac:dyDescent="0.25">
      <c r="N2124" s="514"/>
      <c r="R2124" s="293"/>
      <c r="S2124" s="316"/>
      <c r="T2124" s="355"/>
    </row>
    <row r="2125" spans="14:20" x14ac:dyDescent="0.25">
      <c r="N2125" s="514"/>
      <c r="R2125" s="293"/>
      <c r="S2125" s="316"/>
      <c r="T2125" s="355"/>
    </row>
    <row r="2126" spans="14:20" x14ac:dyDescent="0.25">
      <c r="N2126" s="514"/>
      <c r="R2126" s="293"/>
      <c r="S2126" s="316"/>
      <c r="T2126" s="355"/>
    </row>
    <row r="2127" spans="14:20" x14ac:dyDescent="0.25">
      <c r="N2127" s="514"/>
      <c r="R2127" s="293"/>
      <c r="S2127" s="316"/>
      <c r="T2127" s="355"/>
    </row>
    <row r="2128" spans="14:20" x14ac:dyDescent="0.25">
      <c r="N2128" s="514"/>
      <c r="R2128" s="293"/>
      <c r="S2128" s="316"/>
      <c r="T2128" s="355"/>
    </row>
    <row r="2129" spans="14:20" x14ac:dyDescent="0.25">
      <c r="N2129" s="514"/>
      <c r="R2129" s="293"/>
      <c r="S2129" s="316"/>
      <c r="T2129" s="355"/>
    </row>
    <row r="2130" spans="14:20" x14ac:dyDescent="0.25">
      <c r="N2130" s="514"/>
      <c r="R2130" s="293"/>
      <c r="S2130" s="316"/>
      <c r="T2130" s="355"/>
    </row>
    <row r="2131" spans="14:20" x14ac:dyDescent="0.25">
      <c r="N2131" s="514"/>
      <c r="R2131" s="293"/>
      <c r="S2131" s="316"/>
      <c r="T2131" s="355"/>
    </row>
    <row r="2132" spans="14:20" x14ac:dyDescent="0.25">
      <c r="N2132" s="514"/>
      <c r="R2132" s="293"/>
      <c r="S2132" s="316"/>
      <c r="T2132" s="355"/>
    </row>
    <row r="2133" spans="14:20" x14ac:dyDescent="0.25">
      <c r="N2133" s="514"/>
      <c r="R2133" s="293"/>
      <c r="S2133" s="316"/>
      <c r="T2133" s="355"/>
    </row>
    <row r="2134" spans="14:20" x14ac:dyDescent="0.25">
      <c r="N2134" s="514"/>
      <c r="R2134" s="293"/>
      <c r="S2134" s="316"/>
      <c r="T2134" s="355"/>
    </row>
    <row r="2135" spans="14:20" x14ac:dyDescent="0.25">
      <c r="N2135" s="514"/>
      <c r="R2135" s="293"/>
      <c r="S2135" s="316"/>
      <c r="T2135" s="355"/>
    </row>
    <row r="2136" spans="14:20" x14ac:dyDescent="0.25">
      <c r="N2136" s="514"/>
      <c r="R2136" s="293"/>
      <c r="S2136" s="316"/>
      <c r="T2136" s="355"/>
    </row>
    <row r="2137" spans="14:20" x14ac:dyDescent="0.25">
      <c r="N2137" s="514"/>
      <c r="R2137" s="293"/>
      <c r="S2137" s="316"/>
      <c r="T2137" s="355"/>
    </row>
    <row r="2138" spans="14:20" x14ac:dyDescent="0.25">
      <c r="N2138" s="514"/>
      <c r="R2138" s="293"/>
      <c r="S2138" s="316"/>
      <c r="T2138" s="355"/>
    </row>
    <row r="2139" spans="14:20" x14ac:dyDescent="0.25">
      <c r="N2139" s="514"/>
      <c r="R2139" s="293"/>
      <c r="S2139" s="316"/>
      <c r="T2139" s="355"/>
    </row>
    <row r="2140" spans="14:20" x14ac:dyDescent="0.25">
      <c r="N2140" s="514"/>
      <c r="R2140" s="293"/>
      <c r="S2140" s="316"/>
      <c r="T2140" s="355"/>
    </row>
    <row r="2141" spans="14:20" x14ac:dyDescent="0.25">
      <c r="N2141" s="514"/>
      <c r="R2141" s="293"/>
      <c r="S2141" s="316"/>
      <c r="T2141" s="355"/>
    </row>
    <row r="2142" spans="14:20" x14ac:dyDescent="0.25">
      <c r="N2142" s="514"/>
      <c r="R2142" s="293"/>
      <c r="S2142" s="316"/>
      <c r="T2142" s="355"/>
    </row>
    <row r="2143" spans="14:20" x14ac:dyDescent="0.25">
      <c r="N2143" s="514"/>
      <c r="R2143" s="293"/>
      <c r="S2143" s="316"/>
      <c r="T2143" s="355"/>
    </row>
    <row r="2144" spans="14:20" x14ac:dyDescent="0.25">
      <c r="N2144" s="514"/>
      <c r="R2144" s="293"/>
      <c r="S2144" s="316"/>
      <c r="T2144" s="355"/>
    </row>
    <row r="2145" spans="14:20" x14ac:dyDescent="0.25">
      <c r="N2145" s="514"/>
      <c r="R2145" s="293"/>
      <c r="S2145" s="316"/>
      <c r="T2145" s="355"/>
    </row>
    <row r="2146" spans="14:20" x14ac:dyDescent="0.25">
      <c r="N2146" s="514"/>
      <c r="R2146" s="293"/>
      <c r="S2146" s="316"/>
      <c r="T2146" s="355"/>
    </row>
    <row r="2147" spans="14:20" x14ac:dyDescent="0.25">
      <c r="N2147" s="514"/>
      <c r="R2147" s="293"/>
      <c r="S2147" s="316"/>
      <c r="T2147" s="355"/>
    </row>
    <row r="2148" spans="14:20" x14ac:dyDescent="0.25">
      <c r="N2148" s="514"/>
      <c r="R2148" s="293"/>
      <c r="S2148" s="316"/>
      <c r="T2148" s="355"/>
    </row>
    <row r="2149" spans="14:20" x14ac:dyDescent="0.25">
      <c r="N2149" s="514"/>
      <c r="R2149" s="293"/>
      <c r="S2149" s="316"/>
      <c r="T2149" s="355"/>
    </row>
    <row r="2150" spans="14:20" x14ac:dyDescent="0.25">
      <c r="N2150" s="514"/>
      <c r="R2150" s="293"/>
      <c r="S2150" s="316"/>
      <c r="T2150" s="355"/>
    </row>
    <row r="2151" spans="14:20" x14ac:dyDescent="0.25">
      <c r="N2151" s="514"/>
      <c r="R2151" s="293"/>
      <c r="S2151" s="316"/>
      <c r="T2151" s="355"/>
    </row>
    <row r="2152" spans="14:20" x14ac:dyDescent="0.25">
      <c r="N2152" s="514"/>
      <c r="R2152" s="293"/>
      <c r="S2152" s="316"/>
      <c r="T2152" s="355"/>
    </row>
    <row r="2153" spans="14:20" x14ac:dyDescent="0.25">
      <c r="N2153" s="514"/>
      <c r="R2153" s="293"/>
      <c r="S2153" s="316"/>
      <c r="T2153" s="355"/>
    </row>
    <row r="2154" spans="14:20" x14ac:dyDescent="0.25">
      <c r="N2154" s="514"/>
      <c r="R2154" s="293"/>
      <c r="S2154" s="316"/>
      <c r="T2154" s="355"/>
    </row>
    <row r="2155" spans="14:20" x14ac:dyDescent="0.25">
      <c r="N2155" s="514"/>
      <c r="R2155" s="293"/>
      <c r="S2155" s="316"/>
      <c r="T2155" s="355"/>
    </row>
    <row r="2156" spans="14:20" x14ac:dyDescent="0.25">
      <c r="N2156" s="514"/>
      <c r="R2156" s="293"/>
      <c r="S2156" s="316"/>
      <c r="T2156" s="355"/>
    </row>
    <row r="2157" spans="14:20" x14ac:dyDescent="0.25">
      <c r="N2157" s="514"/>
      <c r="R2157" s="293"/>
      <c r="S2157" s="316"/>
      <c r="T2157" s="355"/>
    </row>
    <row r="2158" spans="14:20" x14ac:dyDescent="0.25">
      <c r="N2158" s="514"/>
      <c r="R2158" s="293"/>
      <c r="S2158" s="316"/>
      <c r="T2158" s="355"/>
    </row>
    <row r="2159" spans="14:20" x14ac:dyDescent="0.25">
      <c r="N2159" s="514"/>
      <c r="R2159" s="293"/>
      <c r="S2159" s="316"/>
      <c r="T2159" s="355"/>
    </row>
    <row r="2160" spans="14:20" x14ac:dyDescent="0.25">
      <c r="N2160" s="514"/>
      <c r="R2160" s="293"/>
      <c r="S2160" s="316"/>
      <c r="T2160" s="355"/>
    </row>
    <row r="2161" spans="14:20" x14ac:dyDescent="0.25">
      <c r="N2161" s="514"/>
      <c r="R2161" s="293"/>
      <c r="S2161" s="316"/>
      <c r="T2161" s="355"/>
    </row>
    <row r="2162" spans="14:20" x14ac:dyDescent="0.25">
      <c r="N2162" s="514"/>
      <c r="R2162" s="293"/>
      <c r="S2162" s="316"/>
      <c r="T2162" s="355"/>
    </row>
    <row r="2163" spans="14:20" x14ac:dyDescent="0.25">
      <c r="N2163" s="514"/>
      <c r="R2163" s="293"/>
      <c r="S2163" s="316"/>
      <c r="T2163" s="355"/>
    </row>
    <row r="2164" spans="14:20" x14ac:dyDescent="0.25">
      <c r="N2164" s="514"/>
      <c r="R2164" s="293"/>
      <c r="S2164" s="316"/>
      <c r="T2164" s="355"/>
    </row>
    <row r="2165" spans="14:20" x14ac:dyDescent="0.25">
      <c r="N2165" s="514"/>
      <c r="R2165" s="293"/>
      <c r="S2165" s="316"/>
      <c r="T2165" s="355"/>
    </row>
    <row r="2166" spans="14:20" x14ac:dyDescent="0.25">
      <c r="N2166" s="514"/>
      <c r="R2166" s="293"/>
      <c r="S2166" s="316"/>
      <c r="T2166" s="355"/>
    </row>
    <row r="2167" spans="14:20" x14ac:dyDescent="0.25">
      <c r="N2167" s="514"/>
      <c r="R2167" s="293"/>
      <c r="S2167" s="316"/>
      <c r="T2167" s="355"/>
    </row>
    <row r="2168" spans="14:20" x14ac:dyDescent="0.25">
      <c r="N2168" s="514"/>
      <c r="R2168" s="293"/>
      <c r="S2168" s="316"/>
      <c r="T2168" s="355"/>
    </row>
    <row r="2169" spans="14:20" x14ac:dyDescent="0.25">
      <c r="N2169" s="514"/>
      <c r="R2169" s="293"/>
      <c r="S2169" s="316"/>
      <c r="T2169" s="355"/>
    </row>
    <row r="2170" spans="14:20" x14ac:dyDescent="0.25">
      <c r="N2170" s="514"/>
      <c r="R2170" s="293"/>
      <c r="S2170" s="316"/>
      <c r="T2170" s="355"/>
    </row>
    <row r="2171" spans="14:20" x14ac:dyDescent="0.25">
      <c r="N2171" s="514"/>
      <c r="R2171" s="293"/>
      <c r="S2171" s="316"/>
      <c r="T2171" s="355"/>
    </row>
    <row r="2172" spans="14:20" x14ac:dyDescent="0.25">
      <c r="N2172" s="514"/>
      <c r="R2172" s="293"/>
      <c r="S2172" s="316"/>
      <c r="T2172" s="355"/>
    </row>
    <row r="2173" spans="14:20" x14ac:dyDescent="0.25">
      <c r="N2173" s="514"/>
      <c r="R2173" s="293"/>
      <c r="S2173" s="316"/>
      <c r="T2173" s="355"/>
    </row>
    <row r="2174" spans="14:20" x14ac:dyDescent="0.25">
      <c r="N2174" s="514"/>
      <c r="R2174" s="293"/>
      <c r="S2174" s="316"/>
      <c r="T2174" s="355"/>
    </row>
    <row r="2175" spans="14:20" x14ac:dyDescent="0.25">
      <c r="N2175" s="514"/>
      <c r="R2175" s="293"/>
      <c r="S2175" s="316"/>
      <c r="T2175" s="355"/>
    </row>
    <row r="2176" spans="14:20" x14ac:dyDescent="0.25">
      <c r="N2176" s="514"/>
      <c r="R2176" s="293"/>
      <c r="S2176" s="316"/>
      <c r="T2176" s="355"/>
    </row>
    <row r="2177" spans="14:20" x14ac:dyDescent="0.25">
      <c r="N2177" s="514"/>
      <c r="R2177" s="293"/>
      <c r="S2177" s="316"/>
      <c r="T2177" s="355"/>
    </row>
    <row r="2178" spans="14:20" x14ac:dyDescent="0.25">
      <c r="N2178" s="514"/>
      <c r="R2178" s="293"/>
      <c r="S2178" s="316"/>
      <c r="T2178" s="355"/>
    </row>
    <row r="2179" spans="14:20" x14ac:dyDescent="0.25">
      <c r="N2179" s="514"/>
      <c r="R2179" s="293"/>
      <c r="S2179" s="316"/>
      <c r="T2179" s="355"/>
    </row>
    <row r="2180" spans="14:20" x14ac:dyDescent="0.25">
      <c r="N2180" s="514"/>
      <c r="R2180" s="293"/>
      <c r="S2180" s="316"/>
      <c r="T2180" s="355"/>
    </row>
    <row r="2181" spans="14:20" x14ac:dyDescent="0.25">
      <c r="N2181" s="514"/>
      <c r="R2181" s="293"/>
      <c r="S2181" s="316"/>
      <c r="T2181" s="355"/>
    </row>
    <row r="2182" spans="14:20" x14ac:dyDescent="0.25">
      <c r="N2182" s="514"/>
      <c r="R2182" s="293"/>
      <c r="S2182" s="316"/>
      <c r="T2182" s="355"/>
    </row>
    <row r="2183" spans="14:20" x14ac:dyDescent="0.25">
      <c r="N2183" s="514"/>
      <c r="R2183" s="293"/>
      <c r="S2183" s="316"/>
      <c r="T2183" s="355"/>
    </row>
    <row r="2184" spans="14:20" x14ac:dyDescent="0.25">
      <c r="N2184" s="514"/>
      <c r="R2184" s="293"/>
      <c r="S2184" s="316"/>
      <c r="T2184" s="355"/>
    </row>
    <row r="2185" spans="14:20" x14ac:dyDescent="0.25">
      <c r="N2185" s="514"/>
      <c r="R2185" s="293"/>
      <c r="S2185" s="316"/>
      <c r="T2185" s="355"/>
    </row>
    <row r="2186" spans="14:20" x14ac:dyDescent="0.25">
      <c r="N2186" s="514"/>
      <c r="R2186" s="293"/>
      <c r="S2186" s="316"/>
      <c r="T2186" s="355"/>
    </row>
    <row r="2187" spans="14:20" x14ac:dyDescent="0.25">
      <c r="N2187" s="514"/>
      <c r="R2187" s="293"/>
      <c r="S2187" s="316"/>
      <c r="T2187" s="355"/>
    </row>
    <row r="2188" spans="14:20" x14ac:dyDescent="0.25">
      <c r="N2188" s="514"/>
      <c r="R2188" s="293"/>
      <c r="S2188" s="316"/>
      <c r="T2188" s="355"/>
    </row>
    <row r="2189" spans="14:20" x14ac:dyDescent="0.25">
      <c r="N2189" s="514"/>
      <c r="R2189" s="293"/>
      <c r="S2189" s="316"/>
      <c r="T2189" s="355"/>
    </row>
    <row r="2190" spans="14:20" x14ac:dyDescent="0.25">
      <c r="N2190" s="514"/>
      <c r="R2190" s="293"/>
      <c r="S2190" s="316"/>
      <c r="T2190" s="355"/>
    </row>
    <row r="2191" spans="14:20" x14ac:dyDescent="0.25">
      <c r="N2191" s="514"/>
      <c r="R2191" s="293"/>
      <c r="S2191" s="316"/>
      <c r="T2191" s="355"/>
    </row>
    <row r="2192" spans="14:20" x14ac:dyDescent="0.25">
      <c r="N2192" s="514"/>
      <c r="R2192" s="293"/>
      <c r="S2192" s="316"/>
      <c r="T2192" s="355"/>
    </row>
    <row r="2193" spans="14:20" x14ac:dyDescent="0.25">
      <c r="N2193" s="514"/>
      <c r="R2193" s="293"/>
      <c r="S2193" s="316"/>
      <c r="T2193" s="355"/>
    </row>
    <row r="2194" spans="14:20" x14ac:dyDescent="0.25">
      <c r="N2194" s="514"/>
      <c r="R2194" s="293"/>
      <c r="S2194" s="316"/>
      <c r="T2194" s="355"/>
    </row>
    <row r="2195" spans="14:20" x14ac:dyDescent="0.25">
      <c r="N2195" s="514"/>
      <c r="R2195" s="293"/>
      <c r="S2195" s="316"/>
      <c r="T2195" s="355"/>
    </row>
    <row r="2196" spans="14:20" x14ac:dyDescent="0.25">
      <c r="N2196" s="514"/>
      <c r="R2196" s="293"/>
      <c r="S2196" s="316"/>
      <c r="T2196" s="355"/>
    </row>
    <row r="2197" spans="14:20" x14ac:dyDescent="0.25">
      <c r="N2197" s="514"/>
      <c r="R2197" s="293"/>
      <c r="S2197" s="316"/>
      <c r="T2197" s="355"/>
    </row>
    <row r="2198" spans="14:20" x14ac:dyDescent="0.25">
      <c r="N2198" s="514"/>
      <c r="R2198" s="293"/>
      <c r="S2198" s="316"/>
      <c r="T2198" s="355"/>
    </row>
    <row r="2199" spans="14:20" x14ac:dyDescent="0.25">
      <c r="N2199" s="514"/>
      <c r="R2199" s="293"/>
      <c r="S2199" s="316"/>
      <c r="T2199" s="355"/>
    </row>
    <row r="2200" spans="14:20" x14ac:dyDescent="0.25">
      <c r="N2200" s="514"/>
      <c r="R2200" s="293"/>
      <c r="S2200" s="316"/>
      <c r="T2200" s="355"/>
    </row>
    <row r="2201" spans="14:20" x14ac:dyDescent="0.25">
      <c r="N2201" s="514"/>
      <c r="R2201" s="293"/>
      <c r="S2201" s="316"/>
      <c r="T2201" s="355"/>
    </row>
    <row r="2202" spans="14:20" x14ac:dyDescent="0.25">
      <c r="N2202" s="514"/>
      <c r="R2202" s="293"/>
      <c r="S2202" s="316"/>
      <c r="T2202" s="355"/>
    </row>
    <row r="2203" spans="14:20" x14ac:dyDescent="0.25">
      <c r="N2203" s="514"/>
      <c r="R2203" s="293"/>
      <c r="S2203" s="316"/>
      <c r="T2203" s="355"/>
    </row>
    <row r="2204" spans="14:20" x14ac:dyDescent="0.25">
      <c r="N2204" s="514"/>
      <c r="R2204" s="293"/>
      <c r="S2204" s="316"/>
      <c r="T2204" s="355"/>
    </row>
    <row r="2205" spans="14:20" x14ac:dyDescent="0.25">
      <c r="N2205" s="514"/>
      <c r="R2205" s="293"/>
      <c r="S2205" s="316"/>
      <c r="T2205" s="355"/>
    </row>
    <row r="2206" spans="14:20" x14ac:dyDescent="0.25">
      <c r="N2206" s="514"/>
      <c r="R2206" s="293"/>
      <c r="S2206" s="316"/>
      <c r="T2206" s="355"/>
    </row>
    <row r="2207" spans="14:20" x14ac:dyDescent="0.25">
      <c r="N2207" s="514"/>
      <c r="R2207" s="293"/>
      <c r="S2207" s="316"/>
      <c r="T2207" s="355"/>
    </row>
    <row r="2208" spans="14:20" x14ac:dyDescent="0.25">
      <c r="N2208" s="514"/>
      <c r="R2208" s="293"/>
      <c r="S2208" s="316"/>
      <c r="T2208" s="355"/>
    </row>
    <row r="2209" spans="14:20" x14ac:dyDescent="0.25">
      <c r="N2209" s="514"/>
      <c r="R2209" s="293"/>
      <c r="S2209" s="316"/>
      <c r="T2209" s="355"/>
    </row>
    <row r="2210" spans="14:20" x14ac:dyDescent="0.25">
      <c r="N2210" s="514"/>
      <c r="R2210" s="293"/>
      <c r="S2210" s="316"/>
      <c r="T2210" s="355"/>
    </row>
    <row r="2211" spans="14:20" x14ac:dyDescent="0.25">
      <c r="N2211" s="514"/>
      <c r="R2211" s="293"/>
      <c r="S2211" s="316"/>
      <c r="T2211" s="355"/>
    </row>
    <row r="2212" spans="14:20" x14ac:dyDescent="0.25">
      <c r="N2212" s="514"/>
      <c r="R2212" s="293"/>
      <c r="S2212" s="316"/>
      <c r="T2212" s="355"/>
    </row>
    <row r="2213" spans="14:20" x14ac:dyDescent="0.25">
      <c r="N2213" s="514"/>
      <c r="R2213" s="293"/>
      <c r="S2213" s="316"/>
      <c r="T2213" s="355"/>
    </row>
    <row r="2214" spans="14:20" x14ac:dyDescent="0.25">
      <c r="N2214" s="514"/>
      <c r="R2214" s="293"/>
      <c r="S2214" s="316"/>
      <c r="T2214" s="355"/>
    </row>
    <row r="2215" spans="14:20" x14ac:dyDescent="0.25">
      <c r="N2215" s="514"/>
      <c r="R2215" s="293"/>
      <c r="S2215" s="316"/>
      <c r="T2215" s="355"/>
    </row>
    <row r="2216" spans="14:20" x14ac:dyDescent="0.25">
      <c r="N2216" s="514"/>
      <c r="R2216" s="293"/>
      <c r="S2216" s="316"/>
      <c r="T2216" s="355"/>
    </row>
    <row r="2217" spans="14:20" x14ac:dyDescent="0.25">
      <c r="N2217" s="514"/>
      <c r="R2217" s="293"/>
      <c r="S2217" s="316"/>
      <c r="T2217" s="355"/>
    </row>
    <row r="2218" spans="14:20" x14ac:dyDescent="0.25">
      <c r="N2218" s="514"/>
      <c r="R2218" s="293"/>
      <c r="S2218" s="316"/>
      <c r="T2218" s="355"/>
    </row>
    <row r="2219" spans="14:20" x14ac:dyDescent="0.25">
      <c r="N2219" s="514"/>
      <c r="R2219" s="293"/>
      <c r="S2219" s="316"/>
      <c r="T2219" s="355"/>
    </row>
    <row r="2220" spans="14:20" x14ac:dyDescent="0.25">
      <c r="N2220" s="514"/>
      <c r="R2220" s="293"/>
      <c r="S2220" s="316"/>
      <c r="T2220" s="355"/>
    </row>
    <row r="2221" spans="14:20" x14ac:dyDescent="0.25">
      <c r="N2221" s="514"/>
      <c r="R2221" s="293"/>
      <c r="S2221" s="316"/>
      <c r="T2221" s="355"/>
    </row>
    <row r="2222" spans="14:20" x14ac:dyDescent="0.25">
      <c r="N2222" s="514"/>
      <c r="R2222" s="293"/>
      <c r="S2222" s="316"/>
      <c r="T2222" s="355"/>
    </row>
    <row r="2223" spans="14:20" x14ac:dyDescent="0.25">
      <c r="N2223" s="514"/>
      <c r="R2223" s="293"/>
      <c r="S2223" s="316"/>
      <c r="T2223" s="355"/>
    </row>
    <row r="2224" spans="14:20" x14ac:dyDescent="0.25">
      <c r="N2224" s="514"/>
      <c r="R2224" s="293"/>
      <c r="S2224" s="316"/>
      <c r="T2224" s="355"/>
    </row>
    <row r="2225" spans="14:20" x14ac:dyDescent="0.25">
      <c r="N2225" s="514"/>
      <c r="R2225" s="293"/>
      <c r="S2225" s="316"/>
      <c r="T2225" s="355"/>
    </row>
    <row r="2226" spans="14:20" x14ac:dyDescent="0.25">
      <c r="N2226" s="514"/>
      <c r="R2226" s="293"/>
      <c r="S2226" s="316"/>
      <c r="T2226" s="355"/>
    </row>
    <row r="2227" spans="14:20" x14ac:dyDescent="0.25">
      <c r="N2227" s="514"/>
      <c r="R2227" s="293"/>
      <c r="S2227" s="316"/>
      <c r="T2227" s="355"/>
    </row>
    <row r="2228" spans="14:20" x14ac:dyDescent="0.25">
      <c r="N2228" s="514"/>
      <c r="R2228" s="293"/>
      <c r="S2228" s="316"/>
      <c r="T2228" s="355"/>
    </row>
    <row r="2229" spans="14:20" x14ac:dyDescent="0.25">
      <c r="N2229" s="514"/>
      <c r="R2229" s="293"/>
      <c r="S2229" s="316"/>
      <c r="T2229" s="355"/>
    </row>
    <row r="2230" spans="14:20" x14ac:dyDescent="0.25">
      <c r="N2230" s="514"/>
      <c r="R2230" s="293"/>
      <c r="S2230" s="316"/>
      <c r="T2230" s="355"/>
    </row>
    <row r="2231" spans="14:20" x14ac:dyDescent="0.25">
      <c r="N2231" s="514"/>
      <c r="R2231" s="293"/>
      <c r="S2231" s="316"/>
      <c r="T2231" s="355"/>
    </row>
    <row r="2232" spans="14:20" x14ac:dyDescent="0.25">
      <c r="N2232" s="514"/>
      <c r="R2232" s="293"/>
      <c r="S2232" s="316"/>
      <c r="T2232" s="355"/>
    </row>
    <row r="2233" spans="14:20" x14ac:dyDescent="0.25">
      <c r="N2233" s="514"/>
      <c r="R2233" s="293"/>
      <c r="S2233" s="316"/>
      <c r="T2233" s="355"/>
    </row>
    <row r="2234" spans="14:20" x14ac:dyDescent="0.25">
      <c r="N2234" s="514"/>
      <c r="R2234" s="293"/>
      <c r="S2234" s="316"/>
      <c r="T2234" s="355"/>
    </row>
    <row r="2235" spans="14:20" x14ac:dyDescent="0.25">
      <c r="N2235" s="514"/>
      <c r="R2235" s="293"/>
      <c r="S2235" s="316"/>
      <c r="T2235" s="355"/>
    </row>
    <row r="2236" spans="14:20" x14ac:dyDescent="0.25">
      <c r="N2236" s="514"/>
      <c r="R2236" s="293"/>
      <c r="S2236" s="316"/>
      <c r="T2236" s="355"/>
    </row>
    <row r="2237" spans="14:20" x14ac:dyDescent="0.25">
      <c r="N2237" s="514"/>
      <c r="R2237" s="293"/>
      <c r="S2237" s="316"/>
      <c r="T2237" s="355"/>
    </row>
    <row r="2238" spans="14:20" x14ac:dyDescent="0.25">
      <c r="N2238" s="514"/>
      <c r="R2238" s="293"/>
      <c r="S2238" s="316"/>
      <c r="T2238" s="355"/>
    </row>
    <row r="2239" spans="14:20" x14ac:dyDescent="0.25">
      <c r="N2239" s="514"/>
      <c r="R2239" s="293"/>
      <c r="S2239" s="316"/>
      <c r="T2239" s="355"/>
    </row>
    <row r="2240" spans="14:20" x14ac:dyDescent="0.25">
      <c r="N2240" s="514"/>
      <c r="R2240" s="293"/>
      <c r="S2240" s="316"/>
      <c r="T2240" s="355"/>
    </row>
    <row r="2241" spans="14:20" x14ac:dyDescent="0.25">
      <c r="N2241" s="514"/>
      <c r="R2241" s="293"/>
      <c r="S2241" s="316"/>
      <c r="T2241" s="355"/>
    </row>
    <row r="2242" spans="14:20" x14ac:dyDescent="0.25">
      <c r="N2242" s="514"/>
      <c r="R2242" s="293"/>
      <c r="S2242" s="316"/>
      <c r="T2242" s="355"/>
    </row>
    <row r="2243" spans="14:20" x14ac:dyDescent="0.25">
      <c r="N2243" s="514"/>
      <c r="R2243" s="293"/>
      <c r="S2243" s="316"/>
      <c r="T2243" s="355"/>
    </row>
    <row r="2244" spans="14:20" x14ac:dyDescent="0.25">
      <c r="N2244" s="514"/>
      <c r="R2244" s="293"/>
      <c r="S2244" s="316"/>
      <c r="T2244" s="355"/>
    </row>
    <row r="2245" spans="14:20" x14ac:dyDescent="0.25">
      <c r="N2245" s="514"/>
      <c r="R2245" s="293"/>
      <c r="S2245" s="316"/>
      <c r="T2245" s="355"/>
    </row>
    <row r="2246" spans="14:20" x14ac:dyDescent="0.25">
      <c r="N2246" s="514"/>
      <c r="R2246" s="293"/>
      <c r="S2246" s="316"/>
      <c r="T2246" s="355"/>
    </row>
    <row r="2247" spans="14:20" x14ac:dyDescent="0.25">
      <c r="N2247" s="514"/>
      <c r="R2247" s="293"/>
      <c r="S2247" s="316"/>
      <c r="T2247" s="355"/>
    </row>
    <row r="2248" spans="14:20" x14ac:dyDescent="0.25">
      <c r="N2248" s="514"/>
      <c r="R2248" s="293"/>
      <c r="S2248" s="316"/>
      <c r="T2248" s="355"/>
    </row>
    <row r="2249" spans="14:20" x14ac:dyDescent="0.25">
      <c r="N2249" s="514"/>
      <c r="R2249" s="293"/>
      <c r="S2249" s="316"/>
      <c r="T2249" s="355"/>
    </row>
    <row r="2250" spans="14:20" x14ac:dyDescent="0.25">
      <c r="N2250" s="514"/>
      <c r="R2250" s="293"/>
      <c r="S2250" s="316"/>
      <c r="T2250" s="355"/>
    </row>
    <row r="2251" spans="14:20" x14ac:dyDescent="0.25">
      <c r="N2251" s="514"/>
      <c r="R2251" s="293"/>
      <c r="S2251" s="316"/>
      <c r="T2251" s="355"/>
    </row>
    <row r="2252" spans="14:20" x14ac:dyDescent="0.25">
      <c r="N2252" s="514"/>
      <c r="R2252" s="293"/>
      <c r="S2252" s="316"/>
      <c r="T2252" s="355"/>
    </row>
    <row r="2253" spans="14:20" x14ac:dyDescent="0.25">
      <c r="N2253" s="514"/>
      <c r="R2253" s="293"/>
      <c r="S2253" s="316"/>
      <c r="T2253" s="355"/>
    </row>
    <row r="2254" spans="14:20" x14ac:dyDescent="0.25">
      <c r="N2254" s="514"/>
      <c r="R2254" s="293"/>
      <c r="S2254" s="316"/>
      <c r="T2254" s="355"/>
    </row>
    <row r="2255" spans="14:20" x14ac:dyDescent="0.25">
      <c r="N2255" s="514"/>
      <c r="R2255" s="293"/>
      <c r="S2255" s="316"/>
      <c r="T2255" s="355"/>
    </row>
    <row r="2256" spans="14:20" x14ac:dyDescent="0.25">
      <c r="N2256" s="514"/>
      <c r="R2256" s="293"/>
      <c r="S2256" s="316"/>
      <c r="T2256" s="355"/>
    </row>
    <row r="2257" spans="14:20" x14ac:dyDescent="0.25">
      <c r="N2257" s="514"/>
      <c r="R2257" s="293"/>
      <c r="S2257" s="316"/>
      <c r="T2257" s="355"/>
    </row>
    <row r="2258" spans="14:20" x14ac:dyDescent="0.25">
      <c r="N2258" s="514"/>
      <c r="R2258" s="293"/>
      <c r="S2258" s="316"/>
      <c r="T2258" s="355"/>
    </row>
    <row r="2259" spans="14:20" x14ac:dyDescent="0.25">
      <c r="N2259" s="514"/>
      <c r="R2259" s="293"/>
      <c r="S2259" s="316"/>
      <c r="T2259" s="355"/>
    </row>
    <row r="2260" spans="14:20" x14ac:dyDescent="0.25">
      <c r="N2260" s="514"/>
      <c r="R2260" s="293"/>
      <c r="S2260" s="316"/>
      <c r="T2260" s="355"/>
    </row>
    <row r="2261" spans="14:20" x14ac:dyDescent="0.25">
      <c r="N2261" s="514"/>
      <c r="R2261" s="293"/>
      <c r="S2261" s="316"/>
      <c r="T2261" s="355"/>
    </row>
    <row r="2262" spans="14:20" x14ac:dyDescent="0.25">
      <c r="N2262" s="514"/>
      <c r="R2262" s="293"/>
      <c r="S2262" s="316"/>
      <c r="T2262" s="355"/>
    </row>
    <row r="2263" spans="14:20" x14ac:dyDescent="0.25">
      <c r="N2263" s="514"/>
      <c r="R2263" s="293"/>
      <c r="S2263" s="316"/>
      <c r="T2263" s="355"/>
    </row>
    <row r="2264" spans="14:20" x14ac:dyDescent="0.25">
      <c r="N2264" s="514"/>
      <c r="R2264" s="293"/>
      <c r="S2264" s="316"/>
      <c r="T2264" s="355"/>
    </row>
    <row r="2265" spans="14:20" x14ac:dyDescent="0.25">
      <c r="N2265" s="514"/>
      <c r="R2265" s="293"/>
      <c r="S2265" s="316"/>
      <c r="T2265" s="355"/>
    </row>
    <row r="2266" spans="14:20" x14ac:dyDescent="0.25">
      <c r="N2266" s="514"/>
      <c r="R2266" s="293"/>
      <c r="S2266" s="316"/>
      <c r="T2266" s="355"/>
    </row>
    <row r="2267" spans="14:20" x14ac:dyDescent="0.25">
      <c r="N2267" s="514"/>
      <c r="R2267" s="293"/>
      <c r="S2267" s="316"/>
      <c r="T2267" s="355"/>
    </row>
    <row r="2268" spans="14:20" x14ac:dyDescent="0.25">
      <c r="N2268" s="514"/>
      <c r="R2268" s="293"/>
      <c r="S2268" s="316"/>
      <c r="T2268" s="355"/>
    </row>
    <row r="2269" spans="14:20" x14ac:dyDescent="0.25">
      <c r="N2269" s="514"/>
      <c r="R2269" s="293"/>
      <c r="S2269" s="316"/>
      <c r="T2269" s="355"/>
    </row>
    <row r="2270" spans="14:20" x14ac:dyDescent="0.25">
      <c r="N2270" s="514"/>
      <c r="R2270" s="293"/>
      <c r="S2270" s="316"/>
      <c r="T2270" s="355"/>
    </row>
    <row r="2271" spans="14:20" x14ac:dyDescent="0.25">
      <c r="N2271" s="514"/>
      <c r="R2271" s="293"/>
      <c r="S2271" s="316"/>
      <c r="T2271" s="355"/>
    </row>
    <row r="2272" spans="14:20" x14ac:dyDescent="0.25">
      <c r="N2272" s="514"/>
      <c r="R2272" s="293"/>
      <c r="S2272" s="316"/>
      <c r="T2272" s="355"/>
    </row>
    <row r="2273" spans="14:20" x14ac:dyDescent="0.25">
      <c r="N2273" s="514"/>
      <c r="R2273" s="293"/>
      <c r="S2273" s="316"/>
      <c r="T2273" s="355"/>
    </row>
    <row r="2274" spans="14:20" x14ac:dyDescent="0.25">
      <c r="N2274" s="514"/>
      <c r="R2274" s="293"/>
      <c r="S2274" s="316"/>
      <c r="T2274" s="355"/>
    </row>
    <row r="2275" spans="14:20" x14ac:dyDescent="0.25">
      <c r="N2275" s="514"/>
      <c r="R2275" s="293"/>
      <c r="S2275" s="316"/>
      <c r="T2275" s="355"/>
    </row>
    <row r="2276" spans="14:20" x14ac:dyDescent="0.25">
      <c r="N2276" s="514"/>
      <c r="R2276" s="293"/>
      <c r="S2276" s="316"/>
      <c r="T2276" s="355"/>
    </row>
    <row r="2277" spans="14:20" x14ac:dyDescent="0.25">
      <c r="N2277" s="514"/>
      <c r="R2277" s="293"/>
      <c r="S2277" s="316"/>
      <c r="T2277" s="355"/>
    </row>
    <row r="2278" spans="14:20" x14ac:dyDescent="0.25">
      <c r="N2278" s="514"/>
      <c r="R2278" s="293"/>
      <c r="S2278" s="316"/>
      <c r="T2278" s="355"/>
    </row>
    <row r="2279" spans="14:20" x14ac:dyDescent="0.25">
      <c r="N2279" s="514"/>
      <c r="R2279" s="293"/>
      <c r="S2279" s="316"/>
      <c r="T2279" s="355"/>
    </row>
    <row r="2280" spans="14:20" x14ac:dyDescent="0.25">
      <c r="N2280" s="514"/>
      <c r="R2280" s="293"/>
      <c r="S2280" s="316"/>
      <c r="T2280" s="355"/>
    </row>
    <row r="2281" spans="14:20" x14ac:dyDescent="0.25">
      <c r="N2281" s="514"/>
      <c r="R2281" s="293"/>
      <c r="S2281" s="316"/>
      <c r="T2281" s="355"/>
    </row>
    <row r="2282" spans="14:20" x14ac:dyDescent="0.25">
      <c r="N2282" s="514"/>
      <c r="R2282" s="293"/>
      <c r="S2282" s="316"/>
      <c r="T2282" s="355"/>
    </row>
    <row r="2283" spans="14:20" x14ac:dyDescent="0.25">
      <c r="N2283" s="514"/>
      <c r="R2283" s="293"/>
      <c r="S2283" s="316"/>
      <c r="T2283" s="355"/>
    </row>
    <row r="2284" spans="14:20" x14ac:dyDescent="0.25">
      <c r="N2284" s="514"/>
      <c r="R2284" s="293"/>
      <c r="S2284" s="316"/>
      <c r="T2284" s="355"/>
    </row>
    <row r="2285" spans="14:20" x14ac:dyDescent="0.25">
      <c r="N2285" s="514"/>
      <c r="R2285" s="293"/>
      <c r="S2285" s="316"/>
      <c r="T2285" s="355"/>
    </row>
    <row r="2286" spans="14:20" x14ac:dyDescent="0.25">
      <c r="N2286" s="514"/>
      <c r="R2286" s="293"/>
      <c r="S2286" s="316"/>
      <c r="T2286" s="355"/>
    </row>
    <row r="2287" spans="14:20" x14ac:dyDescent="0.25">
      <c r="N2287" s="514"/>
      <c r="R2287" s="293"/>
      <c r="S2287" s="316"/>
      <c r="T2287" s="355"/>
    </row>
    <row r="2288" spans="14:20" x14ac:dyDescent="0.25">
      <c r="N2288" s="514"/>
      <c r="R2288" s="293"/>
      <c r="S2288" s="316"/>
      <c r="T2288" s="355"/>
    </row>
    <row r="2289" spans="14:20" x14ac:dyDescent="0.25">
      <c r="N2289" s="514"/>
      <c r="R2289" s="293"/>
      <c r="S2289" s="316"/>
      <c r="T2289" s="355"/>
    </row>
    <row r="2290" spans="14:20" x14ac:dyDescent="0.25">
      <c r="N2290" s="514"/>
      <c r="R2290" s="293"/>
      <c r="S2290" s="316"/>
      <c r="T2290" s="355"/>
    </row>
    <row r="2291" spans="14:20" x14ac:dyDescent="0.25">
      <c r="N2291" s="514"/>
      <c r="R2291" s="293"/>
      <c r="S2291" s="316"/>
      <c r="T2291" s="355"/>
    </row>
    <row r="2292" spans="14:20" x14ac:dyDescent="0.25">
      <c r="N2292" s="514"/>
      <c r="R2292" s="293"/>
      <c r="S2292" s="316"/>
      <c r="T2292" s="355"/>
    </row>
    <row r="2293" spans="14:20" x14ac:dyDescent="0.25">
      <c r="N2293" s="514"/>
      <c r="R2293" s="293"/>
      <c r="S2293" s="316"/>
      <c r="T2293" s="355"/>
    </row>
    <row r="2294" spans="14:20" x14ac:dyDescent="0.25">
      <c r="N2294" s="514"/>
      <c r="R2294" s="293"/>
      <c r="S2294" s="316"/>
      <c r="T2294" s="355"/>
    </row>
    <row r="2295" spans="14:20" x14ac:dyDescent="0.25">
      <c r="N2295" s="514"/>
      <c r="R2295" s="293"/>
      <c r="S2295" s="316"/>
      <c r="T2295" s="355"/>
    </row>
    <row r="2296" spans="14:20" x14ac:dyDescent="0.25">
      <c r="N2296" s="514"/>
      <c r="R2296" s="293"/>
      <c r="S2296" s="316"/>
      <c r="T2296" s="355"/>
    </row>
    <row r="2297" spans="14:20" x14ac:dyDescent="0.25">
      <c r="N2297" s="514"/>
      <c r="R2297" s="293"/>
      <c r="S2297" s="316"/>
      <c r="T2297" s="355"/>
    </row>
    <row r="2298" spans="14:20" x14ac:dyDescent="0.25">
      <c r="N2298" s="514"/>
      <c r="R2298" s="293"/>
      <c r="S2298" s="316"/>
      <c r="T2298" s="355"/>
    </row>
    <row r="2299" spans="14:20" x14ac:dyDescent="0.25">
      <c r="N2299" s="514"/>
      <c r="R2299" s="293"/>
      <c r="S2299" s="316"/>
      <c r="T2299" s="355"/>
    </row>
    <row r="2300" spans="14:20" x14ac:dyDescent="0.25">
      <c r="N2300" s="514"/>
      <c r="R2300" s="293"/>
      <c r="S2300" s="316"/>
      <c r="T2300" s="355"/>
    </row>
    <row r="2301" spans="14:20" x14ac:dyDescent="0.25">
      <c r="N2301" s="514"/>
      <c r="R2301" s="293"/>
      <c r="S2301" s="316"/>
      <c r="T2301" s="355"/>
    </row>
    <row r="2302" spans="14:20" x14ac:dyDescent="0.25">
      <c r="N2302" s="514"/>
      <c r="R2302" s="293"/>
      <c r="S2302" s="316"/>
      <c r="T2302" s="355"/>
    </row>
    <row r="2303" spans="14:20" x14ac:dyDescent="0.25">
      <c r="N2303" s="514"/>
      <c r="R2303" s="293"/>
      <c r="S2303" s="316"/>
      <c r="T2303" s="355"/>
    </row>
    <row r="2304" spans="14:20" x14ac:dyDescent="0.25">
      <c r="N2304" s="514"/>
      <c r="R2304" s="293"/>
      <c r="S2304" s="316"/>
      <c r="T2304" s="355"/>
    </row>
    <row r="2305" spans="14:20" x14ac:dyDescent="0.25">
      <c r="N2305" s="514"/>
      <c r="R2305" s="293"/>
      <c r="S2305" s="316"/>
      <c r="T2305" s="355"/>
    </row>
    <row r="2306" spans="14:20" x14ac:dyDescent="0.25">
      <c r="N2306" s="514"/>
      <c r="R2306" s="293"/>
      <c r="S2306" s="316"/>
      <c r="T2306" s="355"/>
    </row>
    <row r="2307" spans="14:20" x14ac:dyDescent="0.25">
      <c r="N2307" s="514"/>
      <c r="R2307" s="293"/>
      <c r="S2307" s="316"/>
      <c r="T2307" s="355"/>
    </row>
    <row r="2308" spans="14:20" x14ac:dyDescent="0.25">
      <c r="N2308" s="514"/>
      <c r="R2308" s="293"/>
      <c r="S2308" s="316"/>
      <c r="T2308" s="355"/>
    </row>
    <row r="2309" spans="14:20" x14ac:dyDescent="0.25">
      <c r="N2309" s="514"/>
      <c r="R2309" s="293"/>
      <c r="S2309" s="316"/>
      <c r="T2309" s="355"/>
    </row>
    <row r="2310" spans="14:20" x14ac:dyDescent="0.25">
      <c r="N2310" s="514"/>
      <c r="R2310" s="293"/>
      <c r="S2310" s="316"/>
      <c r="T2310" s="355"/>
    </row>
    <row r="2311" spans="14:20" x14ac:dyDescent="0.25">
      <c r="N2311" s="514"/>
      <c r="R2311" s="293"/>
      <c r="S2311" s="316"/>
      <c r="T2311" s="355"/>
    </row>
    <row r="2312" spans="14:20" x14ac:dyDescent="0.25">
      <c r="N2312" s="514"/>
      <c r="R2312" s="293"/>
      <c r="S2312" s="316"/>
      <c r="T2312" s="355"/>
    </row>
    <row r="2313" spans="14:20" x14ac:dyDescent="0.25">
      <c r="N2313" s="514"/>
      <c r="R2313" s="293"/>
      <c r="S2313" s="316"/>
      <c r="T2313" s="355"/>
    </row>
    <row r="2314" spans="14:20" x14ac:dyDescent="0.25">
      <c r="N2314" s="514"/>
      <c r="R2314" s="293"/>
      <c r="S2314" s="316"/>
      <c r="T2314" s="355"/>
    </row>
    <row r="2315" spans="14:20" x14ac:dyDescent="0.25">
      <c r="N2315" s="514"/>
      <c r="R2315" s="293"/>
      <c r="S2315" s="316"/>
      <c r="T2315" s="355"/>
    </row>
    <row r="2316" spans="14:20" x14ac:dyDescent="0.25">
      <c r="N2316" s="514"/>
      <c r="R2316" s="293"/>
      <c r="S2316" s="316"/>
      <c r="T2316" s="355"/>
    </row>
    <row r="2317" spans="14:20" x14ac:dyDescent="0.25">
      <c r="N2317" s="514"/>
      <c r="R2317" s="293"/>
      <c r="S2317" s="316"/>
      <c r="T2317" s="355"/>
    </row>
    <row r="2318" spans="14:20" x14ac:dyDescent="0.25">
      <c r="N2318" s="514"/>
      <c r="R2318" s="293"/>
      <c r="S2318" s="316"/>
      <c r="T2318" s="355"/>
    </row>
    <row r="2319" spans="14:20" x14ac:dyDescent="0.25">
      <c r="N2319" s="514"/>
      <c r="R2319" s="293"/>
      <c r="S2319" s="316"/>
      <c r="T2319" s="355"/>
    </row>
    <row r="2320" spans="14:20" x14ac:dyDescent="0.25">
      <c r="N2320" s="514"/>
      <c r="R2320" s="293"/>
      <c r="S2320" s="316"/>
      <c r="T2320" s="355"/>
    </row>
    <row r="2321" spans="14:20" x14ac:dyDescent="0.25">
      <c r="N2321" s="514"/>
      <c r="R2321" s="293"/>
      <c r="S2321" s="316"/>
      <c r="T2321" s="355"/>
    </row>
    <row r="2322" spans="14:20" x14ac:dyDescent="0.25">
      <c r="N2322" s="514"/>
      <c r="R2322" s="293"/>
      <c r="S2322" s="316"/>
      <c r="T2322" s="355"/>
    </row>
    <row r="2323" spans="14:20" x14ac:dyDescent="0.25">
      <c r="N2323" s="514"/>
      <c r="R2323" s="293"/>
      <c r="S2323" s="316"/>
      <c r="T2323" s="355"/>
    </row>
    <row r="2324" spans="14:20" x14ac:dyDescent="0.25">
      <c r="N2324" s="514"/>
      <c r="R2324" s="293"/>
      <c r="S2324" s="316"/>
      <c r="T2324" s="355"/>
    </row>
    <row r="2325" spans="14:20" x14ac:dyDescent="0.25">
      <c r="N2325" s="514"/>
      <c r="R2325" s="293"/>
      <c r="S2325" s="316"/>
      <c r="T2325" s="355"/>
    </row>
    <row r="2326" spans="14:20" x14ac:dyDescent="0.25">
      <c r="N2326" s="514"/>
      <c r="R2326" s="293"/>
      <c r="S2326" s="316"/>
      <c r="T2326" s="355"/>
    </row>
    <row r="2327" spans="14:20" x14ac:dyDescent="0.25">
      <c r="N2327" s="514"/>
      <c r="R2327" s="293"/>
      <c r="S2327" s="316"/>
      <c r="T2327" s="355"/>
    </row>
    <row r="2328" spans="14:20" x14ac:dyDescent="0.25">
      <c r="N2328" s="514"/>
      <c r="R2328" s="293"/>
      <c r="S2328" s="316"/>
      <c r="T2328" s="355"/>
    </row>
    <row r="2329" spans="14:20" x14ac:dyDescent="0.25">
      <c r="N2329" s="514"/>
      <c r="R2329" s="293"/>
      <c r="S2329" s="316"/>
      <c r="T2329" s="355"/>
    </row>
    <row r="2330" spans="14:20" x14ac:dyDescent="0.25">
      <c r="N2330" s="514"/>
      <c r="R2330" s="293"/>
      <c r="S2330" s="316"/>
      <c r="T2330" s="355"/>
    </row>
    <row r="2331" spans="14:20" x14ac:dyDescent="0.25">
      <c r="N2331" s="514"/>
      <c r="R2331" s="293"/>
      <c r="S2331" s="316"/>
      <c r="T2331" s="355"/>
    </row>
    <row r="2332" spans="14:20" x14ac:dyDescent="0.25">
      <c r="N2332" s="514"/>
      <c r="R2332" s="293"/>
      <c r="S2332" s="316"/>
      <c r="T2332" s="355"/>
    </row>
    <row r="2333" spans="14:20" x14ac:dyDescent="0.25">
      <c r="N2333" s="514"/>
      <c r="R2333" s="293"/>
      <c r="S2333" s="316"/>
      <c r="T2333" s="355"/>
    </row>
    <row r="2334" spans="14:20" x14ac:dyDescent="0.25">
      <c r="N2334" s="514"/>
      <c r="R2334" s="293"/>
      <c r="S2334" s="316"/>
      <c r="T2334" s="355"/>
    </row>
    <row r="2335" spans="14:20" x14ac:dyDescent="0.25">
      <c r="N2335" s="514"/>
      <c r="R2335" s="293"/>
      <c r="S2335" s="316"/>
      <c r="T2335" s="355"/>
    </row>
    <row r="2336" spans="14:20" x14ac:dyDescent="0.25">
      <c r="N2336" s="514"/>
      <c r="R2336" s="293"/>
      <c r="S2336" s="316"/>
      <c r="T2336" s="355"/>
    </row>
    <row r="2337" spans="14:20" x14ac:dyDescent="0.25">
      <c r="N2337" s="514"/>
      <c r="R2337" s="293"/>
      <c r="S2337" s="316"/>
      <c r="T2337" s="355"/>
    </row>
    <row r="2338" spans="14:20" x14ac:dyDescent="0.25">
      <c r="N2338" s="514"/>
      <c r="R2338" s="293"/>
      <c r="S2338" s="316"/>
      <c r="T2338" s="355"/>
    </row>
    <row r="2339" spans="14:20" x14ac:dyDescent="0.25">
      <c r="N2339" s="514"/>
      <c r="R2339" s="293"/>
      <c r="S2339" s="316"/>
      <c r="T2339" s="355"/>
    </row>
    <row r="2340" spans="14:20" x14ac:dyDescent="0.25">
      <c r="N2340" s="514"/>
      <c r="R2340" s="293"/>
      <c r="S2340" s="316"/>
      <c r="T2340" s="355"/>
    </row>
    <row r="2341" spans="14:20" x14ac:dyDescent="0.25">
      <c r="N2341" s="514"/>
      <c r="R2341" s="293"/>
      <c r="S2341" s="316"/>
      <c r="T2341" s="355"/>
    </row>
    <row r="2342" spans="14:20" x14ac:dyDescent="0.25">
      <c r="N2342" s="514"/>
      <c r="R2342" s="293"/>
      <c r="S2342" s="316"/>
      <c r="T2342" s="355"/>
    </row>
    <row r="2343" spans="14:20" x14ac:dyDescent="0.25">
      <c r="N2343" s="514"/>
      <c r="R2343" s="293"/>
      <c r="S2343" s="316"/>
      <c r="T2343" s="355"/>
    </row>
    <row r="2344" spans="14:20" x14ac:dyDescent="0.25">
      <c r="N2344" s="514"/>
      <c r="R2344" s="293"/>
      <c r="S2344" s="316"/>
      <c r="T2344" s="355"/>
    </row>
    <row r="2345" spans="14:20" x14ac:dyDescent="0.25">
      <c r="N2345" s="514"/>
      <c r="R2345" s="293"/>
      <c r="S2345" s="316"/>
      <c r="T2345" s="355"/>
    </row>
    <row r="2346" spans="14:20" x14ac:dyDescent="0.25">
      <c r="N2346" s="514"/>
      <c r="R2346" s="293"/>
      <c r="S2346" s="316"/>
      <c r="T2346" s="355"/>
    </row>
    <row r="2347" spans="14:20" x14ac:dyDescent="0.25">
      <c r="N2347" s="514"/>
      <c r="R2347" s="293"/>
      <c r="S2347" s="316"/>
      <c r="T2347" s="355"/>
    </row>
    <row r="2348" spans="14:20" x14ac:dyDescent="0.25">
      <c r="N2348" s="514"/>
      <c r="R2348" s="293"/>
      <c r="S2348" s="316"/>
      <c r="T2348" s="355"/>
    </row>
    <row r="2349" spans="14:20" x14ac:dyDescent="0.25">
      <c r="N2349" s="514"/>
      <c r="R2349" s="293"/>
      <c r="S2349" s="316"/>
      <c r="T2349" s="355"/>
    </row>
    <row r="2350" spans="14:20" x14ac:dyDescent="0.25">
      <c r="N2350" s="514"/>
      <c r="R2350" s="293"/>
      <c r="S2350" s="316"/>
      <c r="T2350" s="355"/>
    </row>
    <row r="2351" spans="14:20" x14ac:dyDescent="0.25">
      <c r="N2351" s="514"/>
      <c r="R2351" s="293"/>
      <c r="S2351" s="316"/>
      <c r="T2351" s="355"/>
    </row>
    <row r="2352" spans="14:20" x14ac:dyDescent="0.25">
      <c r="N2352" s="514"/>
      <c r="R2352" s="293"/>
      <c r="S2352" s="316"/>
      <c r="T2352" s="355"/>
    </row>
    <row r="2353" spans="14:20" x14ac:dyDescent="0.25">
      <c r="N2353" s="514"/>
      <c r="R2353" s="293"/>
      <c r="S2353" s="316"/>
      <c r="T2353" s="355"/>
    </row>
    <row r="2354" spans="14:20" x14ac:dyDescent="0.25">
      <c r="N2354" s="514"/>
      <c r="R2354" s="293"/>
      <c r="S2354" s="316"/>
      <c r="T2354" s="355"/>
    </row>
    <row r="2355" spans="14:20" x14ac:dyDescent="0.25">
      <c r="N2355" s="514"/>
      <c r="R2355" s="293"/>
      <c r="S2355" s="316"/>
      <c r="T2355" s="355"/>
    </row>
    <row r="2356" spans="14:20" x14ac:dyDescent="0.25">
      <c r="N2356" s="514"/>
      <c r="R2356" s="293"/>
      <c r="S2356" s="316"/>
      <c r="T2356" s="355"/>
    </row>
    <row r="2357" spans="14:20" x14ac:dyDescent="0.25">
      <c r="N2357" s="514"/>
      <c r="R2357" s="293"/>
      <c r="S2357" s="316"/>
      <c r="T2357" s="355"/>
    </row>
    <row r="2358" spans="14:20" x14ac:dyDescent="0.25">
      <c r="N2358" s="514"/>
      <c r="R2358" s="293"/>
      <c r="S2358" s="316"/>
      <c r="T2358" s="355"/>
    </row>
    <row r="2359" spans="14:20" x14ac:dyDescent="0.25">
      <c r="N2359" s="514"/>
      <c r="R2359" s="293"/>
      <c r="S2359" s="316"/>
      <c r="T2359" s="355"/>
    </row>
    <row r="2360" spans="14:20" x14ac:dyDescent="0.25">
      <c r="N2360" s="514"/>
      <c r="R2360" s="293"/>
      <c r="S2360" s="316"/>
      <c r="T2360" s="355"/>
    </row>
    <row r="2361" spans="14:20" x14ac:dyDescent="0.25">
      <c r="N2361" s="514"/>
      <c r="R2361" s="293"/>
      <c r="S2361" s="316"/>
      <c r="T2361" s="355"/>
    </row>
    <row r="2362" spans="14:20" x14ac:dyDescent="0.25">
      <c r="N2362" s="514"/>
      <c r="R2362" s="293"/>
      <c r="S2362" s="316"/>
      <c r="T2362" s="355"/>
    </row>
    <row r="2363" spans="14:20" x14ac:dyDescent="0.25">
      <c r="N2363" s="514"/>
      <c r="R2363" s="293"/>
      <c r="S2363" s="316"/>
      <c r="T2363" s="355"/>
    </row>
    <row r="2364" spans="14:20" x14ac:dyDescent="0.25">
      <c r="N2364" s="514"/>
      <c r="R2364" s="293"/>
      <c r="S2364" s="316"/>
      <c r="T2364" s="355"/>
    </row>
    <row r="2365" spans="14:20" x14ac:dyDescent="0.25">
      <c r="N2365" s="514"/>
      <c r="R2365" s="293"/>
      <c r="S2365" s="316"/>
      <c r="T2365" s="355"/>
    </row>
    <row r="2366" spans="14:20" x14ac:dyDescent="0.25">
      <c r="N2366" s="514"/>
      <c r="R2366" s="293"/>
      <c r="S2366" s="316"/>
      <c r="T2366" s="355"/>
    </row>
    <row r="2367" spans="14:20" x14ac:dyDescent="0.25">
      <c r="N2367" s="514"/>
      <c r="R2367" s="293"/>
      <c r="S2367" s="316"/>
      <c r="T2367" s="355"/>
    </row>
    <row r="2368" spans="14:20" x14ac:dyDescent="0.25">
      <c r="N2368" s="514"/>
      <c r="R2368" s="293"/>
      <c r="S2368" s="316"/>
      <c r="T2368" s="355"/>
    </row>
    <row r="2369" spans="14:20" x14ac:dyDescent="0.25">
      <c r="N2369" s="514"/>
      <c r="R2369" s="293"/>
      <c r="S2369" s="316"/>
      <c r="T2369" s="355"/>
    </row>
    <row r="2370" spans="14:20" x14ac:dyDescent="0.25">
      <c r="N2370" s="514"/>
      <c r="R2370" s="293"/>
      <c r="S2370" s="316"/>
      <c r="T2370" s="355"/>
    </row>
    <row r="2371" spans="14:20" x14ac:dyDescent="0.25">
      <c r="N2371" s="514"/>
      <c r="R2371" s="293"/>
      <c r="S2371" s="316"/>
      <c r="T2371" s="355"/>
    </row>
    <row r="2372" spans="14:20" x14ac:dyDescent="0.25">
      <c r="N2372" s="514"/>
      <c r="R2372" s="293"/>
      <c r="S2372" s="316"/>
      <c r="T2372" s="355"/>
    </row>
    <row r="2373" spans="14:20" x14ac:dyDescent="0.25">
      <c r="N2373" s="514"/>
      <c r="R2373" s="293"/>
      <c r="S2373" s="316"/>
      <c r="T2373" s="355"/>
    </row>
    <row r="2374" spans="14:20" x14ac:dyDescent="0.25">
      <c r="N2374" s="514"/>
      <c r="R2374" s="293"/>
      <c r="S2374" s="316"/>
      <c r="T2374" s="355"/>
    </row>
    <row r="2375" spans="14:20" x14ac:dyDescent="0.25">
      <c r="N2375" s="514"/>
      <c r="R2375" s="293"/>
      <c r="S2375" s="316"/>
      <c r="T2375" s="355"/>
    </row>
    <row r="2376" spans="14:20" x14ac:dyDescent="0.25">
      <c r="N2376" s="514"/>
      <c r="R2376" s="293"/>
      <c r="S2376" s="316"/>
      <c r="T2376" s="355"/>
    </row>
    <row r="2377" spans="14:20" x14ac:dyDescent="0.25">
      <c r="N2377" s="514"/>
      <c r="R2377" s="293"/>
      <c r="S2377" s="316"/>
      <c r="T2377" s="355"/>
    </row>
    <row r="2378" spans="14:20" x14ac:dyDescent="0.25">
      <c r="N2378" s="514"/>
      <c r="R2378" s="293"/>
      <c r="S2378" s="316"/>
      <c r="T2378" s="355"/>
    </row>
    <row r="2379" spans="14:20" x14ac:dyDescent="0.25">
      <c r="N2379" s="514"/>
      <c r="R2379" s="293"/>
      <c r="S2379" s="316"/>
      <c r="T2379" s="355"/>
    </row>
    <row r="2380" spans="14:20" x14ac:dyDescent="0.25">
      <c r="N2380" s="514"/>
      <c r="R2380" s="293"/>
      <c r="S2380" s="316"/>
      <c r="T2380" s="355"/>
    </row>
    <row r="2381" spans="14:20" x14ac:dyDescent="0.25">
      <c r="N2381" s="514"/>
      <c r="R2381" s="293"/>
      <c r="S2381" s="316"/>
      <c r="T2381" s="355"/>
    </row>
    <row r="2382" spans="14:20" x14ac:dyDescent="0.25">
      <c r="N2382" s="514"/>
      <c r="R2382" s="293"/>
      <c r="S2382" s="316"/>
      <c r="T2382" s="355"/>
    </row>
    <row r="2383" spans="14:20" x14ac:dyDescent="0.25">
      <c r="N2383" s="514"/>
      <c r="R2383" s="293"/>
      <c r="S2383" s="316"/>
      <c r="T2383" s="355"/>
    </row>
    <row r="2384" spans="14:20" x14ac:dyDescent="0.25">
      <c r="N2384" s="514"/>
      <c r="R2384" s="293"/>
      <c r="S2384" s="316"/>
      <c r="T2384" s="355"/>
    </row>
    <row r="2385" spans="14:20" x14ac:dyDescent="0.25">
      <c r="N2385" s="514"/>
      <c r="R2385" s="293"/>
      <c r="S2385" s="316"/>
      <c r="T2385" s="355"/>
    </row>
    <row r="2386" spans="14:20" x14ac:dyDescent="0.25">
      <c r="N2386" s="514"/>
      <c r="R2386" s="293"/>
      <c r="S2386" s="316"/>
      <c r="T2386" s="355"/>
    </row>
    <row r="2387" spans="14:20" x14ac:dyDescent="0.25">
      <c r="N2387" s="514"/>
      <c r="R2387" s="293"/>
      <c r="S2387" s="316"/>
      <c r="T2387" s="355"/>
    </row>
    <row r="2388" spans="14:20" x14ac:dyDescent="0.25">
      <c r="N2388" s="514"/>
      <c r="R2388" s="293"/>
      <c r="S2388" s="316"/>
      <c r="T2388" s="355"/>
    </row>
    <row r="2389" spans="14:20" x14ac:dyDescent="0.25">
      <c r="N2389" s="514"/>
      <c r="R2389" s="293"/>
      <c r="S2389" s="316"/>
      <c r="T2389" s="355"/>
    </row>
    <row r="2390" spans="14:20" x14ac:dyDescent="0.25">
      <c r="N2390" s="514"/>
      <c r="R2390" s="293"/>
      <c r="S2390" s="316"/>
      <c r="T2390" s="355"/>
    </row>
    <row r="2391" spans="14:20" x14ac:dyDescent="0.25">
      <c r="N2391" s="514"/>
      <c r="R2391" s="293"/>
      <c r="S2391" s="316"/>
      <c r="T2391" s="355"/>
    </row>
    <row r="2392" spans="14:20" x14ac:dyDescent="0.25">
      <c r="N2392" s="514"/>
      <c r="R2392" s="293"/>
      <c r="S2392" s="316"/>
      <c r="T2392" s="355"/>
    </row>
    <row r="2393" spans="14:20" x14ac:dyDescent="0.25">
      <c r="N2393" s="514"/>
      <c r="R2393" s="293"/>
      <c r="S2393" s="316"/>
      <c r="T2393" s="355"/>
    </row>
    <row r="2394" spans="14:20" x14ac:dyDescent="0.25">
      <c r="N2394" s="514"/>
      <c r="R2394" s="293"/>
      <c r="S2394" s="316"/>
      <c r="T2394" s="355"/>
    </row>
    <row r="2395" spans="14:20" x14ac:dyDescent="0.25">
      <c r="N2395" s="514"/>
      <c r="R2395" s="293"/>
      <c r="S2395" s="316"/>
      <c r="T2395" s="355"/>
    </row>
    <row r="2396" spans="14:20" x14ac:dyDescent="0.25">
      <c r="N2396" s="514"/>
      <c r="R2396" s="293"/>
      <c r="S2396" s="316"/>
      <c r="T2396" s="355"/>
    </row>
    <row r="2397" spans="14:20" x14ac:dyDescent="0.25">
      <c r="N2397" s="514"/>
      <c r="R2397" s="293"/>
      <c r="S2397" s="316"/>
      <c r="T2397" s="355"/>
    </row>
    <row r="2398" spans="14:20" x14ac:dyDescent="0.25">
      <c r="N2398" s="514"/>
      <c r="R2398" s="293"/>
      <c r="S2398" s="316"/>
      <c r="T2398" s="355"/>
    </row>
    <row r="2399" spans="14:20" x14ac:dyDescent="0.25">
      <c r="N2399" s="514"/>
      <c r="R2399" s="293"/>
      <c r="S2399" s="316"/>
      <c r="T2399" s="355"/>
    </row>
    <row r="2400" spans="14:20" x14ac:dyDescent="0.25">
      <c r="N2400" s="514"/>
      <c r="R2400" s="293"/>
      <c r="S2400" s="316"/>
      <c r="T2400" s="355"/>
    </row>
    <row r="2401" spans="14:20" x14ac:dyDescent="0.25">
      <c r="N2401" s="514"/>
      <c r="R2401" s="293"/>
      <c r="S2401" s="316"/>
      <c r="T2401" s="355"/>
    </row>
    <row r="2402" spans="14:20" x14ac:dyDescent="0.25">
      <c r="N2402" s="514"/>
      <c r="R2402" s="293"/>
      <c r="S2402" s="316"/>
      <c r="T2402" s="355"/>
    </row>
    <row r="2403" spans="14:20" x14ac:dyDescent="0.25">
      <c r="N2403" s="514"/>
      <c r="R2403" s="293"/>
      <c r="S2403" s="316"/>
      <c r="T2403" s="355"/>
    </row>
    <row r="2404" spans="14:20" x14ac:dyDescent="0.25">
      <c r="N2404" s="514"/>
      <c r="R2404" s="293"/>
      <c r="S2404" s="316"/>
      <c r="T2404" s="355"/>
    </row>
    <row r="2405" spans="14:20" x14ac:dyDescent="0.25">
      <c r="N2405" s="514"/>
      <c r="R2405" s="293"/>
      <c r="S2405" s="316"/>
      <c r="T2405" s="355"/>
    </row>
    <row r="2406" spans="14:20" x14ac:dyDescent="0.25">
      <c r="N2406" s="514"/>
      <c r="R2406" s="293"/>
      <c r="S2406" s="316"/>
      <c r="T2406" s="355"/>
    </row>
    <row r="2407" spans="14:20" x14ac:dyDescent="0.25">
      <c r="N2407" s="514"/>
      <c r="R2407" s="293"/>
      <c r="S2407" s="316"/>
      <c r="T2407" s="355"/>
    </row>
    <row r="2408" spans="14:20" x14ac:dyDescent="0.25">
      <c r="N2408" s="514"/>
      <c r="R2408" s="293"/>
      <c r="S2408" s="316"/>
      <c r="T2408" s="355"/>
    </row>
    <row r="2409" spans="14:20" x14ac:dyDescent="0.25">
      <c r="N2409" s="514"/>
      <c r="R2409" s="293"/>
      <c r="S2409" s="316"/>
      <c r="T2409" s="355"/>
    </row>
    <row r="2410" spans="14:20" x14ac:dyDescent="0.25">
      <c r="N2410" s="514"/>
      <c r="R2410" s="293"/>
      <c r="S2410" s="316"/>
      <c r="T2410" s="355"/>
    </row>
    <row r="2411" spans="14:20" x14ac:dyDescent="0.25">
      <c r="N2411" s="514"/>
      <c r="R2411" s="293"/>
      <c r="S2411" s="316"/>
      <c r="T2411" s="355"/>
    </row>
    <row r="2412" spans="14:20" x14ac:dyDescent="0.25">
      <c r="N2412" s="514"/>
      <c r="R2412" s="293"/>
      <c r="S2412" s="316"/>
      <c r="T2412" s="355"/>
    </row>
    <row r="2413" spans="14:20" x14ac:dyDescent="0.25">
      <c r="N2413" s="514"/>
      <c r="R2413" s="293"/>
      <c r="S2413" s="316"/>
      <c r="T2413" s="355"/>
    </row>
    <row r="2414" spans="14:20" x14ac:dyDescent="0.25">
      <c r="N2414" s="514"/>
      <c r="R2414" s="293"/>
      <c r="S2414" s="316"/>
      <c r="T2414" s="355"/>
    </row>
    <row r="2415" spans="14:20" x14ac:dyDescent="0.25">
      <c r="N2415" s="514"/>
      <c r="R2415" s="293"/>
      <c r="S2415" s="316"/>
      <c r="T2415" s="355"/>
    </row>
    <row r="2416" spans="14:20" x14ac:dyDescent="0.25">
      <c r="N2416" s="514"/>
      <c r="R2416" s="293"/>
      <c r="S2416" s="316"/>
      <c r="T2416" s="355"/>
    </row>
    <row r="2417" spans="14:20" x14ac:dyDescent="0.25">
      <c r="N2417" s="514"/>
      <c r="R2417" s="293"/>
      <c r="S2417" s="316"/>
      <c r="T2417" s="355"/>
    </row>
    <row r="2418" spans="14:20" x14ac:dyDescent="0.25">
      <c r="N2418" s="514"/>
      <c r="R2418" s="293"/>
      <c r="S2418" s="316"/>
      <c r="T2418" s="355"/>
    </row>
    <row r="2419" spans="14:20" x14ac:dyDescent="0.25">
      <c r="N2419" s="514"/>
      <c r="R2419" s="293"/>
      <c r="S2419" s="316"/>
      <c r="T2419" s="355"/>
    </row>
    <row r="2420" spans="14:20" x14ac:dyDescent="0.25">
      <c r="N2420" s="514"/>
      <c r="R2420" s="293"/>
      <c r="S2420" s="316"/>
      <c r="T2420" s="355"/>
    </row>
    <row r="2421" spans="14:20" x14ac:dyDescent="0.25">
      <c r="N2421" s="514"/>
      <c r="R2421" s="293"/>
      <c r="S2421" s="316"/>
      <c r="T2421" s="355"/>
    </row>
    <row r="2422" spans="14:20" x14ac:dyDescent="0.25">
      <c r="N2422" s="514"/>
      <c r="R2422" s="293"/>
      <c r="S2422" s="316"/>
      <c r="T2422" s="355"/>
    </row>
    <row r="2423" spans="14:20" x14ac:dyDescent="0.25">
      <c r="N2423" s="514"/>
      <c r="R2423" s="293"/>
      <c r="S2423" s="316"/>
      <c r="T2423" s="355"/>
    </row>
    <row r="2424" spans="14:20" x14ac:dyDescent="0.25">
      <c r="N2424" s="514"/>
      <c r="R2424" s="293"/>
      <c r="S2424" s="316"/>
      <c r="T2424" s="355"/>
    </row>
    <row r="2425" spans="14:20" x14ac:dyDescent="0.25">
      <c r="N2425" s="514"/>
      <c r="R2425" s="293"/>
      <c r="S2425" s="316"/>
      <c r="T2425" s="355"/>
    </row>
    <row r="2426" spans="14:20" x14ac:dyDescent="0.25">
      <c r="N2426" s="514"/>
      <c r="R2426" s="293"/>
      <c r="S2426" s="316"/>
      <c r="T2426" s="355"/>
    </row>
    <row r="2427" spans="14:20" x14ac:dyDescent="0.25">
      <c r="N2427" s="514"/>
      <c r="R2427" s="293"/>
      <c r="S2427" s="316"/>
      <c r="T2427" s="355"/>
    </row>
    <row r="2428" spans="14:20" x14ac:dyDescent="0.25">
      <c r="N2428" s="514"/>
      <c r="R2428" s="293"/>
      <c r="S2428" s="316"/>
      <c r="T2428" s="355"/>
    </row>
    <row r="2429" spans="14:20" x14ac:dyDescent="0.25">
      <c r="N2429" s="514"/>
      <c r="R2429" s="293"/>
      <c r="S2429" s="316"/>
      <c r="T2429" s="355"/>
    </row>
    <row r="2430" spans="14:20" x14ac:dyDescent="0.25">
      <c r="N2430" s="514"/>
      <c r="R2430" s="293"/>
      <c r="S2430" s="316"/>
      <c r="T2430" s="355"/>
    </row>
    <row r="2431" spans="14:20" x14ac:dyDescent="0.25">
      <c r="N2431" s="514"/>
      <c r="R2431" s="293"/>
      <c r="S2431" s="316"/>
      <c r="T2431" s="355"/>
    </row>
    <row r="2432" spans="14:20" x14ac:dyDescent="0.25">
      <c r="N2432" s="514"/>
      <c r="R2432" s="293"/>
      <c r="S2432" s="316"/>
      <c r="T2432" s="355"/>
    </row>
    <row r="2433" spans="14:20" x14ac:dyDescent="0.25">
      <c r="N2433" s="514"/>
      <c r="R2433" s="293"/>
      <c r="S2433" s="316"/>
      <c r="T2433" s="355"/>
    </row>
    <row r="2434" spans="14:20" x14ac:dyDescent="0.25">
      <c r="N2434" s="514"/>
      <c r="R2434" s="293"/>
      <c r="S2434" s="316"/>
      <c r="T2434" s="355"/>
    </row>
    <row r="2435" spans="14:20" x14ac:dyDescent="0.25">
      <c r="N2435" s="514"/>
      <c r="R2435" s="293"/>
      <c r="S2435" s="316"/>
      <c r="T2435" s="355"/>
    </row>
    <row r="2436" spans="14:20" x14ac:dyDescent="0.25">
      <c r="N2436" s="514"/>
      <c r="R2436" s="293"/>
      <c r="S2436" s="316"/>
      <c r="T2436" s="355"/>
    </row>
    <row r="2437" spans="14:20" x14ac:dyDescent="0.25">
      <c r="N2437" s="514"/>
      <c r="R2437" s="293"/>
      <c r="S2437" s="316"/>
      <c r="T2437" s="355"/>
    </row>
    <row r="2438" spans="14:20" x14ac:dyDescent="0.25">
      <c r="N2438" s="514"/>
      <c r="R2438" s="293"/>
      <c r="S2438" s="316"/>
      <c r="T2438" s="355"/>
    </row>
    <row r="2439" spans="14:20" x14ac:dyDescent="0.25">
      <c r="N2439" s="514"/>
      <c r="R2439" s="293"/>
      <c r="S2439" s="316"/>
      <c r="T2439" s="355"/>
    </row>
    <row r="2440" spans="14:20" x14ac:dyDescent="0.25">
      <c r="N2440" s="514"/>
      <c r="R2440" s="293"/>
      <c r="S2440" s="316"/>
      <c r="T2440" s="355"/>
    </row>
    <row r="2441" spans="14:20" x14ac:dyDescent="0.25">
      <c r="N2441" s="514"/>
      <c r="R2441" s="293"/>
      <c r="S2441" s="316"/>
      <c r="T2441" s="355"/>
    </row>
    <row r="2442" spans="14:20" x14ac:dyDescent="0.25">
      <c r="N2442" s="514"/>
      <c r="R2442" s="293"/>
      <c r="S2442" s="316"/>
      <c r="T2442" s="355"/>
    </row>
    <row r="2443" spans="14:20" x14ac:dyDescent="0.25">
      <c r="N2443" s="514"/>
      <c r="R2443" s="293"/>
      <c r="S2443" s="316"/>
      <c r="T2443" s="355"/>
    </row>
    <row r="2444" spans="14:20" x14ac:dyDescent="0.25">
      <c r="N2444" s="514"/>
      <c r="R2444" s="293"/>
      <c r="S2444" s="316"/>
      <c r="T2444" s="355"/>
    </row>
    <row r="2445" spans="14:20" x14ac:dyDescent="0.25">
      <c r="N2445" s="514"/>
      <c r="R2445" s="293"/>
      <c r="S2445" s="316"/>
      <c r="T2445" s="355"/>
    </row>
    <row r="2446" spans="14:20" x14ac:dyDescent="0.25">
      <c r="N2446" s="514"/>
      <c r="R2446" s="293"/>
      <c r="S2446" s="316"/>
      <c r="T2446" s="355"/>
    </row>
    <row r="2447" spans="14:20" x14ac:dyDescent="0.25">
      <c r="N2447" s="514"/>
      <c r="R2447" s="293"/>
      <c r="S2447" s="316"/>
      <c r="T2447" s="355"/>
    </row>
    <row r="2448" spans="14:20" x14ac:dyDescent="0.25">
      <c r="N2448" s="514"/>
      <c r="R2448" s="293"/>
      <c r="S2448" s="316"/>
      <c r="T2448" s="355"/>
    </row>
    <row r="2449" spans="14:20" x14ac:dyDescent="0.25">
      <c r="N2449" s="514"/>
      <c r="R2449" s="293"/>
      <c r="S2449" s="316"/>
      <c r="T2449" s="355"/>
    </row>
    <row r="2450" spans="14:20" x14ac:dyDescent="0.25">
      <c r="N2450" s="514"/>
      <c r="R2450" s="293"/>
      <c r="S2450" s="316"/>
      <c r="T2450" s="355"/>
    </row>
    <row r="2451" spans="14:20" x14ac:dyDescent="0.25">
      <c r="N2451" s="514"/>
      <c r="R2451" s="293"/>
      <c r="S2451" s="316"/>
      <c r="T2451" s="355"/>
    </row>
    <row r="2452" spans="14:20" x14ac:dyDescent="0.25">
      <c r="N2452" s="514"/>
      <c r="R2452" s="293"/>
      <c r="S2452" s="316"/>
      <c r="T2452" s="355"/>
    </row>
    <row r="2453" spans="14:20" x14ac:dyDescent="0.25">
      <c r="N2453" s="514"/>
      <c r="R2453" s="293"/>
      <c r="S2453" s="316"/>
      <c r="T2453" s="355"/>
    </row>
    <row r="2454" spans="14:20" x14ac:dyDescent="0.25">
      <c r="N2454" s="514"/>
      <c r="R2454" s="293"/>
      <c r="S2454" s="316"/>
      <c r="T2454" s="355"/>
    </row>
    <row r="2455" spans="14:20" x14ac:dyDescent="0.25">
      <c r="N2455" s="514"/>
      <c r="R2455" s="293"/>
      <c r="S2455" s="316"/>
      <c r="T2455" s="355"/>
    </row>
    <row r="2456" spans="14:20" x14ac:dyDescent="0.25">
      <c r="N2456" s="514"/>
      <c r="R2456" s="293"/>
      <c r="S2456" s="316"/>
      <c r="T2456" s="355"/>
    </row>
    <row r="2457" spans="14:20" x14ac:dyDescent="0.25">
      <c r="N2457" s="514"/>
      <c r="R2457" s="293"/>
      <c r="S2457" s="316"/>
      <c r="T2457" s="355"/>
    </row>
    <row r="2458" spans="14:20" x14ac:dyDescent="0.25">
      <c r="N2458" s="514"/>
      <c r="R2458" s="293"/>
      <c r="S2458" s="316"/>
      <c r="T2458" s="355"/>
    </row>
    <row r="2459" spans="14:20" x14ac:dyDescent="0.25">
      <c r="N2459" s="514"/>
      <c r="R2459" s="293"/>
      <c r="S2459" s="316"/>
      <c r="T2459" s="355"/>
    </row>
    <row r="2460" spans="14:20" x14ac:dyDescent="0.25">
      <c r="N2460" s="514"/>
      <c r="R2460" s="293"/>
      <c r="S2460" s="316"/>
      <c r="T2460" s="355"/>
    </row>
    <row r="2461" spans="14:20" x14ac:dyDescent="0.25">
      <c r="N2461" s="514"/>
      <c r="R2461" s="293"/>
      <c r="S2461" s="316"/>
      <c r="T2461" s="355"/>
    </row>
    <row r="2462" spans="14:20" x14ac:dyDescent="0.25">
      <c r="N2462" s="514"/>
      <c r="R2462" s="293"/>
      <c r="S2462" s="316"/>
      <c r="T2462" s="355"/>
    </row>
    <row r="2463" spans="14:20" x14ac:dyDescent="0.25">
      <c r="N2463" s="514"/>
      <c r="R2463" s="293"/>
      <c r="S2463" s="316"/>
      <c r="T2463" s="355"/>
    </row>
    <row r="2464" spans="14:20" x14ac:dyDescent="0.25">
      <c r="N2464" s="514"/>
      <c r="R2464" s="293"/>
      <c r="S2464" s="316"/>
      <c r="T2464" s="355"/>
    </row>
    <row r="2465" spans="14:20" x14ac:dyDescent="0.25">
      <c r="N2465" s="514"/>
      <c r="R2465" s="293"/>
      <c r="S2465" s="316"/>
      <c r="T2465" s="355"/>
    </row>
    <row r="2466" spans="14:20" x14ac:dyDescent="0.25">
      <c r="N2466" s="514"/>
      <c r="R2466" s="293"/>
      <c r="S2466" s="316"/>
      <c r="T2466" s="355"/>
    </row>
    <row r="2467" spans="14:20" x14ac:dyDescent="0.25">
      <c r="N2467" s="514"/>
      <c r="R2467" s="293"/>
      <c r="S2467" s="316"/>
      <c r="T2467" s="355"/>
    </row>
    <row r="2468" spans="14:20" x14ac:dyDescent="0.25">
      <c r="N2468" s="514"/>
      <c r="R2468" s="293"/>
      <c r="S2468" s="316"/>
      <c r="T2468" s="355"/>
    </row>
    <row r="2469" spans="14:20" x14ac:dyDescent="0.25">
      <c r="N2469" s="514"/>
      <c r="R2469" s="293"/>
      <c r="S2469" s="316"/>
      <c r="T2469" s="355"/>
    </row>
    <row r="2470" spans="14:20" x14ac:dyDescent="0.25">
      <c r="N2470" s="514"/>
      <c r="R2470" s="293"/>
      <c r="S2470" s="316"/>
      <c r="T2470" s="355"/>
    </row>
    <row r="2471" spans="14:20" x14ac:dyDescent="0.25">
      <c r="N2471" s="514"/>
      <c r="R2471" s="293"/>
      <c r="S2471" s="316"/>
      <c r="T2471" s="355"/>
    </row>
    <row r="2472" spans="14:20" x14ac:dyDescent="0.25">
      <c r="N2472" s="514"/>
      <c r="R2472" s="293"/>
      <c r="S2472" s="316"/>
      <c r="T2472" s="355"/>
    </row>
    <row r="2473" spans="14:20" x14ac:dyDescent="0.25">
      <c r="N2473" s="514"/>
      <c r="R2473" s="293"/>
      <c r="S2473" s="316"/>
      <c r="T2473" s="355"/>
    </row>
    <row r="2474" spans="14:20" x14ac:dyDescent="0.25">
      <c r="N2474" s="514"/>
      <c r="R2474" s="293"/>
      <c r="S2474" s="316"/>
      <c r="T2474" s="355"/>
    </row>
    <row r="2475" spans="14:20" x14ac:dyDescent="0.25">
      <c r="N2475" s="514"/>
      <c r="R2475" s="293"/>
      <c r="S2475" s="316"/>
      <c r="T2475" s="355"/>
    </row>
    <row r="2476" spans="14:20" x14ac:dyDescent="0.25">
      <c r="N2476" s="514"/>
      <c r="R2476" s="293"/>
      <c r="S2476" s="316"/>
      <c r="T2476" s="355"/>
    </row>
    <row r="2477" spans="14:20" x14ac:dyDescent="0.25">
      <c r="N2477" s="514"/>
      <c r="R2477" s="293"/>
      <c r="S2477" s="316"/>
      <c r="T2477" s="355"/>
    </row>
    <row r="2478" spans="14:20" x14ac:dyDescent="0.25">
      <c r="N2478" s="514"/>
      <c r="R2478" s="293"/>
      <c r="S2478" s="316"/>
      <c r="T2478" s="355"/>
    </row>
    <row r="2479" spans="14:20" x14ac:dyDescent="0.25">
      <c r="N2479" s="514"/>
      <c r="R2479" s="293"/>
      <c r="S2479" s="316"/>
      <c r="T2479" s="355"/>
    </row>
    <row r="2480" spans="14:20" x14ac:dyDescent="0.25">
      <c r="N2480" s="514"/>
      <c r="R2480" s="293"/>
      <c r="S2480" s="316"/>
      <c r="T2480" s="355"/>
    </row>
    <row r="2481" spans="14:20" x14ac:dyDescent="0.25">
      <c r="N2481" s="514"/>
      <c r="R2481" s="293"/>
      <c r="S2481" s="316"/>
      <c r="T2481" s="355"/>
    </row>
    <row r="2482" spans="14:20" x14ac:dyDescent="0.25">
      <c r="N2482" s="514"/>
      <c r="R2482" s="293"/>
      <c r="S2482" s="316"/>
      <c r="T2482" s="355"/>
    </row>
    <row r="2483" spans="14:20" x14ac:dyDescent="0.25">
      <c r="N2483" s="514"/>
      <c r="R2483" s="293"/>
      <c r="S2483" s="316"/>
      <c r="T2483" s="355"/>
    </row>
    <row r="2484" spans="14:20" x14ac:dyDescent="0.25">
      <c r="N2484" s="514"/>
      <c r="R2484" s="293"/>
      <c r="S2484" s="316"/>
      <c r="T2484" s="355"/>
    </row>
    <row r="2485" spans="14:20" x14ac:dyDescent="0.25">
      <c r="N2485" s="514"/>
      <c r="R2485" s="293"/>
      <c r="S2485" s="316"/>
      <c r="T2485" s="355"/>
    </row>
    <row r="2486" spans="14:20" x14ac:dyDescent="0.25">
      <c r="N2486" s="514"/>
      <c r="R2486" s="293"/>
      <c r="S2486" s="316"/>
      <c r="T2486" s="355"/>
    </row>
    <row r="2487" spans="14:20" x14ac:dyDescent="0.25">
      <c r="N2487" s="514"/>
      <c r="R2487" s="293"/>
      <c r="S2487" s="316"/>
      <c r="T2487" s="355"/>
    </row>
    <row r="2488" spans="14:20" x14ac:dyDescent="0.25">
      <c r="N2488" s="514"/>
      <c r="R2488" s="293"/>
      <c r="S2488" s="316"/>
      <c r="T2488" s="355"/>
    </row>
    <row r="2489" spans="14:20" x14ac:dyDescent="0.25">
      <c r="N2489" s="514"/>
      <c r="R2489" s="293"/>
      <c r="S2489" s="316"/>
      <c r="T2489" s="355"/>
    </row>
    <row r="2490" spans="14:20" x14ac:dyDescent="0.25">
      <c r="N2490" s="514"/>
      <c r="R2490" s="293"/>
      <c r="S2490" s="316"/>
      <c r="T2490" s="355"/>
    </row>
    <row r="2491" spans="14:20" x14ac:dyDescent="0.25">
      <c r="N2491" s="514"/>
      <c r="R2491" s="293"/>
      <c r="S2491" s="316"/>
      <c r="T2491" s="355"/>
    </row>
    <row r="2492" spans="14:20" x14ac:dyDescent="0.25">
      <c r="N2492" s="514"/>
      <c r="R2492" s="293"/>
      <c r="S2492" s="316"/>
      <c r="T2492" s="355"/>
    </row>
    <row r="2493" spans="14:20" x14ac:dyDescent="0.25">
      <c r="N2493" s="514"/>
      <c r="R2493" s="293"/>
      <c r="S2493" s="316"/>
      <c r="T2493" s="355"/>
    </row>
    <row r="2494" spans="14:20" x14ac:dyDescent="0.25">
      <c r="N2494" s="514"/>
      <c r="R2494" s="293"/>
      <c r="S2494" s="316"/>
      <c r="T2494" s="355"/>
    </row>
    <row r="2495" spans="14:20" x14ac:dyDescent="0.25">
      <c r="N2495" s="514"/>
      <c r="R2495" s="293"/>
      <c r="S2495" s="316"/>
      <c r="T2495" s="355"/>
    </row>
    <row r="2496" spans="14:20" x14ac:dyDescent="0.25">
      <c r="N2496" s="514"/>
      <c r="R2496" s="293"/>
      <c r="S2496" s="316"/>
      <c r="T2496" s="355"/>
    </row>
    <row r="2497" spans="14:20" x14ac:dyDescent="0.25">
      <c r="N2497" s="514"/>
      <c r="R2497" s="293"/>
      <c r="S2497" s="316"/>
      <c r="T2497" s="355"/>
    </row>
    <row r="2498" spans="14:20" x14ac:dyDescent="0.25">
      <c r="N2498" s="514"/>
      <c r="R2498" s="293"/>
      <c r="S2498" s="316"/>
      <c r="T2498" s="355"/>
    </row>
    <row r="2499" spans="14:20" x14ac:dyDescent="0.25">
      <c r="N2499" s="514"/>
      <c r="R2499" s="293"/>
      <c r="S2499" s="316"/>
      <c r="T2499" s="355"/>
    </row>
    <row r="2500" spans="14:20" x14ac:dyDescent="0.25">
      <c r="N2500" s="514"/>
      <c r="R2500" s="293"/>
      <c r="S2500" s="316"/>
      <c r="T2500" s="355"/>
    </row>
    <row r="2501" spans="14:20" x14ac:dyDescent="0.25">
      <c r="N2501" s="514"/>
      <c r="R2501" s="293"/>
      <c r="S2501" s="316"/>
      <c r="T2501" s="355"/>
    </row>
    <row r="2502" spans="14:20" x14ac:dyDescent="0.25">
      <c r="N2502" s="514"/>
      <c r="R2502" s="293"/>
      <c r="S2502" s="316"/>
      <c r="T2502" s="355"/>
    </row>
    <row r="2503" spans="14:20" x14ac:dyDescent="0.25">
      <c r="N2503" s="514"/>
      <c r="R2503" s="293"/>
      <c r="S2503" s="316"/>
      <c r="T2503" s="355"/>
    </row>
    <row r="2504" spans="14:20" x14ac:dyDescent="0.25">
      <c r="N2504" s="514"/>
      <c r="R2504" s="293"/>
      <c r="S2504" s="316"/>
      <c r="T2504" s="355"/>
    </row>
    <row r="2505" spans="14:20" x14ac:dyDescent="0.25">
      <c r="N2505" s="514"/>
      <c r="R2505" s="293"/>
      <c r="S2505" s="316"/>
      <c r="T2505" s="355"/>
    </row>
    <row r="2506" spans="14:20" x14ac:dyDescent="0.25">
      <c r="N2506" s="514"/>
      <c r="R2506" s="293"/>
      <c r="S2506" s="316"/>
      <c r="T2506" s="355"/>
    </row>
    <row r="2507" spans="14:20" x14ac:dyDescent="0.25">
      <c r="N2507" s="514"/>
      <c r="R2507" s="293"/>
      <c r="S2507" s="316"/>
      <c r="T2507" s="355"/>
    </row>
    <row r="2508" spans="14:20" x14ac:dyDescent="0.25">
      <c r="N2508" s="514"/>
      <c r="R2508" s="293"/>
      <c r="S2508" s="316"/>
      <c r="T2508" s="355"/>
    </row>
    <row r="2509" spans="14:20" x14ac:dyDescent="0.25">
      <c r="N2509" s="514"/>
      <c r="R2509" s="293"/>
      <c r="S2509" s="316"/>
      <c r="T2509" s="355"/>
    </row>
    <row r="2510" spans="14:20" x14ac:dyDescent="0.25">
      <c r="N2510" s="514"/>
      <c r="R2510" s="293"/>
      <c r="S2510" s="316"/>
      <c r="T2510" s="355"/>
    </row>
    <row r="2511" spans="14:20" x14ac:dyDescent="0.25">
      <c r="N2511" s="514"/>
      <c r="R2511" s="293"/>
      <c r="S2511" s="316"/>
      <c r="T2511" s="355"/>
    </row>
    <row r="2512" spans="14:20" x14ac:dyDescent="0.25">
      <c r="N2512" s="514"/>
      <c r="R2512" s="293"/>
      <c r="S2512" s="316"/>
      <c r="T2512" s="355"/>
    </row>
    <row r="2513" spans="14:20" x14ac:dyDescent="0.25">
      <c r="N2513" s="514"/>
      <c r="R2513" s="293"/>
      <c r="S2513" s="316"/>
      <c r="T2513" s="355"/>
    </row>
    <row r="2514" spans="14:20" x14ac:dyDescent="0.25">
      <c r="N2514" s="514"/>
      <c r="R2514" s="293"/>
      <c r="S2514" s="316"/>
      <c r="T2514" s="355"/>
    </row>
    <row r="2515" spans="14:20" x14ac:dyDescent="0.25">
      <c r="N2515" s="514"/>
      <c r="R2515" s="293"/>
      <c r="S2515" s="316"/>
      <c r="T2515" s="355"/>
    </row>
    <row r="2516" spans="14:20" x14ac:dyDescent="0.25">
      <c r="N2516" s="514"/>
      <c r="R2516" s="293"/>
      <c r="S2516" s="316"/>
      <c r="T2516" s="355"/>
    </row>
    <row r="2517" spans="14:20" x14ac:dyDescent="0.25">
      <c r="N2517" s="514"/>
      <c r="R2517" s="293"/>
      <c r="S2517" s="316"/>
      <c r="T2517" s="355"/>
    </row>
    <row r="2518" spans="14:20" x14ac:dyDescent="0.25">
      <c r="N2518" s="514"/>
      <c r="R2518" s="293"/>
      <c r="S2518" s="316"/>
      <c r="T2518" s="355"/>
    </row>
    <row r="2519" spans="14:20" x14ac:dyDescent="0.25">
      <c r="N2519" s="514"/>
      <c r="R2519" s="293"/>
      <c r="S2519" s="316"/>
      <c r="T2519" s="355"/>
    </row>
    <row r="2520" spans="14:20" x14ac:dyDescent="0.25">
      <c r="N2520" s="514"/>
      <c r="R2520" s="293"/>
      <c r="S2520" s="316"/>
      <c r="T2520" s="355"/>
    </row>
    <row r="2521" spans="14:20" x14ac:dyDescent="0.25">
      <c r="N2521" s="514"/>
      <c r="R2521" s="293"/>
      <c r="S2521" s="316"/>
      <c r="T2521" s="355"/>
    </row>
    <row r="2522" spans="14:20" x14ac:dyDescent="0.25">
      <c r="N2522" s="514"/>
      <c r="R2522" s="293"/>
      <c r="S2522" s="316"/>
      <c r="T2522" s="355"/>
    </row>
    <row r="2523" spans="14:20" x14ac:dyDescent="0.25">
      <c r="N2523" s="514"/>
      <c r="R2523" s="293"/>
      <c r="S2523" s="316"/>
      <c r="T2523" s="355"/>
    </row>
    <row r="2524" spans="14:20" x14ac:dyDescent="0.25">
      <c r="N2524" s="514"/>
      <c r="R2524" s="293"/>
      <c r="S2524" s="316"/>
      <c r="T2524" s="355"/>
    </row>
    <row r="2525" spans="14:20" x14ac:dyDescent="0.25">
      <c r="N2525" s="514"/>
      <c r="R2525" s="293"/>
      <c r="S2525" s="316"/>
      <c r="T2525" s="355"/>
    </row>
    <row r="2526" spans="14:20" x14ac:dyDescent="0.25">
      <c r="N2526" s="514"/>
      <c r="R2526" s="293"/>
      <c r="S2526" s="316"/>
      <c r="T2526" s="355"/>
    </row>
    <row r="2527" spans="14:20" x14ac:dyDescent="0.25">
      <c r="N2527" s="514"/>
      <c r="R2527" s="293"/>
      <c r="S2527" s="316"/>
      <c r="T2527" s="355"/>
    </row>
    <row r="2528" spans="14:20" x14ac:dyDescent="0.25">
      <c r="N2528" s="514"/>
      <c r="R2528" s="293"/>
      <c r="S2528" s="316"/>
      <c r="T2528" s="355"/>
    </row>
    <row r="2529" spans="14:20" x14ac:dyDescent="0.25">
      <c r="N2529" s="514"/>
      <c r="R2529" s="293"/>
      <c r="S2529" s="316"/>
      <c r="T2529" s="355"/>
    </row>
    <row r="2530" spans="14:20" x14ac:dyDescent="0.25">
      <c r="N2530" s="514"/>
      <c r="R2530" s="293"/>
      <c r="S2530" s="316"/>
      <c r="T2530" s="355"/>
    </row>
    <row r="2531" spans="14:20" x14ac:dyDescent="0.25">
      <c r="N2531" s="514"/>
      <c r="R2531" s="293"/>
      <c r="S2531" s="316"/>
      <c r="T2531" s="355"/>
    </row>
    <row r="2532" spans="14:20" x14ac:dyDescent="0.25">
      <c r="N2532" s="514"/>
      <c r="R2532" s="293"/>
      <c r="S2532" s="316"/>
      <c r="T2532" s="355"/>
    </row>
    <row r="2533" spans="14:20" x14ac:dyDescent="0.25">
      <c r="N2533" s="514"/>
      <c r="R2533" s="293"/>
      <c r="S2533" s="316"/>
      <c r="T2533" s="355"/>
    </row>
    <row r="2534" spans="14:20" x14ac:dyDescent="0.25">
      <c r="N2534" s="514"/>
      <c r="R2534" s="293"/>
      <c r="S2534" s="316"/>
      <c r="T2534" s="355"/>
    </row>
    <row r="2535" spans="14:20" x14ac:dyDescent="0.25">
      <c r="N2535" s="514"/>
      <c r="R2535" s="293"/>
      <c r="S2535" s="316"/>
      <c r="T2535" s="355"/>
    </row>
    <row r="2536" spans="14:20" x14ac:dyDescent="0.25">
      <c r="N2536" s="514"/>
      <c r="R2536" s="293"/>
      <c r="S2536" s="316"/>
      <c r="T2536" s="355"/>
    </row>
    <row r="2537" spans="14:20" x14ac:dyDescent="0.25">
      <c r="N2537" s="514"/>
      <c r="R2537" s="293"/>
      <c r="S2537" s="316"/>
      <c r="T2537" s="355"/>
    </row>
    <row r="2538" spans="14:20" x14ac:dyDescent="0.25">
      <c r="N2538" s="514"/>
      <c r="R2538" s="293"/>
      <c r="S2538" s="316"/>
      <c r="T2538" s="355"/>
    </row>
    <row r="2539" spans="14:20" x14ac:dyDescent="0.25">
      <c r="N2539" s="514"/>
      <c r="R2539" s="293"/>
      <c r="S2539" s="316"/>
      <c r="T2539" s="355"/>
    </row>
    <row r="2540" spans="14:20" x14ac:dyDescent="0.25">
      <c r="N2540" s="514"/>
      <c r="R2540" s="293"/>
      <c r="S2540" s="316"/>
      <c r="T2540" s="355"/>
    </row>
    <row r="2541" spans="14:20" x14ac:dyDescent="0.25">
      <c r="N2541" s="514"/>
      <c r="R2541" s="293"/>
      <c r="S2541" s="316"/>
      <c r="T2541" s="355"/>
    </row>
    <row r="2542" spans="14:20" x14ac:dyDescent="0.25">
      <c r="N2542" s="514"/>
      <c r="R2542" s="293"/>
      <c r="S2542" s="316"/>
      <c r="T2542" s="355"/>
    </row>
    <row r="2543" spans="14:20" x14ac:dyDescent="0.25">
      <c r="N2543" s="514"/>
      <c r="R2543" s="293"/>
      <c r="S2543" s="316"/>
      <c r="T2543" s="355"/>
    </row>
    <row r="2544" spans="14:20" x14ac:dyDescent="0.25">
      <c r="N2544" s="514"/>
      <c r="R2544" s="293"/>
      <c r="S2544" s="316"/>
      <c r="T2544" s="355"/>
    </row>
    <row r="2545" spans="14:20" x14ac:dyDescent="0.25">
      <c r="N2545" s="514"/>
      <c r="R2545" s="293"/>
      <c r="S2545" s="316"/>
      <c r="T2545" s="355"/>
    </row>
    <row r="2546" spans="14:20" x14ac:dyDescent="0.25">
      <c r="N2546" s="514"/>
      <c r="R2546" s="293"/>
      <c r="S2546" s="316"/>
      <c r="T2546" s="355"/>
    </row>
    <row r="2547" spans="14:20" x14ac:dyDescent="0.25">
      <c r="N2547" s="514"/>
      <c r="R2547" s="293"/>
      <c r="S2547" s="316"/>
      <c r="T2547" s="355"/>
    </row>
    <row r="2548" spans="14:20" x14ac:dyDescent="0.25">
      <c r="N2548" s="514"/>
      <c r="R2548" s="293"/>
      <c r="S2548" s="316"/>
      <c r="T2548" s="355"/>
    </row>
    <row r="2549" spans="14:20" x14ac:dyDescent="0.25">
      <c r="N2549" s="514"/>
      <c r="R2549" s="293"/>
      <c r="S2549" s="316"/>
      <c r="T2549" s="355"/>
    </row>
    <row r="2550" spans="14:20" x14ac:dyDescent="0.25">
      <c r="N2550" s="514"/>
      <c r="R2550" s="293"/>
      <c r="S2550" s="316"/>
      <c r="T2550" s="355"/>
    </row>
    <row r="2551" spans="14:20" x14ac:dyDescent="0.25">
      <c r="N2551" s="514"/>
      <c r="R2551" s="293"/>
      <c r="S2551" s="316"/>
      <c r="T2551" s="355"/>
    </row>
    <row r="2552" spans="14:20" x14ac:dyDescent="0.25">
      <c r="N2552" s="514"/>
      <c r="R2552" s="293"/>
      <c r="S2552" s="316"/>
      <c r="T2552" s="355"/>
    </row>
    <row r="2553" spans="14:20" x14ac:dyDescent="0.25">
      <c r="N2553" s="514"/>
      <c r="R2553" s="293"/>
      <c r="S2553" s="316"/>
      <c r="T2553" s="355"/>
    </row>
    <row r="2554" spans="14:20" x14ac:dyDescent="0.25">
      <c r="N2554" s="514"/>
      <c r="R2554" s="293"/>
      <c r="S2554" s="316"/>
      <c r="T2554" s="355"/>
    </row>
    <row r="2555" spans="14:20" x14ac:dyDescent="0.25">
      <c r="N2555" s="514"/>
      <c r="R2555" s="293"/>
      <c r="S2555" s="316"/>
      <c r="T2555" s="355"/>
    </row>
    <row r="2556" spans="14:20" x14ac:dyDescent="0.25">
      <c r="N2556" s="514"/>
      <c r="R2556" s="293"/>
      <c r="S2556" s="316"/>
      <c r="T2556" s="355"/>
    </row>
    <row r="2557" spans="14:20" x14ac:dyDescent="0.25">
      <c r="N2557" s="514"/>
      <c r="R2557" s="293"/>
      <c r="S2557" s="316"/>
      <c r="T2557" s="355"/>
    </row>
    <row r="2558" spans="14:20" x14ac:dyDescent="0.25">
      <c r="N2558" s="514"/>
      <c r="R2558" s="293"/>
      <c r="S2558" s="316"/>
      <c r="T2558" s="355"/>
    </row>
    <row r="2559" spans="14:20" x14ac:dyDescent="0.25">
      <c r="N2559" s="514"/>
      <c r="R2559" s="293"/>
      <c r="S2559" s="316"/>
      <c r="T2559" s="355"/>
    </row>
    <row r="2560" spans="14:20" x14ac:dyDescent="0.25">
      <c r="N2560" s="514"/>
      <c r="R2560" s="293"/>
      <c r="S2560" s="316"/>
      <c r="T2560" s="355"/>
    </row>
    <row r="2561" spans="14:20" x14ac:dyDescent="0.25">
      <c r="N2561" s="514"/>
      <c r="R2561" s="293"/>
      <c r="S2561" s="316"/>
      <c r="T2561" s="355"/>
    </row>
    <row r="2562" spans="14:20" x14ac:dyDescent="0.25">
      <c r="N2562" s="514"/>
      <c r="R2562" s="293"/>
      <c r="S2562" s="316"/>
      <c r="T2562" s="355"/>
    </row>
    <row r="2563" spans="14:20" x14ac:dyDescent="0.25">
      <c r="N2563" s="514"/>
      <c r="R2563" s="293"/>
      <c r="S2563" s="316"/>
      <c r="T2563" s="355"/>
    </row>
    <row r="2564" spans="14:20" x14ac:dyDescent="0.25">
      <c r="N2564" s="514"/>
      <c r="R2564" s="293"/>
      <c r="S2564" s="316"/>
      <c r="T2564" s="355"/>
    </row>
    <row r="2565" spans="14:20" x14ac:dyDescent="0.25">
      <c r="N2565" s="514"/>
      <c r="R2565" s="293"/>
      <c r="S2565" s="316"/>
      <c r="T2565" s="355"/>
    </row>
    <row r="2566" spans="14:20" x14ac:dyDescent="0.25">
      <c r="N2566" s="514"/>
      <c r="R2566" s="293"/>
      <c r="S2566" s="316"/>
      <c r="T2566" s="355"/>
    </row>
    <row r="2567" spans="14:20" x14ac:dyDescent="0.25">
      <c r="N2567" s="514"/>
      <c r="R2567" s="293"/>
      <c r="S2567" s="316"/>
      <c r="T2567" s="355"/>
    </row>
    <row r="2568" spans="14:20" x14ac:dyDescent="0.25">
      <c r="N2568" s="514"/>
      <c r="R2568" s="293"/>
      <c r="S2568" s="316"/>
      <c r="T2568" s="355"/>
    </row>
    <row r="2569" spans="14:20" x14ac:dyDescent="0.25">
      <c r="N2569" s="514"/>
      <c r="R2569" s="293"/>
      <c r="S2569" s="316"/>
      <c r="T2569" s="355"/>
    </row>
    <row r="2570" spans="14:20" x14ac:dyDescent="0.25">
      <c r="N2570" s="514"/>
      <c r="R2570" s="293"/>
      <c r="S2570" s="316"/>
      <c r="T2570" s="355"/>
    </row>
    <row r="2571" spans="14:20" x14ac:dyDescent="0.25">
      <c r="N2571" s="514"/>
      <c r="R2571" s="293"/>
      <c r="S2571" s="316"/>
      <c r="T2571" s="355"/>
    </row>
    <row r="2572" spans="14:20" x14ac:dyDescent="0.25">
      <c r="N2572" s="514"/>
      <c r="R2572" s="293"/>
      <c r="S2572" s="316"/>
      <c r="T2572" s="355"/>
    </row>
    <row r="2573" spans="14:20" x14ac:dyDescent="0.25">
      <c r="N2573" s="514"/>
      <c r="R2573" s="293"/>
      <c r="S2573" s="316"/>
      <c r="T2573" s="355"/>
    </row>
    <row r="2574" spans="14:20" x14ac:dyDescent="0.25">
      <c r="N2574" s="514"/>
      <c r="R2574" s="293"/>
      <c r="S2574" s="316"/>
      <c r="T2574" s="355"/>
    </row>
    <row r="2575" spans="14:20" x14ac:dyDescent="0.25">
      <c r="N2575" s="514"/>
      <c r="R2575" s="293"/>
      <c r="S2575" s="316"/>
      <c r="T2575" s="355"/>
    </row>
    <row r="2576" spans="14:20" x14ac:dyDescent="0.25">
      <c r="N2576" s="514"/>
      <c r="R2576" s="293"/>
      <c r="S2576" s="316"/>
      <c r="T2576" s="355"/>
    </row>
    <row r="2577" spans="14:20" x14ac:dyDescent="0.25">
      <c r="N2577" s="514"/>
      <c r="R2577" s="293"/>
      <c r="S2577" s="316"/>
      <c r="T2577" s="355"/>
    </row>
    <row r="2578" spans="14:20" x14ac:dyDescent="0.25">
      <c r="N2578" s="514"/>
      <c r="R2578" s="293"/>
      <c r="S2578" s="316"/>
      <c r="T2578" s="355"/>
    </row>
    <row r="2579" spans="14:20" x14ac:dyDescent="0.25">
      <c r="N2579" s="514"/>
      <c r="R2579" s="293"/>
      <c r="S2579" s="316"/>
      <c r="T2579" s="355"/>
    </row>
    <row r="2580" spans="14:20" x14ac:dyDescent="0.25">
      <c r="N2580" s="514"/>
      <c r="R2580" s="293"/>
      <c r="S2580" s="316"/>
      <c r="T2580" s="355"/>
    </row>
    <row r="2581" spans="14:20" x14ac:dyDescent="0.25">
      <c r="N2581" s="514"/>
      <c r="R2581" s="293"/>
      <c r="S2581" s="316"/>
      <c r="T2581" s="355"/>
    </row>
    <row r="2582" spans="14:20" x14ac:dyDescent="0.25">
      <c r="N2582" s="514"/>
      <c r="R2582" s="293"/>
      <c r="S2582" s="316"/>
      <c r="T2582" s="355"/>
    </row>
    <row r="2583" spans="14:20" x14ac:dyDescent="0.25">
      <c r="N2583" s="514"/>
      <c r="R2583" s="293"/>
      <c r="S2583" s="316"/>
      <c r="T2583" s="355"/>
    </row>
    <row r="2584" spans="14:20" x14ac:dyDescent="0.25">
      <c r="N2584" s="514"/>
      <c r="R2584" s="293"/>
      <c r="S2584" s="316"/>
      <c r="T2584" s="355"/>
    </row>
    <row r="2585" spans="14:20" x14ac:dyDescent="0.25">
      <c r="N2585" s="514"/>
      <c r="R2585" s="293"/>
      <c r="S2585" s="316"/>
      <c r="T2585" s="355"/>
    </row>
    <row r="2586" spans="14:20" x14ac:dyDescent="0.25">
      <c r="N2586" s="514"/>
      <c r="R2586" s="293"/>
      <c r="S2586" s="316"/>
      <c r="T2586" s="355"/>
    </row>
    <row r="2587" spans="14:20" x14ac:dyDescent="0.25">
      <c r="N2587" s="514"/>
      <c r="R2587" s="293"/>
      <c r="S2587" s="316"/>
      <c r="T2587" s="355"/>
    </row>
    <row r="2588" spans="14:20" x14ac:dyDescent="0.25">
      <c r="N2588" s="514"/>
      <c r="R2588" s="293"/>
      <c r="S2588" s="316"/>
      <c r="T2588" s="355"/>
    </row>
    <row r="2589" spans="14:20" x14ac:dyDescent="0.25">
      <c r="N2589" s="514"/>
      <c r="R2589" s="293"/>
      <c r="S2589" s="316"/>
      <c r="T2589" s="355"/>
    </row>
    <row r="2590" spans="14:20" x14ac:dyDescent="0.25">
      <c r="N2590" s="514"/>
      <c r="R2590" s="293"/>
      <c r="S2590" s="316"/>
      <c r="T2590" s="355"/>
    </row>
    <row r="2591" spans="14:20" x14ac:dyDescent="0.25">
      <c r="N2591" s="514"/>
      <c r="R2591" s="293"/>
      <c r="S2591" s="316"/>
      <c r="T2591" s="355"/>
    </row>
    <row r="2592" spans="14:20" x14ac:dyDescent="0.25">
      <c r="N2592" s="514"/>
      <c r="R2592" s="293"/>
      <c r="S2592" s="316"/>
      <c r="T2592" s="355"/>
    </row>
    <row r="2593" spans="14:20" x14ac:dyDescent="0.25">
      <c r="N2593" s="514"/>
      <c r="R2593" s="293"/>
      <c r="S2593" s="316"/>
      <c r="T2593" s="355"/>
    </row>
    <row r="2594" spans="14:20" x14ac:dyDescent="0.25">
      <c r="N2594" s="514"/>
      <c r="R2594" s="293"/>
      <c r="S2594" s="316"/>
      <c r="T2594" s="355"/>
    </row>
    <row r="2595" spans="14:20" x14ac:dyDescent="0.25">
      <c r="N2595" s="514"/>
      <c r="R2595" s="293"/>
      <c r="S2595" s="316"/>
      <c r="T2595" s="355"/>
    </row>
    <row r="2596" spans="14:20" x14ac:dyDescent="0.25">
      <c r="N2596" s="514"/>
      <c r="R2596" s="293"/>
      <c r="S2596" s="316"/>
      <c r="T2596" s="355"/>
    </row>
    <row r="2597" spans="14:20" x14ac:dyDescent="0.25">
      <c r="N2597" s="514"/>
      <c r="R2597" s="293"/>
      <c r="S2597" s="316"/>
      <c r="T2597" s="355"/>
    </row>
    <row r="2598" spans="14:20" x14ac:dyDescent="0.25">
      <c r="N2598" s="514"/>
      <c r="R2598" s="293"/>
      <c r="S2598" s="316"/>
      <c r="T2598" s="355"/>
    </row>
    <row r="2599" spans="14:20" x14ac:dyDescent="0.25">
      <c r="N2599" s="514"/>
      <c r="R2599" s="293"/>
      <c r="S2599" s="316"/>
      <c r="T2599" s="355"/>
    </row>
    <row r="2600" spans="14:20" x14ac:dyDescent="0.25">
      <c r="N2600" s="514"/>
      <c r="R2600" s="293"/>
      <c r="S2600" s="316"/>
      <c r="T2600" s="355"/>
    </row>
    <row r="2601" spans="14:20" x14ac:dyDescent="0.25">
      <c r="N2601" s="514"/>
      <c r="R2601" s="293"/>
      <c r="S2601" s="316"/>
      <c r="T2601" s="355"/>
    </row>
    <row r="2602" spans="14:20" x14ac:dyDescent="0.25">
      <c r="N2602" s="514"/>
      <c r="R2602" s="293"/>
      <c r="S2602" s="316"/>
      <c r="T2602" s="355"/>
    </row>
    <row r="2603" spans="14:20" x14ac:dyDescent="0.25">
      <c r="N2603" s="514"/>
      <c r="R2603" s="293"/>
      <c r="S2603" s="316"/>
      <c r="T2603" s="355"/>
    </row>
    <row r="2604" spans="14:20" x14ac:dyDescent="0.25">
      <c r="N2604" s="514"/>
      <c r="R2604" s="293"/>
      <c r="S2604" s="316"/>
      <c r="T2604" s="355"/>
    </row>
    <row r="2605" spans="14:20" x14ac:dyDescent="0.25">
      <c r="N2605" s="514"/>
      <c r="R2605" s="293"/>
      <c r="S2605" s="316"/>
      <c r="T2605" s="355"/>
    </row>
    <row r="2606" spans="14:20" x14ac:dyDescent="0.25">
      <c r="N2606" s="514"/>
      <c r="R2606" s="293"/>
      <c r="S2606" s="316"/>
      <c r="T2606" s="355"/>
    </row>
    <row r="2607" spans="14:20" x14ac:dyDescent="0.25">
      <c r="N2607" s="514"/>
      <c r="R2607" s="293"/>
      <c r="S2607" s="316"/>
      <c r="T2607" s="355"/>
    </row>
    <row r="2608" spans="14:20" x14ac:dyDescent="0.25">
      <c r="N2608" s="514"/>
      <c r="R2608" s="293"/>
      <c r="S2608" s="316"/>
      <c r="T2608" s="355"/>
    </row>
    <row r="2609" spans="14:20" x14ac:dyDescent="0.25">
      <c r="N2609" s="514"/>
      <c r="R2609" s="293"/>
      <c r="S2609" s="316"/>
      <c r="T2609" s="355"/>
    </row>
    <row r="2610" spans="14:20" x14ac:dyDescent="0.25">
      <c r="N2610" s="514"/>
      <c r="R2610" s="293"/>
      <c r="S2610" s="316"/>
      <c r="T2610" s="355"/>
    </row>
    <row r="2611" spans="14:20" x14ac:dyDescent="0.25">
      <c r="N2611" s="514"/>
      <c r="R2611" s="293"/>
      <c r="S2611" s="316"/>
      <c r="T2611" s="355"/>
    </row>
    <row r="2612" spans="14:20" x14ac:dyDescent="0.25">
      <c r="N2612" s="514"/>
      <c r="R2612" s="293"/>
      <c r="S2612" s="316"/>
      <c r="T2612" s="355"/>
    </row>
    <row r="2613" spans="14:20" x14ac:dyDescent="0.25">
      <c r="N2613" s="514"/>
      <c r="R2613" s="293"/>
      <c r="S2613" s="316"/>
      <c r="T2613" s="355"/>
    </row>
    <row r="2614" spans="14:20" x14ac:dyDescent="0.25">
      <c r="N2614" s="514"/>
      <c r="R2614" s="293"/>
      <c r="S2614" s="316"/>
      <c r="T2614" s="355"/>
    </row>
    <row r="2615" spans="14:20" x14ac:dyDescent="0.25">
      <c r="N2615" s="514"/>
      <c r="R2615" s="293"/>
      <c r="S2615" s="316"/>
      <c r="T2615" s="355"/>
    </row>
    <row r="2616" spans="14:20" x14ac:dyDescent="0.25">
      <c r="N2616" s="514"/>
      <c r="R2616" s="293"/>
      <c r="S2616" s="316"/>
      <c r="T2616" s="355"/>
    </row>
    <row r="2617" spans="14:20" x14ac:dyDescent="0.25">
      <c r="N2617" s="514"/>
      <c r="R2617" s="293"/>
      <c r="S2617" s="316"/>
      <c r="T2617" s="355"/>
    </row>
    <row r="2618" spans="14:20" x14ac:dyDescent="0.25">
      <c r="N2618" s="514"/>
      <c r="R2618" s="293"/>
      <c r="S2618" s="316"/>
      <c r="T2618" s="355"/>
    </row>
    <row r="2619" spans="14:20" x14ac:dyDescent="0.25">
      <c r="N2619" s="514"/>
      <c r="R2619" s="293"/>
      <c r="S2619" s="316"/>
      <c r="T2619" s="355"/>
    </row>
    <row r="2620" spans="14:20" x14ac:dyDescent="0.25">
      <c r="N2620" s="514"/>
      <c r="R2620" s="293"/>
      <c r="S2620" s="316"/>
      <c r="T2620" s="355"/>
    </row>
    <row r="2621" spans="14:20" x14ac:dyDescent="0.25">
      <c r="N2621" s="514"/>
      <c r="R2621" s="293"/>
      <c r="S2621" s="316"/>
      <c r="T2621" s="355"/>
    </row>
    <row r="2622" spans="14:20" x14ac:dyDescent="0.25">
      <c r="N2622" s="514"/>
      <c r="R2622" s="293"/>
      <c r="S2622" s="316"/>
      <c r="T2622" s="355"/>
    </row>
    <row r="2623" spans="14:20" x14ac:dyDescent="0.25">
      <c r="N2623" s="514"/>
      <c r="R2623" s="293"/>
      <c r="S2623" s="316"/>
      <c r="T2623" s="355"/>
    </row>
    <row r="2624" spans="14:20" x14ac:dyDescent="0.25">
      <c r="N2624" s="514"/>
      <c r="R2624" s="293"/>
      <c r="S2624" s="316"/>
      <c r="T2624" s="355"/>
    </row>
    <row r="2625" spans="14:20" x14ac:dyDescent="0.25">
      <c r="N2625" s="514"/>
      <c r="R2625" s="293"/>
      <c r="S2625" s="316"/>
      <c r="T2625" s="355"/>
    </row>
    <row r="2626" spans="14:20" x14ac:dyDescent="0.25">
      <c r="N2626" s="514"/>
      <c r="R2626" s="293"/>
      <c r="S2626" s="316"/>
      <c r="T2626" s="355"/>
    </row>
    <row r="2627" spans="14:20" x14ac:dyDescent="0.25">
      <c r="N2627" s="514"/>
      <c r="R2627" s="293"/>
      <c r="S2627" s="316"/>
      <c r="T2627" s="355"/>
    </row>
    <row r="2628" spans="14:20" x14ac:dyDescent="0.25">
      <c r="N2628" s="514"/>
      <c r="R2628" s="293"/>
      <c r="S2628" s="316"/>
      <c r="T2628" s="355"/>
    </row>
    <row r="2629" spans="14:20" x14ac:dyDescent="0.25">
      <c r="N2629" s="514"/>
      <c r="R2629" s="293"/>
      <c r="S2629" s="316"/>
      <c r="T2629" s="355"/>
    </row>
    <row r="2630" spans="14:20" x14ac:dyDescent="0.25">
      <c r="N2630" s="514"/>
      <c r="R2630" s="293"/>
      <c r="S2630" s="316"/>
      <c r="T2630" s="355"/>
    </row>
    <row r="2631" spans="14:20" x14ac:dyDescent="0.25">
      <c r="N2631" s="514"/>
      <c r="R2631" s="293"/>
      <c r="S2631" s="316"/>
      <c r="T2631" s="355"/>
    </row>
    <row r="2632" spans="14:20" x14ac:dyDescent="0.25">
      <c r="N2632" s="514"/>
      <c r="R2632" s="293"/>
      <c r="S2632" s="316"/>
      <c r="T2632" s="355"/>
    </row>
    <row r="2633" spans="14:20" x14ac:dyDescent="0.25">
      <c r="N2633" s="514"/>
      <c r="R2633" s="293"/>
      <c r="S2633" s="316"/>
      <c r="T2633" s="355"/>
    </row>
    <row r="2634" spans="14:20" x14ac:dyDescent="0.25">
      <c r="N2634" s="514"/>
      <c r="R2634" s="293"/>
      <c r="S2634" s="316"/>
      <c r="T2634" s="355"/>
    </row>
    <row r="2635" spans="14:20" x14ac:dyDescent="0.25">
      <c r="N2635" s="514"/>
      <c r="R2635" s="293"/>
      <c r="S2635" s="316"/>
      <c r="T2635" s="355"/>
    </row>
    <row r="2636" spans="14:20" x14ac:dyDescent="0.25">
      <c r="N2636" s="514"/>
      <c r="R2636" s="293"/>
      <c r="S2636" s="316"/>
      <c r="T2636" s="355"/>
    </row>
    <row r="2637" spans="14:20" x14ac:dyDescent="0.25">
      <c r="N2637" s="514"/>
      <c r="R2637" s="293"/>
      <c r="S2637" s="316"/>
      <c r="T2637" s="355"/>
    </row>
    <row r="2638" spans="14:20" x14ac:dyDescent="0.25">
      <c r="N2638" s="514"/>
      <c r="R2638" s="293"/>
      <c r="S2638" s="316"/>
      <c r="T2638" s="355"/>
    </row>
    <row r="2639" spans="14:20" x14ac:dyDescent="0.25">
      <c r="N2639" s="514"/>
      <c r="R2639" s="293"/>
      <c r="S2639" s="316"/>
      <c r="T2639" s="355"/>
    </row>
    <row r="2640" spans="14:20" x14ac:dyDescent="0.25">
      <c r="N2640" s="514"/>
      <c r="R2640" s="293"/>
      <c r="S2640" s="316"/>
      <c r="T2640" s="355"/>
    </row>
    <row r="2641" spans="14:20" x14ac:dyDescent="0.25">
      <c r="N2641" s="514"/>
      <c r="R2641" s="293"/>
      <c r="S2641" s="316"/>
      <c r="T2641" s="355"/>
    </row>
    <row r="2642" spans="14:20" x14ac:dyDescent="0.25">
      <c r="N2642" s="514"/>
      <c r="R2642" s="293"/>
      <c r="S2642" s="316"/>
      <c r="T2642" s="355"/>
    </row>
    <row r="2643" spans="14:20" x14ac:dyDescent="0.25">
      <c r="N2643" s="514"/>
      <c r="R2643" s="293"/>
      <c r="S2643" s="316"/>
      <c r="T2643" s="355"/>
    </row>
    <row r="2644" spans="14:20" x14ac:dyDescent="0.25">
      <c r="N2644" s="514"/>
      <c r="R2644" s="293"/>
      <c r="S2644" s="316"/>
      <c r="T2644" s="355"/>
    </row>
    <row r="2645" spans="14:20" x14ac:dyDescent="0.25">
      <c r="N2645" s="514"/>
      <c r="R2645" s="293"/>
      <c r="S2645" s="316"/>
      <c r="T2645" s="355"/>
    </row>
    <row r="2646" spans="14:20" x14ac:dyDescent="0.25">
      <c r="N2646" s="514"/>
      <c r="R2646" s="293"/>
      <c r="S2646" s="316"/>
      <c r="T2646" s="355"/>
    </row>
    <row r="2647" spans="14:20" x14ac:dyDescent="0.25">
      <c r="N2647" s="514"/>
      <c r="R2647" s="293"/>
      <c r="S2647" s="316"/>
      <c r="T2647" s="355"/>
    </row>
    <row r="2648" spans="14:20" x14ac:dyDescent="0.25">
      <c r="N2648" s="514"/>
      <c r="R2648" s="293"/>
      <c r="S2648" s="316"/>
      <c r="T2648" s="355"/>
    </row>
    <row r="2649" spans="14:20" x14ac:dyDescent="0.25">
      <c r="N2649" s="514"/>
      <c r="R2649" s="293"/>
      <c r="S2649" s="316"/>
      <c r="T2649" s="355"/>
    </row>
    <row r="2650" spans="14:20" x14ac:dyDescent="0.25">
      <c r="N2650" s="514"/>
      <c r="R2650" s="293"/>
      <c r="S2650" s="316"/>
      <c r="T2650" s="355"/>
    </row>
    <row r="2651" spans="14:20" x14ac:dyDescent="0.25">
      <c r="N2651" s="514"/>
      <c r="R2651" s="293"/>
      <c r="S2651" s="316"/>
      <c r="T2651" s="355"/>
    </row>
    <row r="2652" spans="14:20" x14ac:dyDescent="0.25">
      <c r="N2652" s="514"/>
      <c r="R2652" s="293"/>
      <c r="S2652" s="316"/>
      <c r="T2652" s="355"/>
    </row>
    <row r="2653" spans="14:20" x14ac:dyDescent="0.25">
      <c r="N2653" s="514"/>
      <c r="R2653" s="293"/>
      <c r="S2653" s="316"/>
      <c r="T2653" s="355"/>
    </row>
    <row r="2654" spans="14:20" x14ac:dyDescent="0.25">
      <c r="N2654" s="514"/>
      <c r="R2654" s="293"/>
      <c r="S2654" s="316"/>
      <c r="T2654" s="355"/>
    </row>
    <row r="2655" spans="14:20" x14ac:dyDescent="0.25">
      <c r="N2655" s="514"/>
      <c r="R2655" s="293"/>
      <c r="S2655" s="316"/>
      <c r="T2655" s="355"/>
    </row>
    <row r="2656" spans="14:20" x14ac:dyDescent="0.25">
      <c r="N2656" s="514"/>
      <c r="R2656" s="293"/>
      <c r="S2656" s="316"/>
      <c r="T2656" s="355"/>
    </row>
    <row r="2657" spans="14:20" x14ac:dyDescent="0.25">
      <c r="N2657" s="514"/>
      <c r="R2657" s="293"/>
      <c r="S2657" s="316"/>
      <c r="T2657" s="355"/>
    </row>
    <row r="2658" spans="14:20" x14ac:dyDescent="0.25">
      <c r="N2658" s="514"/>
      <c r="R2658" s="293"/>
      <c r="S2658" s="316"/>
      <c r="T2658" s="355"/>
    </row>
    <row r="2659" spans="14:20" x14ac:dyDescent="0.25">
      <c r="N2659" s="514"/>
      <c r="R2659" s="293"/>
      <c r="S2659" s="316"/>
      <c r="T2659" s="355"/>
    </row>
    <row r="2660" spans="14:20" x14ac:dyDescent="0.25">
      <c r="N2660" s="514"/>
      <c r="R2660" s="293"/>
      <c r="S2660" s="316"/>
      <c r="T2660" s="355"/>
    </row>
    <row r="2661" spans="14:20" x14ac:dyDescent="0.25">
      <c r="N2661" s="514"/>
      <c r="R2661" s="293"/>
      <c r="S2661" s="316"/>
      <c r="T2661" s="355"/>
    </row>
    <row r="2662" spans="14:20" x14ac:dyDescent="0.25">
      <c r="N2662" s="514"/>
      <c r="R2662" s="293"/>
      <c r="S2662" s="316"/>
      <c r="T2662" s="355"/>
    </row>
    <row r="2663" spans="14:20" x14ac:dyDescent="0.25">
      <c r="N2663" s="514"/>
      <c r="R2663" s="293"/>
      <c r="S2663" s="316"/>
      <c r="T2663" s="355"/>
    </row>
    <row r="2664" spans="14:20" x14ac:dyDescent="0.25">
      <c r="N2664" s="514"/>
      <c r="R2664" s="293"/>
      <c r="S2664" s="316"/>
      <c r="T2664" s="355"/>
    </row>
    <row r="2665" spans="14:20" x14ac:dyDescent="0.25">
      <c r="N2665" s="514"/>
      <c r="R2665" s="293"/>
      <c r="S2665" s="316"/>
      <c r="T2665" s="355"/>
    </row>
    <row r="2666" spans="14:20" x14ac:dyDescent="0.25">
      <c r="N2666" s="514"/>
      <c r="R2666" s="293"/>
      <c r="S2666" s="316"/>
      <c r="T2666" s="355"/>
    </row>
    <row r="2667" spans="14:20" x14ac:dyDescent="0.25">
      <c r="N2667" s="514"/>
      <c r="R2667" s="293"/>
      <c r="S2667" s="316"/>
      <c r="T2667" s="355"/>
    </row>
    <row r="2668" spans="14:20" x14ac:dyDescent="0.25">
      <c r="N2668" s="514"/>
      <c r="R2668" s="293"/>
      <c r="S2668" s="316"/>
      <c r="T2668" s="355"/>
    </row>
    <row r="2669" spans="14:20" x14ac:dyDescent="0.25">
      <c r="N2669" s="514"/>
      <c r="R2669" s="293"/>
      <c r="S2669" s="316"/>
      <c r="T2669" s="355"/>
    </row>
    <row r="2670" spans="14:20" x14ac:dyDescent="0.25">
      <c r="N2670" s="514"/>
      <c r="R2670" s="293"/>
      <c r="S2670" s="316"/>
      <c r="T2670" s="355"/>
    </row>
    <row r="2671" spans="14:20" x14ac:dyDescent="0.25">
      <c r="N2671" s="514"/>
      <c r="R2671" s="293"/>
      <c r="S2671" s="316"/>
      <c r="T2671" s="355"/>
    </row>
    <row r="2672" spans="14:20" x14ac:dyDescent="0.25">
      <c r="N2672" s="514"/>
      <c r="R2672" s="293"/>
      <c r="S2672" s="316"/>
      <c r="T2672" s="355"/>
    </row>
    <row r="2673" spans="14:20" x14ac:dyDescent="0.25">
      <c r="N2673" s="514"/>
      <c r="R2673" s="293"/>
      <c r="S2673" s="316"/>
      <c r="T2673" s="355"/>
    </row>
    <row r="2674" spans="14:20" x14ac:dyDescent="0.25">
      <c r="N2674" s="514"/>
      <c r="R2674" s="293"/>
      <c r="S2674" s="316"/>
      <c r="T2674" s="355"/>
    </row>
    <row r="2675" spans="14:20" x14ac:dyDescent="0.25">
      <c r="N2675" s="514"/>
      <c r="R2675" s="293"/>
      <c r="S2675" s="316"/>
      <c r="T2675" s="355"/>
    </row>
    <row r="2676" spans="14:20" x14ac:dyDescent="0.25">
      <c r="N2676" s="514"/>
      <c r="R2676" s="293"/>
      <c r="S2676" s="316"/>
      <c r="T2676" s="355"/>
    </row>
    <row r="2677" spans="14:20" x14ac:dyDescent="0.25">
      <c r="N2677" s="514"/>
      <c r="R2677" s="293"/>
      <c r="S2677" s="316"/>
      <c r="T2677" s="355"/>
    </row>
    <row r="2678" spans="14:20" x14ac:dyDescent="0.25">
      <c r="N2678" s="514"/>
      <c r="R2678" s="293"/>
      <c r="S2678" s="316"/>
      <c r="T2678" s="355"/>
    </row>
    <row r="2679" spans="14:20" x14ac:dyDescent="0.25">
      <c r="N2679" s="514"/>
      <c r="R2679" s="293"/>
      <c r="S2679" s="316"/>
      <c r="T2679" s="355"/>
    </row>
    <row r="2680" spans="14:20" x14ac:dyDescent="0.25">
      <c r="N2680" s="514"/>
      <c r="R2680" s="293"/>
      <c r="S2680" s="316"/>
      <c r="T2680" s="355"/>
    </row>
    <row r="2681" spans="14:20" x14ac:dyDescent="0.25">
      <c r="N2681" s="514"/>
      <c r="R2681" s="293"/>
      <c r="S2681" s="316"/>
      <c r="T2681" s="355"/>
    </row>
    <row r="2682" spans="14:20" x14ac:dyDescent="0.25">
      <c r="N2682" s="514"/>
      <c r="R2682" s="293"/>
      <c r="S2682" s="316"/>
      <c r="T2682" s="355"/>
    </row>
    <row r="2683" spans="14:20" x14ac:dyDescent="0.25">
      <c r="N2683" s="514"/>
      <c r="R2683" s="293"/>
      <c r="S2683" s="316"/>
      <c r="T2683" s="355"/>
    </row>
    <row r="2684" spans="14:20" x14ac:dyDescent="0.25">
      <c r="N2684" s="514"/>
      <c r="R2684" s="293"/>
      <c r="S2684" s="316"/>
      <c r="T2684" s="355"/>
    </row>
    <row r="2685" spans="14:20" x14ac:dyDescent="0.25">
      <c r="N2685" s="514"/>
      <c r="R2685" s="293"/>
      <c r="S2685" s="316"/>
      <c r="T2685" s="355"/>
    </row>
    <row r="2686" spans="14:20" x14ac:dyDescent="0.25">
      <c r="N2686" s="514"/>
      <c r="R2686" s="293"/>
      <c r="S2686" s="316"/>
      <c r="T2686" s="355"/>
    </row>
    <row r="2687" spans="14:20" x14ac:dyDescent="0.25">
      <c r="N2687" s="514"/>
      <c r="R2687" s="293"/>
      <c r="S2687" s="316"/>
      <c r="T2687" s="355"/>
    </row>
    <row r="2688" spans="14:20" x14ac:dyDescent="0.25">
      <c r="N2688" s="514"/>
      <c r="R2688" s="293"/>
      <c r="S2688" s="316"/>
      <c r="T2688" s="355"/>
    </row>
    <row r="2689" spans="14:20" x14ac:dyDescent="0.25">
      <c r="N2689" s="514"/>
      <c r="R2689" s="293"/>
      <c r="S2689" s="316"/>
      <c r="T2689" s="355"/>
    </row>
    <row r="2690" spans="14:20" x14ac:dyDescent="0.25">
      <c r="N2690" s="514"/>
      <c r="R2690" s="293"/>
      <c r="S2690" s="316"/>
      <c r="T2690" s="355"/>
    </row>
    <row r="2691" spans="14:20" x14ac:dyDescent="0.25">
      <c r="N2691" s="514"/>
      <c r="R2691" s="293"/>
      <c r="S2691" s="316"/>
      <c r="T2691" s="355"/>
    </row>
    <row r="2692" spans="14:20" x14ac:dyDescent="0.25">
      <c r="N2692" s="514"/>
      <c r="R2692" s="293"/>
      <c r="S2692" s="316"/>
      <c r="T2692" s="355"/>
    </row>
    <row r="2693" spans="14:20" x14ac:dyDescent="0.25">
      <c r="N2693" s="514"/>
      <c r="R2693" s="293"/>
      <c r="S2693" s="316"/>
      <c r="T2693" s="355"/>
    </row>
    <row r="2694" spans="14:20" x14ac:dyDescent="0.25">
      <c r="N2694" s="514"/>
      <c r="R2694" s="293"/>
      <c r="S2694" s="316"/>
      <c r="T2694" s="355"/>
    </row>
    <row r="2695" spans="14:20" x14ac:dyDescent="0.25">
      <c r="N2695" s="514"/>
      <c r="R2695" s="293"/>
      <c r="S2695" s="316"/>
      <c r="T2695" s="355"/>
    </row>
    <row r="2696" spans="14:20" x14ac:dyDescent="0.25">
      <c r="N2696" s="514"/>
      <c r="R2696" s="293"/>
      <c r="S2696" s="316"/>
      <c r="T2696" s="355"/>
    </row>
    <row r="2697" spans="14:20" x14ac:dyDescent="0.25">
      <c r="N2697" s="514"/>
      <c r="R2697" s="293"/>
      <c r="S2697" s="316"/>
      <c r="T2697" s="355"/>
    </row>
    <row r="2698" spans="14:20" x14ac:dyDescent="0.25">
      <c r="N2698" s="514"/>
      <c r="R2698" s="293"/>
      <c r="S2698" s="316"/>
      <c r="T2698" s="355"/>
    </row>
    <row r="2699" spans="14:20" x14ac:dyDescent="0.25">
      <c r="N2699" s="514"/>
      <c r="R2699" s="293"/>
      <c r="S2699" s="316"/>
      <c r="T2699" s="355"/>
    </row>
    <row r="2700" spans="14:20" x14ac:dyDescent="0.25">
      <c r="N2700" s="514"/>
      <c r="R2700" s="293"/>
      <c r="S2700" s="316"/>
      <c r="T2700" s="355"/>
    </row>
    <row r="2701" spans="14:20" x14ac:dyDescent="0.25">
      <c r="N2701" s="514"/>
      <c r="R2701" s="293"/>
      <c r="S2701" s="316"/>
      <c r="T2701" s="355"/>
    </row>
    <row r="2702" spans="14:20" x14ac:dyDescent="0.25">
      <c r="N2702" s="514"/>
      <c r="R2702" s="293"/>
      <c r="S2702" s="316"/>
      <c r="T2702" s="355"/>
    </row>
    <row r="2703" spans="14:20" x14ac:dyDescent="0.25">
      <c r="N2703" s="514"/>
      <c r="R2703" s="293"/>
      <c r="S2703" s="316"/>
      <c r="T2703" s="355"/>
    </row>
    <row r="2704" spans="14:20" x14ac:dyDescent="0.25">
      <c r="N2704" s="514"/>
      <c r="R2704" s="293"/>
      <c r="S2704" s="316"/>
      <c r="T2704" s="355"/>
    </row>
    <row r="2705" spans="14:20" x14ac:dyDescent="0.25">
      <c r="N2705" s="514"/>
      <c r="R2705" s="293"/>
      <c r="S2705" s="316"/>
      <c r="T2705" s="355"/>
    </row>
    <row r="2706" spans="14:20" x14ac:dyDescent="0.25">
      <c r="N2706" s="514"/>
      <c r="R2706" s="293"/>
      <c r="S2706" s="316"/>
      <c r="T2706" s="355"/>
    </row>
    <row r="2707" spans="14:20" x14ac:dyDescent="0.25">
      <c r="N2707" s="514"/>
      <c r="R2707" s="293"/>
      <c r="S2707" s="316"/>
      <c r="T2707" s="355"/>
    </row>
    <row r="2708" spans="14:20" x14ac:dyDescent="0.25">
      <c r="N2708" s="514"/>
      <c r="R2708" s="293"/>
      <c r="S2708" s="316"/>
      <c r="T2708" s="355"/>
    </row>
    <row r="2709" spans="14:20" x14ac:dyDescent="0.25">
      <c r="N2709" s="514"/>
      <c r="R2709" s="293"/>
      <c r="S2709" s="316"/>
      <c r="T2709" s="355"/>
    </row>
    <row r="2710" spans="14:20" x14ac:dyDescent="0.25">
      <c r="N2710" s="514"/>
      <c r="R2710" s="293"/>
      <c r="S2710" s="316"/>
      <c r="T2710" s="355"/>
    </row>
    <row r="2711" spans="14:20" x14ac:dyDescent="0.25">
      <c r="N2711" s="514"/>
      <c r="R2711" s="293"/>
      <c r="S2711" s="316"/>
      <c r="T2711" s="355"/>
    </row>
    <row r="2712" spans="14:20" x14ac:dyDescent="0.25">
      <c r="N2712" s="514"/>
      <c r="R2712" s="293"/>
      <c r="S2712" s="316"/>
      <c r="T2712" s="355"/>
    </row>
    <row r="2713" spans="14:20" x14ac:dyDescent="0.25">
      <c r="N2713" s="514"/>
      <c r="R2713" s="293"/>
      <c r="S2713" s="316"/>
      <c r="T2713" s="355"/>
    </row>
    <row r="2714" spans="14:20" x14ac:dyDescent="0.25">
      <c r="N2714" s="514"/>
      <c r="R2714" s="293"/>
      <c r="S2714" s="316"/>
      <c r="T2714" s="355"/>
    </row>
    <row r="2715" spans="14:20" x14ac:dyDescent="0.25">
      <c r="N2715" s="514"/>
      <c r="R2715" s="293"/>
      <c r="S2715" s="316"/>
      <c r="T2715" s="355"/>
    </row>
    <row r="2716" spans="14:20" x14ac:dyDescent="0.25">
      <c r="N2716" s="514"/>
      <c r="R2716" s="293"/>
      <c r="S2716" s="316"/>
      <c r="T2716" s="355"/>
    </row>
    <row r="2717" spans="14:20" x14ac:dyDescent="0.25">
      <c r="N2717" s="514"/>
      <c r="R2717" s="293"/>
      <c r="S2717" s="316"/>
      <c r="T2717" s="355"/>
    </row>
    <row r="2718" spans="14:20" x14ac:dyDescent="0.25">
      <c r="N2718" s="514"/>
      <c r="R2718" s="293"/>
      <c r="S2718" s="316"/>
      <c r="T2718" s="355"/>
    </row>
    <row r="2719" spans="14:20" x14ac:dyDescent="0.25">
      <c r="N2719" s="514"/>
      <c r="R2719" s="293"/>
      <c r="S2719" s="316"/>
      <c r="T2719" s="355"/>
    </row>
    <row r="2720" spans="14:20" x14ac:dyDescent="0.25">
      <c r="N2720" s="514"/>
      <c r="R2720" s="293"/>
      <c r="S2720" s="316"/>
      <c r="T2720" s="355"/>
    </row>
    <row r="2721" spans="14:20" x14ac:dyDescent="0.25">
      <c r="N2721" s="514"/>
      <c r="R2721" s="293"/>
      <c r="S2721" s="316"/>
      <c r="T2721" s="355"/>
    </row>
    <row r="2722" spans="14:20" x14ac:dyDescent="0.25">
      <c r="N2722" s="514"/>
      <c r="R2722" s="293"/>
      <c r="S2722" s="316"/>
      <c r="T2722" s="355"/>
    </row>
    <row r="2723" spans="14:20" x14ac:dyDescent="0.25">
      <c r="N2723" s="514"/>
      <c r="R2723" s="293"/>
      <c r="S2723" s="316"/>
      <c r="T2723" s="355"/>
    </row>
    <row r="2724" spans="14:20" x14ac:dyDescent="0.25">
      <c r="N2724" s="514"/>
      <c r="R2724" s="293"/>
      <c r="S2724" s="316"/>
      <c r="T2724" s="355"/>
    </row>
    <row r="2725" spans="14:20" x14ac:dyDescent="0.25">
      <c r="N2725" s="514"/>
      <c r="R2725" s="293"/>
      <c r="S2725" s="316"/>
      <c r="T2725" s="355"/>
    </row>
    <row r="2726" spans="14:20" x14ac:dyDescent="0.25">
      <c r="N2726" s="514"/>
      <c r="R2726" s="293"/>
      <c r="S2726" s="316"/>
      <c r="T2726" s="355"/>
    </row>
    <row r="2727" spans="14:20" x14ac:dyDescent="0.25">
      <c r="N2727" s="514"/>
      <c r="R2727" s="293"/>
      <c r="S2727" s="316"/>
      <c r="T2727" s="355"/>
    </row>
    <row r="2728" spans="14:20" x14ac:dyDescent="0.25">
      <c r="N2728" s="514"/>
      <c r="R2728" s="293"/>
      <c r="S2728" s="316"/>
      <c r="T2728" s="355"/>
    </row>
    <row r="2729" spans="14:20" x14ac:dyDescent="0.25">
      <c r="N2729" s="514"/>
      <c r="R2729" s="293"/>
      <c r="S2729" s="316"/>
      <c r="T2729" s="355"/>
    </row>
    <row r="2730" spans="14:20" x14ac:dyDescent="0.25">
      <c r="N2730" s="514"/>
      <c r="R2730" s="293"/>
      <c r="S2730" s="316"/>
      <c r="T2730" s="355"/>
    </row>
    <row r="2731" spans="14:20" x14ac:dyDescent="0.25">
      <c r="N2731" s="514"/>
      <c r="R2731" s="293"/>
      <c r="S2731" s="316"/>
      <c r="T2731" s="355"/>
    </row>
    <row r="2732" spans="14:20" x14ac:dyDescent="0.25">
      <c r="N2732" s="514"/>
      <c r="R2732" s="293"/>
      <c r="S2732" s="316"/>
      <c r="T2732" s="355"/>
    </row>
    <row r="2733" spans="14:20" x14ac:dyDescent="0.25">
      <c r="N2733" s="514"/>
      <c r="R2733" s="293"/>
      <c r="S2733" s="316"/>
      <c r="T2733" s="355"/>
    </row>
    <row r="2734" spans="14:20" x14ac:dyDescent="0.25">
      <c r="N2734" s="514"/>
      <c r="R2734" s="293"/>
      <c r="S2734" s="316"/>
      <c r="T2734" s="355"/>
    </row>
    <row r="2735" spans="14:20" x14ac:dyDescent="0.25">
      <c r="N2735" s="514"/>
      <c r="R2735" s="293"/>
      <c r="S2735" s="316"/>
      <c r="T2735" s="355"/>
    </row>
    <row r="2736" spans="14:20" x14ac:dyDescent="0.25">
      <c r="N2736" s="514"/>
      <c r="R2736" s="293"/>
      <c r="S2736" s="316"/>
      <c r="T2736" s="355"/>
    </row>
    <row r="2737" spans="14:20" x14ac:dyDescent="0.25">
      <c r="N2737" s="514"/>
      <c r="R2737" s="293"/>
      <c r="S2737" s="316"/>
      <c r="T2737" s="355"/>
    </row>
    <row r="2738" spans="14:20" x14ac:dyDescent="0.25">
      <c r="N2738" s="514"/>
      <c r="R2738" s="293"/>
      <c r="S2738" s="316"/>
      <c r="T2738" s="355"/>
    </row>
    <row r="2739" spans="14:20" x14ac:dyDescent="0.25">
      <c r="N2739" s="514"/>
      <c r="R2739" s="293"/>
      <c r="S2739" s="316"/>
      <c r="T2739" s="355"/>
    </row>
    <row r="2740" spans="14:20" x14ac:dyDescent="0.25">
      <c r="N2740" s="514"/>
      <c r="R2740" s="293"/>
      <c r="S2740" s="316"/>
      <c r="T2740" s="355"/>
    </row>
    <row r="2741" spans="14:20" x14ac:dyDescent="0.25">
      <c r="N2741" s="514"/>
      <c r="R2741" s="293"/>
      <c r="S2741" s="316"/>
      <c r="T2741" s="355"/>
    </row>
    <row r="2742" spans="14:20" x14ac:dyDescent="0.25">
      <c r="N2742" s="514"/>
      <c r="R2742" s="293"/>
      <c r="S2742" s="316"/>
      <c r="T2742" s="355"/>
    </row>
    <row r="2743" spans="14:20" x14ac:dyDescent="0.25">
      <c r="N2743" s="514"/>
      <c r="R2743" s="293"/>
      <c r="S2743" s="316"/>
      <c r="T2743" s="355"/>
    </row>
    <row r="2744" spans="14:20" x14ac:dyDescent="0.25">
      <c r="N2744" s="514"/>
      <c r="R2744" s="293"/>
      <c r="S2744" s="316"/>
      <c r="T2744" s="355"/>
    </row>
    <row r="2745" spans="14:20" x14ac:dyDescent="0.25">
      <c r="N2745" s="514"/>
      <c r="R2745" s="293"/>
      <c r="S2745" s="316"/>
      <c r="T2745" s="355"/>
    </row>
    <row r="2746" spans="14:20" x14ac:dyDescent="0.25">
      <c r="N2746" s="514"/>
      <c r="R2746" s="293"/>
      <c r="S2746" s="316"/>
      <c r="T2746" s="355"/>
    </row>
    <row r="2747" spans="14:20" x14ac:dyDescent="0.25">
      <c r="N2747" s="514"/>
      <c r="R2747" s="293"/>
      <c r="S2747" s="316"/>
      <c r="T2747" s="355"/>
    </row>
    <row r="2748" spans="14:20" x14ac:dyDescent="0.25">
      <c r="N2748" s="514"/>
      <c r="R2748" s="293"/>
      <c r="S2748" s="316"/>
      <c r="T2748" s="355"/>
    </row>
    <row r="2749" spans="14:20" x14ac:dyDescent="0.25">
      <c r="N2749" s="514"/>
      <c r="R2749" s="293"/>
      <c r="S2749" s="316"/>
      <c r="T2749" s="355"/>
    </row>
    <row r="2750" spans="14:20" x14ac:dyDescent="0.25">
      <c r="N2750" s="514"/>
      <c r="R2750" s="293"/>
      <c r="S2750" s="316"/>
      <c r="T2750" s="355"/>
    </row>
    <row r="2751" spans="14:20" x14ac:dyDescent="0.25">
      <c r="N2751" s="514"/>
      <c r="R2751" s="293"/>
      <c r="S2751" s="316"/>
      <c r="T2751" s="355"/>
    </row>
    <row r="2752" spans="14:20" x14ac:dyDescent="0.25">
      <c r="N2752" s="514"/>
      <c r="R2752" s="293"/>
      <c r="S2752" s="316"/>
      <c r="T2752" s="355"/>
    </row>
    <row r="2753" spans="14:20" x14ac:dyDescent="0.25">
      <c r="N2753" s="514"/>
      <c r="R2753" s="293"/>
      <c r="S2753" s="316"/>
      <c r="T2753" s="355"/>
    </row>
    <row r="2754" spans="14:20" x14ac:dyDescent="0.25">
      <c r="N2754" s="514"/>
      <c r="R2754" s="293"/>
      <c r="S2754" s="316"/>
      <c r="T2754" s="355"/>
    </row>
    <row r="2755" spans="14:20" x14ac:dyDescent="0.25">
      <c r="N2755" s="514"/>
      <c r="R2755" s="293"/>
      <c r="S2755" s="316"/>
      <c r="T2755" s="355"/>
    </row>
    <row r="2756" spans="14:20" x14ac:dyDescent="0.25">
      <c r="N2756" s="514"/>
      <c r="R2756" s="293"/>
      <c r="S2756" s="316"/>
      <c r="T2756" s="355"/>
    </row>
    <row r="2757" spans="14:20" x14ac:dyDescent="0.25">
      <c r="N2757" s="514"/>
      <c r="R2757" s="293"/>
      <c r="S2757" s="316"/>
      <c r="T2757" s="355"/>
    </row>
    <row r="2758" spans="14:20" x14ac:dyDescent="0.25">
      <c r="N2758" s="514"/>
      <c r="R2758" s="293"/>
      <c r="S2758" s="316"/>
      <c r="T2758" s="355"/>
    </row>
    <row r="2759" spans="14:20" x14ac:dyDescent="0.25">
      <c r="N2759" s="514"/>
      <c r="R2759" s="293"/>
      <c r="S2759" s="316"/>
      <c r="T2759" s="355"/>
    </row>
    <row r="2760" spans="14:20" x14ac:dyDescent="0.25">
      <c r="N2760" s="514"/>
      <c r="R2760" s="293"/>
      <c r="S2760" s="316"/>
      <c r="T2760" s="355"/>
    </row>
    <row r="2761" spans="14:20" x14ac:dyDescent="0.25">
      <c r="N2761" s="514"/>
      <c r="R2761" s="293"/>
      <c r="S2761" s="316"/>
      <c r="T2761" s="355"/>
    </row>
    <row r="2762" spans="14:20" x14ac:dyDescent="0.25">
      <c r="N2762" s="514"/>
      <c r="R2762" s="293"/>
      <c r="S2762" s="316"/>
      <c r="T2762" s="355"/>
    </row>
    <row r="2763" spans="14:20" x14ac:dyDescent="0.25">
      <c r="N2763" s="514"/>
      <c r="R2763" s="293"/>
      <c r="S2763" s="316"/>
      <c r="T2763" s="355"/>
    </row>
    <row r="2764" spans="14:20" x14ac:dyDescent="0.25">
      <c r="N2764" s="514"/>
      <c r="R2764" s="293"/>
      <c r="S2764" s="316"/>
      <c r="T2764" s="355"/>
    </row>
    <row r="2765" spans="14:20" x14ac:dyDescent="0.25">
      <c r="N2765" s="514"/>
      <c r="R2765" s="293"/>
      <c r="S2765" s="316"/>
      <c r="T2765" s="355"/>
    </row>
    <row r="2766" spans="14:20" x14ac:dyDescent="0.25">
      <c r="N2766" s="514"/>
      <c r="R2766" s="293"/>
      <c r="S2766" s="316"/>
      <c r="T2766" s="355"/>
    </row>
    <row r="2767" spans="14:20" x14ac:dyDescent="0.25">
      <c r="N2767" s="514"/>
      <c r="R2767" s="293"/>
      <c r="S2767" s="316"/>
      <c r="T2767" s="355"/>
    </row>
    <row r="2768" spans="14:20" x14ac:dyDescent="0.25">
      <c r="N2768" s="514"/>
      <c r="R2768" s="293"/>
      <c r="S2768" s="316"/>
      <c r="T2768" s="355"/>
    </row>
    <row r="2769" spans="14:20" x14ac:dyDescent="0.25">
      <c r="N2769" s="514"/>
      <c r="R2769" s="293"/>
      <c r="S2769" s="316"/>
      <c r="T2769" s="355"/>
    </row>
    <row r="2770" spans="14:20" x14ac:dyDescent="0.25">
      <c r="N2770" s="514"/>
      <c r="R2770" s="293"/>
      <c r="S2770" s="316"/>
      <c r="T2770" s="355"/>
    </row>
    <row r="2771" spans="14:20" x14ac:dyDescent="0.25">
      <c r="N2771" s="514"/>
      <c r="R2771" s="293"/>
      <c r="S2771" s="316"/>
      <c r="T2771" s="355"/>
    </row>
    <row r="2772" spans="14:20" x14ac:dyDescent="0.25">
      <c r="N2772" s="514"/>
      <c r="R2772" s="293"/>
      <c r="S2772" s="316"/>
      <c r="T2772" s="355"/>
    </row>
    <row r="2773" spans="14:20" x14ac:dyDescent="0.25">
      <c r="N2773" s="514"/>
      <c r="R2773" s="293"/>
      <c r="S2773" s="316"/>
      <c r="T2773" s="355"/>
    </row>
    <row r="2774" spans="14:20" x14ac:dyDescent="0.25">
      <c r="N2774" s="514"/>
      <c r="R2774" s="293"/>
      <c r="S2774" s="316"/>
      <c r="T2774" s="355"/>
    </row>
    <row r="2775" spans="14:20" x14ac:dyDescent="0.25">
      <c r="N2775" s="514"/>
      <c r="R2775" s="293"/>
      <c r="S2775" s="316"/>
      <c r="T2775" s="355"/>
    </row>
    <row r="2776" spans="14:20" x14ac:dyDescent="0.25">
      <c r="N2776" s="514"/>
      <c r="R2776" s="293"/>
      <c r="S2776" s="316"/>
      <c r="T2776" s="355"/>
    </row>
    <row r="2777" spans="14:20" x14ac:dyDescent="0.25">
      <c r="N2777" s="514"/>
      <c r="R2777" s="293"/>
      <c r="S2777" s="316"/>
      <c r="T2777" s="355"/>
    </row>
    <row r="2778" spans="14:20" x14ac:dyDescent="0.25">
      <c r="N2778" s="514"/>
      <c r="R2778" s="293"/>
      <c r="S2778" s="316"/>
      <c r="T2778" s="355"/>
    </row>
    <row r="2779" spans="14:20" x14ac:dyDescent="0.25">
      <c r="N2779" s="514"/>
      <c r="R2779" s="293"/>
      <c r="S2779" s="316"/>
      <c r="T2779" s="355"/>
    </row>
    <row r="2780" spans="14:20" x14ac:dyDescent="0.25">
      <c r="N2780" s="514"/>
      <c r="R2780" s="293"/>
      <c r="S2780" s="316"/>
      <c r="T2780" s="355"/>
    </row>
    <row r="2781" spans="14:20" x14ac:dyDescent="0.25">
      <c r="N2781" s="514"/>
      <c r="R2781" s="293"/>
      <c r="S2781" s="316"/>
      <c r="T2781" s="355"/>
    </row>
    <row r="2782" spans="14:20" x14ac:dyDescent="0.25">
      <c r="N2782" s="514"/>
      <c r="R2782" s="293"/>
      <c r="S2782" s="316"/>
      <c r="T2782" s="355"/>
    </row>
    <row r="2783" spans="14:20" x14ac:dyDescent="0.25">
      <c r="N2783" s="514"/>
      <c r="R2783" s="293"/>
      <c r="S2783" s="316"/>
      <c r="T2783" s="355"/>
    </row>
    <row r="2784" spans="14:20" x14ac:dyDescent="0.25">
      <c r="N2784" s="514"/>
      <c r="R2784" s="293"/>
      <c r="S2784" s="316"/>
      <c r="T2784" s="355"/>
    </row>
    <row r="2785" spans="14:20" x14ac:dyDescent="0.25">
      <c r="N2785" s="514"/>
      <c r="R2785" s="293"/>
      <c r="S2785" s="316"/>
      <c r="T2785" s="355"/>
    </row>
    <row r="2786" spans="14:20" x14ac:dyDescent="0.25">
      <c r="N2786" s="514"/>
      <c r="R2786" s="293"/>
      <c r="S2786" s="316"/>
      <c r="T2786" s="355"/>
    </row>
    <row r="2787" spans="14:20" x14ac:dyDescent="0.25">
      <c r="N2787" s="514"/>
      <c r="R2787" s="293"/>
      <c r="S2787" s="316"/>
      <c r="T2787" s="355"/>
    </row>
    <row r="2788" spans="14:20" x14ac:dyDescent="0.25">
      <c r="N2788" s="514"/>
      <c r="R2788" s="293"/>
      <c r="S2788" s="316"/>
      <c r="T2788" s="355"/>
    </row>
    <row r="2789" spans="14:20" x14ac:dyDescent="0.25">
      <c r="N2789" s="514"/>
      <c r="R2789" s="293"/>
      <c r="S2789" s="316"/>
      <c r="T2789" s="355"/>
    </row>
    <row r="2790" spans="14:20" x14ac:dyDescent="0.25">
      <c r="N2790" s="514"/>
      <c r="R2790" s="293"/>
      <c r="S2790" s="316"/>
      <c r="T2790" s="355"/>
    </row>
    <row r="2791" spans="14:20" x14ac:dyDescent="0.25">
      <c r="N2791" s="514"/>
      <c r="R2791" s="293"/>
      <c r="S2791" s="316"/>
      <c r="T2791" s="355"/>
    </row>
    <row r="2792" spans="14:20" x14ac:dyDescent="0.25">
      <c r="N2792" s="514"/>
      <c r="R2792" s="293"/>
      <c r="S2792" s="316"/>
      <c r="T2792" s="355"/>
    </row>
    <row r="2793" spans="14:20" x14ac:dyDescent="0.25">
      <c r="N2793" s="514"/>
      <c r="R2793" s="293"/>
      <c r="S2793" s="316"/>
      <c r="T2793" s="355"/>
    </row>
    <row r="2794" spans="14:20" x14ac:dyDescent="0.25">
      <c r="N2794" s="514"/>
      <c r="R2794" s="293"/>
      <c r="S2794" s="316"/>
      <c r="T2794" s="355"/>
    </row>
    <row r="2795" spans="14:20" x14ac:dyDescent="0.25">
      <c r="N2795" s="514"/>
      <c r="R2795" s="293"/>
      <c r="S2795" s="316"/>
      <c r="T2795" s="355"/>
    </row>
    <row r="2796" spans="14:20" x14ac:dyDescent="0.25">
      <c r="N2796" s="514"/>
      <c r="R2796" s="293"/>
      <c r="S2796" s="316"/>
      <c r="T2796" s="355"/>
    </row>
    <row r="2797" spans="14:20" x14ac:dyDescent="0.25">
      <c r="N2797" s="514"/>
      <c r="R2797" s="293"/>
      <c r="S2797" s="316"/>
      <c r="T2797" s="355"/>
    </row>
    <row r="2798" spans="14:20" x14ac:dyDescent="0.25">
      <c r="N2798" s="514"/>
      <c r="R2798" s="293"/>
      <c r="S2798" s="316"/>
      <c r="T2798" s="355"/>
    </row>
    <row r="2799" spans="14:20" x14ac:dyDescent="0.25">
      <c r="N2799" s="514"/>
      <c r="R2799" s="293"/>
      <c r="S2799" s="316"/>
      <c r="T2799" s="355"/>
    </row>
    <row r="2800" spans="14:20" x14ac:dyDescent="0.25">
      <c r="N2800" s="514"/>
      <c r="R2800" s="293"/>
      <c r="S2800" s="316"/>
      <c r="T2800" s="355"/>
    </row>
    <row r="2801" spans="14:20" x14ac:dyDescent="0.25">
      <c r="N2801" s="514"/>
      <c r="R2801" s="293"/>
      <c r="S2801" s="316"/>
      <c r="T2801" s="355"/>
    </row>
    <row r="2802" spans="14:20" x14ac:dyDescent="0.25">
      <c r="N2802" s="514"/>
      <c r="R2802" s="293"/>
      <c r="S2802" s="316"/>
      <c r="T2802" s="355"/>
    </row>
    <row r="2803" spans="14:20" x14ac:dyDescent="0.25">
      <c r="N2803" s="514"/>
      <c r="R2803" s="293"/>
      <c r="S2803" s="316"/>
      <c r="T2803" s="355"/>
    </row>
    <row r="2804" spans="14:20" x14ac:dyDescent="0.25">
      <c r="N2804" s="514"/>
      <c r="R2804" s="293"/>
      <c r="S2804" s="316"/>
      <c r="T2804" s="355"/>
    </row>
    <row r="2805" spans="14:20" x14ac:dyDescent="0.25">
      <c r="N2805" s="514"/>
      <c r="R2805" s="293"/>
      <c r="S2805" s="316"/>
      <c r="T2805" s="355"/>
    </row>
    <row r="2806" spans="14:20" x14ac:dyDescent="0.25">
      <c r="N2806" s="514"/>
      <c r="R2806" s="293"/>
      <c r="S2806" s="316"/>
      <c r="T2806" s="355"/>
    </row>
    <row r="2807" spans="14:20" x14ac:dyDescent="0.25">
      <c r="N2807" s="514"/>
      <c r="R2807" s="293"/>
      <c r="S2807" s="316"/>
      <c r="T2807" s="355"/>
    </row>
    <row r="2808" spans="14:20" x14ac:dyDescent="0.25">
      <c r="N2808" s="514"/>
      <c r="R2808" s="293"/>
      <c r="S2808" s="316"/>
      <c r="T2808" s="355"/>
    </row>
    <row r="2809" spans="14:20" x14ac:dyDescent="0.25">
      <c r="N2809" s="514"/>
      <c r="R2809" s="293"/>
      <c r="S2809" s="316"/>
      <c r="T2809" s="355"/>
    </row>
    <row r="2810" spans="14:20" x14ac:dyDescent="0.25">
      <c r="N2810" s="514"/>
      <c r="R2810" s="293"/>
      <c r="S2810" s="316"/>
      <c r="T2810" s="355"/>
    </row>
    <row r="2811" spans="14:20" x14ac:dyDescent="0.25">
      <c r="N2811" s="514"/>
      <c r="R2811" s="293"/>
      <c r="S2811" s="316"/>
      <c r="T2811" s="355"/>
    </row>
    <row r="2812" spans="14:20" x14ac:dyDescent="0.25">
      <c r="N2812" s="514"/>
      <c r="R2812" s="293"/>
      <c r="S2812" s="316"/>
      <c r="T2812" s="355"/>
    </row>
    <row r="2813" spans="14:20" x14ac:dyDescent="0.25">
      <c r="N2813" s="514"/>
      <c r="R2813" s="293"/>
      <c r="S2813" s="316"/>
      <c r="T2813" s="355"/>
    </row>
    <row r="2814" spans="14:20" x14ac:dyDescent="0.25">
      <c r="N2814" s="514"/>
      <c r="R2814" s="293"/>
      <c r="S2814" s="316"/>
      <c r="T2814" s="355"/>
    </row>
    <row r="2815" spans="14:20" x14ac:dyDescent="0.25">
      <c r="N2815" s="514"/>
      <c r="R2815" s="293"/>
      <c r="S2815" s="316"/>
      <c r="T2815" s="355"/>
    </row>
    <row r="2816" spans="14:20" x14ac:dyDescent="0.25">
      <c r="N2816" s="514"/>
      <c r="R2816" s="293"/>
      <c r="S2816" s="316"/>
      <c r="T2816" s="355"/>
    </row>
    <row r="2817" spans="14:20" x14ac:dyDescent="0.25">
      <c r="N2817" s="514"/>
      <c r="R2817" s="293"/>
      <c r="S2817" s="316"/>
      <c r="T2817" s="355"/>
    </row>
    <row r="2818" spans="14:20" x14ac:dyDescent="0.25">
      <c r="N2818" s="514"/>
      <c r="R2818" s="293"/>
      <c r="S2818" s="316"/>
      <c r="T2818" s="355"/>
    </row>
    <row r="2819" spans="14:20" x14ac:dyDescent="0.25">
      <c r="N2819" s="514"/>
      <c r="R2819" s="293"/>
      <c r="S2819" s="316"/>
      <c r="T2819" s="355"/>
    </row>
    <row r="2820" spans="14:20" x14ac:dyDescent="0.25">
      <c r="N2820" s="514"/>
      <c r="R2820" s="293"/>
      <c r="S2820" s="316"/>
      <c r="T2820" s="355"/>
    </row>
    <row r="2821" spans="14:20" x14ac:dyDescent="0.25">
      <c r="N2821" s="514"/>
      <c r="R2821" s="293"/>
      <c r="S2821" s="316"/>
      <c r="T2821" s="355"/>
    </row>
    <row r="2822" spans="14:20" x14ac:dyDescent="0.25">
      <c r="N2822" s="514"/>
      <c r="R2822" s="293"/>
      <c r="S2822" s="316"/>
      <c r="T2822" s="355"/>
    </row>
    <row r="2823" spans="14:20" x14ac:dyDescent="0.25">
      <c r="N2823" s="514"/>
      <c r="R2823" s="293"/>
      <c r="S2823" s="316"/>
      <c r="T2823" s="355"/>
    </row>
    <row r="2824" spans="14:20" x14ac:dyDescent="0.25">
      <c r="N2824" s="514"/>
      <c r="R2824" s="293"/>
      <c r="S2824" s="316"/>
      <c r="T2824" s="355"/>
    </row>
    <row r="2825" spans="14:20" x14ac:dyDescent="0.25">
      <c r="N2825" s="514"/>
      <c r="R2825" s="293"/>
      <c r="S2825" s="316"/>
      <c r="T2825" s="355"/>
    </row>
    <row r="2826" spans="14:20" x14ac:dyDescent="0.25">
      <c r="N2826" s="514"/>
      <c r="R2826" s="293"/>
      <c r="S2826" s="316"/>
      <c r="T2826" s="355"/>
    </row>
    <row r="2827" spans="14:20" x14ac:dyDescent="0.25">
      <c r="N2827" s="514"/>
      <c r="R2827" s="293"/>
      <c r="S2827" s="316"/>
      <c r="T2827" s="355"/>
    </row>
    <row r="2828" spans="14:20" x14ac:dyDescent="0.25">
      <c r="N2828" s="514"/>
      <c r="R2828" s="293"/>
      <c r="S2828" s="316"/>
      <c r="T2828" s="355"/>
    </row>
    <row r="2829" spans="14:20" x14ac:dyDescent="0.25">
      <c r="N2829" s="514"/>
      <c r="R2829" s="293"/>
      <c r="S2829" s="316"/>
      <c r="T2829" s="355"/>
    </row>
    <row r="2830" spans="14:20" x14ac:dyDescent="0.25">
      <c r="N2830" s="514"/>
      <c r="R2830" s="293"/>
      <c r="S2830" s="316"/>
      <c r="T2830" s="355"/>
    </row>
    <row r="2831" spans="14:20" x14ac:dyDescent="0.25">
      <c r="N2831" s="514"/>
      <c r="R2831" s="293"/>
      <c r="S2831" s="316"/>
      <c r="T2831" s="355"/>
    </row>
    <row r="2832" spans="14:20" x14ac:dyDescent="0.25">
      <c r="N2832" s="514"/>
      <c r="R2832" s="293"/>
      <c r="S2832" s="316"/>
      <c r="T2832" s="355"/>
    </row>
    <row r="2833" spans="14:20" x14ac:dyDescent="0.25">
      <c r="N2833" s="514"/>
      <c r="R2833" s="293"/>
      <c r="S2833" s="316"/>
      <c r="T2833" s="355"/>
    </row>
    <row r="2834" spans="14:20" x14ac:dyDescent="0.25">
      <c r="N2834" s="514"/>
      <c r="R2834" s="293"/>
      <c r="S2834" s="316"/>
      <c r="T2834" s="355"/>
    </row>
    <row r="2835" spans="14:20" x14ac:dyDescent="0.25">
      <c r="N2835" s="514"/>
      <c r="R2835" s="293"/>
      <c r="S2835" s="316"/>
      <c r="T2835" s="355"/>
    </row>
    <row r="2836" spans="14:20" x14ac:dyDescent="0.25">
      <c r="N2836" s="514"/>
      <c r="R2836" s="293"/>
      <c r="S2836" s="316"/>
      <c r="T2836" s="355"/>
    </row>
    <row r="2837" spans="14:20" x14ac:dyDescent="0.25">
      <c r="N2837" s="514"/>
      <c r="R2837" s="293"/>
      <c r="S2837" s="316"/>
      <c r="T2837" s="355"/>
    </row>
    <row r="2838" spans="14:20" x14ac:dyDescent="0.25">
      <c r="N2838" s="514"/>
      <c r="R2838" s="293"/>
      <c r="S2838" s="316"/>
      <c r="T2838" s="355"/>
    </row>
    <row r="2839" spans="14:20" x14ac:dyDescent="0.25">
      <c r="N2839" s="514"/>
      <c r="R2839" s="293"/>
      <c r="S2839" s="316"/>
      <c r="T2839" s="355"/>
    </row>
    <row r="2840" spans="14:20" x14ac:dyDescent="0.25">
      <c r="N2840" s="514"/>
      <c r="R2840" s="293"/>
      <c r="S2840" s="316"/>
      <c r="T2840" s="355"/>
    </row>
    <row r="2841" spans="14:20" x14ac:dyDescent="0.25">
      <c r="N2841" s="514"/>
      <c r="R2841" s="293"/>
      <c r="S2841" s="316"/>
      <c r="T2841" s="355"/>
    </row>
    <row r="2842" spans="14:20" x14ac:dyDescent="0.25">
      <c r="N2842" s="514"/>
      <c r="R2842" s="293"/>
      <c r="S2842" s="316"/>
      <c r="T2842" s="355"/>
    </row>
    <row r="2843" spans="14:20" x14ac:dyDescent="0.25">
      <c r="N2843" s="514"/>
      <c r="R2843" s="293"/>
      <c r="S2843" s="316"/>
      <c r="T2843" s="355"/>
    </row>
    <row r="2844" spans="14:20" x14ac:dyDescent="0.25">
      <c r="N2844" s="514"/>
      <c r="R2844" s="293"/>
      <c r="S2844" s="316"/>
      <c r="T2844" s="355"/>
    </row>
    <row r="2845" spans="14:20" x14ac:dyDescent="0.25">
      <c r="N2845" s="514"/>
      <c r="R2845" s="293"/>
      <c r="S2845" s="316"/>
      <c r="T2845" s="355"/>
    </row>
    <row r="2846" spans="14:20" x14ac:dyDescent="0.25">
      <c r="N2846" s="514"/>
      <c r="R2846" s="293"/>
      <c r="S2846" s="316"/>
      <c r="T2846" s="355"/>
    </row>
    <row r="2847" spans="14:20" x14ac:dyDescent="0.25">
      <c r="N2847" s="514"/>
      <c r="R2847" s="293"/>
      <c r="S2847" s="316"/>
      <c r="T2847" s="355"/>
    </row>
    <row r="2848" spans="14:20" x14ac:dyDescent="0.25">
      <c r="N2848" s="514"/>
      <c r="R2848" s="293"/>
      <c r="S2848" s="316"/>
      <c r="T2848" s="355"/>
    </row>
    <row r="2849" spans="14:20" x14ac:dyDescent="0.25">
      <c r="N2849" s="514"/>
      <c r="R2849" s="293"/>
      <c r="S2849" s="316"/>
      <c r="T2849" s="355"/>
    </row>
    <row r="2850" spans="14:20" x14ac:dyDescent="0.25">
      <c r="N2850" s="514"/>
      <c r="R2850" s="293"/>
      <c r="S2850" s="316"/>
      <c r="T2850" s="355"/>
    </row>
    <row r="2851" spans="14:20" x14ac:dyDescent="0.25">
      <c r="N2851" s="514"/>
      <c r="R2851" s="293"/>
      <c r="S2851" s="316"/>
      <c r="T2851" s="355"/>
    </row>
    <row r="2852" spans="14:20" x14ac:dyDescent="0.25">
      <c r="N2852" s="514"/>
      <c r="R2852" s="293"/>
      <c r="S2852" s="316"/>
      <c r="T2852" s="355"/>
    </row>
    <row r="2853" spans="14:20" x14ac:dyDescent="0.25">
      <c r="N2853" s="514"/>
      <c r="R2853" s="293"/>
      <c r="S2853" s="316"/>
      <c r="T2853" s="355"/>
    </row>
    <row r="2854" spans="14:20" x14ac:dyDescent="0.25">
      <c r="N2854" s="514"/>
      <c r="R2854" s="293"/>
      <c r="S2854" s="316"/>
      <c r="T2854" s="355"/>
    </row>
    <row r="2855" spans="14:20" x14ac:dyDescent="0.25">
      <c r="N2855" s="514"/>
      <c r="R2855" s="293"/>
      <c r="S2855" s="316"/>
      <c r="T2855" s="355"/>
    </row>
    <row r="2856" spans="14:20" x14ac:dyDescent="0.25">
      <c r="N2856" s="514"/>
      <c r="R2856" s="293"/>
      <c r="S2856" s="316"/>
      <c r="T2856" s="355"/>
    </row>
    <row r="2857" spans="14:20" x14ac:dyDescent="0.25">
      <c r="N2857" s="514"/>
      <c r="R2857" s="293"/>
      <c r="S2857" s="316"/>
      <c r="T2857" s="355"/>
    </row>
    <row r="2858" spans="14:20" x14ac:dyDescent="0.25">
      <c r="N2858" s="514"/>
      <c r="R2858" s="293"/>
      <c r="S2858" s="316"/>
      <c r="T2858" s="355"/>
    </row>
    <row r="2859" spans="14:20" x14ac:dyDescent="0.25">
      <c r="N2859" s="514"/>
      <c r="R2859" s="293"/>
      <c r="S2859" s="316"/>
      <c r="T2859" s="355"/>
    </row>
    <row r="2860" spans="14:20" x14ac:dyDescent="0.25">
      <c r="N2860" s="514"/>
      <c r="R2860" s="293"/>
      <c r="S2860" s="316"/>
      <c r="T2860" s="355"/>
    </row>
    <row r="2861" spans="14:20" x14ac:dyDescent="0.25">
      <c r="N2861" s="514"/>
      <c r="R2861" s="293"/>
      <c r="S2861" s="316"/>
      <c r="T2861" s="355"/>
    </row>
    <row r="2862" spans="14:20" x14ac:dyDescent="0.25">
      <c r="N2862" s="514"/>
      <c r="R2862" s="293"/>
      <c r="S2862" s="316"/>
      <c r="T2862" s="355"/>
    </row>
    <row r="2863" spans="14:20" x14ac:dyDescent="0.25">
      <c r="N2863" s="514"/>
      <c r="R2863" s="293"/>
      <c r="S2863" s="316"/>
      <c r="T2863" s="355"/>
    </row>
    <row r="2864" spans="14:20" x14ac:dyDescent="0.25">
      <c r="N2864" s="514"/>
      <c r="R2864" s="293"/>
      <c r="S2864" s="316"/>
      <c r="T2864" s="355"/>
    </row>
    <row r="2865" spans="14:20" x14ac:dyDescent="0.25">
      <c r="N2865" s="514"/>
      <c r="R2865" s="293"/>
      <c r="S2865" s="316"/>
      <c r="T2865" s="355"/>
    </row>
    <row r="2866" spans="14:20" x14ac:dyDescent="0.25">
      <c r="N2866" s="514"/>
      <c r="R2866" s="293"/>
      <c r="S2866" s="316"/>
      <c r="T2866" s="355"/>
    </row>
    <row r="2867" spans="14:20" x14ac:dyDescent="0.25">
      <c r="N2867" s="514"/>
      <c r="R2867" s="293"/>
      <c r="S2867" s="316"/>
      <c r="T2867" s="355"/>
    </row>
    <row r="2868" spans="14:20" x14ac:dyDescent="0.25">
      <c r="N2868" s="514"/>
      <c r="R2868" s="293"/>
      <c r="S2868" s="316"/>
      <c r="T2868" s="355"/>
    </row>
    <row r="2869" spans="14:20" x14ac:dyDescent="0.25">
      <c r="N2869" s="514"/>
      <c r="R2869" s="293"/>
      <c r="S2869" s="316"/>
      <c r="T2869" s="355"/>
    </row>
    <row r="2870" spans="14:20" x14ac:dyDescent="0.25">
      <c r="N2870" s="514"/>
      <c r="R2870" s="293"/>
      <c r="S2870" s="316"/>
      <c r="T2870" s="355"/>
    </row>
    <row r="2871" spans="14:20" x14ac:dyDescent="0.25">
      <c r="N2871" s="514"/>
      <c r="R2871" s="293"/>
      <c r="S2871" s="316"/>
      <c r="T2871" s="355"/>
    </row>
    <row r="2872" spans="14:20" x14ac:dyDescent="0.25">
      <c r="N2872" s="514"/>
      <c r="R2872" s="293"/>
      <c r="S2872" s="316"/>
      <c r="T2872" s="355"/>
    </row>
    <row r="2873" spans="14:20" x14ac:dyDescent="0.25">
      <c r="N2873" s="514"/>
      <c r="R2873" s="293"/>
      <c r="S2873" s="316"/>
      <c r="T2873" s="355"/>
    </row>
    <row r="2874" spans="14:20" x14ac:dyDescent="0.25">
      <c r="N2874" s="514"/>
      <c r="R2874" s="293"/>
      <c r="S2874" s="316"/>
      <c r="T2874" s="355"/>
    </row>
    <row r="2875" spans="14:20" x14ac:dyDescent="0.25">
      <c r="N2875" s="514"/>
      <c r="R2875" s="293"/>
      <c r="S2875" s="316"/>
      <c r="T2875" s="355"/>
    </row>
    <row r="2876" spans="14:20" x14ac:dyDescent="0.25">
      <c r="N2876" s="514"/>
      <c r="R2876" s="293"/>
      <c r="S2876" s="316"/>
      <c r="T2876" s="355"/>
    </row>
    <row r="2877" spans="14:20" x14ac:dyDescent="0.25">
      <c r="N2877" s="514"/>
      <c r="R2877" s="293"/>
      <c r="S2877" s="316"/>
      <c r="T2877" s="355"/>
    </row>
    <row r="2878" spans="14:20" x14ac:dyDescent="0.25">
      <c r="N2878" s="514"/>
      <c r="R2878" s="293"/>
      <c r="S2878" s="316"/>
      <c r="T2878" s="355"/>
    </row>
    <row r="2879" spans="14:20" x14ac:dyDescent="0.25">
      <c r="N2879" s="514"/>
      <c r="R2879" s="293"/>
      <c r="S2879" s="316"/>
      <c r="T2879" s="355"/>
    </row>
    <row r="2880" spans="14:20" x14ac:dyDescent="0.25">
      <c r="N2880" s="514"/>
      <c r="R2880" s="293"/>
      <c r="S2880" s="316"/>
      <c r="T2880" s="355"/>
    </row>
    <row r="2881" spans="14:20" x14ac:dyDescent="0.25">
      <c r="N2881" s="514"/>
      <c r="R2881" s="293"/>
      <c r="S2881" s="316"/>
      <c r="T2881" s="355"/>
    </row>
    <row r="2882" spans="14:20" x14ac:dyDescent="0.25">
      <c r="N2882" s="514"/>
      <c r="R2882" s="293"/>
      <c r="S2882" s="316"/>
      <c r="T2882" s="355"/>
    </row>
    <row r="2883" spans="14:20" x14ac:dyDescent="0.25">
      <c r="N2883" s="514"/>
      <c r="R2883" s="293"/>
      <c r="S2883" s="316"/>
      <c r="T2883" s="355"/>
    </row>
    <row r="2884" spans="14:20" x14ac:dyDescent="0.25">
      <c r="N2884" s="514"/>
      <c r="R2884" s="293"/>
      <c r="S2884" s="316"/>
      <c r="T2884" s="355"/>
    </row>
    <row r="2885" spans="14:20" x14ac:dyDescent="0.25">
      <c r="N2885" s="514"/>
      <c r="R2885" s="293"/>
      <c r="S2885" s="316"/>
      <c r="T2885" s="355"/>
    </row>
    <row r="2886" spans="14:20" x14ac:dyDescent="0.25">
      <c r="N2886" s="514"/>
      <c r="R2886" s="293"/>
      <c r="S2886" s="316"/>
      <c r="T2886" s="355"/>
    </row>
    <row r="2887" spans="14:20" x14ac:dyDescent="0.25">
      <c r="N2887" s="514"/>
      <c r="R2887" s="293"/>
      <c r="S2887" s="316"/>
      <c r="T2887" s="355"/>
    </row>
    <row r="2888" spans="14:20" x14ac:dyDescent="0.25">
      <c r="N2888" s="514"/>
      <c r="R2888" s="293"/>
      <c r="S2888" s="316"/>
      <c r="T2888" s="355"/>
    </row>
    <row r="2889" spans="14:20" x14ac:dyDescent="0.25">
      <c r="N2889" s="514"/>
      <c r="R2889" s="293"/>
      <c r="S2889" s="316"/>
      <c r="T2889" s="355"/>
    </row>
    <row r="2890" spans="14:20" x14ac:dyDescent="0.25">
      <c r="N2890" s="514"/>
      <c r="R2890" s="293"/>
      <c r="S2890" s="316"/>
      <c r="T2890" s="355"/>
    </row>
    <row r="2891" spans="14:20" x14ac:dyDescent="0.25">
      <c r="N2891" s="514"/>
      <c r="R2891" s="293"/>
      <c r="S2891" s="316"/>
      <c r="T2891" s="355"/>
    </row>
    <row r="2892" spans="14:20" x14ac:dyDescent="0.25">
      <c r="N2892" s="514"/>
      <c r="R2892" s="293"/>
      <c r="S2892" s="316"/>
      <c r="T2892" s="355"/>
    </row>
    <row r="2893" spans="14:20" x14ac:dyDescent="0.25">
      <c r="N2893" s="514"/>
      <c r="R2893" s="293"/>
      <c r="S2893" s="316"/>
      <c r="T2893" s="355"/>
    </row>
    <row r="2894" spans="14:20" x14ac:dyDescent="0.25">
      <c r="N2894" s="514"/>
      <c r="R2894" s="293"/>
      <c r="S2894" s="316"/>
      <c r="T2894" s="355"/>
    </row>
    <row r="2895" spans="14:20" x14ac:dyDescent="0.25">
      <c r="N2895" s="514"/>
      <c r="R2895" s="293"/>
      <c r="S2895" s="316"/>
      <c r="T2895" s="355"/>
    </row>
    <row r="2896" spans="14:20" x14ac:dyDescent="0.25">
      <c r="N2896" s="514"/>
      <c r="R2896" s="293"/>
      <c r="S2896" s="316"/>
      <c r="T2896" s="355"/>
    </row>
    <row r="2897" spans="14:20" x14ac:dyDescent="0.25">
      <c r="N2897" s="514"/>
      <c r="R2897" s="293"/>
      <c r="S2897" s="316"/>
      <c r="T2897" s="355"/>
    </row>
    <row r="2898" spans="14:20" x14ac:dyDescent="0.25">
      <c r="N2898" s="514"/>
      <c r="R2898" s="293"/>
      <c r="S2898" s="316"/>
      <c r="T2898" s="355"/>
    </row>
    <row r="2899" spans="14:20" x14ac:dyDescent="0.25">
      <c r="N2899" s="514"/>
      <c r="R2899" s="293"/>
      <c r="S2899" s="316"/>
      <c r="T2899" s="355"/>
    </row>
    <row r="2900" spans="14:20" x14ac:dyDescent="0.25">
      <c r="N2900" s="514"/>
      <c r="R2900" s="293"/>
      <c r="S2900" s="316"/>
      <c r="T2900" s="355"/>
    </row>
    <row r="2901" spans="14:20" x14ac:dyDescent="0.25">
      <c r="N2901" s="514"/>
      <c r="R2901" s="293"/>
      <c r="S2901" s="316"/>
      <c r="T2901" s="355"/>
    </row>
    <row r="2902" spans="14:20" x14ac:dyDescent="0.25">
      <c r="N2902" s="514"/>
      <c r="R2902" s="293"/>
      <c r="S2902" s="316"/>
      <c r="T2902" s="355"/>
    </row>
    <row r="2903" spans="14:20" x14ac:dyDescent="0.25">
      <c r="N2903" s="514"/>
      <c r="R2903" s="293"/>
      <c r="S2903" s="316"/>
      <c r="T2903" s="355"/>
    </row>
    <row r="2904" spans="14:20" x14ac:dyDescent="0.25">
      <c r="N2904" s="514"/>
      <c r="R2904" s="293"/>
      <c r="S2904" s="316"/>
      <c r="T2904" s="355"/>
    </row>
    <row r="2905" spans="14:20" x14ac:dyDescent="0.25">
      <c r="N2905" s="514"/>
      <c r="R2905" s="293"/>
      <c r="S2905" s="316"/>
      <c r="T2905" s="355"/>
    </row>
    <row r="2906" spans="14:20" x14ac:dyDescent="0.25">
      <c r="N2906" s="514"/>
      <c r="R2906" s="293"/>
      <c r="S2906" s="316"/>
      <c r="T2906" s="355"/>
    </row>
    <row r="2907" spans="14:20" x14ac:dyDescent="0.25">
      <c r="N2907" s="514"/>
      <c r="R2907" s="293"/>
      <c r="S2907" s="316"/>
      <c r="T2907" s="355"/>
    </row>
    <row r="2908" spans="14:20" x14ac:dyDescent="0.25">
      <c r="N2908" s="514"/>
      <c r="R2908" s="293"/>
      <c r="S2908" s="316"/>
      <c r="T2908" s="355"/>
    </row>
    <row r="2909" spans="14:20" x14ac:dyDescent="0.25">
      <c r="N2909" s="514"/>
      <c r="R2909" s="293"/>
      <c r="S2909" s="316"/>
      <c r="T2909" s="355"/>
    </row>
    <row r="2910" spans="14:20" x14ac:dyDescent="0.25">
      <c r="N2910" s="514"/>
      <c r="R2910" s="293"/>
      <c r="S2910" s="316"/>
      <c r="T2910" s="355"/>
    </row>
    <row r="2911" spans="14:20" x14ac:dyDescent="0.25">
      <c r="N2911" s="514"/>
      <c r="R2911" s="293"/>
      <c r="S2911" s="316"/>
      <c r="T2911" s="355"/>
    </row>
    <row r="2912" spans="14:20" x14ac:dyDescent="0.25">
      <c r="N2912" s="514"/>
      <c r="R2912" s="293"/>
      <c r="S2912" s="316"/>
      <c r="T2912" s="355"/>
    </row>
    <row r="2913" spans="14:20" x14ac:dyDescent="0.25">
      <c r="N2913" s="514"/>
      <c r="R2913" s="293"/>
      <c r="S2913" s="316"/>
      <c r="T2913" s="355"/>
    </row>
    <row r="2914" spans="14:20" x14ac:dyDescent="0.25">
      <c r="N2914" s="514"/>
      <c r="R2914" s="293"/>
      <c r="S2914" s="316"/>
      <c r="T2914" s="355"/>
    </row>
    <row r="2915" spans="14:20" x14ac:dyDescent="0.25">
      <c r="N2915" s="514"/>
      <c r="R2915" s="293"/>
      <c r="S2915" s="316"/>
      <c r="T2915" s="355"/>
    </row>
    <row r="2916" spans="14:20" x14ac:dyDescent="0.25">
      <c r="N2916" s="514"/>
      <c r="R2916" s="293"/>
      <c r="S2916" s="316"/>
      <c r="T2916" s="355"/>
    </row>
    <row r="2917" spans="14:20" x14ac:dyDescent="0.25">
      <c r="N2917" s="514"/>
      <c r="R2917" s="293"/>
      <c r="S2917" s="316"/>
      <c r="T2917" s="355"/>
    </row>
    <row r="2918" spans="14:20" x14ac:dyDescent="0.25">
      <c r="N2918" s="514"/>
      <c r="R2918" s="293"/>
      <c r="S2918" s="316"/>
      <c r="T2918" s="355"/>
    </row>
    <row r="2919" spans="14:20" x14ac:dyDescent="0.25">
      <c r="N2919" s="514"/>
      <c r="R2919" s="293"/>
      <c r="S2919" s="316"/>
      <c r="T2919" s="355"/>
    </row>
    <row r="2920" spans="14:20" x14ac:dyDescent="0.25">
      <c r="N2920" s="514"/>
      <c r="R2920" s="293"/>
      <c r="S2920" s="316"/>
      <c r="T2920" s="355"/>
    </row>
    <row r="2921" spans="14:20" x14ac:dyDescent="0.25">
      <c r="N2921" s="514"/>
      <c r="R2921" s="293"/>
      <c r="S2921" s="316"/>
      <c r="T2921" s="355"/>
    </row>
    <row r="2922" spans="14:20" x14ac:dyDescent="0.25">
      <c r="N2922" s="514"/>
      <c r="R2922" s="293"/>
      <c r="S2922" s="316"/>
      <c r="T2922" s="355"/>
    </row>
    <row r="2923" spans="14:20" x14ac:dyDescent="0.25">
      <c r="N2923" s="514"/>
      <c r="R2923" s="293"/>
      <c r="S2923" s="316"/>
      <c r="T2923" s="355"/>
    </row>
    <row r="2924" spans="14:20" x14ac:dyDescent="0.25">
      <c r="N2924" s="514"/>
      <c r="R2924" s="293"/>
      <c r="S2924" s="316"/>
      <c r="T2924" s="355"/>
    </row>
    <row r="2925" spans="14:20" x14ac:dyDescent="0.25">
      <c r="N2925" s="514"/>
      <c r="R2925" s="293"/>
      <c r="S2925" s="316"/>
      <c r="T2925" s="355"/>
    </row>
    <row r="2926" spans="14:20" x14ac:dyDescent="0.25">
      <c r="N2926" s="514"/>
      <c r="R2926" s="293"/>
      <c r="S2926" s="316"/>
      <c r="T2926" s="355"/>
    </row>
    <row r="2927" spans="14:20" x14ac:dyDescent="0.25">
      <c r="N2927" s="514"/>
      <c r="R2927" s="293"/>
      <c r="S2927" s="316"/>
      <c r="T2927" s="355"/>
    </row>
    <row r="2928" spans="14:20" x14ac:dyDescent="0.25">
      <c r="N2928" s="514"/>
      <c r="R2928" s="293"/>
      <c r="S2928" s="316"/>
      <c r="T2928" s="355"/>
    </row>
    <row r="2929" spans="14:20" x14ac:dyDescent="0.25">
      <c r="N2929" s="514"/>
      <c r="R2929" s="293"/>
      <c r="S2929" s="316"/>
      <c r="T2929" s="355"/>
    </row>
    <row r="2930" spans="14:20" x14ac:dyDescent="0.25">
      <c r="N2930" s="514"/>
      <c r="R2930" s="293"/>
      <c r="S2930" s="316"/>
      <c r="T2930" s="355"/>
    </row>
    <row r="2931" spans="14:20" x14ac:dyDescent="0.25">
      <c r="N2931" s="514"/>
      <c r="R2931" s="293"/>
      <c r="S2931" s="316"/>
      <c r="T2931" s="355"/>
    </row>
    <row r="2932" spans="14:20" x14ac:dyDescent="0.25">
      <c r="N2932" s="514"/>
      <c r="R2932" s="293"/>
      <c r="S2932" s="316"/>
      <c r="T2932" s="355"/>
    </row>
    <row r="2933" spans="14:20" x14ac:dyDescent="0.25">
      <c r="N2933" s="514"/>
      <c r="R2933" s="293"/>
      <c r="S2933" s="316"/>
      <c r="T2933" s="355"/>
    </row>
    <row r="2934" spans="14:20" x14ac:dyDescent="0.25">
      <c r="N2934" s="514"/>
      <c r="R2934" s="293"/>
      <c r="S2934" s="316"/>
      <c r="T2934" s="355"/>
    </row>
    <row r="2935" spans="14:20" x14ac:dyDescent="0.25">
      <c r="N2935" s="514"/>
      <c r="R2935" s="293"/>
      <c r="S2935" s="316"/>
      <c r="T2935" s="355"/>
    </row>
    <row r="2936" spans="14:20" x14ac:dyDescent="0.25">
      <c r="N2936" s="514"/>
      <c r="R2936" s="293"/>
      <c r="S2936" s="316"/>
      <c r="T2936" s="355"/>
    </row>
    <row r="2937" spans="14:20" x14ac:dyDescent="0.25">
      <c r="N2937" s="514"/>
      <c r="R2937" s="293"/>
      <c r="S2937" s="316"/>
      <c r="T2937" s="355"/>
    </row>
    <row r="2938" spans="14:20" x14ac:dyDescent="0.25">
      <c r="N2938" s="514"/>
      <c r="R2938" s="293"/>
      <c r="S2938" s="316"/>
      <c r="T2938" s="355"/>
    </row>
    <row r="2939" spans="14:20" x14ac:dyDescent="0.25">
      <c r="N2939" s="514"/>
      <c r="R2939" s="293"/>
      <c r="S2939" s="316"/>
      <c r="T2939" s="355"/>
    </row>
    <row r="2940" spans="14:20" x14ac:dyDescent="0.25">
      <c r="N2940" s="514"/>
      <c r="R2940" s="293"/>
      <c r="S2940" s="316"/>
      <c r="T2940" s="355"/>
    </row>
    <row r="2941" spans="14:20" x14ac:dyDescent="0.25">
      <c r="N2941" s="514"/>
      <c r="R2941" s="293"/>
      <c r="S2941" s="316"/>
      <c r="T2941" s="355"/>
    </row>
    <row r="2942" spans="14:20" x14ac:dyDescent="0.25">
      <c r="N2942" s="514"/>
      <c r="R2942" s="293"/>
      <c r="S2942" s="316"/>
      <c r="T2942" s="355"/>
    </row>
    <row r="2943" spans="14:20" x14ac:dyDescent="0.25">
      <c r="N2943" s="514"/>
      <c r="R2943" s="293"/>
      <c r="S2943" s="316"/>
      <c r="T2943" s="355"/>
    </row>
    <row r="2944" spans="14:20" x14ac:dyDescent="0.25">
      <c r="N2944" s="514"/>
      <c r="R2944" s="293"/>
      <c r="S2944" s="316"/>
      <c r="T2944" s="355"/>
    </row>
    <row r="2945" spans="14:20" x14ac:dyDescent="0.25">
      <c r="N2945" s="514"/>
      <c r="R2945" s="293"/>
      <c r="S2945" s="316"/>
      <c r="T2945" s="355"/>
    </row>
    <row r="2946" spans="14:20" x14ac:dyDescent="0.25">
      <c r="N2946" s="514"/>
      <c r="R2946" s="293"/>
      <c r="S2946" s="316"/>
      <c r="T2946" s="355"/>
    </row>
    <row r="2947" spans="14:20" x14ac:dyDescent="0.25">
      <c r="N2947" s="514"/>
      <c r="R2947" s="293"/>
      <c r="S2947" s="316"/>
      <c r="T2947" s="355"/>
    </row>
    <row r="2948" spans="14:20" x14ac:dyDescent="0.25">
      <c r="N2948" s="514"/>
      <c r="R2948" s="293"/>
      <c r="S2948" s="316"/>
      <c r="T2948" s="355"/>
    </row>
    <row r="2949" spans="14:20" x14ac:dyDescent="0.25">
      <c r="N2949" s="514"/>
      <c r="R2949" s="293"/>
      <c r="S2949" s="316"/>
      <c r="T2949" s="355"/>
    </row>
    <row r="2950" spans="14:20" x14ac:dyDescent="0.25">
      <c r="N2950" s="514"/>
      <c r="R2950" s="293"/>
      <c r="S2950" s="316"/>
      <c r="T2950" s="355"/>
    </row>
    <row r="2951" spans="14:20" x14ac:dyDescent="0.25">
      <c r="N2951" s="514"/>
      <c r="R2951" s="293"/>
      <c r="S2951" s="316"/>
      <c r="T2951" s="355"/>
    </row>
    <row r="2952" spans="14:20" x14ac:dyDescent="0.25">
      <c r="N2952" s="514"/>
      <c r="R2952" s="293"/>
      <c r="S2952" s="316"/>
      <c r="T2952" s="355"/>
    </row>
    <row r="2953" spans="14:20" x14ac:dyDescent="0.25">
      <c r="N2953" s="514"/>
      <c r="R2953" s="293"/>
      <c r="S2953" s="316"/>
      <c r="T2953" s="355"/>
    </row>
    <row r="2954" spans="14:20" x14ac:dyDescent="0.25">
      <c r="N2954" s="514"/>
      <c r="R2954" s="293"/>
      <c r="S2954" s="316"/>
      <c r="T2954" s="355"/>
    </row>
    <row r="2955" spans="14:20" x14ac:dyDescent="0.25">
      <c r="N2955" s="514"/>
      <c r="R2955" s="293"/>
      <c r="S2955" s="316"/>
      <c r="T2955" s="355"/>
    </row>
    <row r="2956" spans="14:20" x14ac:dyDescent="0.25">
      <c r="N2956" s="514"/>
      <c r="R2956" s="293"/>
      <c r="S2956" s="316"/>
      <c r="T2956" s="355"/>
    </row>
    <row r="2957" spans="14:20" x14ac:dyDescent="0.25">
      <c r="N2957" s="514"/>
      <c r="R2957" s="293"/>
      <c r="S2957" s="316"/>
      <c r="T2957" s="355"/>
    </row>
    <row r="2958" spans="14:20" x14ac:dyDescent="0.25">
      <c r="N2958" s="514"/>
      <c r="R2958" s="293"/>
      <c r="S2958" s="316"/>
      <c r="T2958" s="355"/>
    </row>
    <row r="2959" spans="14:20" x14ac:dyDescent="0.25">
      <c r="N2959" s="514"/>
      <c r="R2959" s="293"/>
      <c r="S2959" s="316"/>
      <c r="T2959" s="355"/>
    </row>
    <row r="2960" spans="14:20" x14ac:dyDescent="0.25">
      <c r="N2960" s="514"/>
      <c r="R2960" s="293"/>
      <c r="S2960" s="316"/>
      <c r="T2960" s="355"/>
    </row>
    <row r="2961" spans="14:20" x14ac:dyDescent="0.25">
      <c r="N2961" s="514"/>
      <c r="R2961" s="293"/>
      <c r="S2961" s="316"/>
      <c r="T2961" s="355"/>
    </row>
    <row r="2962" spans="14:20" x14ac:dyDescent="0.25">
      <c r="N2962" s="514"/>
      <c r="R2962" s="293"/>
      <c r="S2962" s="316"/>
      <c r="T2962" s="355"/>
    </row>
    <row r="2963" spans="14:20" x14ac:dyDescent="0.25">
      <c r="N2963" s="514"/>
      <c r="R2963" s="293"/>
      <c r="S2963" s="316"/>
      <c r="T2963" s="355"/>
    </row>
    <row r="2964" spans="14:20" x14ac:dyDescent="0.25">
      <c r="N2964" s="514"/>
      <c r="R2964" s="293"/>
      <c r="S2964" s="316"/>
      <c r="T2964" s="355"/>
    </row>
    <row r="2965" spans="14:20" x14ac:dyDescent="0.25">
      <c r="N2965" s="514"/>
      <c r="R2965" s="293"/>
      <c r="S2965" s="316"/>
      <c r="T2965" s="355"/>
    </row>
    <row r="2966" spans="14:20" x14ac:dyDescent="0.25">
      <c r="N2966" s="514"/>
      <c r="R2966" s="293"/>
      <c r="S2966" s="316"/>
      <c r="T2966" s="355"/>
    </row>
    <row r="2967" spans="14:20" x14ac:dyDescent="0.25">
      <c r="N2967" s="514"/>
      <c r="R2967" s="293"/>
      <c r="S2967" s="316"/>
      <c r="T2967" s="355"/>
    </row>
    <row r="2968" spans="14:20" x14ac:dyDescent="0.25">
      <c r="N2968" s="514"/>
      <c r="R2968" s="293"/>
      <c r="S2968" s="316"/>
      <c r="T2968" s="355"/>
    </row>
    <row r="2969" spans="14:20" x14ac:dyDescent="0.25">
      <c r="N2969" s="514"/>
      <c r="R2969" s="293"/>
      <c r="S2969" s="316"/>
      <c r="T2969" s="355"/>
    </row>
    <row r="2970" spans="14:20" x14ac:dyDescent="0.25">
      <c r="N2970" s="514"/>
      <c r="R2970" s="293"/>
      <c r="S2970" s="316"/>
      <c r="T2970" s="355"/>
    </row>
    <row r="2971" spans="14:20" x14ac:dyDescent="0.25">
      <c r="N2971" s="514"/>
      <c r="R2971" s="293"/>
      <c r="S2971" s="316"/>
      <c r="T2971" s="355"/>
    </row>
    <row r="2972" spans="14:20" x14ac:dyDescent="0.25">
      <c r="N2972" s="514"/>
      <c r="R2972" s="293"/>
      <c r="S2972" s="316"/>
      <c r="T2972" s="355"/>
    </row>
    <row r="2973" spans="14:20" x14ac:dyDescent="0.25">
      <c r="N2973" s="514"/>
      <c r="R2973" s="293"/>
      <c r="S2973" s="316"/>
      <c r="T2973" s="355"/>
    </row>
    <row r="2974" spans="14:20" x14ac:dyDescent="0.25">
      <c r="N2974" s="514"/>
      <c r="R2974" s="293"/>
      <c r="S2974" s="316"/>
      <c r="T2974" s="355"/>
    </row>
    <row r="2975" spans="14:20" x14ac:dyDescent="0.25">
      <c r="N2975" s="514"/>
      <c r="R2975" s="293"/>
      <c r="S2975" s="316"/>
      <c r="T2975" s="355"/>
    </row>
    <row r="2976" spans="14:20" x14ac:dyDescent="0.25">
      <c r="N2976" s="514"/>
      <c r="R2976" s="293"/>
      <c r="S2976" s="316"/>
      <c r="T2976" s="355"/>
    </row>
    <row r="2977" spans="14:20" x14ac:dyDescent="0.25">
      <c r="N2977" s="514"/>
      <c r="R2977" s="293"/>
      <c r="S2977" s="316"/>
      <c r="T2977" s="355"/>
    </row>
    <row r="2978" spans="14:20" x14ac:dyDescent="0.25">
      <c r="N2978" s="514"/>
      <c r="R2978" s="293"/>
      <c r="S2978" s="316"/>
      <c r="T2978" s="355"/>
    </row>
    <row r="2979" spans="14:20" x14ac:dyDescent="0.25">
      <c r="N2979" s="514"/>
      <c r="R2979" s="293"/>
      <c r="S2979" s="316"/>
      <c r="T2979" s="355"/>
    </row>
    <row r="2980" spans="14:20" x14ac:dyDescent="0.25">
      <c r="N2980" s="514"/>
      <c r="R2980" s="293"/>
      <c r="S2980" s="316"/>
      <c r="T2980" s="355"/>
    </row>
    <row r="2981" spans="14:20" x14ac:dyDescent="0.25">
      <c r="N2981" s="514"/>
      <c r="R2981" s="293"/>
      <c r="S2981" s="316"/>
      <c r="T2981" s="355"/>
    </row>
    <row r="2982" spans="14:20" x14ac:dyDescent="0.25">
      <c r="N2982" s="514"/>
      <c r="R2982" s="293"/>
      <c r="S2982" s="316"/>
      <c r="T2982" s="355"/>
    </row>
    <row r="2983" spans="14:20" x14ac:dyDescent="0.25">
      <c r="N2983" s="514"/>
      <c r="R2983" s="293"/>
      <c r="S2983" s="316"/>
      <c r="T2983" s="355"/>
    </row>
    <row r="2984" spans="14:20" x14ac:dyDescent="0.25">
      <c r="N2984" s="514"/>
      <c r="R2984" s="293"/>
      <c r="S2984" s="316"/>
      <c r="T2984" s="355"/>
    </row>
    <row r="2985" spans="14:20" x14ac:dyDescent="0.25">
      <c r="N2985" s="514"/>
      <c r="R2985" s="293"/>
      <c r="S2985" s="316"/>
      <c r="T2985" s="355"/>
    </row>
    <row r="2986" spans="14:20" x14ac:dyDescent="0.25">
      <c r="N2986" s="514"/>
      <c r="R2986" s="293"/>
      <c r="S2986" s="316"/>
      <c r="T2986" s="355"/>
    </row>
    <row r="2987" spans="14:20" x14ac:dyDescent="0.25">
      <c r="N2987" s="514"/>
      <c r="R2987" s="293"/>
      <c r="S2987" s="316"/>
      <c r="T2987" s="355"/>
    </row>
    <row r="2988" spans="14:20" x14ac:dyDescent="0.25">
      <c r="N2988" s="514"/>
      <c r="R2988" s="293"/>
      <c r="S2988" s="316"/>
      <c r="T2988" s="355"/>
    </row>
    <row r="2989" spans="14:20" x14ac:dyDescent="0.25">
      <c r="N2989" s="514"/>
      <c r="R2989" s="293"/>
      <c r="S2989" s="316"/>
      <c r="T2989" s="355"/>
    </row>
    <row r="2990" spans="14:20" x14ac:dyDescent="0.25">
      <c r="N2990" s="514"/>
      <c r="R2990" s="293"/>
      <c r="S2990" s="316"/>
      <c r="T2990" s="355"/>
    </row>
    <row r="2991" spans="14:20" x14ac:dyDescent="0.25">
      <c r="N2991" s="514"/>
      <c r="R2991" s="293"/>
      <c r="S2991" s="316"/>
      <c r="T2991" s="355"/>
    </row>
    <row r="2992" spans="14:20" x14ac:dyDescent="0.25">
      <c r="N2992" s="514"/>
      <c r="R2992" s="293"/>
      <c r="S2992" s="316"/>
      <c r="T2992" s="355"/>
    </row>
    <row r="2993" spans="14:20" x14ac:dyDescent="0.25">
      <c r="N2993" s="514"/>
      <c r="R2993" s="293"/>
      <c r="S2993" s="316"/>
      <c r="T2993" s="355"/>
    </row>
    <row r="2994" spans="14:20" x14ac:dyDescent="0.25">
      <c r="N2994" s="514"/>
      <c r="R2994" s="293"/>
      <c r="S2994" s="316"/>
      <c r="T2994" s="355"/>
    </row>
    <row r="2995" spans="14:20" x14ac:dyDescent="0.25">
      <c r="N2995" s="514"/>
      <c r="R2995" s="293"/>
      <c r="S2995" s="316"/>
      <c r="T2995" s="355"/>
    </row>
    <row r="2996" spans="14:20" x14ac:dyDescent="0.25">
      <c r="N2996" s="514"/>
      <c r="R2996" s="293"/>
      <c r="S2996" s="316"/>
      <c r="T2996" s="355"/>
    </row>
    <row r="2997" spans="14:20" x14ac:dyDescent="0.25">
      <c r="N2997" s="514"/>
      <c r="R2997" s="293"/>
      <c r="S2997" s="316"/>
      <c r="T2997" s="355"/>
    </row>
    <row r="2998" spans="14:20" x14ac:dyDescent="0.25">
      <c r="N2998" s="514"/>
      <c r="R2998" s="293"/>
      <c r="S2998" s="316"/>
      <c r="T2998" s="355"/>
    </row>
    <row r="2999" spans="14:20" x14ac:dyDescent="0.25">
      <c r="N2999" s="514"/>
      <c r="R2999" s="293"/>
      <c r="S2999" s="316"/>
      <c r="T2999" s="355"/>
    </row>
    <row r="3000" spans="14:20" x14ac:dyDescent="0.25">
      <c r="N3000" s="514"/>
      <c r="R3000" s="293"/>
      <c r="S3000" s="316"/>
      <c r="T3000" s="355"/>
    </row>
    <row r="3001" spans="14:20" x14ac:dyDescent="0.25">
      <c r="N3001" s="514"/>
      <c r="R3001" s="293"/>
      <c r="S3001" s="316"/>
      <c r="T3001" s="355"/>
    </row>
    <row r="3002" spans="14:20" x14ac:dyDescent="0.25">
      <c r="N3002" s="514"/>
      <c r="R3002" s="293"/>
      <c r="S3002" s="316"/>
      <c r="T3002" s="355"/>
    </row>
    <row r="3003" spans="14:20" x14ac:dyDescent="0.25">
      <c r="N3003" s="514"/>
      <c r="R3003" s="293"/>
      <c r="S3003" s="316"/>
      <c r="T3003" s="355"/>
    </row>
    <row r="3004" spans="14:20" x14ac:dyDescent="0.25">
      <c r="N3004" s="514"/>
      <c r="R3004" s="293"/>
      <c r="S3004" s="316"/>
      <c r="T3004" s="355"/>
    </row>
    <row r="3005" spans="14:20" x14ac:dyDescent="0.25">
      <c r="N3005" s="514"/>
      <c r="R3005" s="293"/>
      <c r="S3005" s="316"/>
      <c r="T3005" s="355"/>
    </row>
    <row r="3006" spans="14:20" x14ac:dyDescent="0.25">
      <c r="N3006" s="514"/>
      <c r="R3006" s="293"/>
      <c r="S3006" s="316"/>
      <c r="T3006" s="355"/>
    </row>
    <row r="3007" spans="14:20" x14ac:dyDescent="0.25">
      <c r="N3007" s="514"/>
      <c r="R3007" s="293"/>
      <c r="S3007" s="316"/>
      <c r="T3007" s="355"/>
    </row>
    <row r="3008" spans="14:20" x14ac:dyDescent="0.25">
      <c r="N3008" s="514"/>
      <c r="R3008" s="293"/>
      <c r="S3008" s="316"/>
      <c r="T3008" s="355"/>
    </row>
    <row r="3009" spans="14:20" x14ac:dyDescent="0.25">
      <c r="N3009" s="514"/>
      <c r="R3009" s="293"/>
      <c r="S3009" s="316"/>
      <c r="T3009" s="355"/>
    </row>
    <row r="3010" spans="14:20" x14ac:dyDescent="0.25">
      <c r="N3010" s="514"/>
      <c r="R3010" s="293"/>
      <c r="S3010" s="316"/>
      <c r="T3010" s="355"/>
    </row>
    <row r="3011" spans="14:20" x14ac:dyDescent="0.25">
      <c r="N3011" s="514"/>
      <c r="R3011" s="293"/>
      <c r="S3011" s="316"/>
      <c r="T3011" s="355"/>
    </row>
    <row r="3012" spans="14:20" x14ac:dyDescent="0.25">
      <c r="N3012" s="514"/>
      <c r="R3012" s="293"/>
      <c r="S3012" s="316"/>
      <c r="T3012" s="355"/>
    </row>
    <row r="3013" spans="14:20" x14ac:dyDescent="0.25">
      <c r="N3013" s="514"/>
      <c r="R3013" s="293"/>
      <c r="S3013" s="316"/>
      <c r="T3013" s="355"/>
    </row>
    <row r="3014" spans="14:20" x14ac:dyDescent="0.25">
      <c r="N3014" s="514"/>
      <c r="R3014" s="293"/>
      <c r="S3014" s="316"/>
      <c r="T3014" s="355"/>
    </row>
    <row r="3015" spans="14:20" x14ac:dyDescent="0.25">
      <c r="N3015" s="514"/>
      <c r="R3015" s="293"/>
      <c r="S3015" s="316"/>
      <c r="T3015" s="355"/>
    </row>
    <row r="3016" spans="14:20" x14ac:dyDescent="0.25">
      <c r="N3016" s="514"/>
      <c r="R3016" s="293"/>
      <c r="S3016" s="316"/>
      <c r="T3016" s="355"/>
    </row>
    <row r="3017" spans="14:20" x14ac:dyDescent="0.25">
      <c r="N3017" s="514"/>
      <c r="R3017" s="293"/>
      <c r="S3017" s="316"/>
      <c r="T3017" s="355"/>
    </row>
    <row r="3018" spans="14:20" x14ac:dyDescent="0.25">
      <c r="N3018" s="514"/>
      <c r="R3018" s="293"/>
      <c r="S3018" s="316"/>
      <c r="T3018" s="355"/>
    </row>
    <row r="3019" spans="14:20" x14ac:dyDescent="0.25">
      <c r="N3019" s="514"/>
      <c r="R3019" s="293"/>
      <c r="S3019" s="316"/>
      <c r="T3019" s="355"/>
    </row>
    <row r="3020" spans="14:20" x14ac:dyDescent="0.25">
      <c r="N3020" s="514"/>
      <c r="R3020" s="293"/>
      <c r="S3020" s="316"/>
      <c r="T3020" s="355"/>
    </row>
    <row r="3021" spans="14:20" x14ac:dyDescent="0.25">
      <c r="N3021" s="514"/>
      <c r="R3021" s="293"/>
      <c r="S3021" s="316"/>
      <c r="T3021" s="355"/>
    </row>
    <row r="3022" spans="14:20" x14ac:dyDescent="0.25">
      <c r="N3022" s="514"/>
      <c r="R3022" s="293"/>
      <c r="S3022" s="316"/>
      <c r="T3022" s="355"/>
    </row>
    <row r="3023" spans="14:20" x14ac:dyDescent="0.25">
      <c r="N3023" s="514"/>
      <c r="R3023" s="293"/>
      <c r="S3023" s="316"/>
      <c r="T3023" s="355"/>
    </row>
    <row r="3024" spans="14:20" x14ac:dyDescent="0.25">
      <c r="N3024" s="514"/>
      <c r="R3024" s="293"/>
      <c r="S3024" s="316"/>
      <c r="T3024" s="355"/>
    </row>
    <row r="3025" spans="14:20" x14ac:dyDescent="0.25">
      <c r="N3025" s="514"/>
      <c r="R3025" s="293"/>
      <c r="S3025" s="316"/>
      <c r="T3025" s="355"/>
    </row>
    <row r="3026" spans="14:20" x14ac:dyDescent="0.25">
      <c r="N3026" s="514"/>
      <c r="R3026" s="293"/>
      <c r="S3026" s="316"/>
      <c r="T3026" s="355"/>
    </row>
    <row r="3027" spans="14:20" x14ac:dyDescent="0.25">
      <c r="N3027" s="514"/>
      <c r="R3027" s="293"/>
      <c r="S3027" s="316"/>
      <c r="T3027" s="355"/>
    </row>
    <row r="3028" spans="14:20" x14ac:dyDescent="0.25">
      <c r="N3028" s="514"/>
      <c r="R3028" s="293"/>
      <c r="S3028" s="316"/>
      <c r="T3028" s="355"/>
    </row>
    <row r="3029" spans="14:20" x14ac:dyDescent="0.25">
      <c r="N3029" s="514"/>
      <c r="R3029" s="293"/>
      <c r="S3029" s="316"/>
      <c r="T3029" s="355"/>
    </row>
    <row r="3030" spans="14:20" x14ac:dyDescent="0.25">
      <c r="N3030" s="514"/>
      <c r="R3030" s="293"/>
      <c r="S3030" s="316"/>
      <c r="T3030" s="355"/>
    </row>
    <row r="3031" spans="14:20" x14ac:dyDescent="0.25">
      <c r="N3031" s="514"/>
      <c r="R3031" s="293"/>
      <c r="S3031" s="316"/>
      <c r="T3031" s="355"/>
    </row>
    <row r="3032" spans="14:20" x14ac:dyDescent="0.25">
      <c r="N3032" s="514"/>
      <c r="R3032" s="293"/>
      <c r="S3032" s="316"/>
      <c r="T3032" s="355"/>
    </row>
    <row r="3033" spans="14:20" x14ac:dyDescent="0.25">
      <c r="N3033" s="514"/>
      <c r="R3033" s="293"/>
      <c r="S3033" s="316"/>
      <c r="T3033" s="355"/>
    </row>
    <row r="3034" spans="14:20" x14ac:dyDescent="0.25">
      <c r="N3034" s="514"/>
      <c r="R3034" s="293"/>
      <c r="S3034" s="316"/>
      <c r="T3034" s="355"/>
    </row>
    <row r="3035" spans="14:20" x14ac:dyDescent="0.25">
      <c r="N3035" s="514"/>
      <c r="R3035" s="293"/>
      <c r="S3035" s="316"/>
      <c r="T3035" s="355"/>
    </row>
    <row r="3036" spans="14:20" x14ac:dyDescent="0.25">
      <c r="N3036" s="514"/>
      <c r="R3036" s="293"/>
      <c r="S3036" s="316"/>
      <c r="T3036" s="355"/>
    </row>
    <row r="3037" spans="14:20" x14ac:dyDescent="0.25">
      <c r="N3037" s="514"/>
      <c r="R3037" s="293"/>
      <c r="S3037" s="316"/>
      <c r="T3037" s="355"/>
    </row>
    <row r="3038" spans="14:20" x14ac:dyDescent="0.25">
      <c r="N3038" s="514"/>
      <c r="R3038" s="293"/>
      <c r="S3038" s="316"/>
      <c r="T3038" s="355"/>
    </row>
    <row r="3039" spans="14:20" x14ac:dyDescent="0.25">
      <c r="N3039" s="514"/>
      <c r="R3039" s="293"/>
      <c r="S3039" s="316"/>
      <c r="T3039" s="355"/>
    </row>
    <row r="3040" spans="14:20" x14ac:dyDescent="0.25">
      <c r="N3040" s="514"/>
      <c r="R3040" s="293"/>
      <c r="S3040" s="316"/>
      <c r="T3040" s="355"/>
    </row>
    <row r="3041" spans="14:20" x14ac:dyDescent="0.25">
      <c r="N3041" s="514"/>
      <c r="R3041" s="293"/>
      <c r="S3041" s="316"/>
      <c r="T3041" s="355"/>
    </row>
    <row r="3042" spans="14:20" x14ac:dyDescent="0.25">
      <c r="N3042" s="514"/>
      <c r="R3042" s="293"/>
      <c r="S3042" s="316"/>
      <c r="T3042" s="355"/>
    </row>
    <row r="3043" spans="14:20" x14ac:dyDescent="0.25">
      <c r="N3043" s="514"/>
      <c r="R3043" s="293"/>
      <c r="S3043" s="316"/>
      <c r="T3043" s="355"/>
    </row>
    <row r="3044" spans="14:20" x14ac:dyDescent="0.25">
      <c r="N3044" s="514"/>
      <c r="R3044" s="293"/>
      <c r="S3044" s="316"/>
      <c r="T3044" s="355"/>
    </row>
    <row r="3045" spans="14:20" x14ac:dyDescent="0.25">
      <c r="N3045" s="514"/>
      <c r="R3045" s="293"/>
      <c r="S3045" s="316"/>
      <c r="T3045" s="355"/>
    </row>
    <row r="3046" spans="14:20" x14ac:dyDescent="0.25">
      <c r="N3046" s="514"/>
      <c r="R3046" s="293"/>
      <c r="S3046" s="316"/>
      <c r="T3046" s="355"/>
    </row>
    <row r="3047" spans="14:20" x14ac:dyDescent="0.25">
      <c r="N3047" s="514"/>
      <c r="R3047" s="293"/>
      <c r="S3047" s="316"/>
      <c r="T3047" s="355"/>
    </row>
    <row r="3048" spans="14:20" x14ac:dyDescent="0.25">
      <c r="N3048" s="514"/>
      <c r="R3048" s="293"/>
      <c r="S3048" s="316"/>
      <c r="T3048" s="355"/>
    </row>
    <row r="3049" spans="14:20" x14ac:dyDescent="0.25">
      <c r="N3049" s="514"/>
      <c r="R3049" s="293"/>
      <c r="S3049" s="316"/>
      <c r="T3049" s="355"/>
    </row>
    <row r="3050" spans="14:20" x14ac:dyDescent="0.25">
      <c r="N3050" s="514"/>
      <c r="R3050" s="293"/>
      <c r="S3050" s="316"/>
      <c r="T3050" s="355"/>
    </row>
    <row r="3051" spans="14:20" x14ac:dyDescent="0.25">
      <c r="N3051" s="514"/>
      <c r="R3051" s="293"/>
      <c r="S3051" s="316"/>
      <c r="T3051" s="355"/>
    </row>
    <row r="3052" spans="14:20" x14ac:dyDescent="0.25">
      <c r="N3052" s="514"/>
      <c r="R3052" s="293"/>
      <c r="S3052" s="316"/>
      <c r="T3052" s="355"/>
    </row>
    <row r="3053" spans="14:20" x14ac:dyDescent="0.25">
      <c r="N3053" s="514"/>
      <c r="R3053" s="293"/>
      <c r="S3053" s="316"/>
      <c r="T3053" s="355"/>
    </row>
    <row r="3054" spans="14:20" x14ac:dyDescent="0.25">
      <c r="N3054" s="514"/>
      <c r="R3054" s="293"/>
      <c r="S3054" s="316"/>
      <c r="T3054" s="355"/>
    </row>
    <row r="3055" spans="14:20" x14ac:dyDescent="0.25">
      <c r="N3055" s="514"/>
      <c r="R3055" s="293"/>
      <c r="S3055" s="316"/>
      <c r="T3055" s="355"/>
    </row>
    <row r="3056" spans="14:20" x14ac:dyDescent="0.25">
      <c r="N3056" s="514"/>
      <c r="R3056" s="293"/>
      <c r="S3056" s="316"/>
      <c r="T3056" s="355"/>
    </row>
    <row r="3057" spans="14:20" x14ac:dyDescent="0.25">
      <c r="N3057" s="514"/>
      <c r="R3057" s="293"/>
      <c r="S3057" s="316"/>
      <c r="T3057" s="355"/>
    </row>
    <row r="3058" spans="14:20" x14ac:dyDescent="0.25">
      <c r="N3058" s="514"/>
      <c r="R3058" s="293"/>
      <c r="S3058" s="316"/>
      <c r="T3058" s="355"/>
    </row>
    <row r="3059" spans="14:20" x14ac:dyDescent="0.25">
      <c r="N3059" s="514"/>
      <c r="R3059" s="293"/>
      <c r="S3059" s="316"/>
      <c r="T3059" s="355"/>
    </row>
    <row r="3060" spans="14:20" x14ac:dyDescent="0.25">
      <c r="N3060" s="514"/>
      <c r="R3060" s="293"/>
      <c r="S3060" s="316"/>
      <c r="T3060" s="355"/>
    </row>
    <row r="3061" spans="14:20" x14ac:dyDescent="0.25">
      <c r="N3061" s="514"/>
      <c r="R3061" s="293"/>
      <c r="S3061" s="316"/>
      <c r="T3061" s="355"/>
    </row>
    <row r="3062" spans="14:20" x14ac:dyDescent="0.25">
      <c r="N3062" s="514"/>
      <c r="R3062" s="293"/>
      <c r="S3062" s="316"/>
      <c r="T3062" s="355"/>
    </row>
    <row r="3063" spans="14:20" x14ac:dyDescent="0.25">
      <c r="N3063" s="514"/>
      <c r="R3063" s="293"/>
      <c r="S3063" s="316"/>
      <c r="T3063" s="355"/>
    </row>
    <row r="3064" spans="14:20" x14ac:dyDescent="0.25">
      <c r="N3064" s="514"/>
      <c r="R3064" s="293"/>
      <c r="S3064" s="316"/>
      <c r="T3064" s="355"/>
    </row>
    <row r="3065" spans="14:20" x14ac:dyDescent="0.25">
      <c r="N3065" s="514"/>
      <c r="R3065" s="293"/>
      <c r="S3065" s="316"/>
      <c r="T3065" s="355"/>
    </row>
    <row r="3066" spans="14:20" x14ac:dyDescent="0.25">
      <c r="N3066" s="514"/>
      <c r="R3066" s="293"/>
      <c r="S3066" s="316"/>
      <c r="T3066" s="355"/>
    </row>
    <row r="3067" spans="14:20" x14ac:dyDescent="0.25">
      <c r="N3067" s="514"/>
      <c r="R3067" s="293"/>
      <c r="S3067" s="316"/>
      <c r="T3067" s="355"/>
    </row>
    <row r="3068" spans="14:20" x14ac:dyDescent="0.25">
      <c r="N3068" s="514"/>
      <c r="R3068" s="293"/>
      <c r="S3068" s="316"/>
      <c r="T3068" s="355"/>
    </row>
    <row r="3069" spans="14:20" x14ac:dyDescent="0.25">
      <c r="N3069" s="514"/>
      <c r="R3069" s="293"/>
      <c r="S3069" s="316"/>
      <c r="T3069" s="355"/>
    </row>
    <row r="3070" spans="14:20" x14ac:dyDescent="0.25">
      <c r="N3070" s="514"/>
      <c r="R3070" s="293"/>
      <c r="S3070" s="316"/>
      <c r="T3070" s="355"/>
    </row>
    <row r="3071" spans="14:20" x14ac:dyDescent="0.25">
      <c r="N3071" s="514"/>
      <c r="R3071" s="293"/>
      <c r="S3071" s="316"/>
      <c r="T3071" s="355"/>
    </row>
    <row r="3072" spans="14:20" x14ac:dyDescent="0.25">
      <c r="N3072" s="514"/>
      <c r="R3072" s="293"/>
      <c r="S3072" s="316"/>
      <c r="T3072" s="355"/>
    </row>
    <row r="3073" spans="14:20" x14ac:dyDescent="0.25">
      <c r="N3073" s="514"/>
      <c r="R3073" s="293"/>
      <c r="S3073" s="316"/>
      <c r="T3073" s="355"/>
    </row>
    <row r="3074" spans="14:20" x14ac:dyDescent="0.25">
      <c r="N3074" s="514"/>
      <c r="R3074" s="293"/>
      <c r="S3074" s="316"/>
      <c r="T3074" s="355"/>
    </row>
    <row r="3075" spans="14:20" x14ac:dyDescent="0.25">
      <c r="N3075" s="514"/>
      <c r="R3075" s="293"/>
      <c r="S3075" s="316"/>
      <c r="T3075" s="355"/>
    </row>
    <row r="3076" spans="14:20" x14ac:dyDescent="0.25">
      <c r="N3076" s="514"/>
      <c r="R3076" s="293"/>
      <c r="S3076" s="316"/>
      <c r="T3076" s="355"/>
    </row>
    <row r="3077" spans="14:20" x14ac:dyDescent="0.25">
      <c r="N3077" s="514"/>
      <c r="R3077" s="293"/>
      <c r="S3077" s="316"/>
      <c r="T3077" s="355"/>
    </row>
    <row r="3078" spans="14:20" x14ac:dyDescent="0.25">
      <c r="N3078" s="514"/>
      <c r="R3078" s="293"/>
      <c r="S3078" s="316"/>
      <c r="T3078" s="355"/>
    </row>
    <row r="3079" spans="14:20" x14ac:dyDescent="0.25">
      <c r="N3079" s="514"/>
      <c r="R3079" s="293"/>
      <c r="S3079" s="316"/>
      <c r="T3079" s="355"/>
    </row>
    <row r="3080" spans="14:20" x14ac:dyDescent="0.25">
      <c r="N3080" s="514"/>
      <c r="R3080" s="293"/>
      <c r="S3080" s="316"/>
      <c r="T3080" s="355"/>
    </row>
    <row r="3081" spans="14:20" x14ac:dyDescent="0.25">
      <c r="N3081" s="514"/>
      <c r="R3081" s="293"/>
      <c r="S3081" s="316"/>
      <c r="T3081" s="355"/>
    </row>
    <row r="3082" spans="14:20" x14ac:dyDescent="0.25">
      <c r="N3082" s="514"/>
      <c r="R3082" s="293"/>
      <c r="S3082" s="316"/>
      <c r="T3082" s="355"/>
    </row>
    <row r="3083" spans="14:20" x14ac:dyDescent="0.25">
      <c r="N3083" s="514"/>
      <c r="R3083" s="293"/>
      <c r="S3083" s="316"/>
      <c r="T3083" s="355"/>
    </row>
    <row r="3084" spans="14:20" x14ac:dyDescent="0.25">
      <c r="N3084" s="514"/>
      <c r="R3084" s="293"/>
      <c r="S3084" s="316"/>
      <c r="T3084" s="355"/>
    </row>
    <row r="3085" spans="14:20" x14ac:dyDescent="0.25">
      <c r="N3085" s="514"/>
      <c r="R3085" s="293"/>
      <c r="S3085" s="316"/>
      <c r="T3085" s="355"/>
    </row>
    <row r="3086" spans="14:20" x14ac:dyDescent="0.25">
      <c r="N3086" s="514"/>
      <c r="R3086" s="293"/>
      <c r="S3086" s="316"/>
      <c r="T3086" s="355"/>
    </row>
    <row r="3087" spans="14:20" x14ac:dyDescent="0.25">
      <c r="N3087" s="514"/>
      <c r="R3087" s="293"/>
      <c r="S3087" s="316"/>
      <c r="T3087" s="355"/>
    </row>
    <row r="3088" spans="14:20" x14ac:dyDescent="0.25">
      <c r="N3088" s="514"/>
      <c r="R3088" s="293"/>
      <c r="S3088" s="316"/>
      <c r="T3088" s="355"/>
    </row>
    <row r="3089" spans="14:20" x14ac:dyDescent="0.25">
      <c r="N3089" s="514"/>
      <c r="R3089" s="293"/>
      <c r="S3089" s="316"/>
      <c r="T3089" s="355"/>
    </row>
    <row r="3090" spans="14:20" x14ac:dyDescent="0.25">
      <c r="N3090" s="514"/>
      <c r="R3090" s="293"/>
      <c r="S3090" s="316"/>
      <c r="T3090" s="355"/>
    </row>
    <row r="3091" spans="14:20" x14ac:dyDescent="0.25">
      <c r="N3091" s="514"/>
      <c r="R3091" s="293"/>
      <c r="S3091" s="316"/>
      <c r="T3091" s="355"/>
    </row>
    <row r="3092" spans="14:20" x14ac:dyDescent="0.25">
      <c r="N3092" s="514"/>
      <c r="R3092" s="293"/>
      <c r="S3092" s="316"/>
      <c r="T3092" s="355"/>
    </row>
    <row r="3093" spans="14:20" x14ac:dyDescent="0.25">
      <c r="N3093" s="514"/>
      <c r="R3093" s="293"/>
      <c r="S3093" s="316"/>
      <c r="T3093" s="355"/>
    </row>
    <row r="3094" spans="14:20" x14ac:dyDescent="0.25">
      <c r="N3094" s="514"/>
      <c r="R3094" s="293"/>
      <c r="S3094" s="316"/>
      <c r="T3094" s="355"/>
    </row>
    <row r="3095" spans="14:20" x14ac:dyDescent="0.25">
      <c r="N3095" s="514"/>
      <c r="R3095" s="293"/>
      <c r="S3095" s="316"/>
      <c r="T3095" s="355"/>
    </row>
    <row r="3096" spans="14:20" x14ac:dyDescent="0.25">
      <c r="N3096" s="514"/>
      <c r="R3096" s="293"/>
      <c r="S3096" s="316"/>
      <c r="T3096" s="355"/>
    </row>
    <row r="3097" spans="14:20" x14ac:dyDescent="0.25">
      <c r="N3097" s="514"/>
      <c r="R3097" s="293"/>
      <c r="S3097" s="316"/>
      <c r="T3097" s="355"/>
    </row>
    <row r="3098" spans="14:20" x14ac:dyDescent="0.25">
      <c r="N3098" s="514"/>
      <c r="R3098" s="293"/>
      <c r="S3098" s="316"/>
      <c r="T3098" s="355"/>
    </row>
    <row r="3099" spans="14:20" x14ac:dyDescent="0.25">
      <c r="N3099" s="514"/>
      <c r="R3099" s="293"/>
      <c r="S3099" s="316"/>
      <c r="T3099" s="355"/>
    </row>
    <row r="3100" spans="14:20" x14ac:dyDescent="0.25">
      <c r="N3100" s="514"/>
      <c r="R3100" s="293"/>
      <c r="S3100" s="316"/>
      <c r="T3100" s="355"/>
    </row>
    <row r="3101" spans="14:20" x14ac:dyDescent="0.25">
      <c r="N3101" s="514"/>
      <c r="R3101" s="293"/>
      <c r="S3101" s="316"/>
      <c r="T3101" s="355"/>
    </row>
    <row r="3102" spans="14:20" x14ac:dyDescent="0.25">
      <c r="N3102" s="514"/>
      <c r="R3102" s="293"/>
      <c r="S3102" s="316"/>
      <c r="T3102" s="355"/>
    </row>
    <row r="3103" spans="14:20" x14ac:dyDescent="0.25">
      <c r="N3103" s="514"/>
      <c r="R3103" s="293"/>
      <c r="S3103" s="316"/>
      <c r="T3103" s="355"/>
    </row>
    <row r="3104" spans="14:20" x14ac:dyDescent="0.25">
      <c r="N3104" s="514"/>
      <c r="R3104" s="293"/>
      <c r="S3104" s="316"/>
      <c r="T3104" s="355"/>
    </row>
    <row r="3105" spans="14:20" x14ac:dyDescent="0.25">
      <c r="N3105" s="514"/>
      <c r="R3105" s="293"/>
      <c r="S3105" s="316"/>
      <c r="T3105" s="355"/>
    </row>
    <row r="3106" spans="14:20" x14ac:dyDescent="0.25">
      <c r="N3106" s="514"/>
      <c r="R3106" s="293"/>
      <c r="S3106" s="316"/>
      <c r="T3106" s="355"/>
    </row>
    <row r="3107" spans="14:20" x14ac:dyDescent="0.25">
      <c r="N3107" s="514"/>
      <c r="R3107" s="293"/>
      <c r="S3107" s="316"/>
      <c r="T3107" s="355"/>
    </row>
    <row r="3108" spans="14:20" x14ac:dyDescent="0.25">
      <c r="N3108" s="514"/>
      <c r="R3108" s="293"/>
      <c r="S3108" s="316"/>
      <c r="T3108" s="355"/>
    </row>
    <row r="3109" spans="14:20" x14ac:dyDescent="0.25">
      <c r="N3109" s="514"/>
      <c r="R3109" s="293"/>
      <c r="S3109" s="316"/>
      <c r="T3109" s="355"/>
    </row>
    <row r="3110" spans="14:20" x14ac:dyDescent="0.25">
      <c r="N3110" s="514"/>
      <c r="R3110" s="293"/>
      <c r="S3110" s="316"/>
      <c r="T3110" s="355"/>
    </row>
    <row r="3111" spans="14:20" x14ac:dyDescent="0.25">
      <c r="N3111" s="514"/>
      <c r="R3111" s="293"/>
      <c r="S3111" s="316"/>
      <c r="T3111" s="355"/>
    </row>
    <row r="3112" spans="14:20" x14ac:dyDescent="0.25">
      <c r="N3112" s="514"/>
      <c r="R3112" s="293"/>
      <c r="S3112" s="316"/>
      <c r="T3112" s="355"/>
    </row>
    <row r="3113" spans="14:20" x14ac:dyDescent="0.25">
      <c r="N3113" s="514"/>
      <c r="R3113" s="293"/>
      <c r="S3113" s="316"/>
      <c r="T3113" s="355"/>
    </row>
    <row r="3114" spans="14:20" x14ac:dyDescent="0.25">
      <c r="N3114" s="514"/>
      <c r="R3114" s="293"/>
      <c r="S3114" s="316"/>
      <c r="T3114" s="355"/>
    </row>
    <row r="3115" spans="14:20" x14ac:dyDescent="0.25">
      <c r="N3115" s="514"/>
      <c r="R3115" s="293"/>
      <c r="S3115" s="316"/>
      <c r="T3115" s="355"/>
    </row>
    <row r="3116" spans="14:20" x14ac:dyDescent="0.25">
      <c r="N3116" s="514"/>
      <c r="R3116" s="293"/>
      <c r="S3116" s="316"/>
      <c r="T3116" s="355"/>
    </row>
    <row r="3117" spans="14:20" x14ac:dyDescent="0.25">
      <c r="N3117" s="514"/>
      <c r="R3117" s="293"/>
      <c r="S3117" s="316"/>
      <c r="T3117" s="355"/>
    </row>
    <row r="3118" spans="14:20" x14ac:dyDescent="0.25">
      <c r="N3118" s="514"/>
      <c r="R3118" s="293"/>
      <c r="S3118" s="316"/>
      <c r="T3118" s="355"/>
    </row>
    <row r="3119" spans="14:20" x14ac:dyDescent="0.25">
      <c r="N3119" s="514"/>
      <c r="R3119" s="293"/>
      <c r="S3119" s="316"/>
      <c r="T3119" s="355"/>
    </row>
    <row r="3120" spans="14:20" x14ac:dyDescent="0.25">
      <c r="N3120" s="514"/>
      <c r="R3120" s="293"/>
      <c r="S3120" s="316"/>
      <c r="T3120" s="355"/>
    </row>
    <row r="3121" spans="14:20" x14ac:dyDescent="0.25">
      <c r="N3121" s="514"/>
      <c r="R3121" s="293"/>
      <c r="S3121" s="316"/>
      <c r="T3121" s="355"/>
    </row>
    <row r="3122" spans="14:20" x14ac:dyDescent="0.25">
      <c r="N3122" s="514"/>
      <c r="R3122" s="293"/>
      <c r="S3122" s="316"/>
      <c r="T3122" s="355"/>
    </row>
    <row r="3123" spans="14:20" x14ac:dyDescent="0.25">
      <c r="N3123" s="514"/>
      <c r="R3123" s="293"/>
      <c r="S3123" s="316"/>
      <c r="T3123" s="355"/>
    </row>
    <row r="3124" spans="14:20" x14ac:dyDescent="0.25">
      <c r="N3124" s="514"/>
      <c r="R3124" s="293"/>
      <c r="S3124" s="316"/>
      <c r="T3124" s="355"/>
    </row>
    <row r="3125" spans="14:20" x14ac:dyDescent="0.25">
      <c r="N3125" s="514"/>
      <c r="R3125" s="293"/>
      <c r="S3125" s="316"/>
      <c r="T3125" s="355"/>
    </row>
    <row r="3126" spans="14:20" x14ac:dyDescent="0.25">
      <c r="N3126" s="514"/>
      <c r="R3126" s="293"/>
      <c r="S3126" s="316"/>
      <c r="T3126" s="355"/>
    </row>
    <row r="3127" spans="14:20" x14ac:dyDescent="0.25">
      <c r="N3127" s="514"/>
      <c r="R3127" s="293"/>
      <c r="S3127" s="316"/>
      <c r="T3127" s="355"/>
    </row>
    <row r="3128" spans="14:20" x14ac:dyDescent="0.25">
      <c r="N3128" s="514"/>
      <c r="R3128" s="293"/>
      <c r="S3128" s="316"/>
      <c r="T3128" s="355"/>
    </row>
    <row r="3129" spans="14:20" x14ac:dyDescent="0.25">
      <c r="N3129" s="514"/>
      <c r="R3129" s="293"/>
      <c r="S3129" s="316"/>
      <c r="T3129" s="355"/>
    </row>
    <row r="3130" spans="14:20" x14ac:dyDescent="0.25">
      <c r="N3130" s="514"/>
      <c r="R3130" s="293"/>
      <c r="S3130" s="316"/>
      <c r="T3130" s="355"/>
    </row>
    <row r="3131" spans="14:20" x14ac:dyDescent="0.25">
      <c r="N3131" s="514"/>
      <c r="R3131" s="293"/>
      <c r="S3131" s="316"/>
      <c r="T3131" s="355"/>
    </row>
    <row r="3132" spans="14:20" x14ac:dyDescent="0.25">
      <c r="N3132" s="514"/>
      <c r="R3132" s="293"/>
      <c r="S3132" s="316"/>
      <c r="T3132" s="355"/>
    </row>
    <row r="3133" spans="14:20" x14ac:dyDescent="0.25">
      <c r="N3133" s="514"/>
      <c r="R3133" s="293"/>
      <c r="S3133" s="316"/>
      <c r="T3133" s="355"/>
    </row>
    <row r="3134" spans="14:20" x14ac:dyDescent="0.25">
      <c r="N3134" s="514"/>
      <c r="R3134" s="293"/>
      <c r="S3134" s="316"/>
      <c r="T3134" s="355"/>
    </row>
    <row r="3135" spans="14:20" x14ac:dyDescent="0.25">
      <c r="N3135" s="514"/>
      <c r="R3135" s="293"/>
      <c r="S3135" s="316"/>
      <c r="T3135" s="355"/>
    </row>
    <row r="3136" spans="14:20" x14ac:dyDescent="0.25">
      <c r="N3136" s="514"/>
      <c r="R3136" s="293"/>
      <c r="S3136" s="316"/>
      <c r="T3136" s="355"/>
    </row>
    <row r="3137" spans="14:20" x14ac:dyDescent="0.25">
      <c r="N3137" s="514"/>
      <c r="R3137" s="293"/>
      <c r="S3137" s="316"/>
      <c r="T3137" s="355"/>
    </row>
    <row r="3138" spans="14:20" x14ac:dyDescent="0.25">
      <c r="N3138" s="514"/>
      <c r="R3138" s="293"/>
      <c r="S3138" s="316"/>
      <c r="T3138" s="355"/>
    </row>
    <row r="3139" spans="14:20" x14ac:dyDescent="0.25">
      <c r="N3139" s="514"/>
      <c r="R3139" s="293"/>
      <c r="S3139" s="316"/>
      <c r="T3139" s="355"/>
    </row>
    <row r="3140" spans="14:20" x14ac:dyDescent="0.25">
      <c r="N3140" s="514"/>
      <c r="R3140" s="293"/>
      <c r="S3140" s="316"/>
      <c r="T3140" s="355"/>
    </row>
    <row r="3141" spans="14:20" x14ac:dyDescent="0.25">
      <c r="N3141" s="514"/>
      <c r="R3141" s="293"/>
      <c r="S3141" s="316"/>
      <c r="T3141" s="355"/>
    </row>
    <row r="3142" spans="14:20" x14ac:dyDescent="0.25">
      <c r="N3142" s="514"/>
      <c r="R3142" s="293"/>
      <c r="S3142" s="316"/>
      <c r="T3142" s="355"/>
    </row>
    <row r="3143" spans="14:20" x14ac:dyDescent="0.25">
      <c r="N3143" s="514"/>
      <c r="R3143" s="293"/>
      <c r="S3143" s="316"/>
      <c r="T3143" s="355"/>
    </row>
    <row r="3144" spans="14:20" x14ac:dyDescent="0.25">
      <c r="N3144" s="514"/>
      <c r="R3144" s="293"/>
      <c r="S3144" s="316"/>
      <c r="T3144" s="355"/>
    </row>
    <row r="3145" spans="14:20" x14ac:dyDescent="0.25">
      <c r="N3145" s="514"/>
      <c r="R3145" s="293"/>
      <c r="S3145" s="316"/>
      <c r="T3145" s="355"/>
    </row>
    <row r="3146" spans="14:20" x14ac:dyDescent="0.25">
      <c r="N3146" s="514"/>
      <c r="R3146" s="293"/>
      <c r="S3146" s="316"/>
      <c r="T3146" s="355"/>
    </row>
    <row r="3147" spans="14:20" x14ac:dyDescent="0.25">
      <c r="N3147" s="514"/>
      <c r="R3147" s="293"/>
      <c r="S3147" s="316"/>
      <c r="T3147" s="355"/>
    </row>
    <row r="3148" spans="14:20" x14ac:dyDescent="0.25">
      <c r="N3148" s="514"/>
      <c r="R3148" s="293"/>
      <c r="S3148" s="316"/>
      <c r="T3148" s="355"/>
    </row>
    <row r="3149" spans="14:20" x14ac:dyDescent="0.25">
      <c r="N3149" s="514"/>
      <c r="R3149" s="293"/>
      <c r="S3149" s="316"/>
      <c r="T3149" s="355"/>
    </row>
    <row r="3150" spans="14:20" x14ac:dyDescent="0.25">
      <c r="N3150" s="514"/>
      <c r="R3150" s="293"/>
      <c r="S3150" s="316"/>
      <c r="T3150" s="355"/>
    </row>
    <row r="3151" spans="14:20" x14ac:dyDescent="0.25">
      <c r="N3151" s="514"/>
      <c r="R3151" s="293"/>
      <c r="S3151" s="316"/>
      <c r="T3151" s="355"/>
    </row>
    <row r="3152" spans="14:20" x14ac:dyDescent="0.25">
      <c r="N3152" s="514"/>
      <c r="R3152" s="293"/>
      <c r="S3152" s="316"/>
      <c r="T3152" s="355"/>
    </row>
    <row r="3153" spans="14:20" x14ac:dyDescent="0.25">
      <c r="N3153" s="514"/>
      <c r="R3153" s="293"/>
      <c r="S3153" s="316"/>
      <c r="T3153" s="355"/>
    </row>
    <row r="3154" spans="14:20" x14ac:dyDescent="0.25">
      <c r="N3154" s="514"/>
      <c r="R3154" s="293"/>
      <c r="S3154" s="316"/>
      <c r="T3154" s="355"/>
    </row>
    <row r="3155" spans="14:20" x14ac:dyDescent="0.25">
      <c r="N3155" s="514"/>
      <c r="R3155" s="293"/>
      <c r="S3155" s="316"/>
      <c r="T3155" s="355"/>
    </row>
    <row r="3156" spans="14:20" x14ac:dyDescent="0.25">
      <c r="N3156" s="514"/>
      <c r="R3156" s="293"/>
      <c r="S3156" s="316"/>
      <c r="T3156" s="355"/>
    </row>
    <row r="3157" spans="14:20" x14ac:dyDescent="0.25">
      <c r="N3157" s="514"/>
      <c r="R3157" s="293"/>
      <c r="S3157" s="316"/>
      <c r="T3157" s="355"/>
    </row>
    <row r="3158" spans="14:20" x14ac:dyDescent="0.25">
      <c r="N3158" s="514"/>
      <c r="R3158" s="293"/>
      <c r="S3158" s="316"/>
      <c r="T3158" s="355"/>
    </row>
    <row r="3159" spans="14:20" x14ac:dyDescent="0.25">
      <c r="N3159" s="514"/>
      <c r="R3159" s="293"/>
      <c r="S3159" s="316"/>
      <c r="T3159" s="355"/>
    </row>
    <row r="3160" spans="14:20" x14ac:dyDescent="0.25">
      <c r="N3160" s="514"/>
      <c r="R3160" s="293"/>
      <c r="S3160" s="316"/>
      <c r="T3160" s="355"/>
    </row>
    <row r="3161" spans="14:20" x14ac:dyDescent="0.25">
      <c r="N3161" s="514"/>
      <c r="R3161" s="293"/>
      <c r="S3161" s="316"/>
      <c r="T3161" s="355"/>
    </row>
    <row r="3162" spans="14:20" x14ac:dyDescent="0.25">
      <c r="N3162" s="514"/>
      <c r="R3162" s="293"/>
      <c r="S3162" s="316"/>
      <c r="T3162" s="355"/>
    </row>
    <row r="3163" spans="14:20" x14ac:dyDescent="0.25">
      <c r="N3163" s="514"/>
      <c r="R3163" s="293"/>
      <c r="S3163" s="316"/>
      <c r="T3163" s="355"/>
    </row>
    <row r="3164" spans="14:20" x14ac:dyDescent="0.25">
      <c r="N3164" s="514"/>
      <c r="R3164" s="293"/>
      <c r="S3164" s="316"/>
      <c r="T3164" s="355"/>
    </row>
    <row r="3165" spans="14:20" x14ac:dyDescent="0.25">
      <c r="N3165" s="514"/>
      <c r="R3165" s="293"/>
      <c r="S3165" s="316"/>
      <c r="T3165" s="355"/>
    </row>
    <row r="3166" spans="14:20" x14ac:dyDescent="0.25">
      <c r="N3166" s="514"/>
      <c r="R3166" s="293"/>
      <c r="S3166" s="316"/>
      <c r="T3166" s="355"/>
    </row>
    <row r="3167" spans="14:20" x14ac:dyDescent="0.25">
      <c r="N3167" s="514"/>
      <c r="R3167" s="293"/>
      <c r="S3167" s="316"/>
      <c r="T3167" s="355"/>
    </row>
    <row r="3168" spans="14:20" x14ac:dyDescent="0.25">
      <c r="N3168" s="514"/>
      <c r="R3168" s="293"/>
      <c r="S3168" s="316"/>
      <c r="T3168" s="355"/>
    </row>
    <row r="3169" spans="14:20" x14ac:dyDescent="0.25">
      <c r="N3169" s="514"/>
      <c r="R3169" s="293"/>
      <c r="S3169" s="316"/>
      <c r="T3169" s="355"/>
    </row>
    <row r="3170" spans="14:20" x14ac:dyDescent="0.25">
      <c r="N3170" s="514"/>
      <c r="R3170" s="293"/>
      <c r="S3170" s="316"/>
      <c r="T3170" s="355"/>
    </row>
    <row r="3171" spans="14:20" x14ac:dyDescent="0.25">
      <c r="N3171" s="514"/>
      <c r="R3171" s="293"/>
      <c r="S3171" s="316"/>
      <c r="T3171" s="355"/>
    </row>
    <row r="3172" spans="14:20" x14ac:dyDescent="0.25">
      <c r="N3172" s="514"/>
      <c r="R3172" s="293"/>
      <c r="S3172" s="316"/>
      <c r="T3172" s="355"/>
    </row>
    <row r="3173" spans="14:20" x14ac:dyDescent="0.25">
      <c r="N3173" s="514"/>
      <c r="R3173" s="293"/>
      <c r="S3173" s="316"/>
      <c r="T3173" s="355"/>
    </row>
    <row r="3174" spans="14:20" x14ac:dyDescent="0.25">
      <c r="N3174" s="514"/>
      <c r="R3174" s="293"/>
      <c r="S3174" s="316"/>
      <c r="T3174" s="355"/>
    </row>
    <row r="3175" spans="14:20" x14ac:dyDescent="0.25">
      <c r="N3175" s="514"/>
      <c r="R3175" s="293"/>
      <c r="S3175" s="316"/>
      <c r="T3175" s="355"/>
    </row>
    <row r="3176" spans="14:20" x14ac:dyDescent="0.25">
      <c r="N3176" s="514"/>
      <c r="R3176" s="293"/>
      <c r="S3176" s="316"/>
      <c r="T3176" s="355"/>
    </row>
    <row r="3177" spans="14:20" x14ac:dyDescent="0.25">
      <c r="N3177" s="514"/>
      <c r="R3177" s="293"/>
      <c r="S3177" s="316"/>
      <c r="T3177" s="355"/>
    </row>
    <row r="3178" spans="14:20" x14ac:dyDescent="0.25">
      <c r="N3178" s="514"/>
      <c r="R3178" s="293"/>
      <c r="S3178" s="316"/>
      <c r="T3178" s="355"/>
    </row>
    <row r="3179" spans="14:20" x14ac:dyDescent="0.25">
      <c r="N3179" s="514"/>
      <c r="R3179" s="293"/>
      <c r="S3179" s="316"/>
      <c r="T3179" s="355"/>
    </row>
    <row r="3180" spans="14:20" x14ac:dyDescent="0.25">
      <c r="N3180" s="514"/>
      <c r="R3180" s="293"/>
      <c r="S3180" s="316"/>
      <c r="T3180" s="355"/>
    </row>
    <row r="3181" spans="14:20" x14ac:dyDescent="0.25">
      <c r="N3181" s="514"/>
      <c r="R3181" s="293"/>
      <c r="S3181" s="316"/>
      <c r="T3181" s="355"/>
    </row>
    <row r="3182" spans="14:20" x14ac:dyDescent="0.25">
      <c r="N3182" s="514"/>
      <c r="R3182" s="293"/>
      <c r="S3182" s="316"/>
      <c r="T3182" s="355"/>
    </row>
    <row r="3183" spans="14:20" x14ac:dyDescent="0.25">
      <c r="N3183" s="514"/>
      <c r="R3183" s="293"/>
      <c r="S3183" s="316"/>
      <c r="T3183" s="355"/>
    </row>
    <row r="3184" spans="14:20" x14ac:dyDescent="0.25">
      <c r="N3184" s="514"/>
      <c r="R3184" s="293"/>
      <c r="S3184" s="316"/>
      <c r="T3184" s="355"/>
    </row>
    <row r="3185" spans="14:20" x14ac:dyDescent="0.25">
      <c r="N3185" s="514"/>
      <c r="R3185" s="293"/>
      <c r="S3185" s="316"/>
      <c r="T3185" s="355"/>
    </row>
    <row r="3186" spans="14:20" x14ac:dyDescent="0.25">
      <c r="N3186" s="514"/>
      <c r="R3186" s="293"/>
      <c r="S3186" s="316"/>
      <c r="T3186" s="355"/>
    </row>
    <row r="3187" spans="14:20" x14ac:dyDescent="0.25">
      <c r="N3187" s="514"/>
      <c r="R3187" s="293"/>
      <c r="S3187" s="316"/>
      <c r="T3187" s="355"/>
    </row>
    <row r="3188" spans="14:20" x14ac:dyDescent="0.25">
      <c r="N3188" s="514"/>
      <c r="R3188" s="293"/>
      <c r="S3188" s="316"/>
      <c r="T3188" s="355"/>
    </row>
    <row r="3189" spans="14:20" x14ac:dyDescent="0.25">
      <c r="N3189" s="514"/>
      <c r="R3189" s="293"/>
      <c r="S3189" s="316"/>
      <c r="T3189" s="355"/>
    </row>
    <row r="3190" spans="14:20" x14ac:dyDescent="0.25">
      <c r="N3190" s="514"/>
      <c r="R3190" s="293"/>
      <c r="S3190" s="316"/>
      <c r="T3190" s="355"/>
    </row>
    <row r="3191" spans="14:20" x14ac:dyDescent="0.25">
      <c r="N3191" s="514"/>
      <c r="R3191" s="293"/>
      <c r="S3191" s="316"/>
      <c r="T3191" s="355"/>
    </row>
    <row r="3192" spans="14:20" x14ac:dyDescent="0.25">
      <c r="N3192" s="514"/>
      <c r="R3192" s="293"/>
      <c r="S3192" s="316"/>
      <c r="T3192" s="355"/>
    </row>
    <row r="3193" spans="14:20" x14ac:dyDescent="0.25">
      <c r="N3193" s="514"/>
      <c r="R3193" s="293"/>
      <c r="S3193" s="316"/>
      <c r="T3193" s="355"/>
    </row>
    <row r="3194" spans="14:20" x14ac:dyDescent="0.25">
      <c r="N3194" s="514"/>
      <c r="R3194" s="293"/>
      <c r="S3194" s="316"/>
      <c r="T3194" s="355"/>
    </row>
    <row r="3195" spans="14:20" x14ac:dyDescent="0.25">
      <c r="N3195" s="514"/>
      <c r="R3195" s="293"/>
      <c r="S3195" s="316"/>
      <c r="T3195" s="355"/>
    </row>
    <row r="3196" spans="14:20" x14ac:dyDescent="0.25">
      <c r="N3196" s="514"/>
      <c r="R3196" s="293"/>
      <c r="S3196" s="316"/>
      <c r="T3196" s="355"/>
    </row>
    <row r="3197" spans="14:20" x14ac:dyDescent="0.25">
      <c r="N3197" s="514"/>
      <c r="R3197" s="293"/>
      <c r="S3197" s="316"/>
      <c r="T3197" s="355"/>
    </row>
    <row r="3198" spans="14:20" x14ac:dyDescent="0.25">
      <c r="N3198" s="514"/>
      <c r="R3198" s="293"/>
      <c r="S3198" s="316"/>
      <c r="T3198" s="355"/>
    </row>
    <row r="3199" spans="14:20" x14ac:dyDescent="0.25">
      <c r="N3199" s="514"/>
      <c r="R3199" s="293"/>
      <c r="S3199" s="316"/>
      <c r="T3199" s="355"/>
    </row>
    <row r="3200" spans="14:20" x14ac:dyDescent="0.25">
      <c r="N3200" s="514"/>
      <c r="R3200" s="293"/>
      <c r="S3200" s="316"/>
      <c r="T3200" s="355"/>
    </row>
    <row r="3201" spans="14:20" x14ac:dyDescent="0.25">
      <c r="N3201" s="514"/>
      <c r="R3201" s="293"/>
      <c r="S3201" s="316"/>
      <c r="T3201" s="355"/>
    </row>
    <row r="3202" spans="14:20" x14ac:dyDescent="0.25">
      <c r="N3202" s="514"/>
      <c r="R3202" s="293"/>
      <c r="S3202" s="316"/>
      <c r="T3202" s="355"/>
    </row>
    <row r="3203" spans="14:20" x14ac:dyDescent="0.25">
      <c r="N3203" s="514"/>
      <c r="R3203" s="293"/>
      <c r="S3203" s="316"/>
      <c r="T3203" s="355"/>
    </row>
    <row r="3204" spans="14:20" x14ac:dyDescent="0.25">
      <c r="N3204" s="514"/>
      <c r="R3204" s="293"/>
      <c r="S3204" s="316"/>
      <c r="T3204" s="355"/>
    </row>
    <row r="3205" spans="14:20" x14ac:dyDescent="0.25">
      <c r="N3205" s="514"/>
      <c r="R3205" s="293"/>
      <c r="S3205" s="316"/>
      <c r="T3205" s="355"/>
    </row>
    <row r="3206" spans="14:20" x14ac:dyDescent="0.25">
      <c r="N3206" s="514"/>
      <c r="R3206" s="293"/>
      <c r="S3206" s="316"/>
      <c r="T3206" s="355"/>
    </row>
    <row r="3207" spans="14:20" x14ac:dyDescent="0.25">
      <c r="N3207" s="514"/>
      <c r="R3207" s="293"/>
      <c r="S3207" s="316"/>
      <c r="T3207" s="355"/>
    </row>
    <row r="3208" spans="14:20" x14ac:dyDescent="0.25">
      <c r="N3208" s="514"/>
      <c r="R3208" s="293"/>
      <c r="S3208" s="316"/>
      <c r="T3208" s="355"/>
    </row>
    <row r="3209" spans="14:20" x14ac:dyDescent="0.25">
      <c r="N3209" s="514"/>
      <c r="R3209" s="293"/>
      <c r="S3209" s="316"/>
      <c r="T3209" s="355"/>
    </row>
    <row r="3210" spans="14:20" x14ac:dyDescent="0.25">
      <c r="N3210" s="514"/>
      <c r="R3210" s="293"/>
      <c r="S3210" s="316"/>
      <c r="T3210" s="355"/>
    </row>
    <row r="3211" spans="14:20" x14ac:dyDescent="0.25">
      <c r="N3211" s="514"/>
      <c r="R3211" s="293"/>
      <c r="S3211" s="316"/>
      <c r="T3211" s="355"/>
    </row>
    <row r="3212" spans="14:20" x14ac:dyDescent="0.25">
      <c r="N3212" s="514"/>
      <c r="R3212" s="293"/>
      <c r="S3212" s="316"/>
      <c r="T3212" s="355"/>
    </row>
    <row r="3213" spans="14:20" x14ac:dyDescent="0.25">
      <c r="N3213" s="514"/>
      <c r="R3213" s="293"/>
      <c r="S3213" s="316"/>
      <c r="T3213" s="355"/>
    </row>
    <row r="3214" spans="14:20" x14ac:dyDescent="0.25">
      <c r="N3214" s="514"/>
      <c r="R3214" s="293"/>
      <c r="S3214" s="316"/>
      <c r="T3214" s="355"/>
    </row>
    <row r="3215" spans="14:20" x14ac:dyDescent="0.25">
      <c r="N3215" s="514"/>
      <c r="R3215" s="293"/>
      <c r="S3215" s="316"/>
      <c r="T3215" s="355"/>
    </row>
    <row r="3216" spans="14:20" x14ac:dyDescent="0.25">
      <c r="N3216" s="514"/>
      <c r="R3216" s="293"/>
      <c r="S3216" s="316"/>
      <c r="T3216" s="355"/>
    </row>
    <row r="3217" spans="14:20" x14ac:dyDescent="0.25">
      <c r="N3217" s="514"/>
      <c r="R3217" s="293"/>
      <c r="S3217" s="316"/>
      <c r="T3217" s="355"/>
    </row>
    <row r="3218" spans="14:20" x14ac:dyDescent="0.25">
      <c r="N3218" s="514"/>
      <c r="R3218" s="293"/>
      <c r="S3218" s="316"/>
      <c r="T3218" s="355"/>
    </row>
    <row r="3219" spans="14:20" x14ac:dyDescent="0.25">
      <c r="N3219" s="514"/>
      <c r="R3219" s="293"/>
      <c r="S3219" s="316"/>
      <c r="T3219" s="355"/>
    </row>
    <row r="3220" spans="14:20" x14ac:dyDescent="0.25">
      <c r="N3220" s="514"/>
      <c r="R3220" s="293"/>
      <c r="S3220" s="316"/>
      <c r="T3220" s="355"/>
    </row>
    <row r="3221" spans="14:20" x14ac:dyDescent="0.25">
      <c r="N3221" s="514"/>
      <c r="R3221" s="293"/>
      <c r="S3221" s="316"/>
      <c r="T3221" s="355"/>
    </row>
    <row r="3222" spans="14:20" x14ac:dyDescent="0.25">
      <c r="N3222" s="514"/>
      <c r="R3222" s="293"/>
      <c r="S3222" s="316"/>
      <c r="T3222" s="355"/>
    </row>
    <row r="3223" spans="14:20" x14ac:dyDescent="0.25">
      <c r="N3223" s="514"/>
      <c r="R3223" s="293"/>
      <c r="S3223" s="316"/>
      <c r="T3223" s="355"/>
    </row>
    <row r="3224" spans="14:20" x14ac:dyDescent="0.25">
      <c r="N3224" s="514"/>
      <c r="R3224" s="293"/>
      <c r="S3224" s="316"/>
      <c r="T3224" s="355"/>
    </row>
    <row r="3225" spans="14:20" x14ac:dyDescent="0.25">
      <c r="N3225" s="514"/>
      <c r="R3225" s="293"/>
      <c r="S3225" s="316"/>
      <c r="T3225" s="355"/>
    </row>
    <row r="3226" spans="14:20" x14ac:dyDescent="0.25">
      <c r="N3226" s="514"/>
      <c r="R3226" s="293"/>
      <c r="S3226" s="316"/>
      <c r="T3226" s="355"/>
    </row>
    <row r="3227" spans="14:20" x14ac:dyDescent="0.25">
      <c r="N3227" s="514"/>
      <c r="R3227" s="293"/>
      <c r="S3227" s="316"/>
      <c r="T3227" s="355"/>
    </row>
    <row r="3228" spans="14:20" x14ac:dyDescent="0.25">
      <c r="N3228" s="514"/>
      <c r="R3228" s="293"/>
      <c r="S3228" s="316"/>
      <c r="T3228" s="355"/>
    </row>
    <row r="3229" spans="14:20" x14ac:dyDescent="0.25">
      <c r="N3229" s="514"/>
      <c r="R3229" s="293"/>
      <c r="S3229" s="316"/>
      <c r="T3229" s="355"/>
    </row>
    <row r="3230" spans="14:20" x14ac:dyDescent="0.25">
      <c r="N3230" s="514"/>
      <c r="R3230" s="293"/>
      <c r="S3230" s="316"/>
      <c r="T3230" s="355"/>
    </row>
    <row r="3231" spans="14:20" x14ac:dyDescent="0.25">
      <c r="N3231" s="514"/>
      <c r="R3231" s="293"/>
      <c r="S3231" s="316"/>
      <c r="T3231" s="355"/>
    </row>
    <row r="3232" spans="14:20" x14ac:dyDescent="0.25">
      <c r="N3232" s="514"/>
      <c r="R3232" s="293"/>
      <c r="S3232" s="316"/>
      <c r="T3232" s="355"/>
    </row>
    <row r="3233" spans="14:20" x14ac:dyDescent="0.25">
      <c r="N3233" s="514"/>
      <c r="R3233" s="293"/>
      <c r="S3233" s="316"/>
      <c r="T3233" s="355"/>
    </row>
    <row r="3234" spans="14:20" x14ac:dyDescent="0.25">
      <c r="N3234" s="514"/>
      <c r="R3234" s="293"/>
      <c r="S3234" s="316"/>
      <c r="T3234" s="355"/>
    </row>
    <row r="3235" spans="14:20" x14ac:dyDescent="0.25">
      <c r="N3235" s="514"/>
      <c r="R3235" s="293"/>
      <c r="S3235" s="316"/>
      <c r="T3235" s="355"/>
    </row>
    <row r="3236" spans="14:20" x14ac:dyDescent="0.25">
      <c r="N3236" s="514"/>
      <c r="R3236" s="293"/>
      <c r="S3236" s="316"/>
      <c r="T3236" s="355"/>
    </row>
    <row r="3237" spans="14:20" x14ac:dyDescent="0.25">
      <c r="N3237" s="514"/>
      <c r="R3237" s="293"/>
      <c r="S3237" s="316"/>
      <c r="T3237" s="355"/>
    </row>
    <row r="3238" spans="14:20" x14ac:dyDescent="0.25">
      <c r="N3238" s="514"/>
      <c r="R3238" s="293"/>
      <c r="S3238" s="316"/>
      <c r="T3238" s="355"/>
    </row>
    <row r="3239" spans="14:20" x14ac:dyDescent="0.25">
      <c r="N3239" s="514"/>
      <c r="R3239" s="293"/>
      <c r="S3239" s="316"/>
      <c r="T3239" s="355"/>
    </row>
    <row r="3240" spans="14:20" x14ac:dyDescent="0.25">
      <c r="N3240" s="514"/>
      <c r="R3240" s="293"/>
      <c r="S3240" s="316"/>
      <c r="T3240" s="355"/>
    </row>
    <row r="3241" spans="14:20" x14ac:dyDescent="0.25">
      <c r="N3241" s="514"/>
      <c r="R3241" s="293"/>
      <c r="S3241" s="316"/>
      <c r="T3241" s="355"/>
    </row>
    <row r="3242" spans="14:20" x14ac:dyDescent="0.25">
      <c r="N3242" s="514"/>
      <c r="R3242" s="293"/>
      <c r="S3242" s="316"/>
      <c r="T3242" s="355"/>
    </row>
    <row r="3243" spans="14:20" x14ac:dyDescent="0.25">
      <c r="N3243" s="514"/>
      <c r="R3243" s="293"/>
      <c r="S3243" s="316"/>
      <c r="T3243" s="355"/>
    </row>
    <row r="3244" spans="14:20" x14ac:dyDescent="0.25">
      <c r="N3244" s="514"/>
      <c r="R3244" s="293"/>
      <c r="S3244" s="316"/>
      <c r="T3244" s="355"/>
    </row>
    <row r="3245" spans="14:20" x14ac:dyDescent="0.25">
      <c r="N3245" s="514"/>
      <c r="R3245" s="293"/>
      <c r="S3245" s="316"/>
      <c r="T3245" s="355"/>
    </row>
    <row r="3246" spans="14:20" x14ac:dyDescent="0.25">
      <c r="N3246" s="514"/>
      <c r="R3246" s="293"/>
      <c r="S3246" s="316"/>
      <c r="T3246" s="355"/>
    </row>
    <row r="3247" spans="14:20" x14ac:dyDescent="0.25">
      <c r="N3247" s="514"/>
      <c r="R3247" s="293"/>
      <c r="S3247" s="316"/>
      <c r="T3247" s="355"/>
    </row>
    <row r="3248" spans="14:20" x14ac:dyDescent="0.25">
      <c r="N3248" s="514"/>
      <c r="R3248" s="293"/>
      <c r="S3248" s="316"/>
      <c r="T3248" s="355"/>
    </row>
    <row r="3249" spans="14:20" x14ac:dyDescent="0.25">
      <c r="N3249" s="514"/>
      <c r="R3249" s="293"/>
      <c r="S3249" s="316"/>
      <c r="T3249" s="355"/>
    </row>
    <row r="3250" spans="14:20" x14ac:dyDescent="0.25">
      <c r="N3250" s="514"/>
      <c r="R3250" s="293"/>
      <c r="S3250" s="316"/>
      <c r="T3250" s="355"/>
    </row>
    <row r="3251" spans="14:20" x14ac:dyDescent="0.25">
      <c r="N3251" s="514"/>
      <c r="R3251" s="293"/>
      <c r="S3251" s="316"/>
      <c r="T3251" s="355"/>
    </row>
    <row r="3252" spans="14:20" x14ac:dyDescent="0.25">
      <c r="N3252" s="514"/>
      <c r="R3252" s="293"/>
      <c r="S3252" s="316"/>
      <c r="T3252" s="355"/>
    </row>
    <row r="3253" spans="14:20" x14ac:dyDescent="0.25">
      <c r="N3253" s="514"/>
      <c r="R3253" s="293"/>
      <c r="S3253" s="316"/>
      <c r="T3253" s="355"/>
    </row>
    <row r="3254" spans="14:20" x14ac:dyDescent="0.25">
      <c r="N3254" s="514"/>
      <c r="R3254" s="293"/>
      <c r="S3254" s="316"/>
      <c r="T3254" s="355"/>
    </row>
    <row r="3255" spans="14:20" x14ac:dyDescent="0.25">
      <c r="N3255" s="514"/>
      <c r="R3255" s="293"/>
      <c r="S3255" s="316"/>
      <c r="T3255" s="355"/>
    </row>
    <row r="3256" spans="14:20" x14ac:dyDescent="0.25">
      <c r="N3256" s="514"/>
      <c r="R3256" s="293"/>
      <c r="S3256" s="316"/>
      <c r="T3256" s="355"/>
    </row>
    <row r="3257" spans="14:20" x14ac:dyDescent="0.25">
      <c r="N3257" s="514"/>
      <c r="R3257" s="293"/>
      <c r="S3257" s="316"/>
      <c r="T3257" s="355"/>
    </row>
    <row r="3258" spans="14:20" x14ac:dyDescent="0.25">
      <c r="N3258" s="514"/>
      <c r="R3258" s="293"/>
      <c r="S3258" s="316"/>
      <c r="T3258" s="355"/>
    </row>
    <row r="3259" spans="14:20" x14ac:dyDescent="0.25">
      <c r="N3259" s="514"/>
      <c r="R3259" s="293"/>
      <c r="S3259" s="316"/>
      <c r="T3259" s="355"/>
    </row>
    <row r="3260" spans="14:20" x14ac:dyDescent="0.25">
      <c r="N3260" s="514"/>
      <c r="R3260" s="293"/>
      <c r="S3260" s="316"/>
      <c r="T3260" s="355"/>
    </row>
    <row r="3261" spans="14:20" x14ac:dyDescent="0.25">
      <c r="N3261" s="514"/>
      <c r="R3261" s="293"/>
      <c r="S3261" s="316"/>
      <c r="T3261" s="355"/>
    </row>
    <row r="3262" spans="14:20" x14ac:dyDescent="0.25">
      <c r="N3262" s="514"/>
      <c r="R3262" s="293"/>
      <c r="S3262" s="316"/>
      <c r="T3262" s="355"/>
    </row>
    <row r="3263" spans="14:20" x14ac:dyDescent="0.25">
      <c r="N3263" s="514"/>
      <c r="R3263" s="293"/>
      <c r="S3263" s="316"/>
      <c r="T3263" s="355"/>
    </row>
    <row r="3264" spans="14:20" x14ac:dyDescent="0.25">
      <c r="N3264" s="514"/>
      <c r="R3264" s="293"/>
      <c r="S3264" s="316"/>
      <c r="T3264" s="355"/>
    </row>
    <row r="3265" spans="14:20" x14ac:dyDescent="0.25">
      <c r="N3265" s="514"/>
      <c r="R3265" s="293"/>
      <c r="S3265" s="316"/>
      <c r="T3265" s="355"/>
    </row>
    <row r="3266" spans="14:20" x14ac:dyDescent="0.25">
      <c r="N3266" s="514"/>
      <c r="R3266" s="293"/>
      <c r="S3266" s="316"/>
      <c r="T3266" s="355"/>
    </row>
    <row r="3267" spans="14:20" x14ac:dyDescent="0.25">
      <c r="N3267" s="514"/>
      <c r="R3267" s="293"/>
      <c r="S3267" s="316"/>
      <c r="T3267" s="355"/>
    </row>
    <row r="3268" spans="14:20" x14ac:dyDescent="0.25">
      <c r="N3268" s="514"/>
      <c r="R3268" s="293"/>
      <c r="S3268" s="316"/>
      <c r="T3268" s="355"/>
    </row>
    <row r="3269" spans="14:20" x14ac:dyDescent="0.25">
      <c r="N3269" s="514"/>
      <c r="R3269" s="293"/>
      <c r="S3269" s="316"/>
      <c r="T3269" s="355"/>
    </row>
    <row r="3270" spans="14:20" x14ac:dyDescent="0.25">
      <c r="N3270" s="514"/>
      <c r="R3270" s="293"/>
      <c r="S3270" s="316"/>
      <c r="T3270" s="355"/>
    </row>
    <row r="3271" spans="14:20" x14ac:dyDescent="0.25">
      <c r="N3271" s="514"/>
      <c r="R3271" s="293"/>
      <c r="S3271" s="316"/>
      <c r="T3271" s="355"/>
    </row>
    <row r="3272" spans="14:20" x14ac:dyDescent="0.25">
      <c r="N3272" s="514"/>
      <c r="R3272" s="293"/>
      <c r="S3272" s="316"/>
      <c r="T3272" s="355"/>
    </row>
    <row r="3273" spans="14:20" x14ac:dyDescent="0.25">
      <c r="N3273" s="514"/>
      <c r="R3273" s="293"/>
      <c r="S3273" s="316"/>
      <c r="T3273" s="355"/>
    </row>
    <row r="3274" spans="14:20" x14ac:dyDescent="0.25">
      <c r="N3274" s="514"/>
      <c r="R3274" s="293"/>
      <c r="S3274" s="316"/>
      <c r="T3274" s="355"/>
    </row>
    <row r="3275" spans="14:20" x14ac:dyDescent="0.25">
      <c r="N3275" s="514"/>
      <c r="R3275" s="293"/>
      <c r="S3275" s="316"/>
      <c r="T3275" s="355"/>
    </row>
    <row r="3276" spans="14:20" x14ac:dyDescent="0.25">
      <c r="N3276" s="514"/>
      <c r="R3276" s="293"/>
      <c r="S3276" s="316"/>
      <c r="T3276" s="355"/>
    </row>
    <row r="3277" spans="14:20" x14ac:dyDescent="0.25">
      <c r="N3277" s="514"/>
      <c r="R3277" s="293"/>
      <c r="S3277" s="316"/>
      <c r="T3277" s="355"/>
    </row>
    <row r="3278" spans="14:20" x14ac:dyDescent="0.25">
      <c r="N3278" s="514"/>
      <c r="R3278" s="293"/>
      <c r="S3278" s="316"/>
      <c r="T3278" s="355"/>
    </row>
    <row r="3279" spans="14:20" x14ac:dyDescent="0.25">
      <c r="N3279" s="514"/>
      <c r="R3279" s="293"/>
      <c r="S3279" s="316"/>
      <c r="T3279" s="355"/>
    </row>
    <row r="3280" spans="14:20" x14ac:dyDescent="0.25">
      <c r="N3280" s="514"/>
      <c r="R3280" s="293"/>
      <c r="S3280" s="316"/>
      <c r="T3280" s="355"/>
    </row>
    <row r="3281" spans="14:20" x14ac:dyDescent="0.25">
      <c r="N3281" s="514"/>
      <c r="R3281" s="293"/>
      <c r="S3281" s="316"/>
      <c r="T3281" s="355"/>
    </row>
    <row r="3282" spans="14:20" x14ac:dyDescent="0.25">
      <c r="N3282" s="514"/>
      <c r="R3282" s="293"/>
      <c r="S3282" s="316"/>
      <c r="T3282" s="355"/>
    </row>
    <row r="3283" spans="14:20" x14ac:dyDescent="0.25">
      <c r="N3283" s="514"/>
      <c r="R3283" s="293"/>
      <c r="S3283" s="316"/>
      <c r="T3283" s="355"/>
    </row>
    <row r="3284" spans="14:20" x14ac:dyDescent="0.25">
      <c r="N3284" s="514"/>
      <c r="R3284" s="293"/>
      <c r="S3284" s="316"/>
      <c r="T3284" s="355"/>
    </row>
    <row r="3285" spans="14:20" x14ac:dyDescent="0.25">
      <c r="N3285" s="514"/>
      <c r="R3285" s="293"/>
      <c r="S3285" s="316"/>
      <c r="T3285" s="355"/>
    </row>
    <row r="3286" spans="14:20" x14ac:dyDescent="0.25">
      <c r="N3286" s="514"/>
      <c r="R3286" s="293"/>
      <c r="S3286" s="316"/>
      <c r="T3286" s="355"/>
    </row>
    <row r="3287" spans="14:20" x14ac:dyDescent="0.25">
      <c r="N3287" s="514"/>
      <c r="R3287" s="293"/>
      <c r="S3287" s="316"/>
      <c r="T3287" s="355"/>
    </row>
    <row r="3288" spans="14:20" x14ac:dyDescent="0.25">
      <c r="N3288" s="514"/>
      <c r="R3288" s="293"/>
      <c r="S3288" s="316"/>
      <c r="T3288" s="355"/>
    </row>
    <row r="3289" spans="14:20" x14ac:dyDescent="0.25">
      <c r="N3289" s="514"/>
      <c r="R3289" s="293"/>
      <c r="S3289" s="316"/>
      <c r="T3289" s="355"/>
    </row>
    <row r="3290" spans="14:20" x14ac:dyDescent="0.25">
      <c r="N3290" s="514"/>
      <c r="R3290" s="293"/>
      <c r="S3290" s="316"/>
      <c r="T3290" s="355"/>
    </row>
    <row r="3291" spans="14:20" x14ac:dyDescent="0.25">
      <c r="N3291" s="514"/>
      <c r="R3291" s="293"/>
      <c r="S3291" s="316"/>
      <c r="T3291" s="355"/>
    </row>
    <row r="3292" spans="14:20" x14ac:dyDescent="0.25">
      <c r="N3292" s="514"/>
      <c r="R3292" s="293"/>
      <c r="S3292" s="316"/>
      <c r="T3292" s="355"/>
    </row>
    <row r="3293" spans="14:20" x14ac:dyDescent="0.25">
      <c r="N3293" s="514"/>
      <c r="R3293" s="293"/>
      <c r="S3293" s="316"/>
      <c r="T3293" s="355"/>
    </row>
    <row r="3294" spans="14:20" x14ac:dyDescent="0.25">
      <c r="N3294" s="514"/>
      <c r="R3294" s="293"/>
      <c r="S3294" s="316"/>
      <c r="T3294" s="355"/>
    </row>
    <row r="3295" spans="14:20" x14ac:dyDescent="0.25">
      <c r="N3295" s="514"/>
      <c r="R3295" s="293"/>
      <c r="S3295" s="316"/>
      <c r="T3295" s="355"/>
    </row>
    <row r="3296" spans="14:20" x14ac:dyDescent="0.25">
      <c r="N3296" s="514"/>
      <c r="R3296" s="293"/>
      <c r="S3296" s="316"/>
      <c r="T3296" s="355"/>
    </row>
    <row r="3297" spans="14:20" x14ac:dyDescent="0.25">
      <c r="N3297" s="514"/>
      <c r="R3297" s="293"/>
      <c r="S3297" s="316"/>
      <c r="T3297" s="355"/>
    </row>
    <row r="3298" spans="14:20" x14ac:dyDescent="0.25">
      <c r="N3298" s="514"/>
      <c r="R3298" s="293"/>
      <c r="S3298" s="316"/>
      <c r="T3298" s="355"/>
    </row>
    <row r="3299" spans="14:20" x14ac:dyDescent="0.25">
      <c r="N3299" s="514"/>
      <c r="R3299" s="293"/>
      <c r="S3299" s="316"/>
      <c r="T3299" s="355"/>
    </row>
    <row r="3300" spans="14:20" x14ac:dyDescent="0.25">
      <c r="N3300" s="514"/>
      <c r="R3300" s="293"/>
      <c r="S3300" s="316"/>
      <c r="T3300" s="355"/>
    </row>
    <row r="3301" spans="14:20" x14ac:dyDescent="0.25">
      <c r="N3301" s="514"/>
      <c r="R3301" s="293"/>
      <c r="S3301" s="316"/>
      <c r="T3301" s="355"/>
    </row>
    <row r="3302" spans="14:20" x14ac:dyDescent="0.25">
      <c r="N3302" s="514"/>
      <c r="R3302" s="293"/>
      <c r="S3302" s="316"/>
      <c r="T3302" s="355"/>
    </row>
    <row r="3303" spans="14:20" x14ac:dyDescent="0.25">
      <c r="N3303" s="514"/>
      <c r="R3303" s="293"/>
      <c r="S3303" s="316"/>
      <c r="T3303" s="355"/>
    </row>
    <row r="3304" spans="14:20" x14ac:dyDescent="0.25">
      <c r="N3304" s="514"/>
      <c r="R3304" s="293"/>
      <c r="S3304" s="316"/>
      <c r="T3304" s="355"/>
    </row>
    <row r="3305" spans="14:20" x14ac:dyDescent="0.25">
      <c r="N3305" s="514"/>
      <c r="R3305" s="293"/>
      <c r="S3305" s="316"/>
      <c r="T3305" s="355"/>
    </row>
    <row r="3306" spans="14:20" x14ac:dyDescent="0.25">
      <c r="N3306" s="514"/>
      <c r="R3306" s="293"/>
      <c r="S3306" s="316"/>
      <c r="T3306" s="355"/>
    </row>
    <row r="3307" spans="14:20" x14ac:dyDescent="0.25">
      <c r="N3307" s="514"/>
      <c r="R3307" s="293"/>
      <c r="S3307" s="316"/>
      <c r="T3307" s="355"/>
    </row>
    <row r="3308" spans="14:20" x14ac:dyDescent="0.25">
      <c r="N3308" s="514"/>
      <c r="R3308" s="293"/>
      <c r="S3308" s="316"/>
      <c r="T3308" s="355"/>
    </row>
    <row r="3309" spans="14:20" x14ac:dyDescent="0.25">
      <c r="N3309" s="514"/>
      <c r="R3309" s="293"/>
      <c r="S3309" s="316"/>
      <c r="T3309" s="355"/>
    </row>
    <row r="3310" spans="14:20" x14ac:dyDescent="0.25">
      <c r="N3310" s="514"/>
      <c r="R3310" s="293"/>
      <c r="S3310" s="316"/>
      <c r="T3310" s="355"/>
    </row>
    <row r="3311" spans="14:20" x14ac:dyDescent="0.25">
      <c r="N3311" s="514"/>
      <c r="R3311" s="293"/>
      <c r="S3311" s="316"/>
      <c r="T3311" s="355"/>
    </row>
    <row r="3312" spans="14:20" x14ac:dyDescent="0.25">
      <c r="N3312" s="514"/>
      <c r="R3312" s="293"/>
      <c r="S3312" s="316"/>
      <c r="T3312" s="355"/>
    </row>
    <row r="3313" spans="14:20" x14ac:dyDescent="0.25">
      <c r="N3313" s="514"/>
      <c r="R3313" s="293"/>
      <c r="S3313" s="316"/>
      <c r="T3313" s="355"/>
    </row>
    <row r="3314" spans="14:20" x14ac:dyDescent="0.25">
      <c r="N3314" s="514"/>
      <c r="R3314" s="293"/>
      <c r="S3314" s="316"/>
      <c r="T3314" s="355"/>
    </row>
    <row r="3315" spans="14:20" x14ac:dyDescent="0.25">
      <c r="N3315" s="514"/>
      <c r="R3315" s="293"/>
      <c r="S3315" s="316"/>
      <c r="T3315" s="355"/>
    </row>
    <row r="3316" spans="14:20" x14ac:dyDescent="0.25">
      <c r="N3316" s="514"/>
      <c r="R3316" s="293"/>
      <c r="S3316" s="316"/>
      <c r="T3316" s="355"/>
    </row>
    <row r="3317" spans="14:20" x14ac:dyDescent="0.25">
      <c r="N3317" s="514"/>
      <c r="R3317" s="293"/>
      <c r="S3317" s="316"/>
      <c r="T3317" s="355"/>
    </row>
    <row r="3318" spans="14:20" x14ac:dyDescent="0.25">
      <c r="N3318" s="514"/>
      <c r="R3318" s="293"/>
      <c r="S3318" s="316"/>
      <c r="T3318" s="355"/>
    </row>
    <row r="3319" spans="14:20" x14ac:dyDescent="0.25">
      <c r="N3319" s="514"/>
      <c r="R3319" s="293"/>
      <c r="S3319" s="316"/>
      <c r="T3319" s="355"/>
    </row>
    <row r="3320" spans="14:20" x14ac:dyDescent="0.25">
      <c r="N3320" s="514"/>
      <c r="R3320" s="293"/>
      <c r="S3320" s="316"/>
      <c r="T3320" s="355"/>
    </row>
    <row r="3321" spans="14:20" x14ac:dyDescent="0.25">
      <c r="N3321" s="514"/>
      <c r="R3321" s="293"/>
      <c r="S3321" s="316"/>
      <c r="T3321" s="355"/>
    </row>
    <row r="3322" spans="14:20" x14ac:dyDescent="0.25">
      <c r="N3322" s="514"/>
      <c r="R3322" s="293"/>
      <c r="S3322" s="316"/>
      <c r="T3322" s="355"/>
    </row>
    <row r="3323" spans="14:20" x14ac:dyDescent="0.25">
      <c r="N3323" s="514"/>
      <c r="R3323" s="293"/>
      <c r="S3323" s="316"/>
      <c r="T3323" s="355"/>
    </row>
    <row r="3324" spans="14:20" x14ac:dyDescent="0.25">
      <c r="N3324" s="514"/>
      <c r="R3324" s="293"/>
      <c r="S3324" s="316"/>
      <c r="T3324" s="355"/>
    </row>
    <row r="3325" spans="14:20" x14ac:dyDescent="0.25">
      <c r="N3325" s="514"/>
      <c r="R3325" s="293"/>
      <c r="S3325" s="316"/>
      <c r="T3325" s="355"/>
    </row>
    <row r="3326" spans="14:20" x14ac:dyDescent="0.25">
      <c r="N3326" s="514"/>
      <c r="R3326" s="293"/>
      <c r="S3326" s="316"/>
      <c r="T3326" s="355"/>
    </row>
    <row r="3327" spans="14:20" x14ac:dyDescent="0.25">
      <c r="N3327" s="514"/>
      <c r="R3327" s="293"/>
      <c r="S3327" s="316"/>
      <c r="T3327" s="355"/>
    </row>
    <row r="3328" spans="14:20" x14ac:dyDescent="0.25">
      <c r="N3328" s="514"/>
      <c r="R3328" s="293"/>
      <c r="S3328" s="316"/>
      <c r="T3328" s="355"/>
    </row>
    <row r="3329" spans="14:20" x14ac:dyDescent="0.25">
      <c r="N3329" s="514"/>
      <c r="R3329" s="293"/>
      <c r="S3329" s="316"/>
      <c r="T3329" s="355"/>
    </row>
    <row r="3330" spans="14:20" x14ac:dyDescent="0.25">
      <c r="N3330" s="514"/>
      <c r="R3330" s="293"/>
      <c r="S3330" s="316"/>
      <c r="T3330" s="355"/>
    </row>
    <row r="3331" spans="14:20" x14ac:dyDescent="0.25">
      <c r="N3331" s="514"/>
      <c r="R3331" s="293"/>
      <c r="S3331" s="316"/>
      <c r="T3331" s="355"/>
    </row>
    <row r="3332" spans="14:20" x14ac:dyDescent="0.25">
      <c r="N3332" s="514"/>
      <c r="R3332" s="293"/>
      <c r="S3332" s="316"/>
      <c r="T3332" s="355"/>
    </row>
    <row r="3333" spans="14:20" x14ac:dyDescent="0.25">
      <c r="N3333" s="514"/>
      <c r="R3333" s="293"/>
      <c r="S3333" s="316"/>
      <c r="T3333" s="355"/>
    </row>
    <row r="3334" spans="14:20" x14ac:dyDescent="0.25">
      <c r="N3334" s="514"/>
      <c r="R3334" s="293"/>
      <c r="S3334" s="316"/>
      <c r="T3334" s="355"/>
    </row>
    <row r="3335" spans="14:20" x14ac:dyDescent="0.25">
      <c r="N3335" s="514"/>
      <c r="R3335" s="293"/>
      <c r="S3335" s="316"/>
      <c r="T3335" s="355"/>
    </row>
    <row r="3336" spans="14:20" x14ac:dyDescent="0.25">
      <c r="N3336" s="514"/>
      <c r="R3336" s="293"/>
      <c r="S3336" s="316"/>
      <c r="T3336" s="355"/>
    </row>
    <row r="3337" spans="14:20" x14ac:dyDescent="0.25">
      <c r="N3337" s="514"/>
      <c r="R3337" s="293"/>
      <c r="S3337" s="316"/>
      <c r="T3337" s="355"/>
    </row>
    <row r="3338" spans="14:20" x14ac:dyDescent="0.25">
      <c r="N3338" s="514"/>
      <c r="R3338" s="293"/>
      <c r="S3338" s="316"/>
      <c r="T3338" s="355"/>
    </row>
    <row r="3339" spans="14:20" x14ac:dyDescent="0.25">
      <c r="N3339" s="514"/>
      <c r="R3339" s="293"/>
      <c r="S3339" s="316"/>
      <c r="T3339" s="355"/>
    </row>
    <row r="3340" spans="14:20" x14ac:dyDescent="0.25">
      <c r="N3340" s="514"/>
      <c r="R3340" s="293"/>
      <c r="S3340" s="316"/>
      <c r="T3340" s="355"/>
    </row>
    <row r="3341" spans="14:20" x14ac:dyDescent="0.25">
      <c r="N3341" s="514"/>
      <c r="R3341" s="293"/>
      <c r="S3341" s="316"/>
      <c r="T3341" s="355"/>
    </row>
    <row r="3342" spans="14:20" x14ac:dyDescent="0.25">
      <c r="N3342" s="514"/>
      <c r="R3342" s="293"/>
      <c r="S3342" s="316"/>
      <c r="T3342" s="355"/>
    </row>
    <row r="3343" spans="14:20" x14ac:dyDescent="0.25">
      <c r="N3343" s="514"/>
      <c r="R3343" s="293"/>
      <c r="S3343" s="316"/>
      <c r="T3343" s="355"/>
    </row>
    <row r="3344" spans="14:20" x14ac:dyDescent="0.25">
      <c r="N3344" s="514"/>
      <c r="R3344" s="293"/>
      <c r="S3344" s="316"/>
      <c r="T3344" s="355"/>
    </row>
    <row r="3345" spans="14:20" x14ac:dyDescent="0.25">
      <c r="N3345" s="514"/>
      <c r="R3345" s="293"/>
      <c r="S3345" s="316"/>
      <c r="T3345" s="355"/>
    </row>
    <row r="3346" spans="14:20" x14ac:dyDescent="0.25">
      <c r="N3346" s="514"/>
      <c r="R3346" s="293"/>
      <c r="S3346" s="316"/>
      <c r="T3346" s="355"/>
    </row>
    <row r="3347" spans="14:20" x14ac:dyDescent="0.25">
      <c r="N3347" s="514"/>
      <c r="R3347" s="293"/>
      <c r="S3347" s="316"/>
      <c r="T3347" s="355"/>
    </row>
    <row r="3348" spans="14:20" x14ac:dyDescent="0.25">
      <c r="N3348" s="514"/>
      <c r="R3348" s="293"/>
      <c r="S3348" s="316"/>
      <c r="T3348" s="355"/>
    </row>
    <row r="3349" spans="14:20" x14ac:dyDescent="0.25">
      <c r="N3349" s="514"/>
      <c r="R3349" s="293"/>
      <c r="S3349" s="316"/>
      <c r="T3349" s="355"/>
    </row>
    <row r="3350" spans="14:20" x14ac:dyDescent="0.25">
      <c r="N3350" s="514"/>
      <c r="R3350" s="293"/>
      <c r="S3350" s="316"/>
      <c r="T3350" s="355"/>
    </row>
    <row r="3351" spans="14:20" x14ac:dyDescent="0.25">
      <c r="N3351" s="514"/>
      <c r="R3351" s="293"/>
      <c r="S3351" s="316"/>
      <c r="T3351" s="355"/>
    </row>
    <row r="3352" spans="14:20" x14ac:dyDescent="0.25">
      <c r="N3352" s="514"/>
      <c r="R3352" s="293"/>
      <c r="S3352" s="316"/>
      <c r="T3352" s="355"/>
    </row>
    <row r="3353" spans="14:20" x14ac:dyDescent="0.25">
      <c r="N3353" s="514"/>
      <c r="R3353" s="293"/>
      <c r="S3353" s="316"/>
      <c r="T3353" s="355"/>
    </row>
    <row r="3354" spans="14:20" x14ac:dyDescent="0.25">
      <c r="N3354" s="514"/>
      <c r="R3354" s="293"/>
      <c r="S3354" s="316"/>
      <c r="T3354" s="355"/>
    </row>
    <row r="3355" spans="14:20" x14ac:dyDescent="0.25">
      <c r="N3355" s="514"/>
      <c r="R3355" s="293"/>
      <c r="S3355" s="316"/>
      <c r="T3355" s="355"/>
    </row>
    <row r="3356" spans="14:20" x14ac:dyDescent="0.25">
      <c r="N3356" s="514"/>
      <c r="R3356" s="293"/>
      <c r="S3356" s="316"/>
      <c r="T3356" s="355"/>
    </row>
    <row r="3357" spans="14:20" x14ac:dyDescent="0.25">
      <c r="N3357" s="514"/>
      <c r="R3357" s="293"/>
      <c r="S3357" s="316"/>
      <c r="T3357" s="355"/>
    </row>
    <row r="3358" spans="14:20" x14ac:dyDescent="0.25">
      <c r="N3358" s="514"/>
      <c r="R3358" s="293"/>
      <c r="S3358" s="316"/>
      <c r="T3358" s="355"/>
    </row>
    <row r="3359" spans="14:20" x14ac:dyDescent="0.25">
      <c r="N3359" s="514"/>
      <c r="R3359" s="293"/>
      <c r="S3359" s="316"/>
      <c r="T3359" s="355"/>
    </row>
    <row r="3360" spans="14:20" x14ac:dyDescent="0.25">
      <c r="N3360" s="514"/>
      <c r="R3360" s="293"/>
      <c r="S3360" s="316"/>
      <c r="T3360" s="355"/>
    </row>
    <row r="3361" spans="14:20" x14ac:dyDescent="0.25">
      <c r="N3361" s="514"/>
      <c r="R3361" s="293"/>
      <c r="S3361" s="316"/>
      <c r="T3361" s="355"/>
    </row>
    <row r="3362" spans="14:20" x14ac:dyDescent="0.25">
      <c r="N3362" s="514"/>
      <c r="R3362" s="293"/>
      <c r="S3362" s="316"/>
      <c r="T3362" s="355"/>
    </row>
    <row r="3363" spans="14:20" x14ac:dyDescent="0.25">
      <c r="N3363" s="514"/>
      <c r="R3363" s="293"/>
      <c r="S3363" s="316"/>
      <c r="T3363" s="355"/>
    </row>
    <row r="3364" spans="14:20" x14ac:dyDescent="0.25">
      <c r="N3364" s="514"/>
      <c r="R3364" s="293"/>
      <c r="S3364" s="316"/>
      <c r="T3364" s="355"/>
    </row>
    <row r="3365" spans="14:20" x14ac:dyDescent="0.25">
      <c r="N3365" s="514"/>
      <c r="R3365" s="293"/>
      <c r="S3365" s="316"/>
      <c r="T3365" s="355"/>
    </row>
    <row r="3366" spans="14:20" x14ac:dyDescent="0.25">
      <c r="N3366" s="514"/>
      <c r="R3366" s="293"/>
      <c r="S3366" s="316"/>
      <c r="T3366" s="355"/>
    </row>
    <row r="3367" spans="14:20" x14ac:dyDescent="0.25">
      <c r="N3367" s="514"/>
      <c r="R3367" s="293"/>
      <c r="S3367" s="316"/>
      <c r="T3367" s="355"/>
    </row>
    <row r="3368" spans="14:20" x14ac:dyDescent="0.25">
      <c r="N3368" s="514"/>
      <c r="R3368" s="293"/>
      <c r="S3368" s="316"/>
      <c r="T3368" s="355"/>
    </row>
    <row r="3369" spans="14:20" x14ac:dyDescent="0.25">
      <c r="N3369" s="514"/>
      <c r="R3369" s="293"/>
      <c r="S3369" s="316"/>
      <c r="T3369" s="355"/>
    </row>
    <row r="3370" spans="14:20" x14ac:dyDescent="0.25">
      <c r="N3370" s="514"/>
      <c r="R3370" s="293"/>
      <c r="S3370" s="316"/>
      <c r="T3370" s="355"/>
    </row>
    <row r="3371" spans="14:20" x14ac:dyDescent="0.25">
      <c r="N3371" s="514"/>
      <c r="R3371" s="293"/>
      <c r="S3371" s="316"/>
      <c r="T3371" s="355"/>
    </row>
    <row r="3372" spans="14:20" x14ac:dyDescent="0.25">
      <c r="N3372" s="514"/>
      <c r="R3372" s="293"/>
      <c r="S3372" s="316"/>
      <c r="T3372" s="355"/>
    </row>
    <row r="3373" spans="14:20" x14ac:dyDescent="0.25">
      <c r="N3373" s="514"/>
      <c r="R3373" s="293"/>
      <c r="S3373" s="316"/>
      <c r="T3373" s="355"/>
    </row>
    <row r="3374" spans="14:20" x14ac:dyDescent="0.25">
      <c r="N3374" s="514"/>
      <c r="R3374" s="293"/>
      <c r="S3374" s="316"/>
      <c r="T3374" s="355"/>
    </row>
    <row r="3375" spans="14:20" x14ac:dyDescent="0.25">
      <c r="N3375" s="514"/>
      <c r="R3375" s="293"/>
      <c r="S3375" s="316"/>
      <c r="T3375" s="355"/>
    </row>
    <row r="3376" spans="14:20" x14ac:dyDescent="0.25">
      <c r="N3376" s="514"/>
      <c r="R3376" s="293"/>
      <c r="S3376" s="316"/>
      <c r="T3376" s="355"/>
    </row>
    <row r="3377" spans="14:20" x14ac:dyDescent="0.25">
      <c r="N3377" s="514"/>
      <c r="R3377" s="293"/>
      <c r="S3377" s="316"/>
      <c r="T3377" s="355"/>
    </row>
    <row r="3378" spans="14:20" x14ac:dyDescent="0.25">
      <c r="N3378" s="514"/>
      <c r="R3378" s="293"/>
      <c r="S3378" s="316"/>
      <c r="T3378" s="355"/>
    </row>
    <row r="3379" spans="14:20" x14ac:dyDescent="0.25">
      <c r="N3379" s="514"/>
      <c r="R3379" s="293"/>
      <c r="S3379" s="316"/>
      <c r="T3379" s="355"/>
    </row>
    <row r="3380" spans="14:20" x14ac:dyDescent="0.25">
      <c r="N3380" s="514"/>
      <c r="R3380" s="293"/>
      <c r="S3380" s="316"/>
      <c r="T3380" s="355"/>
    </row>
    <row r="3381" spans="14:20" x14ac:dyDescent="0.25">
      <c r="N3381" s="514"/>
      <c r="R3381" s="293"/>
      <c r="S3381" s="316"/>
      <c r="T3381" s="355"/>
    </row>
    <row r="3382" spans="14:20" x14ac:dyDescent="0.25">
      <c r="N3382" s="514"/>
      <c r="R3382" s="293"/>
      <c r="S3382" s="316"/>
      <c r="T3382" s="355"/>
    </row>
    <row r="3383" spans="14:20" x14ac:dyDescent="0.25">
      <c r="N3383" s="514"/>
      <c r="R3383" s="293"/>
      <c r="S3383" s="316"/>
      <c r="T3383" s="355"/>
    </row>
    <row r="3384" spans="14:20" x14ac:dyDescent="0.25">
      <c r="N3384" s="514"/>
      <c r="R3384" s="293"/>
      <c r="S3384" s="316"/>
      <c r="T3384" s="355"/>
    </row>
    <row r="3385" spans="14:20" x14ac:dyDescent="0.25">
      <c r="N3385" s="514"/>
      <c r="R3385" s="293"/>
      <c r="S3385" s="316"/>
      <c r="T3385" s="355"/>
    </row>
    <row r="3386" spans="14:20" x14ac:dyDescent="0.25">
      <c r="N3386" s="514"/>
      <c r="R3386" s="293"/>
      <c r="S3386" s="316"/>
      <c r="T3386" s="355"/>
    </row>
    <row r="3387" spans="14:20" x14ac:dyDescent="0.25">
      <c r="N3387" s="514"/>
      <c r="R3387" s="293"/>
      <c r="S3387" s="316"/>
      <c r="T3387" s="355"/>
    </row>
    <row r="3388" spans="14:20" x14ac:dyDescent="0.25">
      <c r="N3388" s="514"/>
      <c r="R3388" s="293"/>
      <c r="S3388" s="316"/>
      <c r="T3388" s="355"/>
    </row>
    <row r="3389" spans="14:20" x14ac:dyDescent="0.25">
      <c r="N3389" s="514"/>
      <c r="R3389" s="293"/>
      <c r="S3389" s="316"/>
      <c r="T3389" s="355"/>
    </row>
    <row r="3390" spans="14:20" x14ac:dyDescent="0.25">
      <c r="N3390" s="514"/>
      <c r="R3390" s="293"/>
      <c r="S3390" s="316"/>
      <c r="T3390" s="355"/>
    </row>
    <row r="3391" spans="14:20" x14ac:dyDescent="0.25">
      <c r="N3391" s="514"/>
      <c r="R3391" s="293"/>
      <c r="S3391" s="316"/>
      <c r="T3391" s="355"/>
    </row>
    <row r="3392" spans="14:20" x14ac:dyDescent="0.25">
      <c r="N3392" s="514"/>
      <c r="R3392" s="293"/>
      <c r="S3392" s="316"/>
      <c r="T3392" s="355"/>
    </row>
    <row r="3393" spans="14:20" x14ac:dyDescent="0.25">
      <c r="N3393" s="514"/>
      <c r="R3393" s="293"/>
      <c r="S3393" s="316"/>
      <c r="T3393" s="355"/>
    </row>
    <row r="3394" spans="14:20" x14ac:dyDescent="0.25">
      <c r="N3394" s="514"/>
      <c r="R3394" s="293"/>
      <c r="S3394" s="316"/>
      <c r="T3394" s="355"/>
    </row>
    <row r="3395" spans="14:20" x14ac:dyDescent="0.25">
      <c r="N3395" s="514"/>
      <c r="R3395" s="293"/>
      <c r="S3395" s="316"/>
      <c r="T3395" s="355"/>
    </row>
    <row r="3396" spans="14:20" x14ac:dyDescent="0.25">
      <c r="N3396" s="514"/>
      <c r="R3396" s="293"/>
      <c r="S3396" s="316"/>
      <c r="T3396" s="355"/>
    </row>
    <row r="3397" spans="14:20" x14ac:dyDescent="0.25">
      <c r="N3397" s="514"/>
      <c r="R3397" s="293"/>
      <c r="S3397" s="316"/>
      <c r="T3397" s="355"/>
    </row>
    <row r="3398" spans="14:20" x14ac:dyDescent="0.25">
      <c r="N3398" s="514"/>
      <c r="R3398" s="293"/>
      <c r="S3398" s="316"/>
      <c r="T3398" s="355"/>
    </row>
    <row r="3399" spans="14:20" x14ac:dyDescent="0.25">
      <c r="N3399" s="514"/>
      <c r="R3399" s="293"/>
      <c r="S3399" s="316"/>
      <c r="T3399" s="355"/>
    </row>
    <row r="3400" spans="14:20" x14ac:dyDescent="0.25">
      <c r="N3400" s="514"/>
      <c r="R3400" s="293"/>
      <c r="S3400" s="316"/>
      <c r="T3400" s="355"/>
    </row>
    <row r="3401" spans="14:20" x14ac:dyDescent="0.25">
      <c r="N3401" s="514"/>
      <c r="R3401" s="293"/>
      <c r="S3401" s="316"/>
      <c r="T3401" s="355"/>
    </row>
    <row r="3402" spans="14:20" x14ac:dyDescent="0.25">
      <c r="N3402" s="514"/>
      <c r="R3402" s="293"/>
      <c r="S3402" s="316"/>
      <c r="T3402" s="355"/>
    </row>
    <row r="3403" spans="14:20" x14ac:dyDescent="0.25">
      <c r="N3403" s="514"/>
      <c r="R3403" s="293"/>
      <c r="S3403" s="316"/>
      <c r="T3403" s="355"/>
    </row>
    <row r="3404" spans="14:20" x14ac:dyDescent="0.25">
      <c r="N3404" s="514"/>
      <c r="R3404" s="293"/>
      <c r="S3404" s="316"/>
      <c r="T3404" s="355"/>
    </row>
    <row r="3405" spans="14:20" x14ac:dyDescent="0.25">
      <c r="N3405" s="514"/>
      <c r="R3405" s="293"/>
      <c r="S3405" s="316"/>
      <c r="T3405" s="355"/>
    </row>
    <row r="3406" spans="14:20" x14ac:dyDescent="0.25">
      <c r="N3406" s="514"/>
      <c r="R3406" s="293"/>
      <c r="S3406" s="316"/>
      <c r="T3406" s="355"/>
    </row>
    <row r="3407" spans="14:20" x14ac:dyDescent="0.25">
      <c r="N3407" s="514"/>
      <c r="R3407" s="293"/>
      <c r="S3407" s="316"/>
      <c r="T3407" s="355"/>
    </row>
    <row r="3408" spans="14:20" x14ac:dyDescent="0.25">
      <c r="N3408" s="514"/>
      <c r="R3408" s="293"/>
      <c r="S3408" s="316"/>
      <c r="T3408" s="355"/>
    </row>
    <row r="3409" spans="14:20" x14ac:dyDescent="0.25">
      <c r="N3409" s="514"/>
      <c r="R3409" s="293"/>
      <c r="S3409" s="316"/>
      <c r="T3409" s="355"/>
    </row>
    <row r="3410" spans="14:20" x14ac:dyDescent="0.25">
      <c r="N3410" s="514"/>
      <c r="R3410" s="293"/>
      <c r="S3410" s="316"/>
      <c r="T3410" s="355"/>
    </row>
    <row r="3411" spans="14:20" x14ac:dyDescent="0.25">
      <c r="N3411" s="514"/>
      <c r="R3411" s="293"/>
      <c r="S3411" s="316"/>
      <c r="T3411" s="355"/>
    </row>
    <row r="3412" spans="14:20" x14ac:dyDescent="0.25">
      <c r="N3412" s="514"/>
      <c r="R3412" s="293"/>
      <c r="S3412" s="316"/>
      <c r="T3412" s="355"/>
    </row>
    <row r="3413" spans="14:20" x14ac:dyDescent="0.25">
      <c r="N3413" s="514"/>
      <c r="R3413" s="293"/>
      <c r="S3413" s="316"/>
      <c r="T3413" s="355"/>
    </row>
    <row r="3414" spans="14:20" x14ac:dyDescent="0.25">
      <c r="N3414" s="514"/>
      <c r="R3414" s="293"/>
      <c r="S3414" s="316"/>
      <c r="T3414" s="355"/>
    </row>
    <row r="3415" spans="14:20" x14ac:dyDescent="0.25">
      <c r="N3415" s="514"/>
      <c r="R3415" s="293"/>
      <c r="S3415" s="316"/>
      <c r="T3415" s="355"/>
    </row>
    <row r="3416" spans="14:20" x14ac:dyDescent="0.25">
      <c r="N3416" s="514"/>
      <c r="R3416" s="293"/>
      <c r="S3416" s="316"/>
      <c r="T3416" s="355"/>
    </row>
    <row r="3417" spans="14:20" x14ac:dyDescent="0.25">
      <c r="N3417" s="514"/>
      <c r="R3417" s="293"/>
      <c r="S3417" s="316"/>
      <c r="T3417" s="355"/>
    </row>
    <row r="3418" spans="14:20" x14ac:dyDescent="0.25">
      <c r="N3418" s="514"/>
      <c r="R3418" s="293"/>
      <c r="S3418" s="316"/>
      <c r="T3418" s="355"/>
    </row>
    <row r="3419" spans="14:20" x14ac:dyDescent="0.25">
      <c r="N3419" s="514"/>
      <c r="R3419" s="293"/>
      <c r="S3419" s="316"/>
      <c r="T3419" s="355"/>
    </row>
    <row r="3420" spans="14:20" x14ac:dyDescent="0.25">
      <c r="N3420" s="514"/>
      <c r="R3420" s="293"/>
      <c r="S3420" s="316"/>
      <c r="T3420" s="355"/>
    </row>
    <row r="3421" spans="14:20" x14ac:dyDescent="0.25">
      <c r="N3421" s="514"/>
      <c r="R3421" s="293"/>
      <c r="S3421" s="316"/>
      <c r="T3421" s="355"/>
    </row>
    <row r="3422" spans="14:20" x14ac:dyDescent="0.25">
      <c r="N3422" s="514"/>
      <c r="R3422" s="293"/>
      <c r="S3422" s="316"/>
      <c r="T3422" s="355"/>
    </row>
    <row r="3423" spans="14:20" x14ac:dyDescent="0.25">
      <c r="N3423" s="514"/>
      <c r="R3423" s="293"/>
      <c r="S3423" s="316"/>
      <c r="T3423" s="355"/>
    </row>
    <row r="3424" spans="14:20" x14ac:dyDescent="0.25">
      <c r="N3424" s="514"/>
      <c r="R3424" s="293"/>
      <c r="S3424" s="316"/>
      <c r="T3424" s="355"/>
    </row>
    <row r="3425" spans="14:20" x14ac:dyDescent="0.25">
      <c r="N3425" s="514"/>
      <c r="R3425" s="293"/>
      <c r="S3425" s="316"/>
      <c r="T3425" s="355"/>
    </row>
    <row r="3426" spans="14:20" x14ac:dyDescent="0.25">
      <c r="N3426" s="514"/>
      <c r="R3426" s="293"/>
      <c r="S3426" s="316"/>
      <c r="T3426" s="355"/>
    </row>
    <row r="3427" spans="14:20" x14ac:dyDescent="0.25">
      <c r="N3427" s="514"/>
      <c r="R3427" s="293"/>
      <c r="S3427" s="316"/>
      <c r="T3427" s="355"/>
    </row>
    <row r="3428" spans="14:20" x14ac:dyDescent="0.25">
      <c r="N3428" s="514"/>
      <c r="R3428" s="293"/>
      <c r="S3428" s="316"/>
      <c r="T3428" s="355"/>
    </row>
    <row r="3429" spans="14:20" x14ac:dyDescent="0.25">
      <c r="N3429" s="514"/>
      <c r="R3429" s="293"/>
      <c r="S3429" s="316"/>
      <c r="T3429" s="355"/>
    </row>
    <row r="3430" spans="14:20" x14ac:dyDescent="0.25">
      <c r="N3430" s="514"/>
      <c r="R3430" s="293"/>
      <c r="S3430" s="316"/>
      <c r="T3430" s="355"/>
    </row>
    <row r="3431" spans="14:20" x14ac:dyDescent="0.25">
      <c r="N3431" s="514"/>
      <c r="R3431" s="293"/>
      <c r="S3431" s="316"/>
      <c r="T3431" s="355"/>
    </row>
    <row r="3432" spans="14:20" x14ac:dyDescent="0.25">
      <c r="N3432" s="514"/>
      <c r="R3432" s="293"/>
      <c r="S3432" s="316"/>
      <c r="T3432" s="355"/>
    </row>
    <row r="3433" spans="14:20" x14ac:dyDescent="0.25">
      <c r="N3433" s="514"/>
      <c r="R3433" s="293"/>
      <c r="S3433" s="316"/>
      <c r="T3433" s="355"/>
    </row>
    <row r="3434" spans="14:20" x14ac:dyDescent="0.25">
      <c r="N3434" s="514"/>
      <c r="R3434" s="293"/>
      <c r="S3434" s="316"/>
      <c r="T3434" s="355"/>
    </row>
    <row r="3435" spans="14:20" x14ac:dyDescent="0.25">
      <c r="N3435" s="514"/>
      <c r="R3435" s="293"/>
      <c r="S3435" s="316"/>
      <c r="T3435" s="355"/>
    </row>
    <row r="3436" spans="14:20" x14ac:dyDescent="0.25">
      <c r="N3436" s="514"/>
      <c r="R3436" s="293"/>
      <c r="S3436" s="316"/>
      <c r="T3436" s="355"/>
    </row>
    <row r="3437" spans="14:20" x14ac:dyDescent="0.25">
      <c r="N3437" s="514"/>
      <c r="R3437" s="293"/>
      <c r="S3437" s="316"/>
      <c r="T3437" s="355"/>
    </row>
    <row r="3438" spans="14:20" x14ac:dyDescent="0.25">
      <c r="N3438" s="514"/>
      <c r="R3438" s="293"/>
      <c r="S3438" s="316"/>
      <c r="T3438" s="355"/>
    </row>
    <row r="3439" spans="14:20" x14ac:dyDescent="0.25">
      <c r="N3439" s="514"/>
      <c r="R3439" s="293"/>
      <c r="S3439" s="316"/>
      <c r="T3439" s="355"/>
    </row>
    <row r="3440" spans="14:20" x14ac:dyDescent="0.25">
      <c r="N3440" s="514"/>
      <c r="R3440" s="293"/>
      <c r="S3440" s="316"/>
      <c r="T3440" s="355"/>
    </row>
    <row r="3441" spans="14:20" x14ac:dyDescent="0.25">
      <c r="N3441" s="514"/>
      <c r="R3441" s="293"/>
      <c r="S3441" s="316"/>
      <c r="T3441" s="355"/>
    </row>
    <row r="3442" spans="14:20" x14ac:dyDescent="0.25">
      <c r="N3442" s="514"/>
      <c r="R3442" s="293"/>
      <c r="S3442" s="316"/>
      <c r="T3442" s="355"/>
    </row>
    <row r="3443" spans="14:20" x14ac:dyDescent="0.25">
      <c r="N3443" s="514"/>
      <c r="R3443" s="293"/>
      <c r="S3443" s="316"/>
      <c r="T3443" s="355"/>
    </row>
    <row r="3444" spans="14:20" x14ac:dyDescent="0.25">
      <c r="N3444" s="514"/>
      <c r="R3444" s="293"/>
      <c r="S3444" s="316"/>
      <c r="T3444" s="355"/>
    </row>
    <row r="3445" spans="14:20" x14ac:dyDescent="0.25">
      <c r="N3445" s="514"/>
      <c r="R3445" s="293"/>
      <c r="S3445" s="316"/>
      <c r="T3445" s="355"/>
    </row>
    <row r="3446" spans="14:20" x14ac:dyDescent="0.25">
      <c r="N3446" s="514"/>
      <c r="R3446" s="293"/>
      <c r="S3446" s="316"/>
      <c r="T3446" s="355"/>
    </row>
    <row r="3447" spans="14:20" x14ac:dyDescent="0.25">
      <c r="N3447" s="514"/>
      <c r="R3447" s="293"/>
      <c r="S3447" s="316"/>
      <c r="T3447" s="355"/>
    </row>
    <row r="3448" spans="14:20" x14ac:dyDescent="0.25">
      <c r="N3448" s="514"/>
      <c r="R3448" s="293"/>
      <c r="S3448" s="316"/>
      <c r="T3448" s="355"/>
    </row>
    <row r="3449" spans="14:20" x14ac:dyDescent="0.25">
      <c r="N3449" s="514"/>
      <c r="R3449" s="293"/>
      <c r="S3449" s="316"/>
      <c r="T3449" s="355"/>
    </row>
    <row r="3450" spans="14:20" x14ac:dyDescent="0.25">
      <c r="N3450" s="514"/>
      <c r="R3450" s="293"/>
      <c r="S3450" s="316"/>
      <c r="T3450" s="355"/>
    </row>
    <row r="3451" spans="14:20" x14ac:dyDescent="0.25">
      <c r="N3451" s="514"/>
      <c r="R3451" s="293"/>
      <c r="S3451" s="316"/>
      <c r="T3451" s="355"/>
    </row>
    <row r="3452" spans="14:20" x14ac:dyDescent="0.25">
      <c r="N3452" s="514"/>
      <c r="R3452" s="293"/>
      <c r="S3452" s="316"/>
      <c r="T3452" s="355"/>
    </row>
    <row r="3453" spans="14:20" x14ac:dyDescent="0.25">
      <c r="N3453" s="514"/>
      <c r="R3453" s="293"/>
      <c r="S3453" s="316"/>
      <c r="T3453" s="355"/>
    </row>
    <row r="3454" spans="14:20" x14ac:dyDescent="0.25">
      <c r="N3454" s="514"/>
      <c r="R3454" s="293"/>
      <c r="S3454" s="316"/>
      <c r="T3454" s="355"/>
    </row>
    <row r="3455" spans="14:20" x14ac:dyDescent="0.25">
      <c r="N3455" s="514"/>
      <c r="R3455" s="293"/>
      <c r="S3455" s="316"/>
      <c r="T3455" s="355"/>
    </row>
    <row r="3456" spans="14:20" x14ac:dyDescent="0.25">
      <c r="N3456" s="514"/>
      <c r="R3456" s="293"/>
      <c r="S3456" s="316"/>
      <c r="T3456" s="355"/>
    </row>
    <row r="3457" spans="14:20" x14ac:dyDescent="0.25">
      <c r="N3457" s="514"/>
      <c r="R3457" s="293"/>
      <c r="S3457" s="316"/>
      <c r="T3457" s="355"/>
    </row>
    <row r="3458" spans="14:20" x14ac:dyDescent="0.25">
      <c r="N3458" s="514"/>
      <c r="R3458" s="293"/>
      <c r="S3458" s="316"/>
      <c r="T3458" s="355"/>
    </row>
    <row r="3459" spans="14:20" x14ac:dyDescent="0.25">
      <c r="N3459" s="514"/>
      <c r="R3459" s="293"/>
      <c r="S3459" s="316"/>
      <c r="T3459" s="355"/>
    </row>
    <row r="3460" spans="14:20" x14ac:dyDescent="0.25">
      <c r="N3460" s="514"/>
      <c r="R3460" s="293"/>
      <c r="S3460" s="316"/>
      <c r="T3460" s="355"/>
    </row>
    <row r="3461" spans="14:20" x14ac:dyDescent="0.25">
      <c r="N3461" s="514"/>
      <c r="R3461" s="293"/>
      <c r="S3461" s="316"/>
      <c r="T3461" s="355"/>
    </row>
    <row r="3462" spans="14:20" x14ac:dyDescent="0.25">
      <c r="N3462" s="514"/>
      <c r="R3462" s="293"/>
      <c r="S3462" s="316"/>
      <c r="T3462" s="355"/>
    </row>
    <row r="3463" spans="14:20" x14ac:dyDescent="0.25">
      <c r="N3463" s="514"/>
      <c r="R3463" s="293"/>
      <c r="S3463" s="316"/>
      <c r="T3463" s="355"/>
    </row>
    <row r="3464" spans="14:20" x14ac:dyDescent="0.25">
      <c r="N3464" s="514"/>
      <c r="R3464" s="293"/>
      <c r="S3464" s="316"/>
      <c r="T3464" s="355"/>
    </row>
    <row r="3465" spans="14:20" x14ac:dyDescent="0.25">
      <c r="N3465" s="514"/>
      <c r="R3465" s="293"/>
      <c r="S3465" s="316"/>
      <c r="T3465" s="355"/>
    </row>
    <row r="3466" spans="14:20" x14ac:dyDescent="0.25">
      <c r="N3466" s="514"/>
      <c r="R3466" s="293"/>
      <c r="S3466" s="316"/>
      <c r="T3466" s="355"/>
    </row>
    <row r="3467" spans="14:20" x14ac:dyDescent="0.25">
      <c r="N3467" s="514"/>
      <c r="R3467" s="293"/>
      <c r="S3467" s="316"/>
      <c r="T3467" s="355"/>
    </row>
    <row r="3468" spans="14:20" x14ac:dyDescent="0.25">
      <c r="N3468" s="514"/>
      <c r="R3468" s="293"/>
      <c r="S3468" s="316"/>
      <c r="T3468" s="355"/>
    </row>
    <row r="3469" spans="14:20" x14ac:dyDescent="0.25">
      <c r="N3469" s="514"/>
      <c r="R3469" s="293"/>
      <c r="S3469" s="316"/>
      <c r="T3469" s="355"/>
    </row>
    <row r="3470" spans="14:20" x14ac:dyDescent="0.25">
      <c r="N3470" s="514"/>
      <c r="R3470" s="293"/>
      <c r="S3470" s="316"/>
      <c r="T3470" s="355"/>
    </row>
    <row r="3471" spans="14:20" x14ac:dyDescent="0.25">
      <c r="N3471" s="514"/>
      <c r="R3471" s="293"/>
      <c r="S3471" s="316"/>
      <c r="T3471" s="355"/>
    </row>
    <row r="3472" spans="14:20" x14ac:dyDescent="0.25">
      <c r="N3472" s="514"/>
      <c r="R3472" s="293"/>
      <c r="S3472" s="316"/>
      <c r="T3472" s="355"/>
    </row>
    <row r="3473" spans="14:20" x14ac:dyDescent="0.25">
      <c r="N3473" s="514"/>
      <c r="R3473" s="293"/>
      <c r="S3473" s="316"/>
      <c r="T3473" s="355"/>
    </row>
    <row r="3474" spans="14:20" x14ac:dyDescent="0.25">
      <c r="N3474" s="514"/>
      <c r="R3474" s="293"/>
      <c r="S3474" s="316"/>
      <c r="T3474" s="355"/>
    </row>
    <row r="3475" spans="14:20" x14ac:dyDescent="0.25">
      <c r="N3475" s="514"/>
      <c r="R3475" s="293"/>
      <c r="S3475" s="316"/>
      <c r="T3475" s="355"/>
    </row>
    <row r="3476" spans="14:20" x14ac:dyDescent="0.25">
      <c r="N3476" s="514"/>
      <c r="R3476" s="293"/>
      <c r="S3476" s="316"/>
      <c r="T3476" s="355"/>
    </row>
    <row r="3477" spans="14:20" x14ac:dyDescent="0.25">
      <c r="N3477" s="514"/>
      <c r="R3477" s="293"/>
      <c r="S3477" s="316"/>
      <c r="T3477" s="355"/>
    </row>
    <row r="3478" spans="14:20" x14ac:dyDescent="0.25">
      <c r="N3478" s="514"/>
      <c r="R3478" s="293"/>
      <c r="S3478" s="316"/>
      <c r="T3478" s="355"/>
    </row>
    <row r="3479" spans="14:20" x14ac:dyDescent="0.25">
      <c r="N3479" s="514"/>
      <c r="R3479" s="293"/>
      <c r="S3479" s="316"/>
      <c r="T3479" s="355"/>
    </row>
    <row r="3480" spans="14:20" x14ac:dyDescent="0.25">
      <c r="N3480" s="514"/>
      <c r="R3480" s="293"/>
      <c r="S3480" s="316"/>
      <c r="T3480" s="355"/>
    </row>
    <row r="3481" spans="14:20" x14ac:dyDescent="0.25">
      <c r="N3481" s="514"/>
      <c r="R3481" s="293"/>
      <c r="S3481" s="316"/>
      <c r="T3481" s="355"/>
    </row>
    <row r="3482" spans="14:20" x14ac:dyDescent="0.25">
      <c r="N3482" s="514"/>
      <c r="R3482" s="293"/>
      <c r="S3482" s="316"/>
      <c r="T3482" s="355"/>
    </row>
    <row r="3483" spans="14:20" x14ac:dyDescent="0.25">
      <c r="N3483" s="514"/>
      <c r="R3483" s="293"/>
      <c r="S3483" s="316"/>
      <c r="T3483" s="355"/>
    </row>
    <row r="3484" spans="14:20" x14ac:dyDescent="0.25">
      <c r="N3484" s="514"/>
      <c r="R3484" s="293"/>
      <c r="S3484" s="316"/>
      <c r="T3484" s="355"/>
    </row>
    <row r="3485" spans="14:20" x14ac:dyDescent="0.25">
      <c r="N3485" s="514"/>
      <c r="R3485" s="293"/>
      <c r="S3485" s="316"/>
      <c r="T3485" s="355"/>
    </row>
    <row r="3486" spans="14:20" x14ac:dyDescent="0.25">
      <c r="N3486" s="514"/>
      <c r="R3486" s="293"/>
      <c r="S3486" s="316"/>
      <c r="T3486" s="355"/>
    </row>
    <row r="3487" spans="14:20" x14ac:dyDescent="0.25">
      <c r="N3487" s="514"/>
      <c r="R3487" s="293"/>
      <c r="S3487" s="316"/>
      <c r="T3487" s="355"/>
    </row>
    <row r="3488" spans="14:20" x14ac:dyDescent="0.25">
      <c r="N3488" s="514"/>
      <c r="R3488" s="293"/>
      <c r="S3488" s="316"/>
      <c r="T3488" s="355"/>
    </row>
    <row r="3489" spans="14:20" x14ac:dyDescent="0.25">
      <c r="N3489" s="514"/>
      <c r="R3489" s="293"/>
      <c r="S3489" s="316"/>
      <c r="T3489" s="355"/>
    </row>
    <row r="3490" spans="14:20" x14ac:dyDescent="0.25">
      <c r="N3490" s="514"/>
      <c r="R3490" s="293"/>
      <c r="S3490" s="316"/>
      <c r="T3490" s="355"/>
    </row>
    <row r="3491" spans="14:20" x14ac:dyDescent="0.25">
      <c r="N3491" s="514"/>
      <c r="R3491" s="293"/>
      <c r="S3491" s="316"/>
      <c r="T3491" s="355"/>
    </row>
    <row r="3492" spans="14:20" x14ac:dyDescent="0.25">
      <c r="N3492" s="514"/>
      <c r="R3492" s="293"/>
      <c r="S3492" s="316"/>
      <c r="T3492" s="355"/>
    </row>
    <row r="3493" spans="14:20" x14ac:dyDescent="0.25">
      <c r="N3493" s="514"/>
      <c r="R3493" s="293"/>
      <c r="S3493" s="316"/>
      <c r="T3493" s="355"/>
    </row>
    <row r="3494" spans="14:20" x14ac:dyDescent="0.25">
      <c r="N3494" s="514"/>
      <c r="R3494" s="293"/>
      <c r="S3494" s="316"/>
      <c r="T3494" s="355"/>
    </row>
    <row r="3495" spans="14:20" x14ac:dyDescent="0.25">
      <c r="N3495" s="514"/>
      <c r="R3495" s="293"/>
      <c r="S3495" s="316"/>
      <c r="T3495" s="355"/>
    </row>
    <row r="3496" spans="14:20" x14ac:dyDescent="0.25">
      <c r="N3496" s="514"/>
      <c r="R3496" s="293"/>
      <c r="S3496" s="316"/>
      <c r="T3496" s="355"/>
    </row>
    <row r="3497" spans="14:20" x14ac:dyDescent="0.25">
      <c r="N3497" s="514"/>
      <c r="R3497" s="293"/>
      <c r="S3497" s="316"/>
      <c r="T3497" s="355"/>
    </row>
    <row r="3498" spans="14:20" x14ac:dyDescent="0.25">
      <c r="N3498" s="514"/>
      <c r="R3498" s="293"/>
      <c r="S3498" s="316"/>
      <c r="T3498" s="355"/>
    </row>
    <row r="3499" spans="14:20" x14ac:dyDescent="0.25">
      <c r="N3499" s="514"/>
      <c r="R3499" s="293"/>
      <c r="S3499" s="316"/>
      <c r="T3499" s="355"/>
    </row>
    <row r="3500" spans="14:20" x14ac:dyDescent="0.25">
      <c r="N3500" s="514"/>
      <c r="R3500" s="293"/>
      <c r="S3500" s="316"/>
      <c r="T3500" s="355"/>
    </row>
    <row r="3501" spans="14:20" x14ac:dyDescent="0.25">
      <c r="N3501" s="514"/>
      <c r="R3501" s="293"/>
      <c r="S3501" s="316"/>
      <c r="T3501" s="355"/>
    </row>
    <row r="3502" spans="14:20" x14ac:dyDescent="0.25">
      <c r="N3502" s="514"/>
      <c r="R3502" s="293"/>
      <c r="S3502" s="316"/>
      <c r="T3502" s="355"/>
    </row>
    <row r="3503" spans="14:20" x14ac:dyDescent="0.25">
      <c r="N3503" s="514"/>
      <c r="R3503" s="293"/>
      <c r="S3503" s="316"/>
      <c r="T3503" s="355"/>
    </row>
    <row r="3504" spans="14:20" x14ac:dyDescent="0.25">
      <c r="N3504" s="514"/>
      <c r="R3504" s="293"/>
      <c r="S3504" s="316"/>
      <c r="T3504" s="355"/>
    </row>
    <row r="3505" spans="14:20" x14ac:dyDescent="0.25">
      <c r="N3505" s="514"/>
      <c r="R3505" s="293"/>
      <c r="S3505" s="316"/>
      <c r="T3505" s="355"/>
    </row>
    <row r="3506" spans="14:20" x14ac:dyDescent="0.25">
      <c r="N3506" s="514"/>
      <c r="R3506" s="293"/>
      <c r="S3506" s="316"/>
      <c r="T3506" s="355"/>
    </row>
    <row r="3507" spans="14:20" x14ac:dyDescent="0.25">
      <c r="N3507" s="514"/>
      <c r="R3507" s="293"/>
      <c r="S3507" s="316"/>
      <c r="T3507" s="355"/>
    </row>
    <row r="3508" spans="14:20" x14ac:dyDescent="0.25">
      <c r="N3508" s="514"/>
      <c r="R3508" s="293"/>
      <c r="S3508" s="316"/>
      <c r="T3508" s="355"/>
    </row>
    <row r="3509" spans="14:20" x14ac:dyDescent="0.25">
      <c r="N3509" s="514"/>
      <c r="R3509" s="293"/>
      <c r="S3509" s="316"/>
      <c r="T3509" s="355"/>
    </row>
    <row r="3510" spans="14:20" x14ac:dyDescent="0.25">
      <c r="N3510" s="514"/>
      <c r="R3510" s="293"/>
      <c r="S3510" s="316"/>
      <c r="T3510" s="355"/>
    </row>
    <row r="3511" spans="14:20" x14ac:dyDescent="0.25">
      <c r="N3511" s="514"/>
      <c r="R3511" s="293"/>
      <c r="S3511" s="316"/>
      <c r="T3511" s="355"/>
    </row>
    <row r="3512" spans="14:20" x14ac:dyDescent="0.25">
      <c r="N3512" s="514"/>
      <c r="R3512" s="293"/>
      <c r="S3512" s="316"/>
      <c r="T3512" s="355"/>
    </row>
    <row r="3513" spans="14:20" x14ac:dyDescent="0.25">
      <c r="N3513" s="514"/>
      <c r="R3513" s="293"/>
      <c r="S3513" s="316"/>
      <c r="T3513" s="355"/>
    </row>
    <row r="3514" spans="14:20" x14ac:dyDescent="0.25">
      <c r="N3514" s="514"/>
      <c r="R3514" s="293"/>
      <c r="S3514" s="316"/>
      <c r="T3514" s="355"/>
    </row>
    <row r="3515" spans="14:20" x14ac:dyDescent="0.25">
      <c r="N3515" s="514"/>
      <c r="R3515" s="293"/>
      <c r="S3515" s="316"/>
      <c r="T3515" s="355"/>
    </row>
    <row r="3516" spans="14:20" x14ac:dyDescent="0.25">
      <c r="N3516" s="514"/>
      <c r="R3516" s="293"/>
      <c r="S3516" s="316"/>
      <c r="T3516" s="355"/>
    </row>
    <row r="3517" spans="14:20" x14ac:dyDescent="0.25">
      <c r="N3517" s="514"/>
      <c r="R3517" s="293"/>
      <c r="S3517" s="316"/>
      <c r="T3517" s="355"/>
    </row>
    <row r="3518" spans="14:20" x14ac:dyDescent="0.25">
      <c r="N3518" s="514"/>
      <c r="R3518" s="293"/>
      <c r="S3518" s="316"/>
      <c r="T3518" s="355"/>
    </row>
    <row r="3519" spans="14:20" x14ac:dyDescent="0.25">
      <c r="N3519" s="514"/>
      <c r="R3519" s="293"/>
      <c r="S3519" s="316"/>
      <c r="T3519" s="355"/>
    </row>
    <row r="3520" spans="14:20" x14ac:dyDescent="0.25">
      <c r="N3520" s="514"/>
      <c r="R3520" s="293"/>
      <c r="S3520" s="316"/>
      <c r="T3520" s="355"/>
    </row>
    <row r="3521" spans="14:20" x14ac:dyDescent="0.25">
      <c r="N3521" s="514"/>
      <c r="R3521" s="293"/>
      <c r="S3521" s="316"/>
      <c r="T3521" s="355"/>
    </row>
    <row r="3522" spans="14:20" x14ac:dyDescent="0.25">
      <c r="N3522" s="514"/>
      <c r="R3522" s="293"/>
      <c r="S3522" s="316"/>
      <c r="T3522" s="355"/>
    </row>
    <row r="3523" spans="14:20" x14ac:dyDescent="0.25">
      <c r="N3523" s="514"/>
      <c r="R3523" s="293"/>
      <c r="S3523" s="316"/>
      <c r="T3523" s="355"/>
    </row>
    <row r="3524" spans="14:20" x14ac:dyDescent="0.25">
      <c r="N3524" s="514"/>
      <c r="R3524" s="293"/>
      <c r="S3524" s="316"/>
      <c r="T3524" s="355"/>
    </row>
    <row r="3525" spans="14:20" x14ac:dyDescent="0.25">
      <c r="N3525" s="514"/>
      <c r="R3525" s="293"/>
      <c r="S3525" s="316"/>
      <c r="T3525" s="355"/>
    </row>
    <row r="3526" spans="14:20" x14ac:dyDescent="0.25">
      <c r="N3526" s="514"/>
      <c r="R3526" s="293"/>
      <c r="S3526" s="316"/>
      <c r="T3526" s="355"/>
    </row>
    <row r="3527" spans="14:20" x14ac:dyDescent="0.25">
      <c r="N3527" s="514"/>
      <c r="R3527" s="293"/>
      <c r="S3527" s="316"/>
      <c r="T3527" s="355"/>
    </row>
    <row r="3528" spans="14:20" x14ac:dyDescent="0.25">
      <c r="N3528" s="514"/>
      <c r="R3528" s="293"/>
      <c r="S3528" s="316"/>
      <c r="T3528" s="355"/>
    </row>
    <row r="3529" spans="14:20" x14ac:dyDescent="0.25">
      <c r="N3529" s="514"/>
      <c r="R3529" s="293"/>
      <c r="S3529" s="316"/>
      <c r="T3529" s="355"/>
    </row>
    <row r="3530" spans="14:20" x14ac:dyDescent="0.25">
      <c r="N3530" s="514"/>
      <c r="R3530" s="293"/>
      <c r="S3530" s="316"/>
      <c r="T3530" s="355"/>
    </row>
    <row r="3531" spans="14:20" x14ac:dyDescent="0.25">
      <c r="N3531" s="514"/>
      <c r="R3531" s="293"/>
      <c r="S3531" s="316"/>
      <c r="T3531" s="355"/>
    </row>
    <row r="3532" spans="14:20" x14ac:dyDescent="0.25">
      <c r="N3532" s="514"/>
      <c r="R3532" s="293"/>
      <c r="S3532" s="316"/>
      <c r="T3532" s="355"/>
    </row>
    <row r="3533" spans="14:20" x14ac:dyDescent="0.25">
      <c r="N3533" s="514"/>
      <c r="R3533" s="293"/>
      <c r="S3533" s="316"/>
      <c r="T3533" s="355"/>
    </row>
    <row r="3534" spans="14:20" x14ac:dyDescent="0.25">
      <c r="N3534" s="514"/>
      <c r="R3534" s="293"/>
      <c r="S3534" s="316"/>
      <c r="T3534" s="355"/>
    </row>
    <row r="3535" spans="14:20" x14ac:dyDescent="0.25">
      <c r="N3535" s="514"/>
      <c r="R3535" s="293"/>
      <c r="S3535" s="316"/>
      <c r="T3535" s="355"/>
    </row>
    <row r="3536" spans="14:20" x14ac:dyDescent="0.25">
      <c r="N3536" s="514"/>
      <c r="R3536" s="293"/>
      <c r="S3536" s="316"/>
      <c r="T3536" s="355"/>
    </row>
    <row r="3537" spans="14:20" x14ac:dyDescent="0.25">
      <c r="N3537" s="514"/>
      <c r="R3537" s="293"/>
      <c r="S3537" s="316"/>
      <c r="T3537" s="355"/>
    </row>
    <row r="3538" spans="14:20" x14ac:dyDescent="0.25">
      <c r="N3538" s="514"/>
      <c r="R3538" s="293"/>
      <c r="S3538" s="316"/>
      <c r="T3538" s="355"/>
    </row>
    <row r="3539" spans="14:20" x14ac:dyDescent="0.25">
      <c r="N3539" s="514"/>
      <c r="R3539" s="293"/>
      <c r="S3539" s="316"/>
      <c r="T3539" s="355"/>
    </row>
    <row r="3540" spans="14:20" x14ac:dyDescent="0.25">
      <c r="N3540" s="514"/>
      <c r="R3540" s="293"/>
      <c r="S3540" s="316"/>
      <c r="T3540" s="355"/>
    </row>
    <row r="3541" spans="14:20" x14ac:dyDescent="0.25">
      <c r="N3541" s="514"/>
      <c r="R3541" s="293"/>
      <c r="S3541" s="316"/>
      <c r="T3541" s="355"/>
    </row>
    <row r="3542" spans="14:20" x14ac:dyDescent="0.25">
      <c r="N3542" s="514"/>
      <c r="R3542" s="293"/>
      <c r="S3542" s="316"/>
      <c r="T3542" s="355"/>
    </row>
    <row r="3543" spans="14:20" x14ac:dyDescent="0.25">
      <c r="N3543" s="514"/>
      <c r="R3543" s="293"/>
      <c r="S3543" s="316"/>
      <c r="T3543" s="355"/>
    </row>
    <row r="3544" spans="14:20" x14ac:dyDescent="0.25">
      <c r="N3544" s="514"/>
      <c r="R3544" s="293"/>
      <c r="S3544" s="316"/>
      <c r="T3544" s="355"/>
    </row>
    <row r="3545" spans="14:20" x14ac:dyDescent="0.25">
      <c r="N3545" s="514"/>
      <c r="R3545" s="293"/>
      <c r="S3545" s="316"/>
      <c r="T3545" s="355"/>
    </row>
    <row r="3546" spans="14:20" x14ac:dyDescent="0.25">
      <c r="N3546" s="514"/>
      <c r="R3546" s="293"/>
      <c r="S3546" s="316"/>
      <c r="T3546" s="355"/>
    </row>
    <row r="3547" spans="14:20" x14ac:dyDescent="0.25">
      <c r="N3547" s="514"/>
      <c r="R3547" s="293"/>
      <c r="S3547" s="316"/>
      <c r="T3547" s="355"/>
    </row>
    <row r="3548" spans="14:20" x14ac:dyDescent="0.25">
      <c r="N3548" s="514"/>
      <c r="R3548" s="293"/>
      <c r="S3548" s="316"/>
      <c r="T3548" s="355"/>
    </row>
    <row r="3549" spans="14:20" x14ac:dyDescent="0.25">
      <c r="N3549" s="514"/>
      <c r="R3549" s="293"/>
      <c r="S3549" s="316"/>
      <c r="T3549" s="355"/>
    </row>
    <row r="3550" spans="14:20" x14ac:dyDescent="0.25">
      <c r="N3550" s="514"/>
      <c r="R3550" s="293"/>
      <c r="S3550" s="316"/>
      <c r="T3550" s="355"/>
    </row>
    <row r="3551" spans="14:20" x14ac:dyDescent="0.25">
      <c r="N3551" s="514"/>
      <c r="R3551" s="293"/>
      <c r="S3551" s="316"/>
      <c r="T3551" s="355"/>
    </row>
    <row r="3552" spans="14:20" x14ac:dyDescent="0.25">
      <c r="N3552" s="514"/>
      <c r="R3552" s="293"/>
      <c r="S3552" s="316"/>
      <c r="T3552" s="355"/>
    </row>
    <row r="3553" spans="14:20" x14ac:dyDescent="0.25">
      <c r="N3553" s="514"/>
      <c r="R3553" s="293"/>
      <c r="S3553" s="316"/>
      <c r="T3553" s="355"/>
    </row>
    <row r="3554" spans="14:20" x14ac:dyDescent="0.25">
      <c r="N3554" s="514"/>
      <c r="R3554" s="293"/>
      <c r="S3554" s="316"/>
      <c r="T3554" s="355"/>
    </row>
    <row r="3555" spans="14:20" x14ac:dyDescent="0.25">
      <c r="N3555" s="514"/>
      <c r="R3555" s="293"/>
      <c r="S3555" s="316"/>
      <c r="T3555" s="355"/>
    </row>
    <row r="3556" spans="14:20" x14ac:dyDescent="0.25">
      <c r="N3556" s="514"/>
      <c r="R3556" s="293"/>
      <c r="S3556" s="316"/>
      <c r="T3556" s="355"/>
    </row>
    <row r="3557" spans="14:20" x14ac:dyDescent="0.25">
      <c r="N3557" s="514"/>
      <c r="R3557" s="293"/>
      <c r="S3557" s="316"/>
      <c r="T3557" s="355"/>
    </row>
    <row r="3558" spans="14:20" x14ac:dyDescent="0.25">
      <c r="N3558" s="514"/>
      <c r="R3558" s="293"/>
      <c r="S3558" s="316"/>
      <c r="T3558" s="355"/>
    </row>
    <row r="3559" spans="14:20" x14ac:dyDescent="0.25">
      <c r="N3559" s="514"/>
      <c r="R3559" s="293"/>
      <c r="S3559" s="316"/>
      <c r="T3559" s="355"/>
    </row>
    <row r="3560" spans="14:20" x14ac:dyDescent="0.25">
      <c r="N3560" s="514"/>
      <c r="R3560" s="293"/>
      <c r="S3560" s="316"/>
      <c r="T3560" s="355"/>
    </row>
    <row r="3561" spans="14:20" x14ac:dyDescent="0.25">
      <c r="N3561" s="514"/>
      <c r="R3561" s="293"/>
      <c r="S3561" s="316"/>
      <c r="T3561" s="355"/>
    </row>
    <row r="3562" spans="14:20" x14ac:dyDescent="0.25">
      <c r="N3562" s="514"/>
      <c r="R3562" s="293"/>
      <c r="S3562" s="316"/>
      <c r="T3562" s="355"/>
    </row>
    <row r="3563" spans="14:20" x14ac:dyDescent="0.25">
      <c r="N3563" s="514"/>
      <c r="R3563" s="293"/>
      <c r="S3563" s="316"/>
      <c r="T3563" s="355"/>
    </row>
    <row r="3564" spans="14:20" x14ac:dyDescent="0.25">
      <c r="N3564" s="514"/>
      <c r="R3564" s="293"/>
      <c r="S3564" s="316"/>
      <c r="T3564" s="355"/>
    </row>
    <row r="3565" spans="14:20" x14ac:dyDescent="0.25">
      <c r="N3565" s="514"/>
      <c r="R3565" s="293"/>
      <c r="S3565" s="316"/>
      <c r="T3565" s="355"/>
    </row>
    <row r="3566" spans="14:20" x14ac:dyDescent="0.25">
      <c r="N3566" s="514"/>
      <c r="R3566" s="293"/>
      <c r="S3566" s="316"/>
      <c r="T3566" s="355"/>
    </row>
    <row r="3567" spans="14:20" x14ac:dyDescent="0.25">
      <c r="N3567" s="514"/>
      <c r="R3567" s="293"/>
      <c r="S3567" s="316"/>
      <c r="T3567" s="355"/>
    </row>
    <row r="3568" spans="14:20" x14ac:dyDescent="0.25">
      <c r="N3568" s="514"/>
      <c r="R3568" s="293"/>
      <c r="S3568" s="316"/>
      <c r="T3568" s="355"/>
    </row>
    <row r="3569" spans="14:20" x14ac:dyDescent="0.25">
      <c r="N3569" s="514"/>
      <c r="R3569" s="293"/>
      <c r="S3569" s="316"/>
      <c r="T3569" s="355"/>
    </row>
    <row r="3570" spans="14:20" x14ac:dyDescent="0.25">
      <c r="N3570" s="514"/>
      <c r="R3570" s="293"/>
      <c r="S3570" s="316"/>
      <c r="T3570" s="355"/>
    </row>
    <row r="3571" spans="14:20" x14ac:dyDescent="0.25">
      <c r="N3571" s="514"/>
      <c r="R3571" s="293"/>
      <c r="S3571" s="316"/>
      <c r="T3571" s="355"/>
    </row>
    <row r="3572" spans="14:20" x14ac:dyDescent="0.25">
      <c r="N3572" s="514"/>
      <c r="R3572" s="293"/>
      <c r="S3572" s="316"/>
      <c r="T3572" s="355"/>
    </row>
    <row r="3573" spans="14:20" x14ac:dyDescent="0.25">
      <c r="N3573" s="514"/>
      <c r="R3573" s="293"/>
      <c r="S3573" s="316"/>
      <c r="T3573" s="355"/>
    </row>
    <row r="3574" spans="14:20" x14ac:dyDescent="0.25">
      <c r="N3574" s="514"/>
      <c r="R3574" s="293"/>
      <c r="S3574" s="316"/>
      <c r="T3574" s="355"/>
    </row>
    <row r="3575" spans="14:20" x14ac:dyDescent="0.25">
      <c r="N3575" s="514"/>
      <c r="R3575" s="293"/>
      <c r="S3575" s="316"/>
      <c r="T3575" s="355"/>
    </row>
    <row r="3576" spans="14:20" x14ac:dyDescent="0.25">
      <c r="N3576" s="514"/>
      <c r="R3576" s="293"/>
      <c r="S3576" s="316"/>
      <c r="T3576" s="355"/>
    </row>
    <row r="3577" spans="14:20" x14ac:dyDescent="0.25">
      <c r="N3577" s="514"/>
      <c r="R3577" s="293"/>
      <c r="S3577" s="316"/>
      <c r="T3577" s="355"/>
    </row>
    <row r="3578" spans="14:20" x14ac:dyDescent="0.25">
      <c r="N3578" s="514"/>
      <c r="R3578" s="293"/>
      <c r="S3578" s="316"/>
      <c r="T3578" s="355"/>
    </row>
    <row r="3579" spans="14:20" x14ac:dyDescent="0.25">
      <c r="N3579" s="514"/>
      <c r="R3579" s="293"/>
      <c r="S3579" s="316"/>
      <c r="T3579" s="355"/>
    </row>
    <row r="3580" spans="14:20" x14ac:dyDescent="0.25">
      <c r="N3580" s="514"/>
      <c r="R3580" s="293"/>
      <c r="S3580" s="316"/>
      <c r="T3580" s="355"/>
    </row>
    <row r="3581" spans="14:20" x14ac:dyDescent="0.25">
      <c r="N3581" s="514"/>
      <c r="R3581" s="293"/>
      <c r="S3581" s="316"/>
      <c r="T3581" s="355"/>
    </row>
    <row r="3582" spans="14:20" x14ac:dyDescent="0.25">
      <c r="N3582" s="514"/>
      <c r="R3582" s="293"/>
      <c r="S3582" s="316"/>
      <c r="T3582" s="355"/>
    </row>
    <row r="3583" spans="14:20" x14ac:dyDescent="0.25">
      <c r="N3583" s="514"/>
      <c r="R3583" s="293"/>
      <c r="S3583" s="316"/>
      <c r="T3583" s="355"/>
    </row>
    <row r="3584" spans="14:20" x14ac:dyDescent="0.25">
      <c r="N3584" s="514"/>
      <c r="R3584" s="293"/>
      <c r="S3584" s="316"/>
      <c r="T3584" s="355"/>
    </row>
    <row r="3585" spans="14:20" x14ac:dyDescent="0.25">
      <c r="N3585" s="514"/>
      <c r="R3585" s="293"/>
      <c r="S3585" s="316"/>
      <c r="T3585" s="355"/>
    </row>
    <row r="3586" spans="14:20" x14ac:dyDescent="0.25">
      <c r="N3586" s="514"/>
      <c r="R3586" s="293"/>
      <c r="S3586" s="316"/>
      <c r="T3586" s="355"/>
    </row>
    <row r="3587" spans="14:20" x14ac:dyDescent="0.25">
      <c r="N3587" s="514"/>
      <c r="R3587" s="293"/>
      <c r="S3587" s="316"/>
      <c r="T3587" s="355"/>
    </row>
    <row r="3588" spans="14:20" x14ac:dyDescent="0.25">
      <c r="N3588" s="514"/>
      <c r="R3588" s="293"/>
      <c r="S3588" s="316"/>
      <c r="T3588" s="355"/>
    </row>
    <row r="3589" spans="14:20" x14ac:dyDescent="0.25">
      <c r="N3589" s="514"/>
      <c r="R3589" s="293"/>
      <c r="S3589" s="316"/>
      <c r="T3589" s="355"/>
    </row>
    <row r="3590" spans="14:20" x14ac:dyDescent="0.25">
      <c r="N3590" s="514"/>
      <c r="R3590" s="293"/>
      <c r="S3590" s="316"/>
      <c r="T3590" s="355"/>
    </row>
    <row r="3591" spans="14:20" x14ac:dyDescent="0.25">
      <c r="N3591" s="514"/>
      <c r="R3591" s="293"/>
      <c r="S3591" s="316"/>
      <c r="T3591" s="355"/>
    </row>
    <row r="3592" spans="14:20" x14ac:dyDescent="0.25">
      <c r="N3592" s="514"/>
      <c r="R3592" s="293"/>
      <c r="S3592" s="316"/>
      <c r="T3592" s="355"/>
    </row>
    <row r="3593" spans="14:20" x14ac:dyDescent="0.25">
      <c r="N3593" s="514"/>
      <c r="R3593" s="293"/>
      <c r="S3593" s="316"/>
      <c r="T3593" s="355"/>
    </row>
    <row r="3594" spans="14:20" x14ac:dyDescent="0.25">
      <c r="N3594" s="514"/>
      <c r="R3594" s="293"/>
      <c r="S3594" s="316"/>
      <c r="T3594" s="355"/>
    </row>
    <row r="3595" spans="14:20" x14ac:dyDescent="0.25">
      <c r="N3595" s="514"/>
      <c r="R3595" s="293"/>
      <c r="S3595" s="316"/>
      <c r="T3595" s="355"/>
    </row>
    <row r="3596" spans="14:20" x14ac:dyDescent="0.25">
      <c r="N3596" s="514"/>
      <c r="R3596" s="293"/>
      <c r="S3596" s="316"/>
      <c r="T3596" s="355"/>
    </row>
    <row r="3597" spans="14:20" x14ac:dyDescent="0.25">
      <c r="N3597" s="514"/>
      <c r="R3597" s="293"/>
      <c r="S3597" s="316"/>
      <c r="T3597" s="355"/>
    </row>
    <row r="3598" spans="14:20" x14ac:dyDescent="0.25">
      <c r="N3598" s="514"/>
      <c r="R3598" s="293"/>
      <c r="S3598" s="316"/>
      <c r="T3598" s="355"/>
    </row>
    <row r="3599" spans="14:20" x14ac:dyDescent="0.25">
      <c r="N3599" s="514"/>
      <c r="R3599" s="293"/>
      <c r="S3599" s="316"/>
      <c r="T3599" s="355"/>
    </row>
    <row r="3600" spans="14:20" x14ac:dyDescent="0.25">
      <c r="N3600" s="514"/>
      <c r="R3600" s="293"/>
      <c r="S3600" s="316"/>
      <c r="T3600" s="355"/>
    </row>
    <row r="3601" spans="14:20" x14ac:dyDescent="0.25">
      <c r="N3601" s="514"/>
      <c r="R3601" s="293"/>
      <c r="S3601" s="316"/>
      <c r="T3601" s="355"/>
    </row>
    <row r="3602" spans="14:20" x14ac:dyDescent="0.25">
      <c r="N3602" s="514"/>
      <c r="R3602" s="293"/>
      <c r="S3602" s="316"/>
      <c r="T3602" s="355"/>
    </row>
    <row r="3603" spans="14:20" x14ac:dyDescent="0.25">
      <c r="N3603" s="514"/>
      <c r="R3603" s="293"/>
      <c r="S3603" s="316"/>
      <c r="T3603" s="355"/>
    </row>
    <row r="3604" spans="14:20" x14ac:dyDescent="0.25">
      <c r="N3604" s="514"/>
      <c r="R3604" s="293"/>
      <c r="S3604" s="316"/>
      <c r="T3604" s="355"/>
    </row>
    <row r="3605" spans="14:20" x14ac:dyDescent="0.25">
      <c r="N3605" s="514"/>
      <c r="R3605" s="293"/>
      <c r="S3605" s="316"/>
      <c r="T3605" s="355"/>
    </row>
    <row r="3606" spans="14:20" x14ac:dyDescent="0.25">
      <c r="N3606" s="514"/>
      <c r="R3606" s="293"/>
      <c r="S3606" s="316"/>
      <c r="T3606" s="355"/>
    </row>
    <row r="3607" spans="14:20" x14ac:dyDescent="0.25">
      <c r="N3607" s="514"/>
      <c r="R3607" s="293"/>
      <c r="S3607" s="316"/>
      <c r="T3607" s="355"/>
    </row>
    <row r="3608" spans="14:20" x14ac:dyDescent="0.25">
      <c r="N3608" s="514"/>
      <c r="R3608" s="293"/>
      <c r="S3608" s="316"/>
      <c r="T3608" s="355"/>
    </row>
    <row r="3609" spans="14:20" x14ac:dyDescent="0.25">
      <c r="N3609" s="514"/>
      <c r="R3609" s="293"/>
      <c r="S3609" s="316"/>
      <c r="T3609" s="355"/>
    </row>
    <row r="3610" spans="14:20" x14ac:dyDescent="0.25">
      <c r="N3610" s="514"/>
      <c r="R3610" s="293"/>
      <c r="S3610" s="316"/>
      <c r="T3610" s="355"/>
    </row>
    <row r="3611" spans="14:20" x14ac:dyDescent="0.25">
      <c r="N3611" s="514"/>
      <c r="R3611" s="293"/>
      <c r="S3611" s="316"/>
      <c r="T3611" s="355"/>
    </row>
    <row r="3612" spans="14:20" x14ac:dyDescent="0.25">
      <c r="N3612" s="514"/>
      <c r="R3612" s="293"/>
      <c r="S3612" s="316"/>
      <c r="T3612" s="355"/>
    </row>
    <row r="3613" spans="14:20" x14ac:dyDescent="0.25">
      <c r="N3613" s="514"/>
      <c r="R3613" s="293"/>
      <c r="S3613" s="316"/>
      <c r="T3613" s="355"/>
    </row>
    <row r="3614" spans="14:20" x14ac:dyDescent="0.25">
      <c r="N3614" s="514"/>
      <c r="R3614" s="293"/>
      <c r="S3614" s="316"/>
      <c r="T3614" s="355"/>
    </row>
    <row r="3615" spans="14:20" x14ac:dyDescent="0.25">
      <c r="N3615" s="514"/>
      <c r="R3615" s="293"/>
      <c r="S3615" s="316"/>
      <c r="T3615" s="355"/>
    </row>
    <row r="3616" spans="14:20" x14ac:dyDescent="0.25">
      <c r="N3616" s="514"/>
      <c r="R3616" s="293"/>
      <c r="S3616" s="316"/>
      <c r="T3616" s="355"/>
    </row>
    <row r="3617" spans="14:20" x14ac:dyDescent="0.25">
      <c r="N3617" s="514"/>
      <c r="R3617" s="293"/>
      <c r="S3617" s="316"/>
      <c r="T3617" s="355"/>
    </row>
    <row r="3618" spans="14:20" x14ac:dyDescent="0.25">
      <c r="N3618" s="514"/>
      <c r="R3618" s="293"/>
      <c r="S3618" s="316"/>
      <c r="T3618" s="355"/>
    </row>
    <row r="3619" spans="14:20" x14ac:dyDescent="0.25">
      <c r="N3619" s="514"/>
      <c r="R3619" s="293"/>
      <c r="S3619" s="316"/>
      <c r="T3619" s="355"/>
    </row>
    <row r="3620" spans="14:20" x14ac:dyDescent="0.25">
      <c r="N3620" s="514"/>
      <c r="R3620" s="293"/>
      <c r="S3620" s="316"/>
      <c r="T3620" s="355"/>
    </row>
    <row r="3621" spans="14:20" x14ac:dyDescent="0.25">
      <c r="N3621" s="514"/>
      <c r="R3621" s="293"/>
      <c r="S3621" s="316"/>
      <c r="T3621" s="355"/>
    </row>
    <row r="3622" spans="14:20" x14ac:dyDescent="0.25">
      <c r="N3622" s="514"/>
      <c r="R3622" s="293"/>
      <c r="S3622" s="316"/>
      <c r="T3622" s="355"/>
    </row>
    <row r="3623" spans="14:20" x14ac:dyDescent="0.25">
      <c r="N3623" s="514"/>
      <c r="R3623" s="293"/>
      <c r="S3623" s="316"/>
      <c r="T3623" s="355"/>
    </row>
    <row r="3624" spans="14:20" x14ac:dyDescent="0.25">
      <c r="N3624" s="514"/>
      <c r="R3624" s="293"/>
      <c r="S3624" s="316"/>
      <c r="T3624" s="355"/>
    </row>
    <row r="3625" spans="14:20" x14ac:dyDescent="0.25">
      <c r="N3625" s="514"/>
      <c r="R3625" s="293"/>
      <c r="S3625" s="316"/>
      <c r="T3625" s="355"/>
    </row>
    <row r="3626" spans="14:20" x14ac:dyDescent="0.25">
      <c r="N3626" s="514"/>
      <c r="R3626" s="293"/>
      <c r="S3626" s="316"/>
      <c r="T3626" s="355"/>
    </row>
    <row r="3627" spans="14:20" x14ac:dyDescent="0.25">
      <c r="N3627" s="514"/>
      <c r="R3627" s="293"/>
      <c r="S3627" s="316"/>
      <c r="T3627" s="355"/>
    </row>
    <row r="3628" spans="14:20" x14ac:dyDescent="0.25">
      <c r="N3628" s="514"/>
      <c r="R3628" s="293"/>
      <c r="S3628" s="316"/>
      <c r="T3628" s="355"/>
    </row>
    <row r="3629" spans="14:20" x14ac:dyDescent="0.25">
      <c r="N3629" s="514"/>
      <c r="R3629" s="293"/>
      <c r="S3629" s="316"/>
      <c r="T3629" s="355"/>
    </row>
    <row r="3630" spans="14:20" x14ac:dyDescent="0.25">
      <c r="N3630" s="514"/>
      <c r="R3630" s="293"/>
      <c r="S3630" s="316"/>
      <c r="T3630" s="355"/>
    </row>
    <row r="3631" spans="14:20" x14ac:dyDescent="0.25">
      <c r="N3631" s="514"/>
      <c r="R3631" s="293"/>
      <c r="S3631" s="316"/>
      <c r="T3631" s="355"/>
    </row>
    <row r="3632" spans="14:20" x14ac:dyDescent="0.25">
      <c r="N3632" s="514"/>
      <c r="R3632" s="293"/>
      <c r="S3632" s="316"/>
      <c r="T3632" s="355"/>
    </row>
    <row r="3633" spans="14:20" x14ac:dyDescent="0.25">
      <c r="N3633" s="514"/>
      <c r="R3633" s="293"/>
      <c r="S3633" s="316"/>
      <c r="T3633" s="355"/>
    </row>
    <row r="3634" spans="14:20" x14ac:dyDescent="0.25">
      <c r="N3634" s="514"/>
      <c r="R3634" s="293"/>
      <c r="S3634" s="316"/>
      <c r="T3634" s="355"/>
    </row>
    <row r="3635" spans="14:20" x14ac:dyDescent="0.25">
      <c r="N3635" s="514"/>
      <c r="R3635" s="293"/>
      <c r="S3635" s="316"/>
      <c r="T3635" s="355"/>
    </row>
    <row r="3636" spans="14:20" x14ac:dyDescent="0.25">
      <c r="N3636" s="514"/>
      <c r="R3636" s="293"/>
      <c r="S3636" s="316"/>
      <c r="T3636" s="355"/>
    </row>
    <row r="3637" spans="14:20" x14ac:dyDescent="0.25">
      <c r="N3637" s="514"/>
      <c r="R3637" s="293"/>
      <c r="S3637" s="316"/>
      <c r="T3637" s="355"/>
    </row>
    <row r="3638" spans="14:20" x14ac:dyDescent="0.25">
      <c r="N3638" s="514"/>
      <c r="R3638" s="293"/>
      <c r="S3638" s="316"/>
      <c r="T3638" s="355"/>
    </row>
    <row r="3639" spans="14:20" x14ac:dyDescent="0.25">
      <c r="N3639" s="514"/>
      <c r="R3639" s="293"/>
      <c r="S3639" s="316"/>
      <c r="T3639" s="355"/>
    </row>
    <row r="3640" spans="14:20" x14ac:dyDescent="0.25">
      <c r="N3640" s="514"/>
      <c r="R3640" s="293"/>
      <c r="S3640" s="316"/>
      <c r="T3640" s="355"/>
    </row>
    <row r="3641" spans="14:20" x14ac:dyDescent="0.25">
      <c r="N3641" s="514"/>
      <c r="R3641" s="293"/>
      <c r="S3641" s="316"/>
      <c r="T3641" s="355"/>
    </row>
    <row r="3642" spans="14:20" x14ac:dyDescent="0.25">
      <c r="N3642" s="514"/>
      <c r="R3642" s="293"/>
      <c r="S3642" s="316"/>
      <c r="T3642" s="355"/>
    </row>
    <row r="3643" spans="14:20" x14ac:dyDescent="0.25">
      <c r="N3643" s="514"/>
      <c r="R3643" s="293"/>
      <c r="S3643" s="316"/>
      <c r="T3643" s="355"/>
    </row>
    <row r="3644" spans="14:20" x14ac:dyDescent="0.25">
      <c r="N3644" s="514"/>
      <c r="R3644" s="293"/>
      <c r="S3644" s="316"/>
      <c r="T3644" s="355"/>
    </row>
    <row r="3645" spans="14:20" x14ac:dyDescent="0.25">
      <c r="N3645" s="514"/>
      <c r="R3645" s="293"/>
      <c r="S3645" s="316"/>
      <c r="T3645" s="355"/>
    </row>
    <row r="3646" spans="14:20" x14ac:dyDescent="0.25">
      <c r="N3646" s="514"/>
      <c r="R3646" s="293"/>
      <c r="S3646" s="316"/>
      <c r="T3646" s="355"/>
    </row>
    <row r="3647" spans="14:20" x14ac:dyDescent="0.25">
      <c r="N3647" s="514"/>
      <c r="R3647" s="293"/>
      <c r="S3647" s="316"/>
      <c r="T3647" s="355"/>
    </row>
    <row r="3648" spans="14:20" x14ac:dyDescent="0.25">
      <c r="N3648" s="514"/>
      <c r="R3648" s="293"/>
      <c r="S3648" s="316"/>
      <c r="T3648" s="355"/>
    </row>
    <row r="3649" spans="14:20" x14ac:dyDescent="0.25">
      <c r="N3649" s="514"/>
      <c r="R3649" s="293"/>
      <c r="S3649" s="316"/>
      <c r="T3649" s="355"/>
    </row>
    <row r="3650" spans="14:20" x14ac:dyDescent="0.25">
      <c r="N3650" s="514"/>
      <c r="R3650" s="293"/>
      <c r="S3650" s="316"/>
      <c r="T3650" s="355"/>
    </row>
    <row r="3651" spans="14:20" x14ac:dyDescent="0.25">
      <c r="N3651" s="514"/>
      <c r="R3651" s="293"/>
      <c r="S3651" s="316"/>
      <c r="T3651" s="355"/>
    </row>
    <row r="3652" spans="14:20" x14ac:dyDescent="0.25">
      <c r="N3652" s="514"/>
      <c r="R3652" s="293"/>
      <c r="S3652" s="316"/>
      <c r="T3652" s="355"/>
    </row>
    <row r="3653" spans="14:20" x14ac:dyDescent="0.25">
      <c r="N3653" s="514"/>
      <c r="R3653" s="293"/>
      <c r="S3653" s="316"/>
      <c r="T3653" s="355"/>
    </row>
    <row r="3654" spans="14:20" x14ac:dyDescent="0.25">
      <c r="N3654" s="514"/>
      <c r="R3654" s="293"/>
      <c r="S3654" s="316"/>
      <c r="T3654" s="355"/>
    </row>
    <row r="3655" spans="14:20" x14ac:dyDescent="0.25">
      <c r="N3655" s="514"/>
      <c r="R3655" s="293"/>
      <c r="S3655" s="316"/>
      <c r="T3655" s="355"/>
    </row>
    <row r="3656" spans="14:20" x14ac:dyDescent="0.25">
      <c r="N3656" s="514"/>
      <c r="R3656" s="293"/>
      <c r="S3656" s="316"/>
      <c r="T3656" s="355"/>
    </row>
    <row r="3657" spans="14:20" x14ac:dyDescent="0.25">
      <c r="N3657" s="514"/>
      <c r="R3657" s="293"/>
      <c r="S3657" s="316"/>
      <c r="T3657" s="355"/>
    </row>
    <row r="3658" spans="14:20" x14ac:dyDescent="0.25">
      <c r="N3658" s="514"/>
      <c r="R3658" s="293"/>
      <c r="S3658" s="316"/>
      <c r="T3658" s="355"/>
    </row>
    <row r="3659" spans="14:20" x14ac:dyDescent="0.25">
      <c r="N3659" s="514"/>
      <c r="R3659" s="293"/>
      <c r="S3659" s="316"/>
      <c r="T3659" s="355"/>
    </row>
    <row r="3660" spans="14:20" x14ac:dyDescent="0.25">
      <c r="N3660" s="514"/>
      <c r="R3660" s="293"/>
      <c r="S3660" s="316"/>
      <c r="T3660" s="355"/>
    </row>
    <row r="3661" spans="14:20" x14ac:dyDescent="0.25">
      <c r="N3661" s="514"/>
      <c r="R3661" s="293"/>
      <c r="S3661" s="316"/>
      <c r="T3661" s="355"/>
    </row>
    <row r="3662" spans="14:20" x14ac:dyDescent="0.25">
      <c r="N3662" s="514"/>
      <c r="R3662" s="293"/>
      <c r="S3662" s="316"/>
      <c r="T3662" s="355"/>
    </row>
    <row r="3663" spans="14:20" x14ac:dyDescent="0.25">
      <c r="N3663" s="514"/>
      <c r="R3663" s="293"/>
      <c r="S3663" s="316"/>
      <c r="T3663" s="355"/>
    </row>
    <row r="3664" spans="14:20" x14ac:dyDescent="0.25">
      <c r="N3664" s="514"/>
      <c r="R3664" s="293"/>
      <c r="S3664" s="316"/>
      <c r="T3664" s="355"/>
    </row>
    <row r="3665" spans="14:20" x14ac:dyDescent="0.25">
      <c r="N3665" s="514"/>
      <c r="R3665" s="293"/>
      <c r="S3665" s="316"/>
      <c r="T3665" s="355"/>
    </row>
    <row r="3666" spans="14:20" x14ac:dyDescent="0.25">
      <c r="N3666" s="514"/>
      <c r="R3666" s="293"/>
      <c r="S3666" s="316"/>
      <c r="T3666" s="355"/>
    </row>
    <row r="3667" spans="14:20" x14ac:dyDescent="0.25">
      <c r="N3667" s="514"/>
      <c r="R3667" s="293"/>
      <c r="S3667" s="316"/>
      <c r="T3667" s="355"/>
    </row>
    <row r="3668" spans="14:20" x14ac:dyDescent="0.25">
      <c r="N3668" s="514"/>
      <c r="R3668" s="293"/>
      <c r="S3668" s="316"/>
      <c r="T3668" s="355"/>
    </row>
    <row r="3669" spans="14:20" x14ac:dyDescent="0.25">
      <c r="N3669" s="514"/>
      <c r="R3669" s="293"/>
      <c r="S3669" s="316"/>
      <c r="T3669" s="355"/>
    </row>
    <row r="3670" spans="14:20" x14ac:dyDescent="0.25">
      <c r="N3670" s="514"/>
      <c r="R3670" s="293"/>
      <c r="S3670" s="316"/>
      <c r="T3670" s="355"/>
    </row>
    <row r="3671" spans="14:20" x14ac:dyDescent="0.25">
      <c r="N3671" s="514"/>
      <c r="R3671" s="293"/>
      <c r="S3671" s="316"/>
      <c r="T3671" s="355"/>
    </row>
    <row r="3672" spans="14:20" x14ac:dyDescent="0.25">
      <c r="N3672" s="514"/>
      <c r="R3672" s="293"/>
      <c r="S3672" s="316"/>
      <c r="T3672" s="355"/>
    </row>
    <row r="3673" spans="14:20" x14ac:dyDescent="0.25">
      <c r="N3673" s="514"/>
      <c r="R3673" s="293"/>
      <c r="S3673" s="316"/>
      <c r="T3673" s="355"/>
    </row>
    <row r="3674" spans="14:20" x14ac:dyDescent="0.25">
      <c r="N3674" s="514"/>
      <c r="R3674" s="293"/>
      <c r="S3674" s="316"/>
      <c r="T3674" s="355"/>
    </row>
    <row r="3675" spans="14:20" x14ac:dyDescent="0.25">
      <c r="N3675" s="514"/>
      <c r="R3675" s="293"/>
      <c r="S3675" s="316"/>
      <c r="T3675" s="355"/>
    </row>
    <row r="3676" spans="14:20" x14ac:dyDescent="0.25">
      <c r="N3676" s="514"/>
      <c r="R3676" s="293"/>
      <c r="S3676" s="316"/>
      <c r="T3676" s="355"/>
    </row>
    <row r="3677" spans="14:20" x14ac:dyDescent="0.25">
      <c r="N3677" s="514"/>
      <c r="R3677" s="293"/>
      <c r="S3677" s="316"/>
      <c r="T3677" s="355"/>
    </row>
    <row r="3678" spans="14:20" x14ac:dyDescent="0.25">
      <c r="N3678" s="514"/>
      <c r="R3678" s="293"/>
      <c r="S3678" s="316"/>
      <c r="T3678" s="355"/>
    </row>
    <row r="3679" spans="14:20" x14ac:dyDescent="0.25">
      <c r="N3679" s="514"/>
      <c r="R3679" s="293"/>
      <c r="S3679" s="316"/>
      <c r="T3679" s="355"/>
    </row>
    <row r="3680" spans="14:20" x14ac:dyDescent="0.25">
      <c r="N3680" s="514"/>
      <c r="R3680" s="293"/>
      <c r="S3680" s="316"/>
      <c r="T3680" s="355"/>
    </row>
    <row r="3681" spans="14:20" x14ac:dyDescent="0.25">
      <c r="N3681" s="514"/>
      <c r="R3681" s="293"/>
      <c r="S3681" s="316"/>
      <c r="T3681" s="355"/>
    </row>
    <row r="3682" spans="14:20" x14ac:dyDescent="0.25">
      <c r="N3682" s="514"/>
      <c r="R3682" s="293"/>
      <c r="S3682" s="316"/>
      <c r="T3682" s="355"/>
    </row>
    <row r="3683" spans="14:20" x14ac:dyDescent="0.25">
      <c r="N3683" s="514"/>
      <c r="R3683" s="293"/>
      <c r="S3683" s="316"/>
      <c r="T3683" s="355"/>
    </row>
    <row r="3684" spans="14:20" x14ac:dyDescent="0.25">
      <c r="N3684" s="514"/>
      <c r="R3684" s="293"/>
      <c r="S3684" s="316"/>
      <c r="T3684" s="355"/>
    </row>
    <row r="3685" spans="14:20" x14ac:dyDescent="0.25">
      <c r="N3685" s="514"/>
      <c r="R3685" s="293"/>
      <c r="S3685" s="316"/>
      <c r="T3685" s="355"/>
    </row>
    <row r="3686" spans="14:20" x14ac:dyDescent="0.25">
      <c r="N3686" s="514"/>
      <c r="R3686" s="293"/>
      <c r="S3686" s="316"/>
      <c r="T3686" s="355"/>
    </row>
    <row r="3687" spans="14:20" x14ac:dyDescent="0.25">
      <c r="N3687" s="514"/>
      <c r="R3687" s="293"/>
      <c r="S3687" s="316"/>
      <c r="T3687" s="355"/>
    </row>
    <row r="3688" spans="14:20" x14ac:dyDescent="0.25">
      <c r="N3688" s="514"/>
      <c r="R3688" s="293"/>
      <c r="S3688" s="316"/>
      <c r="T3688" s="355"/>
    </row>
    <row r="3689" spans="14:20" x14ac:dyDescent="0.25">
      <c r="N3689" s="514"/>
      <c r="R3689" s="293"/>
      <c r="S3689" s="316"/>
      <c r="T3689" s="355"/>
    </row>
    <row r="3690" spans="14:20" x14ac:dyDescent="0.25">
      <c r="N3690" s="514"/>
      <c r="R3690" s="293"/>
      <c r="S3690" s="316"/>
      <c r="T3690" s="355"/>
    </row>
    <row r="3691" spans="14:20" x14ac:dyDescent="0.25">
      <c r="N3691" s="514"/>
      <c r="R3691" s="293"/>
      <c r="S3691" s="316"/>
      <c r="T3691" s="355"/>
    </row>
    <row r="3692" spans="14:20" x14ac:dyDescent="0.25">
      <c r="N3692" s="514"/>
      <c r="R3692" s="293"/>
      <c r="S3692" s="316"/>
      <c r="T3692" s="355"/>
    </row>
    <row r="3693" spans="14:20" x14ac:dyDescent="0.25">
      <c r="N3693" s="514"/>
      <c r="R3693" s="293"/>
      <c r="S3693" s="316"/>
      <c r="T3693" s="355"/>
    </row>
    <row r="3694" spans="14:20" x14ac:dyDescent="0.25">
      <c r="N3694" s="514"/>
      <c r="R3694" s="293"/>
      <c r="S3694" s="316"/>
      <c r="T3694" s="355"/>
    </row>
    <row r="3695" spans="14:20" x14ac:dyDescent="0.25">
      <c r="N3695" s="514"/>
      <c r="R3695" s="293"/>
      <c r="S3695" s="316"/>
      <c r="T3695" s="355"/>
    </row>
    <row r="3696" spans="14:20" x14ac:dyDescent="0.25">
      <c r="N3696" s="514"/>
      <c r="R3696" s="293"/>
      <c r="S3696" s="316"/>
      <c r="T3696" s="355"/>
    </row>
    <row r="3697" spans="14:20" x14ac:dyDescent="0.25">
      <c r="N3697" s="514"/>
      <c r="R3697" s="293"/>
      <c r="S3697" s="316"/>
      <c r="T3697" s="355"/>
    </row>
    <row r="3698" spans="14:20" x14ac:dyDescent="0.25">
      <c r="N3698" s="514"/>
      <c r="R3698" s="293"/>
      <c r="S3698" s="316"/>
      <c r="T3698" s="355"/>
    </row>
    <row r="3699" spans="14:20" x14ac:dyDescent="0.25">
      <c r="N3699" s="514"/>
      <c r="R3699" s="293"/>
      <c r="S3699" s="316"/>
      <c r="T3699" s="355"/>
    </row>
    <row r="3700" spans="14:20" x14ac:dyDescent="0.25">
      <c r="N3700" s="514"/>
      <c r="R3700" s="293"/>
      <c r="S3700" s="316"/>
      <c r="T3700" s="355"/>
    </row>
    <row r="3701" spans="14:20" x14ac:dyDescent="0.25">
      <c r="N3701" s="514"/>
      <c r="R3701" s="293"/>
      <c r="S3701" s="316"/>
      <c r="T3701" s="355"/>
    </row>
    <row r="3702" spans="14:20" x14ac:dyDescent="0.25">
      <c r="N3702" s="514"/>
      <c r="R3702" s="293"/>
      <c r="S3702" s="316"/>
      <c r="T3702" s="355"/>
    </row>
    <row r="3703" spans="14:20" x14ac:dyDescent="0.25">
      <c r="N3703" s="514"/>
      <c r="R3703" s="293"/>
      <c r="S3703" s="316"/>
      <c r="T3703" s="355"/>
    </row>
    <row r="3704" spans="14:20" x14ac:dyDescent="0.25">
      <c r="N3704" s="514"/>
      <c r="R3704" s="293"/>
      <c r="S3704" s="316"/>
      <c r="T3704" s="355"/>
    </row>
    <row r="3705" spans="14:20" x14ac:dyDescent="0.25">
      <c r="N3705" s="514"/>
      <c r="R3705" s="293"/>
      <c r="S3705" s="316"/>
      <c r="T3705" s="355"/>
    </row>
    <row r="3706" spans="14:20" x14ac:dyDescent="0.25">
      <c r="N3706" s="514"/>
      <c r="R3706" s="293"/>
      <c r="S3706" s="316"/>
      <c r="T3706" s="355"/>
    </row>
    <row r="3707" spans="14:20" x14ac:dyDescent="0.25">
      <c r="N3707" s="514"/>
      <c r="R3707" s="293"/>
      <c r="S3707" s="316"/>
      <c r="T3707" s="355"/>
    </row>
    <row r="3708" spans="14:20" x14ac:dyDescent="0.25">
      <c r="N3708" s="514"/>
      <c r="R3708" s="293"/>
      <c r="S3708" s="316"/>
      <c r="T3708" s="355"/>
    </row>
    <row r="3709" spans="14:20" x14ac:dyDescent="0.25">
      <c r="N3709" s="514"/>
      <c r="R3709" s="293"/>
      <c r="S3709" s="316"/>
      <c r="T3709" s="355"/>
    </row>
    <row r="3710" spans="14:20" x14ac:dyDescent="0.25">
      <c r="N3710" s="514"/>
      <c r="R3710" s="293"/>
      <c r="S3710" s="316"/>
      <c r="T3710" s="355"/>
    </row>
    <row r="3711" spans="14:20" x14ac:dyDescent="0.25">
      <c r="N3711" s="514"/>
      <c r="R3711" s="293"/>
      <c r="S3711" s="316"/>
      <c r="T3711" s="355"/>
    </row>
    <row r="3712" spans="14:20" x14ac:dyDescent="0.25">
      <c r="N3712" s="514"/>
      <c r="R3712" s="293"/>
      <c r="S3712" s="316"/>
      <c r="T3712" s="355"/>
    </row>
    <row r="3713" spans="14:20" x14ac:dyDescent="0.25">
      <c r="N3713" s="514"/>
      <c r="R3713" s="293"/>
      <c r="S3713" s="316"/>
      <c r="T3713" s="355"/>
    </row>
    <row r="3714" spans="14:20" x14ac:dyDescent="0.25">
      <c r="N3714" s="514"/>
      <c r="R3714" s="293"/>
      <c r="S3714" s="316"/>
      <c r="T3714" s="355"/>
    </row>
    <row r="3715" spans="14:20" x14ac:dyDescent="0.25">
      <c r="N3715" s="514"/>
      <c r="R3715" s="293"/>
      <c r="S3715" s="316"/>
      <c r="T3715" s="355"/>
    </row>
    <row r="3716" spans="14:20" x14ac:dyDescent="0.25">
      <c r="N3716" s="514"/>
      <c r="R3716" s="293"/>
      <c r="S3716" s="316"/>
      <c r="T3716" s="355"/>
    </row>
    <row r="3717" spans="14:20" x14ac:dyDescent="0.25">
      <c r="N3717" s="514"/>
      <c r="R3717" s="293"/>
      <c r="S3717" s="316"/>
      <c r="T3717" s="355"/>
    </row>
    <row r="3718" spans="14:20" x14ac:dyDescent="0.25">
      <c r="N3718" s="514"/>
      <c r="R3718" s="293"/>
      <c r="S3718" s="316"/>
      <c r="T3718" s="355"/>
    </row>
    <row r="3719" spans="14:20" x14ac:dyDescent="0.25">
      <c r="N3719" s="514"/>
      <c r="R3719" s="293"/>
      <c r="S3719" s="316"/>
      <c r="T3719" s="355"/>
    </row>
    <row r="3720" spans="14:20" x14ac:dyDescent="0.25">
      <c r="N3720" s="514"/>
      <c r="R3720" s="293"/>
      <c r="S3720" s="316"/>
      <c r="T3720" s="355"/>
    </row>
    <row r="3721" spans="14:20" x14ac:dyDescent="0.25">
      <c r="N3721" s="514"/>
      <c r="R3721" s="293"/>
      <c r="S3721" s="316"/>
      <c r="T3721" s="355"/>
    </row>
    <row r="3722" spans="14:20" x14ac:dyDescent="0.25">
      <c r="N3722" s="514"/>
      <c r="R3722" s="293"/>
      <c r="S3722" s="316"/>
      <c r="T3722" s="355"/>
    </row>
    <row r="3723" spans="14:20" x14ac:dyDescent="0.25">
      <c r="N3723" s="514"/>
      <c r="R3723" s="293"/>
      <c r="S3723" s="316"/>
      <c r="T3723" s="355"/>
    </row>
    <row r="3724" spans="14:20" x14ac:dyDescent="0.25">
      <c r="N3724" s="514"/>
      <c r="R3724" s="293"/>
      <c r="S3724" s="316"/>
      <c r="T3724" s="355"/>
    </row>
    <row r="3725" spans="14:20" x14ac:dyDescent="0.25">
      <c r="N3725" s="514"/>
      <c r="R3725" s="293"/>
      <c r="S3725" s="316"/>
      <c r="T3725" s="355"/>
    </row>
    <row r="3726" spans="14:20" x14ac:dyDescent="0.25">
      <c r="N3726" s="514"/>
      <c r="R3726" s="293"/>
      <c r="S3726" s="316"/>
      <c r="T3726" s="355"/>
    </row>
    <row r="3727" spans="14:20" x14ac:dyDescent="0.25">
      <c r="N3727" s="514"/>
      <c r="R3727" s="293"/>
      <c r="S3727" s="316"/>
      <c r="T3727" s="355"/>
    </row>
    <row r="3728" spans="14:20" x14ac:dyDescent="0.25">
      <c r="N3728" s="514"/>
      <c r="R3728" s="293"/>
      <c r="S3728" s="316"/>
      <c r="T3728" s="355"/>
    </row>
    <row r="3729" spans="14:20" x14ac:dyDescent="0.25">
      <c r="N3729" s="514"/>
      <c r="R3729" s="293"/>
      <c r="S3729" s="316"/>
      <c r="T3729" s="355"/>
    </row>
    <row r="3730" spans="14:20" x14ac:dyDescent="0.25">
      <c r="N3730" s="514"/>
      <c r="R3730" s="293"/>
      <c r="S3730" s="316"/>
      <c r="T3730" s="355"/>
    </row>
    <row r="3731" spans="14:20" x14ac:dyDescent="0.25">
      <c r="N3731" s="514"/>
      <c r="R3731" s="293"/>
      <c r="S3731" s="316"/>
      <c r="T3731" s="355"/>
    </row>
    <row r="3732" spans="14:20" x14ac:dyDescent="0.25">
      <c r="N3732" s="514"/>
      <c r="R3732" s="293"/>
      <c r="S3732" s="316"/>
      <c r="T3732" s="355"/>
    </row>
    <row r="3733" spans="14:20" x14ac:dyDescent="0.25">
      <c r="N3733" s="514"/>
      <c r="R3733" s="293"/>
      <c r="S3733" s="316"/>
      <c r="T3733" s="355"/>
    </row>
    <row r="3734" spans="14:20" x14ac:dyDescent="0.25">
      <c r="N3734" s="514"/>
      <c r="R3734" s="293"/>
      <c r="S3734" s="316"/>
      <c r="T3734" s="355"/>
    </row>
    <row r="3735" spans="14:20" x14ac:dyDescent="0.25">
      <c r="N3735" s="514"/>
      <c r="R3735" s="293"/>
      <c r="S3735" s="316"/>
      <c r="T3735" s="355"/>
    </row>
    <row r="3736" spans="14:20" x14ac:dyDescent="0.25">
      <c r="N3736" s="514"/>
      <c r="R3736" s="293"/>
      <c r="S3736" s="316"/>
      <c r="T3736" s="355"/>
    </row>
    <row r="3737" spans="14:20" x14ac:dyDescent="0.25">
      <c r="N3737" s="514"/>
      <c r="R3737" s="293"/>
      <c r="S3737" s="316"/>
      <c r="T3737" s="355"/>
    </row>
    <row r="3738" spans="14:20" x14ac:dyDescent="0.25">
      <c r="N3738" s="514"/>
      <c r="R3738" s="293"/>
      <c r="S3738" s="316"/>
      <c r="T3738" s="355"/>
    </row>
    <row r="3739" spans="14:20" x14ac:dyDescent="0.25">
      <c r="N3739" s="514"/>
      <c r="R3739" s="293"/>
      <c r="S3739" s="316"/>
      <c r="T3739" s="355"/>
    </row>
    <row r="3740" spans="14:20" x14ac:dyDescent="0.25">
      <c r="N3740" s="514"/>
      <c r="R3740" s="293"/>
      <c r="S3740" s="316"/>
      <c r="T3740" s="355"/>
    </row>
    <row r="3741" spans="14:20" x14ac:dyDescent="0.25">
      <c r="N3741" s="514"/>
      <c r="R3741" s="293"/>
      <c r="S3741" s="316"/>
      <c r="T3741" s="355"/>
    </row>
    <row r="3742" spans="14:20" x14ac:dyDescent="0.25">
      <c r="N3742" s="514"/>
      <c r="R3742" s="293"/>
      <c r="S3742" s="316"/>
      <c r="T3742" s="355"/>
    </row>
    <row r="3743" spans="14:20" x14ac:dyDescent="0.25">
      <c r="N3743" s="514"/>
      <c r="R3743" s="293"/>
      <c r="S3743" s="316"/>
      <c r="T3743" s="355"/>
    </row>
    <row r="3744" spans="14:20" x14ac:dyDescent="0.25">
      <c r="N3744" s="514"/>
      <c r="R3744" s="293"/>
      <c r="S3744" s="316"/>
      <c r="T3744" s="355"/>
    </row>
    <row r="3745" spans="14:20" x14ac:dyDescent="0.25">
      <c r="N3745" s="514"/>
      <c r="R3745" s="293"/>
      <c r="S3745" s="316"/>
      <c r="T3745" s="355"/>
    </row>
    <row r="3746" spans="14:20" x14ac:dyDescent="0.25">
      <c r="N3746" s="514"/>
      <c r="R3746" s="293"/>
      <c r="S3746" s="316"/>
      <c r="T3746" s="355"/>
    </row>
    <row r="3747" spans="14:20" x14ac:dyDescent="0.25">
      <c r="N3747" s="514"/>
      <c r="R3747" s="293"/>
      <c r="S3747" s="316"/>
      <c r="T3747" s="355"/>
    </row>
    <row r="3748" spans="14:20" x14ac:dyDescent="0.25">
      <c r="N3748" s="514"/>
      <c r="R3748" s="293"/>
      <c r="S3748" s="316"/>
      <c r="T3748" s="355"/>
    </row>
    <row r="3749" spans="14:20" x14ac:dyDescent="0.25">
      <c r="N3749" s="514"/>
      <c r="R3749" s="293"/>
      <c r="S3749" s="316"/>
      <c r="T3749" s="355"/>
    </row>
    <row r="3750" spans="14:20" x14ac:dyDescent="0.25">
      <c r="N3750" s="514"/>
      <c r="R3750" s="293"/>
      <c r="S3750" s="316"/>
      <c r="T3750" s="355"/>
    </row>
    <row r="3751" spans="14:20" x14ac:dyDescent="0.25">
      <c r="N3751" s="514"/>
      <c r="R3751" s="293"/>
      <c r="S3751" s="316"/>
      <c r="T3751" s="355"/>
    </row>
    <row r="3752" spans="14:20" x14ac:dyDescent="0.25">
      <c r="N3752" s="514"/>
      <c r="R3752" s="293"/>
      <c r="S3752" s="316"/>
      <c r="T3752" s="355"/>
    </row>
    <row r="3753" spans="14:20" x14ac:dyDescent="0.25">
      <c r="N3753" s="514"/>
      <c r="R3753" s="293"/>
      <c r="S3753" s="316"/>
      <c r="T3753" s="355"/>
    </row>
    <row r="3754" spans="14:20" x14ac:dyDescent="0.25">
      <c r="N3754" s="514"/>
      <c r="R3754" s="293"/>
      <c r="S3754" s="316"/>
      <c r="T3754" s="355"/>
    </row>
    <row r="3755" spans="14:20" x14ac:dyDescent="0.25">
      <c r="N3755" s="514"/>
      <c r="R3755" s="293"/>
      <c r="S3755" s="316"/>
      <c r="T3755" s="355"/>
    </row>
    <row r="3756" spans="14:20" x14ac:dyDescent="0.25">
      <c r="N3756" s="514"/>
      <c r="R3756" s="293"/>
      <c r="S3756" s="316"/>
      <c r="T3756" s="355"/>
    </row>
    <row r="3757" spans="14:20" x14ac:dyDescent="0.25">
      <c r="N3757" s="514"/>
      <c r="R3757" s="293"/>
      <c r="S3757" s="316"/>
      <c r="T3757" s="355"/>
    </row>
    <row r="3758" spans="14:20" x14ac:dyDescent="0.25">
      <c r="N3758" s="514"/>
      <c r="R3758" s="293"/>
      <c r="S3758" s="316"/>
      <c r="T3758" s="355"/>
    </row>
    <row r="3759" spans="14:20" x14ac:dyDescent="0.25">
      <c r="N3759" s="514"/>
      <c r="R3759" s="293"/>
      <c r="S3759" s="316"/>
      <c r="T3759" s="355"/>
    </row>
    <row r="3760" spans="14:20" x14ac:dyDescent="0.25">
      <c r="N3760" s="514"/>
      <c r="R3760" s="293"/>
      <c r="S3760" s="316"/>
      <c r="T3760" s="355"/>
    </row>
    <row r="3761" spans="14:20" x14ac:dyDescent="0.25">
      <c r="N3761" s="514"/>
      <c r="R3761" s="293"/>
      <c r="S3761" s="316"/>
      <c r="T3761" s="355"/>
    </row>
    <row r="3762" spans="14:20" x14ac:dyDescent="0.25">
      <c r="N3762" s="514"/>
      <c r="R3762" s="293"/>
      <c r="S3762" s="316"/>
      <c r="T3762" s="355"/>
    </row>
    <row r="3763" spans="14:20" x14ac:dyDescent="0.25">
      <c r="N3763" s="514"/>
      <c r="R3763" s="293"/>
      <c r="S3763" s="316"/>
      <c r="T3763" s="355"/>
    </row>
    <row r="3764" spans="14:20" x14ac:dyDescent="0.25">
      <c r="N3764" s="514"/>
      <c r="R3764" s="293"/>
      <c r="S3764" s="316"/>
      <c r="T3764" s="355"/>
    </row>
    <row r="3765" spans="14:20" x14ac:dyDescent="0.25">
      <c r="N3765" s="514"/>
      <c r="R3765" s="293"/>
      <c r="S3765" s="316"/>
      <c r="T3765" s="355"/>
    </row>
    <row r="3766" spans="14:20" x14ac:dyDescent="0.25">
      <c r="N3766" s="514"/>
      <c r="R3766" s="293"/>
      <c r="S3766" s="316"/>
      <c r="T3766" s="355"/>
    </row>
    <row r="3767" spans="14:20" x14ac:dyDescent="0.25">
      <c r="N3767" s="514"/>
      <c r="R3767" s="293"/>
      <c r="S3767" s="316"/>
      <c r="T3767" s="355"/>
    </row>
    <row r="3768" spans="14:20" x14ac:dyDescent="0.25">
      <c r="N3768" s="514"/>
      <c r="R3768" s="293"/>
      <c r="S3768" s="316"/>
      <c r="T3768" s="355"/>
    </row>
    <row r="3769" spans="14:20" x14ac:dyDescent="0.25">
      <c r="N3769" s="514"/>
      <c r="R3769" s="293"/>
      <c r="S3769" s="316"/>
      <c r="T3769" s="355"/>
    </row>
    <row r="3770" spans="14:20" x14ac:dyDescent="0.25">
      <c r="N3770" s="514"/>
      <c r="R3770" s="293"/>
      <c r="S3770" s="316"/>
      <c r="T3770" s="355"/>
    </row>
    <row r="3771" spans="14:20" x14ac:dyDescent="0.25">
      <c r="N3771" s="514"/>
      <c r="R3771" s="293"/>
      <c r="S3771" s="316"/>
      <c r="T3771" s="355"/>
    </row>
    <row r="3772" spans="14:20" x14ac:dyDescent="0.25">
      <c r="N3772" s="514"/>
      <c r="R3772" s="293"/>
      <c r="S3772" s="316"/>
      <c r="T3772" s="355"/>
    </row>
    <row r="3773" spans="14:20" x14ac:dyDescent="0.25">
      <c r="N3773" s="514"/>
      <c r="R3773" s="293"/>
      <c r="S3773" s="316"/>
      <c r="T3773" s="355"/>
    </row>
    <row r="3774" spans="14:20" x14ac:dyDescent="0.25">
      <c r="N3774" s="514"/>
      <c r="R3774" s="293"/>
      <c r="S3774" s="316"/>
      <c r="T3774" s="355"/>
    </row>
    <row r="3775" spans="14:20" x14ac:dyDescent="0.25">
      <c r="N3775" s="514"/>
      <c r="R3775" s="293"/>
      <c r="S3775" s="316"/>
      <c r="T3775" s="355"/>
    </row>
    <row r="3776" spans="14:20" x14ac:dyDescent="0.25">
      <c r="N3776" s="514"/>
      <c r="R3776" s="293"/>
      <c r="S3776" s="316"/>
      <c r="T3776" s="355"/>
    </row>
    <row r="3777" spans="14:20" x14ac:dyDescent="0.25">
      <c r="N3777" s="514"/>
      <c r="R3777" s="293"/>
      <c r="S3777" s="316"/>
      <c r="T3777" s="355"/>
    </row>
    <row r="3778" spans="14:20" x14ac:dyDescent="0.25">
      <c r="N3778" s="514"/>
      <c r="R3778" s="293"/>
      <c r="S3778" s="316"/>
      <c r="T3778" s="355"/>
    </row>
    <row r="3779" spans="14:20" x14ac:dyDescent="0.25">
      <c r="N3779" s="514"/>
      <c r="R3779" s="293"/>
      <c r="S3779" s="316"/>
      <c r="T3779" s="355"/>
    </row>
    <row r="3780" spans="14:20" x14ac:dyDescent="0.25">
      <c r="N3780" s="514"/>
      <c r="R3780" s="293"/>
      <c r="S3780" s="316"/>
      <c r="T3780" s="355"/>
    </row>
    <row r="3781" spans="14:20" x14ac:dyDescent="0.25">
      <c r="N3781" s="514"/>
      <c r="R3781" s="293"/>
      <c r="S3781" s="316"/>
      <c r="T3781" s="355"/>
    </row>
    <row r="3782" spans="14:20" x14ac:dyDescent="0.25">
      <c r="N3782" s="514"/>
      <c r="R3782" s="293"/>
      <c r="S3782" s="316"/>
      <c r="T3782" s="355"/>
    </row>
    <row r="3783" spans="14:20" x14ac:dyDescent="0.25">
      <c r="N3783" s="514"/>
      <c r="R3783" s="293"/>
      <c r="S3783" s="316"/>
      <c r="T3783" s="355"/>
    </row>
    <row r="3784" spans="14:20" x14ac:dyDescent="0.25">
      <c r="N3784" s="514"/>
      <c r="R3784" s="293"/>
      <c r="S3784" s="316"/>
      <c r="T3784" s="355"/>
    </row>
    <row r="3785" spans="14:20" x14ac:dyDescent="0.25">
      <c r="N3785" s="514"/>
      <c r="R3785" s="293"/>
      <c r="S3785" s="316"/>
      <c r="T3785" s="355"/>
    </row>
    <row r="3786" spans="14:20" x14ac:dyDescent="0.25">
      <c r="N3786" s="514"/>
      <c r="R3786" s="293"/>
      <c r="S3786" s="316"/>
      <c r="T3786" s="355"/>
    </row>
    <row r="3787" spans="14:20" x14ac:dyDescent="0.25">
      <c r="N3787" s="514"/>
      <c r="R3787" s="293"/>
      <c r="S3787" s="316"/>
      <c r="T3787" s="355"/>
    </row>
    <row r="3788" spans="14:20" x14ac:dyDescent="0.25">
      <c r="N3788" s="514"/>
      <c r="R3788" s="293"/>
      <c r="S3788" s="316"/>
      <c r="T3788" s="355"/>
    </row>
    <row r="3789" spans="14:20" x14ac:dyDescent="0.25">
      <c r="N3789" s="514"/>
      <c r="R3789" s="293"/>
      <c r="S3789" s="316"/>
      <c r="T3789" s="355"/>
    </row>
    <row r="3790" spans="14:20" x14ac:dyDescent="0.25">
      <c r="N3790" s="514"/>
      <c r="R3790" s="293"/>
      <c r="S3790" s="316"/>
      <c r="T3790" s="355"/>
    </row>
    <row r="3791" spans="14:20" x14ac:dyDescent="0.25">
      <c r="N3791" s="514"/>
      <c r="R3791" s="293"/>
      <c r="S3791" s="316"/>
      <c r="T3791" s="355"/>
    </row>
    <row r="3792" spans="14:20" x14ac:dyDescent="0.25">
      <c r="N3792" s="514"/>
      <c r="R3792" s="293"/>
      <c r="S3792" s="316"/>
      <c r="T3792" s="355"/>
    </row>
    <row r="3793" spans="14:20" x14ac:dyDescent="0.25">
      <c r="N3793" s="514"/>
      <c r="R3793" s="293"/>
      <c r="S3793" s="316"/>
      <c r="T3793" s="355"/>
    </row>
    <row r="3794" spans="14:20" x14ac:dyDescent="0.25">
      <c r="N3794" s="514"/>
      <c r="R3794" s="293"/>
      <c r="S3794" s="316"/>
      <c r="T3794" s="355"/>
    </row>
    <row r="3795" spans="14:20" x14ac:dyDescent="0.25">
      <c r="N3795" s="514"/>
      <c r="R3795" s="293"/>
      <c r="S3795" s="316"/>
      <c r="T3795" s="355"/>
    </row>
    <row r="3796" spans="14:20" x14ac:dyDescent="0.25">
      <c r="N3796" s="514"/>
      <c r="R3796" s="293"/>
      <c r="S3796" s="316"/>
      <c r="T3796" s="355"/>
    </row>
    <row r="3797" spans="14:20" x14ac:dyDescent="0.25">
      <c r="N3797" s="514"/>
      <c r="R3797" s="293"/>
      <c r="S3797" s="316"/>
      <c r="T3797" s="355"/>
    </row>
    <row r="3798" spans="14:20" x14ac:dyDescent="0.25">
      <c r="N3798" s="514"/>
      <c r="R3798" s="293"/>
      <c r="S3798" s="316"/>
      <c r="T3798" s="355"/>
    </row>
    <row r="3799" spans="14:20" x14ac:dyDescent="0.25">
      <c r="N3799" s="514"/>
      <c r="R3799" s="293"/>
      <c r="S3799" s="316"/>
      <c r="T3799" s="355"/>
    </row>
    <row r="3800" spans="14:20" x14ac:dyDescent="0.25">
      <c r="N3800" s="514"/>
      <c r="R3800" s="293"/>
      <c r="S3800" s="316"/>
      <c r="T3800" s="355"/>
    </row>
    <row r="3801" spans="14:20" x14ac:dyDescent="0.25">
      <c r="N3801" s="514"/>
      <c r="R3801" s="293"/>
      <c r="S3801" s="316"/>
      <c r="T3801" s="355"/>
    </row>
    <row r="3802" spans="14:20" x14ac:dyDescent="0.25">
      <c r="N3802" s="514"/>
      <c r="R3802" s="293"/>
      <c r="S3802" s="316"/>
      <c r="T3802" s="355"/>
    </row>
    <row r="3803" spans="14:20" x14ac:dyDescent="0.25">
      <c r="N3803" s="514"/>
      <c r="R3803" s="293"/>
      <c r="S3803" s="316"/>
      <c r="T3803" s="355"/>
    </row>
    <row r="3804" spans="14:20" x14ac:dyDescent="0.25">
      <c r="N3804" s="514"/>
      <c r="R3804" s="293"/>
      <c r="S3804" s="316"/>
      <c r="T3804" s="355"/>
    </row>
    <row r="3805" spans="14:20" x14ac:dyDescent="0.25">
      <c r="N3805" s="514"/>
      <c r="R3805" s="293"/>
      <c r="S3805" s="316"/>
      <c r="T3805" s="355"/>
    </row>
    <row r="3806" spans="14:20" x14ac:dyDescent="0.25">
      <c r="N3806" s="514"/>
      <c r="R3806" s="293"/>
      <c r="S3806" s="316"/>
      <c r="T3806" s="355"/>
    </row>
    <row r="3807" spans="14:20" x14ac:dyDescent="0.25">
      <c r="N3807" s="514"/>
      <c r="R3807" s="293"/>
      <c r="S3807" s="316"/>
      <c r="T3807" s="355"/>
    </row>
    <row r="3808" spans="14:20" x14ac:dyDescent="0.25">
      <c r="N3808" s="514"/>
      <c r="R3808" s="293"/>
      <c r="S3808" s="316"/>
      <c r="T3808" s="355"/>
    </row>
    <row r="3809" spans="14:20" x14ac:dyDescent="0.25">
      <c r="N3809" s="514"/>
      <c r="R3809" s="293"/>
      <c r="S3809" s="316"/>
      <c r="T3809" s="355"/>
    </row>
    <row r="3810" spans="14:20" x14ac:dyDescent="0.25">
      <c r="N3810" s="514"/>
      <c r="R3810" s="293"/>
      <c r="S3810" s="316"/>
      <c r="T3810" s="355"/>
    </row>
    <row r="3811" spans="14:20" x14ac:dyDescent="0.25">
      <c r="N3811" s="514"/>
      <c r="R3811" s="293"/>
      <c r="S3811" s="316"/>
      <c r="T3811" s="355"/>
    </row>
    <row r="3812" spans="14:20" x14ac:dyDescent="0.25">
      <c r="N3812" s="514"/>
      <c r="R3812" s="293"/>
      <c r="S3812" s="316"/>
      <c r="T3812" s="355"/>
    </row>
    <row r="3813" spans="14:20" x14ac:dyDescent="0.25">
      <c r="N3813" s="514"/>
      <c r="R3813" s="293"/>
      <c r="S3813" s="316"/>
      <c r="T3813" s="355"/>
    </row>
    <row r="3814" spans="14:20" x14ac:dyDescent="0.25">
      <c r="N3814" s="514"/>
      <c r="R3814" s="293"/>
      <c r="S3814" s="316"/>
      <c r="T3814" s="355"/>
    </row>
    <row r="3815" spans="14:20" x14ac:dyDescent="0.25">
      <c r="N3815" s="514"/>
      <c r="R3815" s="293"/>
      <c r="S3815" s="316"/>
      <c r="T3815" s="355"/>
    </row>
    <row r="3816" spans="14:20" x14ac:dyDescent="0.25">
      <c r="N3816" s="514"/>
      <c r="R3816" s="293"/>
      <c r="S3816" s="316"/>
      <c r="T3816" s="355"/>
    </row>
    <row r="3817" spans="14:20" x14ac:dyDescent="0.25">
      <c r="N3817" s="514"/>
      <c r="R3817" s="293"/>
      <c r="S3817" s="316"/>
      <c r="T3817" s="355"/>
    </row>
    <row r="3818" spans="14:20" x14ac:dyDescent="0.25">
      <c r="N3818" s="514"/>
      <c r="R3818" s="293"/>
      <c r="S3818" s="316"/>
      <c r="T3818" s="355"/>
    </row>
    <row r="3819" spans="14:20" x14ac:dyDescent="0.25">
      <c r="N3819" s="514"/>
      <c r="R3819" s="293"/>
      <c r="S3819" s="316"/>
      <c r="T3819" s="355"/>
    </row>
    <row r="3820" spans="14:20" x14ac:dyDescent="0.25">
      <c r="N3820" s="514"/>
      <c r="R3820" s="293"/>
      <c r="S3820" s="316"/>
      <c r="T3820" s="355"/>
    </row>
    <row r="3821" spans="14:20" x14ac:dyDescent="0.25">
      <c r="N3821" s="514"/>
      <c r="R3821" s="293"/>
      <c r="S3821" s="316"/>
      <c r="T3821" s="355"/>
    </row>
    <row r="3822" spans="14:20" x14ac:dyDescent="0.25">
      <c r="N3822" s="514"/>
      <c r="R3822" s="293"/>
      <c r="S3822" s="316"/>
      <c r="T3822" s="355"/>
    </row>
    <row r="3823" spans="14:20" x14ac:dyDescent="0.25">
      <c r="N3823" s="514"/>
      <c r="R3823" s="293"/>
      <c r="S3823" s="316"/>
      <c r="T3823" s="355"/>
    </row>
    <row r="3824" spans="14:20" x14ac:dyDescent="0.25">
      <c r="N3824" s="514"/>
      <c r="R3824" s="293"/>
      <c r="S3824" s="316"/>
      <c r="T3824" s="355"/>
    </row>
    <row r="3825" spans="14:20" x14ac:dyDescent="0.25">
      <c r="N3825" s="514"/>
      <c r="R3825" s="293"/>
      <c r="S3825" s="316"/>
      <c r="T3825" s="355"/>
    </row>
    <row r="3826" spans="14:20" x14ac:dyDescent="0.25">
      <c r="N3826" s="514"/>
      <c r="R3826" s="293"/>
      <c r="S3826" s="316"/>
      <c r="T3826" s="355"/>
    </row>
    <row r="3827" spans="14:20" x14ac:dyDescent="0.25">
      <c r="N3827" s="514"/>
      <c r="R3827" s="293"/>
      <c r="S3827" s="316"/>
      <c r="T3827" s="355"/>
    </row>
    <row r="3828" spans="14:20" x14ac:dyDescent="0.25">
      <c r="N3828" s="514"/>
      <c r="R3828" s="293"/>
      <c r="S3828" s="316"/>
      <c r="T3828" s="355"/>
    </row>
    <row r="3829" spans="14:20" x14ac:dyDescent="0.25">
      <c r="N3829" s="514"/>
      <c r="R3829" s="293"/>
      <c r="S3829" s="316"/>
      <c r="T3829" s="355"/>
    </row>
    <row r="3830" spans="14:20" x14ac:dyDescent="0.25">
      <c r="N3830" s="514"/>
      <c r="R3830" s="293"/>
      <c r="S3830" s="316"/>
      <c r="T3830" s="355"/>
    </row>
    <row r="3831" spans="14:20" x14ac:dyDescent="0.25">
      <c r="N3831" s="514"/>
      <c r="R3831" s="293"/>
      <c r="S3831" s="316"/>
      <c r="T3831" s="355"/>
    </row>
    <row r="3832" spans="14:20" x14ac:dyDescent="0.25">
      <c r="N3832" s="514"/>
      <c r="R3832" s="293"/>
      <c r="S3832" s="316"/>
      <c r="T3832" s="355"/>
    </row>
    <row r="3833" spans="14:20" x14ac:dyDescent="0.25">
      <c r="N3833" s="514"/>
      <c r="R3833" s="293"/>
      <c r="S3833" s="316"/>
      <c r="T3833" s="355"/>
    </row>
    <row r="3834" spans="14:20" x14ac:dyDescent="0.25">
      <c r="N3834" s="514"/>
      <c r="R3834" s="293"/>
      <c r="S3834" s="316"/>
      <c r="T3834" s="355"/>
    </row>
    <row r="3835" spans="14:20" x14ac:dyDescent="0.25">
      <c r="N3835" s="514"/>
      <c r="R3835" s="293"/>
      <c r="S3835" s="316"/>
      <c r="T3835" s="355"/>
    </row>
    <row r="3836" spans="14:20" x14ac:dyDescent="0.25">
      <c r="N3836" s="514"/>
      <c r="R3836" s="293"/>
      <c r="S3836" s="316"/>
      <c r="T3836" s="355"/>
    </row>
    <row r="3837" spans="14:20" x14ac:dyDescent="0.25">
      <c r="N3837" s="514"/>
      <c r="R3837" s="293"/>
      <c r="S3837" s="316"/>
      <c r="T3837" s="355"/>
    </row>
    <row r="3838" spans="14:20" x14ac:dyDescent="0.25">
      <c r="N3838" s="514"/>
      <c r="R3838" s="293"/>
      <c r="S3838" s="316"/>
      <c r="T3838" s="355"/>
    </row>
    <row r="3839" spans="14:20" x14ac:dyDescent="0.25">
      <c r="N3839" s="514"/>
      <c r="R3839" s="293"/>
      <c r="S3839" s="316"/>
      <c r="T3839" s="355"/>
    </row>
    <row r="3840" spans="14:20" x14ac:dyDescent="0.25">
      <c r="N3840" s="514"/>
      <c r="R3840" s="293"/>
      <c r="S3840" s="316"/>
      <c r="T3840" s="355"/>
    </row>
    <row r="3841" spans="14:20" x14ac:dyDescent="0.25">
      <c r="N3841" s="514"/>
      <c r="R3841" s="293"/>
      <c r="S3841" s="316"/>
      <c r="T3841" s="355"/>
    </row>
    <row r="3842" spans="14:20" x14ac:dyDescent="0.25">
      <c r="N3842" s="514"/>
      <c r="R3842" s="293"/>
      <c r="S3842" s="316"/>
      <c r="T3842" s="355"/>
    </row>
    <row r="3843" spans="14:20" x14ac:dyDescent="0.25">
      <c r="N3843" s="514"/>
      <c r="R3843" s="293"/>
      <c r="S3843" s="316"/>
      <c r="T3843" s="355"/>
    </row>
    <row r="3844" spans="14:20" x14ac:dyDescent="0.25">
      <c r="N3844" s="514"/>
      <c r="R3844" s="293"/>
      <c r="S3844" s="316"/>
      <c r="T3844" s="355"/>
    </row>
    <row r="3845" spans="14:20" x14ac:dyDescent="0.25">
      <c r="N3845" s="514"/>
      <c r="R3845" s="293"/>
      <c r="S3845" s="316"/>
      <c r="T3845" s="355"/>
    </row>
    <row r="3846" spans="14:20" x14ac:dyDescent="0.25">
      <c r="N3846" s="514"/>
      <c r="R3846" s="293"/>
      <c r="S3846" s="316"/>
      <c r="T3846" s="355"/>
    </row>
    <row r="3847" spans="14:20" x14ac:dyDescent="0.25">
      <c r="N3847" s="514"/>
      <c r="R3847" s="293"/>
      <c r="S3847" s="316"/>
      <c r="T3847" s="355"/>
    </row>
    <row r="3848" spans="14:20" x14ac:dyDescent="0.25">
      <c r="N3848" s="514"/>
      <c r="R3848" s="293"/>
      <c r="S3848" s="316"/>
      <c r="T3848" s="355"/>
    </row>
    <row r="3849" spans="14:20" x14ac:dyDescent="0.25">
      <c r="N3849" s="514"/>
      <c r="R3849" s="293"/>
      <c r="S3849" s="316"/>
      <c r="T3849" s="355"/>
    </row>
    <row r="3850" spans="14:20" x14ac:dyDescent="0.25">
      <c r="N3850" s="514"/>
      <c r="R3850" s="293"/>
      <c r="S3850" s="316"/>
      <c r="T3850" s="355"/>
    </row>
    <row r="3851" spans="14:20" x14ac:dyDescent="0.25">
      <c r="N3851" s="514"/>
      <c r="R3851" s="293"/>
      <c r="S3851" s="316"/>
      <c r="T3851" s="355"/>
    </row>
    <row r="3852" spans="14:20" x14ac:dyDescent="0.25">
      <c r="N3852" s="514"/>
      <c r="R3852" s="293"/>
      <c r="S3852" s="316"/>
      <c r="T3852" s="355"/>
    </row>
    <row r="3853" spans="14:20" x14ac:dyDescent="0.25">
      <c r="N3853" s="514"/>
      <c r="R3853" s="293"/>
      <c r="S3853" s="316"/>
      <c r="T3853" s="355"/>
    </row>
    <row r="3854" spans="14:20" x14ac:dyDescent="0.25">
      <c r="N3854" s="514"/>
      <c r="R3854" s="293"/>
      <c r="S3854" s="316"/>
      <c r="T3854" s="355"/>
    </row>
    <row r="3855" spans="14:20" x14ac:dyDescent="0.25">
      <c r="N3855" s="514"/>
      <c r="R3855" s="293"/>
      <c r="S3855" s="316"/>
      <c r="T3855" s="355"/>
    </row>
    <row r="3856" spans="14:20" x14ac:dyDescent="0.25">
      <c r="N3856" s="514"/>
      <c r="R3856" s="293"/>
      <c r="S3856" s="316"/>
      <c r="T3856" s="355"/>
    </row>
    <row r="3857" spans="14:20" x14ac:dyDescent="0.25">
      <c r="N3857" s="514"/>
      <c r="R3857" s="293"/>
      <c r="S3857" s="316"/>
      <c r="T3857" s="355"/>
    </row>
    <row r="3858" spans="14:20" x14ac:dyDescent="0.25">
      <c r="N3858" s="514"/>
      <c r="R3858" s="293"/>
      <c r="S3858" s="316"/>
      <c r="T3858" s="355"/>
    </row>
    <row r="3859" spans="14:20" x14ac:dyDescent="0.25">
      <c r="N3859" s="514"/>
      <c r="R3859" s="293"/>
      <c r="S3859" s="316"/>
      <c r="T3859" s="355"/>
    </row>
    <row r="3860" spans="14:20" x14ac:dyDescent="0.25">
      <c r="N3860" s="514"/>
      <c r="R3860" s="293"/>
      <c r="S3860" s="316"/>
      <c r="T3860" s="355"/>
    </row>
    <row r="3861" spans="14:20" x14ac:dyDescent="0.25">
      <c r="N3861" s="514"/>
      <c r="R3861" s="293"/>
      <c r="S3861" s="316"/>
      <c r="T3861" s="355"/>
    </row>
    <row r="3862" spans="14:20" x14ac:dyDescent="0.25">
      <c r="N3862" s="514"/>
      <c r="R3862" s="293"/>
      <c r="S3862" s="316"/>
      <c r="T3862" s="355"/>
    </row>
    <row r="3863" spans="14:20" x14ac:dyDescent="0.25">
      <c r="N3863" s="514"/>
      <c r="R3863" s="293"/>
      <c r="S3863" s="316"/>
      <c r="T3863" s="355"/>
    </row>
    <row r="3864" spans="14:20" x14ac:dyDescent="0.25">
      <c r="N3864" s="514"/>
      <c r="R3864" s="293"/>
      <c r="S3864" s="316"/>
      <c r="T3864" s="355"/>
    </row>
    <row r="3865" spans="14:20" x14ac:dyDescent="0.25">
      <c r="N3865" s="514"/>
      <c r="R3865" s="293"/>
      <c r="S3865" s="316"/>
      <c r="T3865" s="355"/>
    </row>
    <row r="3866" spans="14:20" x14ac:dyDescent="0.25">
      <c r="N3866" s="514"/>
      <c r="R3866" s="293"/>
      <c r="S3866" s="316"/>
      <c r="T3866" s="355"/>
    </row>
    <row r="3867" spans="14:20" x14ac:dyDescent="0.25">
      <c r="N3867" s="514"/>
      <c r="R3867" s="293"/>
      <c r="S3867" s="316"/>
      <c r="T3867" s="355"/>
    </row>
    <row r="3868" spans="14:20" x14ac:dyDescent="0.25">
      <c r="N3868" s="514"/>
      <c r="R3868" s="293"/>
      <c r="S3868" s="316"/>
      <c r="T3868" s="355"/>
    </row>
    <row r="3869" spans="14:20" x14ac:dyDescent="0.25">
      <c r="N3869" s="514"/>
      <c r="R3869" s="293"/>
      <c r="S3869" s="316"/>
      <c r="T3869" s="355"/>
    </row>
    <row r="3870" spans="14:20" x14ac:dyDescent="0.25">
      <c r="N3870" s="514"/>
      <c r="R3870" s="293"/>
      <c r="S3870" s="316"/>
      <c r="T3870" s="355"/>
    </row>
    <row r="3871" spans="14:20" x14ac:dyDescent="0.25">
      <c r="N3871" s="514"/>
      <c r="R3871" s="293"/>
      <c r="S3871" s="316"/>
      <c r="T3871" s="355"/>
    </row>
    <row r="3872" spans="14:20" x14ac:dyDescent="0.25">
      <c r="N3872" s="514"/>
      <c r="R3872" s="293"/>
      <c r="S3872" s="316"/>
      <c r="T3872" s="355"/>
    </row>
    <row r="3873" spans="14:20" x14ac:dyDescent="0.25">
      <c r="N3873" s="514"/>
      <c r="R3873" s="293"/>
      <c r="S3873" s="316"/>
      <c r="T3873" s="355"/>
    </row>
    <row r="3874" spans="14:20" x14ac:dyDescent="0.25">
      <c r="N3874" s="514"/>
      <c r="R3874" s="293"/>
      <c r="S3874" s="316"/>
      <c r="T3874" s="355"/>
    </row>
    <row r="3875" spans="14:20" x14ac:dyDescent="0.25">
      <c r="N3875" s="514"/>
      <c r="R3875" s="293"/>
      <c r="S3875" s="316"/>
      <c r="T3875" s="355"/>
    </row>
    <row r="3876" spans="14:20" x14ac:dyDescent="0.25">
      <c r="N3876" s="514"/>
      <c r="R3876" s="293"/>
      <c r="S3876" s="316"/>
      <c r="T3876" s="355"/>
    </row>
    <row r="3877" spans="14:20" x14ac:dyDescent="0.25">
      <c r="N3877" s="514"/>
      <c r="R3877" s="293"/>
      <c r="S3877" s="316"/>
      <c r="T3877" s="355"/>
    </row>
    <row r="3878" spans="14:20" x14ac:dyDescent="0.25">
      <c r="N3878" s="514"/>
      <c r="R3878" s="293"/>
      <c r="S3878" s="316"/>
      <c r="T3878" s="355"/>
    </row>
    <row r="3879" spans="14:20" x14ac:dyDescent="0.25">
      <c r="N3879" s="514"/>
      <c r="R3879" s="293"/>
      <c r="S3879" s="316"/>
      <c r="T3879" s="355"/>
    </row>
    <row r="3880" spans="14:20" x14ac:dyDescent="0.25">
      <c r="N3880" s="514"/>
      <c r="R3880" s="293"/>
      <c r="S3880" s="316"/>
      <c r="T3880" s="355"/>
    </row>
    <row r="3881" spans="14:20" x14ac:dyDescent="0.25">
      <c r="N3881" s="514"/>
      <c r="R3881" s="293"/>
      <c r="S3881" s="316"/>
      <c r="T3881" s="355"/>
    </row>
    <row r="3882" spans="14:20" x14ac:dyDescent="0.25">
      <c r="N3882" s="514"/>
      <c r="R3882" s="293"/>
      <c r="S3882" s="316"/>
      <c r="T3882" s="355"/>
    </row>
    <row r="3883" spans="14:20" x14ac:dyDescent="0.25">
      <c r="N3883" s="514"/>
      <c r="R3883" s="293"/>
      <c r="S3883" s="316"/>
      <c r="T3883" s="355"/>
    </row>
    <row r="3884" spans="14:20" x14ac:dyDescent="0.25">
      <c r="N3884" s="514"/>
      <c r="R3884" s="293"/>
      <c r="S3884" s="316"/>
      <c r="T3884" s="355"/>
    </row>
    <row r="3885" spans="14:20" x14ac:dyDescent="0.25">
      <c r="N3885" s="514"/>
      <c r="R3885" s="293"/>
      <c r="S3885" s="316"/>
      <c r="T3885" s="355"/>
    </row>
    <row r="3886" spans="14:20" x14ac:dyDescent="0.25">
      <c r="N3886" s="514"/>
      <c r="R3886" s="293"/>
      <c r="S3886" s="316"/>
      <c r="T3886" s="355"/>
    </row>
    <row r="3887" spans="14:20" x14ac:dyDescent="0.25">
      <c r="N3887" s="514"/>
      <c r="R3887" s="293"/>
      <c r="S3887" s="316"/>
      <c r="T3887" s="355"/>
    </row>
    <row r="3888" spans="14:20" x14ac:dyDescent="0.25">
      <c r="N3888" s="514"/>
      <c r="R3888" s="293"/>
      <c r="S3888" s="316"/>
      <c r="T3888" s="355"/>
    </row>
    <row r="3889" spans="14:20" x14ac:dyDescent="0.25">
      <c r="N3889" s="514"/>
      <c r="R3889" s="293"/>
      <c r="S3889" s="316"/>
      <c r="T3889" s="355"/>
    </row>
    <row r="3890" spans="14:20" x14ac:dyDescent="0.25">
      <c r="N3890" s="514"/>
      <c r="R3890" s="293"/>
      <c r="S3890" s="316"/>
      <c r="T3890" s="355"/>
    </row>
    <row r="3891" spans="14:20" x14ac:dyDescent="0.25">
      <c r="N3891" s="514"/>
      <c r="R3891" s="293"/>
      <c r="S3891" s="316"/>
      <c r="T3891" s="355"/>
    </row>
    <row r="3892" spans="14:20" x14ac:dyDescent="0.25">
      <c r="N3892" s="514"/>
      <c r="R3892" s="293"/>
      <c r="S3892" s="316"/>
      <c r="T3892" s="355"/>
    </row>
    <row r="3893" spans="14:20" x14ac:dyDescent="0.25">
      <c r="N3893" s="514"/>
      <c r="R3893" s="293"/>
      <c r="S3893" s="316"/>
      <c r="T3893" s="355"/>
    </row>
    <row r="3894" spans="14:20" x14ac:dyDescent="0.25">
      <c r="N3894" s="514"/>
      <c r="R3894" s="293"/>
      <c r="S3894" s="316"/>
      <c r="T3894" s="355"/>
    </row>
    <row r="3895" spans="14:20" x14ac:dyDescent="0.25">
      <c r="N3895" s="514"/>
      <c r="R3895" s="293"/>
      <c r="S3895" s="316"/>
      <c r="T3895" s="355"/>
    </row>
    <row r="3896" spans="14:20" x14ac:dyDescent="0.25">
      <c r="N3896" s="514"/>
      <c r="R3896" s="293"/>
      <c r="S3896" s="316"/>
      <c r="T3896" s="355"/>
    </row>
    <row r="3897" spans="14:20" x14ac:dyDescent="0.25">
      <c r="N3897" s="514"/>
      <c r="R3897" s="293"/>
      <c r="S3897" s="316"/>
      <c r="T3897" s="355"/>
    </row>
    <row r="3898" spans="14:20" x14ac:dyDescent="0.25">
      <c r="N3898" s="514"/>
      <c r="R3898" s="293"/>
      <c r="S3898" s="316"/>
      <c r="T3898" s="355"/>
    </row>
    <row r="3899" spans="14:20" x14ac:dyDescent="0.25">
      <c r="N3899" s="514"/>
      <c r="R3899" s="293"/>
      <c r="S3899" s="316"/>
      <c r="T3899" s="355"/>
    </row>
    <row r="3900" spans="14:20" x14ac:dyDescent="0.25">
      <c r="N3900" s="514"/>
      <c r="R3900" s="293"/>
      <c r="S3900" s="316"/>
      <c r="T3900" s="355"/>
    </row>
    <row r="3901" spans="14:20" x14ac:dyDescent="0.25">
      <c r="N3901" s="514"/>
      <c r="R3901" s="293"/>
      <c r="S3901" s="316"/>
      <c r="T3901" s="355"/>
    </row>
    <row r="3902" spans="14:20" x14ac:dyDescent="0.25">
      <c r="N3902" s="514"/>
      <c r="R3902" s="293"/>
      <c r="S3902" s="316"/>
      <c r="T3902" s="355"/>
    </row>
    <row r="3903" spans="14:20" x14ac:dyDescent="0.25">
      <c r="N3903" s="514"/>
      <c r="R3903" s="293"/>
      <c r="S3903" s="316"/>
      <c r="T3903" s="355"/>
    </row>
    <row r="3904" spans="14:20" x14ac:dyDescent="0.25">
      <c r="N3904" s="514"/>
      <c r="R3904" s="293"/>
      <c r="S3904" s="316"/>
      <c r="T3904" s="355"/>
    </row>
    <row r="3905" spans="14:20" x14ac:dyDescent="0.25">
      <c r="N3905" s="514"/>
      <c r="R3905" s="293"/>
      <c r="S3905" s="316"/>
      <c r="T3905" s="355"/>
    </row>
    <row r="3906" spans="14:20" x14ac:dyDescent="0.25">
      <c r="N3906" s="514"/>
      <c r="R3906" s="293"/>
      <c r="S3906" s="316"/>
      <c r="T3906" s="355"/>
    </row>
    <row r="3907" spans="14:20" x14ac:dyDescent="0.25">
      <c r="N3907" s="514"/>
      <c r="R3907" s="293"/>
      <c r="S3907" s="316"/>
      <c r="T3907" s="355"/>
    </row>
    <row r="3908" spans="14:20" x14ac:dyDescent="0.25">
      <c r="N3908" s="514"/>
      <c r="R3908" s="293"/>
      <c r="S3908" s="316"/>
      <c r="T3908" s="355"/>
    </row>
    <row r="3909" spans="14:20" x14ac:dyDescent="0.25">
      <c r="N3909" s="514"/>
      <c r="R3909" s="293"/>
      <c r="S3909" s="316"/>
      <c r="T3909" s="355"/>
    </row>
    <row r="3910" spans="14:20" x14ac:dyDescent="0.25">
      <c r="N3910" s="514"/>
      <c r="R3910" s="293"/>
      <c r="S3910" s="316"/>
      <c r="T3910" s="355"/>
    </row>
    <row r="3911" spans="14:20" x14ac:dyDescent="0.25">
      <c r="N3911" s="514"/>
      <c r="R3911" s="293"/>
      <c r="S3911" s="316"/>
      <c r="T3911" s="355"/>
    </row>
    <row r="3912" spans="14:20" x14ac:dyDescent="0.25">
      <c r="N3912" s="514"/>
      <c r="R3912" s="293"/>
      <c r="S3912" s="316"/>
      <c r="T3912" s="355"/>
    </row>
    <row r="3913" spans="14:20" x14ac:dyDescent="0.25">
      <c r="N3913" s="514"/>
      <c r="R3913" s="293"/>
      <c r="S3913" s="316"/>
      <c r="T3913" s="355"/>
    </row>
    <row r="3914" spans="14:20" x14ac:dyDescent="0.25">
      <c r="N3914" s="514"/>
      <c r="R3914" s="293"/>
      <c r="S3914" s="316"/>
      <c r="T3914" s="355"/>
    </row>
    <row r="3915" spans="14:20" x14ac:dyDescent="0.25">
      <c r="N3915" s="514"/>
      <c r="R3915" s="293"/>
      <c r="S3915" s="316"/>
      <c r="T3915" s="355"/>
    </row>
    <row r="3916" spans="14:20" x14ac:dyDescent="0.25">
      <c r="N3916" s="514"/>
      <c r="R3916" s="293"/>
      <c r="S3916" s="316"/>
      <c r="T3916" s="355"/>
    </row>
    <row r="3917" spans="14:20" x14ac:dyDescent="0.25">
      <c r="N3917" s="514"/>
      <c r="R3917" s="293"/>
      <c r="S3917" s="316"/>
      <c r="T3917" s="355"/>
    </row>
    <row r="3918" spans="14:20" x14ac:dyDescent="0.25">
      <c r="N3918" s="514"/>
      <c r="R3918" s="293"/>
      <c r="S3918" s="316"/>
      <c r="T3918" s="355"/>
    </row>
    <row r="3919" spans="14:20" x14ac:dyDescent="0.25">
      <c r="N3919" s="514"/>
      <c r="R3919" s="293"/>
      <c r="S3919" s="316"/>
      <c r="T3919" s="355"/>
    </row>
    <row r="3920" spans="14:20" x14ac:dyDescent="0.25">
      <c r="N3920" s="514"/>
      <c r="R3920" s="293"/>
      <c r="S3920" s="316"/>
      <c r="T3920" s="355"/>
    </row>
    <row r="3921" spans="14:20" x14ac:dyDescent="0.25">
      <c r="N3921" s="514"/>
      <c r="R3921" s="293"/>
      <c r="S3921" s="316"/>
      <c r="T3921" s="355"/>
    </row>
    <row r="3922" spans="14:20" x14ac:dyDescent="0.25">
      <c r="N3922" s="514"/>
      <c r="R3922" s="293"/>
      <c r="S3922" s="316"/>
      <c r="T3922" s="355"/>
    </row>
    <row r="3923" spans="14:20" x14ac:dyDescent="0.25">
      <c r="N3923" s="514"/>
      <c r="R3923" s="293"/>
      <c r="S3923" s="316"/>
      <c r="T3923" s="355"/>
    </row>
    <row r="3924" spans="14:20" x14ac:dyDescent="0.25">
      <c r="N3924" s="514"/>
      <c r="R3924" s="293"/>
      <c r="S3924" s="316"/>
      <c r="T3924" s="355"/>
    </row>
    <row r="3925" spans="14:20" x14ac:dyDescent="0.25">
      <c r="N3925" s="514"/>
      <c r="R3925" s="293"/>
      <c r="S3925" s="316"/>
      <c r="T3925" s="355"/>
    </row>
    <row r="3926" spans="14:20" x14ac:dyDescent="0.25">
      <c r="N3926" s="514"/>
      <c r="R3926" s="293"/>
      <c r="S3926" s="316"/>
      <c r="T3926" s="355"/>
    </row>
    <row r="3927" spans="14:20" x14ac:dyDescent="0.25">
      <c r="N3927" s="514"/>
      <c r="R3927" s="293"/>
      <c r="S3927" s="316"/>
      <c r="T3927" s="355"/>
    </row>
    <row r="3928" spans="14:20" x14ac:dyDescent="0.25">
      <c r="N3928" s="514"/>
      <c r="R3928" s="293"/>
      <c r="S3928" s="316"/>
      <c r="T3928" s="355"/>
    </row>
    <row r="3929" spans="14:20" x14ac:dyDescent="0.25">
      <c r="N3929" s="514"/>
      <c r="R3929" s="293"/>
      <c r="S3929" s="316"/>
      <c r="T3929" s="355"/>
    </row>
    <row r="3930" spans="14:20" x14ac:dyDescent="0.25">
      <c r="N3930" s="514"/>
      <c r="R3930" s="293"/>
      <c r="S3930" s="316"/>
      <c r="T3930" s="355"/>
    </row>
    <row r="3931" spans="14:20" x14ac:dyDescent="0.25">
      <c r="N3931" s="514"/>
      <c r="R3931" s="293"/>
      <c r="S3931" s="316"/>
      <c r="T3931" s="355"/>
    </row>
    <row r="3932" spans="14:20" x14ac:dyDescent="0.25">
      <c r="N3932" s="514"/>
      <c r="R3932" s="293"/>
      <c r="S3932" s="316"/>
      <c r="T3932" s="355"/>
    </row>
    <row r="3933" spans="14:20" x14ac:dyDescent="0.25">
      <c r="N3933" s="514"/>
      <c r="R3933" s="293"/>
      <c r="S3933" s="316"/>
      <c r="T3933" s="355"/>
    </row>
    <row r="3934" spans="14:20" x14ac:dyDescent="0.25">
      <c r="N3934" s="514"/>
      <c r="R3934" s="293"/>
      <c r="S3934" s="316"/>
      <c r="T3934" s="355"/>
    </row>
    <row r="3935" spans="14:20" x14ac:dyDescent="0.25">
      <c r="N3935" s="514"/>
      <c r="R3935" s="293"/>
      <c r="S3935" s="316"/>
      <c r="T3935" s="355"/>
    </row>
    <row r="3936" spans="14:20" x14ac:dyDescent="0.25">
      <c r="N3936" s="514"/>
      <c r="R3936" s="293"/>
      <c r="S3936" s="316"/>
      <c r="T3936" s="355"/>
    </row>
    <row r="3937" spans="14:20" x14ac:dyDescent="0.25">
      <c r="N3937" s="514"/>
      <c r="R3937" s="293"/>
      <c r="S3937" s="316"/>
      <c r="T3937" s="355"/>
    </row>
    <row r="3938" spans="14:20" x14ac:dyDescent="0.25">
      <c r="N3938" s="514"/>
      <c r="R3938" s="293"/>
      <c r="S3938" s="316"/>
      <c r="T3938" s="355"/>
    </row>
    <row r="3939" spans="14:20" x14ac:dyDescent="0.25">
      <c r="N3939" s="514"/>
      <c r="R3939" s="293"/>
      <c r="S3939" s="316"/>
      <c r="T3939" s="355"/>
    </row>
    <row r="3940" spans="14:20" x14ac:dyDescent="0.25">
      <c r="N3940" s="514"/>
      <c r="R3940" s="293"/>
      <c r="S3940" s="316"/>
      <c r="T3940" s="355"/>
    </row>
    <row r="3941" spans="14:20" x14ac:dyDescent="0.25">
      <c r="N3941" s="514"/>
      <c r="R3941" s="293"/>
      <c r="S3941" s="316"/>
      <c r="T3941" s="355"/>
    </row>
    <row r="3942" spans="14:20" x14ac:dyDescent="0.25">
      <c r="N3942" s="514"/>
      <c r="R3942" s="293"/>
      <c r="S3942" s="316"/>
      <c r="T3942" s="355"/>
    </row>
    <row r="3943" spans="14:20" x14ac:dyDescent="0.25">
      <c r="N3943" s="514"/>
      <c r="R3943" s="293"/>
      <c r="S3943" s="316"/>
      <c r="T3943" s="355"/>
    </row>
    <row r="3944" spans="14:20" x14ac:dyDescent="0.25">
      <c r="N3944" s="514"/>
      <c r="R3944" s="293"/>
      <c r="S3944" s="316"/>
      <c r="T3944" s="355"/>
    </row>
    <row r="3945" spans="14:20" x14ac:dyDescent="0.25">
      <c r="N3945" s="514"/>
      <c r="R3945" s="293"/>
      <c r="S3945" s="316"/>
      <c r="T3945" s="355"/>
    </row>
    <row r="3946" spans="14:20" x14ac:dyDescent="0.25">
      <c r="N3946" s="514"/>
      <c r="R3946" s="293"/>
      <c r="S3946" s="316"/>
      <c r="T3946" s="355"/>
    </row>
    <row r="3947" spans="14:20" x14ac:dyDescent="0.25">
      <c r="N3947" s="514"/>
      <c r="R3947" s="293"/>
      <c r="S3947" s="316"/>
      <c r="T3947" s="355"/>
    </row>
    <row r="3948" spans="14:20" x14ac:dyDescent="0.25">
      <c r="N3948" s="514"/>
      <c r="R3948" s="293"/>
      <c r="S3948" s="316"/>
      <c r="T3948" s="355"/>
    </row>
    <row r="3949" spans="14:20" x14ac:dyDescent="0.25">
      <c r="N3949" s="514"/>
      <c r="R3949" s="293"/>
      <c r="S3949" s="316"/>
      <c r="T3949" s="355"/>
    </row>
    <row r="3950" spans="14:20" x14ac:dyDescent="0.25">
      <c r="N3950" s="514"/>
      <c r="R3950" s="293"/>
      <c r="S3950" s="316"/>
      <c r="T3950" s="355"/>
    </row>
    <row r="3951" spans="14:20" x14ac:dyDescent="0.25">
      <c r="N3951" s="514"/>
      <c r="R3951" s="293"/>
      <c r="S3951" s="316"/>
      <c r="T3951" s="355"/>
    </row>
    <row r="3952" spans="14:20" x14ac:dyDescent="0.25">
      <c r="N3952" s="514"/>
      <c r="R3952" s="293"/>
      <c r="S3952" s="316"/>
      <c r="T3952" s="355"/>
    </row>
    <row r="3953" spans="14:20" x14ac:dyDescent="0.25">
      <c r="N3953" s="514"/>
      <c r="R3953" s="293"/>
      <c r="S3953" s="316"/>
      <c r="T3953" s="355"/>
    </row>
    <row r="3954" spans="14:20" x14ac:dyDescent="0.25">
      <c r="N3954" s="514"/>
      <c r="R3954" s="293"/>
      <c r="S3954" s="316"/>
      <c r="T3954" s="355"/>
    </row>
    <row r="3955" spans="14:20" x14ac:dyDescent="0.25">
      <c r="N3955" s="514"/>
      <c r="R3955" s="293"/>
      <c r="S3955" s="316"/>
      <c r="T3955" s="355"/>
    </row>
    <row r="3956" spans="14:20" x14ac:dyDescent="0.25">
      <c r="N3956" s="514"/>
      <c r="R3956" s="293"/>
      <c r="S3956" s="316"/>
      <c r="T3956" s="355"/>
    </row>
    <row r="3957" spans="14:20" x14ac:dyDescent="0.25">
      <c r="N3957" s="514"/>
      <c r="R3957" s="293"/>
      <c r="S3957" s="316"/>
      <c r="T3957" s="355"/>
    </row>
    <row r="3958" spans="14:20" x14ac:dyDescent="0.25">
      <c r="N3958" s="514"/>
      <c r="R3958" s="293"/>
      <c r="S3958" s="316"/>
      <c r="T3958" s="355"/>
    </row>
    <row r="3959" spans="14:20" x14ac:dyDescent="0.25">
      <c r="N3959" s="514"/>
      <c r="R3959" s="293"/>
      <c r="S3959" s="316"/>
      <c r="T3959" s="355"/>
    </row>
    <row r="3960" spans="14:20" x14ac:dyDescent="0.25">
      <c r="N3960" s="514"/>
      <c r="R3960" s="293"/>
      <c r="S3960" s="316"/>
      <c r="T3960" s="355"/>
    </row>
    <row r="3961" spans="14:20" x14ac:dyDescent="0.25">
      <c r="N3961" s="514"/>
      <c r="R3961" s="293"/>
      <c r="S3961" s="316"/>
      <c r="T3961" s="355"/>
    </row>
    <row r="3962" spans="14:20" x14ac:dyDescent="0.25">
      <c r="N3962" s="514"/>
      <c r="R3962" s="293"/>
      <c r="S3962" s="316"/>
      <c r="T3962" s="355"/>
    </row>
    <row r="3963" spans="14:20" x14ac:dyDescent="0.25">
      <c r="N3963" s="514"/>
      <c r="R3963" s="293"/>
      <c r="S3963" s="316"/>
      <c r="T3963" s="355"/>
    </row>
    <row r="3964" spans="14:20" x14ac:dyDescent="0.25">
      <c r="N3964" s="514"/>
      <c r="R3964" s="293"/>
      <c r="S3964" s="316"/>
      <c r="T3964" s="355"/>
    </row>
    <row r="3965" spans="14:20" x14ac:dyDescent="0.25">
      <c r="N3965" s="514"/>
      <c r="R3965" s="293"/>
      <c r="S3965" s="316"/>
      <c r="T3965" s="355"/>
    </row>
    <row r="3966" spans="14:20" x14ac:dyDescent="0.25">
      <c r="N3966" s="514"/>
      <c r="R3966" s="293"/>
      <c r="S3966" s="316"/>
      <c r="T3966" s="355"/>
    </row>
    <row r="3967" spans="14:20" x14ac:dyDescent="0.25">
      <c r="N3967" s="514"/>
      <c r="R3967" s="293"/>
      <c r="S3967" s="316"/>
      <c r="T3967" s="355"/>
    </row>
    <row r="3968" spans="14:20" x14ac:dyDescent="0.25">
      <c r="N3968" s="514"/>
      <c r="R3968" s="293"/>
      <c r="S3968" s="316"/>
      <c r="T3968" s="355"/>
    </row>
    <row r="3969" spans="14:20" x14ac:dyDescent="0.25">
      <c r="N3969" s="514"/>
      <c r="R3969" s="293"/>
      <c r="S3969" s="316"/>
      <c r="T3969" s="355"/>
    </row>
    <row r="3970" spans="14:20" x14ac:dyDescent="0.25">
      <c r="N3970" s="514"/>
      <c r="R3970" s="293"/>
      <c r="S3970" s="316"/>
      <c r="T3970" s="355"/>
    </row>
    <row r="3971" spans="14:20" x14ac:dyDescent="0.25">
      <c r="N3971" s="514"/>
      <c r="R3971" s="293"/>
      <c r="S3971" s="316"/>
      <c r="T3971" s="355"/>
    </row>
    <row r="3972" spans="14:20" x14ac:dyDescent="0.25">
      <c r="N3972" s="514"/>
      <c r="R3972" s="293"/>
      <c r="S3972" s="316"/>
      <c r="T3972" s="355"/>
    </row>
    <row r="3973" spans="14:20" x14ac:dyDescent="0.25">
      <c r="N3973" s="514"/>
      <c r="R3973" s="293"/>
      <c r="S3973" s="316"/>
      <c r="T3973" s="355"/>
    </row>
    <row r="3974" spans="14:20" x14ac:dyDescent="0.25">
      <c r="N3974" s="514"/>
      <c r="R3974" s="293"/>
      <c r="S3974" s="316"/>
      <c r="T3974" s="355"/>
    </row>
    <row r="3975" spans="14:20" x14ac:dyDescent="0.25">
      <c r="N3975" s="514"/>
      <c r="R3975" s="293"/>
      <c r="S3975" s="316"/>
      <c r="T3975" s="355"/>
    </row>
    <row r="3976" spans="14:20" x14ac:dyDescent="0.25">
      <c r="N3976" s="514"/>
      <c r="R3976" s="293"/>
      <c r="S3976" s="316"/>
      <c r="T3976" s="355"/>
    </row>
    <row r="3977" spans="14:20" x14ac:dyDescent="0.25">
      <c r="N3977" s="514"/>
      <c r="R3977" s="293"/>
      <c r="S3977" s="316"/>
      <c r="T3977" s="355"/>
    </row>
    <row r="3978" spans="14:20" x14ac:dyDescent="0.25">
      <c r="N3978" s="514"/>
      <c r="R3978" s="293"/>
      <c r="S3978" s="316"/>
      <c r="T3978" s="355"/>
    </row>
    <row r="3979" spans="14:20" x14ac:dyDescent="0.25">
      <c r="N3979" s="514"/>
      <c r="R3979" s="293"/>
      <c r="S3979" s="316"/>
      <c r="T3979" s="355"/>
    </row>
    <row r="3980" spans="14:20" x14ac:dyDescent="0.25">
      <c r="N3980" s="514"/>
      <c r="R3980" s="293"/>
      <c r="S3980" s="316"/>
      <c r="T3980" s="355"/>
    </row>
    <row r="3981" spans="14:20" x14ac:dyDescent="0.25">
      <c r="N3981" s="514"/>
      <c r="R3981" s="293"/>
      <c r="S3981" s="316"/>
      <c r="T3981" s="355"/>
    </row>
    <row r="3982" spans="14:20" x14ac:dyDescent="0.25">
      <c r="N3982" s="514"/>
      <c r="R3982" s="293"/>
      <c r="S3982" s="316"/>
      <c r="T3982" s="355"/>
    </row>
    <row r="3983" spans="14:20" x14ac:dyDescent="0.25">
      <c r="N3983" s="514"/>
      <c r="R3983" s="293"/>
      <c r="S3983" s="316"/>
      <c r="T3983" s="355"/>
    </row>
    <row r="3984" spans="14:20" x14ac:dyDescent="0.25">
      <c r="N3984" s="514"/>
      <c r="R3984" s="293"/>
      <c r="S3984" s="316"/>
      <c r="T3984" s="355"/>
    </row>
    <row r="3985" spans="14:20" x14ac:dyDescent="0.25">
      <c r="N3985" s="514"/>
      <c r="R3985" s="293"/>
      <c r="S3985" s="316"/>
      <c r="T3985" s="355"/>
    </row>
    <row r="3986" spans="14:20" x14ac:dyDescent="0.25">
      <c r="N3986" s="514"/>
      <c r="R3986" s="293"/>
      <c r="S3986" s="316"/>
      <c r="T3986" s="355"/>
    </row>
    <row r="3987" spans="14:20" x14ac:dyDescent="0.25">
      <c r="N3987" s="514"/>
      <c r="R3987" s="293"/>
      <c r="S3987" s="316"/>
      <c r="T3987" s="355"/>
    </row>
    <row r="3988" spans="14:20" x14ac:dyDescent="0.25">
      <c r="N3988" s="514"/>
      <c r="R3988" s="293"/>
      <c r="S3988" s="316"/>
      <c r="T3988" s="355"/>
    </row>
    <row r="3989" spans="14:20" x14ac:dyDescent="0.25">
      <c r="N3989" s="514"/>
      <c r="R3989" s="293"/>
      <c r="S3989" s="316"/>
      <c r="T3989" s="355"/>
    </row>
    <row r="3990" spans="14:20" x14ac:dyDescent="0.25">
      <c r="N3990" s="514"/>
      <c r="R3990" s="293"/>
      <c r="S3990" s="316"/>
      <c r="T3990" s="355"/>
    </row>
    <row r="3991" spans="14:20" x14ac:dyDescent="0.25">
      <c r="N3991" s="514"/>
      <c r="R3991" s="293"/>
      <c r="S3991" s="316"/>
      <c r="T3991" s="355"/>
    </row>
    <row r="3992" spans="14:20" x14ac:dyDescent="0.25">
      <c r="N3992" s="514"/>
      <c r="R3992" s="293"/>
      <c r="S3992" s="316"/>
      <c r="T3992" s="355"/>
    </row>
    <row r="3993" spans="14:20" x14ac:dyDescent="0.25">
      <c r="N3993" s="514"/>
      <c r="R3993" s="293"/>
      <c r="S3993" s="316"/>
      <c r="T3993" s="355"/>
    </row>
    <row r="3994" spans="14:20" x14ac:dyDescent="0.25">
      <c r="N3994" s="514"/>
      <c r="R3994" s="293"/>
      <c r="S3994" s="316"/>
      <c r="T3994" s="355"/>
    </row>
    <row r="3995" spans="14:20" x14ac:dyDescent="0.25">
      <c r="N3995" s="514"/>
      <c r="R3995" s="293"/>
      <c r="S3995" s="316"/>
      <c r="T3995" s="355"/>
    </row>
    <row r="3996" spans="14:20" x14ac:dyDescent="0.25">
      <c r="N3996" s="514"/>
      <c r="R3996" s="293"/>
      <c r="S3996" s="316"/>
      <c r="T3996" s="355"/>
    </row>
    <row r="3997" spans="14:20" x14ac:dyDescent="0.25">
      <c r="N3997" s="514"/>
      <c r="R3997" s="293"/>
      <c r="S3997" s="316"/>
      <c r="T3997" s="355"/>
    </row>
    <row r="3998" spans="14:20" x14ac:dyDescent="0.25">
      <c r="N3998" s="514"/>
      <c r="R3998" s="293"/>
      <c r="S3998" s="316"/>
      <c r="T3998" s="355"/>
    </row>
    <row r="3999" spans="14:20" x14ac:dyDescent="0.25">
      <c r="N3999" s="514"/>
      <c r="R3999" s="293"/>
      <c r="S3999" s="316"/>
      <c r="T3999" s="355"/>
    </row>
    <row r="4000" spans="14:20" x14ac:dyDescent="0.25">
      <c r="N4000" s="514"/>
      <c r="R4000" s="293"/>
      <c r="S4000" s="316"/>
      <c r="T4000" s="355"/>
    </row>
    <row r="4001" spans="14:20" x14ac:dyDescent="0.25">
      <c r="N4001" s="514"/>
      <c r="R4001" s="293"/>
      <c r="S4001" s="316"/>
      <c r="T4001" s="355"/>
    </row>
    <row r="4002" spans="14:20" x14ac:dyDescent="0.25">
      <c r="N4002" s="514"/>
      <c r="R4002" s="293"/>
      <c r="S4002" s="316"/>
      <c r="T4002" s="355"/>
    </row>
    <row r="4003" spans="14:20" x14ac:dyDescent="0.25">
      <c r="N4003" s="514"/>
      <c r="R4003" s="293"/>
      <c r="S4003" s="316"/>
      <c r="T4003" s="355"/>
    </row>
    <row r="4004" spans="14:20" x14ac:dyDescent="0.25">
      <c r="N4004" s="514"/>
      <c r="R4004" s="293"/>
      <c r="S4004" s="316"/>
      <c r="T4004" s="355"/>
    </row>
    <row r="4005" spans="14:20" x14ac:dyDescent="0.25">
      <c r="N4005" s="514"/>
      <c r="R4005" s="293"/>
      <c r="S4005" s="316"/>
      <c r="T4005" s="355"/>
    </row>
    <row r="4006" spans="14:20" x14ac:dyDescent="0.25">
      <c r="N4006" s="514"/>
      <c r="R4006" s="293"/>
      <c r="S4006" s="316"/>
      <c r="T4006" s="355"/>
    </row>
    <row r="4007" spans="14:20" x14ac:dyDescent="0.25">
      <c r="N4007" s="514"/>
      <c r="R4007" s="293"/>
      <c r="S4007" s="316"/>
      <c r="T4007" s="355"/>
    </row>
    <row r="4008" spans="14:20" x14ac:dyDescent="0.25">
      <c r="N4008" s="514"/>
      <c r="R4008" s="293"/>
      <c r="S4008" s="316"/>
      <c r="T4008" s="355"/>
    </row>
    <row r="4009" spans="14:20" x14ac:dyDescent="0.25">
      <c r="N4009" s="514"/>
      <c r="R4009" s="293"/>
      <c r="S4009" s="316"/>
      <c r="T4009" s="355"/>
    </row>
    <row r="4010" spans="14:20" x14ac:dyDescent="0.25">
      <c r="N4010" s="514"/>
      <c r="R4010" s="293"/>
      <c r="S4010" s="316"/>
      <c r="T4010" s="355"/>
    </row>
    <row r="4011" spans="14:20" x14ac:dyDescent="0.25">
      <c r="N4011" s="514"/>
      <c r="R4011" s="293"/>
      <c r="S4011" s="316"/>
      <c r="T4011" s="355"/>
    </row>
    <row r="4012" spans="14:20" x14ac:dyDescent="0.25">
      <c r="N4012" s="514"/>
      <c r="R4012" s="293"/>
      <c r="S4012" s="316"/>
      <c r="T4012" s="355"/>
    </row>
    <row r="4013" spans="14:20" x14ac:dyDescent="0.25">
      <c r="N4013" s="514"/>
      <c r="R4013" s="293"/>
      <c r="S4013" s="316"/>
      <c r="T4013" s="355"/>
    </row>
    <row r="4014" spans="14:20" x14ac:dyDescent="0.25">
      <c r="N4014" s="514"/>
      <c r="R4014" s="293"/>
      <c r="S4014" s="316"/>
      <c r="T4014" s="355"/>
    </row>
    <row r="4015" spans="14:20" x14ac:dyDescent="0.25">
      <c r="N4015" s="514"/>
      <c r="R4015" s="293"/>
      <c r="S4015" s="316"/>
      <c r="T4015" s="355"/>
    </row>
    <row r="4016" spans="14:20" x14ac:dyDescent="0.25">
      <c r="N4016" s="514"/>
      <c r="R4016" s="293"/>
      <c r="S4016" s="316"/>
      <c r="T4016" s="355"/>
    </row>
    <row r="4017" spans="14:20" x14ac:dyDescent="0.25">
      <c r="N4017" s="514"/>
      <c r="R4017" s="293"/>
      <c r="S4017" s="316"/>
      <c r="T4017" s="355"/>
    </row>
    <row r="4018" spans="14:20" x14ac:dyDescent="0.25">
      <c r="N4018" s="514"/>
      <c r="R4018" s="293"/>
      <c r="S4018" s="316"/>
      <c r="T4018" s="355"/>
    </row>
    <row r="4019" spans="14:20" x14ac:dyDescent="0.25">
      <c r="N4019" s="514"/>
      <c r="R4019" s="293"/>
      <c r="S4019" s="316"/>
      <c r="T4019" s="355"/>
    </row>
    <row r="4020" spans="14:20" x14ac:dyDescent="0.25">
      <c r="N4020" s="514"/>
      <c r="R4020" s="293"/>
      <c r="S4020" s="316"/>
      <c r="T4020" s="355"/>
    </row>
    <row r="4021" spans="14:20" x14ac:dyDescent="0.25">
      <c r="N4021" s="514"/>
      <c r="R4021" s="293"/>
      <c r="S4021" s="316"/>
      <c r="T4021" s="355"/>
    </row>
    <row r="4022" spans="14:20" x14ac:dyDescent="0.25">
      <c r="N4022" s="514"/>
      <c r="R4022" s="293"/>
      <c r="S4022" s="316"/>
      <c r="T4022" s="355"/>
    </row>
    <row r="4023" spans="14:20" x14ac:dyDescent="0.25">
      <c r="N4023" s="514"/>
      <c r="R4023" s="293"/>
      <c r="S4023" s="316"/>
      <c r="T4023" s="355"/>
    </row>
    <row r="4024" spans="14:20" x14ac:dyDescent="0.25">
      <c r="N4024" s="514"/>
      <c r="R4024" s="293"/>
      <c r="S4024" s="316"/>
      <c r="T4024" s="355"/>
    </row>
    <row r="4025" spans="14:20" x14ac:dyDescent="0.25">
      <c r="N4025" s="514"/>
      <c r="R4025" s="293"/>
      <c r="S4025" s="316"/>
      <c r="T4025" s="355"/>
    </row>
    <row r="4026" spans="14:20" x14ac:dyDescent="0.25">
      <c r="N4026" s="514"/>
      <c r="R4026" s="293"/>
      <c r="S4026" s="316"/>
      <c r="T4026" s="355"/>
    </row>
    <row r="4027" spans="14:20" x14ac:dyDescent="0.25">
      <c r="N4027" s="514"/>
      <c r="R4027" s="293"/>
      <c r="S4027" s="316"/>
      <c r="T4027" s="355"/>
    </row>
    <row r="4028" spans="14:20" x14ac:dyDescent="0.25">
      <c r="N4028" s="514"/>
      <c r="R4028" s="293"/>
      <c r="S4028" s="316"/>
      <c r="T4028" s="355"/>
    </row>
    <row r="4029" spans="14:20" x14ac:dyDescent="0.25">
      <c r="N4029" s="514"/>
      <c r="R4029" s="293"/>
      <c r="S4029" s="316"/>
      <c r="T4029" s="355"/>
    </row>
    <row r="4030" spans="14:20" x14ac:dyDescent="0.25">
      <c r="N4030" s="514"/>
      <c r="R4030" s="293"/>
      <c r="S4030" s="316"/>
      <c r="T4030" s="355"/>
    </row>
    <row r="4031" spans="14:20" x14ac:dyDescent="0.25">
      <c r="N4031" s="514"/>
      <c r="R4031" s="293"/>
      <c r="S4031" s="316"/>
      <c r="T4031" s="355"/>
    </row>
    <row r="4032" spans="14:20" x14ac:dyDescent="0.25">
      <c r="N4032" s="514"/>
      <c r="R4032" s="293"/>
      <c r="S4032" s="316"/>
      <c r="T4032" s="355"/>
    </row>
    <row r="4033" spans="14:20" x14ac:dyDescent="0.25">
      <c r="N4033" s="514"/>
      <c r="R4033" s="293"/>
      <c r="S4033" s="316"/>
      <c r="T4033" s="355"/>
    </row>
    <row r="4034" spans="14:20" x14ac:dyDescent="0.25">
      <c r="N4034" s="514"/>
      <c r="R4034" s="293"/>
      <c r="S4034" s="316"/>
      <c r="T4034" s="355"/>
    </row>
    <row r="4035" spans="14:20" x14ac:dyDescent="0.25">
      <c r="N4035" s="514"/>
      <c r="R4035" s="293"/>
      <c r="S4035" s="316"/>
      <c r="T4035" s="355"/>
    </row>
    <row r="4036" spans="14:20" x14ac:dyDescent="0.25">
      <c r="N4036" s="514"/>
      <c r="R4036" s="293"/>
      <c r="S4036" s="316"/>
      <c r="T4036" s="355"/>
    </row>
    <row r="4037" spans="14:20" x14ac:dyDescent="0.25">
      <c r="N4037" s="514"/>
      <c r="R4037" s="293"/>
      <c r="S4037" s="316"/>
      <c r="T4037" s="355"/>
    </row>
    <row r="4038" spans="14:20" x14ac:dyDescent="0.25">
      <c r="N4038" s="514"/>
      <c r="R4038" s="293"/>
      <c r="S4038" s="316"/>
      <c r="T4038" s="355"/>
    </row>
    <row r="4039" spans="14:20" x14ac:dyDescent="0.25">
      <c r="N4039" s="514"/>
      <c r="R4039" s="293"/>
      <c r="S4039" s="316"/>
      <c r="T4039" s="355"/>
    </row>
    <row r="4040" spans="14:20" x14ac:dyDescent="0.25">
      <c r="N4040" s="514"/>
      <c r="R4040" s="293"/>
      <c r="S4040" s="316"/>
      <c r="T4040" s="355"/>
    </row>
    <row r="4041" spans="14:20" x14ac:dyDescent="0.25">
      <c r="N4041" s="514"/>
      <c r="R4041" s="293"/>
      <c r="S4041" s="316"/>
      <c r="T4041" s="355"/>
    </row>
    <row r="4042" spans="14:20" x14ac:dyDescent="0.25">
      <c r="N4042" s="514"/>
      <c r="R4042" s="293"/>
      <c r="S4042" s="316"/>
      <c r="T4042" s="355"/>
    </row>
    <row r="4043" spans="14:20" x14ac:dyDescent="0.25">
      <c r="N4043" s="514"/>
      <c r="R4043" s="293"/>
      <c r="S4043" s="316"/>
      <c r="T4043" s="355"/>
    </row>
    <row r="4044" spans="14:20" x14ac:dyDescent="0.25">
      <c r="N4044" s="514"/>
      <c r="R4044" s="293"/>
      <c r="S4044" s="316"/>
      <c r="T4044" s="355"/>
    </row>
    <row r="4045" spans="14:20" x14ac:dyDescent="0.25">
      <c r="N4045" s="514"/>
      <c r="R4045" s="293"/>
      <c r="S4045" s="316"/>
      <c r="T4045" s="355"/>
    </row>
    <row r="4046" spans="14:20" x14ac:dyDescent="0.25">
      <c r="N4046" s="514"/>
      <c r="R4046" s="293"/>
      <c r="S4046" s="316"/>
      <c r="T4046" s="355"/>
    </row>
    <row r="4047" spans="14:20" x14ac:dyDescent="0.25">
      <c r="N4047" s="514"/>
      <c r="R4047" s="293"/>
      <c r="S4047" s="316"/>
      <c r="T4047" s="355"/>
    </row>
    <row r="4048" spans="14:20" x14ac:dyDescent="0.25">
      <c r="N4048" s="514"/>
      <c r="R4048" s="293"/>
      <c r="S4048" s="316"/>
      <c r="T4048" s="355"/>
    </row>
    <row r="4049" spans="14:20" x14ac:dyDescent="0.25">
      <c r="N4049" s="514"/>
      <c r="R4049" s="293"/>
      <c r="S4049" s="316"/>
      <c r="T4049" s="355"/>
    </row>
    <row r="4050" spans="14:20" x14ac:dyDescent="0.25">
      <c r="N4050" s="514"/>
      <c r="R4050" s="293"/>
      <c r="S4050" s="316"/>
      <c r="T4050" s="355"/>
    </row>
    <row r="4051" spans="14:20" x14ac:dyDescent="0.25">
      <c r="N4051" s="514"/>
      <c r="R4051" s="293"/>
      <c r="S4051" s="316"/>
      <c r="T4051" s="355"/>
    </row>
    <row r="4052" spans="14:20" x14ac:dyDescent="0.25">
      <c r="N4052" s="514"/>
      <c r="R4052" s="293"/>
      <c r="S4052" s="316"/>
      <c r="T4052" s="355"/>
    </row>
    <row r="4053" spans="14:20" x14ac:dyDescent="0.25">
      <c r="N4053" s="514"/>
      <c r="R4053" s="293"/>
      <c r="S4053" s="316"/>
      <c r="T4053" s="355"/>
    </row>
    <row r="4054" spans="14:20" x14ac:dyDescent="0.25">
      <c r="N4054" s="514"/>
      <c r="R4054" s="293"/>
      <c r="S4054" s="316"/>
      <c r="T4054" s="355"/>
    </row>
    <row r="4055" spans="14:20" x14ac:dyDescent="0.25">
      <c r="N4055" s="514"/>
      <c r="R4055" s="293"/>
      <c r="S4055" s="316"/>
      <c r="T4055" s="355"/>
    </row>
    <row r="4056" spans="14:20" x14ac:dyDescent="0.25">
      <c r="N4056" s="514"/>
      <c r="R4056" s="293"/>
      <c r="S4056" s="316"/>
      <c r="T4056" s="355"/>
    </row>
    <row r="4057" spans="14:20" x14ac:dyDescent="0.25">
      <c r="N4057" s="514"/>
      <c r="R4057" s="293"/>
      <c r="S4057" s="316"/>
      <c r="T4057" s="355"/>
    </row>
    <row r="4058" spans="14:20" x14ac:dyDescent="0.25">
      <c r="N4058" s="514"/>
      <c r="R4058" s="293"/>
      <c r="S4058" s="316"/>
      <c r="T4058" s="355"/>
    </row>
    <row r="4059" spans="14:20" x14ac:dyDescent="0.25">
      <c r="N4059" s="514"/>
      <c r="R4059" s="293"/>
      <c r="S4059" s="316"/>
      <c r="T4059" s="355"/>
    </row>
    <row r="4060" spans="14:20" x14ac:dyDescent="0.25">
      <c r="N4060" s="514"/>
      <c r="R4060" s="293"/>
      <c r="S4060" s="316"/>
      <c r="T4060" s="355"/>
    </row>
    <row r="4061" spans="14:20" x14ac:dyDescent="0.25">
      <c r="N4061" s="514"/>
      <c r="R4061" s="293"/>
      <c r="S4061" s="316"/>
      <c r="T4061" s="355"/>
    </row>
    <row r="4062" spans="14:20" x14ac:dyDescent="0.25">
      <c r="N4062" s="514"/>
      <c r="R4062" s="293"/>
      <c r="S4062" s="316"/>
      <c r="T4062" s="355"/>
    </row>
    <row r="4063" spans="14:20" x14ac:dyDescent="0.25">
      <c r="N4063" s="514"/>
      <c r="R4063" s="293"/>
      <c r="S4063" s="316"/>
      <c r="T4063" s="355"/>
    </row>
    <row r="4064" spans="14:20" x14ac:dyDescent="0.25">
      <c r="N4064" s="514"/>
      <c r="R4064" s="293"/>
      <c r="S4064" s="316"/>
      <c r="T4064" s="355"/>
    </row>
    <row r="4065" spans="14:20" x14ac:dyDescent="0.25">
      <c r="N4065" s="514"/>
      <c r="R4065" s="293"/>
      <c r="S4065" s="316"/>
      <c r="T4065" s="355"/>
    </row>
    <row r="4066" spans="14:20" x14ac:dyDescent="0.25">
      <c r="N4066" s="514"/>
      <c r="R4066" s="293"/>
      <c r="S4066" s="316"/>
      <c r="T4066" s="355"/>
    </row>
    <row r="4067" spans="14:20" x14ac:dyDescent="0.25">
      <c r="N4067" s="514"/>
      <c r="R4067" s="293"/>
      <c r="S4067" s="316"/>
      <c r="T4067" s="355"/>
    </row>
    <row r="4068" spans="14:20" x14ac:dyDescent="0.25">
      <c r="N4068" s="514"/>
      <c r="R4068" s="293"/>
      <c r="S4068" s="316"/>
      <c r="T4068" s="355"/>
    </row>
    <row r="4069" spans="14:20" x14ac:dyDescent="0.25">
      <c r="N4069" s="514"/>
      <c r="R4069" s="293"/>
      <c r="S4069" s="316"/>
      <c r="T4069" s="355"/>
    </row>
    <row r="4070" spans="14:20" x14ac:dyDescent="0.25">
      <c r="N4070" s="514"/>
      <c r="R4070" s="293"/>
      <c r="S4070" s="316"/>
      <c r="T4070" s="355"/>
    </row>
    <row r="4071" spans="14:20" x14ac:dyDescent="0.25">
      <c r="N4071" s="514"/>
      <c r="R4071" s="293"/>
      <c r="S4071" s="316"/>
      <c r="T4071" s="355"/>
    </row>
    <row r="4072" spans="14:20" x14ac:dyDescent="0.25">
      <c r="N4072" s="514"/>
      <c r="R4072" s="293"/>
      <c r="S4072" s="316"/>
      <c r="T4072" s="355"/>
    </row>
    <row r="4073" spans="14:20" x14ac:dyDescent="0.25">
      <c r="N4073" s="514"/>
      <c r="R4073" s="293"/>
      <c r="S4073" s="316"/>
      <c r="T4073" s="355"/>
    </row>
    <row r="4074" spans="14:20" x14ac:dyDescent="0.25">
      <c r="N4074" s="514"/>
      <c r="R4074" s="293"/>
      <c r="S4074" s="316"/>
      <c r="T4074" s="355"/>
    </row>
    <row r="4075" spans="14:20" x14ac:dyDescent="0.25">
      <c r="N4075" s="514"/>
      <c r="R4075" s="293"/>
      <c r="S4075" s="316"/>
      <c r="T4075" s="355"/>
    </row>
    <row r="4076" spans="14:20" x14ac:dyDescent="0.25">
      <c r="N4076" s="514"/>
      <c r="R4076" s="293"/>
      <c r="S4076" s="316"/>
      <c r="T4076" s="355"/>
    </row>
    <row r="4077" spans="14:20" x14ac:dyDescent="0.25">
      <c r="N4077" s="514"/>
      <c r="R4077" s="293"/>
      <c r="S4077" s="316"/>
      <c r="T4077" s="355"/>
    </row>
    <row r="4078" spans="14:20" x14ac:dyDescent="0.25">
      <c r="N4078" s="514"/>
      <c r="R4078" s="293"/>
      <c r="S4078" s="316"/>
      <c r="T4078" s="355"/>
    </row>
    <row r="4079" spans="14:20" x14ac:dyDescent="0.25">
      <c r="N4079" s="514"/>
      <c r="R4079" s="293"/>
      <c r="S4079" s="316"/>
      <c r="T4079" s="355"/>
    </row>
    <row r="4080" spans="14:20" x14ac:dyDescent="0.25">
      <c r="N4080" s="514"/>
      <c r="R4080" s="293"/>
      <c r="S4080" s="316"/>
      <c r="T4080" s="355"/>
    </row>
    <row r="4081" spans="14:20" x14ac:dyDescent="0.25">
      <c r="N4081" s="514"/>
      <c r="R4081" s="293"/>
      <c r="S4081" s="316"/>
      <c r="T4081" s="355"/>
    </row>
    <row r="4082" spans="14:20" x14ac:dyDescent="0.25">
      <c r="N4082" s="514"/>
      <c r="R4082" s="293"/>
      <c r="S4082" s="316"/>
      <c r="T4082" s="355"/>
    </row>
    <row r="4083" spans="14:20" x14ac:dyDescent="0.25">
      <c r="N4083" s="514"/>
      <c r="R4083" s="293"/>
      <c r="S4083" s="316"/>
      <c r="T4083" s="355"/>
    </row>
    <row r="4084" spans="14:20" x14ac:dyDescent="0.25">
      <c r="N4084" s="514"/>
      <c r="R4084" s="293"/>
      <c r="S4084" s="316"/>
      <c r="T4084" s="355"/>
    </row>
    <row r="4085" spans="14:20" x14ac:dyDescent="0.25">
      <c r="N4085" s="514"/>
      <c r="R4085" s="293"/>
      <c r="S4085" s="316"/>
      <c r="T4085" s="355"/>
    </row>
    <row r="4086" spans="14:20" x14ac:dyDescent="0.25">
      <c r="N4086" s="514"/>
      <c r="R4086" s="293"/>
      <c r="S4086" s="316"/>
      <c r="T4086" s="355"/>
    </row>
    <row r="4087" spans="14:20" x14ac:dyDescent="0.25">
      <c r="N4087" s="514"/>
      <c r="R4087" s="293"/>
      <c r="S4087" s="316"/>
      <c r="T4087" s="355"/>
    </row>
    <row r="4088" spans="14:20" x14ac:dyDescent="0.25">
      <c r="N4088" s="514"/>
      <c r="R4088" s="293"/>
      <c r="S4088" s="316"/>
      <c r="T4088" s="355"/>
    </row>
    <row r="4089" spans="14:20" x14ac:dyDescent="0.25">
      <c r="N4089" s="514"/>
      <c r="R4089" s="293"/>
      <c r="S4089" s="316"/>
      <c r="T4089" s="355"/>
    </row>
    <row r="4090" spans="14:20" x14ac:dyDescent="0.25">
      <c r="N4090" s="514"/>
      <c r="R4090" s="293"/>
      <c r="S4090" s="316"/>
      <c r="T4090" s="355"/>
    </row>
    <row r="4091" spans="14:20" x14ac:dyDescent="0.25">
      <c r="N4091" s="514"/>
      <c r="R4091" s="293"/>
      <c r="S4091" s="316"/>
      <c r="T4091" s="355"/>
    </row>
    <row r="4092" spans="14:20" x14ac:dyDescent="0.25">
      <c r="N4092" s="514"/>
      <c r="R4092" s="293"/>
      <c r="S4092" s="316"/>
      <c r="T4092" s="355"/>
    </row>
    <row r="4093" spans="14:20" x14ac:dyDescent="0.25">
      <c r="N4093" s="514"/>
      <c r="R4093" s="293"/>
      <c r="S4093" s="316"/>
      <c r="T4093" s="355"/>
    </row>
    <row r="4094" spans="14:20" x14ac:dyDescent="0.25">
      <c r="N4094" s="514"/>
      <c r="R4094" s="293"/>
      <c r="S4094" s="316"/>
      <c r="T4094" s="355"/>
    </row>
    <row r="4095" spans="14:20" x14ac:dyDescent="0.25">
      <c r="N4095" s="514"/>
      <c r="R4095" s="293"/>
      <c r="S4095" s="316"/>
      <c r="T4095" s="355"/>
    </row>
    <row r="4096" spans="14:20" x14ac:dyDescent="0.25">
      <c r="N4096" s="514"/>
      <c r="R4096" s="293"/>
      <c r="S4096" s="316"/>
      <c r="T4096" s="355"/>
    </row>
    <row r="4097" spans="14:20" x14ac:dyDescent="0.25">
      <c r="N4097" s="514"/>
      <c r="R4097" s="293"/>
      <c r="S4097" s="316"/>
      <c r="T4097" s="355"/>
    </row>
    <row r="4098" spans="14:20" x14ac:dyDescent="0.25">
      <c r="N4098" s="514"/>
      <c r="R4098" s="293"/>
      <c r="S4098" s="316"/>
      <c r="T4098" s="355"/>
    </row>
    <row r="4099" spans="14:20" x14ac:dyDescent="0.25">
      <c r="N4099" s="514"/>
      <c r="R4099" s="293"/>
      <c r="S4099" s="316"/>
      <c r="T4099" s="355"/>
    </row>
    <row r="4100" spans="14:20" x14ac:dyDescent="0.25">
      <c r="N4100" s="514"/>
      <c r="R4100" s="293"/>
      <c r="S4100" s="316"/>
      <c r="T4100" s="355"/>
    </row>
    <row r="4101" spans="14:20" x14ac:dyDescent="0.25">
      <c r="N4101" s="514"/>
      <c r="R4101" s="293"/>
      <c r="S4101" s="316"/>
      <c r="T4101" s="355"/>
    </row>
    <row r="4102" spans="14:20" x14ac:dyDescent="0.25">
      <c r="N4102" s="514"/>
      <c r="R4102" s="293"/>
      <c r="S4102" s="316"/>
      <c r="T4102" s="355"/>
    </row>
    <row r="4103" spans="14:20" x14ac:dyDescent="0.25">
      <c r="N4103" s="514"/>
      <c r="R4103" s="293"/>
      <c r="S4103" s="316"/>
      <c r="T4103" s="355"/>
    </row>
    <row r="4104" spans="14:20" x14ac:dyDescent="0.25">
      <c r="N4104" s="514"/>
      <c r="R4104" s="293"/>
      <c r="S4104" s="316"/>
      <c r="T4104" s="355"/>
    </row>
    <row r="4105" spans="14:20" x14ac:dyDescent="0.25">
      <c r="N4105" s="514"/>
      <c r="R4105" s="293"/>
      <c r="S4105" s="316"/>
      <c r="T4105" s="355"/>
    </row>
    <row r="4106" spans="14:20" x14ac:dyDescent="0.25">
      <c r="N4106" s="514"/>
      <c r="R4106" s="293"/>
      <c r="S4106" s="316"/>
      <c r="T4106" s="355"/>
    </row>
    <row r="4107" spans="14:20" x14ac:dyDescent="0.25">
      <c r="N4107" s="514"/>
      <c r="R4107" s="293"/>
      <c r="S4107" s="316"/>
      <c r="T4107" s="355"/>
    </row>
    <row r="4108" spans="14:20" x14ac:dyDescent="0.25">
      <c r="N4108" s="514"/>
      <c r="R4108" s="293"/>
      <c r="S4108" s="316"/>
      <c r="T4108" s="355"/>
    </row>
    <row r="4109" spans="14:20" x14ac:dyDescent="0.25">
      <c r="N4109" s="514"/>
      <c r="R4109" s="293"/>
      <c r="S4109" s="316"/>
      <c r="T4109" s="355"/>
    </row>
    <row r="4110" spans="14:20" x14ac:dyDescent="0.25">
      <c r="N4110" s="514"/>
      <c r="R4110" s="293"/>
      <c r="S4110" s="316"/>
      <c r="T4110" s="355"/>
    </row>
    <row r="4111" spans="14:20" x14ac:dyDescent="0.25">
      <c r="N4111" s="514"/>
      <c r="R4111" s="293"/>
      <c r="S4111" s="316"/>
      <c r="T4111" s="355"/>
    </row>
    <row r="4112" spans="14:20" x14ac:dyDescent="0.25">
      <c r="N4112" s="514"/>
      <c r="R4112" s="293"/>
      <c r="S4112" s="316"/>
      <c r="T4112" s="355"/>
    </row>
    <row r="4113" spans="14:20" x14ac:dyDescent="0.25">
      <c r="N4113" s="514"/>
      <c r="R4113" s="293"/>
      <c r="S4113" s="316"/>
      <c r="T4113" s="355"/>
    </row>
    <row r="4114" spans="14:20" x14ac:dyDescent="0.25">
      <c r="N4114" s="514"/>
      <c r="R4114" s="293"/>
      <c r="S4114" s="316"/>
      <c r="T4114" s="355"/>
    </row>
    <row r="4115" spans="14:20" x14ac:dyDescent="0.25">
      <c r="N4115" s="514"/>
      <c r="R4115" s="293"/>
      <c r="S4115" s="316"/>
      <c r="T4115" s="355"/>
    </row>
    <row r="4116" spans="14:20" x14ac:dyDescent="0.25">
      <c r="N4116" s="514"/>
      <c r="R4116" s="293"/>
      <c r="S4116" s="316"/>
      <c r="T4116" s="355"/>
    </row>
    <row r="4117" spans="14:20" x14ac:dyDescent="0.25">
      <c r="N4117" s="514"/>
      <c r="R4117" s="293"/>
      <c r="S4117" s="316"/>
      <c r="T4117" s="355"/>
    </row>
    <row r="4118" spans="14:20" x14ac:dyDescent="0.25">
      <c r="N4118" s="514"/>
      <c r="R4118" s="293"/>
      <c r="S4118" s="316"/>
      <c r="T4118" s="355"/>
    </row>
    <row r="4119" spans="14:20" x14ac:dyDescent="0.25">
      <c r="N4119" s="514"/>
      <c r="R4119" s="293"/>
      <c r="S4119" s="316"/>
      <c r="T4119" s="355"/>
    </row>
    <row r="4120" spans="14:20" x14ac:dyDescent="0.25">
      <c r="N4120" s="514"/>
      <c r="R4120" s="293"/>
      <c r="S4120" s="316"/>
      <c r="T4120" s="355"/>
    </row>
    <row r="4121" spans="14:20" x14ac:dyDescent="0.25">
      <c r="N4121" s="514"/>
      <c r="R4121" s="293"/>
      <c r="S4121" s="316"/>
      <c r="T4121" s="355"/>
    </row>
    <row r="4122" spans="14:20" x14ac:dyDescent="0.25">
      <c r="N4122" s="514"/>
      <c r="R4122" s="293"/>
      <c r="S4122" s="316"/>
      <c r="T4122" s="355"/>
    </row>
    <row r="4123" spans="14:20" x14ac:dyDescent="0.25">
      <c r="N4123" s="514"/>
      <c r="R4123" s="293"/>
      <c r="S4123" s="316"/>
      <c r="T4123" s="355"/>
    </row>
    <row r="4124" spans="14:20" x14ac:dyDescent="0.25">
      <c r="N4124" s="514"/>
      <c r="R4124" s="293"/>
      <c r="S4124" s="316"/>
      <c r="T4124" s="355"/>
    </row>
    <row r="4125" spans="14:20" x14ac:dyDescent="0.25">
      <c r="N4125" s="514"/>
      <c r="R4125" s="293"/>
      <c r="S4125" s="316"/>
      <c r="T4125" s="355"/>
    </row>
    <row r="4126" spans="14:20" x14ac:dyDescent="0.25">
      <c r="N4126" s="514"/>
      <c r="R4126" s="293"/>
      <c r="S4126" s="316"/>
      <c r="T4126" s="355"/>
    </row>
    <row r="4127" spans="14:20" x14ac:dyDescent="0.25">
      <c r="N4127" s="514"/>
      <c r="R4127" s="293"/>
      <c r="S4127" s="316"/>
      <c r="T4127" s="355"/>
    </row>
    <row r="4128" spans="14:20" x14ac:dyDescent="0.25">
      <c r="N4128" s="514"/>
      <c r="R4128" s="293"/>
      <c r="S4128" s="316"/>
      <c r="T4128" s="355"/>
    </row>
    <row r="4129" spans="14:20" x14ac:dyDescent="0.25">
      <c r="N4129" s="514"/>
      <c r="R4129" s="293"/>
      <c r="S4129" s="316"/>
      <c r="T4129" s="355"/>
    </row>
    <row r="4130" spans="14:20" x14ac:dyDescent="0.25">
      <c r="N4130" s="514"/>
      <c r="R4130" s="293"/>
      <c r="S4130" s="316"/>
      <c r="T4130" s="355"/>
    </row>
    <row r="4131" spans="14:20" x14ac:dyDescent="0.25">
      <c r="N4131" s="514"/>
      <c r="R4131" s="293"/>
      <c r="S4131" s="316"/>
      <c r="T4131" s="355"/>
    </row>
    <row r="4132" spans="14:20" x14ac:dyDescent="0.25">
      <c r="N4132" s="514"/>
      <c r="R4132" s="293"/>
      <c r="S4132" s="316"/>
      <c r="T4132" s="355"/>
    </row>
    <row r="4133" spans="14:20" x14ac:dyDescent="0.25">
      <c r="N4133" s="514"/>
      <c r="R4133" s="293"/>
      <c r="S4133" s="316"/>
      <c r="T4133" s="355"/>
    </row>
    <row r="4134" spans="14:20" x14ac:dyDescent="0.25">
      <c r="N4134" s="514"/>
      <c r="R4134" s="293"/>
      <c r="S4134" s="316"/>
      <c r="T4134" s="355"/>
    </row>
    <row r="4135" spans="14:20" x14ac:dyDescent="0.25">
      <c r="N4135" s="514"/>
      <c r="R4135" s="293"/>
      <c r="S4135" s="316"/>
      <c r="T4135" s="355"/>
    </row>
    <row r="4136" spans="14:20" x14ac:dyDescent="0.25">
      <c r="N4136" s="514"/>
      <c r="R4136" s="293"/>
      <c r="S4136" s="316"/>
      <c r="T4136" s="355"/>
    </row>
    <row r="4137" spans="14:20" x14ac:dyDescent="0.25">
      <c r="N4137" s="514"/>
      <c r="R4137" s="293"/>
      <c r="S4137" s="316"/>
      <c r="T4137" s="355"/>
    </row>
    <row r="4138" spans="14:20" x14ac:dyDescent="0.25">
      <c r="N4138" s="514"/>
      <c r="R4138" s="293"/>
      <c r="S4138" s="316"/>
      <c r="T4138" s="355"/>
    </row>
    <row r="4139" spans="14:20" x14ac:dyDescent="0.25">
      <c r="N4139" s="514"/>
      <c r="R4139" s="293"/>
      <c r="S4139" s="316"/>
      <c r="T4139" s="355"/>
    </row>
    <row r="4140" spans="14:20" x14ac:dyDescent="0.25">
      <c r="N4140" s="514"/>
      <c r="R4140" s="293"/>
      <c r="S4140" s="316"/>
      <c r="T4140" s="355"/>
    </row>
    <row r="4141" spans="14:20" x14ac:dyDescent="0.25">
      <c r="N4141" s="514"/>
      <c r="R4141" s="293"/>
      <c r="S4141" s="316"/>
      <c r="T4141" s="355"/>
    </row>
    <row r="4142" spans="14:20" x14ac:dyDescent="0.25">
      <c r="N4142" s="514"/>
      <c r="R4142" s="293"/>
      <c r="S4142" s="316"/>
      <c r="T4142" s="355"/>
    </row>
    <row r="4143" spans="14:20" x14ac:dyDescent="0.25">
      <c r="N4143" s="514"/>
      <c r="R4143" s="293"/>
      <c r="S4143" s="316"/>
      <c r="T4143" s="355"/>
    </row>
    <row r="4144" spans="14:20" x14ac:dyDescent="0.25">
      <c r="N4144" s="514"/>
      <c r="R4144" s="293"/>
      <c r="S4144" s="316"/>
      <c r="T4144" s="355"/>
    </row>
    <row r="4145" spans="14:20" x14ac:dyDescent="0.25">
      <c r="N4145" s="514"/>
      <c r="R4145" s="293"/>
      <c r="S4145" s="316"/>
      <c r="T4145" s="355"/>
    </row>
    <row r="4146" spans="14:20" x14ac:dyDescent="0.25">
      <c r="N4146" s="514"/>
      <c r="R4146" s="293"/>
      <c r="S4146" s="316"/>
      <c r="T4146" s="355"/>
    </row>
    <row r="4147" spans="14:20" x14ac:dyDescent="0.25">
      <c r="N4147" s="514"/>
      <c r="R4147" s="293"/>
      <c r="S4147" s="316"/>
      <c r="T4147" s="355"/>
    </row>
    <row r="4148" spans="14:20" x14ac:dyDescent="0.25">
      <c r="N4148" s="514"/>
      <c r="R4148" s="293"/>
      <c r="S4148" s="316"/>
      <c r="T4148" s="355"/>
    </row>
    <row r="4149" spans="14:20" x14ac:dyDescent="0.25">
      <c r="N4149" s="514"/>
      <c r="R4149" s="293"/>
      <c r="S4149" s="316"/>
      <c r="T4149" s="355"/>
    </row>
    <row r="4150" spans="14:20" x14ac:dyDescent="0.25">
      <c r="N4150" s="514"/>
      <c r="R4150" s="293"/>
      <c r="S4150" s="316"/>
      <c r="T4150" s="355"/>
    </row>
    <row r="4151" spans="14:20" x14ac:dyDescent="0.25">
      <c r="N4151" s="514"/>
      <c r="R4151" s="293"/>
      <c r="S4151" s="316"/>
      <c r="T4151" s="355"/>
    </row>
    <row r="4152" spans="14:20" x14ac:dyDescent="0.25">
      <c r="N4152" s="514"/>
      <c r="R4152" s="293"/>
      <c r="S4152" s="316"/>
      <c r="T4152" s="355"/>
    </row>
    <row r="4153" spans="14:20" x14ac:dyDescent="0.25">
      <c r="N4153" s="514"/>
      <c r="R4153" s="293"/>
      <c r="S4153" s="316"/>
      <c r="T4153" s="355"/>
    </row>
    <row r="4154" spans="14:20" x14ac:dyDescent="0.25">
      <c r="N4154" s="514"/>
      <c r="R4154" s="293"/>
      <c r="S4154" s="316"/>
      <c r="T4154" s="355"/>
    </row>
    <row r="4155" spans="14:20" x14ac:dyDescent="0.25">
      <c r="N4155" s="514"/>
      <c r="R4155" s="293"/>
      <c r="S4155" s="316"/>
      <c r="T4155" s="355"/>
    </row>
    <row r="4156" spans="14:20" x14ac:dyDescent="0.25">
      <c r="N4156" s="514"/>
      <c r="R4156" s="293"/>
      <c r="S4156" s="316"/>
      <c r="T4156" s="355"/>
    </row>
    <row r="4157" spans="14:20" x14ac:dyDescent="0.25">
      <c r="N4157" s="514"/>
      <c r="R4157" s="293"/>
      <c r="S4157" s="316"/>
      <c r="T4157" s="355"/>
    </row>
    <row r="4158" spans="14:20" x14ac:dyDescent="0.25">
      <c r="N4158" s="514"/>
      <c r="R4158" s="293"/>
      <c r="S4158" s="316"/>
      <c r="T4158" s="355"/>
    </row>
    <row r="4159" spans="14:20" x14ac:dyDescent="0.25">
      <c r="N4159" s="514"/>
      <c r="R4159" s="293"/>
      <c r="S4159" s="316"/>
      <c r="T4159" s="355"/>
    </row>
    <row r="4160" spans="14:20" x14ac:dyDescent="0.25">
      <c r="N4160" s="514"/>
      <c r="R4160" s="293"/>
      <c r="S4160" s="316"/>
      <c r="T4160" s="355"/>
    </row>
    <row r="4161" spans="14:20" x14ac:dyDescent="0.25">
      <c r="N4161" s="514"/>
      <c r="R4161" s="293"/>
      <c r="S4161" s="316"/>
      <c r="T4161" s="355"/>
    </row>
    <row r="4162" spans="14:20" x14ac:dyDescent="0.25">
      <c r="N4162" s="514"/>
      <c r="R4162" s="293"/>
      <c r="S4162" s="316"/>
      <c r="T4162" s="355"/>
    </row>
    <row r="4163" spans="14:20" x14ac:dyDescent="0.25">
      <c r="N4163" s="514"/>
      <c r="R4163" s="293"/>
      <c r="S4163" s="316"/>
      <c r="T4163" s="355"/>
    </row>
    <row r="4164" spans="14:20" x14ac:dyDescent="0.25">
      <c r="N4164" s="514"/>
      <c r="R4164" s="293"/>
      <c r="S4164" s="316"/>
      <c r="T4164" s="355"/>
    </row>
    <row r="4165" spans="14:20" x14ac:dyDescent="0.25">
      <c r="N4165" s="514"/>
      <c r="R4165" s="293"/>
      <c r="S4165" s="316"/>
      <c r="T4165" s="355"/>
    </row>
    <row r="4166" spans="14:20" x14ac:dyDescent="0.25">
      <c r="N4166" s="514"/>
      <c r="R4166" s="293"/>
      <c r="S4166" s="316"/>
      <c r="T4166" s="355"/>
    </row>
    <row r="4167" spans="14:20" x14ac:dyDescent="0.25">
      <c r="N4167" s="514"/>
      <c r="R4167" s="293"/>
      <c r="S4167" s="316"/>
      <c r="T4167" s="355"/>
    </row>
    <row r="4168" spans="14:20" x14ac:dyDescent="0.25">
      <c r="N4168" s="514"/>
      <c r="R4168" s="293"/>
      <c r="S4168" s="316"/>
      <c r="T4168" s="355"/>
    </row>
    <row r="4169" spans="14:20" x14ac:dyDescent="0.25">
      <c r="N4169" s="514"/>
      <c r="R4169" s="293"/>
      <c r="S4169" s="316"/>
      <c r="T4169" s="355"/>
    </row>
    <row r="4170" spans="14:20" x14ac:dyDescent="0.25">
      <c r="N4170" s="514"/>
      <c r="R4170" s="293"/>
      <c r="S4170" s="316"/>
      <c r="T4170" s="355"/>
    </row>
    <row r="4171" spans="14:20" x14ac:dyDescent="0.25">
      <c r="N4171" s="514"/>
      <c r="R4171" s="293"/>
      <c r="S4171" s="316"/>
      <c r="T4171" s="355"/>
    </row>
    <row r="4172" spans="14:20" x14ac:dyDescent="0.25">
      <c r="N4172" s="514"/>
      <c r="R4172" s="293"/>
      <c r="S4172" s="316"/>
      <c r="T4172" s="355"/>
    </row>
    <row r="4173" spans="14:20" x14ac:dyDescent="0.25">
      <c r="N4173" s="514"/>
      <c r="R4173" s="293"/>
      <c r="S4173" s="316"/>
      <c r="T4173" s="355"/>
    </row>
    <row r="4174" spans="14:20" x14ac:dyDescent="0.25">
      <c r="N4174" s="514"/>
      <c r="R4174" s="293"/>
      <c r="S4174" s="316"/>
      <c r="T4174" s="355"/>
    </row>
    <row r="4175" spans="14:20" x14ac:dyDescent="0.25">
      <c r="N4175" s="514"/>
      <c r="R4175" s="293"/>
      <c r="S4175" s="316"/>
      <c r="T4175" s="355"/>
    </row>
    <row r="4176" spans="14:20" x14ac:dyDescent="0.25">
      <c r="N4176" s="514"/>
      <c r="R4176" s="293"/>
      <c r="S4176" s="316"/>
      <c r="T4176" s="355"/>
    </row>
    <row r="4177" spans="14:20" x14ac:dyDescent="0.25">
      <c r="N4177" s="514"/>
      <c r="R4177" s="293"/>
      <c r="S4177" s="316"/>
      <c r="T4177" s="355"/>
    </row>
    <row r="4178" spans="14:20" x14ac:dyDescent="0.25">
      <c r="N4178" s="514"/>
      <c r="R4178" s="293"/>
      <c r="S4178" s="316"/>
      <c r="T4178" s="355"/>
    </row>
    <row r="4179" spans="14:20" x14ac:dyDescent="0.25">
      <c r="N4179" s="514"/>
      <c r="R4179" s="293"/>
      <c r="S4179" s="316"/>
      <c r="T4179" s="355"/>
    </row>
    <row r="4180" spans="14:20" x14ac:dyDescent="0.25">
      <c r="N4180" s="514"/>
      <c r="R4180" s="293"/>
      <c r="S4180" s="316"/>
      <c r="T4180" s="355"/>
    </row>
    <row r="4181" spans="14:20" x14ac:dyDescent="0.25">
      <c r="N4181" s="514"/>
      <c r="R4181" s="293"/>
      <c r="S4181" s="316"/>
      <c r="T4181" s="355"/>
    </row>
    <row r="4182" spans="14:20" x14ac:dyDescent="0.25">
      <c r="N4182" s="514"/>
      <c r="R4182" s="293"/>
      <c r="S4182" s="316"/>
      <c r="T4182" s="355"/>
    </row>
    <row r="4183" spans="14:20" x14ac:dyDescent="0.25">
      <c r="N4183" s="514"/>
      <c r="R4183" s="293"/>
      <c r="S4183" s="316"/>
      <c r="T4183" s="355"/>
    </row>
    <row r="4184" spans="14:20" x14ac:dyDescent="0.25">
      <c r="N4184" s="514"/>
      <c r="R4184" s="293"/>
      <c r="S4184" s="316"/>
      <c r="T4184" s="355"/>
    </row>
    <row r="4185" spans="14:20" x14ac:dyDescent="0.25">
      <c r="N4185" s="514"/>
      <c r="R4185" s="293"/>
      <c r="S4185" s="316"/>
      <c r="T4185" s="355"/>
    </row>
    <row r="4186" spans="14:20" x14ac:dyDescent="0.25">
      <c r="N4186" s="514"/>
      <c r="R4186" s="293"/>
      <c r="S4186" s="316"/>
      <c r="T4186" s="355"/>
    </row>
    <row r="4187" spans="14:20" x14ac:dyDescent="0.25">
      <c r="N4187" s="514"/>
      <c r="R4187" s="293"/>
      <c r="S4187" s="316"/>
      <c r="T4187" s="355"/>
    </row>
    <row r="4188" spans="14:20" x14ac:dyDescent="0.25">
      <c r="N4188" s="514"/>
      <c r="R4188" s="293"/>
      <c r="S4188" s="316"/>
      <c r="T4188" s="355"/>
    </row>
    <row r="4189" spans="14:20" x14ac:dyDescent="0.25">
      <c r="N4189" s="514"/>
      <c r="R4189" s="293"/>
      <c r="S4189" s="316"/>
      <c r="T4189" s="355"/>
    </row>
    <row r="4190" spans="14:20" x14ac:dyDescent="0.25">
      <c r="N4190" s="514"/>
      <c r="R4190" s="293"/>
      <c r="S4190" s="316"/>
      <c r="T4190" s="355"/>
    </row>
    <row r="4191" spans="14:20" x14ac:dyDescent="0.25">
      <c r="N4191" s="514"/>
      <c r="R4191" s="293"/>
      <c r="S4191" s="316"/>
      <c r="T4191" s="355"/>
    </row>
    <row r="4192" spans="14:20" x14ac:dyDescent="0.25">
      <c r="N4192" s="514"/>
      <c r="R4192" s="293"/>
      <c r="S4192" s="316"/>
      <c r="T4192" s="355"/>
    </row>
    <row r="4193" spans="14:20" x14ac:dyDescent="0.25">
      <c r="N4193" s="514"/>
      <c r="R4193" s="293"/>
      <c r="S4193" s="316"/>
      <c r="T4193" s="355"/>
    </row>
    <row r="4194" spans="14:20" x14ac:dyDescent="0.25">
      <c r="N4194" s="514"/>
      <c r="R4194" s="293"/>
      <c r="S4194" s="316"/>
      <c r="T4194" s="355"/>
    </row>
    <row r="4195" spans="14:20" x14ac:dyDescent="0.25">
      <c r="N4195" s="514"/>
      <c r="R4195" s="293"/>
      <c r="S4195" s="316"/>
      <c r="T4195" s="355"/>
    </row>
    <row r="4196" spans="14:20" x14ac:dyDescent="0.25">
      <c r="N4196" s="514"/>
      <c r="R4196" s="293"/>
      <c r="S4196" s="316"/>
      <c r="T4196" s="355"/>
    </row>
    <row r="4197" spans="14:20" x14ac:dyDescent="0.25">
      <c r="N4197" s="514"/>
      <c r="R4197" s="293"/>
      <c r="S4197" s="316"/>
      <c r="T4197" s="355"/>
    </row>
    <row r="4198" spans="14:20" x14ac:dyDescent="0.25">
      <c r="N4198" s="514"/>
      <c r="R4198" s="293"/>
      <c r="S4198" s="316"/>
      <c r="T4198" s="355"/>
    </row>
    <row r="4199" spans="14:20" x14ac:dyDescent="0.25">
      <c r="N4199" s="514"/>
      <c r="R4199" s="293"/>
      <c r="S4199" s="316"/>
      <c r="T4199" s="355"/>
    </row>
    <row r="4200" spans="14:20" x14ac:dyDescent="0.25">
      <c r="N4200" s="514"/>
      <c r="R4200" s="293"/>
      <c r="S4200" s="316"/>
      <c r="T4200" s="355"/>
    </row>
    <row r="4201" spans="14:20" x14ac:dyDescent="0.25">
      <c r="N4201" s="514"/>
      <c r="R4201" s="293"/>
      <c r="S4201" s="316"/>
      <c r="T4201" s="355"/>
    </row>
    <row r="4202" spans="14:20" x14ac:dyDescent="0.25">
      <c r="N4202" s="514"/>
      <c r="R4202" s="293"/>
      <c r="S4202" s="316"/>
      <c r="T4202" s="355"/>
    </row>
    <row r="4203" spans="14:20" x14ac:dyDescent="0.25">
      <c r="N4203" s="514"/>
      <c r="R4203" s="293"/>
      <c r="S4203" s="316"/>
      <c r="T4203" s="355"/>
    </row>
    <row r="4204" spans="14:20" x14ac:dyDescent="0.25">
      <c r="N4204" s="514"/>
      <c r="R4204" s="293"/>
      <c r="S4204" s="316"/>
      <c r="T4204" s="355"/>
    </row>
    <row r="4205" spans="14:20" x14ac:dyDescent="0.25">
      <c r="N4205" s="514"/>
      <c r="R4205" s="293"/>
      <c r="S4205" s="316"/>
      <c r="T4205" s="355"/>
    </row>
    <row r="4206" spans="14:20" x14ac:dyDescent="0.25">
      <c r="N4206" s="514"/>
      <c r="R4206" s="293"/>
      <c r="S4206" s="316"/>
      <c r="T4206" s="355"/>
    </row>
    <row r="4207" spans="14:20" x14ac:dyDescent="0.25">
      <c r="N4207" s="514"/>
      <c r="R4207" s="293"/>
      <c r="S4207" s="316"/>
      <c r="T4207" s="355"/>
    </row>
    <row r="4208" spans="14:20" x14ac:dyDescent="0.25">
      <c r="N4208" s="514"/>
      <c r="R4208" s="293"/>
      <c r="S4208" s="316"/>
      <c r="T4208" s="355"/>
    </row>
    <row r="4209" spans="14:20" x14ac:dyDescent="0.25">
      <c r="N4209" s="514"/>
      <c r="R4209" s="293"/>
      <c r="S4209" s="316"/>
      <c r="T4209" s="355"/>
    </row>
    <row r="4210" spans="14:20" x14ac:dyDescent="0.25">
      <c r="N4210" s="514"/>
      <c r="R4210" s="293"/>
      <c r="S4210" s="316"/>
      <c r="T4210" s="355"/>
    </row>
    <row r="4211" spans="14:20" x14ac:dyDescent="0.25">
      <c r="N4211" s="514"/>
      <c r="R4211" s="293"/>
      <c r="S4211" s="316"/>
      <c r="T4211" s="355"/>
    </row>
    <row r="4212" spans="14:20" x14ac:dyDescent="0.25">
      <c r="N4212" s="514"/>
      <c r="R4212" s="293"/>
      <c r="S4212" s="316"/>
      <c r="T4212" s="355"/>
    </row>
    <row r="4213" spans="14:20" x14ac:dyDescent="0.25">
      <c r="N4213" s="514"/>
      <c r="R4213" s="293"/>
      <c r="S4213" s="316"/>
      <c r="T4213" s="355"/>
    </row>
    <row r="4214" spans="14:20" x14ac:dyDescent="0.25">
      <c r="N4214" s="514"/>
      <c r="R4214" s="293"/>
      <c r="S4214" s="316"/>
      <c r="T4214" s="355"/>
    </row>
    <row r="4215" spans="14:20" x14ac:dyDescent="0.25">
      <c r="N4215" s="514"/>
      <c r="R4215" s="293"/>
      <c r="S4215" s="316"/>
      <c r="T4215" s="355"/>
    </row>
    <row r="4216" spans="14:20" x14ac:dyDescent="0.25">
      <c r="N4216" s="514"/>
      <c r="R4216" s="293"/>
      <c r="S4216" s="316"/>
      <c r="T4216" s="355"/>
    </row>
    <row r="4217" spans="14:20" x14ac:dyDescent="0.25">
      <c r="N4217" s="514"/>
      <c r="R4217" s="293"/>
      <c r="S4217" s="316"/>
      <c r="T4217" s="355"/>
    </row>
    <row r="4218" spans="14:20" x14ac:dyDescent="0.25">
      <c r="N4218" s="514"/>
      <c r="R4218" s="293"/>
      <c r="S4218" s="316"/>
      <c r="T4218" s="355"/>
    </row>
    <row r="4219" spans="14:20" x14ac:dyDescent="0.25">
      <c r="N4219" s="514"/>
      <c r="R4219" s="293"/>
      <c r="S4219" s="316"/>
      <c r="T4219" s="355"/>
    </row>
    <row r="4220" spans="14:20" x14ac:dyDescent="0.25">
      <c r="N4220" s="514"/>
      <c r="R4220" s="293"/>
      <c r="S4220" s="316"/>
      <c r="T4220" s="355"/>
    </row>
    <row r="4221" spans="14:20" x14ac:dyDescent="0.25">
      <c r="N4221" s="514"/>
      <c r="R4221" s="293"/>
      <c r="S4221" s="316"/>
      <c r="T4221" s="355"/>
    </row>
    <row r="4222" spans="14:20" x14ac:dyDescent="0.25">
      <c r="N4222" s="514"/>
      <c r="R4222" s="293"/>
      <c r="S4222" s="316"/>
      <c r="T4222" s="355"/>
    </row>
    <row r="4223" spans="14:20" x14ac:dyDescent="0.25">
      <c r="N4223" s="514"/>
      <c r="R4223" s="293"/>
      <c r="S4223" s="316"/>
      <c r="T4223" s="355"/>
    </row>
    <row r="4224" spans="14:20" x14ac:dyDescent="0.25">
      <c r="N4224" s="514"/>
      <c r="R4224" s="293"/>
      <c r="S4224" s="316"/>
      <c r="T4224" s="355"/>
    </row>
    <row r="4225" spans="14:20" x14ac:dyDescent="0.25">
      <c r="N4225" s="514"/>
      <c r="R4225" s="293"/>
      <c r="S4225" s="316"/>
      <c r="T4225" s="355"/>
    </row>
    <row r="4226" spans="14:20" x14ac:dyDescent="0.25">
      <c r="N4226" s="514"/>
      <c r="R4226" s="293"/>
      <c r="S4226" s="316"/>
      <c r="T4226" s="355"/>
    </row>
    <row r="4227" spans="14:20" x14ac:dyDescent="0.25">
      <c r="N4227" s="514"/>
      <c r="R4227" s="293"/>
      <c r="S4227" s="316"/>
      <c r="T4227" s="355"/>
    </row>
    <row r="4228" spans="14:20" x14ac:dyDescent="0.25">
      <c r="N4228" s="514"/>
      <c r="R4228" s="293"/>
      <c r="S4228" s="316"/>
      <c r="T4228" s="355"/>
    </row>
    <row r="4229" spans="14:20" x14ac:dyDescent="0.25">
      <c r="N4229" s="514"/>
      <c r="R4229" s="293"/>
      <c r="S4229" s="316"/>
      <c r="T4229" s="355"/>
    </row>
    <row r="4230" spans="14:20" x14ac:dyDescent="0.25">
      <c r="N4230" s="514"/>
      <c r="R4230" s="293"/>
      <c r="S4230" s="316"/>
      <c r="T4230" s="355"/>
    </row>
    <row r="4231" spans="14:20" x14ac:dyDescent="0.25">
      <c r="N4231" s="514"/>
      <c r="R4231" s="293"/>
      <c r="S4231" s="316"/>
      <c r="T4231" s="355"/>
    </row>
    <row r="4232" spans="14:20" x14ac:dyDescent="0.25">
      <c r="N4232" s="514"/>
      <c r="R4232" s="293"/>
      <c r="S4232" s="316"/>
      <c r="T4232" s="355"/>
    </row>
    <row r="4233" spans="14:20" x14ac:dyDescent="0.25">
      <c r="N4233" s="514"/>
      <c r="R4233" s="293"/>
      <c r="S4233" s="316"/>
      <c r="T4233" s="355"/>
    </row>
    <row r="4234" spans="14:20" x14ac:dyDescent="0.25">
      <c r="N4234" s="514"/>
      <c r="R4234" s="293"/>
      <c r="S4234" s="316"/>
      <c r="T4234" s="355"/>
    </row>
    <row r="4235" spans="14:20" x14ac:dyDescent="0.25">
      <c r="N4235" s="514"/>
      <c r="R4235" s="293"/>
      <c r="S4235" s="316"/>
      <c r="T4235" s="355"/>
    </row>
    <row r="4236" spans="14:20" x14ac:dyDescent="0.25">
      <c r="N4236" s="514"/>
      <c r="R4236" s="293"/>
      <c r="S4236" s="316"/>
      <c r="T4236" s="355"/>
    </row>
    <row r="4237" spans="14:20" x14ac:dyDescent="0.25">
      <c r="N4237" s="514"/>
      <c r="R4237" s="293"/>
      <c r="S4237" s="316"/>
      <c r="T4237" s="355"/>
    </row>
    <row r="4238" spans="14:20" x14ac:dyDescent="0.25">
      <c r="N4238" s="514"/>
      <c r="R4238" s="293"/>
      <c r="S4238" s="316"/>
      <c r="T4238" s="355"/>
    </row>
    <row r="4239" spans="14:20" x14ac:dyDescent="0.25">
      <c r="N4239" s="514"/>
      <c r="R4239" s="293"/>
      <c r="S4239" s="316"/>
      <c r="T4239" s="355"/>
    </row>
    <row r="4240" spans="14:20" x14ac:dyDescent="0.25">
      <c r="N4240" s="514"/>
      <c r="R4240" s="293"/>
      <c r="S4240" s="316"/>
      <c r="T4240" s="355"/>
    </row>
    <row r="4241" spans="14:20" x14ac:dyDescent="0.25">
      <c r="N4241" s="514"/>
      <c r="R4241" s="293"/>
      <c r="S4241" s="316"/>
      <c r="T4241" s="355"/>
    </row>
    <row r="4242" spans="14:20" x14ac:dyDescent="0.25">
      <c r="N4242" s="514"/>
      <c r="R4242" s="293"/>
      <c r="S4242" s="316"/>
      <c r="T4242" s="355"/>
    </row>
    <row r="4243" spans="14:20" x14ac:dyDescent="0.25">
      <c r="N4243" s="514"/>
      <c r="R4243" s="293"/>
      <c r="S4243" s="316"/>
      <c r="T4243" s="355"/>
    </row>
    <row r="4244" spans="14:20" x14ac:dyDescent="0.25">
      <c r="N4244" s="514"/>
      <c r="R4244" s="293"/>
      <c r="S4244" s="316"/>
      <c r="T4244" s="355"/>
    </row>
    <row r="4245" spans="14:20" x14ac:dyDescent="0.25">
      <c r="N4245" s="514"/>
      <c r="R4245" s="293"/>
      <c r="S4245" s="316"/>
      <c r="T4245" s="355"/>
    </row>
    <row r="4246" spans="14:20" x14ac:dyDescent="0.25">
      <c r="N4246" s="514"/>
      <c r="R4246" s="293"/>
      <c r="S4246" s="316"/>
      <c r="T4246" s="355"/>
    </row>
    <row r="4247" spans="14:20" x14ac:dyDescent="0.25">
      <c r="N4247" s="514"/>
      <c r="R4247" s="293"/>
      <c r="S4247" s="316"/>
      <c r="T4247" s="355"/>
    </row>
    <row r="4248" spans="14:20" x14ac:dyDescent="0.25">
      <c r="N4248" s="514"/>
      <c r="R4248" s="293"/>
      <c r="S4248" s="316"/>
      <c r="T4248" s="355"/>
    </row>
    <row r="4249" spans="14:20" x14ac:dyDescent="0.25">
      <c r="N4249" s="514"/>
      <c r="R4249" s="293"/>
      <c r="S4249" s="316"/>
      <c r="T4249" s="355"/>
    </row>
    <row r="4250" spans="14:20" x14ac:dyDescent="0.25">
      <c r="N4250" s="514"/>
      <c r="R4250" s="293"/>
      <c r="S4250" s="316"/>
      <c r="T4250" s="355"/>
    </row>
    <row r="4251" spans="14:20" x14ac:dyDescent="0.25">
      <c r="N4251" s="514"/>
      <c r="R4251" s="293"/>
      <c r="S4251" s="316"/>
      <c r="T4251" s="355"/>
    </row>
    <row r="4252" spans="14:20" x14ac:dyDescent="0.25">
      <c r="N4252" s="514"/>
      <c r="R4252" s="293"/>
      <c r="S4252" s="316"/>
      <c r="T4252" s="355"/>
    </row>
    <row r="4253" spans="14:20" x14ac:dyDescent="0.25">
      <c r="N4253" s="514"/>
      <c r="R4253" s="293"/>
      <c r="S4253" s="316"/>
      <c r="T4253" s="355"/>
    </row>
    <row r="4254" spans="14:20" x14ac:dyDescent="0.25">
      <c r="N4254" s="514"/>
      <c r="R4254" s="293"/>
      <c r="S4254" s="316"/>
      <c r="T4254" s="355"/>
    </row>
    <row r="4255" spans="14:20" x14ac:dyDescent="0.25">
      <c r="N4255" s="514"/>
      <c r="R4255" s="293"/>
      <c r="S4255" s="316"/>
      <c r="T4255" s="355"/>
    </row>
    <row r="4256" spans="14:20" x14ac:dyDescent="0.25">
      <c r="N4256" s="514"/>
      <c r="R4256" s="293"/>
      <c r="S4256" s="316"/>
      <c r="T4256" s="355"/>
    </row>
    <row r="4257" spans="14:20" x14ac:dyDescent="0.25">
      <c r="N4257" s="514"/>
      <c r="R4257" s="293"/>
      <c r="S4257" s="316"/>
      <c r="T4257" s="355"/>
    </row>
    <row r="4258" spans="14:20" x14ac:dyDescent="0.25">
      <c r="N4258" s="514"/>
      <c r="R4258" s="293"/>
      <c r="S4258" s="316"/>
      <c r="T4258" s="355"/>
    </row>
    <row r="4259" spans="14:20" x14ac:dyDescent="0.25">
      <c r="N4259" s="514"/>
      <c r="R4259" s="293"/>
      <c r="S4259" s="316"/>
      <c r="T4259" s="355"/>
    </row>
    <row r="4260" spans="14:20" x14ac:dyDescent="0.25">
      <c r="N4260" s="514"/>
      <c r="R4260" s="293"/>
      <c r="S4260" s="316"/>
      <c r="T4260" s="355"/>
    </row>
    <row r="4261" spans="14:20" x14ac:dyDescent="0.25">
      <c r="N4261" s="514"/>
      <c r="R4261" s="293"/>
      <c r="S4261" s="316"/>
      <c r="T4261" s="355"/>
    </row>
    <row r="4262" spans="14:20" x14ac:dyDescent="0.25">
      <c r="N4262" s="514"/>
      <c r="R4262" s="293"/>
      <c r="S4262" s="316"/>
      <c r="T4262" s="355"/>
    </row>
    <row r="4263" spans="14:20" x14ac:dyDescent="0.25">
      <c r="N4263" s="514"/>
      <c r="R4263" s="293"/>
      <c r="S4263" s="316"/>
      <c r="T4263" s="355"/>
    </row>
    <row r="4264" spans="14:20" x14ac:dyDescent="0.25">
      <c r="N4264" s="514"/>
      <c r="R4264" s="293"/>
      <c r="S4264" s="316"/>
      <c r="T4264" s="355"/>
    </row>
    <row r="4265" spans="14:20" x14ac:dyDescent="0.25">
      <c r="N4265" s="514"/>
      <c r="R4265" s="293"/>
      <c r="S4265" s="316"/>
      <c r="T4265" s="355"/>
    </row>
    <row r="4266" spans="14:20" x14ac:dyDescent="0.25">
      <c r="N4266" s="514"/>
      <c r="R4266" s="293"/>
      <c r="S4266" s="316"/>
      <c r="T4266" s="355"/>
    </row>
    <row r="4267" spans="14:20" x14ac:dyDescent="0.25">
      <c r="N4267" s="514"/>
      <c r="R4267" s="293"/>
      <c r="S4267" s="316"/>
      <c r="T4267" s="355"/>
    </row>
    <row r="4268" spans="14:20" x14ac:dyDescent="0.25">
      <c r="N4268" s="514"/>
      <c r="R4268" s="293"/>
      <c r="S4268" s="316"/>
      <c r="T4268" s="355"/>
    </row>
    <row r="4269" spans="14:20" x14ac:dyDescent="0.25">
      <c r="N4269" s="514"/>
      <c r="R4269" s="293"/>
      <c r="S4269" s="316"/>
      <c r="T4269" s="355"/>
    </row>
    <row r="4270" spans="14:20" x14ac:dyDescent="0.25">
      <c r="N4270" s="514"/>
      <c r="R4270" s="293"/>
      <c r="S4270" s="316"/>
      <c r="T4270" s="355"/>
    </row>
    <row r="4271" spans="14:20" x14ac:dyDescent="0.25">
      <c r="N4271" s="514"/>
      <c r="R4271" s="293"/>
      <c r="S4271" s="316"/>
      <c r="T4271" s="355"/>
    </row>
    <row r="4272" spans="14:20" x14ac:dyDescent="0.25">
      <c r="N4272" s="514"/>
      <c r="R4272" s="293"/>
      <c r="S4272" s="316"/>
      <c r="T4272" s="355"/>
    </row>
    <row r="4273" spans="14:20" x14ac:dyDescent="0.25">
      <c r="N4273" s="514"/>
      <c r="R4273" s="293"/>
      <c r="S4273" s="316"/>
      <c r="T4273" s="355"/>
    </row>
    <row r="4274" spans="14:20" x14ac:dyDescent="0.25">
      <c r="N4274" s="514"/>
      <c r="R4274" s="293"/>
      <c r="S4274" s="316"/>
      <c r="T4274" s="355"/>
    </row>
    <row r="4275" spans="14:20" x14ac:dyDescent="0.25">
      <c r="N4275" s="514"/>
      <c r="R4275" s="293"/>
      <c r="S4275" s="316"/>
      <c r="T4275" s="355"/>
    </row>
    <row r="4276" spans="14:20" x14ac:dyDescent="0.25">
      <c r="N4276" s="514"/>
      <c r="R4276" s="293"/>
      <c r="S4276" s="316"/>
      <c r="T4276" s="355"/>
    </row>
    <row r="4277" spans="14:20" x14ac:dyDescent="0.25">
      <c r="N4277" s="514"/>
      <c r="R4277" s="293"/>
      <c r="S4277" s="316"/>
      <c r="T4277" s="355"/>
    </row>
    <row r="4278" spans="14:20" x14ac:dyDescent="0.25">
      <c r="N4278" s="514"/>
      <c r="R4278" s="293"/>
      <c r="S4278" s="316"/>
      <c r="T4278" s="355"/>
    </row>
    <row r="4279" spans="14:20" x14ac:dyDescent="0.25">
      <c r="N4279" s="514"/>
      <c r="R4279" s="293"/>
      <c r="S4279" s="316"/>
      <c r="T4279" s="355"/>
    </row>
    <row r="4280" spans="14:20" x14ac:dyDescent="0.25">
      <c r="N4280" s="514"/>
      <c r="R4280" s="293"/>
      <c r="S4280" s="316"/>
      <c r="T4280" s="355"/>
    </row>
    <row r="4281" spans="14:20" x14ac:dyDescent="0.25">
      <c r="N4281" s="514"/>
      <c r="R4281" s="293"/>
      <c r="S4281" s="316"/>
      <c r="T4281" s="355"/>
    </row>
    <row r="4282" spans="14:20" x14ac:dyDescent="0.25">
      <c r="N4282" s="514"/>
      <c r="R4282" s="293"/>
      <c r="S4282" s="316"/>
      <c r="T4282" s="355"/>
    </row>
    <row r="4283" spans="14:20" x14ac:dyDescent="0.25">
      <c r="N4283" s="514"/>
      <c r="R4283" s="293"/>
      <c r="S4283" s="316"/>
      <c r="T4283" s="355"/>
    </row>
    <row r="4284" spans="14:20" x14ac:dyDescent="0.25">
      <c r="N4284" s="514"/>
      <c r="R4284" s="293"/>
      <c r="S4284" s="316"/>
      <c r="T4284" s="355"/>
    </row>
    <row r="4285" spans="14:20" x14ac:dyDescent="0.25">
      <c r="N4285" s="514"/>
      <c r="R4285" s="293"/>
      <c r="S4285" s="316"/>
      <c r="T4285" s="355"/>
    </row>
    <row r="4286" spans="14:20" x14ac:dyDescent="0.25">
      <c r="N4286" s="514"/>
      <c r="R4286" s="293"/>
      <c r="S4286" s="316"/>
      <c r="T4286" s="355"/>
    </row>
    <row r="4287" spans="14:20" x14ac:dyDescent="0.25">
      <c r="N4287" s="514"/>
      <c r="R4287" s="293"/>
      <c r="S4287" s="316"/>
      <c r="T4287" s="355"/>
    </row>
    <row r="4288" spans="14:20" x14ac:dyDescent="0.25">
      <c r="N4288" s="514"/>
      <c r="R4288" s="293"/>
      <c r="S4288" s="316"/>
      <c r="T4288" s="355"/>
    </row>
    <row r="4289" spans="14:20" x14ac:dyDescent="0.25">
      <c r="N4289" s="514"/>
      <c r="R4289" s="293"/>
      <c r="S4289" s="316"/>
      <c r="T4289" s="355"/>
    </row>
    <row r="4290" spans="14:20" x14ac:dyDescent="0.25">
      <c r="N4290" s="514"/>
      <c r="R4290" s="293"/>
      <c r="S4290" s="316"/>
      <c r="T4290" s="355"/>
    </row>
    <row r="4291" spans="14:20" x14ac:dyDescent="0.25">
      <c r="N4291" s="514"/>
      <c r="R4291" s="293"/>
      <c r="S4291" s="316"/>
      <c r="T4291" s="355"/>
    </row>
    <row r="4292" spans="14:20" x14ac:dyDescent="0.25">
      <c r="N4292" s="514"/>
      <c r="R4292" s="293"/>
      <c r="S4292" s="316"/>
      <c r="T4292" s="355"/>
    </row>
    <row r="4293" spans="14:20" x14ac:dyDescent="0.25">
      <c r="N4293" s="514"/>
      <c r="R4293" s="293"/>
      <c r="S4293" s="316"/>
      <c r="T4293" s="355"/>
    </row>
    <row r="4294" spans="14:20" x14ac:dyDescent="0.25">
      <c r="N4294" s="514"/>
      <c r="R4294" s="293"/>
      <c r="S4294" s="316"/>
      <c r="T4294" s="355"/>
    </row>
    <row r="4295" spans="14:20" x14ac:dyDescent="0.25">
      <c r="N4295" s="514"/>
      <c r="R4295" s="293"/>
      <c r="S4295" s="316"/>
      <c r="T4295" s="355"/>
    </row>
    <row r="4296" spans="14:20" x14ac:dyDescent="0.25">
      <c r="N4296" s="514"/>
      <c r="R4296" s="293"/>
      <c r="S4296" s="316"/>
      <c r="T4296" s="355"/>
    </row>
    <row r="4297" spans="14:20" x14ac:dyDescent="0.25">
      <c r="N4297" s="514"/>
      <c r="R4297" s="293"/>
      <c r="S4297" s="316"/>
      <c r="T4297" s="355"/>
    </row>
    <row r="4298" spans="14:20" x14ac:dyDescent="0.25">
      <c r="N4298" s="514"/>
      <c r="R4298" s="293"/>
      <c r="S4298" s="316"/>
      <c r="T4298" s="355"/>
    </row>
    <row r="4299" spans="14:20" x14ac:dyDescent="0.25">
      <c r="N4299" s="514"/>
      <c r="R4299" s="293"/>
      <c r="S4299" s="316"/>
      <c r="T4299" s="355"/>
    </row>
    <row r="4300" spans="14:20" x14ac:dyDescent="0.25">
      <c r="N4300" s="514"/>
      <c r="R4300" s="293"/>
      <c r="S4300" s="316"/>
      <c r="T4300" s="355"/>
    </row>
    <row r="4301" spans="14:20" x14ac:dyDescent="0.25">
      <c r="N4301" s="514"/>
      <c r="R4301" s="293"/>
      <c r="S4301" s="316"/>
      <c r="T4301" s="355"/>
    </row>
    <row r="4302" spans="14:20" x14ac:dyDescent="0.25">
      <c r="N4302" s="514"/>
      <c r="R4302" s="293"/>
      <c r="S4302" s="316"/>
      <c r="T4302" s="355"/>
    </row>
    <row r="4303" spans="14:20" x14ac:dyDescent="0.25">
      <c r="N4303" s="514"/>
      <c r="R4303" s="293"/>
      <c r="S4303" s="316"/>
      <c r="T4303" s="355"/>
    </row>
    <row r="4304" spans="14:20" x14ac:dyDescent="0.25">
      <c r="N4304" s="514"/>
      <c r="R4304" s="293"/>
      <c r="S4304" s="316"/>
      <c r="T4304" s="355"/>
    </row>
    <row r="4305" spans="14:20" x14ac:dyDescent="0.25">
      <c r="N4305" s="514"/>
      <c r="R4305" s="293"/>
      <c r="S4305" s="316"/>
      <c r="T4305" s="355"/>
    </row>
    <row r="4306" spans="14:20" x14ac:dyDescent="0.25">
      <c r="N4306" s="514"/>
      <c r="R4306" s="293"/>
      <c r="S4306" s="316"/>
      <c r="T4306" s="355"/>
    </row>
    <row r="4307" spans="14:20" x14ac:dyDescent="0.25">
      <c r="N4307" s="514"/>
      <c r="R4307" s="293"/>
      <c r="S4307" s="316"/>
      <c r="T4307" s="355"/>
    </row>
    <row r="4308" spans="14:20" x14ac:dyDescent="0.25">
      <c r="N4308" s="514"/>
      <c r="R4308" s="293"/>
      <c r="S4308" s="316"/>
      <c r="T4308" s="355"/>
    </row>
    <row r="4309" spans="14:20" x14ac:dyDescent="0.25">
      <c r="N4309" s="514"/>
      <c r="R4309" s="293"/>
      <c r="S4309" s="316"/>
      <c r="T4309" s="355"/>
    </row>
    <row r="4310" spans="14:20" x14ac:dyDescent="0.25">
      <c r="N4310" s="514"/>
      <c r="R4310" s="293"/>
      <c r="S4310" s="316"/>
      <c r="T4310" s="355"/>
    </row>
    <row r="4311" spans="14:20" x14ac:dyDescent="0.25">
      <c r="N4311" s="514"/>
      <c r="R4311" s="293"/>
      <c r="S4311" s="316"/>
      <c r="T4311" s="355"/>
    </row>
    <row r="4312" spans="14:20" x14ac:dyDescent="0.25">
      <c r="N4312" s="514"/>
      <c r="R4312" s="293"/>
      <c r="S4312" s="316"/>
      <c r="T4312" s="355"/>
    </row>
    <row r="4313" spans="14:20" x14ac:dyDescent="0.25">
      <c r="N4313" s="514"/>
      <c r="R4313" s="293"/>
      <c r="S4313" s="316"/>
      <c r="T4313" s="355"/>
    </row>
    <row r="4314" spans="14:20" x14ac:dyDescent="0.25">
      <c r="N4314" s="514"/>
      <c r="R4314" s="293"/>
      <c r="S4314" s="316"/>
      <c r="T4314" s="355"/>
    </row>
    <row r="4315" spans="14:20" x14ac:dyDescent="0.25">
      <c r="N4315" s="514"/>
      <c r="R4315" s="293"/>
      <c r="S4315" s="316"/>
      <c r="T4315" s="355"/>
    </row>
    <row r="4316" spans="14:20" x14ac:dyDescent="0.25">
      <c r="N4316" s="514"/>
      <c r="R4316" s="293"/>
      <c r="S4316" s="316"/>
      <c r="T4316" s="355"/>
    </row>
    <row r="4317" spans="14:20" x14ac:dyDescent="0.25">
      <c r="N4317" s="514"/>
      <c r="R4317" s="293"/>
      <c r="S4317" s="316"/>
      <c r="T4317" s="355"/>
    </row>
    <row r="4318" spans="14:20" x14ac:dyDescent="0.25">
      <c r="N4318" s="514"/>
      <c r="R4318" s="293"/>
      <c r="S4318" s="316"/>
      <c r="T4318" s="355"/>
    </row>
    <row r="4319" spans="14:20" x14ac:dyDescent="0.25">
      <c r="N4319" s="514"/>
      <c r="R4319" s="293"/>
      <c r="S4319" s="316"/>
      <c r="T4319" s="355"/>
    </row>
    <row r="4320" spans="14:20" x14ac:dyDescent="0.25">
      <c r="N4320" s="514"/>
      <c r="R4320" s="293"/>
      <c r="S4320" s="316"/>
      <c r="T4320" s="355"/>
    </row>
    <row r="4321" spans="14:20" x14ac:dyDescent="0.25">
      <c r="N4321" s="514"/>
      <c r="R4321" s="293"/>
      <c r="S4321" s="316"/>
      <c r="T4321" s="355"/>
    </row>
    <row r="4322" spans="14:20" x14ac:dyDescent="0.25">
      <c r="N4322" s="514"/>
      <c r="R4322" s="293"/>
      <c r="S4322" s="316"/>
      <c r="T4322" s="355"/>
    </row>
    <row r="4323" spans="14:20" x14ac:dyDescent="0.25">
      <c r="N4323" s="514"/>
      <c r="R4323" s="293"/>
      <c r="S4323" s="316"/>
      <c r="T4323" s="355"/>
    </row>
    <row r="4324" spans="14:20" x14ac:dyDescent="0.25">
      <c r="N4324" s="514"/>
      <c r="R4324" s="293"/>
      <c r="S4324" s="316"/>
      <c r="T4324" s="355"/>
    </row>
    <row r="4325" spans="14:20" x14ac:dyDescent="0.25">
      <c r="N4325" s="514"/>
      <c r="R4325" s="293"/>
      <c r="S4325" s="316"/>
      <c r="T4325" s="355"/>
    </row>
    <row r="4326" spans="14:20" x14ac:dyDescent="0.25">
      <c r="N4326" s="514"/>
      <c r="R4326" s="293"/>
      <c r="S4326" s="316"/>
      <c r="T4326" s="355"/>
    </row>
    <row r="4327" spans="14:20" x14ac:dyDescent="0.25">
      <c r="N4327" s="514"/>
      <c r="R4327" s="293"/>
      <c r="S4327" s="316"/>
      <c r="T4327" s="355"/>
    </row>
    <row r="4328" spans="14:20" x14ac:dyDescent="0.25">
      <c r="N4328" s="514"/>
      <c r="R4328" s="293"/>
      <c r="S4328" s="316"/>
      <c r="T4328" s="355"/>
    </row>
    <row r="4329" spans="14:20" x14ac:dyDescent="0.25">
      <c r="N4329" s="514"/>
      <c r="R4329" s="293"/>
      <c r="S4329" s="316"/>
      <c r="T4329" s="355"/>
    </row>
    <row r="4330" spans="14:20" x14ac:dyDescent="0.25">
      <c r="N4330" s="514"/>
      <c r="R4330" s="293"/>
      <c r="S4330" s="316"/>
      <c r="T4330" s="355"/>
    </row>
    <row r="4331" spans="14:20" x14ac:dyDescent="0.25">
      <c r="N4331" s="514"/>
      <c r="R4331" s="293"/>
      <c r="S4331" s="316"/>
      <c r="T4331" s="355"/>
    </row>
    <row r="4332" spans="14:20" x14ac:dyDescent="0.25">
      <c r="N4332" s="514"/>
      <c r="R4332" s="293"/>
      <c r="S4332" s="316"/>
      <c r="T4332" s="355"/>
    </row>
    <row r="4333" spans="14:20" x14ac:dyDescent="0.25">
      <c r="N4333" s="514"/>
      <c r="R4333" s="293"/>
      <c r="S4333" s="316"/>
      <c r="T4333" s="355"/>
    </row>
    <row r="4334" spans="14:20" x14ac:dyDescent="0.25">
      <c r="N4334" s="514"/>
      <c r="R4334" s="293"/>
      <c r="S4334" s="316"/>
      <c r="T4334" s="355"/>
    </row>
    <row r="4335" spans="14:20" x14ac:dyDescent="0.25">
      <c r="N4335" s="514"/>
      <c r="R4335" s="293"/>
      <c r="S4335" s="316"/>
      <c r="T4335" s="355"/>
    </row>
    <row r="4336" spans="14:20" x14ac:dyDescent="0.25">
      <c r="N4336" s="514"/>
      <c r="R4336" s="293"/>
      <c r="S4336" s="316"/>
      <c r="T4336" s="355"/>
    </row>
    <row r="4337" spans="14:20" x14ac:dyDescent="0.25">
      <c r="N4337" s="514"/>
      <c r="R4337" s="293"/>
      <c r="S4337" s="316"/>
      <c r="T4337" s="355"/>
    </row>
    <row r="4338" spans="14:20" x14ac:dyDescent="0.25">
      <c r="N4338" s="514"/>
      <c r="R4338" s="293"/>
      <c r="S4338" s="316"/>
      <c r="T4338" s="355"/>
    </row>
    <row r="4339" spans="14:20" x14ac:dyDescent="0.25">
      <c r="N4339" s="514"/>
      <c r="R4339" s="293"/>
      <c r="S4339" s="316"/>
      <c r="T4339" s="355"/>
    </row>
    <row r="4340" spans="14:20" x14ac:dyDescent="0.25">
      <c r="N4340" s="514"/>
      <c r="R4340" s="293"/>
      <c r="S4340" s="316"/>
      <c r="T4340" s="355"/>
    </row>
    <row r="4341" spans="14:20" x14ac:dyDescent="0.25">
      <c r="N4341" s="514"/>
      <c r="R4341" s="293"/>
      <c r="S4341" s="316"/>
      <c r="T4341" s="355"/>
    </row>
    <row r="4342" spans="14:20" x14ac:dyDescent="0.25">
      <c r="N4342" s="514"/>
      <c r="R4342" s="293"/>
      <c r="S4342" s="316"/>
      <c r="T4342" s="355"/>
    </row>
    <row r="4343" spans="14:20" x14ac:dyDescent="0.25">
      <c r="N4343" s="514"/>
      <c r="R4343" s="293"/>
      <c r="S4343" s="316"/>
      <c r="T4343" s="355"/>
    </row>
    <row r="4344" spans="14:20" x14ac:dyDescent="0.25">
      <c r="N4344" s="514"/>
      <c r="R4344" s="293"/>
      <c r="S4344" s="316"/>
      <c r="T4344" s="355"/>
    </row>
    <row r="4345" spans="14:20" x14ac:dyDescent="0.25">
      <c r="N4345" s="514"/>
      <c r="R4345" s="293"/>
      <c r="S4345" s="316"/>
      <c r="T4345" s="355"/>
    </row>
    <row r="4346" spans="14:20" x14ac:dyDescent="0.25">
      <c r="N4346" s="514"/>
      <c r="R4346" s="293"/>
      <c r="S4346" s="316"/>
      <c r="T4346" s="355"/>
    </row>
    <row r="4347" spans="14:20" x14ac:dyDescent="0.25">
      <c r="N4347" s="514"/>
      <c r="R4347" s="293"/>
      <c r="S4347" s="316"/>
      <c r="T4347" s="355"/>
    </row>
    <row r="4348" spans="14:20" x14ac:dyDescent="0.25">
      <c r="N4348" s="514"/>
      <c r="R4348" s="293"/>
      <c r="S4348" s="316"/>
      <c r="T4348" s="355"/>
    </row>
    <row r="4349" spans="14:20" x14ac:dyDescent="0.25">
      <c r="N4349" s="514"/>
      <c r="R4349" s="293"/>
      <c r="S4349" s="316"/>
      <c r="T4349" s="355"/>
    </row>
    <row r="4350" spans="14:20" x14ac:dyDescent="0.25">
      <c r="N4350" s="514"/>
      <c r="R4350" s="293"/>
      <c r="S4350" s="316"/>
      <c r="T4350" s="355"/>
    </row>
    <row r="4351" spans="14:20" x14ac:dyDescent="0.25">
      <c r="N4351" s="514"/>
      <c r="R4351" s="293"/>
      <c r="S4351" s="316"/>
      <c r="T4351" s="355"/>
    </row>
    <row r="4352" spans="14:20" x14ac:dyDescent="0.25">
      <c r="N4352" s="514"/>
      <c r="R4352" s="293"/>
      <c r="S4352" s="316"/>
      <c r="T4352" s="355"/>
    </row>
    <row r="4353" spans="14:20" x14ac:dyDescent="0.25">
      <c r="N4353" s="514"/>
      <c r="R4353" s="293"/>
      <c r="S4353" s="316"/>
      <c r="T4353" s="355"/>
    </row>
    <row r="4354" spans="14:20" x14ac:dyDescent="0.25">
      <c r="N4354" s="514"/>
      <c r="R4354" s="293"/>
      <c r="S4354" s="316"/>
      <c r="T4354" s="355"/>
    </row>
    <row r="4355" spans="14:20" x14ac:dyDescent="0.25">
      <c r="N4355" s="514"/>
      <c r="R4355" s="293"/>
      <c r="S4355" s="316"/>
      <c r="T4355" s="355"/>
    </row>
    <row r="4356" spans="14:20" x14ac:dyDescent="0.25">
      <c r="N4356" s="514"/>
      <c r="R4356" s="293"/>
      <c r="S4356" s="316"/>
      <c r="T4356" s="355"/>
    </row>
    <row r="4357" spans="14:20" x14ac:dyDescent="0.25">
      <c r="N4357" s="514"/>
      <c r="R4357" s="293"/>
      <c r="S4357" s="316"/>
      <c r="T4357" s="355"/>
    </row>
    <row r="4358" spans="14:20" x14ac:dyDescent="0.25">
      <c r="N4358" s="514"/>
      <c r="R4358" s="293"/>
      <c r="S4358" s="316"/>
      <c r="T4358" s="355"/>
    </row>
    <row r="4359" spans="14:20" x14ac:dyDescent="0.25">
      <c r="N4359" s="514"/>
      <c r="R4359" s="293"/>
      <c r="S4359" s="316"/>
      <c r="T4359" s="355"/>
    </row>
    <row r="4360" spans="14:20" x14ac:dyDescent="0.25">
      <c r="N4360" s="514"/>
      <c r="R4360" s="293"/>
      <c r="S4360" s="316"/>
      <c r="T4360" s="355"/>
    </row>
    <row r="4361" spans="14:20" x14ac:dyDescent="0.25">
      <c r="N4361" s="514"/>
      <c r="R4361" s="293"/>
      <c r="S4361" s="316"/>
      <c r="T4361" s="355"/>
    </row>
    <row r="4362" spans="14:20" x14ac:dyDescent="0.25">
      <c r="N4362" s="514"/>
      <c r="R4362" s="293"/>
      <c r="S4362" s="316"/>
      <c r="T4362" s="355"/>
    </row>
    <row r="4363" spans="14:20" x14ac:dyDescent="0.25">
      <c r="N4363" s="514"/>
      <c r="R4363" s="293"/>
      <c r="S4363" s="316"/>
      <c r="T4363" s="355"/>
    </row>
    <row r="4364" spans="14:20" x14ac:dyDescent="0.25">
      <c r="N4364" s="514"/>
      <c r="R4364" s="293"/>
      <c r="S4364" s="316"/>
      <c r="T4364" s="355"/>
    </row>
    <row r="4365" spans="14:20" x14ac:dyDescent="0.25">
      <c r="N4365" s="514"/>
      <c r="R4365" s="293"/>
      <c r="S4365" s="316"/>
      <c r="T4365" s="355"/>
    </row>
    <row r="4366" spans="14:20" x14ac:dyDescent="0.25">
      <c r="N4366" s="514"/>
      <c r="R4366" s="293"/>
      <c r="S4366" s="316"/>
      <c r="T4366" s="355"/>
    </row>
    <row r="4367" spans="14:20" x14ac:dyDescent="0.25">
      <c r="N4367" s="514"/>
      <c r="R4367" s="293"/>
      <c r="S4367" s="316"/>
      <c r="T4367" s="355"/>
    </row>
    <row r="4368" spans="14:20" x14ac:dyDescent="0.25">
      <c r="N4368" s="514"/>
      <c r="R4368" s="293"/>
      <c r="S4368" s="316"/>
      <c r="T4368" s="355"/>
    </row>
    <row r="4369" spans="14:20" x14ac:dyDescent="0.25">
      <c r="N4369" s="514"/>
      <c r="R4369" s="293"/>
      <c r="S4369" s="316"/>
      <c r="T4369" s="355"/>
    </row>
    <row r="4370" spans="14:20" x14ac:dyDescent="0.25">
      <c r="N4370" s="514"/>
      <c r="R4370" s="293"/>
      <c r="S4370" s="316"/>
      <c r="T4370" s="355"/>
    </row>
    <row r="4371" spans="14:20" x14ac:dyDescent="0.25">
      <c r="N4371" s="514"/>
      <c r="R4371" s="293"/>
      <c r="S4371" s="316"/>
      <c r="T4371" s="355"/>
    </row>
    <row r="4372" spans="14:20" x14ac:dyDescent="0.25">
      <c r="N4372" s="514"/>
      <c r="R4372" s="293"/>
      <c r="S4372" s="316"/>
      <c r="T4372" s="355"/>
    </row>
    <row r="4373" spans="14:20" x14ac:dyDescent="0.25">
      <c r="N4373" s="514"/>
      <c r="R4373" s="293"/>
      <c r="S4373" s="316"/>
      <c r="T4373" s="355"/>
    </row>
    <row r="4374" spans="14:20" x14ac:dyDescent="0.25">
      <c r="N4374" s="514"/>
      <c r="R4374" s="293"/>
      <c r="S4374" s="316"/>
      <c r="T4374" s="355"/>
    </row>
    <row r="4375" spans="14:20" x14ac:dyDescent="0.25">
      <c r="N4375" s="514"/>
      <c r="R4375" s="293"/>
      <c r="S4375" s="316"/>
      <c r="T4375" s="355"/>
    </row>
    <row r="4376" spans="14:20" x14ac:dyDescent="0.25">
      <c r="N4376" s="514"/>
      <c r="R4376" s="293"/>
      <c r="S4376" s="316"/>
      <c r="T4376" s="355"/>
    </row>
    <row r="4377" spans="14:20" x14ac:dyDescent="0.25">
      <c r="N4377" s="514"/>
      <c r="R4377" s="293"/>
      <c r="S4377" s="316"/>
      <c r="T4377" s="355"/>
    </row>
    <row r="4378" spans="14:20" x14ac:dyDescent="0.25">
      <c r="N4378" s="514"/>
      <c r="R4378" s="293"/>
      <c r="S4378" s="316"/>
      <c r="T4378" s="355"/>
    </row>
    <row r="4379" spans="14:20" x14ac:dyDescent="0.25">
      <c r="N4379" s="514"/>
      <c r="R4379" s="293"/>
      <c r="S4379" s="316"/>
      <c r="T4379" s="355"/>
    </row>
    <row r="4380" spans="14:20" x14ac:dyDescent="0.25">
      <c r="N4380" s="514"/>
      <c r="R4380" s="293"/>
      <c r="S4380" s="316"/>
      <c r="T4380" s="355"/>
    </row>
    <row r="4381" spans="14:20" x14ac:dyDescent="0.25">
      <c r="N4381" s="514"/>
      <c r="R4381" s="293"/>
      <c r="S4381" s="316"/>
      <c r="T4381" s="355"/>
    </row>
    <row r="4382" spans="14:20" x14ac:dyDescent="0.25">
      <c r="N4382" s="514"/>
      <c r="R4382" s="293"/>
      <c r="S4382" s="316"/>
      <c r="T4382" s="355"/>
    </row>
    <row r="4383" spans="14:20" x14ac:dyDescent="0.25">
      <c r="N4383" s="514"/>
      <c r="R4383" s="293"/>
      <c r="S4383" s="316"/>
      <c r="T4383" s="355"/>
    </row>
    <row r="4384" spans="14:20" x14ac:dyDescent="0.25">
      <c r="N4384" s="514"/>
      <c r="R4384" s="293"/>
      <c r="S4384" s="316"/>
      <c r="T4384" s="355"/>
    </row>
    <row r="4385" spans="14:20" x14ac:dyDescent="0.25">
      <c r="N4385" s="514"/>
      <c r="R4385" s="293"/>
      <c r="S4385" s="316"/>
      <c r="T4385" s="355"/>
    </row>
    <row r="4386" spans="14:20" x14ac:dyDescent="0.25">
      <c r="N4386" s="514"/>
      <c r="R4386" s="293"/>
      <c r="S4386" s="316"/>
      <c r="T4386" s="355"/>
    </row>
    <row r="4387" spans="14:20" x14ac:dyDescent="0.25">
      <c r="N4387" s="514"/>
      <c r="R4387" s="293"/>
      <c r="S4387" s="316"/>
      <c r="T4387" s="355"/>
    </row>
    <row r="4388" spans="14:20" x14ac:dyDescent="0.25">
      <c r="N4388" s="514"/>
      <c r="R4388" s="293"/>
      <c r="S4388" s="316"/>
      <c r="T4388" s="355"/>
    </row>
    <row r="4389" spans="14:20" x14ac:dyDescent="0.25">
      <c r="N4389" s="514"/>
      <c r="R4389" s="293"/>
      <c r="S4389" s="316"/>
      <c r="T4389" s="355"/>
    </row>
    <row r="4390" spans="14:20" x14ac:dyDescent="0.25">
      <c r="N4390" s="514"/>
      <c r="R4390" s="293"/>
      <c r="S4390" s="316"/>
      <c r="T4390" s="355"/>
    </row>
    <row r="4391" spans="14:20" x14ac:dyDescent="0.25">
      <c r="N4391" s="514"/>
      <c r="R4391" s="293"/>
      <c r="S4391" s="316"/>
      <c r="T4391" s="355"/>
    </row>
    <row r="4392" spans="14:20" x14ac:dyDescent="0.25">
      <c r="N4392" s="514"/>
      <c r="R4392" s="293"/>
      <c r="S4392" s="316"/>
      <c r="T4392" s="355"/>
    </row>
    <row r="4393" spans="14:20" x14ac:dyDescent="0.25">
      <c r="N4393" s="514"/>
      <c r="R4393" s="293"/>
      <c r="S4393" s="316"/>
      <c r="T4393" s="355"/>
    </row>
    <row r="4394" spans="14:20" x14ac:dyDescent="0.25">
      <c r="N4394" s="514"/>
      <c r="R4394" s="293"/>
      <c r="S4394" s="316"/>
      <c r="T4394" s="355"/>
    </row>
    <row r="4395" spans="14:20" x14ac:dyDescent="0.25">
      <c r="N4395" s="514"/>
      <c r="R4395" s="293"/>
      <c r="S4395" s="316"/>
      <c r="T4395" s="355"/>
    </row>
    <row r="4396" spans="14:20" x14ac:dyDescent="0.25">
      <c r="N4396" s="514"/>
      <c r="R4396" s="293"/>
      <c r="S4396" s="316"/>
      <c r="T4396" s="355"/>
    </row>
    <row r="4397" spans="14:20" x14ac:dyDescent="0.25">
      <c r="N4397" s="514"/>
      <c r="R4397" s="293"/>
      <c r="S4397" s="316"/>
      <c r="T4397" s="355"/>
    </row>
    <row r="4398" spans="14:20" x14ac:dyDescent="0.25">
      <c r="N4398" s="514"/>
      <c r="R4398" s="293"/>
      <c r="S4398" s="316"/>
      <c r="T4398" s="355"/>
    </row>
    <row r="4399" spans="14:20" x14ac:dyDescent="0.25">
      <c r="N4399" s="514"/>
      <c r="R4399" s="293"/>
      <c r="S4399" s="316"/>
      <c r="T4399" s="355"/>
    </row>
    <row r="4400" spans="14:20" x14ac:dyDescent="0.25">
      <c r="N4400" s="514"/>
      <c r="R4400" s="293"/>
      <c r="S4400" s="316"/>
      <c r="T4400" s="355"/>
    </row>
    <row r="4401" spans="14:20" x14ac:dyDescent="0.25">
      <c r="N4401" s="514"/>
      <c r="R4401" s="293"/>
      <c r="S4401" s="316"/>
      <c r="T4401" s="355"/>
    </row>
    <row r="4402" spans="14:20" x14ac:dyDescent="0.25">
      <c r="N4402" s="514"/>
      <c r="R4402" s="293"/>
      <c r="S4402" s="316"/>
      <c r="T4402" s="355"/>
    </row>
    <row r="4403" spans="14:20" x14ac:dyDescent="0.25">
      <c r="N4403" s="514"/>
      <c r="R4403" s="293"/>
      <c r="S4403" s="316"/>
      <c r="T4403" s="355"/>
    </row>
    <row r="4404" spans="14:20" x14ac:dyDescent="0.25">
      <c r="N4404" s="514"/>
      <c r="R4404" s="293"/>
      <c r="S4404" s="316"/>
      <c r="T4404" s="355"/>
    </row>
    <row r="4405" spans="14:20" x14ac:dyDescent="0.25">
      <c r="N4405" s="514"/>
      <c r="R4405" s="293"/>
      <c r="S4405" s="316"/>
      <c r="T4405" s="355"/>
    </row>
    <row r="4406" spans="14:20" x14ac:dyDescent="0.25">
      <c r="N4406" s="514"/>
      <c r="R4406" s="293"/>
      <c r="S4406" s="316"/>
      <c r="T4406" s="355"/>
    </row>
    <row r="4407" spans="14:20" x14ac:dyDescent="0.25">
      <c r="N4407" s="514"/>
      <c r="R4407" s="293"/>
      <c r="S4407" s="316"/>
      <c r="T4407" s="355"/>
    </row>
    <row r="4408" spans="14:20" x14ac:dyDescent="0.25">
      <c r="N4408" s="514"/>
      <c r="R4408" s="293"/>
      <c r="S4408" s="316"/>
      <c r="T4408" s="355"/>
    </row>
    <row r="4409" spans="14:20" x14ac:dyDescent="0.25">
      <c r="N4409" s="514"/>
      <c r="R4409" s="293"/>
      <c r="S4409" s="316"/>
      <c r="T4409" s="355"/>
    </row>
    <row r="4410" spans="14:20" x14ac:dyDescent="0.25">
      <c r="N4410" s="514"/>
      <c r="R4410" s="293"/>
      <c r="S4410" s="316"/>
      <c r="T4410" s="355"/>
    </row>
    <row r="4411" spans="14:20" x14ac:dyDescent="0.25">
      <c r="N4411" s="514"/>
      <c r="R4411" s="293"/>
      <c r="S4411" s="316"/>
      <c r="T4411" s="355"/>
    </row>
    <row r="4412" spans="14:20" x14ac:dyDescent="0.25">
      <c r="N4412" s="514"/>
      <c r="R4412" s="293"/>
      <c r="S4412" s="316"/>
      <c r="T4412" s="355"/>
    </row>
    <row r="4413" spans="14:20" x14ac:dyDescent="0.25">
      <c r="N4413" s="514"/>
      <c r="R4413" s="293"/>
      <c r="S4413" s="316"/>
      <c r="T4413" s="355"/>
    </row>
    <row r="4414" spans="14:20" x14ac:dyDescent="0.25">
      <c r="N4414" s="514"/>
      <c r="R4414" s="293"/>
      <c r="S4414" s="316"/>
      <c r="T4414" s="355"/>
    </row>
    <row r="4415" spans="14:20" x14ac:dyDescent="0.25">
      <c r="N4415" s="514"/>
      <c r="R4415" s="293"/>
      <c r="S4415" s="316"/>
      <c r="T4415" s="355"/>
    </row>
    <row r="4416" spans="14:20" x14ac:dyDescent="0.25">
      <c r="N4416" s="514"/>
      <c r="R4416" s="293"/>
      <c r="S4416" s="316"/>
      <c r="T4416" s="355"/>
    </row>
    <row r="4417" spans="14:20" x14ac:dyDescent="0.25">
      <c r="N4417" s="514"/>
      <c r="R4417" s="293"/>
      <c r="S4417" s="316"/>
      <c r="T4417" s="355"/>
    </row>
    <row r="4418" spans="14:20" x14ac:dyDescent="0.25">
      <c r="N4418" s="514"/>
      <c r="R4418" s="293"/>
      <c r="S4418" s="316"/>
      <c r="T4418" s="355"/>
    </row>
    <row r="4419" spans="14:20" x14ac:dyDescent="0.25">
      <c r="N4419" s="514"/>
      <c r="R4419" s="293"/>
      <c r="S4419" s="316"/>
      <c r="T4419" s="355"/>
    </row>
    <row r="4420" spans="14:20" x14ac:dyDescent="0.25">
      <c r="N4420" s="514"/>
      <c r="R4420" s="293"/>
      <c r="S4420" s="316"/>
      <c r="T4420" s="355"/>
    </row>
    <row r="4421" spans="14:20" x14ac:dyDescent="0.25">
      <c r="N4421" s="514"/>
      <c r="R4421" s="293"/>
      <c r="S4421" s="316"/>
      <c r="T4421" s="355"/>
    </row>
    <row r="4422" spans="14:20" x14ac:dyDescent="0.25">
      <c r="N4422" s="514"/>
      <c r="R4422" s="293"/>
      <c r="S4422" s="316"/>
      <c r="T4422" s="355"/>
    </row>
    <row r="4423" spans="14:20" x14ac:dyDescent="0.25">
      <c r="N4423" s="514"/>
      <c r="R4423" s="293"/>
      <c r="S4423" s="316"/>
      <c r="T4423" s="355"/>
    </row>
    <row r="4424" spans="14:20" x14ac:dyDescent="0.25">
      <c r="N4424" s="514"/>
      <c r="R4424" s="293"/>
      <c r="S4424" s="316"/>
      <c r="T4424" s="355"/>
    </row>
    <row r="4425" spans="14:20" x14ac:dyDescent="0.25">
      <c r="N4425" s="514"/>
      <c r="R4425" s="293"/>
      <c r="S4425" s="316"/>
      <c r="T4425" s="355"/>
    </row>
    <row r="4426" spans="14:20" x14ac:dyDescent="0.25">
      <c r="N4426" s="514"/>
      <c r="R4426" s="293"/>
      <c r="S4426" s="316"/>
      <c r="T4426" s="355"/>
    </row>
    <row r="4427" spans="14:20" x14ac:dyDescent="0.25">
      <c r="N4427" s="514"/>
      <c r="R4427" s="293"/>
      <c r="S4427" s="316"/>
      <c r="T4427" s="355"/>
    </row>
    <row r="4428" spans="14:20" x14ac:dyDescent="0.25">
      <c r="N4428" s="514"/>
      <c r="R4428" s="293"/>
      <c r="S4428" s="316"/>
      <c r="T4428" s="355"/>
    </row>
    <row r="4429" spans="14:20" x14ac:dyDescent="0.25">
      <c r="N4429" s="514"/>
      <c r="R4429" s="293"/>
      <c r="S4429" s="316"/>
      <c r="T4429" s="355"/>
    </row>
    <row r="4430" spans="14:20" x14ac:dyDescent="0.25">
      <c r="N4430" s="514"/>
      <c r="R4430" s="293"/>
      <c r="S4430" s="316"/>
      <c r="T4430" s="355"/>
    </row>
    <row r="4431" spans="14:20" x14ac:dyDescent="0.25">
      <c r="N4431" s="514"/>
      <c r="R4431" s="293"/>
      <c r="S4431" s="316"/>
      <c r="T4431" s="355"/>
    </row>
    <row r="4432" spans="14:20" x14ac:dyDescent="0.25">
      <c r="N4432" s="514"/>
      <c r="R4432" s="293"/>
      <c r="S4432" s="316"/>
      <c r="T4432" s="355"/>
    </row>
    <row r="4433" spans="14:20" x14ac:dyDescent="0.25">
      <c r="N4433" s="514"/>
      <c r="R4433" s="293"/>
      <c r="S4433" s="316"/>
      <c r="T4433" s="355"/>
    </row>
    <row r="4434" spans="14:20" x14ac:dyDescent="0.25">
      <c r="N4434" s="514"/>
      <c r="R4434" s="293"/>
      <c r="S4434" s="316"/>
      <c r="T4434" s="355"/>
    </row>
    <row r="4435" spans="14:20" x14ac:dyDescent="0.25">
      <c r="N4435" s="514"/>
      <c r="R4435" s="293"/>
      <c r="S4435" s="316"/>
      <c r="T4435" s="355"/>
    </row>
    <row r="4436" spans="14:20" x14ac:dyDescent="0.25">
      <c r="N4436" s="514"/>
      <c r="R4436" s="293"/>
      <c r="S4436" s="316"/>
      <c r="T4436" s="355"/>
    </row>
    <row r="4437" spans="14:20" x14ac:dyDescent="0.25">
      <c r="N4437" s="514"/>
      <c r="R4437" s="293"/>
      <c r="S4437" s="316"/>
      <c r="T4437" s="355"/>
    </row>
    <row r="4438" spans="14:20" x14ac:dyDescent="0.25">
      <c r="N4438" s="514"/>
      <c r="R4438" s="293"/>
      <c r="S4438" s="316"/>
      <c r="T4438" s="355"/>
    </row>
    <row r="4439" spans="14:20" x14ac:dyDescent="0.25">
      <c r="N4439" s="514"/>
      <c r="R4439" s="293"/>
      <c r="S4439" s="316"/>
      <c r="T4439" s="355"/>
    </row>
    <row r="4440" spans="14:20" x14ac:dyDescent="0.25">
      <c r="N4440" s="514"/>
      <c r="R4440" s="293"/>
      <c r="S4440" s="316"/>
      <c r="T4440" s="355"/>
    </row>
    <row r="4441" spans="14:20" x14ac:dyDescent="0.25">
      <c r="N4441" s="514"/>
      <c r="R4441" s="293"/>
      <c r="S4441" s="316"/>
      <c r="T4441" s="355"/>
    </row>
    <row r="4442" spans="14:20" x14ac:dyDescent="0.25">
      <c r="N4442" s="514"/>
      <c r="R4442" s="293"/>
      <c r="S4442" s="316"/>
      <c r="T4442" s="355"/>
    </row>
    <row r="4443" spans="14:20" x14ac:dyDescent="0.25">
      <c r="N4443" s="514"/>
      <c r="R4443" s="293"/>
      <c r="S4443" s="316"/>
      <c r="T4443" s="355"/>
    </row>
    <row r="4444" spans="14:20" x14ac:dyDescent="0.25">
      <c r="N4444" s="514"/>
      <c r="R4444" s="293"/>
      <c r="S4444" s="316"/>
      <c r="T4444" s="355"/>
    </row>
    <row r="4445" spans="14:20" x14ac:dyDescent="0.25">
      <c r="N4445" s="514"/>
      <c r="R4445" s="293"/>
      <c r="S4445" s="316"/>
      <c r="T4445" s="355"/>
    </row>
    <row r="4446" spans="14:20" x14ac:dyDescent="0.25">
      <c r="N4446" s="514"/>
      <c r="R4446" s="293"/>
      <c r="S4446" s="316"/>
      <c r="T4446" s="355"/>
    </row>
    <row r="4447" spans="14:20" x14ac:dyDescent="0.25">
      <c r="N4447" s="514"/>
      <c r="R4447" s="293"/>
      <c r="S4447" s="316"/>
      <c r="T4447" s="355"/>
    </row>
    <row r="4448" spans="14:20" x14ac:dyDescent="0.25">
      <c r="N4448" s="514"/>
      <c r="R4448" s="293"/>
      <c r="S4448" s="316"/>
      <c r="T4448" s="355"/>
    </row>
    <row r="4449" spans="14:20" x14ac:dyDescent="0.25">
      <c r="N4449" s="514"/>
      <c r="R4449" s="293"/>
      <c r="S4449" s="316"/>
      <c r="T4449" s="355"/>
    </row>
    <row r="4450" spans="14:20" x14ac:dyDescent="0.25">
      <c r="N4450" s="514"/>
      <c r="R4450" s="293"/>
      <c r="S4450" s="316"/>
      <c r="T4450" s="355"/>
    </row>
    <row r="4451" spans="14:20" x14ac:dyDescent="0.25">
      <c r="N4451" s="514"/>
      <c r="R4451" s="293"/>
      <c r="S4451" s="316"/>
      <c r="T4451" s="355"/>
    </row>
    <row r="4452" spans="14:20" x14ac:dyDescent="0.25">
      <c r="N4452" s="514"/>
      <c r="R4452" s="293"/>
      <c r="S4452" s="316"/>
      <c r="T4452" s="355"/>
    </row>
    <row r="4453" spans="14:20" x14ac:dyDescent="0.25">
      <c r="N4453" s="514"/>
      <c r="R4453" s="293"/>
      <c r="S4453" s="316"/>
      <c r="T4453" s="355"/>
    </row>
    <row r="4454" spans="14:20" x14ac:dyDescent="0.25">
      <c r="N4454" s="514"/>
      <c r="R4454" s="293"/>
      <c r="S4454" s="316"/>
      <c r="T4454" s="355"/>
    </row>
    <row r="4455" spans="14:20" x14ac:dyDescent="0.25">
      <c r="N4455" s="514"/>
      <c r="R4455" s="293"/>
      <c r="S4455" s="316"/>
      <c r="T4455" s="355"/>
    </row>
    <row r="4456" spans="14:20" x14ac:dyDescent="0.25">
      <c r="N4456" s="514"/>
      <c r="R4456" s="293"/>
      <c r="S4456" s="316"/>
      <c r="T4456" s="355"/>
    </row>
    <row r="4457" spans="14:20" x14ac:dyDescent="0.25">
      <c r="N4457" s="514"/>
      <c r="R4457" s="293"/>
      <c r="S4457" s="316"/>
      <c r="T4457" s="355"/>
    </row>
    <row r="4458" spans="14:20" x14ac:dyDescent="0.25">
      <c r="N4458" s="514"/>
      <c r="R4458" s="293"/>
      <c r="S4458" s="316"/>
      <c r="T4458" s="355"/>
    </row>
    <row r="4459" spans="14:20" x14ac:dyDescent="0.25">
      <c r="N4459" s="514"/>
      <c r="R4459" s="293"/>
      <c r="S4459" s="316"/>
      <c r="T4459" s="355"/>
    </row>
    <row r="4460" spans="14:20" x14ac:dyDescent="0.25">
      <c r="N4460" s="514"/>
      <c r="R4460" s="293"/>
      <c r="S4460" s="316"/>
      <c r="T4460" s="355"/>
    </row>
    <row r="4461" spans="14:20" x14ac:dyDescent="0.25">
      <c r="N4461" s="514"/>
      <c r="R4461" s="293"/>
      <c r="S4461" s="316"/>
      <c r="T4461" s="355"/>
    </row>
    <row r="4462" spans="14:20" x14ac:dyDescent="0.25">
      <c r="N4462" s="514"/>
      <c r="R4462" s="293"/>
      <c r="S4462" s="316"/>
      <c r="T4462" s="355"/>
    </row>
    <row r="4463" spans="14:20" x14ac:dyDescent="0.25">
      <c r="N4463" s="514"/>
      <c r="R4463" s="293"/>
      <c r="S4463" s="316"/>
      <c r="T4463" s="355"/>
    </row>
    <row r="4464" spans="14:20" x14ac:dyDescent="0.25">
      <c r="N4464" s="514"/>
      <c r="R4464" s="293"/>
      <c r="S4464" s="316"/>
      <c r="T4464" s="355"/>
    </row>
    <row r="4465" spans="14:20" x14ac:dyDescent="0.25">
      <c r="N4465" s="514"/>
      <c r="R4465" s="293"/>
      <c r="S4465" s="316"/>
      <c r="T4465" s="355"/>
    </row>
    <row r="4466" spans="14:20" x14ac:dyDescent="0.25">
      <c r="N4466" s="514"/>
      <c r="R4466" s="293"/>
      <c r="S4466" s="316"/>
      <c r="T4466" s="355"/>
    </row>
    <row r="4467" spans="14:20" x14ac:dyDescent="0.25">
      <c r="N4467" s="514"/>
      <c r="R4467" s="293"/>
      <c r="S4467" s="316"/>
      <c r="T4467" s="355"/>
    </row>
    <row r="4468" spans="14:20" x14ac:dyDescent="0.25">
      <c r="N4468" s="514"/>
      <c r="R4468" s="293"/>
      <c r="S4468" s="316"/>
      <c r="T4468" s="355"/>
    </row>
    <row r="4469" spans="14:20" x14ac:dyDescent="0.25">
      <c r="N4469" s="514"/>
      <c r="R4469" s="293"/>
      <c r="S4469" s="316"/>
      <c r="T4469" s="355"/>
    </row>
    <row r="4470" spans="14:20" x14ac:dyDescent="0.25">
      <c r="N4470" s="514"/>
      <c r="R4470" s="293"/>
      <c r="S4470" s="316"/>
      <c r="T4470" s="355"/>
    </row>
    <row r="4471" spans="14:20" x14ac:dyDescent="0.25">
      <c r="N4471" s="514"/>
      <c r="R4471" s="293"/>
      <c r="S4471" s="316"/>
      <c r="T4471" s="355"/>
    </row>
    <row r="4472" spans="14:20" x14ac:dyDescent="0.25">
      <c r="N4472" s="514"/>
      <c r="R4472" s="293"/>
      <c r="S4472" s="316"/>
      <c r="T4472" s="355"/>
    </row>
    <row r="4473" spans="14:20" x14ac:dyDescent="0.25">
      <c r="N4473" s="514"/>
      <c r="R4473" s="293"/>
      <c r="S4473" s="316"/>
      <c r="T4473" s="355"/>
    </row>
    <row r="4474" spans="14:20" x14ac:dyDescent="0.25">
      <c r="N4474" s="514"/>
      <c r="R4474" s="293"/>
      <c r="S4474" s="316"/>
      <c r="T4474" s="355"/>
    </row>
    <row r="4475" spans="14:20" x14ac:dyDescent="0.25">
      <c r="N4475" s="514"/>
      <c r="R4475" s="293"/>
      <c r="S4475" s="316"/>
      <c r="T4475" s="355"/>
    </row>
    <row r="4476" spans="14:20" x14ac:dyDescent="0.25">
      <c r="N4476" s="514"/>
      <c r="R4476" s="293"/>
      <c r="S4476" s="316"/>
      <c r="T4476" s="355"/>
    </row>
    <row r="4477" spans="14:20" x14ac:dyDescent="0.25">
      <c r="N4477" s="514"/>
      <c r="R4477" s="293"/>
      <c r="S4477" s="316"/>
      <c r="T4477" s="355"/>
    </row>
    <row r="4478" spans="14:20" x14ac:dyDescent="0.25">
      <c r="N4478" s="514"/>
      <c r="R4478" s="293"/>
      <c r="S4478" s="316"/>
      <c r="T4478" s="355"/>
    </row>
    <row r="4479" spans="14:20" x14ac:dyDescent="0.25">
      <c r="N4479" s="514"/>
      <c r="R4479" s="293"/>
      <c r="S4479" s="316"/>
      <c r="T4479" s="355"/>
    </row>
    <row r="4480" spans="14:20" x14ac:dyDescent="0.25">
      <c r="N4480" s="514"/>
      <c r="R4480" s="293"/>
      <c r="S4480" s="316"/>
      <c r="T4480" s="355"/>
    </row>
    <row r="4481" spans="14:20" x14ac:dyDescent="0.25">
      <c r="N4481" s="514"/>
      <c r="R4481" s="293"/>
      <c r="S4481" s="316"/>
      <c r="T4481" s="355"/>
    </row>
    <row r="4482" spans="14:20" x14ac:dyDescent="0.25">
      <c r="N4482" s="514"/>
      <c r="R4482" s="293"/>
      <c r="S4482" s="316"/>
      <c r="T4482" s="355"/>
    </row>
    <row r="4483" spans="14:20" x14ac:dyDescent="0.25">
      <c r="N4483" s="514"/>
      <c r="R4483" s="293"/>
      <c r="S4483" s="316"/>
      <c r="T4483" s="355"/>
    </row>
    <row r="4484" spans="14:20" x14ac:dyDescent="0.25">
      <c r="N4484" s="514"/>
      <c r="R4484" s="293"/>
      <c r="S4484" s="316"/>
      <c r="T4484" s="355"/>
    </row>
    <row r="4485" spans="14:20" x14ac:dyDescent="0.25">
      <c r="N4485" s="514"/>
      <c r="R4485" s="293"/>
      <c r="S4485" s="316"/>
      <c r="T4485" s="355"/>
    </row>
    <row r="4486" spans="14:20" x14ac:dyDescent="0.25">
      <c r="N4486" s="514"/>
      <c r="R4486" s="293"/>
      <c r="S4486" s="316"/>
      <c r="T4486" s="355"/>
    </row>
    <row r="4487" spans="14:20" x14ac:dyDescent="0.25">
      <c r="N4487" s="514"/>
      <c r="R4487" s="293"/>
      <c r="S4487" s="316"/>
      <c r="T4487" s="355"/>
    </row>
    <row r="4488" spans="14:20" x14ac:dyDescent="0.25">
      <c r="N4488" s="514"/>
      <c r="R4488" s="293"/>
      <c r="S4488" s="316"/>
      <c r="T4488" s="355"/>
    </row>
    <row r="4489" spans="14:20" x14ac:dyDescent="0.25">
      <c r="N4489" s="514"/>
      <c r="R4489" s="293"/>
      <c r="S4489" s="316"/>
      <c r="T4489" s="355"/>
    </row>
    <row r="4490" spans="14:20" x14ac:dyDescent="0.25">
      <c r="N4490" s="514"/>
      <c r="R4490" s="293"/>
      <c r="S4490" s="316"/>
      <c r="T4490" s="355"/>
    </row>
    <row r="4491" spans="14:20" x14ac:dyDescent="0.25">
      <c r="N4491" s="514"/>
      <c r="R4491" s="293"/>
      <c r="S4491" s="316"/>
      <c r="T4491" s="355"/>
    </row>
    <row r="4492" spans="14:20" x14ac:dyDescent="0.25">
      <c r="N4492" s="514"/>
      <c r="R4492" s="293"/>
      <c r="S4492" s="316"/>
      <c r="T4492" s="355"/>
    </row>
    <row r="4493" spans="14:20" x14ac:dyDescent="0.25">
      <c r="N4493" s="514"/>
      <c r="R4493" s="293"/>
      <c r="S4493" s="316"/>
      <c r="T4493" s="355"/>
    </row>
    <row r="4494" spans="14:20" x14ac:dyDescent="0.25">
      <c r="N4494" s="514"/>
      <c r="R4494" s="293"/>
      <c r="S4494" s="316"/>
      <c r="T4494" s="355"/>
    </row>
    <row r="4495" spans="14:20" x14ac:dyDescent="0.25">
      <c r="N4495" s="514"/>
      <c r="R4495" s="293"/>
      <c r="S4495" s="316"/>
      <c r="T4495" s="355"/>
    </row>
    <row r="4496" spans="14:20" x14ac:dyDescent="0.25">
      <c r="N4496" s="514"/>
      <c r="R4496" s="293"/>
      <c r="S4496" s="316"/>
      <c r="T4496" s="355"/>
    </row>
    <row r="4497" spans="14:20" x14ac:dyDescent="0.25">
      <c r="N4497" s="514"/>
      <c r="R4497" s="293"/>
      <c r="S4497" s="316"/>
      <c r="T4497" s="355"/>
    </row>
    <row r="4498" spans="14:20" x14ac:dyDescent="0.25">
      <c r="N4498" s="514"/>
      <c r="R4498" s="293"/>
      <c r="S4498" s="316"/>
      <c r="T4498" s="355"/>
    </row>
    <row r="4499" spans="14:20" x14ac:dyDescent="0.25">
      <c r="N4499" s="514"/>
      <c r="R4499" s="293"/>
      <c r="S4499" s="316"/>
      <c r="T4499" s="355"/>
    </row>
    <row r="4500" spans="14:20" x14ac:dyDescent="0.25">
      <c r="N4500" s="514"/>
      <c r="R4500" s="293"/>
      <c r="S4500" s="316"/>
      <c r="T4500" s="355"/>
    </row>
    <row r="4501" spans="14:20" x14ac:dyDescent="0.25">
      <c r="N4501" s="514"/>
      <c r="R4501" s="293"/>
      <c r="S4501" s="316"/>
      <c r="T4501" s="355"/>
    </row>
    <row r="4502" spans="14:20" x14ac:dyDescent="0.25">
      <c r="N4502" s="514"/>
      <c r="R4502" s="293"/>
      <c r="S4502" s="316"/>
      <c r="T4502" s="355"/>
    </row>
    <row r="4503" spans="14:20" x14ac:dyDescent="0.25">
      <c r="N4503" s="514"/>
      <c r="R4503" s="293"/>
      <c r="S4503" s="316"/>
      <c r="T4503" s="355"/>
    </row>
    <row r="4504" spans="14:20" x14ac:dyDescent="0.25">
      <c r="N4504" s="514"/>
      <c r="R4504" s="293"/>
      <c r="S4504" s="316"/>
      <c r="T4504" s="355"/>
    </row>
    <row r="4505" spans="14:20" x14ac:dyDescent="0.25">
      <c r="N4505" s="514"/>
      <c r="R4505" s="293"/>
      <c r="S4505" s="316"/>
      <c r="T4505" s="355"/>
    </row>
    <row r="4506" spans="14:20" x14ac:dyDescent="0.25">
      <c r="N4506" s="514"/>
      <c r="R4506" s="293"/>
      <c r="S4506" s="316"/>
      <c r="T4506" s="355"/>
    </row>
    <row r="4507" spans="14:20" x14ac:dyDescent="0.25">
      <c r="N4507" s="514"/>
      <c r="R4507" s="293"/>
      <c r="S4507" s="316"/>
      <c r="T4507" s="355"/>
    </row>
    <row r="4508" spans="14:20" x14ac:dyDescent="0.25">
      <c r="N4508" s="514"/>
      <c r="R4508" s="293"/>
      <c r="S4508" s="316"/>
      <c r="T4508" s="355"/>
    </row>
    <row r="4509" spans="14:20" x14ac:dyDescent="0.25">
      <c r="N4509" s="514"/>
      <c r="R4509" s="293"/>
      <c r="S4509" s="316"/>
      <c r="T4509" s="355"/>
    </row>
    <row r="4510" spans="14:20" x14ac:dyDescent="0.25">
      <c r="N4510" s="514"/>
      <c r="R4510" s="293"/>
      <c r="S4510" s="316"/>
      <c r="T4510" s="355"/>
    </row>
    <row r="4511" spans="14:20" x14ac:dyDescent="0.25">
      <c r="N4511" s="514"/>
      <c r="R4511" s="293"/>
      <c r="S4511" s="316"/>
      <c r="T4511" s="355"/>
    </row>
    <row r="4512" spans="14:20" x14ac:dyDescent="0.25">
      <c r="N4512" s="514"/>
      <c r="R4512" s="293"/>
      <c r="S4512" s="316"/>
      <c r="T4512" s="355"/>
    </row>
    <row r="4513" spans="14:20" x14ac:dyDescent="0.25">
      <c r="N4513" s="514"/>
      <c r="R4513" s="293"/>
      <c r="S4513" s="316"/>
      <c r="T4513" s="355"/>
    </row>
    <row r="4514" spans="14:20" x14ac:dyDescent="0.25">
      <c r="N4514" s="514"/>
      <c r="R4514" s="293"/>
      <c r="S4514" s="316"/>
      <c r="T4514" s="355"/>
    </row>
    <row r="4515" spans="14:20" x14ac:dyDescent="0.25">
      <c r="N4515" s="514"/>
      <c r="R4515" s="293"/>
      <c r="S4515" s="316"/>
      <c r="T4515" s="355"/>
    </row>
    <row r="4516" spans="14:20" x14ac:dyDescent="0.25">
      <c r="N4516" s="514"/>
      <c r="R4516" s="293"/>
      <c r="S4516" s="316"/>
      <c r="T4516" s="355"/>
    </row>
    <row r="4517" spans="14:20" x14ac:dyDescent="0.25">
      <c r="N4517" s="514"/>
      <c r="R4517" s="293"/>
      <c r="S4517" s="316"/>
      <c r="T4517" s="355"/>
    </row>
    <row r="4518" spans="14:20" x14ac:dyDescent="0.25">
      <c r="N4518" s="514"/>
      <c r="R4518" s="293"/>
      <c r="S4518" s="316"/>
      <c r="T4518" s="355"/>
    </row>
    <row r="4519" spans="14:20" x14ac:dyDescent="0.25">
      <c r="N4519" s="514"/>
      <c r="R4519" s="293"/>
      <c r="S4519" s="316"/>
      <c r="T4519" s="355"/>
    </row>
    <row r="4520" spans="14:20" x14ac:dyDescent="0.25">
      <c r="N4520" s="514"/>
      <c r="R4520" s="293"/>
      <c r="S4520" s="316"/>
      <c r="T4520" s="355"/>
    </row>
    <row r="4521" spans="14:20" x14ac:dyDescent="0.25">
      <c r="N4521" s="514"/>
      <c r="R4521" s="293"/>
      <c r="S4521" s="316"/>
      <c r="T4521" s="355"/>
    </row>
    <row r="4522" spans="14:20" x14ac:dyDescent="0.25">
      <c r="N4522" s="514"/>
      <c r="R4522" s="293"/>
      <c r="S4522" s="316"/>
      <c r="T4522" s="355"/>
    </row>
    <row r="4523" spans="14:20" x14ac:dyDescent="0.25">
      <c r="N4523" s="514"/>
      <c r="R4523" s="293"/>
      <c r="S4523" s="316"/>
      <c r="T4523" s="355"/>
    </row>
    <row r="4524" spans="14:20" x14ac:dyDescent="0.25">
      <c r="N4524" s="514"/>
      <c r="R4524" s="293"/>
      <c r="S4524" s="316"/>
      <c r="T4524" s="355"/>
    </row>
    <row r="4525" spans="14:20" x14ac:dyDescent="0.25">
      <c r="N4525" s="514"/>
      <c r="R4525" s="293"/>
      <c r="S4525" s="316"/>
      <c r="T4525" s="355"/>
    </row>
    <row r="4526" spans="14:20" x14ac:dyDescent="0.25">
      <c r="N4526" s="514"/>
      <c r="R4526" s="293"/>
      <c r="S4526" s="316"/>
      <c r="T4526" s="355"/>
    </row>
    <row r="4527" spans="14:20" x14ac:dyDescent="0.25">
      <c r="N4527" s="514"/>
      <c r="R4527" s="293"/>
      <c r="S4527" s="316"/>
      <c r="T4527" s="355"/>
    </row>
    <row r="4528" spans="14:20" x14ac:dyDescent="0.25">
      <c r="N4528" s="514"/>
      <c r="R4528" s="293"/>
      <c r="S4528" s="316"/>
      <c r="T4528" s="355"/>
    </row>
    <row r="4529" spans="14:20" x14ac:dyDescent="0.25">
      <c r="N4529" s="514"/>
      <c r="R4529" s="293"/>
      <c r="S4529" s="316"/>
      <c r="T4529" s="355"/>
    </row>
    <row r="4530" spans="14:20" x14ac:dyDescent="0.25">
      <c r="N4530" s="514"/>
      <c r="R4530" s="293"/>
      <c r="S4530" s="316"/>
      <c r="T4530" s="355"/>
    </row>
    <row r="4531" spans="14:20" x14ac:dyDescent="0.25">
      <c r="N4531" s="514"/>
      <c r="R4531" s="293"/>
      <c r="S4531" s="316"/>
      <c r="T4531" s="355"/>
    </row>
    <row r="4532" spans="14:20" x14ac:dyDescent="0.25">
      <c r="N4532" s="514"/>
      <c r="R4532" s="293"/>
      <c r="S4532" s="316"/>
      <c r="T4532" s="355"/>
    </row>
    <row r="4533" spans="14:20" x14ac:dyDescent="0.25">
      <c r="N4533" s="514"/>
      <c r="R4533" s="293"/>
      <c r="S4533" s="316"/>
      <c r="T4533" s="355"/>
    </row>
    <row r="4534" spans="14:20" x14ac:dyDescent="0.25">
      <c r="N4534" s="514"/>
      <c r="R4534" s="293"/>
      <c r="S4534" s="316"/>
      <c r="T4534" s="355"/>
    </row>
    <row r="4535" spans="14:20" x14ac:dyDescent="0.25">
      <c r="N4535" s="514"/>
      <c r="R4535" s="293"/>
      <c r="S4535" s="316"/>
      <c r="T4535" s="355"/>
    </row>
    <row r="4536" spans="14:20" x14ac:dyDescent="0.25">
      <c r="N4536" s="514"/>
      <c r="R4536" s="293"/>
      <c r="S4536" s="316"/>
      <c r="T4536" s="355"/>
    </row>
    <row r="4537" spans="14:20" x14ac:dyDescent="0.25">
      <c r="N4537" s="514"/>
      <c r="R4537" s="293"/>
      <c r="S4537" s="316"/>
      <c r="T4537" s="355"/>
    </row>
    <row r="4538" spans="14:20" x14ac:dyDescent="0.25">
      <c r="N4538" s="514"/>
      <c r="R4538" s="293"/>
      <c r="S4538" s="316"/>
      <c r="T4538" s="355"/>
    </row>
    <row r="4539" spans="14:20" x14ac:dyDescent="0.25">
      <c r="N4539" s="514"/>
      <c r="R4539" s="293"/>
      <c r="S4539" s="316"/>
      <c r="T4539" s="355"/>
    </row>
    <row r="4540" spans="14:20" x14ac:dyDescent="0.25">
      <c r="N4540" s="514"/>
      <c r="R4540" s="293"/>
      <c r="S4540" s="316"/>
      <c r="T4540" s="355"/>
    </row>
    <row r="4541" spans="14:20" x14ac:dyDescent="0.25">
      <c r="N4541" s="514"/>
      <c r="R4541" s="293"/>
      <c r="S4541" s="316"/>
      <c r="T4541" s="355"/>
    </row>
    <row r="4542" spans="14:20" x14ac:dyDescent="0.25">
      <c r="N4542" s="514"/>
      <c r="R4542" s="293"/>
      <c r="S4542" s="316"/>
      <c r="T4542" s="355"/>
    </row>
    <row r="4543" spans="14:20" x14ac:dyDescent="0.25">
      <c r="N4543" s="514"/>
      <c r="R4543" s="293"/>
      <c r="S4543" s="316"/>
      <c r="T4543" s="355"/>
    </row>
    <row r="4544" spans="14:20" x14ac:dyDescent="0.25">
      <c r="N4544" s="514"/>
      <c r="R4544" s="293"/>
      <c r="S4544" s="316"/>
      <c r="T4544" s="355"/>
    </row>
    <row r="4545" spans="14:20" x14ac:dyDescent="0.25">
      <c r="N4545" s="514"/>
      <c r="R4545" s="293"/>
      <c r="S4545" s="316"/>
      <c r="T4545" s="355"/>
    </row>
    <row r="4546" spans="14:20" x14ac:dyDescent="0.25">
      <c r="N4546" s="514"/>
      <c r="R4546" s="293"/>
      <c r="S4546" s="316"/>
      <c r="T4546" s="355"/>
    </row>
    <row r="4547" spans="14:20" x14ac:dyDescent="0.25">
      <c r="N4547" s="514"/>
      <c r="R4547" s="293"/>
      <c r="S4547" s="316"/>
      <c r="T4547" s="355"/>
    </row>
    <row r="4548" spans="14:20" x14ac:dyDescent="0.25">
      <c r="N4548" s="514"/>
      <c r="R4548" s="293"/>
      <c r="S4548" s="316"/>
      <c r="T4548" s="355"/>
    </row>
    <row r="4549" spans="14:20" x14ac:dyDescent="0.25">
      <c r="N4549" s="514"/>
      <c r="R4549" s="293"/>
      <c r="S4549" s="316"/>
      <c r="T4549" s="355"/>
    </row>
    <row r="4550" spans="14:20" x14ac:dyDescent="0.25">
      <c r="N4550" s="514"/>
      <c r="R4550" s="293"/>
      <c r="S4550" s="316"/>
      <c r="T4550" s="355"/>
    </row>
    <row r="4551" spans="14:20" x14ac:dyDescent="0.25">
      <c r="N4551" s="514"/>
      <c r="R4551" s="293"/>
      <c r="S4551" s="316"/>
      <c r="T4551" s="355"/>
    </row>
    <row r="4552" spans="14:20" x14ac:dyDescent="0.25">
      <c r="N4552" s="514"/>
      <c r="R4552" s="293"/>
      <c r="S4552" s="316"/>
      <c r="T4552" s="355"/>
    </row>
    <row r="4553" spans="14:20" x14ac:dyDescent="0.25">
      <c r="N4553" s="514"/>
      <c r="R4553" s="293"/>
      <c r="S4553" s="316"/>
      <c r="T4553" s="355"/>
    </row>
    <row r="4554" spans="14:20" x14ac:dyDescent="0.25">
      <c r="N4554" s="514"/>
      <c r="R4554" s="293"/>
      <c r="S4554" s="316"/>
      <c r="T4554" s="355"/>
    </row>
    <row r="4555" spans="14:20" x14ac:dyDescent="0.25">
      <c r="N4555" s="514"/>
      <c r="R4555" s="293"/>
      <c r="S4555" s="316"/>
      <c r="T4555" s="355"/>
    </row>
    <row r="4556" spans="14:20" x14ac:dyDescent="0.25">
      <c r="N4556" s="514"/>
      <c r="R4556" s="293"/>
      <c r="S4556" s="316"/>
      <c r="T4556" s="355"/>
    </row>
    <row r="4557" spans="14:20" x14ac:dyDescent="0.25">
      <c r="N4557" s="514"/>
      <c r="R4557" s="293"/>
      <c r="S4557" s="316"/>
      <c r="T4557" s="355"/>
    </row>
    <row r="4558" spans="14:20" x14ac:dyDescent="0.25">
      <c r="N4558" s="514"/>
      <c r="R4558" s="293"/>
      <c r="S4558" s="316"/>
      <c r="T4558" s="355"/>
    </row>
    <row r="4559" spans="14:20" x14ac:dyDescent="0.25">
      <c r="N4559" s="514"/>
      <c r="R4559" s="293"/>
      <c r="S4559" s="316"/>
      <c r="T4559" s="355"/>
    </row>
    <row r="4560" spans="14:20" x14ac:dyDescent="0.25">
      <c r="N4560" s="514"/>
      <c r="R4560" s="293"/>
      <c r="S4560" s="316"/>
      <c r="T4560" s="355"/>
    </row>
    <row r="4561" spans="14:20" x14ac:dyDescent="0.25">
      <c r="N4561" s="514"/>
      <c r="R4561" s="293"/>
      <c r="S4561" s="316"/>
      <c r="T4561" s="355"/>
    </row>
    <row r="4562" spans="14:20" x14ac:dyDescent="0.25">
      <c r="N4562" s="514"/>
      <c r="R4562" s="293"/>
      <c r="S4562" s="316"/>
      <c r="T4562" s="355"/>
    </row>
    <row r="4563" spans="14:20" x14ac:dyDescent="0.25">
      <c r="N4563" s="514"/>
      <c r="R4563" s="293"/>
      <c r="S4563" s="316"/>
      <c r="T4563" s="355"/>
    </row>
    <row r="4564" spans="14:20" x14ac:dyDescent="0.25">
      <c r="N4564" s="514"/>
      <c r="R4564" s="293"/>
      <c r="S4564" s="316"/>
      <c r="T4564" s="355"/>
    </row>
    <row r="4565" spans="14:20" x14ac:dyDescent="0.25">
      <c r="N4565" s="514"/>
      <c r="R4565" s="293"/>
      <c r="S4565" s="316"/>
      <c r="T4565" s="355"/>
    </row>
    <row r="4566" spans="14:20" x14ac:dyDescent="0.25">
      <c r="N4566" s="514"/>
      <c r="R4566" s="293"/>
      <c r="S4566" s="316"/>
      <c r="T4566" s="355"/>
    </row>
    <row r="4567" spans="14:20" x14ac:dyDescent="0.25">
      <c r="N4567" s="514"/>
      <c r="R4567" s="293"/>
      <c r="S4567" s="316"/>
      <c r="T4567" s="355"/>
    </row>
    <row r="4568" spans="14:20" x14ac:dyDescent="0.25">
      <c r="N4568" s="514"/>
      <c r="R4568" s="293"/>
      <c r="S4568" s="316"/>
      <c r="T4568" s="355"/>
    </row>
    <row r="4569" spans="14:20" x14ac:dyDescent="0.25">
      <c r="N4569" s="514"/>
      <c r="R4569" s="293"/>
      <c r="S4569" s="316"/>
      <c r="T4569" s="355"/>
    </row>
    <row r="4570" spans="14:20" x14ac:dyDescent="0.25">
      <c r="N4570" s="514"/>
      <c r="R4570" s="293"/>
      <c r="S4570" s="316"/>
      <c r="T4570" s="355"/>
    </row>
    <row r="4571" spans="14:20" x14ac:dyDescent="0.25">
      <c r="N4571" s="514"/>
      <c r="R4571" s="293"/>
      <c r="S4571" s="316"/>
      <c r="T4571" s="355"/>
    </row>
    <row r="4572" spans="14:20" x14ac:dyDescent="0.25">
      <c r="N4572" s="514"/>
      <c r="R4572" s="293"/>
      <c r="S4572" s="316"/>
      <c r="T4572" s="355"/>
    </row>
    <row r="4573" spans="14:20" x14ac:dyDescent="0.25">
      <c r="N4573" s="514"/>
      <c r="R4573" s="293"/>
      <c r="S4573" s="316"/>
      <c r="T4573" s="355"/>
    </row>
    <row r="4574" spans="14:20" x14ac:dyDescent="0.25">
      <c r="N4574" s="514"/>
      <c r="R4574" s="293"/>
      <c r="S4574" s="316"/>
      <c r="T4574" s="355"/>
    </row>
    <row r="4575" spans="14:20" x14ac:dyDescent="0.25">
      <c r="N4575" s="514"/>
      <c r="R4575" s="293"/>
      <c r="S4575" s="316"/>
      <c r="T4575" s="355"/>
    </row>
    <row r="4576" spans="14:20" x14ac:dyDescent="0.25">
      <c r="N4576" s="514"/>
      <c r="R4576" s="293"/>
      <c r="S4576" s="316"/>
      <c r="T4576" s="355"/>
    </row>
    <row r="4577" spans="14:20" x14ac:dyDescent="0.25">
      <c r="N4577" s="514"/>
      <c r="R4577" s="293"/>
      <c r="S4577" s="316"/>
      <c r="T4577" s="355"/>
    </row>
    <row r="4578" spans="14:20" x14ac:dyDescent="0.25">
      <c r="N4578" s="514"/>
      <c r="R4578" s="293"/>
      <c r="S4578" s="316"/>
      <c r="T4578" s="355"/>
    </row>
    <row r="4579" spans="14:20" x14ac:dyDescent="0.25">
      <c r="N4579" s="514"/>
      <c r="R4579" s="293"/>
      <c r="S4579" s="316"/>
      <c r="T4579" s="355"/>
    </row>
    <row r="4580" spans="14:20" x14ac:dyDescent="0.25">
      <c r="N4580" s="514"/>
      <c r="R4580" s="293"/>
      <c r="S4580" s="316"/>
      <c r="T4580" s="355"/>
    </row>
    <row r="4581" spans="14:20" x14ac:dyDescent="0.25">
      <c r="N4581" s="514"/>
      <c r="R4581" s="293"/>
      <c r="S4581" s="316"/>
      <c r="T4581" s="355"/>
    </row>
    <row r="4582" spans="14:20" x14ac:dyDescent="0.25">
      <c r="N4582" s="514"/>
      <c r="R4582" s="293"/>
      <c r="S4582" s="316"/>
      <c r="T4582" s="355"/>
    </row>
    <row r="4583" spans="14:20" x14ac:dyDescent="0.25">
      <c r="N4583" s="514"/>
      <c r="R4583" s="293"/>
      <c r="S4583" s="316"/>
      <c r="T4583" s="355"/>
    </row>
    <row r="4584" spans="14:20" x14ac:dyDescent="0.25">
      <c r="N4584" s="514"/>
      <c r="R4584" s="293"/>
      <c r="S4584" s="316"/>
      <c r="T4584" s="355"/>
    </row>
    <row r="4585" spans="14:20" x14ac:dyDescent="0.25">
      <c r="N4585" s="514"/>
      <c r="R4585" s="293"/>
      <c r="S4585" s="316"/>
      <c r="T4585" s="355"/>
    </row>
    <row r="4586" spans="14:20" x14ac:dyDescent="0.25">
      <c r="N4586" s="514"/>
      <c r="R4586" s="293"/>
      <c r="S4586" s="316"/>
      <c r="T4586" s="355"/>
    </row>
    <row r="4587" spans="14:20" x14ac:dyDescent="0.25">
      <c r="N4587" s="514"/>
      <c r="R4587" s="293"/>
      <c r="S4587" s="316"/>
      <c r="T4587" s="355"/>
    </row>
    <row r="4588" spans="14:20" x14ac:dyDescent="0.25">
      <c r="N4588" s="514"/>
      <c r="R4588" s="293"/>
      <c r="S4588" s="316"/>
      <c r="T4588" s="355"/>
    </row>
    <row r="4589" spans="14:20" x14ac:dyDescent="0.25">
      <c r="N4589" s="514"/>
      <c r="R4589" s="293"/>
      <c r="S4589" s="316"/>
      <c r="T4589" s="355"/>
    </row>
    <row r="4590" spans="14:20" x14ac:dyDescent="0.25">
      <c r="N4590" s="514"/>
      <c r="R4590" s="293"/>
      <c r="S4590" s="316"/>
      <c r="T4590" s="355"/>
    </row>
    <row r="4591" spans="14:20" x14ac:dyDescent="0.25">
      <c r="N4591" s="514"/>
      <c r="R4591" s="293"/>
      <c r="S4591" s="316"/>
      <c r="T4591" s="355"/>
    </row>
    <row r="4592" spans="14:20" x14ac:dyDescent="0.25">
      <c r="N4592" s="514"/>
      <c r="R4592" s="293"/>
      <c r="S4592" s="316"/>
      <c r="T4592" s="355"/>
    </row>
    <row r="4593" spans="14:20" x14ac:dyDescent="0.25">
      <c r="N4593" s="514"/>
      <c r="R4593" s="293"/>
      <c r="S4593" s="316"/>
      <c r="T4593" s="355"/>
    </row>
    <row r="4594" spans="14:20" x14ac:dyDescent="0.25">
      <c r="N4594" s="514"/>
      <c r="R4594" s="293"/>
      <c r="S4594" s="316"/>
      <c r="T4594" s="355"/>
    </row>
    <row r="4595" spans="14:20" x14ac:dyDescent="0.25">
      <c r="N4595" s="514"/>
      <c r="R4595" s="293"/>
      <c r="S4595" s="316"/>
      <c r="T4595" s="355"/>
    </row>
    <row r="4596" spans="14:20" x14ac:dyDescent="0.25">
      <c r="N4596" s="514"/>
      <c r="R4596" s="293"/>
      <c r="S4596" s="316"/>
      <c r="T4596" s="355"/>
    </row>
    <row r="4597" spans="14:20" x14ac:dyDescent="0.25">
      <c r="N4597" s="514"/>
      <c r="R4597" s="293"/>
      <c r="S4597" s="316"/>
      <c r="T4597" s="355"/>
    </row>
    <row r="4598" spans="14:20" x14ac:dyDescent="0.25">
      <c r="N4598" s="514"/>
      <c r="R4598" s="293"/>
      <c r="S4598" s="316"/>
      <c r="T4598" s="355"/>
    </row>
    <row r="4599" spans="14:20" x14ac:dyDescent="0.25">
      <c r="N4599" s="514"/>
      <c r="R4599" s="293"/>
      <c r="S4599" s="316"/>
      <c r="T4599" s="355"/>
    </row>
    <row r="4600" spans="14:20" x14ac:dyDescent="0.25">
      <c r="N4600" s="514"/>
      <c r="R4600" s="293"/>
      <c r="S4600" s="316"/>
      <c r="T4600" s="355"/>
    </row>
    <row r="4601" spans="14:20" x14ac:dyDescent="0.25">
      <c r="N4601" s="514"/>
      <c r="R4601" s="293"/>
      <c r="S4601" s="316"/>
      <c r="T4601" s="355"/>
    </row>
    <row r="4602" spans="14:20" x14ac:dyDescent="0.25">
      <c r="N4602" s="514"/>
      <c r="R4602" s="293"/>
      <c r="S4602" s="316"/>
      <c r="T4602" s="355"/>
    </row>
    <row r="4603" spans="14:20" x14ac:dyDescent="0.25">
      <c r="N4603" s="514"/>
      <c r="R4603" s="293"/>
      <c r="S4603" s="316"/>
      <c r="T4603" s="355"/>
    </row>
    <row r="4604" spans="14:20" x14ac:dyDescent="0.25">
      <c r="N4604" s="514"/>
      <c r="R4604" s="293"/>
      <c r="S4604" s="316"/>
      <c r="T4604" s="355"/>
    </row>
    <row r="4605" spans="14:20" x14ac:dyDescent="0.25">
      <c r="N4605" s="514"/>
      <c r="R4605" s="293"/>
      <c r="S4605" s="316"/>
      <c r="T4605" s="355"/>
    </row>
    <row r="4606" spans="14:20" x14ac:dyDescent="0.25">
      <c r="N4606" s="514"/>
      <c r="R4606" s="293"/>
      <c r="S4606" s="316"/>
      <c r="T4606" s="355"/>
    </row>
    <row r="4607" spans="14:20" x14ac:dyDescent="0.25">
      <c r="N4607" s="514"/>
      <c r="R4607" s="293"/>
      <c r="S4607" s="316"/>
      <c r="T4607" s="355"/>
    </row>
    <row r="4608" spans="14:20" x14ac:dyDescent="0.25">
      <c r="N4608" s="514"/>
      <c r="R4608" s="293"/>
      <c r="S4608" s="316"/>
      <c r="T4608" s="355"/>
    </row>
    <row r="4609" spans="14:20" x14ac:dyDescent="0.25">
      <c r="N4609" s="514"/>
      <c r="R4609" s="293"/>
      <c r="S4609" s="316"/>
      <c r="T4609" s="355"/>
    </row>
    <row r="4610" spans="14:20" x14ac:dyDescent="0.25">
      <c r="N4610" s="514"/>
      <c r="R4610" s="293"/>
      <c r="S4610" s="316"/>
      <c r="T4610" s="355"/>
    </row>
    <row r="4611" spans="14:20" x14ac:dyDescent="0.25">
      <c r="N4611" s="514"/>
      <c r="R4611" s="293"/>
      <c r="S4611" s="316"/>
      <c r="T4611" s="355"/>
    </row>
    <row r="4612" spans="14:20" x14ac:dyDescent="0.25">
      <c r="N4612" s="514"/>
      <c r="R4612" s="293"/>
      <c r="S4612" s="316"/>
      <c r="T4612" s="355"/>
    </row>
    <row r="4613" spans="14:20" x14ac:dyDescent="0.25">
      <c r="N4613" s="514"/>
      <c r="R4613" s="293"/>
      <c r="S4613" s="316"/>
      <c r="T4613" s="355"/>
    </row>
    <row r="4614" spans="14:20" x14ac:dyDescent="0.25">
      <c r="N4614" s="514"/>
      <c r="R4614" s="293"/>
      <c r="S4614" s="316"/>
      <c r="T4614" s="355"/>
    </row>
    <row r="4615" spans="14:20" x14ac:dyDescent="0.25">
      <c r="N4615" s="514"/>
      <c r="R4615" s="293"/>
      <c r="S4615" s="316"/>
      <c r="T4615" s="355"/>
    </row>
    <row r="4616" spans="14:20" x14ac:dyDescent="0.25">
      <c r="N4616" s="514"/>
      <c r="R4616" s="293"/>
      <c r="S4616" s="316"/>
      <c r="T4616" s="355"/>
    </row>
    <row r="4617" spans="14:20" x14ac:dyDescent="0.25">
      <c r="N4617" s="514"/>
      <c r="R4617" s="293"/>
      <c r="S4617" s="316"/>
      <c r="T4617" s="355"/>
    </row>
    <row r="4618" spans="14:20" x14ac:dyDescent="0.25">
      <c r="N4618" s="514"/>
      <c r="R4618" s="293"/>
      <c r="S4618" s="316"/>
      <c r="T4618" s="355"/>
    </row>
    <row r="4619" spans="14:20" x14ac:dyDescent="0.25">
      <c r="N4619" s="514"/>
      <c r="R4619" s="293"/>
      <c r="S4619" s="316"/>
      <c r="T4619" s="355"/>
    </row>
    <row r="4620" spans="14:20" x14ac:dyDescent="0.25">
      <c r="N4620" s="514"/>
      <c r="R4620" s="293"/>
      <c r="S4620" s="316"/>
      <c r="T4620" s="355"/>
    </row>
    <row r="4621" spans="14:20" x14ac:dyDescent="0.25">
      <c r="N4621" s="514"/>
      <c r="R4621" s="293"/>
      <c r="S4621" s="316"/>
      <c r="T4621" s="355"/>
    </row>
    <row r="4622" spans="14:20" x14ac:dyDescent="0.25">
      <c r="N4622" s="514"/>
      <c r="R4622" s="293"/>
      <c r="S4622" s="316"/>
      <c r="T4622" s="355"/>
    </row>
    <row r="4623" spans="14:20" x14ac:dyDescent="0.25">
      <c r="N4623" s="514"/>
      <c r="R4623" s="293"/>
      <c r="S4623" s="316"/>
      <c r="T4623" s="355"/>
    </row>
    <row r="4624" spans="14:20" x14ac:dyDescent="0.25">
      <c r="N4624" s="514"/>
      <c r="R4624" s="293"/>
      <c r="S4624" s="316"/>
      <c r="T4624" s="355"/>
    </row>
    <row r="4625" spans="14:20" x14ac:dyDescent="0.25">
      <c r="N4625" s="514"/>
      <c r="R4625" s="293"/>
      <c r="S4625" s="316"/>
      <c r="T4625" s="355"/>
    </row>
    <row r="4626" spans="14:20" x14ac:dyDescent="0.25">
      <c r="N4626" s="514"/>
      <c r="R4626" s="293"/>
      <c r="S4626" s="316"/>
      <c r="T4626" s="355"/>
    </row>
    <row r="4627" spans="14:20" x14ac:dyDescent="0.25">
      <c r="N4627" s="514"/>
      <c r="R4627" s="293"/>
      <c r="S4627" s="316"/>
      <c r="T4627" s="355"/>
    </row>
    <row r="4628" spans="14:20" x14ac:dyDescent="0.25">
      <c r="N4628" s="514"/>
      <c r="R4628" s="293"/>
      <c r="S4628" s="316"/>
      <c r="T4628" s="355"/>
    </row>
    <row r="4629" spans="14:20" x14ac:dyDescent="0.25">
      <c r="N4629" s="514"/>
      <c r="R4629" s="293"/>
      <c r="S4629" s="316"/>
      <c r="T4629" s="355"/>
    </row>
    <row r="4630" spans="14:20" x14ac:dyDescent="0.25">
      <c r="N4630" s="514"/>
      <c r="R4630" s="293"/>
      <c r="S4630" s="316"/>
      <c r="T4630" s="355"/>
    </row>
    <row r="4631" spans="14:20" x14ac:dyDescent="0.25">
      <c r="N4631" s="514"/>
      <c r="R4631" s="293"/>
      <c r="S4631" s="316"/>
      <c r="T4631" s="355"/>
    </row>
    <row r="4632" spans="14:20" x14ac:dyDescent="0.25">
      <c r="N4632" s="514"/>
      <c r="R4632" s="293"/>
      <c r="S4632" s="316"/>
      <c r="T4632" s="355"/>
    </row>
    <row r="4633" spans="14:20" x14ac:dyDescent="0.25">
      <c r="N4633" s="514"/>
      <c r="R4633" s="293"/>
      <c r="S4633" s="316"/>
      <c r="T4633" s="355"/>
    </row>
    <row r="4634" spans="14:20" x14ac:dyDescent="0.25">
      <c r="N4634" s="514"/>
      <c r="R4634" s="293"/>
      <c r="S4634" s="316"/>
      <c r="T4634" s="355"/>
    </row>
    <row r="4635" spans="14:20" x14ac:dyDescent="0.25">
      <c r="N4635" s="514"/>
      <c r="R4635" s="293"/>
      <c r="S4635" s="316"/>
      <c r="T4635" s="355"/>
    </row>
    <row r="4636" spans="14:20" x14ac:dyDescent="0.25">
      <c r="N4636" s="514"/>
      <c r="R4636" s="293"/>
      <c r="S4636" s="316"/>
      <c r="T4636" s="355"/>
    </row>
    <row r="4637" spans="14:20" x14ac:dyDescent="0.25">
      <c r="N4637" s="514"/>
      <c r="R4637" s="293"/>
      <c r="S4637" s="316"/>
      <c r="T4637" s="355"/>
    </row>
    <row r="4638" spans="14:20" x14ac:dyDescent="0.25">
      <c r="N4638" s="514"/>
      <c r="R4638" s="293"/>
      <c r="S4638" s="316"/>
      <c r="T4638" s="355"/>
    </row>
    <row r="4639" spans="14:20" x14ac:dyDescent="0.25">
      <c r="N4639" s="514"/>
      <c r="R4639" s="293"/>
      <c r="S4639" s="316"/>
      <c r="T4639" s="355"/>
    </row>
    <row r="4640" spans="14:20" x14ac:dyDescent="0.25">
      <c r="N4640" s="514"/>
      <c r="R4640" s="293"/>
      <c r="S4640" s="316"/>
      <c r="T4640" s="355"/>
    </row>
    <row r="4641" spans="14:20" x14ac:dyDescent="0.25">
      <c r="N4641" s="514"/>
      <c r="R4641" s="293"/>
      <c r="S4641" s="316"/>
      <c r="T4641" s="355"/>
    </row>
    <row r="4642" spans="14:20" x14ac:dyDescent="0.25">
      <c r="N4642" s="514"/>
      <c r="R4642" s="293"/>
      <c r="S4642" s="316"/>
      <c r="T4642" s="355"/>
    </row>
    <row r="4643" spans="14:20" x14ac:dyDescent="0.25">
      <c r="N4643" s="514"/>
      <c r="R4643" s="293"/>
      <c r="S4643" s="316"/>
      <c r="T4643" s="355"/>
    </row>
    <row r="4644" spans="14:20" x14ac:dyDescent="0.25">
      <c r="N4644" s="514"/>
      <c r="R4644" s="293"/>
      <c r="S4644" s="316"/>
      <c r="T4644" s="355"/>
    </row>
    <row r="4645" spans="14:20" x14ac:dyDescent="0.25">
      <c r="N4645" s="514"/>
      <c r="R4645" s="293"/>
      <c r="S4645" s="316"/>
      <c r="T4645" s="355"/>
    </row>
    <row r="4646" spans="14:20" x14ac:dyDescent="0.25">
      <c r="N4646" s="514"/>
      <c r="R4646" s="293"/>
      <c r="S4646" s="316"/>
      <c r="T4646" s="355"/>
    </row>
    <row r="4647" spans="14:20" x14ac:dyDescent="0.25">
      <c r="N4647" s="514"/>
      <c r="R4647" s="293"/>
      <c r="S4647" s="316"/>
      <c r="T4647" s="355"/>
    </row>
    <row r="4648" spans="14:20" x14ac:dyDescent="0.25">
      <c r="N4648" s="514"/>
      <c r="R4648" s="293"/>
      <c r="S4648" s="316"/>
      <c r="T4648" s="355"/>
    </row>
    <row r="4649" spans="14:20" x14ac:dyDescent="0.25">
      <c r="N4649" s="514"/>
      <c r="R4649" s="293"/>
      <c r="S4649" s="316"/>
      <c r="T4649" s="355"/>
    </row>
    <row r="4650" spans="14:20" x14ac:dyDescent="0.25">
      <c r="N4650" s="514"/>
      <c r="R4650" s="293"/>
      <c r="S4650" s="316"/>
      <c r="T4650" s="355"/>
    </row>
    <row r="4651" spans="14:20" x14ac:dyDescent="0.25">
      <c r="N4651" s="514"/>
      <c r="R4651" s="293"/>
      <c r="S4651" s="316"/>
      <c r="T4651" s="355"/>
    </row>
    <row r="4652" spans="14:20" x14ac:dyDescent="0.25">
      <c r="N4652" s="514"/>
      <c r="R4652" s="293"/>
      <c r="S4652" s="316"/>
      <c r="T4652" s="355"/>
    </row>
    <row r="4653" spans="14:20" x14ac:dyDescent="0.25">
      <c r="N4653" s="514"/>
      <c r="R4653" s="293"/>
      <c r="S4653" s="316"/>
      <c r="T4653" s="355"/>
    </row>
    <row r="4654" spans="14:20" x14ac:dyDescent="0.25">
      <c r="N4654" s="514"/>
      <c r="R4654" s="293"/>
      <c r="S4654" s="316"/>
      <c r="T4654" s="355"/>
    </row>
    <row r="4655" spans="14:20" x14ac:dyDescent="0.25">
      <c r="N4655" s="514"/>
      <c r="R4655" s="293"/>
      <c r="S4655" s="316"/>
      <c r="T4655" s="355"/>
    </row>
    <row r="4656" spans="14:20" x14ac:dyDescent="0.25">
      <c r="N4656" s="514"/>
      <c r="R4656" s="293"/>
      <c r="S4656" s="316"/>
      <c r="T4656" s="355"/>
    </row>
    <row r="4657" spans="14:20" x14ac:dyDescent="0.25">
      <c r="N4657" s="514"/>
      <c r="R4657" s="293"/>
      <c r="S4657" s="316"/>
      <c r="T4657" s="355"/>
    </row>
    <row r="4658" spans="14:20" x14ac:dyDescent="0.25">
      <c r="N4658" s="514"/>
      <c r="R4658" s="293"/>
      <c r="S4658" s="316"/>
      <c r="T4658" s="355"/>
    </row>
    <row r="4659" spans="14:20" x14ac:dyDescent="0.25">
      <c r="N4659" s="514"/>
      <c r="R4659" s="293"/>
      <c r="S4659" s="316"/>
      <c r="T4659" s="355"/>
    </row>
    <row r="4660" spans="14:20" x14ac:dyDescent="0.25">
      <c r="N4660" s="514"/>
      <c r="R4660" s="293"/>
      <c r="S4660" s="316"/>
      <c r="T4660" s="355"/>
    </row>
    <row r="4661" spans="14:20" x14ac:dyDescent="0.25">
      <c r="N4661" s="514"/>
      <c r="R4661" s="293"/>
      <c r="S4661" s="316"/>
      <c r="T4661" s="355"/>
    </row>
    <row r="4662" spans="14:20" x14ac:dyDescent="0.25">
      <c r="N4662" s="514"/>
      <c r="R4662" s="293"/>
      <c r="S4662" s="316"/>
      <c r="T4662" s="355"/>
    </row>
    <row r="4663" spans="14:20" x14ac:dyDescent="0.25">
      <c r="N4663" s="514"/>
      <c r="R4663" s="293"/>
      <c r="S4663" s="316"/>
      <c r="T4663" s="355"/>
    </row>
    <row r="4664" spans="14:20" x14ac:dyDescent="0.25">
      <c r="N4664" s="514"/>
      <c r="R4664" s="293"/>
      <c r="S4664" s="316"/>
      <c r="T4664" s="355"/>
    </row>
    <row r="4665" spans="14:20" x14ac:dyDescent="0.25">
      <c r="N4665" s="514"/>
      <c r="R4665" s="293"/>
      <c r="S4665" s="316"/>
      <c r="T4665" s="355"/>
    </row>
    <row r="4666" spans="14:20" x14ac:dyDescent="0.25">
      <c r="N4666" s="514"/>
      <c r="R4666" s="293"/>
      <c r="S4666" s="316"/>
      <c r="T4666" s="355"/>
    </row>
    <row r="4667" spans="14:20" x14ac:dyDescent="0.25">
      <c r="N4667" s="514"/>
      <c r="R4667" s="293"/>
      <c r="S4667" s="316"/>
      <c r="T4667" s="355"/>
    </row>
    <row r="4668" spans="14:20" x14ac:dyDescent="0.25">
      <c r="N4668" s="514"/>
      <c r="R4668" s="293"/>
      <c r="S4668" s="316"/>
      <c r="T4668" s="355"/>
    </row>
    <row r="4669" spans="14:20" x14ac:dyDescent="0.25">
      <c r="N4669" s="514"/>
      <c r="R4669" s="293"/>
      <c r="S4669" s="316"/>
      <c r="T4669" s="355"/>
    </row>
    <row r="4670" spans="14:20" x14ac:dyDescent="0.25">
      <c r="N4670" s="514"/>
      <c r="R4670" s="293"/>
      <c r="S4670" s="316"/>
      <c r="T4670" s="355"/>
    </row>
    <row r="4671" spans="14:20" x14ac:dyDescent="0.25">
      <c r="N4671" s="514"/>
      <c r="R4671" s="293"/>
      <c r="S4671" s="316"/>
      <c r="T4671" s="355"/>
    </row>
    <row r="4672" spans="14:20" x14ac:dyDescent="0.25">
      <c r="N4672" s="514"/>
      <c r="R4672" s="293"/>
      <c r="S4672" s="316"/>
      <c r="T4672" s="355"/>
    </row>
    <row r="4673" spans="14:20" x14ac:dyDescent="0.25">
      <c r="N4673" s="514"/>
      <c r="R4673" s="293"/>
      <c r="S4673" s="316"/>
      <c r="T4673" s="355"/>
    </row>
    <row r="4674" spans="14:20" x14ac:dyDescent="0.25">
      <c r="N4674" s="514"/>
      <c r="R4674" s="293"/>
      <c r="S4674" s="316"/>
      <c r="T4674" s="355"/>
    </row>
    <row r="4675" spans="14:20" x14ac:dyDescent="0.25">
      <c r="N4675" s="514"/>
      <c r="R4675" s="293"/>
      <c r="S4675" s="316"/>
      <c r="T4675" s="355"/>
    </row>
    <row r="4676" spans="14:20" x14ac:dyDescent="0.25">
      <c r="N4676" s="514"/>
      <c r="R4676" s="293"/>
      <c r="S4676" s="316"/>
      <c r="T4676" s="355"/>
    </row>
    <row r="4677" spans="14:20" x14ac:dyDescent="0.25">
      <c r="N4677" s="514"/>
      <c r="R4677" s="293"/>
      <c r="S4677" s="316"/>
      <c r="T4677" s="355"/>
    </row>
    <row r="4678" spans="14:20" x14ac:dyDescent="0.25">
      <c r="N4678" s="514"/>
      <c r="R4678" s="293"/>
      <c r="S4678" s="316"/>
      <c r="T4678" s="355"/>
    </row>
    <row r="4679" spans="14:20" x14ac:dyDescent="0.25">
      <c r="N4679" s="514"/>
      <c r="R4679" s="293"/>
      <c r="S4679" s="316"/>
      <c r="T4679" s="355"/>
    </row>
    <row r="4680" spans="14:20" x14ac:dyDescent="0.25">
      <c r="N4680" s="514"/>
      <c r="R4680" s="293"/>
      <c r="S4680" s="316"/>
      <c r="T4680" s="355"/>
    </row>
    <row r="4681" spans="14:20" x14ac:dyDescent="0.25">
      <c r="N4681" s="514"/>
      <c r="R4681" s="293"/>
      <c r="S4681" s="316"/>
      <c r="T4681" s="355"/>
    </row>
    <row r="4682" spans="14:20" x14ac:dyDescent="0.25">
      <c r="N4682" s="514"/>
      <c r="R4682" s="293"/>
      <c r="S4682" s="316"/>
      <c r="T4682" s="355"/>
    </row>
    <row r="4683" spans="14:20" x14ac:dyDescent="0.25">
      <c r="N4683" s="514"/>
      <c r="R4683" s="293"/>
      <c r="S4683" s="316"/>
      <c r="T4683" s="355"/>
    </row>
    <row r="4684" spans="14:20" x14ac:dyDescent="0.25">
      <c r="N4684" s="514"/>
      <c r="R4684" s="293"/>
      <c r="S4684" s="316"/>
      <c r="T4684" s="355"/>
    </row>
    <row r="4685" spans="14:20" x14ac:dyDescent="0.25">
      <c r="N4685" s="514"/>
      <c r="R4685" s="293"/>
      <c r="S4685" s="316"/>
      <c r="T4685" s="355"/>
    </row>
    <row r="4686" spans="14:20" x14ac:dyDescent="0.25">
      <c r="N4686" s="514"/>
      <c r="R4686" s="293"/>
      <c r="S4686" s="316"/>
      <c r="T4686" s="355"/>
    </row>
    <row r="4687" spans="14:20" x14ac:dyDescent="0.25">
      <c r="N4687" s="514"/>
      <c r="R4687" s="293"/>
      <c r="S4687" s="316"/>
      <c r="T4687" s="355"/>
    </row>
    <row r="4688" spans="14:20" x14ac:dyDescent="0.25">
      <c r="N4688" s="514"/>
      <c r="R4688" s="293"/>
      <c r="S4688" s="316"/>
      <c r="T4688" s="355"/>
    </row>
    <row r="4689" spans="14:20" x14ac:dyDescent="0.25">
      <c r="N4689" s="514"/>
      <c r="R4689" s="293"/>
      <c r="S4689" s="316"/>
      <c r="T4689" s="355"/>
    </row>
    <row r="4690" spans="14:20" x14ac:dyDescent="0.25">
      <c r="N4690" s="514"/>
      <c r="R4690" s="293"/>
      <c r="S4690" s="316"/>
      <c r="T4690" s="355"/>
    </row>
    <row r="4691" spans="14:20" x14ac:dyDescent="0.25">
      <c r="N4691" s="514"/>
      <c r="R4691" s="293"/>
      <c r="S4691" s="316"/>
      <c r="T4691" s="355"/>
    </row>
    <row r="4692" spans="14:20" x14ac:dyDescent="0.25">
      <c r="N4692" s="514"/>
      <c r="R4692" s="293"/>
      <c r="S4692" s="316"/>
      <c r="T4692" s="355"/>
    </row>
    <row r="4693" spans="14:20" x14ac:dyDescent="0.25">
      <c r="N4693" s="514"/>
      <c r="R4693" s="293"/>
      <c r="S4693" s="316"/>
      <c r="T4693" s="355"/>
    </row>
    <row r="4694" spans="14:20" x14ac:dyDescent="0.25">
      <c r="N4694" s="514"/>
      <c r="R4694" s="293"/>
      <c r="S4694" s="316"/>
      <c r="T4694" s="355"/>
    </row>
    <row r="4695" spans="14:20" x14ac:dyDescent="0.25">
      <c r="N4695" s="514"/>
      <c r="R4695" s="293"/>
      <c r="S4695" s="316"/>
      <c r="T4695" s="355"/>
    </row>
    <row r="4696" spans="14:20" x14ac:dyDescent="0.25">
      <c r="N4696" s="514"/>
      <c r="R4696" s="293"/>
      <c r="S4696" s="316"/>
      <c r="T4696" s="355"/>
    </row>
    <row r="4697" spans="14:20" x14ac:dyDescent="0.25">
      <c r="N4697" s="514"/>
      <c r="R4697" s="293"/>
      <c r="S4697" s="316"/>
      <c r="T4697" s="355"/>
    </row>
    <row r="4698" spans="14:20" x14ac:dyDescent="0.25">
      <c r="N4698" s="514"/>
      <c r="R4698" s="293"/>
      <c r="S4698" s="316"/>
      <c r="T4698" s="355"/>
    </row>
    <row r="4699" spans="14:20" x14ac:dyDescent="0.25">
      <c r="N4699" s="514"/>
      <c r="R4699" s="293"/>
      <c r="S4699" s="316"/>
      <c r="T4699" s="355"/>
    </row>
    <row r="4700" spans="14:20" x14ac:dyDescent="0.25">
      <c r="N4700" s="514"/>
      <c r="R4700" s="293"/>
      <c r="S4700" s="316"/>
      <c r="T4700" s="355"/>
    </row>
    <row r="4701" spans="14:20" x14ac:dyDescent="0.25">
      <c r="N4701" s="514"/>
      <c r="R4701" s="293"/>
      <c r="S4701" s="316"/>
      <c r="T4701" s="355"/>
    </row>
    <row r="4702" spans="14:20" x14ac:dyDescent="0.25">
      <c r="N4702" s="514"/>
      <c r="R4702" s="293"/>
      <c r="S4702" s="316"/>
      <c r="T4702" s="355"/>
    </row>
    <row r="4703" spans="14:20" x14ac:dyDescent="0.25">
      <c r="N4703" s="514"/>
      <c r="R4703" s="293"/>
      <c r="S4703" s="316"/>
      <c r="T4703" s="355"/>
    </row>
    <row r="4704" spans="14:20" x14ac:dyDescent="0.25">
      <c r="N4704" s="514"/>
      <c r="R4704" s="293"/>
      <c r="S4704" s="316"/>
      <c r="T4704" s="355"/>
    </row>
    <row r="4705" spans="14:20" x14ac:dyDescent="0.25">
      <c r="N4705" s="514"/>
      <c r="R4705" s="293"/>
      <c r="S4705" s="316"/>
      <c r="T4705" s="355"/>
    </row>
    <row r="4706" spans="14:20" x14ac:dyDescent="0.25">
      <c r="N4706" s="514"/>
      <c r="R4706" s="293"/>
      <c r="S4706" s="316"/>
      <c r="T4706" s="355"/>
    </row>
    <row r="4707" spans="14:20" x14ac:dyDescent="0.25">
      <c r="N4707" s="514"/>
      <c r="R4707" s="293"/>
      <c r="S4707" s="316"/>
      <c r="T4707" s="355"/>
    </row>
    <row r="4708" spans="14:20" x14ac:dyDescent="0.25">
      <c r="N4708" s="514"/>
      <c r="R4708" s="293"/>
      <c r="S4708" s="316"/>
      <c r="T4708" s="355"/>
    </row>
    <row r="4709" spans="14:20" x14ac:dyDescent="0.25">
      <c r="N4709" s="514"/>
      <c r="R4709" s="293"/>
      <c r="S4709" s="316"/>
      <c r="T4709" s="355"/>
    </row>
    <row r="4710" spans="14:20" x14ac:dyDescent="0.25">
      <c r="N4710" s="514"/>
      <c r="R4710" s="293"/>
      <c r="S4710" s="316"/>
      <c r="T4710" s="355"/>
    </row>
    <row r="4711" spans="14:20" x14ac:dyDescent="0.25">
      <c r="N4711" s="514"/>
      <c r="R4711" s="293"/>
      <c r="S4711" s="316"/>
      <c r="T4711" s="355"/>
    </row>
    <row r="4712" spans="14:20" x14ac:dyDescent="0.25">
      <c r="N4712" s="514"/>
      <c r="R4712" s="293"/>
      <c r="S4712" s="316"/>
      <c r="T4712" s="355"/>
    </row>
    <row r="4713" spans="14:20" x14ac:dyDescent="0.25">
      <c r="N4713" s="514"/>
      <c r="R4713" s="293"/>
      <c r="S4713" s="316"/>
      <c r="T4713" s="355"/>
    </row>
    <row r="4714" spans="14:20" x14ac:dyDescent="0.25">
      <c r="N4714" s="514"/>
      <c r="R4714" s="293"/>
      <c r="S4714" s="316"/>
      <c r="T4714" s="355"/>
    </row>
    <row r="4715" spans="14:20" x14ac:dyDescent="0.25">
      <c r="N4715" s="514"/>
      <c r="R4715" s="293"/>
      <c r="S4715" s="316"/>
      <c r="T4715" s="355"/>
    </row>
    <row r="4716" spans="14:20" x14ac:dyDescent="0.25">
      <c r="N4716" s="514"/>
      <c r="R4716" s="293"/>
      <c r="S4716" s="316"/>
      <c r="T4716" s="355"/>
    </row>
    <row r="4717" spans="14:20" x14ac:dyDescent="0.25">
      <c r="N4717" s="514"/>
      <c r="R4717" s="293"/>
      <c r="S4717" s="316"/>
      <c r="T4717" s="355"/>
    </row>
    <row r="4718" spans="14:20" x14ac:dyDescent="0.25">
      <c r="N4718" s="514"/>
      <c r="R4718" s="293"/>
      <c r="S4718" s="316"/>
      <c r="T4718" s="355"/>
    </row>
    <row r="4719" spans="14:20" x14ac:dyDescent="0.25">
      <c r="N4719" s="514"/>
      <c r="R4719" s="293"/>
      <c r="S4719" s="316"/>
      <c r="T4719" s="355"/>
    </row>
    <row r="4720" spans="14:20" x14ac:dyDescent="0.25">
      <c r="N4720" s="514"/>
      <c r="R4720" s="293"/>
      <c r="S4720" s="316"/>
      <c r="T4720" s="355"/>
    </row>
    <row r="4721" spans="14:20" x14ac:dyDescent="0.25">
      <c r="N4721" s="514"/>
      <c r="R4721" s="293"/>
      <c r="S4721" s="316"/>
      <c r="T4721" s="355"/>
    </row>
    <row r="4722" spans="14:20" x14ac:dyDescent="0.25">
      <c r="N4722" s="514"/>
      <c r="R4722" s="293"/>
      <c r="S4722" s="316"/>
      <c r="T4722" s="355"/>
    </row>
    <row r="4723" spans="14:20" x14ac:dyDescent="0.25">
      <c r="N4723" s="514"/>
      <c r="R4723" s="293"/>
      <c r="S4723" s="316"/>
      <c r="T4723" s="355"/>
    </row>
    <row r="4724" spans="14:20" x14ac:dyDescent="0.25">
      <c r="N4724" s="514"/>
      <c r="R4724" s="293"/>
      <c r="S4724" s="316"/>
      <c r="T4724" s="355"/>
    </row>
    <row r="4725" spans="14:20" x14ac:dyDescent="0.25">
      <c r="N4725" s="514"/>
      <c r="R4725" s="293"/>
      <c r="S4725" s="316"/>
      <c r="T4725" s="355"/>
    </row>
    <row r="4726" spans="14:20" x14ac:dyDescent="0.25">
      <c r="N4726" s="514"/>
      <c r="R4726" s="293"/>
      <c r="S4726" s="316"/>
      <c r="T4726" s="355"/>
    </row>
    <row r="4727" spans="14:20" x14ac:dyDescent="0.25">
      <c r="N4727" s="514"/>
      <c r="R4727" s="293"/>
      <c r="S4727" s="316"/>
      <c r="T4727" s="355"/>
    </row>
    <row r="4728" spans="14:20" x14ac:dyDescent="0.25">
      <c r="N4728" s="514"/>
      <c r="R4728" s="293"/>
      <c r="S4728" s="316"/>
      <c r="T4728" s="355"/>
    </row>
    <row r="4729" spans="14:20" x14ac:dyDescent="0.25">
      <c r="N4729" s="514"/>
      <c r="R4729" s="293"/>
      <c r="S4729" s="316"/>
      <c r="T4729" s="355"/>
    </row>
    <row r="4730" spans="14:20" x14ac:dyDescent="0.25">
      <c r="N4730" s="514"/>
      <c r="R4730" s="293"/>
      <c r="S4730" s="316"/>
      <c r="T4730" s="355"/>
    </row>
    <row r="4731" spans="14:20" x14ac:dyDescent="0.25">
      <c r="N4731" s="514"/>
      <c r="R4731" s="293"/>
      <c r="S4731" s="316"/>
      <c r="T4731" s="355"/>
    </row>
    <row r="4732" spans="14:20" x14ac:dyDescent="0.25">
      <c r="N4732" s="514"/>
      <c r="R4732" s="293"/>
      <c r="S4732" s="316"/>
      <c r="T4732" s="355"/>
    </row>
    <row r="4733" spans="14:20" x14ac:dyDescent="0.25">
      <c r="N4733" s="514"/>
      <c r="R4733" s="293"/>
      <c r="S4733" s="316"/>
      <c r="T4733" s="355"/>
    </row>
    <row r="4734" spans="14:20" x14ac:dyDescent="0.25">
      <c r="N4734" s="514"/>
      <c r="R4734" s="293"/>
      <c r="S4734" s="316"/>
      <c r="T4734" s="355"/>
    </row>
    <row r="4735" spans="14:20" x14ac:dyDescent="0.25">
      <c r="N4735" s="514"/>
      <c r="R4735" s="293"/>
      <c r="S4735" s="316"/>
      <c r="T4735" s="355"/>
    </row>
    <row r="4736" spans="14:20" x14ac:dyDescent="0.25">
      <c r="N4736" s="514"/>
      <c r="R4736" s="293"/>
      <c r="S4736" s="316"/>
      <c r="T4736" s="355"/>
    </row>
    <row r="4737" spans="14:20" x14ac:dyDescent="0.25">
      <c r="N4737" s="514"/>
      <c r="R4737" s="293"/>
      <c r="S4737" s="316"/>
      <c r="T4737" s="355"/>
    </row>
    <row r="4738" spans="14:20" x14ac:dyDescent="0.25">
      <c r="N4738" s="514"/>
      <c r="R4738" s="293"/>
      <c r="S4738" s="316"/>
      <c r="T4738" s="355"/>
    </row>
    <row r="4739" spans="14:20" x14ac:dyDescent="0.25">
      <c r="N4739" s="514"/>
      <c r="R4739" s="293"/>
      <c r="S4739" s="316"/>
      <c r="T4739" s="355"/>
    </row>
    <row r="4740" spans="14:20" x14ac:dyDescent="0.25">
      <c r="N4740" s="514"/>
      <c r="R4740" s="293"/>
      <c r="S4740" s="316"/>
      <c r="T4740" s="355"/>
    </row>
    <row r="4741" spans="14:20" x14ac:dyDescent="0.25">
      <c r="N4741" s="514"/>
      <c r="R4741" s="293"/>
      <c r="S4741" s="316"/>
      <c r="T4741" s="355"/>
    </row>
    <row r="4742" spans="14:20" x14ac:dyDescent="0.25">
      <c r="N4742" s="514"/>
      <c r="R4742" s="293"/>
      <c r="S4742" s="316"/>
      <c r="T4742" s="355"/>
    </row>
    <row r="4743" spans="14:20" x14ac:dyDescent="0.25">
      <c r="N4743" s="514"/>
      <c r="R4743" s="293"/>
      <c r="S4743" s="316"/>
      <c r="T4743" s="355"/>
    </row>
    <row r="4744" spans="14:20" x14ac:dyDescent="0.25">
      <c r="N4744" s="514"/>
      <c r="R4744" s="293"/>
      <c r="S4744" s="316"/>
      <c r="T4744" s="355"/>
    </row>
    <row r="4745" spans="14:20" x14ac:dyDescent="0.25">
      <c r="N4745" s="514"/>
      <c r="R4745" s="293"/>
      <c r="S4745" s="316"/>
      <c r="T4745" s="355"/>
    </row>
    <row r="4746" spans="14:20" x14ac:dyDescent="0.25">
      <c r="N4746" s="514"/>
      <c r="R4746" s="293"/>
      <c r="S4746" s="316"/>
      <c r="T4746" s="355"/>
    </row>
    <row r="4747" spans="14:20" x14ac:dyDescent="0.25">
      <c r="N4747" s="514"/>
      <c r="R4747" s="293"/>
      <c r="S4747" s="316"/>
      <c r="T4747" s="355"/>
    </row>
    <row r="4748" spans="14:20" x14ac:dyDescent="0.25">
      <c r="N4748" s="514"/>
      <c r="R4748" s="293"/>
      <c r="S4748" s="316"/>
      <c r="T4748" s="355"/>
    </row>
    <row r="4749" spans="14:20" x14ac:dyDescent="0.25">
      <c r="N4749" s="514"/>
      <c r="R4749" s="293"/>
      <c r="S4749" s="316"/>
      <c r="T4749" s="355"/>
    </row>
    <row r="4750" spans="14:20" x14ac:dyDescent="0.25">
      <c r="N4750" s="514"/>
      <c r="R4750" s="293"/>
      <c r="S4750" s="316"/>
      <c r="T4750" s="355"/>
    </row>
    <row r="4751" spans="14:20" x14ac:dyDescent="0.25">
      <c r="N4751" s="514"/>
      <c r="R4751" s="293"/>
      <c r="S4751" s="316"/>
      <c r="T4751" s="355"/>
    </row>
    <row r="4752" spans="14:20" x14ac:dyDescent="0.25">
      <c r="N4752" s="514"/>
      <c r="R4752" s="293"/>
      <c r="S4752" s="316"/>
      <c r="T4752" s="355"/>
    </row>
    <row r="4753" spans="14:20" x14ac:dyDescent="0.25">
      <c r="N4753" s="514"/>
      <c r="R4753" s="293"/>
      <c r="S4753" s="316"/>
      <c r="T4753" s="355"/>
    </row>
    <row r="4754" spans="14:20" x14ac:dyDescent="0.25">
      <c r="N4754" s="514"/>
      <c r="R4754" s="293"/>
      <c r="S4754" s="316"/>
      <c r="T4754" s="355"/>
    </row>
    <row r="4755" spans="14:20" x14ac:dyDescent="0.25">
      <c r="N4755" s="514"/>
      <c r="R4755" s="293"/>
      <c r="S4755" s="316"/>
      <c r="T4755" s="355"/>
    </row>
    <row r="4756" spans="14:20" x14ac:dyDescent="0.25">
      <c r="N4756" s="514"/>
      <c r="R4756" s="293"/>
      <c r="S4756" s="316"/>
      <c r="T4756" s="355"/>
    </row>
    <row r="4757" spans="14:20" x14ac:dyDescent="0.25">
      <c r="N4757" s="514"/>
      <c r="R4757" s="293"/>
      <c r="S4757" s="316"/>
      <c r="T4757" s="355"/>
    </row>
    <row r="4758" spans="14:20" x14ac:dyDescent="0.25">
      <c r="N4758" s="514"/>
      <c r="R4758" s="293"/>
      <c r="S4758" s="316"/>
      <c r="T4758" s="355"/>
    </row>
    <row r="4759" spans="14:20" x14ac:dyDescent="0.25">
      <c r="N4759" s="514"/>
      <c r="R4759" s="293"/>
      <c r="S4759" s="316"/>
      <c r="T4759" s="355"/>
    </row>
    <row r="4760" spans="14:20" x14ac:dyDescent="0.25">
      <c r="N4760" s="514"/>
      <c r="R4760" s="293"/>
      <c r="S4760" s="316"/>
      <c r="T4760" s="355"/>
    </row>
    <row r="4761" spans="14:20" x14ac:dyDescent="0.25">
      <c r="N4761" s="514"/>
      <c r="R4761" s="293"/>
      <c r="S4761" s="316"/>
      <c r="T4761" s="355"/>
    </row>
    <row r="4762" spans="14:20" x14ac:dyDescent="0.25">
      <c r="N4762" s="514"/>
      <c r="R4762" s="293"/>
      <c r="S4762" s="316"/>
      <c r="T4762" s="355"/>
    </row>
    <row r="4763" spans="14:20" x14ac:dyDescent="0.25">
      <c r="N4763" s="514"/>
      <c r="R4763" s="293"/>
      <c r="S4763" s="316"/>
      <c r="T4763" s="355"/>
    </row>
    <row r="4764" spans="14:20" x14ac:dyDescent="0.25">
      <c r="N4764" s="514"/>
      <c r="R4764" s="293"/>
      <c r="S4764" s="316"/>
      <c r="T4764" s="355"/>
    </row>
    <row r="4765" spans="14:20" x14ac:dyDescent="0.25">
      <c r="N4765" s="514"/>
      <c r="R4765" s="293"/>
      <c r="S4765" s="316"/>
      <c r="T4765" s="355"/>
    </row>
    <row r="4766" spans="14:20" x14ac:dyDescent="0.25">
      <c r="N4766" s="514"/>
      <c r="R4766" s="293"/>
      <c r="S4766" s="316"/>
      <c r="T4766" s="355"/>
    </row>
    <row r="4767" spans="14:20" x14ac:dyDescent="0.25">
      <c r="N4767" s="514"/>
      <c r="R4767" s="293"/>
      <c r="S4767" s="316"/>
      <c r="T4767" s="355"/>
    </row>
    <row r="4768" spans="14:20" x14ac:dyDescent="0.25">
      <c r="N4768" s="514"/>
      <c r="R4768" s="293"/>
      <c r="S4768" s="316"/>
      <c r="T4768" s="355"/>
    </row>
    <row r="4769" spans="14:20" x14ac:dyDescent="0.25">
      <c r="N4769" s="514"/>
      <c r="R4769" s="293"/>
      <c r="S4769" s="316"/>
      <c r="T4769" s="355"/>
    </row>
    <row r="4770" spans="14:20" x14ac:dyDescent="0.25">
      <c r="N4770" s="514"/>
      <c r="R4770" s="293"/>
      <c r="S4770" s="316"/>
      <c r="T4770" s="355"/>
    </row>
    <row r="4771" spans="14:20" x14ac:dyDescent="0.25">
      <c r="N4771" s="514"/>
      <c r="R4771" s="293"/>
      <c r="S4771" s="316"/>
      <c r="T4771" s="355"/>
    </row>
    <row r="4772" spans="14:20" x14ac:dyDescent="0.25">
      <c r="N4772" s="514"/>
      <c r="R4772" s="293"/>
      <c r="S4772" s="316"/>
      <c r="T4772" s="355"/>
    </row>
    <row r="4773" spans="14:20" x14ac:dyDescent="0.25">
      <c r="N4773" s="514"/>
      <c r="R4773" s="293"/>
      <c r="S4773" s="316"/>
      <c r="T4773" s="355"/>
    </row>
    <row r="4774" spans="14:20" x14ac:dyDescent="0.25">
      <c r="N4774" s="514"/>
      <c r="R4774" s="293"/>
      <c r="S4774" s="316"/>
      <c r="T4774" s="355"/>
    </row>
    <row r="4775" spans="14:20" x14ac:dyDescent="0.25">
      <c r="N4775" s="514"/>
      <c r="R4775" s="293"/>
      <c r="S4775" s="316"/>
      <c r="T4775" s="355"/>
    </row>
    <row r="4776" spans="14:20" x14ac:dyDescent="0.25">
      <c r="N4776" s="514"/>
      <c r="R4776" s="293"/>
      <c r="S4776" s="316"/>
      <c r="T4776" s="355"/>
    </row>
    <row r="4777" spans="14:20" x14ac:dyDescent="0.25">
      <c r="N4777" s="514"/>
      <c r="R4777" s="293"/>
      <c r="S4777" s="316"/>
      <c r="T4777" s="355"/>
    </row>
    <row r="4778" spans="14:20" x14ac:dyDescent="0.25">
      <c r="N4778" s="514"/>
      <c r="R4778" s="293"/>
      <c r="S4778" s="316"/>
      <c r="T4778" s="355"/>
    </row>
    <row r="4779" spans="14:20" x14ac:dyDescent="0.25">
      <c r="N4779" s="514"/>
      <c r="R4779" s="293"/>
      <c r="S4779" s="316"/>
      <c r="T4779" s="355"/>
    </row>
    <row r="4780" spans="14:20" x14ac:dyDescent="0.25">
      <c r="N4780" s="514"/>
      <c r="R4780" s="293"/>
      <c r="S4780" s="316"/>
      <c r="T4780" s="355"/>
    </row>
    <row r="4781" spans="14:20" x14ac:dyDescent="0.25">
      <c r="N4781" s="514"/>
      <c r="R4781" s="293"/>
      <c r="S4781" s="316"/>
      <c r="T4781" s="355"/>
    </row>
    <row r="4782" spans="14:20" x14ac:dyDescent="0.25">
      <c r="N4782" s="514"/>
      <c r="R4782" s="293"/>
      <c r="S4782" s="316"/>
      <c r="T4782" s="355"/>
    </row>
    <row r="4783" spans="14:20" x14ac:dyDescent="0.25">
      <c r="N4783" s="514"/>
      <c r="R4783" s="293"/>
      <c r="S4783" s="316"/>
      <c r="T4783" s="355"/>
    </row>
    <row r="4784" spans="14:20" x14ac:dyDescent="0.25">
      <c r="N4784" s="514"/>
      <c r="R4784" s="293"/>
      <c r="S4784" s="316"/>
      <c r="T4784" s="355"/>
    </row>
    <row r="4785" spans="14:20" x14ac:dyDescent="0.25">
      <c r="N4785" s="514"/>
      <c r="R4785" s="293"/>
      <c r="S4785" s="316"/>
      <c r="T4785" s="355"/>
    </row>
    <row r="4786" spans="14:20" x14ac:dyDescent="0.25">
      <c r="N4786" s="514"/>
      <c r="R4786" s="293"/>
      <c r="S4786" s="316"/>
      <c r="T4786" s="355"/>
    </row>
    <row r="4787" spans="14:20" x14ac:dyDescent="0.25">
      <c r="N4787" s="514"/>
      <c r="R4787" s="293"/>
      <c r="S4787" s="316"/>
      <c r="T4787" s="355"/>
    </row>
    <row r="4788" spans="14:20" x14ac:dyDescent="0.25">
      <c r="N4788" s="514"/>
      <c r="R4788" s="293"/>
      <c r="S4788" s="316"/>
      <c r="T4788" s="355"/>
    </row>
    <row r="4789" spans="14:20" x14ac:dyDescent="0.25">
      <c r="N4789" s="514"/>
      <c r="R4789" s="293"/>
      <c r="S4789" s="316"/>
      <c r="T4789" s="355"/>
    </row>
    <row r="4790" spans="14:20" x14ac:dyDescent="0.25">
      <c r="N4790" s="514"/>
      <c r="R4790" s="293"/>
      <c r="S4790" s="316"/>
      <c r="T4790" s="355"/>
    </row>
    <row r="4791" spans="14:20" x14ac:dyDescent="0.25">
      <c r="N4791" s="514"/>
      <c r="R4791" s="293"/>
      <c r="S4791" s="316"/>
      <c r="T4791" s="355"/>
    </row>
    <row r="4792" spans="14:20" x14ac:dyDescent="0.25">
      <c r="N4792" s="514"/>
      <c r="R4792" s="293"/>
      <c r="S4792" s="316"/>
      <c r="T4792" s="355"/>
    </row>
    <row r="4793" spans="14:20" x14ac:dyDescent="0.25">
      <c r="N4793" s="514"/>
      <c r="R4793" s="293"/>
      <c r="S4793" s="316"/>
      <c r="T4793" s="355"/>
    </row>
    <row r="4794" spans="14:20" x14ac:dyDescent="0.25">
      <c r="N4794" s="514"/>
      <c r="R4794" s="293"/>
      <c r="S4794" s="316"/>
      <c r="T4794" s="355"/>
    </row>
    <row r="4795" spans="14:20" x14ac:dyDescent="0.25">
      <c r="N4795" s="514"/>
      <c r="R4795" s="293"/>
      <c r="S4795" s="316"/>
      <c r="T4795" s="355"/>
    </row>
    <row r="4796" spans="14:20" x14ac:dyDescent="0.25">
      <c r="N4796" s="514"/>
      <c r="R4796" s="293"/>
      <c r="S4796" s="316"/>
      <c r="T4796" s="355"/>
    </row>
    <row r="4797" spans="14:20" x14ac:dyDescent="0.25">
      <c r="N4797" s="514"/>
      <c r="R4797" s="293"/>
      <c r="S4797" s="316"/>
      <c r="T4797" s="355"/>
    </row>
    <row r="4798" spans="14:20" x14ac:dyDescent="0.25">
      <c r="N4798" s="514"/>
      <c r="R4798" s="293"/>
      <c r="S4798" s="316"/>
      <c r="T4798" s="355"/>
    </row>
    <row r="4799" spans="14:20" x14ac:dyDescent="0.25">
      <c r="N4799" s="514"/>
      <c r="R4799" s="293"/>
      <c r="S4799" s="316"/>
      <c r="T4799" s="355"/>
    </row>
    <row r="4800" spans="14:20" x14ac:dyDescent="0.25">
      <c r="N4800" s="514"/>
      <c r="R4800" s="293"/>
      <c r="S4800" s="316"/>
      <c r="T4800" s="355"/>
    </row>
    <row r="4801" spans="14:20" x14ac:dyDescent="0.25">
      <c r="N4801" s="514"/>
      <c r="R4801" s="293"/>
      <c r="S4801" s="316"/>
      <c r="T4801" s="355"/>
    </row>
    <row r="4802" spans="14:20" x14ac:dyDescent="0.25">
      <c r="N4802" s="514"/>
      <c r="R4802" s="293"/>
      <c r="S4802" s="316"/>
      <c r="T4802" s="355"/>
    </row>
    <row r="4803" spans="14:20" x14ac:dyDescent="0.25">
      <c r="N4803" s="514"/>
      <c r="R4803" s="293"/>
      <c r="S4803" s="316"/>
      <c r="T4803" s="355"/>
    </row>
    <row r="4804" spans="14:20" x14ac:dyDescent="0.25">
      <c r="N4804" s="514"/>
      <c r="R4804" s="293"/>
      <c r="S4804" s="316"/>
      <c r="T4804" s="355"/>
    </row>
    <row r="4805" spans="14:20" x14ac:dyDescent="0.25">
      <c r="N4805" s="514"/>
      <c r="R4805" s="293"/>
      <c r="S4805" s="316"/>
      <c r="T4805" s="355"/>
    </row>
    <row r="4806" spans="14:20" x14ac:dyDescent="0.25">
      <c r="N4806" s="514"/>
      <c r="R4806" s="293"/>
      <c r="S4806" s="316"/>
      <c r="T4806" s="355"/>
    </row>
    <row r="4807" spans="14:20" x14ac:dyDescent="0.25">
      <c r="N4807" s="514"/>
      <c r="R4807" s="293"/>
      <c r="S4807" s="316"/>
      <c r="T4807" s="355"/>
    </row>
    <row r="4808" spans="14:20" x14ac:dyDescent="0.25">
      <c r="N4808" s="514"/>
      <c r="R4808" s="293"/>
      <c r="S4808" s="316"/>
      <c r="T4808" s="355"/>
    </row>
    <row r="4809" spans="14:20" x14ac:dyDescent="0.25">
      <c r="N4809" s="514"/>
      <c r="R4809" s="293"/>
      <c r="S4809" s="316"/>
      <c r="T4809" s="355"/>
    </row>
    <row r="4810" spans="14:20" x14ac:dyDescent="0.25">
      <c r="N4810" s="514"/>
      <c r="R4810" s="293"/>
      <c r="S4810" s="316"/>
      <c r="T4810" s="355"/>
    </row>
    <row r="4811" spans="14:20" x14ac:dyDescent="0.25">
      <c r="N4811" s="514"/>
      <c r="R4811" s="293"/>
      <c r="S4811" s="316"/>
      <c r="T4811" s="355"/>
    </row>
    <row r="4812" spans="14:20" x14ac:dyDescent="0.25">
      <c r="N4812" s="514"/>
      <c r="R4812" s="293"/>
      <c r="S4812" s="316"/>
      <c r="T4812" s="355"/>
    </row>
    <row r="4813" spans="14:20" x14ac:dyDescent="0.25">
      <c r="N4813" s="514"/>
      <c r="R4813" s="293"/>
      <c r="S4813" s="316"/>
      <c r="T4813" s="355"/>
    </row>
    <row r="4814" spans="14:20" x14ac:dyDescent="0.25">
      <c r="N4814" s="514"/>
      <c r="R4814" s="293"/>
      <c r="S4814" s="316"/>
      <c r="T4814" s="355"/>
    </row>
    <row r="4815" spans="14:20" x14ac:dyDescent="0.25">
      <c r="N4815" s="514"/>
      <c r="R4815" s="293"/>
      <c r="S4815" s="316"/>
      <c r="T4815" s="355"/>
    </row>
    <row r="4816" spans="14:20" x14ac:dyDescent="0.25">
      <c r="N4816" s="514"/>
      <c r="R4816" s="293"/>
      <c r="S4816" s="316"/>
      <c r="T4816" s="355"/>
    </row>
    <row r="4817" spans="14:20" x14ac:dyDescent="0.25">
      <c r="N4817" s="514"/>
      <c r="R4817" s="293"/>
      <c r="S4817" s="316"/>
      <c r="T4817" s="355"/>
    </row>
    <row r="4818" spans="14:20" x14ac:dyDescent="0.25">
      <c r="N4818" s="514"/>
      <c r="R4818" s="293"/>
      <c r="S4818" s="316"/>
      <c r="T4818" s="355"/>
    </row>
    <row r="4819" spans="14:20" x14ac:dyDescent="0.25">
      <c r="N4819" s="514"/>
      <c r="R4819" s="293"/>
      <c r="S4819" s="316"/>
      <c r="T4819" s="355"/>
    </row>
    <row r="4820" spans="14:20" x14ac:dyDescent="0.25">
      <c r="N4820" s="514"/>
      <c r="R4820" s="293"/>
      <c r="S4820" s="316"/>
      <c r="T4820" s="355"/>
    </row>
    <row r="4821" spans="14:20" x14ac:dyDescent="0.25">
      <c r="N4821" s="514"/>
      <c r="R4821" s="293"/>
      <c r="S4821" s="316"/>
      <c r="T4821" s="355"/>
    </row>
    <row r="4822" spans="14:20" x14ac:dyDescent="0.25">
      <c r="N4822" s="514"/>
      <c r="R4822" s="293"/>
      <c r="S4822" s="316"/>
      <c r="T4822" s="355"/>
    </row>
    <row r="4823" spans="14:20" x14ac:dyDescent="0.25">
      <c r="N4823" s="514"/>
      <c r="R4823" s="293"/>
      <c r="S4823" s="316"/>
      <c r="T4823" s="355"/>
    </row>
    <row r="4824" spans="14:20" x14ac:dyDescent="0.25">
      <c r="N4824" s="514"/>
      <c r="R4824" s="293"/>
      <c r="S4824" s="316"/>
      <c r="T4824" s="355"/>
    </row>
    <row r="4825" spans="14:20" x14ac:dyDescent="0.25">
      <c r="N4825" s="514"/>
      <c r="R4825" s="293"/>
      <c r="S4825" s="316"/>
      <c r="T4825" s="355"/>
    </row>
    <row r="4826" spans="14:20" x14ac:dyDescent="0.25">
      <c r="N4826" s="514"/>
      <c r="R4826" s="293"/>
      <c r="S4826" s="316"/>
      <c r="T4826" s="355"/>
    </row>
    <row r="4827" spans="14:20" x14ac:dyDescent="0.25">
      <c r="N4827" s="514"/>
      <c r="R4827" s="293"/>
      <c r="S4827" s="316"/>
      <c r="T4827" s="355"/>
    </row>
    <row r="4828" spans="14:20" x14ac:dyDescent="0.25">
      <c r="N4828" s="514"/>
      <c r="R4828" s="293"/>
      <c r="S4828" s="316"/>
      <c r="T4828" s="355"/>
    </row>
    <row r="4829" spans="14:20" x14ac:dyDescent="0.25">
      <c r="N4829" s="514"/>
      <c r="R4829" s="293"/>
      <c r="S4829" s="316"/>
      <c r="T4829" s="355"/>
    </row>
    <row r="4830" spans="14:20" x14ac:dyDescent="0.25">
      <c r="N4830" s="514"/>
      <c r="R4830" s="293"/>
      <c r="S4830" s="316"/>
      <c r="T4830" s="355"/>
    </row>
    <row r="4831" spans="14:20" x14ac:dyDescent="0.25">
      <c r="N4831" s="514"/>
      <c r="R4831" s="293"/>
      <c r="S4831" s="316"/>
      <c r="T4831" s="355"/>
    </row>
    <row r="4832" spans="14:20" x14ac:dyDescent="0.25">
      <c r="N4832" s="514"/>
      <c r="R4832" s="293"/>
      <c r="S4832" s="316"/>
      <c r="T4832" s="355"/>
    </row>
    <row r="4833" spans="14:20" x14ac:dyDescent="0.25">
      <c r="N4833" s="514"/>
      <c r="R4833" s="293"/>
      <c r="S4833" s="316"/>
      <c r="T4833" s="355"/>
    </row>
    <row r="4834" spans="14:20" x14ac:dyDescent="0.25">
      <c r="N4834" s="514"/>
      <c r="R4834" s="293"/>
      <c r="S4834" s="316"/>
      <c r="T4834" s="355"/>
    </row>
    <row r="4835" spans="14:20" x14ac:dyDescent="0.25">
      <c r="N4835" s="514"/>
      <c r="R4835" s="293"/>
      <c r="S4835" s="316"/>
      <c r="T4835" s="355"/>
    </row>
    <row r="4836" spans="14:20" x14ac:dyDescent="0.25">
      <c r="N4836" s="514"/>
      <c r="R4836" s="293"/>
      <c r="S4836" s="316"/>
      <c r="T4836" s="355"/>
    </row>
    <row r="4837" spans="14:20" x14ac:dyDescent="0.25">
      <c r="N4837" s="514"/>
      <c r="R4837" s="293"/>
      <c r="S4837" s="316"/>
      <c r="T4837" s="355"/>
    </row>
    <row r="4838" spans="14:20" x14ac:dyDescent="0.25">
      <c r="N4838" s="514"/>
      <c r="R4838" s="293"/>
      <c r="S4838" s="316"/>
      <c r="T4838" s="355"/>
    </row>
    <row r="4839" spans="14:20" x14ac:dyDescent="0.25">
      <c r="N4839" s="514"/>
      <c r="R4839" s="293"/>
      <c r="S4839" s="316"/>
      <c r="T4839" s="355"/>
    </row>
    <row r="4840" spans="14:20" x14ac:dyDescent="0.25">
      <c r="N4840" s="514"/>
      <c r="R4840" s="293"/>
      <c r="S4840" s="316"/>
      <c r="T4840" s="355"/>
    </row>
    <row r="4841" spans="14:20" x14ac:dyDescent="0.25">
      <c r="N4841" s="514"/>
      <c r="R4841" s="293"/>
      <c r="S4841" s="316"/>
      <c r="T4841" s="355"/>
    </row>
    <row r="4842" spans="14:20" x14ac:dyDescent="0.25">
      <c r="N4842" s="514"/>
      <c r="R4842" s="293"/>
      <c r="S4842" s="316"/>
      <c r="T4842" s="355"/>
    </row>
    <row r="4843" spans="14:20" x14ac:dyDescent="0.25">
      <c r="N4843" s="514"/>
      <c r="R4843" s="293"/>
      <c r="S4843" s="316"/>
      <c r="T4843" s="355"/>
    </row>
    <row r="4844" spans="14:20" x14ac:dyDescent="0.25">
      <c r="N4844" s="514"/>
      <c r="R4844" s="293"/>
      <c r="S4844" s="316"/>
      <c r="T4844" s="355"/>
    </row>
    <row r="4845" spans="14:20" x14ac:dyDescent="0.25">
      <c r="N4845" s="514"/>
      <c r="R4845" s="293"/>
      <c r="S4845" s="316"/>
      <c r="T4845" s="355"/>
    </row>
    <row r="4846" spans="14:20" x14ac:dyDescent="0.25">
      <c r="N4846" s="514"/>
      <c r="R4846" s="293"/>
      <c r="S4846" s="316"/>
      <c r="T4846" s="355"/>
    </row>
    <row r="4847" spans="14:20" x14ac:dyDescent="0.25">
      <c r="N4847" s="514"/>
      <c r="R4847" s="293"/>
      <c r="S4847" s="316"/>
      <c r="T4847" s="355"/>
    </row>
    <row r="4848" spans="14:20" x14ac:dyDescent="0.25">
      <c r="N4848" s="514"/>
      <c r="R4848" s="293"/>
      <c r="S4848" s="316"/>
      <c r="T4848" s="355"/>
    </row>
    <row r="4849" spans="14:20" x14ac:dyDescent="0.25">
      <c r="N4849" s="514"/>
      <c r="R4849" s="293"/>
      <c r="S4849" s="316"/>
      <c r="T4849" s="355"/>
    </row>
    <row r="4850" spans="14:20" x14ac:dyDescent="0.25">
      <c r="N4850" s="514"/>
      <c r="R4850" s="293"/>
      <c r="S4850" s="316"/>
      <c r="T4850" s="355"/>
    </row>
    <row r="4851" spans="14:20" x14ac:dyDescent="0.25">
      <c r="N4851" s="514"/>
      <c r="R4851" s="293"/>
      <c r="S4851" s="316"/>
      <c r="T4851" s="355"/>
    </row>
    <row r="4852" spans="14:20" x14ac:dyDescent="0.25">
      <c r="N4852" s="514"/>
      <c r="R4852" s="293"/>
      <c r="S4852" s="316"/>
      <c r="T4852" s="355"/>
    </row>
    <row r="4853" spans="14:20" x14ac:dyDescent="0.25">
      <c r="N4853" s="514"/>
      <c r="R4853" s="293"/>
      <c r="S4853" s="316"/>
      <c r="T4853" s="355"/>
    </row>
    <row r="4854" spans="14:20" x14ac:dyDescent="0.25">
      <c r="N4854" s="514"/>
      <c r="R4854" s="293"/>
      <c r="S4854" s="316"/>
      <c r="T4854" s="355"/>
    </row>
    <row r="4855" spans="14:20" x14ac:dyDescent="0.25">
      <c r="N4855" s="514"/>
      <c r="R4855" s="293"/>
      <c r="S4855" s="316"/>
      <c r="T4855" s="355"/>
    </row>
    <row r="4856" spans="14:20" x14ac:dyDescent="0.25">
      <c r="N4856" s="514"/>
      <c r="R4856" s="293"/>
      <c r="S4856" s="316"/>
      <c r="T4856" s="355"/>
    </row>
    <row r="4857" spans="14:20" x14ac:dyDescent="0.25">
      <c r="N4857" s="514"/>
      <c r="R4857" s="293"/>
      <c r="S4857" s="316"/>
      <c r="T4857" s="355"/>
    </row>
    <row r="4858" spans="14:20" x14ac:dyDescent="0.25">
      <c r="N4858" s="514"/>
      <c r="R4858" s="293"/>
      <c r="S4858" s="316"/>
      <c r="T4858" s="355"/>
    </row>
    <row r="4859" spans="14:20" x14ac:dyDescent="0.25">
      <c r="N4859" s="514"/>
      <c r="R4859" s="293"/>
      <c r="S4859" s="316"/>
      <c r="T4859" s="355"/>
    </row>
    <row r="4860" spans="14:20" x14ac:dyDescent="0.25">
      <c r="N4860" s="514"/>
      <c r="R4860" s="293"/>
      <c r="S4860" s="316"/>
      <c r="T4860" s="355"/>
    </row>
    <row r="4861" spans="14:20" x14ac:dyDescent="0.25">
      <c r="N4861" s="514"/>
      <c r="R4861" s="293"/>
      <c r="S4861" s="316"/>
      <c r="T4861" s="355"/>
    </row>
    <row r="4862" spans="14:20" x14ac:dyDescent="0.25">
      <c r="N4862" s="514"/>
      <c r="R4862" s="293"/>
      <c r="S4862" s="316"/>
      <c r="T4862" s="355"/>
    </row>
    <row r="4863" spans="14:20" x14ac:dyDescent="0.25">
      <c r="N4863" s="514"/>
      <c r="R4863" s="293"/>
      <c r="S4863" s="316"/>
      <c r="T4863" s="355"/>
    </row>
    <row r="4864" spans="14:20" x14ac:dyDescent="0.25">
      <c r="N4864" s="514"/>
      <c r="R4864" s="293"/>
      <c r="S4864" s="316"/>
      <c r="T4864" s="355"/>
    </row>
    <row r="4865" spans="14:20" x14ac:dyDescent="0.25">
      <c r="N4865" s="514"/>
      <c r="R4865" s="293"/>
      <c r="S4865" s="316"/>
      <c r="T4865" s="355"/>
    </row>
    <row r="4866" spans="14:20" x14ac:dyDescent="0.25">
      <c r="N4866" s="514"/>
      <c r="R4866" s="293"/>
      <c r="S4866" s="316"/>
      <c r="T4866" s="355"/>
    </row>
    <row r="4867" spans="14:20" x14ac:dyDescent="0.25">
      <c r="N4867" s="514"/>
      <c r="R4867" s="293"/>
      <c r="S4867" s="316"/>
      <c r="T4867" s="355"/>
    </row>
    <row r="4868" spans="14:20" x14ac:dyDescent="0.25">
      <c r="N4868" s="514"/>
      <c r="R4868" s="293"/>
      <c r="S4868" s="316"/>
      <c r="T4868" s="355"/>
    </row>
    <row r="4869" spans="14:20" x14ac:dyDescent="0.25">
      <c r="N4869" s="514"/>
      <c r="R4869" s="293"/>
      <c r="S4869" s="316"/>
      <c r="T4869" s="355"/>
    </row>
    <row r="4870" spans="14:20" x14ac:dyDescent="0.25">
      <c r="N4870" s="514"/>
      <c r="R4870" s="293"/>
      <c r="S4870" s="316"/>
      <c r="T4870" s="355"/>
    </row>
    <row r="4871" spans="14:20" x14ac:dyDescent="0.25">
      <c r="N4871" s="514"/>
      <c r="R4871" s="293"/>
      <c r="S4871" s="316"/>
      <c r="T4871" s="355"/>
    </row>
    <row r="4872" spans="14:20" x14ac:dyDescent="0.25">
      <c r="N4872" s="514"/>
      <c r="R4872" s="293"/>
      <c r="S4872" s="316"/>
      <c r="T4872" s="355"/>
    </row>
    <row r="4873" spans="14:20" x14ac:dyDescent="0.25">
      <c r="N4873" s="514"/>
      <c r="R4873" s="293"/>
      <c r="S4873" s="316"/>
      <c r="T4873" s="355"/>
    </row>
    <row r="4874" spans="14:20" x14ac:dyDescent="0.25">
      <c r="N4874" s="514"/>
      <c r="R4874" s="293"/>
      <c r="S4874" s="316"/>
      <c r="T4874" s="355"/>
    </row>
    <row r="4875" spans="14:20" x14ac:dyDescent="0.25">
      <c r="N4875" s="514"/>
      <c r="R4875" s="293"/>
      <c r="S4875" s="316"/>
      <c r="T4875" s="355"/>
    </row>
    <row r="4876" spans="14:20" x14ac:dyDescent="0.25">
      <c r="N4876" s="514"/>
      <c r="R4876" s="293"/>
      <c r="S4876" s="316"/>
      <c r="T4876" s="355"/>
    </row>
    <row r="4877" spans="14:20" x14ac:dyDescent="0.25">
      <c r="N4877" s="514"/>
      <c r="R4877" s="293"/>
      <c r="S4877" s="316"/>
      <c r="T4877" s="355"/>
    </row>
    <row r="4878" spans="14:20" x14ac:dyDescent="0.25">
      <c r="N4878" s="514"/>
      <c r="R4878" s="293"/>
      <c r="S4878" s="316"/>
      <c r="T4878" s="355"/>
    </row>
    <row r="4879" spans="14:20" x14ac:dyDescent="0.25">
      <c r="N4879" s="514"/>
      <c r="R4879" s="293"/>
      <c r="S4879" s="316"/>
      <c r="T4879" s="355"/>
    </row>
    <row r="4880" spans="14:20" x14ac:dyDescent="0.25">
      <c r="N4880" s="514"/>
      <c r="R4880" s="293"/>
      <c r="S4880" s="316"/>
      <c r="T4880" s="355"/>
    </row>
    <row r="4881" spans="14:20" x14ac:dyDescent="0.25">
      <c r="N4881" s="514"/>
      <c r="R4881" s="293"/>
      <c r="S4881" s="316"/>
      <c r="T4881" s="355"/>
    </row>
    <row r="4882" spans="14:20" x14ac:dyDescent="0.25">
      <c r="N4882" s="514"/>
      <c r="R4882" s="293"/>
      <c r="S4882" s="316"/>
      <c r="T4882" s="355"/>
    </row>
    <row r="4883" spans="14:20" x14ac:dyDescent="0.25">
      <c r="N4883" s="514"/>
      <c r="R4883" s="293"/>
      <c r="S4883" s="316"/>
      <c r="T4883" s="355"/>
    </row>
    <row r="4884" spans="14:20" x14ac:dyDescent="0.25">
      <c r="N4884" s="514"/>
      <c r="R4884" s="293"/>
      <c r="S4884" s="316"/>
      <c r="T4884" s="355"/>
    </row>
    <row r="4885" spans="14:20" x14ac:dyDescent="0.25">
      <c r="N4885" s="514"/>
      <c r="R4885" s="293"/>
      <c r="S4885" s="316"/>
      <c r="T4885" s="355"/>
    </row>
    <row r="4886" spans="14:20" x14ac:dyDescent="0.25">
      <c r="N4886" s="514"/>
      <c r="R4886" s="293"/>
      <c r="S4886" s="316"/>
      <c r="T4886" s="355"/>
    </row>
    <row r="4887" spans="14:20" x14ac:dyDescent="0.25">
      <c r="N4887" s="514"/>
      <c r="R4887" s="293"/>
      <c r="S4887" s="316"/>
      <c r="T4887" s="355"/>
    </row>
    <row r="4888" spans="14:20" x14ac:dyDescent="0.25">
      <c r="N4888" s="514"/>
      <c r="R4888" s="293"/>
      <c r="S4888" s="316"/>
      <c r="T4888" s="355"/>
    </row>
    <row r="4889" spans="14:20" x14ac:dyDescent="0.25">
      <c r="N4889" s="514"/>
      <c r="R4889" s="293"/>
      <c r="S4889" s="316"/>
      <c r="T4889" s="355"/>
    </row>
    <row r="4890" spans="14:20" x14ac:dyDescent="0.25">
      <c r="N4890" s="514"/>
      <c r="R4890" s="293"/>
      <c r="S4890" s="316"/>
      <c r="T4890" s="355"/>
    </row>
    <row r="4891" spans="14:20" x14ac:dyDescent="0.25">
      <c r="N4891" s="514"/>
      <c r="R4891" s="293"/>
      <c r="S4891" s="316"/>
      <c r="T4891" s="355"/>
    </row>
    <row r="4892" spans="14:20" x14ac:dyDescent="0.25">
      <c r="N4892" s="514"/>
      <c r="R4892" s="293"/>
      <c r="S4892" s="316"/>
      <c r="T4892" s="355"/>
    </row>
    <row r="4893" spans="14:20" x14ac:dyDescent="0.25">
      <c r="N4893" s="514"/>
      <c r="R4893" s="293"/>
      <c r="S4893" s="316"/>
      <c r="T4893" s="355"/>
    </row>
    <row r="4894" spans="14:20" x14ac:dyDescent="0.25">
      <c r="N4894" s="514"/>
      <c r="R4894" s="293"/>
      <c r="S4894" s="316"/>
      <c r="T4894" s="355"/>
    </row>
    <row r="4895" spans="14:20" x14ac:dyDescent="0.25">
      <c r="N4895" s="514"/>
      <c r="R4895" s="293"/>
      <c r="S4895" s="316"/>
      <c r="T4895" s="355"/>
    </row>
    <row r="4896" spans="14:20" x14ac:dyDescent="0.25">
      <c r="N4896" s="514"/>
      <c r="R4896" s="293"/>
      <c r="S4896" s="316"/>
      <c r="T4896" s="355"/>
    </row>
    <row r="4897" spans="14:20" x14ac:dyDescent="0.25">
      <c r="N4897" s="514"/>
      <c r="R4897" s="293"/>
      <c r="S4897" s="316"/>
      <c r="T4897" s="355"/>
    </row>
    <row r="4898" spans="14:20" x14ac:dyDescent="0.25">
      <c r="N4898" s="514"/>
      <c r="R4898" s="293"/>
      <c r="S4898" s="316"/>
      <c r="T4898" s="355"/>
    </row>
    <row r="4899" spans="14:20" x14ac:dyDescent="0.25">
      <c r="N4899" s="514"/>
      <c r="R4899" s="293"/>
      <c r="S4899" s="316"/>
      <c r="T4899" s="355"/>
    </row>
    <row r="4900" spans="14:20" x14ac:dyDescent="0.25">
      <c r="N4900" s="514"/>
      <c r="R4900" s="293"/>
      <c r="S4900" s="316"/>
      <c r="T4900" s="355"/>
    </row>
    <row r="4901" spans="14:20" x14ac:dyDescent="0.25">
      <c r="N4901" s="514"/>
      <c r="R4901" s="293"/>
      <c r="S4901" s="316"/>
      <c r="T4901" s="355"/>
    </row>
    <row r="4902" spans="14:20" x14ac:dyDescent="0.25">
      <c r="N4902" s="514"/>
      <c r="R4902" s="293"/>
      <c r="S4902" s="316"/>
      <c r="T4902" s="355"/>
    </row>
    <row r="4903" spans="14:20" x14ac:dyDescent="0.25">
      <c r="N4903" s="514"/>
      <c r="R4903" s="293"/>
      <c r="S4903" s="316"/>
      <c r="T4903" s="355"/>
    </row>
    <row r="4904" spans="14:20" x14ac:dyDescent="0.25">
      <c r="N4904" s="514"/>
      <c r="R4904" s="293"/>
      <c r="S4904" s="316"/>
      <c r="T4904" s="355"/>
    </row>
    <row r="4905" spans="14:20" x14ac:dyDescent="0.25">
      <c r="N4905" s="514"/>
      <c r="R4905" s="293"/>
      <c r="S4905" s="316"/>
      <c r="T4905" s="355"/>
    </row>
    <row r="4906" spans="14:20" x14ac:dyDescent="0.25">
      <c r="N4906" s="514"/>
      <c r="R4906" s="293"/>
      <c r="S4906" s="316"/>
      <c r="T4906" s="355"/>
    </row>
    <row r="4907" spans="14:20" x14ac:dyDescent="0.25">
      <c r="N4907" s="514"/>
      <c r="R4907" s="293"/>
      <c r="S4907" s="316"/>
      <c r="T4907" s="355"/>
    </row>
    <row r="4908" spans="14:20" x14ac:dyDescent="0.25">
      <c r="N4908" s="514"/>
      <c r="R4908" s="293"/>
      <c r="S4908" s="316"/>
      <c r="T4908" s="355"/>
    </row>
    <row r="4909" spans="14:20" x14ac:dyDescent="0.25">
      <c r="N4909" s="514"/>
      <c r="R4909" s="293"/>
      <c r="S4909" s="316"/>
      <c r="T4909" s="355"/>
    </row>
    <row r="4910" spans="14:20" x14ac:dyDescent="0.25">
      <c r="N4910" s="514"/>
      <c r="R4910" s="293"/>
      <c r="S4910" s="316"/>
      <c r="T4910" s="355"/>
    </row>
    <row r="4911" spans="14:20" x14ac:dyDescent="0.25">
      <c r="N4911" s="514"/>
      <c r="R4911" s="293"/>
      <c r="S4911" s="316"/>
      <c r="T4911" s="355"/>
    </row>
    <row r="4912" spans="14:20" x14ac:dyDescent="0.25">
      <c r="N4912" s="514"/>
      <c r="R4912" s="293"/>
      <c r="S4912" s="316"/>
      <c r="T4912" s="355"/>
    </row>
    <row r="4913" spans="14:20" x14ac:dyDescent="0.25">
      <c r="N4913" s="514"/>
      <c r="R4913" s="293"/>
      <c r="S4913" s="316"/>
      <c r="T4913" s="355"/>
    </row>
    <row r="4914" spans="14:20" x14ac:dyDescent="0.25">
      <c r="N4914" s="514"/>
      <c r="R4914" s="293"/>
      <c r="S4914" s="316"/>
      <c r="T4914" s="355"/>
    </row>
    <row r="4915" spans="14:20" x14ac:dyDescent="0.25">
      <c r="N4915" s="514"/>
      <c r="R4915" s="293"/>
      <c r="S4915" s="316"/>
      <c r="T4915" s="355"/>
    </row>
    <row r="4916" spans="14:20" x14ac:dyDescent="0.25">
      <c r="N4916" s="514"/>
      <c r="R4916" s="293"/>
      <c r="S4916" s="316"/>
      <c r="T4916" s="355"/>
    </row>
    <row r="4917" spans="14:20" x14ac:dyDescent="0.25">
      <c r="N4917" s="514"/>
      <c r="R4917" s="293"/>
      <c r="S4917" s="316"/>
      <c r="T4917" s="355"/>
    </row>
    <row r="4918" spans="14:20" x14ac:dyDescent="0.25">
      <c r="N4918" s="514"/>
      <c r="R4918" s="293"/>
      <c r="S4918" s="316"/>
      <c r="T4918" s="355"/>
    </row>
    <row r="4919" spans="14:20" x14ac:dyDescent="0.25">
      <c r="N4919" s="514"/>
      <c r="R4919" s="293"/>
      <c r="S4919" s="316"/>
      <c r="T4919" s="355"/>
    </row>
    <row r="4920" spans="14:20" x14ac:dyDescent="0.25">
      <c r="N4920" s="514"/>
      <c r="R4920" s="293"/>
      <c r="S4920" s="316"/>
      <c r="T4920" s="355"/>
    </row>
    <row r="4921" spans="14:20" x14ac:dyDescent="0.25">
      <c r="N4921" s="514"/>
      <c r="R4921" s="293"/>
      <c r="S4921" s="316"/>
      <c r="T4921" s="355"/>
    </row>
    <row r="4922" spans="14:20" x14ac:dyDescent="0.25">
      <c r="N4922" s="514"/>
      <c r="R4922" s="293"/>
      <c r="S4922" s="316"/>
      <c r="T4922" s="355"/>
    </row>
    <row r="4923" spans="14:20" x14ac:dyDescent="0.25">
      <c r="N4923" s="514"/>
      <c r="R4923" s="293"/>
      <c r="S4923" s="316"/>
      <c r="T4923" s="355"/>
    </row>
    <row r="4924" spans="14:20" x14ac:dyDescent="0.25">
      <c r="N4924" s="514"/>
      <c r="R4924" s="293"/>
      <c r="S4924" s="316"/>
      <c r="T4924" s="355"/>
    </row>
    <row r="4925" spans="14:20" x14ac:dyDescent="0.25">
      <c r="N4925" s="514"/>
      <c r="R4925" s="293"/>
      <c r="S4925" s="316"/>
      <c r="T4925" s="355"/>
    </row>
    <row r="4926" spans="14:20" x14ac:dyDescent="0.25">
      <c r="N4926" s="514"/>
      <c r="R4926" s="293"/>
      <c r="S4926" s="316"/>
      <c r="T4926" s="355"/>
    </row>
    <row r="4927" spans="14:20" x14ac:dyDescent="0.25">
      <c r="N4927" s="514"/>
      <c r="R4927" s="293"/>
      <c r="S4927" s="316"/>
      <c r="T4927" s="355"/>
    </row>
    <row r="4928" spans="14:20" x14ac:dyDescent="0.25">
      <c r="N4928" s="514"/>
      <c r="R4928" s="293"/>
      <c r="S4928" s="316"/>
      <c r="T4928" s="355"/>
    </row>
    <row r="4929" spans="14:20" x14ac:dyDescent="0.25">
      <c r="N4929" s="514"/>
      <c r="R4929" s="293"/>
      <c r="S4929" s="316"/>
      <c r="T4929" s="355"/>
    </row>
    <row r="4930" spans="14:20" x14ac:dyDescent="0.25">
      <c r="N4930" s="514"/>
      <c r="R4930" s="293"/>
      <c r="S4930" s="316"/>
      <c r="T4930" s="355"/>
    </row>
    <row r="4931" spans="14:20" x14ac:dyDescent="0.25">
      <c r="N4931" s="514"/>
      <c r="R4931" s="293"/>
      <c r="S4931" s="316"/>
      <c r="T4931" s="355"/>
    </row>
    <row r="4932" spans="14:20" x14ac:dyDescent="0.25">
      <c r="N4932" s="514"/>
      <c r="R4932" s="293"/>
      <c r="S4932" s="316"/>
      <c r="T4932" s="355"/>
    </row>
    <row r="4933" spans="14:20" x14ac:dyDescent="0.25">
      <c r="N4933" s="514"/>
      <c r="R4933" s="293"/>
      <c r="S4933" s="316"/>
      <c r="T4933" s="355"/>
    </row>
    <row r="4934" spans="14:20" x14ac:dyDescent="0.25">
      <c r="N4934" s="514"/>
      <c r="R4934" s="293"/>
      <c r="S4934" s="316"/>
      <c r="T4934" s="355"/>
    </row>
    <row r="4935" spans="14:20" x14ac:dyDescent="0.25">
      <c r="N4935" s="514"/>
      <c r="R4935" s="293"/>
      <c r="S4935" s="316"/>
      <c r="T4935" s="355"/>
    </row>
    <row r="4936" spans="14:20" x14ac:dyDescent="0.25">
      <c r="N4936" s="514"/>
      <c r="R4936" s="293"/>
      <c r="S4936" s="316"/>
      <c r="T4936" s="355"/>
    </row>
    <row r="4937" spans="14:20" x14ac:dyDescent="0.25">
      <c r="N4937" s="514"/>
      <c r="R4937" s="293"/>
      <c r="S4937" s="316"/>
      <c r="T4937" s="355"/>
    </row>
    <row r="4938" spans="14:20" x14ac:dyDescent="0.25">
      <c r="N4938" s="514"/>
      <c r="R4938" s="293"/>
      <c r="S4938" s="316"/>
      <c r="T4938" s="355"/>
    </row>
    <row r="4939" spans="14:20" x14ac:dyDescent="0.25">
      <c r="N4939" s="514"/>
      <c r="R4939" s="293"/>
      <c r="S4939" s="316"/>
      <c r="T4939" s="355"/>
    </row>
    <row r="4940" spans="14:20" x14ac:dyDescent="0.25">
      <c r="N4940" s="514"/>
      <c r="R4940" s="293"/>
      <c r="S4940" s="316"/>
      <c r="T4940" s="355"/>
    </row>
    <row r="4941" spans="14:20" x14ac:dyDescent="0.25">
      <c r="N4941" s="514"/>
      <c r="R4941" s="293"/>
      <c r="S4941" s="316"/>
      <c r="T4941" s="355"/>
    </row>
    <row r="4942" spans="14:20" x14ac:dyDescent="0.25">
      <c r="N4942" s="514"/>
      <c r="R4942" s="293"/>
      <c r="S4942" s="316"/>
      <c r="T4942" s="355"/>
    </row>
    <row r="4943" spans="14:20" x14ac:dyDescent="0.25">
      <c r="N4943" s="514"/>
      <c r="R4943" s="293"/>
      <c r="S4943" s="316"/>
      <c r="T4943" s="355"/>
    </row>
    <row r="4944" spans="14:20" x14ac:dyDescent="0.25">
      <c r="N4944" s="514"/>
      <c r="R4944" s="293"/>
      <c r="S4944" s="316"/>
      <c r="T4944" s="355"/>
    </row>
    <row r="4945" spans="14:20" x14ac:dyDescent="0.25">
      <c r="N4945" s="514"/>
      <c r="R4945" s="293"/>
      <c r="S4945" s="316"/>
      <c r="T4945" s="355"/>
    </row>
    <row r="4946" spans="14:20" x14ac:dyDescent="0.25">
      <c r="N4946" s="514"/>
      <c r="R4946" s="293"/>
      <c r="S4946" s="316"/>
      <c r="T4946" s="355"/>
    </row>
    <row r="4947" spans="14:20" x14ac:dyDescent="0.25">
      <c r="N4947" s="514"/>
      <c r="R4947" s="293"/>
      <c r="S4947" s="316"/>
      <c r="T4947" s="355"/>
    </row>
    <row r="4948" spans="14:20" x14ac:dyDescent="0.25">
      <c r="N4948" s="514"/>
      <c r="R4948" s="293"/>
      <c r="S4948" s="316"/>
      <c r="T4948" s="355"/>
    </row>
    <row r="4949" spans="14:20" x14ac:dyDescent="0.25">
      <c r="N4949" s="514"/>
      <c r="R4949" s="293"/>
      <c r="S4949" s="316"/>
      <c r="T4949" s="355"/>
    </row>
    <row r="4950" spans="14:20" x14ac:dyDescent="0.25">
      <c r="N4950" s="514"/>
      <c r="R4950" s="293"/>
      <c r="S4950" s="316"/>
      <c r="T4950" s="355"/>
    </row>
    <row r="4951" spans="14:20" x14ac:dyDescent="0.25">
      <c r="N4951" s="514"/>
      <c r="R4951" s="293"/>
      <c r="S4951" s="316"/>
      <c r="T4951" s="355"/>
    </row>
    <row r="4952" spans="14:20" x14ac:dyDescent="0.25">
      <c r="N4952" s="514"/>
      <c r="R4952" s="293"/>
      <c r="S4952" s="316"/>
      <c r="T4952" s="355"/>
    </row>
    <row r="4953" spans="14:20" x14ac:dyDescent="0.25">
      <c r="N4953" s="514"/>
      <c r="R4953" s="293"/>
      <c r="S4953" s="316"/>
      <c r="T4953" s="355"/>
    </row>
    <row r="4954" spans="14:20" x14ac:dyDescent="0.25">
      <c r="N4954" s="514"/>
      <c r="R4954" s="293"/>
      <c r="S4954" s="316"/>
      <c r="T4954" s="355"/>
    </row>
    <row r="4955" spans="14:20" x14ac:dyDescent="0.25">
      <c r="N4955" s="514"/>
      <c r="R4955" s="293"/>
      <c r="S4955" s="316"/>
      <c r="T4955" s="355"/>
    </row>
    <row r="4956" spans="14:20" x14ac:dyDescent="0.25">
      <c r="N4956" s="514"/>
      <c r="R4956" s="293"/>
      <c r="S4956" s="316"/>
      <c r="T4956" s="355"/>
    </row>
    <row r="4957" spans="14:20" x14ac:dyDescent="0.25">
      <c r="N4957" s="514"/>
      <c r="R4957" s="293"/>
      <c r="S4957" s="316"/>
      <c r="T4957" s="355"/>
    </row>
    <row r="4958" spans="14:20" x14ac:dyDescent="0.25">
      <c r="N4958" s="514"/>
      <c r="R4958" s="293"/>
      <c r="S4958" s="316"/>
      <c r="T4958" s="355"/>
    </row>
    <row r="4959" spans="14:20" x14ac:dyDescent="0.25">
      <c r="N4959" s="514"/>
      <c r="R4959" s="293"/>
      <c r="S4959" s="316"/>
      <c r="T4959" s="355"/>
    </row>
    <row r="4960" spans="14:20" x14ac:dyDescent="0.25">
      <c r="N4960" s="514"/>
      <c r="R4960" s="293"/>
      <c r="S4960" s="316"/>
      <c r="T4960" s="355"/>
    </row>
    <row r="4961" spans="14:20" x14ac:dyDescent="0.25">
      <c r="N4961" s="514"/>
      <c r="R4961" s="293"/>
      <c r="S4961" s="316"/>
      <c r="T4961" s="355"/>
    </row>
    <row r="4962" spans="14:20" x14ac:dyDescent="0.25">
      <c r="N4962" s="514"/>
      <c r="R4962" s="293"/>
      <c r="S4962" s="316"/>
      <c r="T4962" s="355"/>
    </row>
    <row r="4963" spans="14:20" x14ac:dyDescent="0.25">
      <c r="N4963" s="514"/>
      <c r="R4963" s="293"/>
      <c r="S4963" s="316"/>
      <c r="T4963" s="355"/>
    </row>
    <row r="4964" spans="14:20" x14ac:dyDescent="0.25">
      <c r="N4964" s="514"/>
      <c r="R4964" s="293"/>
      <c r="S4964" s="316"/>
      <c r="T4964" s="355"/>
    </row>
    <row r="4965" spans="14:20" x14ac:dyDescent="0.25">
      <c r="N4965" s="514"/>
      <c r="R4965" s="293"/>
      <c r="S4965" s="316"/>
      <c r="T4965" s="355"/>
    </row>
    <row r="4966" spans="14:20" x14ac:dyDescent="0.25">
      <c r="N4966" s="514"/>
      <c r="R4966" s="293"/>
      <c r="S4966" s="316"/>
      <c r="T4966" s="355"/>
    </row>
    <row r="4967" spans="14:20" x14ac:dyDescent="0.25">
      <c r="N4967" s="514"/>
      <c r="R4967" s="293"/>
      <c r="S4967" s="316"/>
      <c r="T4967" s="355"/>
    </row>
    <row r="4968" spans="14:20" x14ac:dyDescent="0.25">
      <c r="N4968" s="514"/>
      <c r="R4968" s="293"/>
      <c r="S4968" s="316"/>
      <c r="T4968" s="355"/>
    </row>
    <row r="4969" spans="14:20" x14ac:dyDescent="0.25">
      <c r="N4969" s="514"/>
      <c r="R4969" s="293"/>
      <c r="S4969" s="316"/>
      <c r="T4969" s="355"/>
    </row>
    <row r="4970" spans="14:20" x14ac:dyDescent="0.25">
      <c r="N4970" s="514"/>
      <c r="R4970" s="293"/>
      <c r="S4970" s="316"/>
      <c r="T4970" s="355"/>
    </row>
    <row r="4971" spans="14:20" x14ac:dyDescent="0.25">
      <c r="N4971" s="514"/>
      <c r="R4971" s="293"/>
      <c r="S4971" s="316"/>
      <c r="T4971" s="355"/>
    </row>
    <row r="4972" spans="14:20" x14ac:dyDescent="0.25">
      <c r="N4972" s="514"/>
      <c r="R4972" s="293"/>
      <c r="S4972" s="316"/>
      <c r="T4972" s="355"/>
    </row>
    <row r="4973" spans="14:20" x14ac:dyDescent="0.25">
      <c r="N4973" s="514"/>
      <c r="R4973" s="293"/>
      <c r="S4973" s="316"/>
      <c r="T4973" s="355"/>
    </row>
    <row r="4974" spans="14:20" x14ac:dyDescent="0.25">
      <c r="N4974" s="514"/>
      <c r="R4974" s="293"/>
      <c r="S4974" s="316"/>
      <c r="T4974" s="355"/>
    </row>
    <row r="4975" spans="14:20" x14ac:dyDescent="0.25">
      <c r="N4975" s="514"/>
      <c r="R4975" s="293"/>
      <c r="S4975" s="316"/>
      <c r="T4975" s="355"/>
    </row>
    <row r="4976" spans="14:20" x14ac:dyDescent="0.25">
      <c r="N4976" s="514"/>
      <c r="R4976" s="293"/>
      <c r="S4976" s="316"/>
      <c r="T4976" s="355"/>
    </row>
    <row r="4977" spans="14:20" x14ac:dyDescent="0.25">
      <c r="N4977" s="514"/>
      <c r="R4977" s="293"/>
      <c r="S4977" s="316"/>
      <c r="T4977" s="355"/>
    </row>
    <row r="4978" spans="14:20" x14ac:dyDescent="0.25">
      <c r="N4978" s="514"/>
      <c r="R4978" s="293"/>
      <c r="S4978" s="316"/>
      <c r="T4978" s="355"/>
    </row>
    <row r="4979" spans="14:20" x14ac:dyDescent="0.25">
      <c r="N4979" s="514"/>
      <c r="R4979" s="293"/>
      <c r="S4979" s="316"/>
      <c r="T4979" s="355"/>
    </row>
    <row r="4980" spans="14:20" x14ac:dyDescent="0.25">
      <c r="N4980" s="514"/>
      <c r="R4980" s="293"/>
      <c r="S4980" s="316"/>
      <c r="T4980" s="355"/>
    </row>
    <row r="4981" spans="14:20" x14ac:dyDescent="0.25">
      <c r="N4981" s="514"/>
      <c r="R4981" s="293"/>
      <c r="S4981" s="316"/>
      <c r="T4981" s="355"/>
    </row>
    <row r="4982" spans="14:20" x14ac:dyDescent="0.25">
      <c r="N4982" s="514"/>
      <c r="R4982" s="293"/>
      <c r="S4982" s="316"/>
      <c r="T4982" s="355"/>
    </row>
    <row r="4983" spans="14:20" x14ac:dyDescent="0.25">
      <c r="N4983" s="514"/>
      <c r="R4983" s="293"/>
      <c r="S4983" s="316"/>
      <c r="T4983" s="355"/>
    </row>
    <row r="4984" spans="14:20" x14ac:dyDescent="0.25">
      <c r="N4984" s="514"/>
      <c r="R4984" s="293"/>
      <c r="S4984" s="316"/>
      <c r="T4984" s="355"/>
    </row>
    <row r="4985" spans="14:20" x14ac:dyDescent="0.25">
      <c r="N4985" s="514"/>
      <c r="R4985" s="293"/>
      <c r="S4985" s="316"/>
      <c r="T4985" s="355"/>
    </row>
    <row r="4986" spans="14:20" x14ac:dyDescent="0.25">
      <c r="N4986" s="514"/>
      <c r="R4986" s="293"/>
      <c r="S4986" s="316"/>
      <c r="T4986" s="355"/>
    </row>
    <row r="4987" spans="14:20" x14ac:dyDescent="0.25">
      <c r="N4987" s="514"/>
      <c r="R4987" s="293"/>
      <c r="S4987" s="316"/>
      <c r="T4987" s="355"/>
    </row>
    <row r="4988" spans="14:20" x14ac:dyDescent="0.25">
      <c r="N4988" s="514"/>
      <c r="R4988" s="293"/>
      <c r="S4988" s="316"/>
      <c r="T4988" s="355"/>
    </row>
    <row r="4989" spans="14:20" x14ac:dyDescent="0.25">
      <c r="N4989" s="514"/>
      <c r="R4989" s="293"/>
      <c r="S4989" s="316"/>
      <c r="T4989" s="355"/>
    </row>
    <row r="4990" spans="14:20" x14ac:dyDescent="0.25">
      <c r="N4990" s="514"/>
      <c r="R4990" s="293"/>
      <c r="S4990" s="316"/>
      <c r="T4990" s="355"/>
    </row>
    <row r="4991" spans="14:20" x14ac:dyDescent="0.25">
      <c r="N4991" s="514"/>
      <c r="R4991" s="293"/>
      <c r="S4991" s="316"/>
      <c r="T4991" s="355"/>
    </row>
    <row r="4992" spans="14:20" x14ac:dyDescent="0.25">
      <c r="N4992" s="514"/>
      <c r="R4992" s="293"/>
      <c r="S4992" s="316"/>
      <c r="T4992" s="355"/>
    </row>
    <row r="4993" spans="14:20" x14ac:dyDescent="0.25">
      <c r="N4993" s="514"/>
      <c r="R4993" s="293"/>
      <c r="S4993" s="316"/>
      <c r="T4993" s="355"/>
    </row>
    <row r="4994" spans="14:20" x14ac:dyDescent="0.25">
      <c r="N4994" s="514"/>
      <c r="R4994" s="293"/>
      <c r="S4994" s="316"/>
      <c r="T4994" s="355"/>
    </row>
    <row r="4995" spans="14:20" x14ac:dyDescent="0.25">
      <c r="N4995" s="514"/>
      <c r="R4995" s="293"/>
      <c r="S4995" s="316"/>
      <c r="T4995" s="355"/>
    </row>
    <row r="4996" spans="14:20" x14ac:dyDescent="0.25">
      <c r="N4996" s="514"/>
      <c r="R4996" s="293"/>
      <c r="S4996" s="316"/>
      <c r="T4996" s="355"/>
    </row>
    <row r="4997" spans="14:20" x14ac:dyDescent="0.25">
      <c r="N4997" s="514"/>
      <c r="R4997" s="293"/>
      <c r="S4997" s="316"/>
      <c r="T4997" s="355"/>
    </row>
    <row r="4998" spans="14:20" x14ac:dyDescent="0.25">
      <c r="N4998" s="514"/>
      <c r="R4998" s="293"/>
      <c r="S4998" s="316"/>
      <c r="T4998" s="355"/>
    </row>
    <row r="4999" spans="14:20" x14ac:dyDescent="0.25">
      <c r="N4999" s="514"/>
      <c r="R4999" s="293"/>
      <c r="S4999" s="316"/>
      <c r="T4999" s="355"/>
    </row>
    <row r="5000" spans="14:20" x14ac:dyDescent="0.25">
      <c r="N5000" s="514"/>
      <c r="R5000" s="293"/>
      <c r="S5000" s="316"/>
      <c r="T5000" s="355"/>
    </row>
    <row r="5001" spans="14:20" x14ac:dyDescent="0.25">
      <c r="N5001" s="514"/>
      <c r="R5001" s="293"/>
      <c r="S5001" s="316"/>
      <c r="T5001" s="355"/>
    </row>
    <row r="5002" spans="14:20" x14ac:dyDescent="0.25">
      <c r="N5002" s="514"/>
      <c r="R5002" s="293"/>
      <c r="S5002" s="316"/>
      <c r="T5002" s="355"/>
    </row>
    <row r="5003" spans="14:20" x14ac:dyDescent="0.25">
      <c r="N5003" s="514"/>
      <c r="R5003" s="293"/>
      <c r="S5003" s="316"/>
      <c r="T5003" s="355"/>
    </row>
    <row r="5004" spans="14:20" x14ac:dyDescent="0.25">
      <c r="N5004" s="514"/>
      <c r="R5004" s="293"/>
      <c r="S5004" s="316"/>
      <c r="T5004" s="355"/>
    </row>
    <row r="5005" spans="14:20" x14ac:dyDescent="0.25">
      <c r="N5005" s="514"/>
      <c r="R5005" s="293"/>
      <c r="S5005" s="316"/>
      <c r="T5005" s="355"/>
    </row>
    <row r="5006" spans="14:20" x14ac:dyDescent="0.25">
      <c r="N5006" s="514"/>
      <c r="R5006" s="293"/>
      <c r="S5006" s="316"/>
      <c r="T5006" s="355"/>
    </row>
    <row r="5007" spans="14:20" x14ac:dyDescent="0.25">
      <c r="N5007" s="514"/>
      <c r="R5007" s="293"/>
      <c r="S5007" s="316"/>
      <c r="T5007" s="355"/>
    </row>
    <row r="5008" spans="14:20" x14ac:dyDescent="0.25">
      <c r="N5008" s="514"/>
      <c r="R5008" s="293"/>
      <c r="S5008" s="316"/>
      <c r="T5008" s="355"/>
    </row>
    <row r="5009" spans="14:20" x14ac:dyDescent="0.25">
      <c r="N5009" s="514"/>
      <c r="R5009" s="293"/>
      <c r="S5009" s="316"/>
      <c r="T5009" s="355"/>
    </row>
    <row r="5010" spans="14:20" x14ac:dyDescent="0.25">
      <c r="N5010" s="514"/>
      <c r="R5010" s="293"/>
      <c r="S5010" s="316"/>
      <c r="T5010" s="355"/>
    </row>
    <row r="5011" spans="14:20" x14ac:dyDescent="0.25">
      <c r="N5011" s="514"/>
      <c r="R5011" s="293"/>
      <c r="S5011" s="316"/>
      <c r="T5011" s="355"/>
    </row>
    <row r="5012" spans="14:20" x14ac:dyDescent="0.25">
      <c r="N5012" s="514"/>
      <c r="R5012" s="293"/>
      <c r="S5012" s="316"/>
      <c r="T5012" s="355"/>
    </row>
    <row r="5013" spans="14:20" x14ac:dyDescent="0.25">
      <c r="N5013" s="514"/>
      <c r="R5013" s="293"/>
      <c r="S5013" s="316"/>
      <c r="T5013" s="355"/>
    </row>
    <row r="5014" spans="14:20" x14ac:dyDescent="0.25">
      <c r="N5014" s="514"/>
      <c r="R5014" s="293"/>
      <c r="S5014" s="316"/>
      <c r="T5014" s="355"/>
    </row>
    <row r="5015" spans="14:20" x14ac:dyDescent="0.25">
      <c r="N5015" s="514"/>
      <c r="R5015" s="293"/>
      <c r="S5015" s="316"/>
      <c r="T5015" s="355"/>
    </row>
    <row r="5016" spans="14:20" x14ac:dyDescent="0.25">
      <c r="N5016" s="514"/>
      <c r="R5016" s="293"/>
      <c r="S5016" s="316"/>
      <c r="T5016" s="355"/>
    </row>
    <row r="5017" spans="14:20" x14ac:dyDescent="0.25">
      <c r="N5017" s="514"/>
      <c r="R5017" s="293"/>
      <c r="S5017" s="316"/>
      <c r="T5017" s="355"/>
    </row>
    <row r="5018" spans="14:20" x14ac:dyDescent="0.25">
      <c r="N5018" s="514"/>
      <c r="R5018" s="293"/>
      <c r="S5018" s="316"/>
      <c r="T5018" s="355"/>
    </row>
    <row r="5019" spans="14:20" x14ac:dyDescent="0.25">
      <c r="N5019" s="514"/>
      <c r="R5019" s="293"/>
      <c r="S5019" s="316"/>
      <c r="T5019" s="355"/>
    </row>
    <row r="5020" spans="14:20" x14ac:dyDescent="0.25">
      <c r="N5020" s="514"/>
      <c r="R5020" s="293"/>
      <c r="S5020" s="316"/>
      <c r="T5020" s="355"/>
    </row>
    <row r="5021" spans="14:20" x14ac:dyDescent="0.25">
      <c r="N5021" s="514"/>
      <c r="R5021" s="293"/>
      <c r="S5021" s="316"/>
      <c r="T5021" s="355"/>
    </row>
    <row r="5022" spans="14:20" x14ac:dyDescent="0.25">
      <c r="N5022" s="514"/>
      <c r="R5022" s="293"/>
      <c r="S5022" s="316"/>
      <c r="T5022" s="355"/>
    </row>
    <row r="5023" spans="14:20" x14ac:dyDescent="0.25">
      <c r="N5023" s="514"/>
      <c r="R5023" s="293"/>
      <c r="S5023" s="316"/>
      <c r="T5023" s="355"/>
    </row>
    <row r="5024" spans="14:20" x14ac:dyDescent="0.25">
      <c r="N5024" s="514"/>
      <c r="R5024" s="293"/>
      <c r="S5024" s="316"/>
      <c r="T5024" s="355"/>
    </row>
    <row r="5025" spans="14:20" x14ac:dyDescent="0.25">
      <c r="N5025" s="514"/>
      <c r="R5025" s="293"/>
      <c r="S5025" s="316"/>
      <c r="T5025" s="355"/>
    </row>
    <row r="5026" spans="14:20" x14ac:dyDescent="0.25">
      <c r="N5026" s="514"/>
      <c r="R5026" s="293"/>
      <c r="S5026" s="316"/>
      <c r="T5026" s="355"/>
    </row>
    <row r="5027" spans="14:20" x14ac:dyDescent="0.25">
      <c r="N5027" s="514"/>
      <c r="R5027" s="293"/>
      <c r="S5027" s="316"/>
      <c r="T5027" s="355"/>
    </row>
    <row r="5028" spans="14:20" x14ac:dyDescent="0.25">
      <c r="N5028" s="514"/>
      <c r="R5028" s="293"/>
      <c r="S5028" s="316"/>
      <c r="T5028" s="355"/>
    </row>
    <row r="5029" spans="14:20" x14ac:dyDescent="0.25">
      <c r="N5029" s="514"/>
      <c r="R5029" s="293"/>
      <c r="S5029" s="316"/>
      <c r="T5029" s="355"/>
    </row>
    <row r="5030" spans="14:20" x14ac:dyDescent="0.25">
      <c r="N5030" s="514"/>
      <c r="R5030" s="293"/>
      <c r="S5030" s="316"/>
      <c r="T5030" s="355"/>
    </row>
    <row r="5031" spans="14:20" x14ac:dyDescent="0.25">
      <c r="N5031" s="514"/>
      <c r="R5031" s="293"/>
      <c r="S5031" s="316"/>
      <c r="T5031" s="355"/>
    </row>
    <row r="5032" spans="14:20" x14ac:dyDescent="0.25">
      <c r="N5032" s="514"/>
      <c r="R5032" s="293"/>
      <c r="S5032" s="316"/>
      <c r="T5032" s="355"/>
    </row>
    <row r="5033" spans="14:20" x14ac:dyDescent="0.25">
      <c r="N5033" s="514"/>
      <c r="R5033" s="293"/>
      <c r="S5033" s="316"/>
      <c r="T5033" s="355"/>
    </row>
    <row r="5034" spans="14:20" x14ac:dyDescent="0.25">
      <c r="N5034" s="514"/>
      <c r="R5034" s="293"/>
      <c r="S5034" s="316"/>
      <c r="T5034" s="355"/>
    </row>
    <row r="5035" spans="14:20" x14ac:dyDescent="0.25">
      <c r="N5035" s="514"/>
      <c r="R5035" s="293"/>
      <c r="S5035" s="316"/>
      <c r="T5035" s="355"/>
    </row>
    <row r="5036" spans="14:20" x14ac:dyDescent="0.25">
      <c r="N5036" s="514"/>
      <c r="R5036" s="293"/>
      <c r="S5036" s="316"/>
      <c r="T5036" s="355"/>
    </row>
    <row r="5037" spans="14:20" x14ac:dyDescent="0.25">
      <c r="N5037" s="514"/>
      <c r="R5037" s="293"/>
      <c r="S5037" s="316"/>
      <c r="T5037" s="355"/>
    </row>
    <row r="5038" spans="14:20" x14ac:dyDescent="0.25">
      <c r="N5038" s="514"/>
      <c r="R5038" s="293"/>
      <c r="S5038" s="316"/>
      <c r="T5038" s="355"/>
    </row>
    <row r="5039" spans="14:20" x14ac:dyDescent="0.25">
      <c r="N5039" s="514"/>
      <c r="R5039" s="293"/>
      <c r="S5039" s="316"/>
      <c r="T5039" s="355"/>
    </row>
    <row r="5040" spans="14:20" x14ac:dyDescent="0.25">
      <c r="N5040" s="514"/>
      <c r="R5040" s="293"/>
      <c r="S5040" s="316"/>
      <c r="T5040" s="355"/>
    </row>
    <row r="5041" spans="14:20" x14ac:dyDescent="0.25">
      <c r="N5041" s="514"/>
      <c r="R5041" s="293"/>
      <c r="S5041" s="316"/>
      <c r="T5041" s="355"/>
    </row>
    <row r="5042" spans="14:20" x14ac:dyDescent="0.25">
      <c r="N5042" s="514"/>
      <c r="R5042" s="293"/>
      <c r="S5042" s="316"/>
      <c r="T5042" s="355"/>
    </row>
    <row r="5043" spans="14:20" x14ac:dyDescent="0.25">
      <c r="N5043" s="514"/>
      <c r="R5043" s="293"/>
      <c r="S5043" s="316"/>
      <c r="T5043" s="355"/>
    </row>
    <row r="5044" spans="14:20" x14ac:dyDescent="0.25">
      <c r="N5044" s="514"/>
      <c r="R5044" s="293"/>
      <c r="S5044" s="316"/>
      <c r="T5044" s="355"/>
    </row>
    <row r="5045" spans="14:20" x14ac:dyDescent="0.25">
      <c r="N5045" s="514"/>
      <c r="R5045" s="293"/>
      <c r="S5045" s="316"/>
      <c r="T5045" s="355"/>
    </row>
    <row r="5046" spans="14:20" x14ac:dyDescent="0.25">
      <c r="N5046" s="514"/>
      <c r="R5046" s="293"/>
      <c r="S5046" s="316"/>
      <c r="T5046" s="355"/>
    </row>
    <row r="5047" spans="14:20" x14ac:dyDescent="0.25">
      <c r="N5047" s="514"/>
      <c r="R5047" s="293"/>
      <c r="S5047" s="316"/>
      <c r="T5047" s="355"/>
    </row>
    <row r="5048" spans="14:20" x14ac:dyDescent="0.25">
      <c r="N5048" s="514"/>
      <c r="R5048" s="293"/>
      <c r="S5048" s="316"/>
      <c r="T5048" s="355"/>
    </row>
    <row r="5049" spans="14:20" x14ac:dyDescent="0.25">
      <c r="N5049" s="514"/>
      <c r="R5049" s="293"/>
      <c r="S5049" s="316"/>
      <c r="T5049" s="355"/>
    </row>
    <row r="5050" spans="14:20" x14ac:dyDescent="0.25">
      <c r="N5050" s="514"/>
      <c r="R5050" s="293"/>
      <c r="S5050" s="316"/>
      <c r="T5050" s="355"/>
    </row>
    <row r="5051" spans="14:20" x14ac:dyDescent="0.25">
      <c r="N5051" s="514"/>
      <c r="R5051" s="293"/>
      <c r="S5051" s="316"/>
      <c r="T5051" s="355"/>
    </row>
    <row r="5052" spans="14:20" x14ac:dyDescent="0.25">
      <c r="N5052" s="514"/>
      <c r="R5052" s="293"/>
      <c r="S5052" s="316"/>
      <c r="T5052" s="355"/>
    </row>
    <row r="5053" spans="14:20" x14ac:dyDescent="0.25">
      <c r="N5053" s="514"/>
      <c r="R5053" s="293"/>
      <c r="S5053" s="316"/>
      <c r="T5053" s="355"/>
    </row>
    <row r="5054" spans="14:20" x14ac:dyDescent="0.25">
      <c r="N5054" s="514"/>
      <c r="R5054" s="293"/>
      <c r="S5054" s="316"/>
      <c r="T5054" s="355"/>
    </row>
    <row r="5055" spans="14:20" x14ac:dyDescent="0.25">
      <c r="N5055" s="514"/>
      <c r="R5055" s="293"/>
      <c r="S5055" s="316"/>
      <c r="T5055" s="355"/>
    </row>
    <row r="5056" spans="14:20" x14ac:dyDescent="0.25">
      <c r="N5056" s="514"/>
      <c r="R5056" s="293"/>
      <c r="S5056" s="316"/>
      <c r="T5056" s="355"/>
    </row>
    <row r="5057" spans="14:20" x14ac:dyDescent="0.25">
      <c r="N5057" s="514"/>
      <c r="R5057" s="293"/>
      <c r="S5057" s="316"/>
      <c r="T5057" s="355"/>
    </row>
    <row r="5058" spans="14:20" x14ac:dyDescent="0.25">
      <c r="N5058" s="514"/>
      <c r="R5058" s="293"/>
      <c r="S5058" s="316"/>
      <c r="T5058" s="355"/>
    </row>
    <row r="5059" spans="14:20" x14ac:dyDescent="0.25">
      <c r="N5059" s="514"/>
      <c r="R5059" s="293"/>
      <c r="S5059" s="316"/>
      <c r="T5059" s="355"/>
    </row>
    <row r="5060" spans="14:20" x14ac:dyDescent="0.25">
      <c r="N5060" s="514"/>
      <c r="R5060" s="293"/>
      <c r="S5060" s="316"/>
      <c r="T5060" s="355"/>
    </row>
    <row r="5061" spans="14:20" x14ac:dyDescent="0.25">
      <c r="N5061" s="514"/>
      <c r="R5061" s="293"/>
      <c r="S5061" s="316"/>
      <c r="T5061" s="355"/>
    </row>
    <row r="5062" spans="14:20" x14ac:dyDescent="0.25">
      <c r="N5062" s="514"/>
      <c r="R5062" s="293"/>
      <c r="S5062" s="316"/>
      <c r="T5062" s="355"/>
    </row>
    <row r="5063" spans="14:20" x14ac:dyDescent="0.25">
      <c r="N5063" s="514"/>
      <c r="R5063" s="293"/>
      <c r="S5063" s="316"/>
      <c r="T5063" s="355"/>
    </row>
    <row r="5064" spans="14:20" x14ac:dyDescent="0.25">
      <c r="N5064" s="514"/>
      <c r="R5064" s="293"/>
      <c r="S5064" s="316"/>
      <c r="T5064" s="355"/>
    </row>
    <row r="5065" spans="14:20" x14ac:dyDescent="0.25">
      <c r="N5065" s="514"/>
      <c r="R5065" s="293"/>
      <c r="S5065" s="316"/>
      <c r="T5065" s="355"/>
    </row>
    <row r="5066" spans="14:20" x14ac:dyDescent="0.25">
      <c r="N5066" s="514"/>
      <c r="R5066" s="293"/>
      <c r="S5066" s="316"/>
      <c r="T5066" s="355"/>
    </row>
    <row r="5067" spans="14:20" x14ac:dyDescent="0.25">
      <c r="N5067" s="514"/>
      <c r="R5067" s="293"/>
      <c r="S5067" s="316"/>
      <c r="T5067" s="355"/>
    </row>
    <row r="5068" spans="14:20" x14ac:dyDescent="0.25">
      <c r="N5068" s="514"/>
      <c r="R5068" s="293"/>
      <c r="S5068" s="316"/>
      <c r="T5068" s="355"/>
    </row>
    <row r="5069" spans="14:20" x14ac:dyDescent="0.25">
      <c r="N5069" s="514"/>
      <c r="R5069" s="293"/>
      <c r="S5069" s="316"/>
      <c r="T5069" s="355"/>
    </row>
    <row r="5070" spans="14:20" x14ac:dyDescent="0.25">
      <c r="N5070" s="514"/>
      <c r="R5070" s="293"/>
      <c r="S5070" s="316"/>
      <c r="T5070" s="355"/>
    </row>
    <row r="5071" spans="14:20" x14ac:dyDescent="0.25">
      <c r="N5071" s="514"/>
      <c r="R5071" s="293"/>
      <c r="S5071" s="316"/>
      <c r="T5071" s="355"/>
    </row>
    <row r="5072" spans="14:20" x14ac:dyDescent="0.25">
      <c r="N5072" s="514"/>
      <c r="R5072" s="293"/>
      <c r="S5072" s="316"/>
      <c r="T5072" s="355"/>
    </row>
    <row r="5073" spans="14:20" x14ac:dyDescent="0.25">
      <c r="N5073" s="514"/>
      <c r="R5073" s="293"/>
      <c r="S5073" s="316"/>
      <c r="T5073" s="355"/>
    </row>
    <row r="5074" spans="14:20" x14ac:dyDescent="0.25">
      <c r="N5074" s="514"/>
      <c r="R5074" s="293"/>
      <c r="S5074" s="316"/>
      <c r="T5074" s="355"/>
    </row>
    <row r="5075" spans="14:20" x14ac:dyDescent="0.25">
      <c r="N5075" s="514"/>
      <c r="R5075" s="293"/>
      <c r="S5075" s="316"/>
      <c r="T5075" s="355"/>
    </row>
    <row r="5076" spans="14:20" x14ac:dyDescent="0.25">
      <c r="N5076" s="514"/>
      <c r="R5076" s="293"/>
      <c r="S5076" s="316"/>
      <c r="T5076" s="355"/>
    </row>
    <row r="5077" spans="14:20" x14ac:dyDescent="0.25">
      <c r="N5077" s="514"/>
      <c r="R5077" s="293"/>
      <c r="S5077" s="316"/>
      <c r="T5077" s="355"/>
    </row>
    <row r="5078" spans="14:20" x14ac:dyDescent="0.25">
      <c r="N5078" s="514"/>
      <c r="R5078" s="293"/>
      <c r="S5078" s="316"/>
      <c r="T5078" s="355"/>
    </row>
    <row r="5079" spans="14:20" x14ac:dyDescent="0.25">
      <c r="N5079" s="514"/>
      <c r="R5079" s="293"/>
      <c r="S5079" s="316"/>
      <c r="T5079" s="355"/>
    </row>
    <row r="5080" spans="14:20" x14ac:dyDescent="0.25">
      <c r="N5080" s="514"/>
      <c r="R5080" s="293"/>
      <c r="S5080" s="316"/>
      <c r="T5080" s="355"/>
    </row>
    <row r="5081" spans="14:20" x14ac:dyDescent="0.25">
      <c r="N5081" s="514"/>
      <c r="R5081" s="293"/>
      <c r="S5081" s="316"/>
      <c r="T5081" s="355"/>
    </row>
    <row r="5082" spans="14:20" x14ac:dyDescent="0.25">
      <c r="N5082" s="514"/>
      <c r="R5082" s="293"/>
      <c r="S5082" s="316"/>
      <c r="T5082" s="355"/>
    </row>
    <row r="5083" spans="14:20" x14ac:dyDescent="0.25">
      <c r="N5083" s="514"/>
      <c r="R5083" s="293"/>
      <c r="S5083" s="316"/>
      <c r="T5083" s="355"/>
    </row>
    <row r="5084" spans="14:20" x14ac:dyDescent="0.25">
      <c r="N5084" s="514"/>
      <c r="R5084" s="293"/>
      <c r="S5084" s="316"/>
      <c r="T5084" s="355"/>
    </row>
    <row r="5085" spans="14:20" x14ac:dyDescent="0.25">
      <c r="N5085" s="514"/>
      <c r="R5085" s="293"/>
      <c r="S5085" s="316"/>
      <c r="T5085" s="355"/>
    </row>
    <row r="5086" spans="14:20" x14ac:dyDescent="0.25">
      <c r="N5086" s="514"/>
      <c r="R5086" s="293"/>
      <c r="S5086" s="316"/>
      <c r="T5086" s="355"/>
    </row>
    <row r="5087" spans="14:20" x14ac:dyDescent="0.25">
      <c r="N5087" s="514"/>
      <c r="R5087" s="293"/>
      <c r="S5087" s="316"/>
      <c r="T5087" s="355"/>
    </row>
    <row r="5088" spans="14:20" x14ac:dyDescent="0.25">
      <c r="N5088" s="514"/>
      <c r="R5088" s="293"/>
      <c r="S5088" s="316"/>
      <c r="T5088" s="355"/>
    </row>
    <row r="5089" spans="14:20" x14ac:dyDescent="0.25">
      <c r="N5089" s="514"/>
      <c r="R5089" s="293"/>
      <c r="S5089" s="316"/>
      <c r="T5089" s="355"/>
    </row>
    <row r="5090" spans="14:20" x14ac:dyDescent="0.25">
      <c r="N5090" s="514"/>
      <c r="R5090" s="293"/>
      <c r="S5090" s="316"/>
      <c r="T5090" s="355"/>
    </row>
    <row r="5091" spans="14:20" x14ac:dyDescent="0.25">
      <c r="N5091" s="514"/>
      <c r="R5091" s="293"/>
      <c r="S5091" s="316"/>
      <c r="T5091" s="355"/>
    </row>
    <row r="5092" spans="14:20" x14ac:dyDescent="0.25">
      <c r="N5092" s="514"/>
      <c r="R5092" s="293"/>
      <c r="S5092" s="316"/>
      <c r="T5092" s="355"/>
    </row>
    <row r="5093" spans="14:20" x14ac:dyDescent="0.25">
      <c r="N5093" s="514"/>
      <c r="R5093" s="293"/>
      <c r="S5093" s="316"/>
      <c r="T5093" s="355"/>
    </row>
    <row r="5094" spans="14:20" x14ac:dyDescent="0.25">
      <c r="N5094" s="514"/>
      <c r="R5094" s="293"/>
      <c r="S5094" s="316"/>
      <c r="T5094" s="355"/>
    </row>
    <row r="5095" spans="14:20" x14ac:dyDescent="0.25">
      <c r="N5095" s="514"/>
      <c r="R5095" s="293"/>
      <c r="S5095" s="316"/>
      <c r="T5095" s="355"/>
    </row>
    <row r="5096" spans="14:20" x14ac:dyDescent="0.25">
      <c r="N5096" s="514"/>
      <c r="R5096" s="293"/>
      <c r="S5096" s="316"/>
      <c r="T5096" s="355"/>
    </row>
    <row r="5097" spans="14:20" x14ac:dyDescent="0.25">
      <c r="N5097" s="514"/>
      <c r="R5097" s="293"/>
      <c r="S5097" s="316"/>
      <c r="T5097" s="355"/>
    </row>
    <row r="5098" spans="14:20" x14ac:dyDescent="0.25">
      <c r="N5098" s="514"/>
      <c r="R5098" s="293"/>
      <c r="S5098" s="316"/>
      <c r="T5098" s="355"/>
    </row>
    <row r="5099" spans="14:20" x14ac:dyDescent="0.25">
      <c r="N5099" s="514"/>
      <c r="R5099" s="293"/>
      <c r="S5099" s="316"/>
      <c r="T5099" s="355"/>
    </row>
    <row r="5100" spans="14:20" x14ac:dyDescent="0.25">
      <c r="N5100" s="514"/>
      <c r="R5100" s="293"/>
      <c r="S5100" s="316"/>
      <c r="T5100" s="355"/>
    </row>
    <row r="5101" spans="14:20" x14ac:dyDescent="0.25">
      <c r="N5101" s="514"/>
      <c r="R5101" s="293"/>
      <c r="S5101" s="316"/>
      <c r="T5101" s="355"/>
    </row>
    <row r="5102" spans="14:20" x14ac:dyDescent="0.25">
      <c r="N5102" s="514"/>
      <c r="R5102" s="293"/>
      <c r="S5102" s="316"/>
      <c r="T5102" s="355"/>
    </row>
    <row r="5103" spans="14:20" x14ac:dyDescent="0.25">
      <c r="N5103" s="514"/>
      <c r="R5103" s="293"/>
      <c r="S5103" s="316"/>
      <c r="T5103" s="355"/>
    </row>
    <row r="5104" spans="14:20" x14ac:dyDescent="0.25">
      <c r="N5104" s="514"/>
      <c r="R5104" s="293"/>
      <c r="S5104" s="316"/>
      <c r="T5104" s="355"/>
    </row>
    <row r="5105" spans="14:20" x14ac:dyDescent="0.25">
      <c r="N5105" s="514"/>
      <c r="R5105" s="293"/>
      <c r="S5105" s="316"/>
      <c r="T5105" s="355"/>
    </row>
    <row r="5106" spans="14:20" x14ac:dyDescent="0.25">
      <c r="N5106" s="514"/>
      <c r="R5106" s="293"/>
      <c r="S5106" s="316"/>
      <c r="T5106" s="355"/>
    </row>
    <row r="5107" spans="14:20" x14ac:dyDescent="0.25">
      <c r="N5107" s="514"/>
      <c r="R5107" s="293"/>
      <c r="S5107" s="316"/>
      <c r="T5107" s="355"/>
    </row>
    <row r="5108" spans="14:20" x14ac:dyDescent="0.25">
      <c r="N5108" s="514"/>
      <c r="R5108" s="293"/>
      <c r="S5108" s="316"/>
      <c r="T5108" s="355"/>
    </row>
    <row r="5109" spans="14:20" x14ac:dyDescent="0.25">
      <c r="N5109" s="514"/>
      <c r="R5109" s="293"/>
      <c r="S5109" s="316"/>
      <c r="T5109" s="355"/>
    </row>
    <row r="5110" spans="14:20" x14ac:dyDescent="0.25">
      <c r="N5110" s="514"/>
      <c r="R5110" s="293"/>
      <c r="S5110" s="316"/>
      <c r="T5110" s="355"/>
    </row>
    <row r="5111" spans="14:20" x14ac:dyDescent="0.25">
      <c r="N5111" s="514"/>
      <c r="R5111" s="293"/>
      <c r="S5111" s="316"/>
      <c r="T5111" s="355"/>
    </row>
    <row r="5112" spans="14:20" x14ac:dyDescent="0.25">
      <c r="N5112" s="514"/>
      <c r="R5112" s="293"/>
      <c r="S5112" s="316"/>
      <c r="T5112" s="355"/>
    </row>
    <row r="5113" spans="14:20" x14ac:dyDescent="0.25">
      <c r="N5113" s="514"/>
      <c r="R5113" s="293"/>
      <c r="S5113" s="316"/>
      <c r="T5113" s="355"/>
    </row>
    <row r="5114" spans="14:20" x14ac:dyDescent="0.25">
      <c r="N5114" s="514"/>
      <c r="R5114" s="293"/>
      <c r="S5114" s="316"/>
      <c r="T5114" s="355"/>
    </row>
    <row r="5115" spans="14:20" x14ac:dyDescent="0.25">
      <c r="N5115" s="514"/>
      <c r="R5115" s="293"/>
      <c r="S5115" s="316"/>
      <c r="T5115" s="355"/>
    </row>
    <row r="5116" spans="14:20" x14ac:dyDescent="0.25">
      <c r="N5116" s="514"/>
      <c r="R5116" s="293"/>
      <c r="S5116" s="316"/>
      <c r="T5116" s="355"/>
    </row>
    <row r="5117" spans="14:20" x14ac:dyDescent="0.25">
      <c r="N5117" s="514"/>
      <c r="R5117" s="293"/>
      <c r="S5117" s="316"/>
      <c r="T5117" s="355"/>
    </row>
    <row r="5118" spans="14:20" x14ac:dyDescent="0.25">
      <c r="N5118" s="514"/>
      <c r="R5118" s="293"/>
      <c r="S5118" s="316"/>
      <c r="T5118" s="355"/>
    </row>
    <row r="5119" spans="14:20" x14ac:dyDescent="0.25">
      <c r="N5119" s="514"/>
      <c r="R5119" s="293"/>
      <c r="S5119" s="316"/>
      <c r="T5119" s="355"/>
    </row>
    <row r="5120" spans="14:20" x14ac:dyDescent="0.25">
      <c r="N5120" s="514"/>
      <c r="R5120" s="293"/>
      <c r="S5120" s="316"/>
      <c r="T5120" s="355"/>
    </row>
    <row r="5121" spans="14:20" x14ac:dyDescent="0.25">
      <c r="N5121" s="514"/>
      <c r="R5121" s="293"/>
      <c r="S5121" s="316"/>
      <c r="T5121" s="355"/>
    </row>
    <row r="5122" spans="14:20" x14ac:dyDescent="0.25">
      <c r="N5122" s="514"/>
      <c r="R5122" s="293"/>
      <c r="S5122" s="316"/>
      <c r="T5122" s="355"/>
    </row>
    <row r="5123" spans="14:20" x14ac:dyDescent="0.25">
      <c r="N5123" s="514"/>
      <c r="R5123" s="293"/>
      <c r="S5123" s="316"/>
      <c r="T5123" s="355"/>
    </row>
    <row r="5124" spans="14:20" x14ac:dyDescent="0.25">
      <c r="N5124" s="514"/>
      <c r="R5124" s="293"/>
      <c r="S5124" s="316"/>
      <c r="T5124" s="355"/>
    </row>
    <row r="5125" spans="14:20" x14ac:dyDescent="0.25">
      <c r="N5125" s="514"/>
      <c r="R5125" s="293"/>
      <c r="S5125" s="316"/>
      <c r="T5125" s="355"/>
    </row>
    <row r="5126" spans="14:20" x14ac:dyDescent="0.25">
      <c r="N5126" s="514"/>
      <c r="R5126" s="293"/>
      <c r="S5126" s="316"/>
      <c r="T5126" s="355"/>
    </row>
    <row r="5127" spans="14:20" x14ac:dyDescent="0.25">
      <c r="N5127" s="514"/>
      <c r="R5127" s="293"/>
      <c r="S5127" s="316"/>
      <c r="T5127" s="355"/>
    </row>
    <row r="5128" spans="14:20" x14ac:dyDescent="0.25">
      <c r="N5128" s="514"/>
      <c r="R5128" s="293"/>
      <c r="S5128" s="316"/>
      <c r="T5128" s="355"/>
    </row>
    <row r="5129" spans="14:20" x14ac:dyDescent="0.25">
      <c r="N5129" s="514"/>
      <c r="R5129" s="293"/>
      <c r="S5129" s="316"/>
      <c r="T5129" s="355"/>
    </row>
    <row r="5130" spans="14:20" x14ac:dyDescent="0.25">
      <c r="N5130" s="514"/>
      <c r="R5130" s="293"/>
      <c r="S5130" s="316"/>
      <c r="T5130" s="355"/>
    </row>
    <row r="5131" spans="14:20" x14ac:dyDescent="0.25">
      <c r="N5131" s="514"/>
      <c r="R5131" s="293"/>
      <c r="S5131" s="316"/>
      <c r="T5131" s="355"/>
    </row>
    <row r="5132" spans="14:20" x14ac:dyDescent="0.25">
      <c r="N5132" s="514"/>
      <c r="R5132" s="293"/>
      <c r="S5132" s="316"/>
      <c r="T5132" s="355"/>
    </row>
    <row r="5133" spans="14:20" x14ac:dyDescent="0.25">
      <c r="N5133" s="514"/>
      <c r="R5133" s="293"/>
      <c r="S5133" s="316"/>
      <c r="T5133" s="355"/>
    </row>
    <row r="5134" spans="14:20" x14ac:dyDescent="0.25">
      <c r="N5134" s="514"/>
      <c r="R5134" s="293"/>
      <c r="S5134" s="316"/>
      <c r="T5134" s="355"/>
    </row>
    <row r="5135" spans="14:20" x14ac:dyDescent="0.25">
      <c r="N5135" s="514"/>
      <c r="R5135" s="293"/>
      <c r="S5135" s="316"/>
      <c r="T5135" s="355"/>
    </row>
    <row r="5136" spans="14:20" x14ac:dyDescent="0.25">
      <c r="N5136" s="514"/>
      <c r="R5136" s="293"/>
      <c r="S5136" s="316"/>
      <c r="T5136" s="355"/>
    </row>
    <row r="5137" spans="14:20" x14ac:dyDescent="0.25">
      <c r="N5137" s="514"/>
      <c r="R5137" s="293"/>
      <c r="S5137" s="316"/>
      <c r="T5137" s="355"/>
    </row>
    <row r="5138" spans="14:20" x14ac:dyDescent="0.25">
      <c r="N5138" s="514"/>
      <c r="R5138" s="293"/>
      <c r="S5138" s="316"/>
      <c r="T5138" s="355"/>
    </row>
    <row r="5139" spans="14:20" x14ac:dyDescent="0.25">
      <c r="N5139" s="514"/>
      <c r="R5139" s="293"/>
      <c r="S5139" s="316"/>
      <c r="T5139" s="355"/>
    </row>
    <row r="5140" spans="14:20" x14ac:dyDescent="0.25">
      <c r="N5140" s="514"/>
      <c r="R5140" s="293"/>
      <c r="S5140" s="316"/>
      <c r="T5140" s="355"/>
    </row>
    <row r="5141" spans="14:20" x14ac:dyDescent="0.25">
      <c r="N5141" s="514"/>
      <c r="R5141" s="293"/>
      <c r="S5141" s="316"/>
      <c r="T5141" s="355"/>
    </row>
    <row r="5142" spans="14:20" x14ac:dyDescent="0.25">
      <c r="N5142" s="514"/>
      <c r="R5142" s="293"/>
      <c r="S5142" s="316"/>
      <c r="T5142" s="355"/>
    </row>
    <row r="5143" spans="14:20" x14ac:dyDescent="0.25">
      <c r="N5143" s="514"/>
      <c r="R5143" s="293"/>
      <c r="S5143" s="316"/>
      <c r="T5143" s="355"/>
    </row>
    <row r="5144" spans="14:20" x14ac:dyDescent="0.25">
      <c r="N5144" s="514"/>
      <c r="R5144" s="293"/>
      <c r="S5144" s="316"/>
      <c r="T5144" s="355"/>
    </row>
    <row r="5145" spans="14:20" x14ac:dyDescent="0.25">
      <c r="N5145" s="514"/>
      <c r="R5145" s="293"/>
      <c r="S5145" s="316"/>
      <c r="T5145" s="355"/>
    </row>
    <row r="5146" spans="14:20" x14ac:dyDescent="0.25">
      <c r="N5146" s="514"/>
      <c r="R5146" s="293"/>
      <c r="S5146" s="316"/>
      <c r="T5146" s="355"/>
    </row>
    <row r="5147" spans="14:20" x14ac:dyDescent="0.25">
      <c r="N5147" s="514"/>
      <c r="R5147" s="293"/>
      <c r="S5147" s="316"/>
      <c r="T5147" s="355"/>
    </row>
    <row r="5148" spans="14:20" x14ac:dyDescent="0.25">
      <c r="N5148" s="514"/>
      <c r="R5148" s="293"/>
      <c r="S5148" s="316"/>
      <c r="T5148" s="355"/>
    </row>
    <row r="5149" spans="14:20" x14ac:dyDescent="0.25">
      <c r="N5149" s="514"/>
      <c r="R5149" s="293"/>
      <c r="S5149" s="316"/>
      <c r="T5149" s="355"/>
    </row>
    <row r="5150" spans="14:20" x14ac:dyDescent="0.25">
      <c r="N5150" s="514"/>
      <c r="R5150" s="293"/>
      <c r="S5150" s="316"/>
      <c r="T5150" s="355"/>
    </row>
    <row r="5151" spans="14:20" x14ac:dyDescent="0.25">
      <c r="N5151" s="514"/>
      <c r="R5151" s="293"/>
      <c r="S5151" s="316"/>
      <c r="T5151" s="355"/>
    </row>
    <row r="5152" spans="14:20" x14ac:dyDescent="0.25">
      <c r="N5152" s="514"/>
      <c r="R5152" s="293"/>
      <c r="S5152" s="316"/>
      <c r="T5152" s="355"/>
    </row>
    <row r="5153" spans="14:20" x14ac:dyDescent="0.25">
      <c r="N5153" s="514"/>
      <c r="R5153" s="293"/>
      <c r="S5153" s="316"/>
      <c r="T5153" s="355"/>
    </row>
    <row r="5154" spans="14:20" x14ac:dyDescent="0.25">
      <c r="N5154" s="514"/>
      <c r="R5154" s="293"/>
      <c r="S5154" s="316"/>
      <c r="T5154" s="355"/>
    </row>
    <row r="5155" spans="14:20" x14ac:dyDescent="0.25">
      <c r="N5155" s="514"/>
      <c r="R5155" s="293"/>
      <c r="S5155" s="316"/>
      <c r="T5155" s="355"/>
    </row>
    <row r="5156" spans="14:20" x14ac:dyDescent="0.25">
      <c r="N5156" s="514"/>
      <c r="R5156" s="293"/>
      <c r="S5156" s="316"/>
      <c r="T5156" s="355"/>
    </row>
    <row r="5157" spans="14:20" x14ac:dyDescent="0.25">
      <c r="N5157" s="514"/>
      <c r="R5157" s="293"/>
      <c r="S5157" s="316"/>
      <c r="T5157" s="355"/>
    </row>
    <row r="5158" spans="14:20" x14ac:dyDescent="0.25">
      <c r="N5158" s="514"/>
      <c r="R5158" s="293"/>
      <c r="S5158" s="316"/>
      <c r="T5158" s="355"/>
    </row>
    <row r="5159" spans="14:20" x14ac:dyDescent="0.25">
      <c r="N5159" s="514"/>
      <c r="R5159" s="293"/>
      <c r="S5159" s="316"/>
      <c r="T5159" s="355"/>
    </row>
    <row r="5160" spans="14:20" x14ac:dyDescent="0.25">
      <c r="N5160" s="514"/>
      <c r="R5160" s="293"/>
      <c r="S5160" s="316"/>
      <c r="T5160" s="355"/>
    </row>
    <row r="5161" spans="14:20" x14ac:dyDescent="0.25">
      <c r="N5161" s="514"/>
      <c r="R5161" s="293"/>
      <c r="S5161" s="316"/>
      <c r="T5161" s="355"/>
    </row>
    <row r="5162" spans="14:20" x14ac:dyDescent="0.25">
      <c r="N5162" s="514"/>
      <c r="R5162" s="293"/>
      <c r="S5162" s="316"/>
      <c r="T5162" s="355"/>
    </row>
    <row r="5163" spans="14:20" x14ac:dyDescent="0.25">
      <c r="N5163" s="514"/>
      <c r="R5163" s="293"/>
      <c r="S5163" s="316"/>
      <c r="T5163" s="355"/>
    </row>
    <row r="5164" spans="14:20" x14ac:dyDescent="0.25">
      <c r="N5164" s="514"/>
      <c r="R5164" s="293"/>
      <c r="S5164" s="316"/>
      <c r="T5164" s="355"/>
    </row>
    <row r="5165" spans="14:20" x14ac:dyDescent="0.25">
      <c r="N5165" s="514"/>
      <c r="R5165" s="293"/>
      <c r="S5165" s="316"/>
      <c r="T5165" s="355"/>
    </row>
    <row r="5166" spans="14:20" x14ac:dyDescent="0.25">
      <c r="N5166" s="514"/>
      <c r="R5166" s="293"/>
      <c r="S5166" s="316"/>
      <c r="T5166" s="355"/>
    </row>
    <row r="5167" spans="14:20" x14ac:dyDescent="0.25">
      <c r="N5167" s="514"/>
      <c r="R5167" s="293"/>
      <c r="S5167" s="316"/>
      <c r="T5167" s="355"/>
    </row>
    <row r="5168" spans="14:20" x14ac:dyDescent="0.25">
      <c r="N5168" s="514"/>
      <c r="R5168" s="293"/>
      <c r="S5168" s="316"/>
      <c r="T5168" s="355"/>
    </row>
    <row r="5169" spans="14:20" x14ac:dyDescent="0.25">
      <c r="N5169" s="514"/>
      <c r="R5169" s="293"/>
      <c r="S5169" s="316"/>
      <c r="T5169" s="355"/>
    </row>
    <row r="5170" spans="14:20" x14ac:dyDescent="0.25">
      <c r="N5170" s="514"/>
      <c r="R5170" s="293"/>
      <c r="S5170" s="316"/>
      <c r="T5170" s="355"/>
    </row>
    <row r="5171" spans="14:20" x14ac:dyDescent="0.25">
      <c r="N5171" s="514"/>
      <c r="R5171" s="293"/>
      <c r="S5171" s="316"/>
      <c r="T5171" s="355"/>
    </row>
    <row r="5172" spans="14:20" x14ac:dyDescent="0.25">
      <c r="N5172" s="514"/>
      <c r="R5172" s="293"/>
      <c r="S5172" s="316"/>
      <c r="T5172" s="355"/>
    </row>
    <row r="5173" spans="14:20" x14ac:dyDescent="0.25">
      <c r="N5173" s="514"/>
      <c r="R5173" s="293"/>
      <c r="S5173" s="316"/>
      <c r="T5173" s="355"/>
    </row>
    <row r="5174" spans="14:20" x14ac:dyDescent="0.25">
      <c r="N5174" s="514"/>
      <c r="R5174" s="293"/>
      <c r="S5174" s="316"/>
      <c r="T5174" s="355"/>
    </row>
    <row r="5175" spans="14:20" x14ac:dyDescent="0.25">
      <c r="N5175" s="514"/>
      <c r="R5175" s="293"/>
      <c r="S5175" s="316"/>
      <c r="T5175" s="355"/>
    </row>
    <row r="5176" spans="14:20" x14ac:dyDescent="0.25">
      <c r="N5176" s="514"/>
      <c r="R5176" s="293"/>
      <c r="S5176" s="316"/>
      <c r="T5176" s="355"/>
    </row>
    <row r="5177" spans="14:20" x14ac:dyDescent="0.25">
      <c r="N5177" s="514"/>
      <c r="R5177" s="293"/>
      <c r="S5177" s="316"/>
      <c r="T5177" s="355"/>
    </row>
    <row r="5178" spans="14:20" x14ac:dyDescent="0.25">
      <c r="N5178" s="514"/>
      <c r="R5178" s="293"/>
      <c r="S5178" s="316"/>
      <c r="T5178" s="355"/>
    </row>
    <row r="5179" spans="14:20" x14ac:dyDescent="0.25">
      <c r="N5179" s="514"/>
      <c r="R5179" s="293"/>
      <c r="S5179" s="316"/>
      <c r="T5179" s="355"/>
    </row>
    <row r="5180" spans="14:20" x14ac:dyDescent="0.25">
      <c r="N5180" s="514"/>
      <c r="R5180" s="293"/>
      <c r="S5180" s="316"/>
      <c r="T5180" s="355"/>
    </row>
    <row r="5181" spans="14:20" x14ac:dyDescent="0.25">
      <c r="N5181" s="514"/>
      <c r="R5181" s="293"/>
      <c r="S5181" s="316"/>
      <c r="T5181" s="355"/>
    </row>
    <row r="5182" spans="14:20" x14ac:dyDescent="0.25">
      <c r="N5182" s="514"/>
      <c r="R5182" s="293"/>
      <c r="S5182" s="316"/>
      <c r="T5182" s="355"/>
    </row>
    <row r="5183" spans="14:20" x14ac:dyDescent="0.25">
      <c r="N5183" s="514"/>
      <c r="R5183" s="293"/>
      <c r="S5183" s="316"/>
      <c r="T5183" s="355"/>
    </row>
    <row r="5184" spans="14:20" x14ac:dyDescent="0.25">
      <c r="N5184" s="514"/>
      <c r="R5184" s="293"/>
      <c r="S5184" s="316"/>
      <c r="T5184" s="355"/>
    </row>
    <row r="5185" spans="14:20" x14ac:dyDescent="0.25">
      <c r="N5185" s="514"/>
      <c r="R5185" s="293"/>
      <c r="S5185" s="316"/>
      <c r="T5185" s="355"/>
    </row>
    <row r="5186" spans="14:20" x14ac:dyDescent="0.25">
      <c r="N5186" s="514"/>
      <c r="R5186" s="293"/>
      <c r="S5186" s="316"/>
      <c r="T5186" s="355"/>
    </row>
    <row r="5187" spans="14:20" x14ac:dyDescent="0.25">
      <c r="N5187" s="514"/>
      <c r="R5187" s="293"/>
      <c r="S5187" s="316"/>
      <c r="T5187" s="355"/>
    </row>
    <row r="5188" spans="14:20" x14ac:dyDescent="0.25">
      <c r="N5188" s="514"/>
      <c r="R5188" s="293"/>
      <c r="S5188" s="316"/>
      <c r="T5188" s="355"/>
    </row>
    <row r="5189" spans="14:20" x14ac:dyDescent="0.25">
      <c r="N5189" s="514"/>
      <c r="R5189" s="293"/>
      <c r="S5189" s="316"/>
      <c r="T5189" s="355"/>
    </row>
    <row r="5190" spans="14:20" x14ac:dyDescent="0.25">
      <c r="N5190" s="514"/>
      <c r="R5190" s="293"/>
      <c r="S5190" s="316"/>
      <c r="T5190" s="355"/>
    </row>
    <row r="5191" spans="14:20" x14ac:dyDescent="0.25">
      <c r="N5191" s="514"/>
      <c r="R5191" s="293"/>
      <c r="S5191" s="316"/>
      <c r="T5191" s="355"/>
    </row>
    <row r="5192" spans="14:20" x14ac:dyDescent="0.25">
      <c r="N5192" s="514"/>
      <c r="R5192" s="293"/>
      <c r="S5192" s="316"/>
      <c r="T5192" s="355"/>
    </row>
    <row r="5193" spans="14:20" x14ac:dyDescent="0.25">
      <c r="N5193" s="514"/>
      <c r="R5193" s="293"/>
      <c r="S5193" s="316"/>
      <c r="T5193" s="355"/>
    </row>
    <row r="5194" spans="14:20" x14ac:dyDescent="0.25">
      <c r="N5194" s="514"/>
      <c r="R5194" s="293"/>
      <c r="S5194" s="316"/>
      <c r="T5194" s="355"/>
    </row>
    <row r="5195" spans="14:20" x14ac:dyDescent="0.25">
      <c r="N5195" s="514"/>
      <c r="R5195" s="293"/>
      <c r="S5195" s="316"/>
      <c r="T5195" s="355"/>
    </row>
    <row r="5196" spans="14:20" x14ac:dyDescent="0.25">
      <c r="N5196" s="514"/>
      <c r="R5196" s="293"/>
      <c r="S5196" s="316"/>
      <c r="T5196" s="355"/>
    </row>
    <row r="5197" spans="14:20" x14ac:dyDescent="0.25">
      <c r="N5197" s="514"/>
      <c r="R5197" s="293"/>
      <c r="S5197" s="316"/>
      <c r="T5197" s="355"/>
    </row>
    <row r="5198" spans="14:20" x14ac:dyDescent="0.25">
      <c r="N5198" s="514"/>
      <c r="R5198" s="293"/>
      <c r="S5198" s="316"/>
      <c r="T5198" s="355"/>
    </row>
    <row r="5199" spans="14:20" x14ac:dyDescent="0.25">
      <c r="N5199" s="514"/>
      <c r="R5199" s="293"/>
      <c r="S5199" s="316"/>
      <c r="T5199" s="355"/>
    </row>
    <row r="5200" spans="14:20" x14ac:dyDescent="0.25">
      <c r="N5200" s="514"/>
      <c r="R5200" s="293"/>
      <c r="S5200" s="316"/>
      <c r="T5200" s="355"/>
    </row>
    <row r="5201" spans="14:20" x14ac:dyDescent="0.25">
      <c r="N5201" s="514"/>
      <c r="R5201" s="293"/>
      <c r="S5201" s="316"/>
      <c r="T5201" s="355"/>
    </row>
    <row r="5202" spans="14:20" x14ac:dyDescent="0.25">
      <c r="N5202" s="514"/>
      <c r="R5202" s="293"/>
      <c r="S5202" s="316"/>
      <c r="T5202" s="355"/>
    </row>
    <row r="5203" spans="14:20" x14ac:dyDescent="0.25">
      <c r="N5203" s="514"/>
      <c r="R5203" s="293"/>
      <c r="S5203" s="316"/>
      <c r="T5203" s="355"/>
    </row>
    <row r="5204" spans="14:20" x14ac:dyDescent="0.25">
      <c r="N5204" s="514"/>
      <c r="R5204" s="293"/>
      <c r="S5204" s="316"/>
      <c r="T5204" s="355"/>
    </row>
    <row r="5205" spans="14:20" x14ac:dyDescent="0.25">
      <c r="N5205" s="514"/>
      <c r="R5205" s="293"/>
      <c r="S5205" s="316"/>
      <c r="T5205" s="355"/>
    </row>
    <row r="5206" spans="14:20" x14ac:dyDescent="0.25">
      <c r="N5206" s="514"/>
      <c r="R5206" s="293"/>
      <c r="S5206" s="316"/>
      <c r="T5206" s="355"/>
    </row>
    <row r="5207" spans="14:20" x14ac:dyDescent="0.25">
      <c r="N5207" s="514"/>
      <c r="R5207" s="293"/>
      <c r="S5207" s="316"/>
      <c r="T5207" s="355"/>
    </row>
    <row r="5208" spans="14:20" x14ac:dyDescent="0.25">
      <c r="N5208" s="514"/>
      <c r="R5208" s="293"/>
      <c r="S5208" s="316"/>
      <c r="T5208" s="355"/>
    </row>
    <row r="5209" spans="14:20" x14ac:dyDescent="0.25">
      <c r="N5209" s="514"/>
      <c r="R5209" s="293"/>
      <c r="S5209" s="316"/>
      <c r="T5209" s="355"/>
    </row>
    <row r="5210" spans="14:20" x14ac:dyDescent="0.25">
      <c r="N5210" s="514"/>
      <c r="R5210" s="293"/>
      <c r="S5210" s="316"/>
      <c r="T5210" s="355"/>
    </row>
    <row r="5211" spans="14:20" x14ac:dyDescent="0.25">
      <c r="N5211" s="514"/>
      <c r="R5211" s="293"/>
      <c r="S5211" s="316"/>
      <c r="T5211" s="355"/>
    </row>
    <row r="5212" spans="14:20" x14ac:dyDescent="0.25">
      <c r="N5212" s="514"/>
      <c r="R5212" s="293"/>
      <c r="S5212" s="316"/>
      <c r="T5212" s="355"/>
    </row>
    <row r="5213" spans="14:20" x14ac:dyDescent="0.25">
      <c r="N5213" s="514"/>
      <c r="R5213" s="293"/>
      <c r="S5213" s="316"/>
      <c r="T5213" s="355"/>
    </row>
    <row r="5214" spans="14:20" x14ac:dyDescent="0.25">
      <c r="N5214" s="514"/>
      <c r="R5214" s="293"/>
      <c r="S5214" s="316"/>
      <c r="T5214" s="355"/>
    </row>
    <row r="5215" spans="14:20" x14ac:dyDescent="0.25">
      <c r="N5215" s="514"/>
      <c r="R5215" s="293"/>
      <c r="S5215" s="316"/>
      <c r="T5215" s="355"/>
    </row>
    <row r="5216" spans="14:20" x14ac:dyDescent="0.25">
      <c r="N5216" s="514"/>
      <c r="R5216" s="293"/>
      <c r="S5216" s="316"/>
      <c r="T5216" s="355"/>
    </row>
    <row r="5217" spans="14:20" x14ac:dyDescent="0.25">
      <c r="N5217" s="514"/>
      <c r="R5217" s="293"/>
      <c r="S5217" s="316"/>
      <c r="T5217" s="355"/>
    </row>
    <row r="5218" spans="14:20" x14ac:dyDescent="0.25">
      <c r="N5218" s="514"/>
      <c r="R5218" s="293"/>
      <c r="S5218" s="316"/>
      <c r="T5218" s="355"/>
    </row>
    <row r="5219" spans="14:20" x14ac:dyDescent="0.25">
      <c r="N5219" s="514"/>
      <c r="R5219" s="293"/>
      <c r="S5219" s="316"/>
      <c r="T5219" s="355"/>
    </row>
    <row r="5220" spans="14:20" x14ac:dyDescent="0.25">
      <c r="N5220" s="514"/>
      <c r="R5220" s="293"/>
      <c r="S5220" s="316"/>
      <c r="T5220" s="355"/>
    </row>
    <row r="5221" spans="14:20" x14ac:dyDescent="0.25">
      <c r="N5221" s="514"/>
      <c r="R5221" s="293"/>
      <c r="S5221" s="316"/>
      <c r="T5221" s="355"/>
    </row>
    <row r="5222" spans="14:20" x14ac:dyDescent="0.25">
      <c r="N5222" s="514"/>
      <c r="R5222" s="293"/>
      <c r="S5222" s="316"/>
      <c r="T5222" s="355"/>
    </row>
    <row r="5223" spans="14:20" x14ac:dyDescent="0.25">
      <c r="N5223" s="514"/>
      <c r="R5223" s="293"/>
      <c r="S5223" s="316"/>
      <c r="T5223" s="355"/>
    </row>
    <row r="5224" spans="14:20" x14ac:dyDescent="0.25">
      <c r="N5224" s="514"/>
      <c r="R5224" s="293"/>
      <c r="S5224" s="316"/>
      <c r="T5224" s="355"/>
    </row>
    <row r="5225" spans="14:20" x14ac:dyDescent="0.25">
      <c r="N5225" s="514"/>
      <c r="R5225" s="293"/>
      <c r="S5225" s="316"/>
      <c r="T5225" s="355"/>
    </row>
    <row r="5226" spans="14:20" x14ac:dyDescent="0.25">
      <c r="N5226" s="514"/>
      <c r="R5226" s="293"/>
      <c r="S5226" s="316"/>
      <c r="T5226" s="355"/>
    </row>
    <row r="5227" spans="14:20" x14ac:dyDescent="0.25">
      <c r="N5227" s="514"/>
      <c r="R5227" s="293"/>
      <c r="S5227" s="316"/>
      <c r="T5227" s="355"/>
    </row>
    <row r="5228" spans="14:20" x14ac:dyDescent="0.25">
      <c r="N5228" s="514"/>
      <c r="R5228" s="293"/>
      <c r="S5228" s="316"/>
      <c r="T5228" s="355"/>
    </row>
    <row r="5229" spans="14:20" x14ac:dyDescent="0.25">
      <c r="N5229" s="514"/>
      <c r="R5229" s="293"/>
      <c r="S5229" s="316"/>
      <c r="T5229" s="355"/>
    </row>
    <row r="5230" spans="14:20" x14ac:dyDescent="0.25">
      <c r="N5230" s="514"/>
      <c r="R5230" s="293"/>
      <c r="S5230" s="316"/>
      <c r="T5230" s="355"/>
    </row>
    <row r="5231" spans="14:20" x14ac:dyDescent="0.25">
      <c r="N5231" s="514"/>
      <c r="R5231" s="293"/>
      <c r="S5231" s="316"/>
      <c r="T5231" s="355"/>
    </row>
    <row r="5232" spans="14:20" x14ac:dyDescent="0.25">
      <c r="N5232" s="514"/>
      <c r="R5232" s="293"/>
      <c r="S5232" s="316"/>
      <c r="T5232" s="355"/>
    </row>
    <row r="5233" spans="14:20" x14ac:dyDescent="0.25">
      <c r="N5233" s="514"/>
      <c r="R5233" s="293"/>
      <c r="S5233" s="316"/>
      <c r="T5233" s="355"/>
    </row>
    <row r="5234" spans="14:20" x14ac:dyDescent="0.25">
      <c r="N5234" s="514"/>
      <c r="R5234" s="293"/>
      <c r="S5234" s="316"/>
      <c r="T5234" s="355"/>
    </row>
    <row r="5235" spans="14:20" x14ac:dyDescent="0.25">
      <c r="N5235" s="514"/>
      <c r="R5235" s="293"/>
      <c r="S5235" s="316"/>
      <c r="T5235" s="355"/>
    </row>
    <row r="5236" spans="14:20" x14ac:dyDescent="0.25">
      <c r="N5236" s="514"/>
      <c r="R5236" s="293"/>
      <c r="S5236" s="316"/>
      <c r="T5236" s="355"/>
    </row>
    <row r="5237" spans="14:20" x14ac:dyDescent="0.25">
      <c r="N5237" s="514"/>
      <c r="R5237" s="293"/>
      <c r="S5237" s="316"/>
      <c r="T5237" s="355"/>
    </row>
    <row r="5238" spans="14:20" x14ac:dyDescent="0.25">
      <c r="N5238" s="514"/>
      <c r="R5238" s="293"/>
      <c r="S5238" s="316"/>
      <c r="T5238" s="355"/>
    </row>
    <row r="5239" spans="14:20" x14ac:dyDescent="0.25">
      <c r="N5239" s="514"/>
      <c r="R5239" s="293"/>
      <c r="S5239" s="316"/>
      <c r="T5239" s="355"/>
    </row>
    <row r="5240" spans="14:20" x14ac:dyDescent="0.25">
      <c r="N5240" s="514"/>
      <c r="R5240" s="293"/>
      <c r="S5240" s="316"/>
      <c r="T5240" s="355"/>
    </row>
    <row r="5241" spans="14:20" x14ac:dyDescent="0.25">
      <c r="N5241" s="514"/>
      <c r="R5241" s="293"/>
      <c r="S5241" s="316"/>
      <c r="T5241" s="355"/>
    </row>
    <row r="5242" spans="14:20" x14ac:dyDescent="0.25">
      <c r="N5242" s="514"/>
      <c r="R5242" s="293"/>
      <c r="S5242" s="316"/>
      <c r="T5242" s="355"/>
    </row>
    <row r="5243" spans="14:20" x14ac:dyDescent="0.25">
      <c r="N5243" s="514"/>
      <c r="R5243" s="293"/>
      <c r="S5243" s="316"/>
      <c r="T5243" s="355"/>
    </row>
    <row r="5244" spans="14:20" x14ac:dyDescent="0.25">
      <c r="N5244" s="514"/>
      <c r="R5244" s="293"/>
      <c r="S5244" s="316"/>
      <c r="T5244" s="355"/>
    </row>
    <row r="5245" spans="14:20" x14ac:dyDescent="0.25">
      <c r="N5245" s="514"/>
      <c r="R5245" s="293"/>
      <c r="S5245" s="316"/>
      <c r="T5245" s="355"/>
    </row>
    <row r="5246" spans="14:20" x14ac:dyDescent="0.25">
      <c r="N5246" s="514"/>
      <c r="R5246" s="293"/>
      <c r="S5246" s="316"/>
      <c r="T5246" s="355"/>
    </row>
    <row r="5247" spans="14:20" x14ac:dyDescent="0.25">
      <c r="N5247" s="514"/>
      <c r="R5247" s="293"/>
      <c r="S5247" s="316"/>
      <c r="T5247" s="355"/>
    </row>
    <row r="5248" spans="14:20" x14ac:dyDescent="0.25">
      <c r="N5248" s="514"/>
      <c r="R5248" s="293"/>
      <c r="S5248" s="316"/>
      <c r="T5248" s="355"/>
    </row>
    <row r="5249" spans="14:20" x14ac:dyDescent="0.25">
      <c r="N5249" s="514"/>
      <c r="R5249" s="293"/>
      <c r="S5249" s="316"/>
      <c r="T5249" s="355"/>
    </row>
    <row r="5250" spans="14:20" x14ac:dyDescent="0.25">
      <c r="N5250" s="514"/>
      <c r="R5250" s="293"/>
      <c r="S5250" s="316"/>
      <c r="T5250" s="355"/>
    </row>
    <row r="5251" spans="14:20" x14ac:dyDescent="0.25">
      <c r="N5251" s="514"/>
      <c r="R5251" s="293"/>
      <c r="S5251" s="316"/>
      <c r="T5251" s="355"/>
    </row>
    <row r="5252" spans="14:20" x14ac:dyDescent="0.25">
      <c r="N5252" s="514"/>
      <c r="R5252" s="293"/>
      <c r="S5252" s="316"/>
      <c r="T5252" s="355"/>
    </row>
    <row r="5253" spans="14:20" x14ac:dyDescent="0.25">
      <c r="N5253" s="514"/>
      <c r="R5253" s="293"/>
      <c r="S5253" s="316"/>
      <c r="T5253" s="355"/>
    </row>
    <row r="5254" spans="14:20" x14ac:dyDescent="0.25">
      <c r="N5254" s="514"/>
      <c r="R5254" s="293"/>
      <c r="S5254" s="316"/>
      <c r="T5254" s="355"/>
    </row>
    <row r="5255" spans="14:20" x14ac:dyDescent="0.25">
      <c r="N5255" s="514"/>
      <c r="R5255" s="293"/>
      <c r="S5255" s="316"/>
      <c r="T5255" s="355"/>
    </row>
    <row r="5256" spans="14:20" x14ac:dyDescent="0.25">
      <c r="N5256" s="514"/>
      <c r="R5256" s="293"/>
      <c r="S5256" s="316"/>
      <c r="T5256" s="355"/>
    </row>
    <row r="5257" spans="14:20" x14ac:dyDescent="0.25">
      <c r="N5257" s="514"/>
      <c r="R5257" s="293"/>
      <c r="S5257" s="316"/>
      <c r="T5257" s="355"/>
    </row>
    <row r="5258" spans="14:20" x14ac:dyDescent="0.25">
      <c r="N5258" s="514"/>
      <c r="R5258" s="293"/>
      <c r="S5258" s="316"/>
      <c r="T5258" s="355"/>
    </row>
    <row r="5259" spans="14:20" x14ac:dyDescent="0.25">
      <c r="N5259" s="514"/>
      <c r="R5259" s="293"/>
      <c r="S5259" s="316"/>
      <c r="T5259" s="355"/>
    </row>
    <row r="5260" spans="14:20" x14ac:dyDescent="0.25">
      <c r="N5260" s="514"/>
      <c r="R5260" s="293"/>
      <c r="S5260" s="316"/>
      <c r="T5260" s="355"/>
    </row>
    <row r="5261" spans="14:20" x14ac:dyDescent="0.25">
      <c r="N5261" s="514"/>
      <c r="R5261" s="293"/>
      <c r="S5261" s="316"/>
      <c r="T5261" s="355"/>
    </row>
    <row r="5262" spans="14:20" x14ac:dyDescent="0.25">
      <c r="N5262" s="514"/>
      <c r="R5262" s="293"/>
      <c r="S5262" s="316"/>
      <c r="T5262" s="355"/>
    </row>
    <row r="5263" spans="14:20" x14ac:dyDescent="0.25">
      <c r="N5263" s="514"/>
      <c r="R5263" s="293"/>
      <c r="S5263" s="316"/>
      <c r="T5263" s="355"/>
    </row>
    <row r="5264" spans="14:20" x14ac:dyDescent="0.25">
      <c r="N5264" s="514"/>
      <c r="R5264" s="293"/>
      <c r="S5264" s="316"/>
      <c r="T5264" s="355"/>
    </row>
    <row r="5265" spans="14:20" x14ac:dyDescent="0.25">
      <c r="N5265" s="514"/>
      <c r="R5265" s="293"/>
      <c r="S5265" s="316"/>
      <c r="T5265" s="355"/>
    </row>
    <row r="5266" spans="14:20" x14ac:dyDescent="0.25">
      <c r="N5266" s="514"/>
      <c r="R5266" s="293"/>
      <c r="S5266" s="316"/>
      <c r="T5266" s="355"/>
    </row>
    <row r="5267" spans="14:20" x14ac:dyDescent="0.25">
      <c r="N5267" s="514"/>
      <c r="R5267" s="293"/>
      <c r="S5267" s="316"/>
      <c r="T5267" s="355"/>
    </row>
    <row r="5268" spans="14:20" x14ac:dyDescent="0.25">
      <c r="N5268" s="514"/>
      <c r="R5268" s="293"/>
      <c r="S5268" s="316"/>
      <c r="T5268" s="355"/>
    </row>
    <row r="5269" spans="14:20" x14ac:dyDescent="0.25">
      <c r="N5269" s="514"/>
      <c r="R5269" s="293"/>
      <c r="S5269" s="316"/>
      <c r="T5269" s="355"/>
    </row>
    <row r="5270" spans="14:20" x14ac:dyDescent="0.25">
      <c r="N5270" s="514"/>
      <c r="R5270" s="293"/>
      <c r="S5270" s="316"/>
      <c r="T5270" s="355"/>
    </row>
    <row r="5271" spans="14:20" x14ac:dyDescent="0.25">
      <c r="N5271" s="514"/>
      <c r="R5271" s="293"/>
      <c r="S5271" s="316"/>
      <c r="T5271" s="355"/>
    </row>
    <row r="5272" spans="14:20" x14ac:dyDescent="0.25">
      <c r="N5272" s="514"/>
      <c r="R5272" s="293"/>
      <c r="S5272" s="316"/>
      <c r="T5272" s="355"/>
    </row>
    <row r="5273" spans="14:20" x14ac:dyDescent="0.25">
      <c r="N5273" s="514"/>
      <c r="R5273" s="293"/>
      <c r="S5273" s="316"/>
      <c r="T5273" s="355"/>
    </row>
    <row r="5274" spans="14:20" x14ac:dyDescent="0.25">
      <c r="N5274" s="514"/>
      <c r="R5274" s="293"/>
      <c r="S5274" s="316"/>
      <c r="T5274" s="355"/>
    </row>
    <row r="5275" spans="14:20" x14ac:dyDescent="0.25">
      <c r="N5275" s="514"/>
      <c r="R5275" s="293"/>
      <c r="S5275" s="316"/>
      <c r="T5275" s="355"/>
    </row>
    <row r="5276" spans="14:20" x14ac:dyDescent="0.25">
      <c r="N5276" s="514"/>
      <c r="R5276" s="293"/>
      <c r="S5276" s="316"/>
      <c r="T5276" s="355"/>
    </row>
    <row r="5277" spans="14:20" x14ac:dyDescent="0.25">
      <c r="N5277" s="514"/>
      <c r="R5277" s="293"/>
      <c r="S5277" s="316"/>
      <c r="T5277" s="355"/>
    </row>
    <row r="5278" spans="14:20" x14ac:dyDescent="0.25">
      <c r="N5278" s="514"/>
      <c r="R5278" s="293"/>
      <c r="S5278" s="316"/>
      <c r="T5278" s="355"/>
    </row>
    <row r="5279" spans="14:20" x14ac:dyDescent="0.25">
      <c r="N5279" s="514"/>
      <c r="R5279" s="293"/>
      <c r="S5279" s="316"/>
      <c r="T5279" s="355"/>
    </row>
    <row r="5280" spans="14:20" x14ac:dyDescent="0.25">
      <c r="N5280" s="514"/>
      <c r="R5280" s="293"/>
      <c r="S5280" s="316"/>
      <c r="T5280" s="355"/>
    </row>
    <row r="5281" spans="14:20" x14ac:dyDescent="0.25">
      <c r="N5281" s="514"/>
      <c r="R5281" s="293"/>
      <c r="S5281" s="316"/>
      <c r="T5281" s="355"/>
    </row>
    <row r="5282" spans="14:20" x14ac:dyDescent="0.25">
      <c r="N5282" s="514"/>
      <c r="R5282" s="293"/>
      <c r="S5282" s="316"/>
      <c r="T5282" s="355"/>
    </row>
    <row r="5283" spans="14:20" x14ac:dyDescent="0.25">
      <c r="N5283" s="514"/>
      <c r="R5283" s="293"/>
      <c r="S5283" s="316"/>
      <c r="T5283" s="355"/>
    </row>
    <row r="5284" spans="14:20" x14ac:dyDescent="0.25">
      <c r="N5284" s="514"/>
      <c r="R5284" s="293"/>
      <c r="S5284" s="316"/>
      <c r="T5284" s="355"/>
    </row>
    <row r="5285" spans="14:20" x14ac:dyDescent="0.25">
      <c r="N5285" s="514"/>
      <c r="R5285" s="293"/>
      <c r="S5285" s="316"/>
      <c r="T5285" s="355"/>
    </row>
    <row r="5286" spans="14:20" x14ac:dyDescent="0.25">
      <c r="N5286" s="514"/>
      <c r="R5286" s="293"/>
      <c r="S5286" s="316"/>
      <c r="T5286" s="355"/>
    </row>
    <row r="5287" spans="14:20" x14ac:dyDescent="0.25">
      <c r="N5287" s="514"/>
      <c r="R5287" s="293"/>
      <c r="S5287" s="316"/>
      <c r="T5287" s="355"/>
    </row>
    <row r="5288" spans="14:20" x14ac:dyDescent="0.25">
      <c r="N5288" s="514"/>
      <c r="R5288" s="293"/>
      <c r="S5288" s="316"/>
      <c r="T5288" s="355"/>
    </row>
    <row r="5289" spans="14:20" x14ac:dyDescent="0.25">
      <c r="N5289" s="514"/>
      <c r="R5289" s="293"/>
      <c r="S5289" s="316"/>
      <c r="T5289" s="355"/>
    </row>
    <row r="5290" spans="14:20" x14ac:dyDescent="0.25">
      <c r="N5290" s="514"/>
      <c r="R5290" s="293"/>
      <c r="S5290" s="316"/>
      <c r="T5290" s="355"/>
    </row>
    <row r="5291" spans="14:20" x14ac:dyDescent="0.25">
      <c r="N5291" s="514"/>
      <c r="R5291" s="293"/>
      <c r="S5291" s="316"/>
      <c r="T5291" s="355"/>
    </row>
    <row r="5292" spans="14:20" x14ac:dyDescent="0.25">
      <c r="N5292" s="514"/>
      <c r="R5292" s="293"/>
      <c r="S5292" s="316"/>
      <c r="T5292" s="355"/>
    </row>
    <row r="5293" spans="14:20" x14ac:dyDescent="0.25">
      <c r="N5293" s="514"/>
      <c r="R5293" s="293"/>
      <c r="S5293" s="316"/>
      <c r="T5293" s="355"/>
    </row>
    <row r="5294" spans="14:20" x14ac:dyDescent="0.25">
      <c r="N5294" s="514"/>
      <c r="R5294" s="293"/>
      <c r="S5294" s="316"/>
      <c r="T5294" s="355"/>
    </row>
    <row r="5295" spans="14:20" x14ac:dyDescent="0.25">
      <c r="N5295" s="514"/>
      <c r="R5295" s="293"/>
      <c r="S5295" s="316"/>
      <c r="T5295" s="355"/>
    </row>
    <row r="5296" spans="14:20" x14ac:dyDescent="0.25">
      <c r="N5296" s="514"/>
      <c r="R5296" s="293"/>
      <c r="S5296" s="316"/>
      <c r="T5296" s="355"/>
    </row>
    <row r="5297" spans="14:20" x14ac:dyDescent="0.25">
      <c r="N5297" s="514"/>
      <c r="R5297" s="293"/>
      <c r="S5297" s="316"/>
      <c r="T5297" s="355"/>
    </row>
    <row r="5298" spans="14:20" x14ac:dyDescent="0.25">
      <c r="N5298" s="514"/>
      <c r="R5298" s="293"/>
      <c r="S5298" s="316"/>
      <c r="T5298" s="355"/>
    </row>
    <row r="5299" spans="14:20" x14ac:dyDescent="0.25">
      <c r="N5299" s="514"/>
      <c r="R5299" s="293"/>
      <c r="S5299" s="316"/>
      <c r="T5299" s="355"/>
    </row>
    <row r="5300" spans="14:20" x14ac:dyDescent="0.25">
      <c r="N5300" s="514"/>
      <c r="R5300" s="293"/>
      <c r="S5300" s="316"/>
      <c r="T5300" s="355"/>
    </row>
    <row r="5301" spans="14:20" x14ac:dyDescent="0.25">
      <c r="N5301" s="514"/>
      <c r="R5301" s="293"/>
      <c r="S5301" s="316"/>
      <c r="T5301" s="355"/>
    </row>
    <row r="5302" spans="14:20" x14ac:dyDescent="0.25">
      <c r="N5302" s="514"/>
      <c r="R5302" s="293"/>
      <c r="S5302" s="316"/>
      <c r="T5302" s="355"/>
    </row>
    <row r="5303" spans="14:20" x14ac:dyDescent="0.25">
      <c r="N5303" s="514"/>
      <c r="R5303" s="293"/>
      <c r="S5303" s="316"/>
      <c r="T5303" s="355"/>
    </row>
    <row r="5304" spans="14:20" x14ac:dyDescent="0.25">
      <c r="N5304" s="514"/>
      <c r="R5304" s="293"/>
      <c r="S5304" s="316"/>
      <c r="T5304" s="355"/>
    </row>
    <row r="5305" spans="14:20" x14ac:dyDescent="0.25">
      <c r="N5305" s="514"/>
      <c r="R5305" s="293"/>
      <c r="S5305" s="316"/>
      <c r="T5305" s="355"/>
    </row>
    <row r="5306" spans="14:20" x14ac:dyDescent="0.25">
      <c r="N5306" s="514"/>
      <c r="R5306" s="293"/>
      <c r="S5306" s="316"/>
      <c r="T5306" s="355"/>
    </row>
    <row r="5307" spans="14:20" x14ac:dyDescent="0.25">
      <c r="N5307" s="514"/>
      <c r="R5307" s="293"/>
      <c r="S5307" s="316"/>
      <c r="T5307" s="355"/>
    </row>
    <row r="5308" spans="14:20" x14ac:dyDescent="0.25">
      <c r="N5308" s="514"/>
      <c r="R5308" s="293"/>
      <c r="S5308" s="316"/>
      <c r="T5308" s="355"/>
    </row>
    <row r="5309" spans="14:20" x14ac:dyDescent="0.25">
      <c r="N5309" s="514"/>
      <c r="R5309" s="293"/>
      <c r="S5309" s="316"/>
      <c r="T5309" s="355"/>
    </row>
    <row r="5310" spans="14:20" x14ac:dyDescent="0.25">
      <c r="N5310" s="514"/>
      <c r="R5310" s="293"/>
      <c r="S5310" s="316"/>
      <c r="T5310" s="355"/>
    </row>
    <row r="5311" spans="14:20" x14ac:dyDescent="0.25">
      <c r="N5311" s="514"/>
      <c r="R5311" s="293"/>
      <c r="S5311" s="316"/>
      <c r="T5311" s="355"/>
    </row>
    <row r="5312" spans="14:20" x14ac:dyDescent="0.25">
      <c r="N5312" s="514"/>
      <c r="R5312" s="293"/>
      <c r="S5312" s="316"/>
      <c r="T5312" s="355"/>
    </row>
    <row r="5313" spans="14:20" x14ac:dyDescent="0.25">
      <c r="N5313" s="514"/>
      <c r="R5313" s="293"/>
      <c r="S5313" s="316"/>
      <c r="T5313" s="355"/>
    </row>
    <row r="5314" spans="14:20" x14ac:dyDescent="0.25">
      <c r="N5314" s="514"/>
      <c r="R5314" s="293"/>
      <c r="S5314" s="316"/>
      <c r="T5314" s="355"/>
    </row>
    <row r="5315" spans="14:20" x14ac:dyDescent="0.25">
      <c r="N5315" s="514"/>
      <c r="R5315" s="293"/>
      <c r="S5315" s="316"/>
      <c r="T5315" s="355"/>
    </row>
    <row r="5316" spans="14:20" x14ac:dyDescent="0.25">
      <c r="N5316" s="514"/>
      <c r="R5316" s="293"/>
      <c r="S5316" s="316"/>
      <c r="T5316" s="355"/>
    </row>
    <row r="5317" spans="14:20" x14ac:dyDescent="0.25">
      <c r="N5317" s="514"/>
      <c r="R5317" s="293"/>
      <c r="S5317" s="316"/>
      <c r="T5317" s="355"/>
    </row>
    <row r="5318" spans="14:20" x14ac:dyDescent="0.25">
      <c r="N5318" s="514"/>
      <c r="R5318" s="293"/>
      <c r="S5318" s="316"/>
      <c r="T5318" s="355"/>
    </row>
    <row r="5319" spans="14:20" x14ac:dyDescent="0.25">
      <c r="N5319" s="514"/>
      <c r="R5319" s="293"/>
      <c r="S5319" s="316"/>
      <c r="T5319" s="355"/>
    </row>
    <row r="5320" spans="14:20" x14ac:dyDescent="0.25">
      <c r="N5320" s="514"/>
      <c r="R5320" s="293"/>
      <c r="S5320" s="316"/>
      <c r="T5320" s="355"/>
    </row>
    <row r="5321" spans="14:20" x14ac:dyDescent="0.25">
      <c r="N5321" s="514"/>
      <c r="R5321" s="293"/>
      <c r="S5321" s="316"/>
      <c r="T5321" s="355"/>
    </row>
    <row r="5322" spans="14:20" x14ac:dyDescent="0.25">
      <c r="N5322" s="514"/>
      <c r="R5322" s="293"/>
      <c r="S5322" s="316"/>
      <c r="T5322" s="355"/>
    </row>
    <row r="5323" spans="14:20" x14ac:dyDescent="0.25">
      <c r="N5323" s="514"/>
      <c r="R5323" s="293"/>
      <c r="S5323" s="316"/>
      <c r="T5323" s="355"/>
    </row>
    <row r="5324" spans="14:20" x14ac:dyDescent="0.25">
      <c r="N5324" s="514"/>
      <c r="R5324" s="293"/>
      <c r="S5324" s="316"/>
      <c r="T5324" s="355"/>
    </row>
    <row r="5325" spans="14:20" x14ac:dyDescent="0.25">
      <c r="N5325" s="514"/>
      <c r="R5325" s="293"/>
      <c r="S5325" s="316"/>
      <c r="T5325" s="355"/>
    </row>
    <row r="5326" spans="14:20" x14ac:dyDescent="0.25">
      <c r="N5326" s="514"/>
      <c r="R5326" s="293"/>
      <c r="S5326" s="316"/>
      <c r="T5326" s="355"/>
    </row>
    <row r="5327" spans="14:20" x14ac:dyDescent="0.25">
      <c r="N5327" s="514"/>
      <c r="R5327" s="293"/>
      <c r="S5327" s="316"/>
      <c r="T5327" s="355"/>
    </row>
    <row r="5328" spans="14:20" x14ac:dyDescent="0.25">
      <c r="N5328" s="514"/>
      <c r="R5328" s="293"/>
      <c r="S5328" s="316"/>
      <c r="T5328" s="355"/>
    </row>
    <row r="5329" spans="14:20" x14ac:dyDescent="0.25">
      <c r="N5329" s="514"/>
      <c r="R5329" s="293"/>
      <c r="S5329" s="316"/>
      <c r="T5329" s="355"/>
    </row>
    <row r="5330" spans="14:20" x14ac:dyDescent="0.25">
      <c r="N5330" s="514"/>
      <c r="R5330" s="293"/>
      <c r="S5330" s="316"/>
      <c r="T5330" s="355"/>
    </row>
    <row r="5331" spans="14:20" x14ac:dyDescent="0.25">
      <c r="N5331" s="514"/>
      <c r="R5331" s="293"/>
      <c r="S5331" s="316"/>
      <c r="T5331" s="355"/>
    </row>
    <row r="5332" spans="14:20" x14ac:dyDescent="0.25">
      <c r="N5332" s="514"/>
      <c r="R5332" s="293"/>
      <c r="S5332" s="316"/>
      <c r="T5332" s="355"/>
    </row>
    <row r="5333" spans="14:20" x14ac:dyDescent="0.25">
      <c r="N5333" s="514"/>
      <c r="R5333" s="293"/>
      <c r="S5333" s="316"/>
      <c r="T5333" s="355"/>
    </row>
    <row r="5334" spans="14:20" x14ac:dyDescent="0.25">
      <c r="N5334" s="514"/>
      <c r="R5334" s="293"/>
      <c r="S5334" s="316"/>
      <c r="T5334" s="355"/>
    </row>
    <row r="5335" spans="14:20" x14ac:dyDescent="0.25">
      <c r="N5335" s="514"/>
      <c r="R5335" s="293"/>
      <c r="S5335" s="316"/>
      <c r="T5335" s="355"/>
    </row>
    <row r="5336" spans="14:20" x14ac:dyDescent="0.25">
      <c r="N5336" s="514"/>
      <c r="R5336" s="293"/>
      <c r="S5336" s="316"/>
      <c r="T5336" s="355"/>
    </row>
    <row r="5337" spans="14:20" x14ac:dyDescent="0.25">
      <c r="N5337" s="514"/>
      <c r="R5337" s="293"/>
      <c r="S5337" s="316"/>
      <c r="T5337" s="355"/>
    </row>
    <row r="5338" spans="14:20" x14ac:dyDescent="0.25">
      <c r="N5338" s="514"/>
      <c r="R5338" s="293"/>
      <c r="S5338" s="316"/>
      <c r="T5338" s="355"/>
    </row>
    <row r="5339" spans="14:20" x14ac:dyDescent="0.25">
      <c r="N5339" s="514"/>
      <c r="R5339" s="293"/>
      <c r="S5339" s="316"/>
      <c r="T5339" s="355"/>
    </row>
    <row r="5340" spans="14:20" x14ac:dyDescent="0.25">
      <c r="N5340" s="514"/>
      <c r="R5340" s="293"/>
      <c r="S5340" s="316"/>
      <c r="T5340" s="355"/>
    </row>
    <row r="5341" spans="14:20" x14ac:dyDescent="0.25">
      <c r="N5341" s="514"/>
      <c r="R5341" s="293"/>
      <c r="S5341" s="316"/>
      <c r="T5341" s="355"/>
    </row>
    <row r="5342" spans="14:20" x14ac:dyDescent="0.25">
      <c r="N5342" s="514"/>
      <c r="R5342" s="293"/>
      <c r="S5342" s="316"/>
      <c r="T5342" s="355"/>
    </row>
    <row r="5343" spans="14:20" x14ac:dyDescent="0.25">
      <c r="N5343" s="514"/>
      <c r="R5343" s="293"/>
      <c r="S5343" s="316"/>
      <c r="T5343" s="355"/>
    </row>
    <row r="5344" spans="14:20" x14ac:dyDescent="0.25">
      <c r="N5344" s="514"/>
      <c r="R5344" s="293"/>
      <c r="S5344" s="316"/>
      <c r="T5344" s="355"/>
    </row>
    <row r="5345" spans="14:20" x14ac:dyDescent="0.25">
      <c r="N5345" s="514"/>
      <c r="R5345" s="293"/>
      <c r="S5345" s="316"/>
      <c r="T5345" s="355"/>
    </row>
    <row r="5346" spans="14:20" x14ac:dyDescent="0.25">
      <c r="N5346" s="514"/>
      <c r="R5346" s="293"/>
      <c r="S5346" s="316"/>
      <c r="T5346" s="355"/>
    </row>
    <row r="5347" spans="14:20" x14ac:dyDescent="0.25">
      <c r="N5347" s="514"/>
      <c r="R5347" s="293"/>
      <c r="S5347" s="316"/>
      <c r="T5347" s="355"/>
    </row>
    <row r="5348" spans="14:20" x14ac:dyDescent="0.25">
      <c r="N5348" s="514"/>
      <c r="R5348" s="293"/>
      <c r="S5348" s="316"/>
      <c r="T5348" s="355"/>
    </row>
    <row r="5349" spans="14:20" x14ac:dyDescent="0.25">
      <c r="N5349" s="514"/>
      <c r="R5349" s="293"/>
      <c r="S5349" s="316"/>
      <c r="T5349" s="355"/>
    </row>
    <row r="5350" spans="14:20" x14ac:dyDescent="0.25">
      <c r="N5350" s="514"/>
      <c r="R5350" s="293"/>
      <c r="S5350" s="316"/>
      <c r="T5350" s="355"/>
    </row>
    <row r="5351" spans="14:20" x14ac:dyDescent="0.25">
      <c r="N5351" s="514"/>
      <c r="R5351" s="293"/>
      <c r="S5351" s="316"/>
      <c r="T5351" s="355"/>
    </row>
    <row r="5352" spans="14:20" x14ac:dyDescent="0.25">
      <c r="N5352" s="514"/>
      <c r="R5352" s="293"/>
      <c r="S5352" s="316"/>
      <c r="T5352" s="355"/>
    </row>
    <row r="5353" spans="14:20" x14ac:dyDescent="0.25">
      <c r="N5353" s="514"/>
      <c r="R5353" s="293"/>
      <c r="S5353" s="316"/>
      <c r="T5353" s="355"/>
    </row>
    <row r="5354" spans="14:20" x14ac:dyDescent="0.25">
      <c r="N5354" s="514"/>
      <c r="R5354" s="293"/>
      <c r="S5354" s="316"/>
      <c r="T5354" s="355"/>
    </row>
    <row r="5355" spans="14:20" x14ac:dyDescent="0.25">
      <c r="N5355" s="514"/>
      <c r="R5355" s="293"/>
      <c r="S5355" s="316"/>
      <c r="T5355" s="355"/>
    </row>
    <row r="5356" spans="14:20" x14ac:dyDescent="0.25">
      <c r="N5356" s="514"/>
      <c r="R5356" s="293"/>
      <c r="S5356" s="316"/>
      <c r="T5356" s="355"/>
    </row>
    <row r="5357" spans="14:20" x14ac:dyDescent="0.25">
      <c r="N5357" s="514"/>
      <c r="R5357" s="293"/>
      <c r="S5357" s="316"/>
      <c r="T5357" s="355"/>
    </row>
    <row r="5358" spans="14:20" x14ac:dyDescent="0.25">
      <c r="N5358" s="514"/>
      <c r="R5358" s="293"/>
      <c r="S5358" s="316"/>
      <c r="T5358" s="355"/>
    </row>
    <row r="5359" spans="14:20" x14ac:dyDescent="0.25">
      <c r="N5359" s="514"/>
      <c r="R5359" s="293"/>
      <c r="S5359" s="316"/>
      <c r="T5359" s="355"/>
    </row>
    <row r="5360" spans="14:20" x14ac:dyDescent="0.25">
      <c r="N5360" s="514"/>
      <c r="R5360" s="293"/>
      <c r="S5360" s="316"/>
      <c r="T5360" s="355"/>
    </row>
    <row r="5361" spans="14:20" x14ac:dyDescent="0.25">
      <c r="N5361" s="514"/>
      <c r="R5361" s="293"/>
      <c r="S5361" s="316"/>
      <c r="T5361" s="355"/>
    </row>
    <row r="5362" spans="14:20" x14ac:dyDescent="0.25">
      <c r="N5362" s="514"/>
      <c r="R5362" s="293"/>
      <c r="S5362" s="316"/>
      <c r="T5362" s="355"/>
    </row>
    <row r="5363" spans="14:20" x14ac:dyDescent="0.25">
      <c r="N5363" s="514"/>
      <c r="R5363" s="293"/>
      <c r="S5363" s="316"/>
      <c r="T5363" s="355"/>
    </row>
    <row r="5364" spans="14:20" x14ac:dyDescent="0.25">
      <c r="N5364" s="514"/>
      <c r="R5364" s="293"/>
      <c r="S5364" s="316"/>
      <c r="T5364" s="355"/>
    </row>
    <row r="5365" spans="14:20" x14ac:dyDescent="0.25">
      <c r="N5365" s="514"/>
      <c r="R5365" s="293"/>
      <c r="S5365" s="316"/>
      <c r="T5365" s="355"/>
    </row>
    <row r="5366" spans="14:20" x14ac:dyDescent="0.25">
      <c r="N5366" s="514"/>
      <c r="R5366" s="293"/>
      <c r="S5366" s="316"/>
      <c r="T5366" s="355"/>
    </row>
    <row r="5367" spans="14:20" x14ac:dyDescent="0.25">
      <c r="N5367" s="514"/>
      <c r="R5367" s="293"/>
      <c r="S5367" s="316"/>
      <c r="T5367" s="355"/>
    </row>
    <row r="5368" spans="14:20" x14ac:dyDescent="0.25">
      <c r="N5368" s="514"/>
      <c r="R5368" s="293"/>
      <c r="S5368" s="316"/>
      <c r="T5368" s="355"/>
    </row>
    <row r="5369" spans="14:20" x14ac:dyDescent="0.25">
      <c r="N5369" s="514"/>
      <c r="R5369" s="293"/>
      <c r="S5369" s="316"/>
      <c r="T5369" s="355"/>
    </row>
    <row r="5370" spans="14:20" x14ac:dyDescent="0.25">
      <c r="N5370" s="514"/>
      <c r="R5370" s="293"/>
      <c r="S5370" s="316"/>
      <c r="T5370" s="355"/>
    </row>
    <row r="5371" spans="14:20" x14ac:dyDescent="0.25">
      <c r="N5371" s="514"/>
      <c r="R5371" s="293"/>
      <c r="S5371" s="316"/>
      <c r="T5371" s="355"/>
    </row>
    <row r="5372" spans="14:20" x14ac:dyDescent="0.25">
      <c r="N5372" s="514"/>
      <c r="R5372" s="293"/>
      <c r="S5372" s="316"/>
      <c r="T5372" s="355"/>
    </row>
    <row r="5373" spans="14:20" x14ac:dyDescent="0.25">
      <c r="N5373" s="514"/>
      <c r="R5373" s="293"/>
      <c r="S5373" s="316"/>
      <c r="T5373" s="355"/>
    </row>
    <row r="5374" spans="14:20" x14ac:dyDescent="0.25">
      <c r="N5374" s="514"/>
      <c r="R5374" s="293"/>
      <c r="S5374" s="316"/>
      <c r="T5374" s="355"/>
    </row>
    <row r="5375" spans="14:20" x14ac:dyDescent="0.25">
      <c r="N5375" s="514"/>
      <c r="R5375" s="293"/>
      <c r="S5375" s="316"/>
      <c r="T5375" s="355"/>
    </row>
    <row r="5376" spans="14:20" x14ac:dyDescent="0.25">
      <c r="N5376" s="514"/>
      <c r="R5376" s="293"/>
      <c r="S5376" s="316"/>
      <c r="T5376" s="355"/>
    </row>
    <row r="5377" spans="14:20" x14ac:dyDescent="0.25">
      <c r="N5377" s="514"/>
      <c r="R5377" s="293"/>
      <c r="S5377" s="316"/>
      <c r="T5377" s="355"/>
    </row>
    <row r="5378" spans="14:20" x14ac:dyDescent="0.25">
      <c r="N5378" s="514"/>
      <c r="R5378" s="293"/>
      <c r="S5378" s="316"/>
      <c r="T5378" s="355"/>
    </row>
    <row r="5379" spans="14:20" x14ac:dyDescent="0.25">
      <c r="N5379" s="514"/>
      <c r="R5379" s="293"/>
      <c r="S5379" s="316"/>
      <c r="T5379" s="355"/>
    </row>
    <row r="5380" spans="14:20" x14ac:dyDescent="0.25">
      <c r="N5380" s="514"/>
      <c r="R5380" s="293"/>
      <c r="S5380" s="316"/>
      <c r="T5380" s="355"/>
    </row>
    <row r="5381" spans="14:20" x14ac:dyDescent="0.25">
      <c r="N5381" s="514"/>
      <c r="R5381" s="293"/>
      <c r="S5381" s="316"/>
      <c r="T5381" s="355"/>
    </row>
    <row r="5382" spans="14:20" x14ac:dyDescent="0.25">
      <c r="N5382" s="514"/>
      <c r="R5382" s="293"/>
      <c r="S5382" s="316"/>
      <c r="T5382" s="355"/>
    </row>
    <row r="5383" spans="14:20" x14ac:dyDescent="0.25">
      <c r="N5383" s="514"/>
      <c r="R5383" s="293"/>
      <c r="S5383" s="316"/>
      <c r="T5383" s="355"/>
    </row>
    <row r="5384" spans="14:20" x14ac:dyDescent="0.25">
      <c r="N5384" s="514"/>
      <c r="R5384" s="293"/>
      <c r="S5384" s="316"/>
      <c r="T5384" s="355"/>
    </row>
    <row r="5385" spans="14:20" x14ac:dyDescent="0.25">
      <c r="N5385" s="514"/>
      <c r="R5385" s="293"/>
      <c r="S5385" s="316"/>
      <c r="T5385" s="355"/>
    </row>
    <row r="5386" spans="14:20" x14ac:dyDescent="0.25">
      <c r="N5386" s="514"/>
      <c r="R5386" s="293"/>
      <c r="S5386" s="316"/>
      <c r="T5386" s="355"/>
    </row>
    <row r="5387" spans="14:20" x14ac:dyDescent="0.25">
      <c r="N5387" s="514"/>
      <c r="R5387" s="293"/>
      <c r="S5387" s="316"/>
      <c r="T5387" s="355"/>
    </row>
    <row r="5388" spans="14:20" x14ac:dyDescent="0.25">
      <c r="N5388" s="514"/>
      <c r="R5388" s="293"/>
      <c r="S5388" s="316"/>
      <c r="T5388" s="355"/>
    </row>
    <row r="5389" spans="14:20" x14ac:dyDescent="0.25">
      <c r="N5389" s="514"/>
      <c r="R5389" s="293"/>
      <c r="S5389" s="316"/>
      <c r="T5389" s="355"/>
    </row>
    <row r="5390" spans="14:20" x14ac:dyDescent="0.25">
      <c r="N5390" s="514"/>
      <c r="R5390" s="293"/>
      <c r="S5390" s="316"/>
      <c r="T5390" s="355"/>
    </row>
    <row r="5391" spans="14:20" x14ac:dyDescent="0.25">
      <c r="N5391" s="514"/>
      <c r="R5391" s="293"/>
      <c r="S5391" s="316"/>
      <c r="T5391" s="355"/>
    </row>
    <row r="5392" spans="14:20" x14ac:dyDescent="0.25">
      <c r="N5392" s="514"/>
      <c r="R5392" s="293"/>
      <c r="S5392" s="316"/>
      <c r="T5392" s="355"/>
    </row>
    <row r="5393" spans="14:20" x14ac:dyDescent="0.25">
      <c r="N5393" s="514"/>
      <c r="R5393" s="293"/>
      <c r="S5393" s="316"/>
      <c r="T5393" s="355"/>
    </row>
    <row r="5394" spans="14:20" x14ac:dyDescent="0.25">
      <c r="N5394" s="514"/>
      <c r="R5394" s="293"/>
      <c r="S5394" s="316"/>
      <c r="T5394" s="355"/>
    </row>
    <row r="5395" spans="14:20" x14ac:dyDescent="0.25">
      <c r="N5395" s="514"/>
      <c r="R5395" s="293"/>
      <c r="S5395" s="316"/>
      <c r="T5395" s="355"/>
    </row>
    <row r="5396" spans="14:20" x14ac:dyDescent="0.25">
      <c r="N5396" s="514"/>
      <c r="R5396" s="293"/>
      <c r="S5396" s="316"/>
      <c r="T5396" s="355"/>
    </row>
    <row r="5397" spans="14:20" x14ac:dyDescent="0.25">
      <c r="N5397" s="514"/>
      <c r="R5397" s="293"/>
      <c r="S5397" s="316"/>
      <c r="T5397" s="355"/>
    </row>
    <row r="5398" spans="14:20" x14ac:dyDescent="0.25">
      <c r="N5398" s="514"/>
      <c r="R5398" s="293"/>
      <c r="S5398" s="316"/>
      <c r="T5398" s="355"/>
    </row>
    <row r="5399" spans="14:20" x14ac:dyDescent="0.25">
      <c r="N5399" s="514"/>
      <c r="R5399" s="293"/>
      <c r="S5399" s="316"/>
      <c r="T5399" s="355"/>
    </row>
    <row r="5400" spans="14:20" x14ac:dyDescent="0.25">
      <c r="N5400" s="514"/>
      <c r="R5400" s="293"/>
      <c r="S5400" s="316"/>
      <c r="T5400" s="355"/>
    </row>
    <row r="5401" spans="14:20" x14ac:dyDescent="0.25">
      <c r="N5401" s="514"/>
      <c r="R5401" s="293"/>
      <c r="S5401" s="316"/>
      <c r="T5401" s="355"/>
    </row>
    <row r="5402" spans="14:20" x14ac:dyDescent="0.25">
      <c r="N5402" s="514"/>
      <c r="R5402" s="293"/>
      <c r="S5402" s="316"/>
      <c r="T5402" s="355"/>
    </row>
    <row r="5403" spans="14:20" x14ac:dyDescent="0.25">
      <c r="N5403" s="514"/>
      <c r="R5403" s="293"/>
      <c r="S5403" s="316"/>
      <c r="T5403" s="355"/>
    </row>
    <row r="5404" spans="14:20" x14ac:dyDescent="0.25">
      <c r="N5404" s="514"/>
      <c r="R5404" s="293"/>
      <c r="S5404" s="316"/>
      <c r="T5404" s="355"/>
    </row>
    <row r="5405" spans="14:20" x14ac:dyDescent="0.25">
      <c r="N5405" s="514"/>
      <c r="R5405" s="293"/>
      <c r="S5405" s="316"/>
      <c r="T5405" s="355"/>
    </row>
    <row r="5406" spans="14:20" x14ac:dyDescent="0.25">
      <c r="N5406" s="514"/>
      <c r="R5406" s="293"/>
      <c r="S5406" s="316"/>
      <c r="T5406" s="355"/>
    </row>
    <row r="5407" spans="14:20" x14ac:dyDescent="0.25">
      <c r="N5407" s="514"/>
      <c r="R5407" s="293"/>
      <c r="S5407" s="316"/>
      <c r="T5407" s="355"/>
    </row>
    <row r="5408" spans="14:20" x14ac:dyDescent="0.25">
      <c r="N5408" s="514"/>
      <c r="R5408" s="293"/>
      <c r="S5408" s="316"/>
      <c r="T5408" s="355"/>
    </row>
    <row r="5409" spans="14:20" x14ac:dyDescent="0.25">
      <c r="N5409" s="514"/>
      <c r="R5409" s="293"/>
      <c r="S5409" s="316"/>
      <c r="T5409" s="355"/>
    </row>
    <row r="5410" spans="14:20" x14ac:dyDescent="0.25">
      <c r="N5410" s="514"/>
      <c r="R5410" s="293"/>
      <c r="S5410" s="316"/>
      <c r="T5410" s="355"/>
    </row>
    <row r="5411" spans="14:20" x14ac:dyDescent="0.25">
      <c r="N5411" s="514"/>
      <c r="R5411" s="293"/>
      <c r="S5411" s="316"/>
      <c r="T5411" s="355"/>
    </row>
    <row r="5412" spans="14:20" x14ac:dyDescent="0.25">
      <c r="N5412" s="514"/>
      <c r="R5412" s="293"/>
      <c r="S5412" s="316"/>
      <c r="T5412" s="355"/>
    </row>
    <row r="5413" spans="14:20" x14ac:dyDescent="0.25">
      <c r="N5413" s="514"/>
      <c r="R5413" s="293"/>
      <c r="S5413" s="316"/>
      <c r="T5413" s="355"/>
    </row>
    <row r="5414" spans="14:20" x14ac:dyDescent="0.25">
      <c r="N5414" s="514"/>
      <c r="R5414" s="293"/>
      <c r="S5414" s="316"/>
      <c r="T5414" s="355"/>
    </row>
    <row r="5415" spans="14:20" x14ac:dyDescent="0.25">
      <c r="N5415" s="514"/>
      <c r="R5415" s="293"/>
      <c r="S5415" s="316"/>
      <c r="T5415" s="355"/>
    </row>
    <row r="5416" spans="14:20" x14ac:dyDescent="0.25">
      <c r="N5416" s="514"/>
      <c r="R5416" s="293"/>
      <c r="S5416" s="316"/>
      <c r="T5416" s="355"/>
    </row>
    <row r="5417" spans="14:20" x14ac:dyDescent="0.25">
      <c r="N5417" s="514"/>
      <c r="R5417" s="293"/>
      <c r="S5417" s="316"/>
      <c r="T5417" s="355"/>
    </row>
    <row r="5418" spans="14:20" x14ac:dyDescent="0.25">
      <c r="N5418" s="514"/>
      <c r="R5418" s="293"/>
      <c r="S5418" s="316"/>
      <c r="T5418" s="355"/>
    </row>
    <row r="5419" spans="14:20" x14ac:dyDescent="0.25">
      <c r="N5419" s="514"/>
      <c r="R5419" s="293"/>
      <c r="S5419" s="316"/>
      <c r="T5419" s="355"/>
    </row>
    <row r="5420" spans="14:20" x14ac:dyDescent="0.25">
      <c r="N5420" s="514"/>
      <c r="R5420" s="293"/>
      <c r="S5420" s="316"/>
      <c r="T5420" s="355"/>
    </row>
    <row r="5421" spans="14:20" x14ac:dyDescent="0.25">
      <c r="N5421" s="514"/>
      <c r="R5421" s="293"/>
      <c r="S5421" s="316"/>
      <c r="T5421" s="355"/>
    </row>
    <row r="5422" spans="14:20" x14ac:dyDescent="0.25">
      <c r="N5422" s="514"/>
      <c r="R5422" s="293"/>
      <c r="S5422" s="316"/>
      <c r="T5422" s="355"/>
    </row>
    <row r="5423" spans="14:20" x14ac:dyDescent="0.25">
      <c r="N5423" s="514"/>
      <c r="R5423" s="293"/>
      <c r="S5423" s="316"/>
      <c r="T5423" s="355"/>
    </row>
    <row r="5424" spans="14:20" x14ac:dyDescent="0.25">
      <c r="N5424" s="514"/>
      <c r="R5424" s="293"/>
      <c r="S5424" s="316"/>
      <c r="T5424" s="355"/>
    </row>
    <row r="5425" spans="14:20" x14ac:dyDescent="0.25">
      <c r="N5425" s="514"/>
      <c r="R5425" s="293"/>
      <c r="S5425" s="316"/>
      <c r="T5425" s="355"/>
    </row>
    <row r="5426" spans="14:20" x14ac:dyDescent="0.25">
      <c r="N5426" s="514"/>
      <c r="R5426" s="293"/>
      <c r="S5426" s="316"/>
      <c r="T5426" s="355"/>
    </row>
    <row r="5427" spans="14:20" x14ac:dyDescent="0.25">
      <c r="N5427" s="514"/>
      <c r="R5427" s="293"/>
      <c r="S5427" s="316"/>
      <c r="T5427" s="355"/>
    </row>
    <row r="5428" spans="14:20" x14ac:dyDescent="0.25">
      <c r="N5428" s="514"/>
      <c r="R5428" s="293"/>
      <c r="S5428" s="316"/>
      <c r="T5428" s="355"/>
    </row>
    <row r="5429" spans="14:20" x14ac:dyDescent="0.25">
      <c r="N5429" s="514"/>
      <c r="R5429" s="293"/>
      <c r="S5429" s="316"/>
      <c r="T5429" s="355"/>
    </row>
    <row r="5430" spans="14:20" x14ac:dyDescent="0.25">
      <c r="N5430" s="514"/>
      <c r="R5430" s="293"/>
      <c r="S5430" s="316"/>
      <c r="T5430" s="355"/>
    </row>
    <row r="5431" spans="14:20" x14ac:dyDescent="0.25">
      <c r="N5431" s="514"/>
      <c r="R5431" s="293"/>
      <c r="S5431" s="316"/>
      <c r="T5431" s="355"/>
    </row>
    <row r="5432" spans="14:20" x14ac:dyDescent="0.25">
      <c r="N5432" s="514"/>
      <c r="R5432" s="293"/>
      <c r="S5432" s="316"/>
      <c r="T5432" s="355"/>
    </row>
    <row r="5433" spans="14:20" x14ac:dyDescent="0.25">
      <c r="N5433" s="514"/>
      <c r="R5433" s="293"/>
      <c r="S5433" s="316"/>
      <c r="T5433" s="355"/>
    </row>
    <row r="5434" spans="14:20" x14ac:dyDescent="0.25">
      <c r="N5434" s="514"/>
      <c r="R5434" s="293"/>
      <c r="S5434" s="316"/>
      <c r="T5434" s="355"/>
    </row>
    <row r="5435" spans="14:20" x14ac:dyDescent="0.25">
      <c r="N5435" s="514"/>
      <c r="R5435" s="293"/>
      <c r="S5435" s="316"/>
      <c r="T5435" s="355"/>
    </row>
    <row r="5436" spans="14:20" x14ac:dyDescent="0.25">
      <c r="N5436" s="514"/>
      <c r="R5436" s="293"/>
      <c r="S5436" s="316"/>
      <c r="T5436" s="355"/>
    </row>
    <row r="5437" spans="14:20" x14ac:dyDescent="0.25">
      <c r="N5437" s="514"/>
      <c r="R5437" s="293"/>
      <c r="S5437" s="316"/>
      <c r="T5437" s="355"/>
    </row>
    <row r="5438" spans="14:20" x14ac:dyDescent="0.25">
      <c r="N5438" s="514"/>
      <c r="R5438" s="293"/>
      <c r="S5438" s="316"/>
      <c r="T5438" s="355"/>
    </row>
    <row r="5439" spans="14:20" x14ac:dyDescent="0.25">
      <c r="N5439" s="514"/>
      <c r="R5439" s="293"/>
      <c r="S5439" s="316"/>
      <c r="T5439" s="355"/>
    </row>
    <row r="5440" spans="14:20" x14ac:dyDescent="0.25">
      <c r="N5440" s="514"/>
      <c r="R5440" s="293"/>
      <c r="S5440" s="316"/>
      <c r="T5440" s="355"/>
    </row>
    <row r="5441" spans="14:20" x14ac:dyDescent="0.25">
      <c r="N5441" s="514"/>
      <c r="R5441" s="293"/>
      <c r="S5441" s="316"/>
      <c r="T5441" s="355"/>
    </row>
    <row r="5442" spans="14:20" x14ac:dyDescent="0.25">
      <c r="N5442" s="514"/>
      <c r="R5442" s="293"/>
      <c r="S5442" s="316"/>
      <c r="T5442" s="355"/>
    </row>
    <row r="5443" spans="14:20" x14ac:dyDescent="0.25">
      <c r="N5443" s="514"/>
      <c r="R5443" s="293"/>
      <c r="S5443" s="316"/>
      <c r="T5443" s="355"/>
    </row>
    <row r="5444" spans="14:20" x14ac:dyDescent="0.25">
      <c r="N5444" s="514"/>
      <c r="R5444" s="293"/>
      <c r="S5444" s="316"/>
      <c r="T5444" s="355"/>
    </row>
    <row r="5445" spans="14:20" x14ac:dyDescent="0.25">
      <c r="N5445" s="514"/>
      <c r="R5445" s="293"/>
      <c r="S5445" s="316"/>
      <c r="T5445" s="355"/>
    </row>
    <row r="5446" spans="14:20" x14ac:dyDescent="0.25">
      <c r="N5446" s="514"/>
      <c r="R5446" s="293"/>
      <c r="S5446" s="316"/>
      <c r="T5446" s="355"/>
    </row>
    <row r="5447" spans="14:20" x14ac:dyDescent="0.25">
      <c r="N5447" s="514"/>
      <c r="R5447" s="293"/>
      <c r="S5447" s="316"/>
      <c r="T5447" s="355"/>
    </row>
    <row r="5448" spans="14:20" x14ac:dyDescent="0.25">
      <c r="N5448" s="514"/>
      <c r="R5448" s="293"/>
      <c r="S5448" s="316"/>
      <c r="T5448" s="355"/>
    </row>
    <row r="5449" spans="14:20" x14ac:dyDescent="0.25">
      <c r="N5449" s="514"/>
      <c r="R5449" s="293"/>
      <c r="S5449" s="316"/>
      <c r="T5449" s="355"/>
    </row>
    <row r="5450" spans="14:20" x14ac:dyDescent="0.25">
      <c r="N5450" s="514"/>
      <c r="R5450" s="293"/>
      <c r="S5450" s="316"/>
      <c r="T5450" s="355"/>
    </row>
    <row r="5451" spans="14:20" x14ac:dyDescent="0.25">
      <c r="N5451" s="514"/>
      <c r="R5451" s="293"/>
      <c r="S5451" s="316"/>
      <c r="T5451" s="355"/>
    </row>
    <row r="5452" spans="14:20" x14ac:dyDescent="0.25">
      <c r="N5452" s="514"/>
      <c r="R5452" s="293"/>
      <c r="S5452" s="316"/>
      <c r="T5452" s="355"/>
    </row>
    <row r="5453" spans="14:20" x14ac:dyDescent="0.25">
      <c r="N5453" s="514"/>
      <c r="R5453" s="293"/>
      <c r="S5453" s="316"/>
      <c r="T5453" s="355"/>
    </row>
    <row r="5454" spans="14:20" x14ac:dyDescent="0.25">
      <c r="N5454" s="514"/>
      <c r="R5454" s="293"/>
      <c r="S5454" s="316"/>
      <c r="T5454" s="355"/>
    </row>
    <row r="5455" spans="14:20" x14ac:dyDescent="0.25">
      <c r="N5455" s="514"/>
      <c r="R5455" s="293"/>
      <c r="S5455" s="316"/>
      <c r="T5455" s="355"/>
    </row>
    <row r="5456" spans="14:20" x14ac:dyDescent="0.25">
      <c r="N5456" s="514"/>
      <c r="R5456" s="293"/>
      <c r="S5456" s="316"/>
      <c r="T5456" s="355"/>
    </row>
    <row r="5457" spans="14:20" x14ac:dyDescent="0.25">
      <c r="N5457" s="514"/>
      <c r="R5457" s="293"/>
      <c r="S5457" s="316"/>
      <c r="T5457" s="355"/>
    </row>
    <row r="5458" spans="14:20" x14ac:dyDescent="0.25">
      <c r="N5458" s="514"/>
      <c r="R5458" s="293"/>
      <c r="S5458" s="316"/>
      <c r="T5458" s="355"/>
    </row>
    <row r="5459" spans="14:20" x14ac:dyDescent="0.25">
      <c r="N5459" s="514"/>
      <c r="R5459" s="293"/>
      <c r="S5459" s="316"/>
      <c r="T5459" s="355"/>
    </row>
    <row r="5460" spans="14:20" x14ac:dyDescent="0.25">
      <c r="N5460" s="514"/>
      <c r="R5460" s="293"/>
      <c r="S5460" s="316"/>
      <c r="T5460" s="355"/>
    </row>
    <row r="5461" spans="14:20" x14ac:dyDescent="0.25">
      <c r="N5461" s="514"/>
      <c r="R5461" s="293"/>
      <c r="S5461" s="316"/>
      <c r="T5461" s="355"/>
    </row>
    <row r="5462" spans="14:20" x14ac:dyDescent="0.25">
      <c r="N5462" s="514"/>
      <c r="R5462" s="293"/>
      <c r="S5462" s="316"/>
      <c r="T5462" s="355"/>
    </row>
    <row r="5463" spans="14:20" x14ac:dyDescent="0.25">
      <c r="N5463" s="514"/>
      <c r="R5463" s="293"/>
      <c r="S5463" s="316"/>
      <c r="T5463" s="355"/>
    </row>
    <row r="5464" spans="14:20" x14ac:dyDescent="0.25">
      <c r="N5464" s="514"/>
      <c r="R5464" s="293"/>
      <c r="S5464" s="316"/>
      <c r="T5464" s="355"/>
    </row>
    <row r="5465" spans="14:20" x14ac:dyDescent="0.25">
      <c r="N5465" s="514"/>
      <c r="R5465" s="293"/>
      <c r="S5465" s="316"/>
      <c r="T5465" s="355"/>
    </row>
    <row r="5466" spans="14:20" x14ac:dyDescent="0.25">
      <c r="N5466" s="514"/>
      <c r="R5466" s="293"/>
      <c r="S5466" s="316"/>
      <c r="T5466" s="355"/>
    </row>
    <row r="5467" spans="14:20" x14ac:dyDescent="0.25">
      <c r="N5467" s="514"/>
      <c r="R5467" s="293"/>
      <c r="S5467" s="316"/>
      <c r="T5467" s="355"/>
    </row>
    <row r="5468" spans="14:20" x14ac:dyDescent="0.25">
      <c r="N5468" s="514"/>
      <c r="R5468" s="293"/>
      <c r="S5468" s="316"/>
      <c r="T5468" s="355"/>
    </row>
    <row r="5469" spans="14:20" x14ac:dyDescent="0.25">
      <c r="N5469" s="514"/>
      <c r="R5469" s="293"/>
      <c r="S5469" s="316"/>
      <c r="T5469" s="355"/>
    </row>
    <row r="5470" spans="14:20" x14ac:dyDescent="0.25">
      <c r="N5470" s="514"/>
      <c r="R5470" s="293"/>
      <c r="S5470" s="316"/>
      <c r="T5470" s="355"/>
    </row>
    <row r="5471" spans="14:20" x14ac:dyDescent="0.25">
      <c r="N5471" s="514"/>
      <c r="R5471" s="293"/>
      <c r="S5471" s="316"/>
      <c r="T5471" s="355"/>
    </row>
    <row r="5472" spans="14:20" x14ac:dyDescent="0.25">
      <c r="N5472" s="514"/>
      <c r="R5472" s="293"/>
      <c r="S5472" s="316"/>
      <c r="T5472" s="355"/>
    </row>
    <row r="5473" spans="14:20" x14ac:dyDescent="0.25">
      <c r="N5473" s="514"/>
      <c r="R5473" s="293"/>
      <c r="S5473" s="316"/>
      <c r="T5473" s="355"/>
    </row>
    <row r="5474" spans="14:20" x14ac:dyDescent="0.25">
      <c r="N5474" s="514"/>
      <c r="R5474" s="293"/>
      <c r="S5474" s="316"/>
      <c r="T5474" s="355"/>
    </row>
    <row r="5475" spans="14:20" x14ac:dyDescent="0.25">
      <c r="N5475" s="514"/>
      <c r="R5475" s="293"/>
      <c r="S5475" s="316"/>
      <c r="T5475" s="355"/>
    </row>
    <row r="5476" spans="14:20" x14ac:dyDescent="0.25">
      <c r="N5476" s="514"/>
      <c r="R5476" s="293"/>
      <c r="S5476" s="316"/>
      <c r="T5476" s="355"/>
    </row>
    <row r="5477" spans="14:20" x14ac:dyDescent="0.25">
      <c r="N5477" s="514"/>
      <c r="R5477" s="293"/>
      <c r="S5477" s="316"/>
      <c r="T5477" s="355"/>
    </row>
    <row r="5478" spans="14:20" x14ac:dyDescent="0.25">
      <c r="N5478" s="514"/>
      <c r="R5478" s="293"/>
      <c r="S5478" s="316"/>
      <c r="T5478" s="355"/>
    </row>
    <row r="5479" spans="14:20" x14ac:dyDescent="0.25">
      <c r="N5479" s="514"/>
      <c r="R5479" s="293"/>
      <c r="S5479" s="316"/>
      <c r="T5479" s="355"/>
    </row>
    <row r="5480" spans="14:20" x14ac:dyDescent="0.25">
      <c r="N5480" s="514"/>
      <c r="R5480" s="293"/>
      <c r="S5480" s="316"/>
      <c r="T5480" s="355"/>
    </row>
    <row r="5481" spans="14:20" x14ac:dyDescent="0.25">
      <c r="N5481" s="514"/>
      <c r="R5481" s="293"/>
      <c r="S5481" s="316"/>
      <c r="T5481" s="355"/>
    </row>
    <row r="5482" spans="14:20" x14ac:dyDescent="0.25">
      <c r="N5482" s="514"/>
      <c r="R5482" s="293"/>
      <c r="S5482" s="316"/>
      <c r="T5482" s="355"/>
    </row>
    <row r="5483" spans="14:20" x14ac:dyDescent="0.25">
      <c r="N5483" s="514"/>
      <c r="R5483" s="293"/>
      <c r="S5483" s="316"/>
      <c r="T5483" s="355"/>
    </row>
    <row r="5484" spans="14:20" x14ac:dyDescent="0.25">
      <c r="N5484" s="514"/>
      <c r="R5484" s="293"/>
      <c r="S5484" s="316"/>
      <c r="T5484" s="355"/>
    </row>
    <row r="5485" spans="14:20" x14ac:dyDescent="0.25">
      <c r="N5485" s="514"/>
      <c r="R5485" s="293"/>
      <c r="S5485" s="316"/>
      <c r="T5485" s="355"/>
    </row>
    <row r="5486" spans="14:20" x14ac:dyDescent="0.25">
      <c r="N5486" s="514"/>
      <c r="R5486" s="293"/>
      <c r="S5486" s="316"/>
      <c r="T5486" s="355"/>
    </row>
    <row r="5487" spans="14:20" x14ac:dyDescent="0.25">
      <c r="N5487" s="514"/>
      <c r="R5487" s="293"/>
      <c r="S5487" s="316"/>
      <c r="T5487" s="355"/>
    </row>
    <row r="5488" spans="14:20" x14ac:dyDescent="0.25">
      <c r="N5488" s="514"/>
      <c r="R5488" s="293"/>
      <c r="S5488" s="316"/>
      <c r="T5488" s="355"/>
    </row>
    <row r="5489" spans="14:20" x14ac:dyDescent="0.25">
      <c r="N5489" s="514"/>
      <c r="R5489" s="293"/>
      <c r="S5489" s="316"/>
      <c r="T5489" s="355"/>
    </row>
    <row r="5490" spans="14:20" x14ac:dyDescent="0.25">
      <c r="N5490" s="514"/>
      <c r="R5490" s="293"/>
      <c r="S5490" s="316"/>
      <c r="T5490" s="355"/>
    </row>
    <row r="5491" spans="14:20" x14ac:dyDescent="0.25">
      <c r="N5491" s="514"/>
      <c r="R5491" s="293"/>
      <c r="S5491" s="316"/>
      <c r="T5491" s="355"/>
    </row>
    <row r="5492" spans="14:20" x14ac:dyDescent="0.25">
      <c r="N5492" s="514"/>
      <c r="R5492" s="293"/>
      <c r="S5492" s="316"/>
      <c r="T5492" s="355"/>
    </row>
    <row r="5493" spans="14:20" x14ac:dyDescent="0.25">
      <c r="N5493" s="514"/>
      <c r="R5493" s="293"/>
      <c r="S5493" s="316"/>
      <c r="T5493" s="355"/>
    </row>
    <row r="5494" spans="14:20" x14ac:dyDescent="0.25">
      <c r="N5494" s="514"/>
      <c r="R5494" s="293"/>
      <c r="S5494" s="316"/>
      <c r="T5494" s="355"/>
    </row>
    <row r="5495" spans="14:20" x14ac:dyDescent="0.25">
      <c r="N5495" s="514"/>
      <c r="R5495" s="293"/>
      <c r="S5495" s="316"/>
      <c r="T5495" s="355"/>
    </row>
    <row r="5496" spans="14:20" x14ac:dyDescent="0.25">
      <c r="N5496" s="514"/>
      <c r="R5496" s="293"/>
      <c r="S5496" s="316"/>
      <c r="T5496" s="355"/>
    </row>
    <row r="5497" spans="14:20" x14ac:dyDescent="0.25">
      <c r="N5497" s="514"/>
      <c r="R5497" s="293"/>
      <c r="S5497" s="316"/>
      <c r="T5497" s="355"/>
    </row>
    <row r="5498" spans="14:20" x14ac:dyDescent="0.25">
      <c r="N5498" s="514"/>
      <c r="R5498" s="293"/>
      <c r="S5498" s="316"/>
      <c r="T5498" s="355"/>
    </row>
    <row r="5499" spans="14:20" x14ac:dyDescent="0.25">
      <c r="N5499" s="514"/>
      <c r="R5499" s="293"/>
      <c r="S5499" s="316"/>
      <c r="T5499" s="355"/>
    </row>
    <row r="5500" spans="14:20" x14ac:dyDescent="0.25">
      <c r="N5500" s="514"/>
      <c r="R5500" s="293"/>
      <c r="S5500" s="316"/>
      <c r="T5500" s="355"/>
    </row>
    <row r="5501" spans="14:20" x14ac:dyDescent="0.25">
      <c r="N5501" s="514"/>
      <c r="R5501" s="293"/>
      <c r="S5501" s="316"/>
      <c r="T5501" s="355"/>
    </row>
    <row r="5502" spans="14:20" x14ac:dyDescent="0.25">
      <c r="N5502" s="514"/>
      <c r="R5502" s="293"/>
      <c r="S5502" s="316"/>
      <c r="T5502" s="355"/>
    </row>
    <row r="5503" spans="14:20" x14ac:dyDescent="0.25">
      <c r="N5503" s="514"/>
      <c r="R5503" s="293"/>
      <c r="S5503" s="316"/>
      <c r="T5503" s="355"/>
    </row>
    <row r="5504" spans="14:20" x14ac:dyDescent="0.25">
      <c r="N5504" s="514"/>
      <c r="R5504" s="293"/>
      <c r="S5504" s="316"/>
      <c r="T5504" s="355"/>
    </row>
    <row r="5505" spans="14:20" x14ac:dyDescent="0.25">
      <c r="N5505" s="514"/>
      <c r="R5505" s="293"/>
      <c r="S5505" s="316"/>
      <c r="T5505" s="355"/>
    </row>
    <row r="5506" spans="14:20" x14ac:dyDescent="0.25">
      <c r="N5506" s="514"/>
      <c r="R5506" s="293"/>
      <c r="S5506" s="316"/>
      <c r="T5506" s="355"/>
    </row>
    <row r="5507" spans="14:20" x14ac:dyDescent="0.25">
      <c r="N5507" s="514"/>
      <c r="R5507" s="293"/>
      <c r="S5507" s="316"/>
      <c r="T5507" s="355"/>
    </row>
    <row r="5508" spans="14:20" x14ac:dyDescent="0.25">
      <c r="N5508" s="514"/>
      <c r="R5508" s="293"/>
      <c r="S5508" s="316"/>
      <c r="T5508" s="355"/>
    </row>
    <row r="5509" spans="14:20" x14ac:dyDescent="0.25">
      <c r="N5509" s="514"/>
      <c r="R5509" s="293"/>
      <c r="S5509" s="316"/>
      <c r="T5509" s="355"/>
    </row>
    <row r="5510" spans="14:20" x14ac:dyDescent="0.25">
      <c r="N5510" s="514"/>
      <c r="R5510" s="293"/>
      <c r="S5510" s="316"/>
      <c r="T5510" s="355"/>
    </row>
    <row r="5511" spans="14:20" x14ac:dyDescent="0.25">
      <c r="N5511" s="514"/>
      <c r="R5511" s="293"/>
      <c r="S5511" s="316"/>
      <c r="T5511" s="355"/>
    </row>
    <row r="5512" spans="14:20" x14ac:dyDescent="0.25">
      <c r="N5512" s="514"/>
      <c r="R5512" s="293"/>
      <c r="S5512" s="316"/>
      <c r="T5512" s="355"/>
    </row>
    <row r="5513" spans="14:20" x14ac:dyDescent="0.25">
      <c r="N5513" s="514"/>
      <c r="R5513" s="293"/>
      <c r="S5513" s="316"/>
      <c r="T5513" s="355"/>
    </row>
    <row r="5514" spans="14:20" x14ac:dyDescent="0.25">
      <c r="N5514" s="514"/>
      <c r="R5514" s="293"/>
      <c r="S5514" s="316"/>
      <c r="T5514" s="355"/>
    </row>
    <row r="5515" spans="14:20" x14ac:dyDescent="0.25">
      <c r="N5515" s="514"/>
      <c r="R5515" s="293"/>
      <c r="S5515" s="316"/>
      <c r="T5515" s="355"/>
    </row>
    <row r="5516" spans="14:20" x14ac:dyDescent="0.25">
      <c r="N5516" s="514"/>
      <c r="R5516" s="293"/>
      <c r="S5516" s="316"/>
      <c r="T5516" s="355"/>
    </row>
    <row r="5517" spans="14:20" x14ac:dyDescent="0.25">
      <c r="N5517" s="514"/>
      <c r="R5517" s="293"/>
      <c r="S5517" s="316"/>
      <c r="T5517" s="355"/>
    </row>
    <row r="5518" spans="14:20" x14ac:dyDescent="0.25">
      <c r="N5518" s="514"/>
      <c r="R5518" s="293"/>
      <c r="S5518" s="316"/>
      <c r="T5518" s="355"/>
    </row>
    <row r="5519" spans="14:20" x14ac:dyDescent="0.25">
      <c r="N5519" s="514"/>
      <c r="R5519" s="293"/>
      <c r="S5519" s="316"/>
      <c r="T5519" s="355"/>
    </row>
    <row r="5520" spans="14:20" x14ac:dyDescent="0.25">
      <c r="N5520" s="514"/>
      <c r="R5520" s="293"/>
      <c r="S5520" s="316"/>
      <c r="T5520" s="355"/>
    </row>
    <row r="5521" spans="14:20" x14ac:dyDescent="0.25">
      <c r="N5521" s="514"/>
      <c r="R5521" s="293"/>
      <c r="S5521" s="316"/>
      <c r="T5521" s="355"/>
    </row>
    <row r="5522" spans="14:20" x14ac:dyDescent="0.25">
      <c r="N5522" s="514"/>
      <c r="R5522" s="293"/>
      <c r="S5522" s="316"/>
      <c r="T5522" s="355"/>
    </row>
    <row r="5523" spans="14:20" x14ac:dyDescent="0.25">
      <c r="N5523" s="514"/>
      <c r="R5523" s="293"/>
      <c r="S5523" s="316"/>
      <c r="T5523" s="355"/>
    </row>
    <row r="5524" spans="14:20" x14ac:dyDescent="0.25">
      <c r="N5524" s="514"/>
      <c r="R5524" s="293"/>
      <c r="S5524" s="316"/>
      <c r="T5524" s="355"/>
    </row>
    <row r="5525" spans="14:20" x14ac:dyDescent="0.25">
      <c r="N5525" s="514"/>
      <c r="R5525" s="293"/>
      <c r="S5525" s="316"/>
      <c r="T5525" s="355"/>
    </row>
    <row r="5526" spans="14:20" x14ac:dyDescent="0.25">
      <c r="N5526" s="514"/>
      <c r="R5526" s="293"/>
      <c r="S5526" s="316"/>
      <c r="T5526" s="355"/>
    </row>
    <row r="5527" spans="14:20" x14ac:dyDescent="0.25">
      <c r="N5527" s="514"/>
      <c r="R5527" s="293"/>
      <c r="S5527" s="316"/>
      <c r="T5527" s="355"/>
    </row>
    <row r="5528" spans="14:20" x14ac:dyDescent="0.25">
      <c r="N5528" s="514"/>
      <c r="R5528" s="293"/>
      <c r="S5528" s="316"/>
      <c r="T5528" s="355"/>
    </row>
    <row r="5529" spans="14:20" x14ac:dyDescent="0.25">
      <c r="N5529" s="514"/>
      <c r="R5529" s="293"/>
      <c r="S5529" s="316"/>
      <c r="T5529" s="355"/>
    </row>
    <row r="5530" spans="14:20" x14ac:dyDescent="0.25">
      <c r="N5530" s="514"/>
      <c r="R5530" s="293"/>
      <c r="S5530" s="316"/>
      <c r="T5530" s="355"/>
    </row>
    <row r="5531" spans="14:20" x14ac:dyDescent="0.25">
      <c r="N5531" s="514"/>
      <c r="R5531" s="293"/>
      <c r="S5531" s="316"/>
      <c r="T5531" s="355"/>
    </row>
    <row r="5532" spans="14:20" x14ac:dyDescent="0.25">
      <c r="N5532" s="514"/>
      <c r="R5532" s="293"/>
      <c r="S5532" s="316"/>
      <c r="T5532" s="355"/>
    </row>
    <row r="5533" spans="14:20" x14ac:dyDescent="0.25">
      <c r="N5533" s="514"/>
      <c r="R5533" s="293"/>
      <c r="S5533" s="316"/>
      <c r="T5533" s="355"/>
    </row>
    <row r="5534" spans="14:20" x14ac:dyDescent="0.25">
      <c r="N5534" s="514"/>
      <c r="R5534" s="293"/>
      <c r="S5534" s="316"/>
      <c r="T5534" s="355"/>
    </row>
    <row r="5535" spans="14:20" x14ac:dyDescent="0.25">
      <c r="N5535" s="514"/>
      <c r="R5535" s="293"/>
      <c r="S5535" s="316"/>
      <c r="T5535" s="355"/>
    </row>
    <row r="5536" spans="14:20" x14ac:dyDescent="0.25">
      <c r="N5536" s="514"/>
      <c r="R5536" s="293"/>
      <c r="S5536" s="316"/>
      <c r="T5536" s="355"/>
    </row>
    <row r="5537" spans="14:20" x14ac:dyDescent="0.25">
      <c r="N5537" s="514"/>
      <c r="R5537" s="293"/>
      <c r="S5537" s="316"/>
      <c r="T5537" s="355"/>
    </row>
    <row r="5538" spans="14:20" x14ac:dyDescent="0.25">
      <c r="N5538" s="514"/>
      <c r="R5538" s="293"/>
      <c r="S5538" s="316"/>
      <c r="T5538" s="355"/>
    </row>
    <row r="5539" spans="14:20" x14ac:dyDescent="0.25">
      <c r="N5539" s="514"/>
      <c r="R5539" s="293"/>
      <c r="S5539" s="316"/>
      <c r="T5539" s="355"/>
    </row>
    <row r="5540" spans="14:20" x14ac:dyDescent="0.25">
      <c r="N5540" s="514"/>
      <c r="R5540" s="293"/>
      <c r="S5540" s="316"/>
      <c r="T5540" s="355"/>
    </row>
    <row r="5541" spans="14:20" x14ac:dyDescent="0.25">
      <c r="N5541" s="514"/>
      <c r="R5541" s="293"/>
      <c r="S5541" s="316"/>
      <c r="T5541" s="355"/>
    </row>
    <row r="5542" spans="14:20" x14ac:dyDescent="0.25">
      <c r="N5542" s="514"/>
      <c r="R5542" s="293"/>
      <c r="S5542" s="316"/>
      <c r="T5542" s="355"/>
    </row>
    <row r="5543" spans="14:20" x14ac:dyDescent="0.25">
      <c r="N5543" s="514"/>
      <c r="R5543" s="293"/>
      <c r="S5543" s="316"/>
      <c r="T5543" s="355"/>
    </row>
    <row r="5544" spans="14:20" x14ac:dyDescent="0.25">
      <c r="N5544" s="514"/>
      <c r="R5544" s="293"/>
      <c r="S5544" s="316"/>
      <c r="T5544" s="355"/>
    </row>
    <row r="5545" spans="14:20" x14ac:dyDescent="0.25">
      <c r="N5545" s="514"/>
      <c r="R5545" s="293"/>
      <c r="S5545" s="316"/>
      <c r="T5545" s="355"/>
    </row>
    <row r="5546" spans="14:20" x14ac:dyDescent="0.25">
      <c r="N5546" s="514"/>
      <c r="R5546" s="293"/>
      <c r="S5546" s="316"/>
      <c r="T5546" s="355"/>
    </row>
    <row r="5547" spans="14:20" x14ac:dyDescent="0.25">
      <c r="N5547" s="514"/>
      <c r="R5547" s="293"/>
      <c r="S5547" s="316"/>
      <c r="T5547" s="355"/>
    </row>
    <row r="5548" spans="14:20" x14ac:dyDescent="0.25">
      <c r="N5548" s="514"/>
      <c r="R5548" s="293"/>
      <c r="S5548" s="316"/>
      <c r="T5548" s="355"/>
    </row>
    <row r="5549" spans="14:20" x14ac:dyDescent="0.25">
      <c r="N5549" s="514"/>
      <c r="R5549" s="293"/>
      <c r="S5549" s="316"/>
      <c r="T5549" s="355"/>
    </row>
    <row r="5550" spans="14:20" x14ac:dyDescent="0.25">
      <c r="N5550" s="514"/>
      <c r="R5550" s="293"/>
      <c r="S5550" s="316"/>
      <c r="T5550" s="355"/>
    </row>
    <row r="5551" spans="14:20" x14ac:dyDescent="0.25">
      <c r="N5551" s="514"/>
      <c r="R5551" s="293"/>
      <c r="S5551" s="316"/>
      <c r="T5551" s="355"/>
    </row>
    <row r="5552" spans="14:20" x14ac:dyDescent="0.25">
      <c r="N5552" s="514"/>
      <c r="R5552" s="293"/>
      <c r="S5552" s="316"/>
      <c r="T5552" s="355"/>
    </row>
    <row r="5553" spans="14:20" x14ac:dyDescent="0.25">
      <c r="N5553" s="514"/>
      <c r="R5553" s="293"/>
      <c r="S5553" s="316"/>
      <c r="T5553" s="355"/>
    </row>
    <row r="5554" spans="14:20" x14ac:dyDescent="0.25">
      <c r="N5554" s="514"/>
      <c r="R5554" s="293"/>
      <c r="S5554" s="316"/>
      <c r="T5554" s="355"/>
    </row>
    <row r="5555" spans="14:20" x14ac:dyDescent="0.25">
      <c r="N5555" s="514"/>
      <c r="R5555" s="293"/>
      <c r="S5555" s="316"/>
      <c r="T5555" s="355"/>
    </row>
    <row r="5556" spans="14:20" x14ac:dyDescent="0.25">
      <c r="N5556" s="514"/>
      <c r="R5556" s="293"/>
      <c r="S5556" s="316"/>
      <c r="T5556" s="355"/>
    </row>
    <row r="5557" spans="14:20" x14ac:dyDescent="0.25">
      <c r="N5557" s="514"/>
      <c r="R5557" s="293"/>
      <c r="S5557" s="316"/>
      <c r="T5557" s="355"/>
    </row>
    <row r="5558" spans="14:20" x14ac:dyDescent="0.25">
      <c r="N5558" s="514"/>
      <c r="R5558" s="293"/>
      <c r="S5558" s="316"/>
      <c r="T5558" s="355"/>
    </row>
    <row r="5559" spans="14:20" x14ac:dyDescent="0.25">
      <c r="N5559" s="514"/>
      <c r="R5559" s="293"/>
      <c r="S5559" s="316"/>
      <c r="T5559" s="355"/>
    </row>
    <row r="5560" spans="14:20" x14ac:dyDescent="0.25">
      <c r="N5560" s="514"/>
      <c r="R5560" s="293"/>
      <c r="S5560" s="316"/>
      <c r="T5560" s="355"/>
    </row>
    <row r="5561" spans="14:20" x14ac:dyDescent="0.25">
      <c r="N5561" s="514"/>
      <c r="R5561" s="293"/>
      <c r="S5561" s="316"/>
      <c r="T5561" s="355"/>
    </row>
    <row r="5562" spans="14:20" x14ac:dyDescent="0.25">
      <c r="N5562" s="514"/>
      <c r="R5562" s="293"/>
      <c r="S5562" s="316"/>
      <c r="T5562" s="355"/>
    </row>
    <row r="5563" spans="14:20" x14ac:dyDescent="0.25">
      <c r="N5563" s="514"/>
      <c r="R5563" s="293"/>
      <c r="S5563" s="316"/>
      <c r="T5563" s="355"/>
    </row>
    <row r="5564" spans="14:20" x14ac:dyDescent="0.25">
      <c r="N5564" s="514"/>
      <c r="R5564" s="293"/>
      <c r="S5564" s="316"/>
      <c r="T5564" s="355"/>
    </row>
    <row r="5565" spans="14:20" x14ac:dyDescent="0.25">
      <c r="N5565" s="514"/>
      <c r="R5565" s="293"/>
      <c r="S5565" s="316"/>
      <c r="T5565" s="355"/>
    </row>
    <row r="5566" spans="14:20" x14ac:dyDescent="0.25">
      <c r="N5566" s="514"/>
      <c r="R5566" s="293"/>
      <c r="S5566" s="316"/>
      <c r="T5566" s="355"/>
    </row>
    <row r="5567" spans="14:20" x14ac:dyDescent="0.25">
      <c r="N5567" s="514"/>
      <c r="R5567" s="293"/>
      <c r="S5567" s="316"/>
      <c r="T5567" s="355"/>
    </row>
    <row r="5568" spans="14:20" x14ac:dyDescent="0.25">
      <c r="N5568" s="514"/>
      <c r="R5568" s="293"/>
      <c r="S5568" s="316"/>
      <c r="T5568" s="355"/>
    </row>
    <row r="5569" spans="14:20" x14ac:dyDescent="0.25">
      <c r="N5569" s="514"/>
      <c r="R5569" s="293"/>
      <c r="S5569" s="316"/>
      <c r="T5569" s="355"/>
    </row>
    <row r="5570" spans="14:20" x14ac:dyDescent="0.25">
      <c r="N5570" s="514"/>
      <c r="R5570" s="293"/>
      <c r="S5570" s="316"/>
      <c r="T5570" s="355"/>
    </row>
    <row r="5571" spans="14:20" x14ac:dyDescent="0.25">
      <c r="N5571" s="514"/>
      <c r="R5571" s="293"/>
      <c r="S5571" s="316"/>
      <c r="T5571" s="355"/>
    </row>
    <row r="5572" spans="14:20" x14ac:dyDescent="0.25">
      <c r="N5572" s="514"/>
      <c r="R5572" s="293"/>
      <c r="S5572" s="316"/>
      <c r="T5572" s="355"/>
    </row>
    <row r="5573" spans="14:20" x14ac:dyDescent="0.25">
      <c r="N5573" s="514"/>
      <c r="R5573" s="293"/>
      <c r="S5573" s="316"/>
      <c r="T5573" s="355"/>
    </row>
    <row r="5574" spans="14:20" x14ac:dyDescent="0.25">
      <c r="N5574" s="514"/>
      <c r="R5574" s="293"/>
      <c r="S5574" s="316"/>
      <c r="T5574" s="355"/>
    </row>
    <row r="5575" spans="14:20" x14ac:dyDescent="0.25">
      <c r="N5575" s="514"/>
      <c r="R5575" s="293"/>
      <c r="S5575" s="316"/>
      <c r="T5575" s="355"/>
    </row>
    <row r="5576" spans="14:20" x14ac:dyDescent="0.25">
      <c r="N5576" s="514"/>
      <c r="R5576" s="293"/>
      <c r="S5576" s="316"/>
      <c r="T5576" s="355"/>
    </row>
    <row r="5577" spans="14:20" x14ac:dyDescent="0.25">
      <c r="N5577" s="514"/>
      <c r="R5577" s="293"/>
      <c r="S5577" s="316"/>
      <c r="T5577" s="355"/>
    </row>
    <row r="5578" spans="14:20" x14ac:dyDescent="0.25">
      <c r="N5578" s="514"/>
      <c r="R5578" s="293"/>
      <c r="S5578" s="316"/>
      <c r="T5578" s="355"/>
    </row>
    <row r="5579" spans="14:20" x14ac:dyDescent="0.25">
      <c r="N5579" s="514"/>
      <c r="R5579" s="293"/>
      <c r="S5579" s="316"/>
      <c r="T5579" s="355"/>
    </row>
    <row r="5580" spans="14:20" x14ac:dyDescent="0.25">
      <c r="N5580" s="514"/>
      <c r="R5580" s="293"/>
      <c r="S5580" s="316"/>
      <c r="T5580" s="355"/>
    </row>
    <row r="5581" spans="14:20" x14ac:dyDescent="0.25">
      <c r="N5581" s="514"/>
      <c r="R5581" s="293"/>
      <c r="S5581" s="316"/>
      <c r="T5581" s="355"/>
    </row>
    <row r="5582" spans="14:20" x14ac:dyDescent="0.25">
      <c r="N5582" s="514"/>
      <c r="R5582" s="293"/>
      <c r="S5582" s="316"/>
      <c r="T5582" s="355"/>
    </row>
    <row r="5583" spans="14:20" x14ac:dyDescent="0.25">
      <c r="N5583" s="514"/>
      <c r="R5583" s="293"/>
      <c r="S5583" s="316"/>
      <c r="T5583" s="355"/>
    </row>
    <row r="5584" spans="14:20" x14ac:dyDescent="0.25">
      <c r="N5584" s="514"/>
      <c r="R5584" s="293"/>
      <c r="S5584" s="316"/>
      <c r="T5584" s="355"/>
    </row>
    <row r="5585" spans="14:20" x14ac:dyDescent="0.25">
      <c r="N5585" s="514"/>
      <c r="R5585" s="293"/>
      <c r="S5585" s="316"/>
      <c r="T5585" s="355"/>
    </row>
    <row r="5586" spans="14:20" x14ac:dyDescent="0.25">
      <c r="N5586" s="514"/>
      <c r="R5586" s="293"/>
      <c r="S5586" s="316"/>
      <c r="T5586" s="355"/>
    </row>
    <row r="5587" spans="14:20" x14ac:dyDescent="0.25">
      <c r="N5587" s="514"/>
      <c r="R5587" s="293"/>
      <c r="S5587" s="316"/>
      <c r="T5587" s="355"/>
    </row>
    <row r="5588" spans="14:20" x14ac:dyDescent="0.25">
      <c r="N5588" s="514"/>
      <c r="R5588" s="293"/>
      <c r="S5588" s="316"/>
      <c r="T5588" s="355"/>
    </row>
    <row r="5589" spans="14:20" x14ac:dyDescent="0.25">
      <c r="N5589" s="514"/>
      <c r="R5589" s="293"/>
      <c r="S5589" s="316"/>
      <c r="T5589" s="355"/>
    </row>
    <row r="5590" spans="14:20" x14ac:dyDescent="0.25">
      <c r="N5590" s="514"/>
      <c r="R5590" s="293"/>
      <c r="S5590" s="316"/>
      <c r="T5590" s="355"/>
    </row>
    <row r="5591" spans="14:20" x14ac:dyDescent="0.25">
      <c r="N5591" s="514"/>
      <c r="R5591" s="293"/>
      <c r="S5591" s="316"/>
      <c r="T5591" s="355"/>
    </row>
    <row r="5592" spans="14:20" x14ac:dyDescent="0.25">
      <c r="N5592" s="514"/>
      <c r="R5592" s="293"/>
      <c r="S5592" s="316"/>
      <c r="T5592" s="355"/>
    </row>
    <row r="5593" spans="14:20" x14ac:dyDescent="0.25">
      <c r="N5593" s="514"/>
      <c r="R5593" s="293"/>
      <c r="S5593" s="316"/>
      <c r="T5593" s="355"/>
    </row>
    <row r="5594" spans="14:20" x14ac:dyDescent="0.25">
      <c r="N5594" s="514"/>
      <c r="R5594" s="293"/>
      <c r="S5594" s="316"/>
      <c r="T5594" s="355"/>
    </row>
    <row r="5595" spans="14:20" x14ac:dyDescent="0.25">
      <c r="N5595" s="514"/>
      <c r="R5595" s="293"/>
      <c r="S5595" s="316"/>
      <c r="T5595" s="355"/>
    </row>
    <row r="5596" spans="14:20" x14ac:dyDescent="0.25">
      <c r="N5596" s="514"/>
      <c r="R5596" s="293"/>
      <c r="S5596" s="316"/>
      <c r="T5596" s="355"/>
    </row>
    <row r="5597" spans="14:20" x14ac:dyDescent="0.25">
      <c r="N5597" s="514"/>
      <c r="R5597" s="293"/>
      <c r="S5597" s="316"/>
      <c r="T5597" s="355"/>
    </row>
    <row r="5598" spans="14:20" x14ac:dyDescent="0.25">
      <c r="N5598" s="514"/>
      <c r="R5598" s="293"/>
      <c r="S5598" s="316"/>
      <c r="T5598" s="355"/>
    </row>
    <row r="5599" spans="14:20" x14ac:dyDescent="0.25">
      <c r="N5599" s="514"/>
      <c r="R5599" s="293"/>
      <c r="S5599" s="316"/>
      <c r="T5599" s="355"/>
    </row>
    <row r="5600" spans="14:20" x14ac:dyDescent="0.25">
      <c r="N5600" s="514"/>
      <c r="R5600" s="293"/>
      <c r="S5600" s="316"/>
      <c r="T5600" s="355"/>
    </row>
    <row r="5601" spans="14:20" x14ac:dyDescent="0.25">
      <c r="N5601" s="514"/>
      <c r="R5601" s="293"/>
      <c r="S5601" s="316"/>
      <c r="T5601" s="355"/>
    </row>
    <row r="5602" spans="14:20" x14ac:dyDescent="0.25">
      <c r="N5602" s="514"/>
      <c r="R5602" s="293"/>
      <c r="S5602" s="316"/>
      <c r="T5602" s="355"/>
    </row>
    <row r="5603" spans="14:20" x14ac:dyDescent="0.25">
      <c r="N5603" s="514"/>
      <c r="R5603" s="293"/>
      <c r="S5603" s="316"/>
      <c r="T5603" s="355"/>
    </row>
    <row r="5604" spans="14:20" x14ac:dyDescent="0.25">
      <c r="N5604" s="514"/>
      <c r="R5604" s="293"/>
      <c r="S5604" s="316"/>
      <c r="T5604" s="355"/>
    </row>
    <row r="5605" spans="14:20" x14ac:dyDescent="0.25">
      <c r="N5605" s="514"/>
      <c r="R5605" s="293"/>
      <c r="S5605" s="316"/>
      <c r="T5605" s="355"/>
    </row>
    <row r="5606" spans="14:20" x14ac:dyDescent="0.25">
      <c r="N5606" s="514"/>
      <c r="R5606" s="293"/>
      <c r="S5606" s="316"/>
      <c r="T5606" s="355"/>
    </row>
    <row r="5607" spans="14:20" x14ac:dyDescent="0.25">
      <c r="N5607" s="514"/>
      <c r="R5607" s="293"/>
      <c r="S5607" s="316"/>
      <c r="T5607" s="355"/>
    </row>
    <row r="5608" spans="14:20" x14ac:dyDescent="0.25">
      <c r="N5608" s="514"/>
      <c r="R5608" s="293"/>
      <c r="S5608" s="316"/>
      <c r="T5608" s="355"/>
    </row>
    <row r="5609" spans="14:20" x14ac:dyDescent="0.25">
      <c r="N5609" s="514"/>
      <c r="R5609" s="293"/>
      <c r="S5609" s="316"/>
      <c r="T5609" s="355"/>
    </row>
    <row r="5610" spans="14:20" x14ac:dyDescent="0.25">
      <c r="N5610" s="514"/>
      <c r="R5610" s="293"/>
      <c r="S5610" s="316"/>
      <c r="T5610" s="355"/>
    </row>
    <row r="5611" spans="14:20" x14ac:dyDescent="0.25">
      <c r="N5611" s="514"/>
      <c r="R5611" s="293"/>
      <c r="S5611" s="316"/>
      <c r="T5611" s="355"/>
    </row>
    <row r="5612" spans="14:20" x14ac:dyDescent="0.25">
      <c r="N5612" s="514"/>
      <c r="R5612" s="293"/>
      <c r="S5612" s="316"/>
      <c r="T5612" s="355"/>
    </row>
    <row r="5613" spans="14:20" x14ac:dyDescent="0.25">
      <c r="N5613" s="514"/>
      <c r="R5613" s="293"/>
      <c r="S5613" s="316"/>
      <c r="T5613" s="355"/>
    </row>
    <row r="5614" spans="14:20" x14ac:dyDescent="0.25">
      <c r="N5614" s="514"/>
      <c r="R5614" s="293"/>
      <c r="S5614" s="316"/>
      <c r="T5614" s="355"/>
    </row>
    <row r="5615" spans="14:20" x14ac:dyDescent="0.25">
      <c r="N5615" s="514"/>
      <c r="R5615" s="293"/>
      <c r="S5615" s="316"/>
      <c r="T5615" s="355"/>
    </row>
    <row r="5616" spans="14:20" x14ac:dyDescent="0.25">
      <c r="N5616" s="514"/>
      <c r="R5616" s="293"/>
      <c r="S5616" s="316"/>
      <c r="T5616" s="355"/>
    </row>
    <row r="5617" spans="14:20" x14ac:dyDescent="0.25">
      <c r="N5617" s="514"/>
      <c r="R5617" s="293"/>
      <c r="S5617" s="316"/>
      <c r="T5617" s="355"/>
    </row>
    <row r="5618" spans="14:20" x14ac:dyDescent="0.25">
      <c r="N5618" s="514"/>
      <c r="R5618" s="293"/>
      <c r="S5618" s="316"/>
      <c r="T5618" s="355"/>
    </row>
    <row r="5619" spans="14:20" x14ac:dyDescent="0.25">
      <c r="N5619" s="514"/>
      <c r="R5619" s="293"/>
      <c r="S5619" s="316"/>
      <c r="T5619" s="355"/>
    </row>
    <row r="5620" spans="14:20" x14ac:dyDescent="0.25">
      <c r="N5620" s="514"/>
      <c r="R5620" s="293"/>
      <c r="S5620" s="316"/>
      <c r="T5620" s="355"/>
    </row>
    <row r="5621" spans="14:20" x14ac:dyDescent="0.25">
      <c r="N5621" s="514"/>
      <c r="R5621" s="293"/>
      <c r="S5621" s="316"/>
      <c r="T5621" s="355"/>
    </row>
    <row r="5622" spans="14:20" x14ac:dyDescent="0.25">
      <c r="N5622" s="514"/>
      <c r="R5622" s="293"/>
      <c r="S5622" s="316"/>
      <c r="T5622" s="355"/>
    </row>
    <row r="5623" spans="14:20" x14ac:dyDescent="0.25">
      <c r="N5623" s="514"/>
      <c r="R5623" s="293"/>
      <c r="S5623" s="316"/>
      <c r="T5623" s="355"/>
    </row>
    <row r="5624" spans="14:20" x14ac:dyDescent="0.25">
      <c r="N5624" s="514"/>
      <c r="R5624" s="293"/>
      <c r="S5624" s="316"/>
      <c r="T5624" s="355"/>
    </row>
    <row r="5625" spans="14:20" x14ac:dyDescent="0.25">
      <c r="N5625" s="514"/>
      <c r="R5625" s="293"/>
      <c r="S5625" s="316"/>
      <c r="T5625" s="355"/>
    </row>
    <row r="5626" spans="14:20" x14ac:dyDescent="0.25">
      <c r="N5626" s="514"/>
      <c r="R5626" s="293"/>
      <c r="S5626" s="316"/>
      <c r="T5626" s="355"/>
    </row>
    <row r="5627" spans="14:20" x14ac:dyDescent="0.25">
      <c r="N5627" s="514"/>
      <c r="R5627" s="293"/>
      <c r="S5627" s="316"/>
      <c r="T5627" s="355"/>
    </row>
    <row r="5628" spans="14:20" x14ac:dyDescent="0.25">
      <c r="N5628" s="514"/>
      <c r="R5628" s="293"/>
      <c r="S5628" s="316"/>
      <c r="T5628" s="355"/>
    </row>
    <row r="5629" spans="14:20" x14ac:dyDescent="0.25">
      <c r="N5629" s="514"/>
      <c r="R5629" s="293"/>
      <c r="S5629" s="316"/>
      <c r="T5629" s="355"/>
    </row>
    <row r="5630" spans="14:20" x14ac:dyDescent="0.25">
      <c r="N5630" s="514"/>
      <c r="R5630" s="293"/>
      <c r="S5630" s="316"/>
      <c r="T5630" s="355"/>
    </row>
    <row r="5631" spans="14:20" x14ac:dyDescent="0.25">
      <c r="N5631" s="514"/>
      <c r="R5631" s="293"/>
      <c r="S5631" s="316"/>
      <c r="T5631" s="355"/>
    </row>
    <row r="5632" spans="14:20" x14ac:dyDescent="0.25">
      <c r="N5632" s="514"/>
      <c r="R5632" s="293"/>
      <c r="S5632" s="316"/>
      <c r="T5632" s="355"/>
    </row>
    <row r="5633" spans="14:20" x14ac:dyDescent="0.25">
      <c r="N5633" s="514"/>
      <c r="R5633" s="293"/>
      <c r="S5633" s="316"/>
      <c r="T5633" s="355"/>
    </row>
    <row r="5634" spans="14:20" x14ac:dyDescent="0.25">
      <c r="N5634" s="514"/>
      <c r="R5634" s="293"/>
      <c r="S5634" s="316"/>
      <c r="T5634" s="355"/>
    </row>
    <row r="5635" spans="14:20" x14ac:dyDescent="0.25">
      <c r="N5635" s="514"/>
      <c r="R5635" s="293"/>
      <c r="S5635" s="316"/>
      <c r="T5635" s="355"/>
    </row>
    <row r="5636" spans="14:20" x14ac:dyDescent="0.25">
      <c r="N5636" s="514"/>
      <c r="R5636" s="293"/>
      <c r="S5636" s="316"/>
      <c r="T5636" s="355"/>
    </row>
    <row r="5637" spans="14:20" x14ac:dyDescent="0.25">
      <c r="N5637" s="514"/>
      <c r="R5637" s="293"/>
      <c r="S5637" s="316"/>
      <c r="T5637" s="355"/>
    </row>
    <row r="5638" spans="14:20" x14ac:dyDescent="0.25">
      <c r="N5638" s="514"/>
      <c r="R5638" s="293"/>
      <c r="S5638" s="316"/>
      <c r="T5638" s="355"/>
    </row>
    <row r="5639" spans="14:20" x14ac:dyDescent="0.25">
      <c r="N5639" s="514"/>
      <c r="R5639" s="293"/>
      <c r="S5639" s="316"/>
      <c r="T5639" s="355"/>
    </row>
    <row r="5640" spans="14:20" x14ac:dyDescent="0.25">
      <c r="N5640" s="514"/>
      <c r="R5640" s="293"/>
      <c r="S5640" s="316"/>
      <c r="T5640" s="355"/>
    </row>
    <row r="5641" spans="14:20" x14ac:dyDescent="0.25">
      <c r="N5641" s="514"/>
      <c r="R5641" s="293"/>
      <c r="S5641" s="316"/>
      <c r="T5641" s="355"/>
    </row>
    <row r="5642" spans="14:20" x14ac:dyDescent="0.25">
      <c r="N5642" s="514"/>
      <c r="R5642" s="293"/>
      <c r="S5642" s="316"/>
      <c r="T5642" s="355"/>
    </row>
    <row r="5643" spans="14:20" x14ac:dyDescent="0.25">
      <c r="N5643" s="514"/>
      <c r="R5643" s="293"/>
      <c r="S5643" s="316"/>
      <c r="T5643" s="355"/>
    </row>
    <row r="5644" spans="14:20" x14ac:dyDescent="0.25">
      <c r="N5644" s="514"/>
      <c r="R5644" s="293"/>
      <c r="S5644" s="316"/>
      <c r="T5644" s="355"/>
    </row>
    <row r="5645" spans="14:20" x14ac:dyDescent="0.25">
      <c r="N5645" s="514"/>
      <c r="R5645" s="293"/>
      <c r="S5645" s="316"/>
      <c r="T5645" s="355"/>
    </row>
    <row r="5646" spans="14:20" x14ac:dyDescent="0.25">
      <c r="N5646" s="514"/>
      <c r="R5646" s="293"/>
      <c r="S5646" s="316"/>
      <c r="T5646" s="355"/>
    </row>
    <row r="5647" spans="14:20" x14ac:dyDescent="0.25">
      <c r="N5647" s="514"/>
      <c r="R5647" s="293"/>
      <c r="S5647" s="316"/>
      <c r="T5647" s="355"/>
    </row>
    <row r="5648" spans="14:20" x14ac:dyDescent="0.25">
      <c r="N5648" s="514"/>
      <c r="R5648" s="293"/>
      <c r="S5648" s="316"/>
      <c r="T5648" s="355"/>
    </row>
    <row r="5649" spans="14:20" x14ac:dyDescent="0.25">
      <c r="N5649" s="514"/>
      <c r="R5649" s="293"/>
      <c r="S5649" s="316"/>
      <c r="T5649" s="355"/>
    </row>
    <row r="5650" spans="14:20" x14ac:dyDescent="0.25">
      <c r="N5650" s="514"/>
      <c r="R5650" s="293"/>
      <c r="S5650" s="316"/>
      <c r="T5650" s="355"/>
    </row>
    <row r="5651" spans="14:20" x14ac:dyDescent="0.25">
      <c r="N5651" s="514"/>
      <c r="R5651" s="293"/>
      <c r="S5651" s="316"/>
      <c r="T5651" s="355"/>
    </row>
    <row r="5652" spans="14:20" x14ac:dyDescent="0.25">
      <c r="N5652" s="514"/>
      <c r="R5652" s="293"/>
      <c r="S5652" s="316"/>
      <c r="T5652" s="355"/>
    </row>
    <row r="5653" spans="14:20" x14ac:dyDescent="0.25">
      <c r="N5653" s="514"/>
      <c r="R5653" s="293"/>
      <c r="S5653" s="316"/>
      <c r="T5653" s="355"/>
    </row>
    <row r="5654" spans="14:20" x14ac:dyDescent="0.25">
      <c r="N5654" s="514"/>
      <c r="R5654" s="293"/>
      <c r="S5654" s="316"/>
      <c r="T5654" s="355"/>
    </row>
    <row r="5655" spans="14:20" x14ac:dyDescent="0.25">
      <c r="N5655" s="514"/>
      <c r="R5655" s="293"/>
      <c r="S5655" s="316"/>
      <c r="T5655" s="355"/>
    </row>
    <row r="5656" spans="14:20" x14ac:dyDescent="0.25">
      <c r="N5656" s="514"/>
      <c r="R5656" s="293"/>
      <c r="S5656" s="316"/>
      <c r="T5656" s="355"/>
    </row>
    <row r="5657" spans="14:20" x14ac:dyDescent="0.25">
      <c r="N5657" s="514"/>
      <c r="R5657" s="293"/>
      <c r="S5657" s="316"/>
      <c r="T5657" s="355"/>
    </row>
    <row r="5658" spans="14:20" x14ac:dyDescent="0.25">
      <c r="N5658" s="514"/>
      <c r="R5658" s="293"/>
      <c r="S5658" s="316"/>
      <c r="T5658" s="355"/>
    </row>
    <row r="5659" spans="14:20" x14ac:dyDescent="0.25">
      <c r="N5659" s="514"/>
      <c r="R5659" s="293"/>
      <c r="S5659" s="316"/>
      <c r="T5659" s="355"/>
    </row>
    <row r="5660" spans="14:20" x14ac:dyDescent="0.25">
      <c r="N5660" s="514"/>
      <c r="R5660" s="293"/>
      <c r="S5660" s="316"/>
      <c r="T5660" s="355"/>
    </row>
    <row r="5661" spans="14:20" x14ac:dyDescent="0.25">
      <c r="N5661" s="514"/>
      <c r="R5661" s="293"/>
      <c r="S5661" s="316"/>
      <c r="T5661" s="355"/>
    </row>
    <row r="5662" spans="14:20" x14ac:dyDescent="0.25">
      <c r="N5662" s="514"/>
      <c r="R5662" s="293"/>
      <c r="S5662" s="316"/>
      <c r="T5662" s="355"/>
    </row>
    <row r="5663" spans="14:20" x14ac:dyDescent="0.25">
      <c r="N5663" s="514"/>
      <c r="R5663" s="293"/>
      <c r="S5663" s="316"/>
      <c r="T5663" s="355"/>
    </row>
    <row r="5664" spans="14:20" x14ac:dyDescent="0.25">
      <c r="N5664" s="514"/>
      <c r="R5664" s="293"/>
      <c r="S5664" s="316"/>
      <c r="T5664" s="355"/>
    </row>
    <row r="5665" spans="14:20" x14ac:dyDescent="0.25">
      <c r="N5665" s="514"/>
      <c r="R5665" s="293"/>
      <c r="S5665" s="316"/>
      <c r="T5665" s="355"/>
    </row>
    <row r="5666" spans="14:20" x14ac:dyDescent="0.25">
      <c r="N5666" s="514"/>
      <c r="R5666" s="293"/>
      <c r="S5666" s="316"/>
      <c r="T5666" s="355"/>
    </row>
    <row r="5667" spans="14:20" x14ac:dyDescent="0.25">
      <c r="N5667" s="514"/>
      <c r="R5667" s="293"/>
      <c r="S5667" s="316"/>
      <c r="T5667" s="355"/>
    </row>
    <row r="5668" spans="14:20" x14ac:dyDescent="0.25">
      <c r="N5668" s="514"/>
      <c r="R5668" s="293"/>
      <c r="S5668" s="316"/>
      <c r="T5668" s="355"/>
    </row>
    <row r="5669" spans="14:20" x14ac:dyDescent="0.25">
      <c r="N5669" s="514"/>
      <c r="R5669" s="293"/>
      <c r="S5669" s="316"/>
      <c r="T5669" s="355"/>
    </row>
    <row r="5670" spans="14:20" x14ac:dyDescent="0.25">
      <c r="N5670" s="514"/>
      <c r="R5670" s="293"/>
      <c r="S5670" s="316"/>
      <c r="T5670" s="355"/>
    </row>
    <row r="5671" spans="14:20" x14ac:dyDescent="0.25">
      <c r="N5671" s="514"/>
      <c r="R5671" s="293"/>
      <c r="S5671" s="316"/>
      <c r="T5671" s="355"/>
    </row>
    <row r="5672" spans="14:20" x14ac:dyDescent="0.25">
      <c r="N5672" s="514"/>
      <c r="R5672" s="293"/>
      <c r="S5672" s="316"/>
      <c r="T5672" s="355"/>
    </row>
    <row r="5673" spans="14:20" x14ac:dyDescent="0.25">
      <c r="N5673" s="514"/>
      <c r="R5673" s="293"/>
      <c r="S5673" s="316"/>
      <c r="T5673" s="355"/>
    </row>
    <row r="5674" spans="14:20" x14ac:dyDescent="0.25">
      <c r="N5674" s="514"/>
      <c r="R5674" s="293"/>
      <c r="S5674" s="316"/>
      <c r="T5674" s="355"/>
    </row>
    <row r="5675" spans="14:20" x14ac:dyDescent="0.25">
      <c r="N5675" s="514"/>
      <c r="R5675" s="293"/>
      <c r="S5675" s="316"/>
      <c r="T5675" s="355"/>
    </row>
    <row r="5676" spans="14:20" x14ac:dyDescent="0.25">
      <c r="N5676" s="514"/>
      <c r="R5676" s="293"/>
      <c r="S5676" s="316"/>
      <c r="T5676" s="355"/>
    </row>
    <row r="5677" spans="14:20" x14ac:dyDescent="0.25">
      <c r="N5677" s="514"/>
      <c r="R5677" s="293"/>
      <c r="S5677" s="316"/>
      <c r="T5677" s="355"/>
    </row>
    <row r="5678" spans="14:20" x14ac:dyDescent="0.25">
      <c r="N5678" s="514"/>
      <c r="R5678" s="293"/>
      <c r="S5678" s="316"/>
      <c r="T5678" s="355"/>
    </row>
    <row r="5679" spans="14:20" x14ac:dyDescent="0.25">
      <c r="N5679" s="514"/>
      <c r="R5679" s="293"/>
      <c r="S5679" s="316"/>
      <c r="T5679" s="355"/>
    </row>
    <row r="5680" spans="14:20" x14ac:dyDescent="0.25">
      <c r="N5680" s="514"/>
      <c r="R5680" s="293"/>
      <c r="S5680" s="316"/>
      <c r="T5680" s="355"/>
    </row>
    <row r="5681" spans="14:20" x14ac:dyDescent="0.25">
      <c r="N5681" s="514"/>
      <c r="R5681" s="293"/>
      <c r="S5681" s="316"/>
      <c r="T5681" s="355"/>
    </row>
    <row r="5682" spans="14:20" x14ac:dyDescent="0.25">
      <c r="N5682" s="514"/>
      <c r="R5682" s="293"/>
      <c r="S5682" s="316"/>
      <c r="T5682" s="355"/>
    </row>
    <row r="5683" spans="14:20" x14ac:dyDescent="0.25">
      <c r="N5683" s="514"/>
      <c r="R5683" s="293"/>
      <c r="S5683" s="316"/>
      <c r="T5683" s="355"/>
    </row>
    <row r="5684" spans="14:20" x14ac:dyDescent="0.25">
      <c r="N5684" s="514"/>
      <c r="R5684" s="293"/>
      <c r="S5684" s="316"/>
      <c r="T5684" s="355"/>
    </row>
    <row r="5685" spans="14:20" x14ac:dyDescent="0.25">
      <c r="N5685" s="514"/>
      <c r="R5685" s="293"/>
      <c r="S5685" s="316"/>
      <c r="T5685" s="355"/>
    </row>
    <row r="5686" spans="14:20" x14ac:dyDescent="0.25">
      <c r="N5686" s="514"/>
      <c r="R5686" s="293"/>
      <c r="S5686" s="316"/>
      <c r="T5686" s="355"/>
    </row>
    <row r="5687" spans="14:20" x14ac:dyDescent="0.25">
      <c r="N5687" s="514"/>
      <c r="R5687" s="293"/>
      <c r="S5687" s="316"/>
      <c r="T5687" s="355"/>
    </row>
    <row r="5688" spans="14:20" x14ac:dyDescent="0.25">
      <c r="N5688" s="514"/>
      <c r="R5688" s="293"/>
      <c r="S5688" s="316"/>
      <c r="T5688" s="355"/>
    </row>
    <row r="5689" spans="14:20" x14ac:dyDescent="0.25">
      <c r="N5689" s="514"/>
      <c r="R5689" s="293"/>
      <c r="S5689" s="316"/>
      <c r="T5689" s="355"/>
    </row>
    <row r="5690" spans="14:20" x14ac:dyDescent="0.25">
      <c r="N5690" s="514"/>
      <c r="R5690" s="293"/>
      <c r="S5690" s="316"/>
      <c r="T5690" s="355"/>
    </row>
    <row r="5691" spans="14:20" x14ac:dyDescent="0.25">
      <c r="N5691" s="514"/>
      <c r="R5691" s="293"/>
      <c r="S5691" s="316"/>
      <c r="T5691" s="355"/>
    </row>
    <row r="5692" spans="14:20" x14ac:dyDescent="0.25">
      <c r="N5692" s="514"/>
      <c r="R5692" s="293"/>
      <c r="S5692" s="316"/>
      <c r="T5692" s="355"/>
    </row>
    <row r="5693" spans="14:20" x14ac:dyDescent="0.25">
      <c r="N5693" s="514"/>
      <c r="R5693" s="293"/>
      <c r="S5693" s="316"/>
      <c r="T5693" s="355"/>
    </row>
    <row r="5694" spans="14:20" x14ac:dyDescent="0.25">
      <c r="N5694" s="514"/>
      <c r="R5694" s="293"/>
      <c r="S5694" s="316"/>
      <c r="T5694" s="355"/>
    </row>
    <row r="5695" spans="14:20" x14ac:dyDescent="0.25">
      <c r="N5695" s="514"/>
      <c r="R5695" s="293"/>
      <c r="S5695" s="316"/>
      <c r="T5695" s="355"/>
    </row>
    <row r="5696" spans="14:20" x14ac:dyDescent="0.25">
      <c r="N5696" s="514"/>
      <c r="R5696" s="293"/>
      <c r="S5696" s="316"/>
      <c r="T5696" s="355"/>
    </row>
    <row r="5697" spans="14:20" x14ac:dyDescent="0.25">
      <c r="N5697" s="514"/>
      <c r="R5697" s="293"/>
      <c r="S5697" s="316"/>
      <c r="T5697" s="355"/>
    </row>
    <row r="5698" spans="14:20" x14ac:dyDescent="0.25">
      <c r="N5698" s="514"/>
      <c r="R5698" s="293"/>
      <c r="S5698" s="316"/>
      <c r="T5698" s="355"/>
    </row>
    <row r="5699" spans="14:20" x14ac:dyDescent="0.25">
      <c r="N5699" s="514"/>
      <c r="R5699" s="293"/>
      <c r="S5699" s="316"/>
      <c r="T5699" s="355"/>
    </row>
    <row r="5700" spans="14:20" x14ac:dyDescent="0.25">
      <c r="N5700" s="514"/>
      <c r="R5700" s="293"/>
      <c r="S5700" s="316"/>
      <c r="T5700" s="355"/>
    </row>
    <row r="5701" spans="14:20" x14ac:dyDescent="0.25">
      <c r="N5701" s="514"/>
      <c r="R5701" s="293"/>
      <c r="S5701" s="316"/>
      <c r="T5701" s="355"/>
    </row>
    <row r="5702" spans="14:20" x14ac:dyDescent="0.25">
      <c r="N5702" s="514"/>
      <c r="R5702" s="293"/>
      <c r="S5702" s="316"/>
      <c r="T5702" s="355"/>
    </row>
    <row r="5703" spans="14:20" x14ac:dyDescent="0.25">
      <c r="N5703" s="514"/>
      <c r="R5703" s="293"/>
      <c r="S5703" s="316"/>
      <c r="T5703" s="355"/>
    </row>
    <row r="5704" spans="14:20" x14ac:dyDescent="0.25">
      <c r="N5704" s="514"/>
      <c r="R5704" s="293"/>
      <c r="S5704" s="316"/>
      <c r="T5704" s="355"/>
    </row>
    <row r="5705" spans="14:20" x14ac:dyDescent="0.25">
      <c r="N5705" s="514"/>
      <c r="R5705" s="293"/>
      <c r="S5705" s="316"/>
      <c r="T5705" s="355"/>
    </row>
    <row r="5706" spans="14:20" x14ac:dyDescent="0.25">
      <c r="N5706" s="514"/>
      <c r="R5706" s="293"/>
      <c r="S5706" s="316"/>
      <c r="T5706" s="355"/>
    </row>
    <row r="5707" spans="14:20" x14ac:dyDescent="0.25">
      <c r="N5707" s="514"/>
      <c r="R5707" s="293"/>
      <c r="S5707" s="316"/>
      <c r="T5707" s="355"/>
    </row>
    <row r="5708" spans="14:20" x14ac:dyDescent="0.25">
      <c r="N5708" s="514"/>
      <c r="R5708" s="293"/>
      <c r="S5708" s="316"/>
      <c r="T5708" s="355"/>
    </row>
    <row r="5709" spans="14:20" x14ac:dyDescent="0.25">
      <c r="N5709" s="514"/>
      <c r="R5709" s="293"/>
      <c r="S5709" s="316"/>
      <c r="T5709" s="355"/>
    </row>
    <row r="5710" spans="14:20" x14ac:dyDescent="0.25">
      <c r="N5710" s="514"/>
      <c r="R5710" s="293"/>
      <c r="S5710" s="316"/>
      <c r="T5710" s="355"/>
    </row>
    <row r="5711" spans="14:20" x14ac:dyDescent="0.25">
      <c r="N5711" s="514"/>
      <c r="R5711" s="293"/>
      <c r="S5711" s="316"/>
      <c r="T5711" s="355"/>
    </row>
    <row r="5712" spans="14:20" x14ac:dyDescent="0.25">
      <c r="N5712" s="514"/>
      <c r="R5712" s="293"/>
      <c r="S5712" s="316"/>
      <c r="T5712" s="355"/>
    </row>
    <row r="5713" spans="14:20" x14ac:dyDescent="0.25">
      <c r="N5713" s="514"/>
      <c r="R5713" s="293"/>
      <c r="S5713" s="316"/>
      <c r="T5713" s="355"/>
    </row>
    <row r="5714" spans="14:20" x14ac:dyDescent="0.25">
      <c r="N5714" s="514"/>
      <c r="R5714" s="293"/>
      <c r="S5714" s="316"/>
      <c r="T5714" s="355"/>
    </row>
    <row r="5715" spans="14:20" x14ac:dyDescent="0.25">
      <c r="N5715" s="514"/>
      <c r="R5715" s="293"/>
      <c r="S5715" s="316"/>
      <c r="T5715" s="355"/>
    </row>
    <row r="5716" spans="14:20" x14ac:dyDescent="0.25">
      <c r="N5716" s="514"/>
      <c r="R5716" s="293"/>
      <c r="S5716" s="316"/>
      <c r="T5716" s="355"/>
    </row>
    <row r="5717" spans="14:20" x14ac:dyDescent="0.25">
      <c r="N5717" s="514"/>
      <c r="R5717" s="293"/>
      <c r="S5717" s="316"/>
      <c r="T5717" s="355"/>
    </row>
    <row r="5718" spans="14:20" x14ac:dyDescent="0.25">
      <c r="N5718" s="514"/>
      <c r="R5718" s="293"/>
      <c r="S5718" s="316"/>
      <c r="T5718" s="355"/>
    </row>
    <row r="5719" spans="14:20" x14ac:dyDescent="0.25">
      <c r="N5719" s="514"/>
      <c r="R5719" s="293"/>
      <c r="S5719" s="316"/>
      <c r="T5719" s="355"/>
    </row>
    <row r="5720" spans="14:20" x14ac:dyDescent="0.25">
      <c r="N5720" s="514"/>
      <c r="R5720" s="293"/>
      <c r="S5720" s="316"/>
      <c r="T5720" s="355"/>
    </row>
    <row r="5721" spans="14:20" x14ac:dyDescent="0.25">
      <c r="N5721" s="514"/>
      <c r="R5721" s="293"/>
      <c r="S5721" s="316"/>
      <c r="T5721" s="355"/>
    </row>
    <row r="5722" spans="14:20" x14ac:dyDescent="0.25">
      <c r="N5722" s="514"/>
      <c r="R5722" s="293"/>
      <c r="S5722" s="316"/>
      <c r="T5722" s="355"/>
    </row>
    <row r="5723" spans="14:20" x14ac:dyDescent="0.25">
      <c r="N5723" s="514"/>
      <c r="R5723" s="293"/>
      <c r="S5723" s="316"/>
      <c r="T5723" s="355"/>
    </row>
    <row r="5724" spans="14:20" x14ac:dyDescent="0.25">
      <c r="N5724" s="514"/>
      <c r="R5724" s="293"/>
      <c r="S5724" s="316"/>
      <c r="T5724" s="355"/>
    </row>
    <row r="5725" spans="14:20" x14ac:dyDescent="0.25">
      <c r="N5725" s="514"/>
      <c r="R5725" s="293"/>
      <c r="S5725" s="316"/>
      <c r="T5725" s="355"/>
    </row>
    <row r="5726" spans="14:20" x14ac:dyDescent="0.25">
      <c r="N5726" s="514"/>
      <c r="R5726" s="293"/>
      <c r="S5726" s="316"/>
      <c r="T5726" s="355"/>
    </row>
    <row r="5727" spans="14:20" x14ac:dyDescent="0.25">
      <c r="N5727" s="514"/>
      <c r="R5727" s="293"/>
      <c r="S5727" s="316"/>
      <c r="T5727" s="355"/>
    </row>
    <row r="5728" spans="14:20" x14ac:dyDescent="0.25">
      <c r="N5728" s="514"/>
      <c r="R5728" s="293"/>
      <c r="S5728" s="316"/>
      <c r="T5728" s="355"/>
    </row>
    <row r="5729" spans="14:20" x14ac:dyDescent="0.25">
      <c r="N5729" s="514"/>
      <c r="R5729" s="293"/>
      <c r="S5729" s="316"/>
      <c r="T5729" s="355"/>
    </row>
    <row r="5730" spans="14:20" x14ac:dyDescent="0.25">
      <c r="N5730" s="514"/>
      <c r="R5730" s="293"/>
      <c r="S5730" s="316"/>
      <c r="T5730" s="355"/>
    </row>
    <row r="5731" spans="14:20" x14ac:dyDescent="0.25">
      <c r="N5731" s="514"/>
      <c r="R5731" s="293"/>
      <c r="S5731" s="316"/>
      <c r="T5731" s="355"/>
    </row>
    <row r="5732" spans="14:20" x14ac:dyDescent="0.25">
      <c r="N5732" s="514"/>
      <c r="R5732" s="293"/>
      <c r="S5732" s="316"/>
      <c r="T5732" s="355"/>
    </row>
    <row r="5733" spans="14:20" x14ac:dyDescent="0.25">
      <c r="N5733" s="514"/>
      <c r="R5733" s="293"/>
      <c r="S5733" s="316"/>
      <c r="T5733" s="355"/>
    </row>
    <row r="5734" spans="14:20" x14ac:dyDescent="0.25">
      <c r="N5734" s="514"/>
      <c r="R5734" s="293"/>
      <c r="S5734" s="316"/>
      <c r="T5734" s="355"/>
    </row>
    <row r="5735" spans="14:20" x14ac:dyDescent="0.25">
      <c r="N5735" s="514"/>
      <c r="R5735" s="293"/>
      <c r="S5735" s="316"/>
      <c r="T5735" s="355"/>
    </row>
    <row r="5736" spans="14:20" x14ac:dyDescent="0.25">
      <c r="N5736" s="514"/>
      <c r="R5736" s="293"/>
      <c r="S5736" s="316"/>
      <c r="T5736" s="355"/>
    </row>
    <row r="5737" spans="14:20" x14ac:dyDescent="0.25">
      <c r="N5737" s="514"/>
      <c r="R5737" s="293"/>
      <c r="S5737" s="316"/>
      <c r="T5737" s="355"/>
    </row>
    <row r="5738" spans="14:20" x14ac:dyDescent="0.25">
      <c r="N5738" s="514"/>
      <c r="R5738" s="293"/>
      <c r="S5738" s="316"/>
      <c r="T5738" s="355"/>
    </row>
    <row r="5739" spans="14:20" x14ac:dyDescent="0.25">
      <c r="N5739" s="514"/>
      <c r="R5739" s="293"/>
      <c r="S5739" s="316"/>
      <c r="T5739" s="355"/>
    </row>
    <row r="5740" spans="14:20" x14ac:dyDescent="0.25">
      <c r="N5740" s="514"/>
      <c r="R5740" s="293"/>
      <c r="S5740" s="316"/>
      <c r="T5740" s="355"/>
    </row>
    <row r="5741" spans="14:20" x14ac:dyDescent="0.25">
      <c r="N5741" s="514"/>
      <c r="R5741" s="293"/>
      <c r="S5741" s="316"/>
      <c r="T5741" s="355"/>
    </row>
    <row r="5742" spans="14:20" x14ac:dyDescent="0.25">
      <c r="N5742" s="514"/>
      <c r="R5742" s="293"/>
      <c r="S5742" s="316"/>
      <c r="T5742" s="355"/>
    </row>
    <row r="5743" spans="14:20" x14ac:dyDescent="0.25">
      <c r="N5743" s="514"/>
      <c r="R5743" s="293"/>
      <c r="S5743" s="316"/>
      <c r="T5743" s="355"/>
    </row>
    <row r="5744" spans="14:20" x14ac:dyDescent="0.25">
      <c r="N5744" s="514"/>
      <c r="R5744" s="293"/>
      <c r="S5744" s="316"/>
      <c r="T5744" s="355"/>
    </row>
    <row r="5745" spans="14:20" x14ac:dyDescent="0.25">
      <c r="N5745" s="514"/>
      <c r="R5745" s="293"/>
      <c r="S5745" s="316"/>
      <c r="T5745" s="355"/>
    </row>
    <row r="5746" spans="14:20" x14ac:dyDescent="0.25">
      <c r="N5746" s="514"/>
      <c r="R5746" s="293"/>
      <c r="S5746" s="316"/>
      <c r="T5746" s="355"/>
    </row>
    <row r="5747" spans="14:20" x14ac:dyDescent="0.25">
      <c r="N5747" s="514"/>
      <c r="R5747" s="293"/>
      <c r="S5747" s="316"/>
      <c r="T5747" s="355"/>
    </row>
    <row r="5748" spans="14:20" x14ac:dyDescent="0.25">
      <c r="N5748" s="514"/>
      <c r="R5748" s="293"/>
      <c r="S5748" s="316"/>
      <c r="T5748" s="355"/>
    </row>
    <row r="5749" spans="14:20" x14ac:dyDescent="0.25">
      <c r="N5749" s="514"/>
      <c r="R5749" s="293"/>
      <c r="S5749" s="316"/>
      <c r="T5749" s="355"/>
    </row>
    <row r="5750" spans="14:20" x14ac:dyDescent="0.25">
      <c r="N5750" s="514"/>
      <c r="R5750" s="293"/>
      <c r="S5750" s="316"/>
      <c r="T5750" s="355"/>
    </row>
    <row r="5751" spans="14:20" x14ac:dyDescent="0.25">
      <c r="N5751" s="514"/>
      <c r="R5751" s="293"/>
      <c r="S5751" s="316"/>
      <c r="T5751" s="355"/>
    </row>
    <row r="5752" spans="14:20" x14ac:dyDescent="0.25">
      <c r="N5752" s="514"/>
      <c r="R5752" s="293"/>
      <c r="S5752" s="316"/>
      <c r="T5752" s="355"/>
    </row>
    <row r="5753" spans="14:20" x14ac:dyDescent="0.25">
      <c r="N5753" s="514"/>
      <c r="R5753" s="293"/>
      <c r="S5753" s="316"/>
      <c r="T5753" s="355"/>
    </row>
    <row r="5754" spans="14:20" x14ac:dyDescent="0.25">
      <c r="N5754" s="514"/>
      <c r="R5754" s="293"/>
      <c r="S5754" s="316"/>
      <c r="T5754" s="355"/>
    </row>
    <row r="5755" spans="14:20" x14ac:dyDescent="0.25">
      <c r="N5755" s="514"/>
      <c r="R5755" s="293"/>
      <c r="S5755" s="316"/>
      <c r="T5755" s="355"/>
    </row>
    <row r="5756" spans="14:20" x14ac:dyDescent="0.25">
      <c r="N5756" s="514"/>
      <c r="R5756" s="293"/>
      <c r="S5756" s="316"/>
      <c r="T5756" s="355"/>
    </row>
    <row r="5757" spans="14:20" x14ac:dyDescent="0.25">
      <c r="N5757" s="514"/>
      <c r="R5757" s="293"/>
      <c r="S5757" s="316"/>
      <c r="T5757" s="355"/>
    </row>
    <row r="5758" spans="14:20" x14ac:dyDescent="0.25">
      <c r="N5758" s="514"/>
      <c r="R5758" s="293"/>
      <c r="S5758" s="316"/>
      <c r="T5758" s="355"/>
    </row>
    <row r="5759" spans="14:20" x14ac:dyDescent="0.25">
      <c r="N5759" s="514"/>
      <c r="R5759" s="293"/>
      <c r="S5759" s="316"/>
      <c r="T5759" s="355"/>
    </row>
    <row r="5760" spans="14:20" x14ac:dyDescent="0.25">
      <c r="N5760" s="514"/>
      <c r="R5760" s="293"/>
      <c r="S5760" s="316"/>
      <c r="T5760" s="355"/>
    </row>
    <row r="5761" spans="14:20" x14ac:dyDescent="0.25">
      <c r="N5761" s="514"/>
      <c r="R5761" s="293"/>
      <c r="S5761" s="316"/>
      <c r="T5761" s="355"/>
    </row>
    <row r="5762" spans="14:20" x14ac:dyDescent="0.25">
      <c r="N5762" s="514"/>
      <c r="R5762" s="293"/>
      <c r="S5762" s="316"/>
      <c r="T5762" s="355"/>
    </row>
    <row r="5763" spans="14:20" x14ac:dyDescent="0.25">
      <c r="N5763" s="514"/>
      <c r="R5763" s="293"/>
      <c r="S5763" s="316"/>
      <c r="T5763" s="355"/>
    </row>
    <row r="5764" spans="14:20" x14ac:dyDescent="0.25">
      <c r="N5764" s="514"/>
      <c r="R5764" s="293"/>
      <c r="S5764" s="316"/>
      <c r="T5764" s="355"/>
    </row>
    <row r="5765" spans="14:20" x14ac:dyDescent="0.25">
      <c r="N5765" s="514"/>
      <c r="R5765" s="293"/>
      <c r="S5765" s="316"/>
      <c r="T5765" s="355"/>
    </row>
    <row r="5766" spans="14:20" x14ac:dyDescent="0.25">
      <c r="N5766" s="514"/>
      <c r="R5766" s="293"/>
      <c r="S5766" s="316"/>
      <c r="T5766" s="355"/>
    </row>
    <row r="5767" spans="14:20" x14ac:dyDescent="0.25">
      <c r="N5767" s="514"/>
      <c r="R5767" s="293"/>
      <c r="S5767" s="316"/>
      <c r="T5767" s="355"/>
    </row>
    <row r="5768" spans="14:20" x14ac:dyDescent="0.25">
      <c r="N5768" s="514"/>
      <c r="R5768" s="293"/>
      <c r="S5768" s="316"/>
      <c r="T5768" s="355"/>
    </row>
    <row r="5769" spans="14:20" x14ac:dyDescent="0.25">
      <c r="N5769" s="514"/>
      <c r="R5769" s="293"/>
      <c r="S5769" s="316"/>
      <c r="T5769" s="355"/>
    </row>
    <row r="5770" spans="14:20" x14ac:dyDescent="0.25">
      <c r="N5770" s="514"/>
      <c r="R5770" s="293"/>
      <c r="S5770" s="316"/>
      <c r="T5770" s="355"/>
    </row>
    <row r="5771" spans="14:20" x14ac:dyDescent="0.25">
      <c r="N5771" s="514"/>
      <c r="R5771" s="293"/>
      <c r="S5771" s="316"/>
      <c r="T5771" s="355"/>
    </row>
    <row r="5772" spans="14:20" x14ac:dyDescent="0.25">
      <c r="N5772" s="514"/>
      <c r="R5772" s="293"/>
      <c r="S5772" s="316"/>
      <c r="T5772" s="355"/>
    </row>
    <row r="5773" spans="14:20" x14ac:dyDescent="0.25">
      <c r="N5773" s="514"/>
      <c r="R5773" s="293"/>
      <c r="S5773" s="316"/>
      <c r="T5773" s="355"/>
    </row>
    <row r="5774" spans="14:20" x14ac:dyDescent="0.25">
      <c r="N5774" s="514"/>
      <c r="R5774" s="293"/>
      <c r="S5774" s="316"/>
      <c r="T5774" s="355"/>
    </row>
    <row r="5775" spans="14:20" x14ac:dyDescent="0.25">
      <c r="N5775" s="514"/>
      <c r="R5775" s="293"/>
      <c r="S5775" s="316"/>
      <c r="T5775" s="355"/>
    </row>
    <row r="5776" spans="14:20" x14ac:dyDescent="0.25">
      <c r="N5776" s="514"/>
      <c r="R5776" s="293"/>
      <c r="S5776" s="316"/>
      <c r="T5776" s="355"/>
    </row>
    <row r="5777" spans="14:20" x14ac:dyDescent="0.25">
      <c r="N5777" s="514"/>
      <c r="R5777" s="293"/>
      <c r="S5777" s="316"/>
      <c r="T5777" s="355"/>
    </row>
    <row r="5778" spans="14:20" x14ac:dyDescent="0.25">
      <c r="N5778" s="514"/>
      <c r="R5778" s="293"/>
      <c r="S5778" s="316"/>
      <c r="T5778" s="355"/>
    </row>
    <row r="5779" spans="14:20" x14ac:dyDescent="0.25">
      <c r="N5779" s="514"/>
      <c r="R5779" s="293"/>
      <c r="S5779" s="316"/>
      <c r="T5779" s="355"/>
    </row>
    <row r="5780" spans="14:20" x14ac:dyDescent="0.25">
      <c r="N5780" s="514"/>
      <c r="R5780" s="293"/>
      <c r="S5780" s="316"/>
      <c r="T5780" s="355"/>
    </row>
    <row r="5781" spans="14:20" x14ac:dyDescent="0.25">
      <c r="N5781" s="514"/>
      <c r="R5781" s="293"/>
      <c r="S5781" s="316"/>
      <c r="T5781" s="355"/>
    </row>
    <row r="5782" spans="14:20" x14ac:dyDescent="0.25">
      <c r="N5782" s="514"/>
      <c r="R5782" s="293"/>
      <c r="S5782" s="316"/>
      <c r="T5782" s="355"/>
    </row>
    <row r="5783" spans="14:20" x14ac:dyDescent="0.25">
      <c r="N5783" s="514"/>
      <c r="R5783" s="293"/>
      <c r="S5783" s="316"/>
      <c r="T5783" s="355"/>
    </row>
    <row r="5784" spans="14:20" x14ac:dyDescent="0.25">
      <c r="N5784" s="514"/>
      <c r="R5784" s="293"/>
      <c r="S5784" s="316"/>
      <c r="T5784" s="355"/>
    </row>
    <row r="5785" spans="14:20" x14ac:dyDescent="0.25">
      <c r="N5785" s="514"/>
      <c r="R5785" s="293"/>
      <c r="S5785" s="316"/>
      <c r="T5785" s="355"/>
    </row>
    <row r="5786" spans="14:20" x14ac:dyDescent="0.25">
      <c r="N5786" s="514"/>
      <c r="R5786" s="293"/>
      <c r="S5786" s="316"/>
      <c r="T5786" s="355"/>
    </row>
    <row r="5787" spans="14:20" x14ac:dyDescent="0.25">
      <c r="N5787" s="514"/>
      <c r="R5787" s="293"/>
      <c r="S5787" s="316"/>
      <c r="T5787" s="355"/>
    </row>
    <row r="5788" spans="14:20" x14ac:dyDescent="0.25">
      <c r="N5788" s="514"/>
      <c r="R5788" s="293"/>
      <c r="S5788" s="316"/>
      <c r="T5788" s="355"/>
    </row>
    <row r="5789" spans="14:20" x14ac:dyDescent="0.25">
      <c r="N5789" s="514"/>
      <c r="R5789" s="293"/>
      <c r="S5789" s="316"/>
      <c r="T5789" s="355"/>
    </row>
    <row r="5790" spans="14:20" x14ac:dyDescent="0.25">
      <c r="N5790" s="514"/>
      <c r="R5790" s="293"/>
      <c r="S5790" s="316"/>
      <c r="T5790" s="355"/>
    </row>
    <row r="5791" spans="14:20" x14ac:dyDescent="0.25">
      <c r="N5791" s="514"/>
      <c r="R5791" s="293"/>
      <c r="S5791" s="316"/>
      <c r="T5791" s="355"/>
    </row>
    <row r="5792" spans="14:20" x14ac:dyDescent="0.25">
      <c r="N5792" s="514"/>
      <c r="R5792" s="293"/>
      <c r="S5792" s="316"/>
      <c r="T5792" s="355"/>
    </row>
    <row r="5793" spans="14:20" x14ac:dyDescent="0.25">
      <c r="N5793" s="514"/>
      <c r="R5793" s="293"/>
      <c r="S5793" s="316"/>
      <c r="T5793" s="355"/>
    </row>
    <row r="5794" spans="14:20" x14ac:dyDescent="0.25">
      <c r="N5794" s="514"/>
      <c r="R5794" s="293"/>
      <c r="S5794" s="316"/>
      <c r="T5794" s="355"/>
    </row>
    <row r="5795" spans="14:20" x14ac:dyDescent="0.25">
      <c r="N5795" s="514"/>
      <c r="R5795" s="293"/>
      <c r="S5795" s="316"/>
      <c r="T5795" s="355"/>
    </row>
    <row r="5796" spans="14:20" x14ac:dyDescent="0.25">
      <c r="N5796" s="514"/>
      <c r="R5796" s="293"/>
      <c r="S5796" s="316"/>
      <c r="T5796" s="355"/>
    </row>
    <row r="5797" spans="14:20" x14ac:dyDescent="0.25">
      <c r="N5797" s="514"/>
      <c r="R5797" s="293"/>
      <c r="S5797" s="316"/>
      <c r="T5797" s="355"/>
    </row>
    <row r="5798" spans="14:20" x14ac:dyDescent="0.25">
      <c r="N5798" s="514"/>
      <c r="R5798" s="293"/>
      <c r="S5798" s="316"/>
      <c r="T5798" s="355"/>
    </row>
    <row r="5799" spans="14:20" x14ac:dyDescent="0.25">
      <c r="N5799" s="514"/>
      <c r="R5799" s="293"/>
      <c r="S5799" s="316"/>
      <c r="T5799" s="355"/>
    </row>
    <row r="5800" spans="14:20" x14ac:dyDescent="0.25">
      <c r="N5800" s="514"/>
      <c r="R5800" s="293"/>
      <c r="S5800" s="316"/>
      <c r="T5800" s="355"/>
    </row>
    <row r="5801" spans="14:20" x14ac:dyDescent="0.25">
      <c r="N5801" s="514"/>
      <c r="R5801" s="293"/>
      <c r="S5801" s="316"/>
      <c r="T5801" s="355"/>
    </row>
    <row r="5802" spans="14:20" x14ac:dyDescent="0.25">
      <c r="N5802" s="514"/>
      <c r="R5802" s="293"/>
      <c r="S5802" s="316"/>
      <c r="T5802" s="355"/>
    </row>
    <row r="5803" spans="14:20" x14ac:dyDescent="0.25">
      <c r="N5803" s="514"/>
      <c r="R5803" s="293"/>
      <c r="S5803" s="316"/>
      <c r="T5803" s="355"/>
    </row>
    <row r="5804" spans="14:20" x14ac:dyDescent="0.25">
      <c r="N5804" s="514"/>
      <c r="R5804" s="293"/>
      <c r="S5804" s="316"/>
      <c r="T5804" s="355"/>
    </row>
    <row r="5805" spans="14:20" x14ac:dyDescent="0.25">
      <c r="N5805" s="514"/>
      <c r="R5805" s="293"/>
      <c r="S5805" s="316"/>
      <c r="T5805" s="355"/>
    </row>
    <row r="5806" spans="14:20" x14ac:dyDescent="0.25">
      <c r="N5806" s="514"/>
      <c r="R5806" s="293"/>
      <c r="S5806" s="316"/>
      <c r="T5806" s="355"/>
    </row>
    <row r="5807" spans="14:20" x14ac:dyDescent="0.25">
      <c r="N5807" s="514"/>
      <c r="R5807" s="293"/>
      <c r="S5807" s="316"/>
      <c r="T5807" s="355"/>
    </row>
    <row r="5808" spans="14:20" x14ac:dyDescent="0.25">
      <c r="N5808" s="514"/>
      <c r="R5808" s="293"/>
      <c r="S5808" s="316"/>
      <c r="T5808" s="355"/>
    </row>
    <row r="5809" spans="14:20" x14ac:dyDescent="0.25">
      <c r="N5809" s="514"/>
      <c r="R5809" s="293"/>
      <c r="S5809" s="316"/>
      <c r="T5809" s="355"/>
    </row>
    <row r="5810" spans="14:20" x14ac:dyDescent="0.25">
      <c r="N5810" s="514"/>
      <c r="R5810" s="293"/>
      <c r="S5810" s="316"/>
      <c r="T5810" s="355"/>
    </row>
    <row r="5811" spans="14:20" x14ac:dyDescent="0.25">
      <c r="N5811" s="514"/>
      <c r="R5811" s="293"/>
      <c r="S5811" s="316"/>
      <c r="T5811" s="355"/>
    </row>
    <row r="5812" spans="14:20" x14ac:dyDescent="0.25">
      <c r="N5812" s="514"/>
      <c r="R5812" s="293"/>
      <c r="S5812" s="316"/>
      <c r="T5812" s="355"/>
    </row>
    <row r="5813" spans="14:20" x14ac:dyDescent="0.25">
      <c r="N5813" s="514"/>
      <c r="R5813" s="293"/>
      <c r="S5813" s="316"/>
      <c r="T5813" s="355"/>
    </row>
    <row r="5814" spans="14:20" x14ac:dyDescent="0.25">
      <c r="N5814" s="514"/>
      <c r="R5814" s="293"/>
      <c r="S5814" s="316"/>
      <c r="T5814" s="355"/>
    </row>
    <row r="5815" spans="14:20" x14ac:dyDescent="0.25">
      <c r="N5815" s="514"/>
      <c r="R5815" s="293"/>
      <c r="S5815" s="316"/>
      <c r="T5815" s="355"/>
    </row>
    <row r="5816" spans="14:20" x14ac:dyDescent="0.25">
      <c r="N5816" s="514"/>
      <c r="R5816" s="293"/>
      <c r="S5816" s="316"/>
      <c r="T5816" s="355"/>
    </row>
    <row r="5817" spans="14:20" x14ac:dyDescent="0.25">
      <c r="N5817" s="514"/>
      <c r="R5817" s="293"/>
      <c r="S5817" s="316"/>
      <c r="T5817" s="355"/>
    </row>
    <row r="5818" spans="14:20" x14ac:dyDescent="0.25">
      <c r="N5818" s="514"/>
      <c r="R5818" s="293"/>
      <c r="S5818" s="316"/>
      <c r="T5818" s="355"/>
    </row>
    <row r="5819" spans="14:20" x14ac:dyDescent="0.25">
      <c r="N5819" s="514"/>
      <c r="R5819" s="293"/>
      <c r="S5819" s="316"/>
      <c r="T5819" s="355"/>
    </row>
    <row r="5820" spans="14:20" x14ac:dyDescent="0.25">
      <c r="N5820" s="514"/>
      <c r="R5820" s="293"/>
      <c r="S5820" s="316"/>
      <c r="T5820" s="355"/>
    </row>
    <row r="5821" spans="14:20" x14ac:dyDescent="0.25">
      <c r="N5821" s="514"/>
      <c r="R5821" s="293"/>
      <c r="S5821" s="316"/>
      <c r="T5821" s="355"/>
    </row>
    <row r="5822" spans="14:20" x14ac:dyDescent="0.25">
      <c r="N5822" s="514"/>
      <c r="R5822" s="293"/>
      <c r="S5822" s="316"/>
      <c r="T5822" s="355"/>
    </row>
    <row r="5823" spans="14:20" x14ac:dyDescent="0.25">
      <c r="N5823" s="514"/>
      <c r="R5823" s="293"/>
      <c r="S5823" s="316"/>
      <c r="T5823" s="355"/>
    </row>
    <row r="5824" spans="14:20" x14ac:dyDescent="0.25">
      <c r="N5824" s="514"/>
      <c r="R5824" s="293"/>
      <c r="S5824" s="316"/>
      <c r="T5824" s="355"/>
    </row>
    <row r="5825" spans="14:20" x14ac:dyDescent="0.25">
      <c r="N5825" s="514"/>
      <c r="R5825" s="293"/>
      <c r="S5825" s="316"/>
      <c r="T5825" s="355"/>
    </row>
    <row r="5826" spans="14:20" x14ac:dyDescent="0.25">
      <c r="N5826" s="514"/>
      <c r="R5826" s="293"/>
      <c r="S5826" s="316"/>
      <c r="T5826" s="355"/>
    </row>
    <row r="5827" spans="14:20" x14ac:dyDescent="0.25">
      <c r="N5827" s="514"/>
      <c r="R5827" s="293"/>
      <c r="S5827" s="316"/>
      <c r="T5827" s="355"/>
    </row>
    <row r="5828" spans="14:20" x14ac:dyDescent="0.25">
      <c r="N5828" s="514"/>
      <c r="R5828" s="293"/>
      <c r="S5828" s="316"/>
      <c r="T5828" s="355"/>
    </row>
    <row r="5829" spans="14:20" x14ac:dyDescent="0.25">
      <c r="N5829" s="514"/>
      <c r="R5829" s="293"/>
      <c r="S5829" s="316"/>
      <c r="T5829" s="355"/>
    </row>
    <row r="5830" spans="14:20" x14ac:dyDescent="0.25">
      <c r="N5830" s="514"/>
      <c r="R5830" s="293"/>
      <c r="S5830" s="316"/>
      <c r="T5830" s="355"/>
    </row>
    <row r="5831" spans="14:20" x14ac:dyDescent="0.25">
      <c r="N5831" s="514"/>
      <c r="R5831" s="293"/>
      <c r="S5831" s="316"/>
      <c r="T5831" s="355"/>
    </row>
    <row r="5832" spans="14:20" x14ac:dyDescent="0.25">
      <c r="N5832" s="514"/>
      <c r="R5832" s="293"/>
      <c r="S5832" s="316"/>
      <c r="T5832" s="355"/>
    </row>
    <row r="5833" spans="14:20" x14ac:dyDescent="0.25">
      <c r="N5833" s="514"/>
      <c r="R5833" s="293"/>
      <c r="S5833" s="316"/>
      <c r="T5833" s="355"/>
    </row>
    <row r="5834" spans="14:20" x14ac:dyDescent="0.25">
      <c r="N5834" s="514"/>
      <c r="R5834" s="293"/>
      <c r="S5834" s="316"/>
      <c r="T5834" s="355"/>
    </row>
    <row r="5835" spans="14:20" x14ac:dyDescent="0.25">
      <c r="N5835" s="514"/>
      <c r="R5835" s="293"/>
      <c r="S5835" s="316"/>
      <c r="T5835" s="355"/>
    </row>
    <row r="5836" spans="14:20" x14ac:dyDescent="0.25">
      <c r="N5836" s="514"/>
      <c r="R5836" s="293"/>
      <c r="S5836" s="316"/>
      <c r="T5836" s="355"/>
    </row>
    <row r="5837" spans="14:20" x14ac:dyDescent="0.25">
      <c r="N5837" s="514"/>
      <c r="R5837" s="293"/>
      <c r="S5837" s="316"/>
      <c r="T5837" s="355"/>
    </row>
    <row r="5838" spans="14:20" x14ac:dyDescent="0.25">
      <c r="N5838" s="514"/>
      <c r="R5838" s="293"/>
      <c r="S5838" s="316"/>
      <c r="T5838" s="355"/>
    </row>
    <row r="5839" spans="14:20" x14ac:dyDescent="0.25">
      <c r="N5839" s="514"/>
      <c r="R5839" s="293"/>
      <c r="S5839" s="316"/>
      <c r="T5839" s="355"/>
    </row>
    <row r="5840" spans="14:20" x14ac:dyDescent="0.25">
      <c r="N5840" s="514"/>
      <c r="R5840" s="293"/>
      <c r="S5840" s="316"/>
      <c r="T5840" s="355"/>
    </row>
    <row r="5841" spans="14:20" x14ac:dyDescent="0.25">
      <c r="N5841" s="514"/>
      <c r="R5841" s="293"/>
      <c r="S5841" s="316"/>
      <c r="T5841" s="355"/>
    </row>
    <row r="5842" spans="14:20" x14ac:dyDescent="0.25">
      <c r="N5842" s="514"/>
      <c r="R5842" s="293"/>
      <c r="S5842" s="316"/>
      <c r="T5842" s="355"/>
    </row>
    <row r="5843" spans="14:20" x14ac:dyDescent="0.25">
      <c r="N5843" s="514"/>
      <c r="R5843" s="293"/>
      <c r="S5843" s="316"/>
      <c r="T5843" s="355"/>
    </row>
    <row r="5844" spans="14:20" x14ac:dyDescent="0.25">
      <c r="N5844" s="514"/>
      <c r="R5844" s="293"/>
      <c r="S5844" s="316"/>
      <c r="T5844" s="355"/>
    </row>
    <row r="5845" spans="14:20" x14ac:dyDescent="0.25">
      <c r="N5845" s="514"/>
      <c r="R5845" s="293"/>
      <c r="S5845" s="316"/>
      <c r="T5845" s="355"/>
    </row>
    <row r="5846" spans="14:20" x14ac:dyDescent="0.25">
      <c r="N5846" s="514"/>
      <c r="R5846" s="293"/>
      <c r="S5846" s="316"/>
      <c r="T5846" s="355"/>
    </row>
    <row r="5847" spans="14:20" x14ac:dyDescent="0.25">
      <c r="N5847" s="514"/>
      <c r="R5847" s="293"/>
      <c r="S5847" s="316"/>
      <c r="T5847" s="355"/>
    </row>
    <row r="5848" spans="14:20" x14ac:dyDescent="0.25">
      <c r="N5848" s="514"/>
      <c r="R5848" s="293"/>
      <c r="S5848" s="316"/>
      <c r="T5848" s="355"/>
    </row>
    <row r="5849" spans="14:20" x14ac:dyDescent="0.25">
      <c r="N5849" s="514"/>
      <c r="R5849" s="293"/>
      <c r="S5849" s="316"/>
      <c r="T5849" s="355"/>
    </row>
    <row r="5850" spans="14:20" x14ac:dyDescent="0.25">
      <c r="N5850" s="514"/>
      <c r="R5850" s="293"/>
      <c r="S5850" s="316"/>
      <c r="T5850" s="355"/>
    </row>
    <row r="5851" spans="14:20" x14ac:dyDescent="0.25">
      <c r="N5851" s="514"/>
      <c r="R5851" s="293"/>
      <c r="S5851" s="316"/>
      <c r="T5851" s="355"/>
    </row>
    <row r="5852" spans="14:20" x14ac:dyDescent="0.25">
      <c r="N5852" s="514"/>
      <c r="R5852" s="293"/>
      <c r="S5852" s="316"/>
      <c r="T5852" s="355"/>
    </row>
    <row r="5853" spans="14:20" x14ac:dyDescent="0.25">
      <c r="N5853" s="514"/>
      <c r="R5853" s="293"/>
      <c r="S5853" s="316"/>
      <c r="T5853" s="355"/>
    </row>
    <row r="5854" spans="14:20" x14ac:dyDescent="0.25">
      <c r="N5854" s="514"/>
      <c r="R5854" s="293"/>
      <c r="S5854" s="316"/>
      <c r="T5854" s="355"/>
    </row>
    <row r="5855" spans="14:20" x14ac:dyDescent="0.25">
      <c r="N5855" s="514"/>
      <c r="R5855" s="293"/>
      <c r="S5855" s="316"/>
      <c r="T5855" s="355"/>
    </row>
    <row r="5856" spans="14:20" x14ac:dyDescent="0.25">
      <c r="N5856" s="514"/>
      <c r="R5856" s="293"/>
      <c r="S5856" s="316"/>
      <c r="T5856" s="355"/>
    </row>
    <row r="5857" spans="14:20" x14ac:dyDescent="0.25">
      <c r="N5857" s="514"/>
      <c r="R5857" s="293"/>
      <c r="S5857" s="316"/>
      <c r="T5857" s="355"/>
    </row>
    <row r="5858" spans="14:20" x14ac:dyDescent="0.25">
      <c r="N5858" s="514"/>
      <c r="R5858" s="293"/>
      <c r="S5858" s="316"/>
      <c r="T5858" s="355"/>
    </row>
    <row r="5859" spans="14:20" x14ac:dyDescent="0.25">
      <c r="N5859" s="514"/>
      <c r="R5859" s="293"/>
      <c r="S5859" s="316"/>
      <c r="T5859" s="355"/>
    </row>
    <row r="5860" spans="14:20" x14ac:dyDescent="0.25">
      <c r="N5860" s="514"/>
      <c r="R5860" s="293"/>
      <c r="S5860" s="316"/>
      <c r="T5860" s="355"/>
    </row>
    <row r="5861" spans="14:20" x14ac:dyDescent="0.25">
      <c r="N5861" s="514"/>
      <c r="R5861" s="293"/>
      <c r="S5861" s="316"/>
      <c r="T5861" s="355"/>
    </row>
    <row r="5862" spans="14:20" x14ac:dyDescent="0.25">
      <c r="N5862" s="514"/>
      <c r="R5862" s="293"/>
      <c r="S5862" s="316"/>
      <c r="T5862" s="355"/>
    </row>
    <row r="5863" spans="14:20" x14ac:dyDescent="0.25">
      <c r="N5863" s="514"/>
      <c r="R5863" s="293"/>
      <c r="S5863" s="316"/>
      <c r="T5863" s="355"/>
    </row>
    <row r="5864" spans="14:20" x14ac:dyDescent="0.25">
      <c r="N5864" s="514"/>
      <c r="R5864" s="293"/>
      <c r="S5864" s="316"/>
      <c r="T5864" s="355"/>
    </row>
    <row r="5865" spans="14:20" x14ac:dyDescent="0.25">
      <c r="N5865" s="514"/>
      <c r="R5865" s="293"/>
      <c r="S5865" s="316"/>
      <c r="T5865" s="355"/>
    </row>
    <row r="5866" spans="14:20" x14ac:dyDescent="0.25">
      <c r="N5866" s="514"/>
      <c r="R5866" s="293"/>
      <c r="S5866" s="316"/>
      <c r="T5866" s="355"/>
    </row>
    <row r="5867" spans="14:20" x14ac:dyDescent="0.25">
      <c r="N5867" s="514"/>
      <c r="R5867" s="293"/>
      <c r="S5867" s="316"/>
      <c r="T5867" s="355"/>
    </row>
    <row r="5868" spans="14:20" x14ac:dyDescent="0.25">
      <c r="N5868" s="514"/>
      <c r="R5868" s="293"/>
      <c r="S5868" s="316"/>
      <c r="T5868" s="355"/>
    </row>
    <row r="5869" spans="14:20" x14ac:dyDescent="0.25">
      <c r="N5869" s="514"/>
      <c r="R5869" s="293"/>
      <c r="S5869" s="316"/>
      <c r="T5869" s="355"/>
    </row>
    <row r="5870" spans="14:20" x14ac:dyDescent="0.25">
      <c r="N5870" s="514"/>
      <c r="R5870" s="293"/>
      <c r="S5870" s="316"/>
      <c r="T5870" s="355"/>
    </row>
    <row r="5871" spans="14:20" x14ac:dyDescent="0.25">
      <c r="N5871" s="514"/>
      <c r="R5871" s="293"/>
      <c r="S5871" s="316"/>
      <c r="T5871" s="355"/>
    </row>
    <row r="5872" spans="14:20" x14ac:dyDescent="0.25">
      <c r="N5872" s="514"/>
      <c r="R5872" s="293"/>
      <c r="S5872" s="316"/>
      <c r="T5872" s="355"/>
    </row>
    <row r="5873" spans="14:20" x14ac:dyDescent="0.25">
      <c r="N5873" s="514"/>
      <c r="R5873" s="293"/>
      <c r="S5873" s="316"/>
      <c r="T5873" s="355"/>
    </row>
    <row r="5874" spans="14:20" x14ac:dyDescent="0.25">
      <c r="N5874" s="514"/>
      <c r="R5874" s="293"/>
      <c r="S5874" s="316"/>
      <c r="T5874" s="355"/>
    </row>
    <row r="5875" spans="14:20" x14ac:dyDescent="0.25">
      <c r="N5875" s="514"/>
      <c r="R5875" s="293"/>
      <c r="S5875" s="316"/>
      <c r="T5875" s="355"/>
    </row>
    <row r="5876" spans="14:20" x14ac:dyDescent="0.25">
      <c r="N5876" s="514"/>
      <c r="R5876" s="293"/>
      <c r="S5876" s="316"/>
      <c r="T5876" s="355"/>
    </row>
    <row r="5877" spans="14:20" x14ac:dyDescent="0.25">
      <c r="N5877" s="514"/>
      <c r="R5877" s="293"/>
      <c r="S5877" s="316"/>
      <c r="T5877" s="355"/>
    </row>
    <row r="5878" spans="14:20" x14ac:dyDescent="0.25">
      <c r="N5878" s="514"/>
      <c r="R5878" s="293"/>
      <c r="S5878" s="316"/>
      <c r="T5878" s="355"/>
    </row>
    <row r="5879" spans="14:20" x14ac:dyDescent="0.25">
      <c r="N5879" s="514"/>
      <c r="R5879" s="293"/>
      <c r="S5879" s="316"/>
      <c r="T5879" s="355"/>
    </row>
    <row r="5880" spans="14:20" x14ac:dyDescent="0.25">
      <c r="N5880" s="514"/>
      <c r="R5880" s="293"/>
      <c r="S5880" s="316"/>
      <c r="T5880" s="355"/>
    </row>
    <row r="5881" spans="14:20" x14ac:dyDescent="0.25">
      <c r="N5881" s="514"/>
      <c r="R5881" s="293"/>
      <c r="S5881" s="316"/>
      <c r="T5881" s="355"/>
    </row>
    <row r="5882" spans="14:20" x14ac:dyDescent="0.25">
      <c r="N5882" s="514"/>
      <c r="R5882" s="293"/>
      <c r="S5882" s="316"/>
      <c r="T5882" s="355"/>
    </row>
    <row r="5883" spans="14:20" x14ac:dyDescent="0.25">
      <c r="N5883" s="514"/>
      <c r="R5883" s="293"/>
      <c r="S5883" s="316"/>
      <c r="T5883" s="355"/>
    </row>
    <row r="5884" spans="14:20" x14ac:dyDescent="0.25">
      <c r="N5884" s="514"/>
      <c r="R5884" s="293"/>
      <c r="S5884" s="316"/>
      <c r="T5884" s="355"/>
    </row>
    <row r="5885" spans="14:20" x14ac:dyDescent="0.25">
      <c r="N5885" s="514"/>
      <c r="R5885" s="293"/>
      <c r="S5885" s="316"/>
      <c r="T5885" s="355"/>
    </row>
    <row r="5886" spans="14:20" x14ac:dyDescent="0.25">
      <c r="N5886" s="514"/>
      <c r="R5886" s="293"/>
      <c r="S5886" s="316"/>
      <c r="T5886" s="355"/>
    </row>
    <row r="5887" spans="14:20" x14ac:dyDescent="0.25">
      <c r="N5887" s="514"/>
      <c r="R5887" s="293"/>
      <c r="S5887" s="316"/>
      <c r="T5887" s="355"/>
    </row>
    <row r="5888" spans="14:20" x14ac:dyDescent="0.25">
      <c r="N5888" s="514"/>
      <c r="R5888" s="293"/>
      <c r="S5888" s="316"/>
      <c r="T5888" s="355"/>
    </row>
    <row r="5889" spans="14:20" x14ac:dyDescent="0.25">
      <c r="N5889" s="514"/>
      <c r="R5889" s="293"/>
      <c r="S5889" s="316"/>
      <c r="T5889" s="355"/>
    </row>
    <row r="5890" spans="14:20" x14ac:dyDescent="0.25">
      <c r="N5890" s="514"/>
      <c r="R5890" s="293"/>
      <c r="S5890" s="316"/>
      <c r="T5890" s="355"/>
    </row>
    <row r="5891" spans="14:20" x14ac:dyDescent="0.25">
      <c r="N5891" s="514"/>
      <c r="R5891" s="293"/>
      <c r="S5891" s="316"/>
      <c r="T5891" s="355"/>
    </row>
    <row r="5892" spans="14:20" x14ac:dyDescent="0.25">
      <c r="N5892" s="514"/>
      <c r="R5892" s="293"/>
      <c r="S5892" s="316"/>
      <c r="T5892" s="355"/>
    </row>
    <row r="5893" spans="14:20" x14ac:dyDescent="0.25">
      <c r="N5893" s="514"/>
      <c r="R5893" s="293"/>
      <c r="S5893" s="316"/>
      <c r="T5893" s="355"/>
    </row>
    <row r="5894" spans="14:20" x14ac:dyDescent="0.25">
      <c r="N5894" s="514"/>
      <c r="R5894" s="293"/>
      <c r="S5894" s="316"/>
      <c r="T5894" s="355"/>
    </row>
    <row r="5895" spans="14:20" x14ac:dyDescent="0.25">
      <c r="N5895" s="514"/>
      <c r="R5895" s="293"/>
      <c r="S5895" s="316"/>
      <c r="T5895" s="355"/>
    </row>
    <row r="5896" spans="14:20" x14ac:dyDescent="0.25">
      <c r="N5896" s="514"/>
      <c r="R5896" s="293"/>
      <c r="S5896" s="316"/>
      <c r="T5896" s="355"/>
    </row>
    <row r="5897" spans="14:20" x14ac:dyDescent="0.25">
      <c r="N5897" s="514"/>
      <c r="R5897" s="293"/>
      <c r="S5897" s="316"/>
      <c r="T5897" s="355"/>
    </row>
    <row r="5898" spans="14:20" x14ac:dyDescent="0.25">
      <c r="N5898" s="514"/>
      <c r="R5898" s="293"/>
      <c r="S5898" s="316"/>
      <c r="T5898" s="355"/>
    </row>
    <row r="5899" spans="14:20" x14ac:dyDescent="0.25">
      <c r="N5899" s="514"/>
      <c r="R5899" s="293"/>
      <c r="S5899" s="316"/>
      <c r="T5899" s="355"/>
    </row>
    <row r="5900" spans="14:20" x14ac:dyDescent="0.25">
      <c r="N5900" s="514"/>
      <c r="R5900" s="293"/>
      <c r="S5900" s="316"/>
      <c r="T5900" s="355"/>
    </row>
    <row r="5901" spans="14:20" x14ac:dyDescent="0.25">
      <c r="N5901" s="514"/>
      <c r="R5901" s="293"/>
      <c r="S5901" s="316"/>
      <c r="T5901" s="355"/>
    </row>
    <row r="5902" spans="14:20" x14ac:dyDescent="0.25">
      <c r="N5902" s="514"/>
      <c r="R5902" s="293"/>
      <c r="S5902" s="316"/>
      <c r="T5902" s="355"/>
    </row>
    <row r="5903" spans="14:20" x14ac:dyDescent="0.25">
      <c r="N5903" s="514"/>
      <c r="R5903" s="293"/>
      <c r="S5903" s="316"/>
      <c r="T5903" s="355"/>
    </row>
    <row r="5904" spans="14:20" x14ac:dyDescent="0.25">
      <c r="N5904" s="514"/>
      <c r="R5904" s="293"/>
      <c r="S5904" s="316"/>
      <c r="T5904" s="355"/>
    </row>
    <row r="5905" spans="14:20" x14ac:dyDescent="0.25">
      <c r="N5905" s="514"/>
      <c r="R5905" s="293"/>
      <c r="S5905" s="316"/>
      <c r="T5905" s="355"/>
    </row>
    <row r="5906" spans="14:20" x14ac:dyDescent="0.25">
      <c r="N5906" s="514"/>
      <c r="R5906" s="293"/>
      <c r="S5906" s="316"/>
      <c r="T5906" s="355"/>
    </row>
    <row r="5907" spans="14:20" x14ac:dyDescent="0.25">
      <c r="N5907" s="514"/>
      <c r="R5907" s="293"/>
      <c r="S5907" s="316"/>
      <c r="T5907" s="355"/>
    </row>
    <row r="5908" spans="14:20" x14ac:dyDescent="0.25">
      <c r="N5908" s="514"/>
      <c r="R5908" s="293"/>
      <c r="S5908" s="316"/>
      <c r="T5908" s="355"/>
    </row>
    <row r="5909" spans="14:20" x14ac:dyDescent="0.25">
      <c r="N5909" s="514"/>
      <c r="R5909" s="293"/>
      <c r="S5909" s="316"/>
      <c r="T5909" s="355"/>
    </row>
    <row r="5910" spans="14:20" x14ac:dyDescent="0.25">
      <c r="N5910" s="514"/>
      <c r="R5910" s="293"/>
      <c r="S5910" s="316"/>
      <c r="T5910" s="355"/>
    </row>
    <row r="5911" spans="14:20" x14ac:dyDescent="0.25">
      <c r="N5911" s="514"/>
      <c r="R5911" s="293"/>
      <c r="S5911" s="316"/>
      <c r="T5911" s="355"/>
    </row>
    <row r="5912" spans="14:20" x14ac:dyDescent="0.25">
      <c r="N5912" s="514"/>
      <c r="R5912" s="293"/>
      <c r="S5912" s="316"/>
      <c r="T5912" s="355"/>
    </row>
    <row r="5913" spans="14:20" x14ac:dyDescent="0.25">
      <c r="N5913" s="514"/>
      <c r="R5913" s="293"/>
      <c r="S5913" s="316"/>
      <c r="T5913" s="355"/>
    </row>
    <row r="5914" spans="14:20" x14ac:dyDescent="0.25">
      <c r="N5914" s="514"/>
      <c r="R5914" s="293"/>
      <c r="S5914" s="316"/>
      <c r="T5914" s="355"/>
    </row>
    <row r="5915" spans="14:20" x14ac:dyDescent="0.25">
      <c r="N5915" s="514"/>
      <c r="R5915" s="293"/>
      <c r="S5915" s="316"/>
      <c r="T5915" s="355"/>
    </row>
    <row r="5916" spans="14:20" x14ac:dyDescent="0.25">
      <c r="N5916" s="514"/>
      <c r="R5916" s="293"/>
      <c r="S5916" s="316"/>
      <c r="T5916" s="355"/>
    </row>
    <row r="5917" spans="14:20" x14ac:dyDescent="0.25">
      <c r="N5917" s="514"/>
      <c r="R5917" s="293"/>
      <c r="S5917" s="316"/>
      <c r="T5917" s="355"/>
    </row>
    <row r="5918" spans="14:20" x14ac:dyDescent="0.25">
      <c r="N5918" s="514"/>
      <c r="R5918" s="293"/>
      <c r="S5918" s="316"/>
      <c r="T5918" s="355"/>
    </row>
    <row r="5919" spans="14:20" x14ac:dyDescent="0.25">
      <c r="N5919" s="514"/>
      <c r="R5919" s="293"/>
      <c r="S5919" s="316"/>
      <c r="T5919" s="355"/>
    </row>
    <row r="5920" spans="14:20" x14ac:dyDescent="0.25">
      <c r="N5920" s="514"/>
      <c r="R5920" s="293"/>
      <c r="S5920" s="316"/>
      <c r="T5920" s="355"/>
    </row>
    <row r="5921" spans="14:20" x14ac:dyDescent="0.25">
      <c r="N5921" s="514"/>
      <c r="R5921" s="293"/>
      <c r="S5921" s="316"/>
      <c r="T5921" s="355"/>
    </row>
    <row r="5922" spans="14:20" x14ac:dyDescent="0.25">
      <c r="N5922" s="514"/>
      <c r="R5922" s="293"/>
      <c r="S5922" s="316"/>
      <c r="T5922" s="355"/>
    </row>
    <row r="5923" spans="14:20" x14ac:dyDescent="0.25">
      <c r="N5923" s="514"/>
      <c r="R5923" s="293"/>
      <c r="S5923" s="316"/>
      <c r="T5923" s="355"/>
    </row>
    <row r="5924" spans="14:20" x14ac:dyDescent="0.25">
      <c r="N5924" s="514"/>
      <c r="R5924" s="293"/>
      <c r="S5924" s="316"/>
      <c r="T5924" s="355"/>
    </row>
    <row r="5925" spans="14:20" x14ac:dyDescent="0.25">
      <c r="N5925" s="514"/>
      <c r="R5925" s="293"/>
      <c r="S5925" s="316"/>
      <c r="T5925" s="355"/>
    </row>
    <row r="5926" spans="14:20" x14ac:dyDescent="0.25">
      <c r="N5926" s="514"/>
      <c r="R5926" s="293"/>
      <c r="S5926" s="316"/>
      <c r="T5926" s="355"/>
    </row>
    <row r="5927" spans="14:20" x14ac:dyDescent="0.25">
      <c r="N5927" s="514"/>
      <c r="R5927" s="293"/>
      <c r="S5927" s="316"/>
      <c r="T5927" s="355"/>
    </row>
    <row r="5928" spans="14:20" x14ac:dyDescent="0.25">
      <c r="N5928" s="514"/>
      <c r="R5928" s="293"/>
      <c r="S5928" s="316"/>
      <c r="T5928" s="355"/>
    </row>
    <row r="5929" spans="14:20" x14ac:dyDescent="0.25">
      <c r="N5929" s="514"/>
      <c r="R5929" s="293"/>
      <c r="S5929" s="316"/>
      <c r="T5929" s="355"/>
    </row>
    <row r="5930" spans="14:20" x14ac:dyDescent="0.25">
      <c r="N5930" s="514"/>
      <c r="R5930" s="293"/>
      <c r="S5930" s="316"/>
      <c r="T5930" s="355"/>
    </row>
    <row r="5931" spans="14:20" x14ac:dyDescent="0.25">
      <c r="N5931" s="514"/>
      <c r="R5931" s="293"/>
      <c r="S5931" s="316"/>
      <c r="T5931" s="355"/>
    </row>
    <row r="5932" spans="14:20" x14ac:dyDescent="0.25">
      <c r="N5932" s="514"/>
      <c r="R5932" s="293"/>
      <c r="S5932" s="316"/>
      <c r="T5932" s="355"/>
    </row>
    <row r="5933" spans="14:20" x14ac:dyDescent="0.25">
      <c r="N5933" s="514"/>
      <c r="R5933" s="293"/>
      <c r="S5933" s="316"/>
      <c r="T5933" s="355"/>
    </row>
    <row r="5934" spans="14:20" x14ac:dyDescent="0.25">
      <c r="N5934" s="514"/>
      <c r="R5934" s="293"/>
      <c r="S5934" s="316"/>
      <c r="T5934" s="355"/>
    </row>
    <row r="5935" spans="14:20" x14ac:dyDescent="0.25">
      <c r="N5935" s="514"/>
      <c r="R5935" s="293"/>
      <c r="S5935" s="316"/>
      <c r="T5935" s="355"/>
    </row>
    <row r="5936" spans="14:20" x14ac:dyDescent="0.25">
      <c r="N5936" s="514"/>
      <c r="R5936" s="293"/>
      <c r="S5936" s="316"/>
      <c r="T5936" s="355"/>
    </row>
    <row r="5937" spans="14:20" x14ac:dyDescent="0.25">
      <c r="N5937" s="514"/>
      <c r="R5937" s="293"/>
      <c r="S5937" s="316"/>
      <c r="T5937" s="355"/>
    </row>
    <row r="5938" spans="14:20" x14ac:dyDescent="0.25">
      <c r="N5938" s="514"/>
      <c r="R5938" s="293"/>
      <c r="S5938" s="316"/>
      <c r="T5938" s="355"/>
    </row>
    <row r="5939" spans="14:20" x14ac:dyDescent="0.25">
      <c r="N5939" s="514"/>
      <c r="R5939" s="293"/>
      <c r="S5939" s="316"/>
      <c r="T5939" s="355"/>
    </row>
    <row r="5940" spans="14:20" x14ac:dyDescent="0.25">
      <c r="N5940" s="514"/>
      <c r="R5940" s="293"/>
      <c r="S5940" s="316"/>
      <c r="T5940" s="355"/>
    </row>
    <row r="5941" spans="14:20" x14ac:dyDescent="0.25">
      <c r="N5941" s="514"/>
      <c r="R5941" s="293"/>
      <c r="S5941" s="316"/>
      <c r="T5941" s="355"/>
    </row>
    <row r="5942" spans="14:20" x14ac:dyDescent="0.25">
      <c r="N5942" s="514"/>
      <c r="R5942" s="293"/>
      <c r="S5942" s="316"/>
      <c r="T5942" s="355"/>
    </row>
    <row r="5943" spans="14:20" x14ac:dyDescent="0.25">
      <c r="N5943" s="514"/>
      <c r="R5943" s="293"/>
      <c r="S5943" s="316"/>
      <c r="T5943" s="355"/>
    </row>
    <row r="5944" spans="14:20" x14ac:dyDescent="0.25">
      <c r="N5944" s="514"/>
      <c r="R5944" s="293"/>
      <c r="S5944" s="316"/>
      <c r="T5944" s="355"/>
    </row>
    <row r="5945" spans="14:20" x14ac:dyDescent="0.25">
      <c r="N5945" s="514"/>
      <c r="R5945" s="293"/>
      <c r="S5945" s="316"/>
      <c r="T5945" s="355"/>
    </row>
    <row r="5946" spans="14:20" x14ac:dyDescent="0.25">
      <c r="N5946" s="514"/>
      <c r="R5946" s="293"/>
      <c r="S5946" s="316"/>
      <c r="T5946" s="355"/>
    </row>
    <row r="5947" spans="14:20" x14ac:dyDescent="0.25">
      <c r="N5947" s="514"/>
      <c r="R5947" s="293"/>
      <c r="S5947" s="316"/>
      <c r="T5947" s="355"/>
    </row>
    <row r="5948" spans="14:20" x14ac:dyDescent="0.25">
      <c r="N5948" s="514"/>
      <c r="R5948" s="293"/>
      <c r="S5948" s="316"/>
      <c r="T5948" s="355"/>
    </row>
    <row r="5949" spans="14:20" x14ac:dyDescent="0.25">
      <c r="N5949" s="514"/>
      <c r="R5949" s="293"/>
      <c r="S5949" s="316"/>
      <c r="T5949" s="355"/>
    </row>
    <row r="5950" spans="14:20" x14ac:dyDescent="0.25">
      <c r="N5950" s="514"/>
      <c r="R5950" s="293"/>
      <c r="S5950" s="316"/>
      <c r="T5950" s="355"/>
    </row>
    <row r="5951" spans="14:20" x14ac:dyDescent="0.25">
      <c r="N5951" s="514"/>
      <c r="R5951" s="293"/>
      <c r="S5951" s="316"/>
      <c r="T5951" s="355"/>
    </row>
    <row r="5952" spans="14:20" x14ac:dyDescent="0.25">
      <c r="N5952" s="514"/>
      <c r="R5952" s="293"/>
      <c r="S5952" s="316"/>
      <c r="T5952" s="355"/>
    </row>
    <row r="5953" spans="14:20" x14ac:dyDescent="0.25">
      <c r="N5953" s="514"/>
      <c r="R5953" s="293"/>
      <c r="S5953" s="316"/>
      <c r="T5953" s="355"/>
    </row>
    <row r="5954" spans="14:20" x14ac:dyDescent="0.25">
      <c r="N5954" s="514"/>
      <c r="R5954" s="293"/>
      <c r="S5954" s="316"/>
      <c r="T5954" s="355"/>
    </row>
    <row r="5955" spans="14:20" x14ac:dyDescent="0.25">
      <c r="N5955" s="514"/>
      <c r="R5955" s="293"/>
      <c r="S5955" s="316"/>
      <c r="T5955" s="355"/>
    </row>
    <row r="5956" spans="14:20" x14ac:dyDescent="0.25">
      <c r="N5956" s="514"/>
      <c r="R5956" s="293"/>
      <c r="S5956" s="316"/>
      <c r="T5956" s="355"/>
    </row>
    <row r="5957" spans="14:20" x14ac:dyDescent="0.25">
      <c r="N5957" s="514"/>
      <c r="R5957" s="293"/>
      <c r="S5957" s="316"/>
      <c r="T5957" s="355"/>
    </row>
    <row r="5958" spans="14:20" x14ac:dyDescent="0.25">
      <c r="N5958" s="514"/>
      <c r="R5958" s="293"/>
      <c r="S5958" s="316"/>
      <c r="T5958" s="355"/>
    </row>
    <row r="5959" spans="14:20" x14ac:dyDescent="0.25">
      <c r="N5959" s="514"/>
      <c r="R5959" s="293"/>
      <c r="S5959" s="316"/>
      <c r="T5959" s="355"/>
    </row>
    <row r="5960" spans="14:20" x14ac:dyDescent="0.25">
      <c r="N5960" s="514"/>
      <c r="R5960" s="293"/>
      <c r="S5960" s="316"/>
      <c r="T5960" s="355"/>
    </row>
    <row r="5961" spans="14:20" x14ac:dyDescent="0.25">
      <c r="N5961" s="514"/>
      <c r="R5961" s="293"/>
      <c r="S5961" s="316"/>
      <c r="T5961" s="355"/>
    </row>
    <row r="5962" spans="14:20" x14ac:dyDescent="0.25">
      <c r="N5962" s="514"/>
      <c r="R5962" s="293"/>
      <c r="S5962" s="316"/>
      <c r="T5962" s="355"/>
    </row>
    <row r="5963" spans="14:20" x14ac:dyDescent="0.25">
      <c r="N5963" s="514"/>
      <c r="R5963" s="293"/>
      <c r="S5963" s="316"/>
      <c r="T5963" s="355"/>
    </row>
    <row r="5964" spans="14:20" x14ac:dyDescent="0.25">
      <c r="N5964" s="514"/>
      <c r="R5964" s="293"/>
      <c r="S5964" s="316"/>
      <c r="T5964" s="355"/>
    </row>
    <row r="5965" spans="14:20" x14ac:dyDescent="0.25">
      <c r="N5965" s="514"/>
      <c r="R5965" s="293"/>
      <c r="S5965" s="316"/>
      <c r="T5965" s="355"/>
    </row>
    <row r="5966" spans="14:20" x14ac:dyDescent="0.25">
      <c r="N5966" s="514"/>
      <c r="R5966" s="293"/>
      <c r="S5966" s="316"/>
      <c r="T5966" s="355"/>
    </row>
    <row r="5967" spans="14:20" x14ac:dyDescent="0.25">
      <c r="N5967" s="514"/>
      <c r="R5967" s="293"/>
      <c r="S5967" s="316"/>
      <c r="T5967" s="355"/>
    </row>
    <row r="5968" spans="14:20" x14ac:dyDescent="0.25">
      <c r="N5968" s="514"/>
      <c r="R5968" s="293"/>
      <c r="S5968" s="316"/>
      <c r="T5968" s="355"/>
    </row>
    <row r="5969" spans="14:20" x14ac:dyDescent="0.25">
      <c r="N5969" s="514"/>
      <c r="R5969" s="293"/>
      <c r="S5969" s="316"/>
      <c r="T5969" s="355"/>
    </row>
    <row r="5970" spans="14:20" x14ac:dyDescent="0.25">
      <c r="N5970" s="514"/>
      <c r="R5970" s="293"/>
      <c r="S5970" s="316"/>
      <c r="T5970" s="355"/>
    </row>
    <row r="5971" spans="14:20" x14ac:dyDescent="0.25">
      <c r="N5971" s="514"/>
      <c r="R5971" s="293"/>
      <c r="S5971" s="316"/>
      <c r="T5971" s="355"/>
    </row>
    <row r="5972" spans="14:20" x14ac:dyDescent="0.25">
      <c r="N5972" s="514"/>
      <c r="R5972" s="293"/>
      <c r="S5972" s="316"/>
      <c r="T5972" s="355"/>
    </row>
    <row r="5973" spans="14:20" x14ac:dyDescent="0.25">
      <c r="N5973" s="514"/>
      <c r="R5973" s="293"/>
      <c r="S5973" s="316"/>
      <c r="T5973" s="355"/>
    </row>
    <row r="5974" spans="14:20" x14ac:dyDescent="0.25">
      <c r="N5974" s="514"/>
      <c r="R5974" s="293"/>
      <c r="S5974" s="316"/>
      <c r="T5974" s="355"/>
    </row>
    <row r="5975" spans="14:20" x14ac:dyDescent="0.25">
      <c r="N5975" s="514"/>
      <c r="R5975" s="293"/>
      <c r="S5975" s="316"/>
      <c r="T5975" s="355"/>
    </row>
    <row r="5976" spans="14:20" x14ac:dyDescent="0.25">
      <c r="N5976" s="514"/>
      <c r="R5976" s="293"/>
      <c r="S5976" s="316"/>
      <c r="T5976" s="355"/>
    </row>
    <row r="5977" spans="14:20" x14ac:dyDescent="0.25">
      <c r="N5977" s="514"/>
      <c r="R5977" s="293"/>
      <c r="S5977" s="316"/>
      <c r="T5977" s="355"/>
    </row>
    <row r="5978" spans="14:20" x14ac:dyDescent="0.25">
      <c r="N5978" s="514"/>
      <c r="R5978" s="293"/>
      <c r="S5978" s="316"/>
      <c r="T5978" s="355"/>
    </row>
    <row r="5979" spans="14:20" x14ac:dyDescent="0.25">
      <c r="N5979" s="514"/>
      <c r="R5979" s="293"/>
      <c r="S5979" s="316"/>
      <c r="T5979" s="355"/>
    </row>
    <row r="5980" spans="14:20" x14ac:dyDescent="0.25">
      <c r="N5980" s="514"/>
      <c r="R5980" s="293"/>
      <c r="S5980" s="316"/>
      <c r="T5980" s="355"/>
    </row>
    <row r="5981" spans="14:20" x14ac:dyDescent="0.25">
      <c r="N5981" s="514"/>
      <c r="R5981" s="293"/>
      <c r="S5981" s="316"/>
      <c r="T5981" s="355"/>
    </row>
    <row r="5982" spans="14:20" x14ac:dyDescent="0.25">
      <c r="N5982" s="514"/>
      <c r="R5982" s="293"/>
      <c r="S5982" s="316"/>
      <c r="T5982" s="355"/>
    </row>
    <row r="5983" spans="14:20" x14ac:dyDescent="0.25">
      <c r="N5983" s="514"/>
      <c r="R5983" s="293"/>
      <c r="S5983" s="316"/>
      <c r="T5983" s="355"/>
    </row>
    <row r="5984" spans="14:20" x14ac:dyDescent="0.25">
      <c r="N5984" s="514"/>
      <c r="R5984" s="293"/>
      <c r="S5984" s="316"/>
      <c r="T5984" s="355"/>
    </row>
    <row r="5985" spans="14:20" x14ac:dyDescent="0.25">
      <c r="N5985" s="514"/>
      <c r="R5985" s="293"/>
      <c r="S5985" s="316"/>
      <c r="T5985" s="355"/>
    </row>
    <row r="5986" spans="14:20" x14ac:dyDescent="0.25">
      <c r="N5986" s="514"/>
      <c r="R5986" s="293"/>
      <c r="S5986" s="316"/>
      <c r="T5986" s="355"/>
    </row>
    <row r="5987" spans="14:20" x14ac:dyDescent="0.25">
      <c r="N5987" s="514"/>
      <c r="R5987" s="293"/>
      <c r="S5987" s="316"/>
      <c r="T5987" s="355"/>
    </row>
    <row r="5988" spans="14:20" x14ac:dyDescent="0.25">
      <c r="N5988" s="514"/>
      <c r="R5988" s="293"/>
      <c r="S5988" s="316"/>
      <c r="T5988" s="355"/>
    </row>
    <row r="5989" spans="14:20" x14ac:dyDescent="0.25">
      <c r="N5989" s="514"/>
      <c r="R5989" s="293"/>
      <c r="S5989" s="316"/>
      <c r="T5989" s="355"/>
    </row>
    <row r="5990" spans="14:20" x14ac:dyDescent="0.25">
      <c r="N5990" s="514"/>
      <c r="R5990" s="293"/>
      <c r="S5990" s="316"/>
      <c r="T5990" s="355"/>
    </row>
    <row r="5991" spans="14:20" x14ac:dyDescent="0.25">
      <c r="N5991" s="514"/>
      <c r="R5991" s="293"/>
      <c r="S5991" s="316"/>
      <c r="T5991" s="355"/>
    </row>
    <row r="5992" spans="14:20" x14ac:dyDescent="0.25">
      <c r="N5992" s="514"/>
      <c r="R5992" s="293"/>
      <c r="S5992" s="316"/>
      <c r="T5992" s="355"/>
    </row>
    <row r="5993" spans="14:20" x14ac:dyDescent="0.25">
      <c r="N5993" s="514"/>
      <c r="R5993" s="293"/>
      <c r="S5993" s="316"/>
      <c r="T5993" s="355"/>
    </row>
    <row r="5994" spans="14:20" x14ac:dyDescent="0.25">
      <c r="N5994" s="514"/>
      <c r="R5994" s="293"/>
      <c r="S5994" s="316"/>
      <c r="T5994" s="355"/>
    </row>
    <row r="5995" spans="14:20" x14ac:dyDescent="0.25">
      <c r="N5995" s="514"/>
      <c r="R5995" s="293"/>
      <c r="S5995" s="316"/>
      <c r="T5995" s="355"/>
    </row>
    <row r="5996" spans="14:20" x14ac:dyDescent="0.25">
      <c r="N5996" s="514"/>
      <c r="R5996" s="293"/>
      <c r="S5996" s="316"/>
      <c r="T5996" s="355"/>
    </row>
    <row r="5997" spans="14:20" x14ac:dyDescent="0.25">
      <c r="N5997" s="514"/>
      <c r="R5997" s="293"/>
      <c r="S5997" s="316"/>
      <c r="T5997" s="355"/>
    </row>
    <row r="5998" spans="14:20" x14ac:dyDescent="0.25">
      <c r="N5998" s="514"/>
      <c r="R5998" s="293"/>
      <c r="S5998" s="316"/>
      <c r="T5998" s="355"/>
    </row>
    <row r="5999" spans="14:20" x14ac:dyDescent="0.25">
      <c r="N5999" s="514"/>
      <c r="R5999" s="293"/>
      <c r="S5999" s="316"/>
      <c r="T5999" s="355"/>
    </row>
    <row r="6000" spans="14:20" x14ac:dyDescent="0.25">
      <c r="N6000" s="514"/>
      <c r="R6000" s="293"/>
      <c r="S6000" s="316"/>
      <c r="T6000" s="355"/>
    </row>
    <row r="6001" spans="14:20" x14ac:dyDescent="0.25">
      <c r="N6001" s="514"/>
      <c r="R6001" s="293"/>
      <c r="S6001" s="316"/>
      <c r="T6001" s="355"/>
    </row>
    <row r="6002" spans="14:20" x14ac:dyDescent="0.25">
      <c r="N6002" s="514"/>
      <c r="R6002" s="293"/>
      <c r="S6002" s="316"/>
      <c r="T6002" s="355"/>
    </row>
    <row r="6003" spans="14:20" x14ac:dyDescent="0.25">
      <c r="N6003" s="514"/>
      <c r="R6003" s="293"/>
      <c r="S6003" s="316"/>
      <c r="T6003" s="355"/>
    </row>
    <row r="6004" spans="14:20" x14ac:dyDescent="0.25">
      <c r="N6004" s="514"/>
      <c r="R6004" s="293"/>
      <c r="S6004" s="316"/>
      <c r="T6004" s="355"/>
    </row>
    <row r="6005" spans="14:20" x14ac:dyDescent="0.25">
      <c r="N6005" s="514"/>
      <c r="R6005" s="293"/>
      <c r="S6005" s="316"/>
      <c r="T6005" s="355"/>
    </row>
    <row r="6006" spans="14:20" x14ac:dyDescent="0.25">
      <c r="N6006" s="514"/>
      <c r="R6006" s="293"/>
      <c r="S6006" s="316"/>
      <c r="T6006" s="355"/>
    </row>
    <row r="6007" spans="14:20" x14ac:dyDescent="0.25">
      <c r="N6007" s="514"/>
      <c r="R6007" s="293"/>
      <c r="S6007" s="316"/>
      <c r="T6007" s="355"/>
    </row>
    <row r="6008" spans="14:20" x14ac:dyDescent="0.25">
      <c r="N6008" s="514"/>
      <c r="R6008" s="293"/>
      <c r="S6008" s="316"/>
      <c r="T6008" s="355"/>
    </row>
    <row r="6009" spans="14:20" x14ac:dyDescent="0.25">
      <c r="N6009" s="514"/>
      <c r="R6009" s="293"/>
      <c r="S6009" s="316"/>
      <c r="T6009" s="355"/>
    </row>
    <row r="6010" spans="14:20" x14ac:dyDescent="0.25">
      <c r="N6010" s="514"/>
      <c r="R6010" s="293"/>
      <c r="S6010" s="316"/>
      <c r="T6010" s="355"/>
    </row>
    <row r="6011" spans="14:20" x14ac:dyDescent="0.25">
      <c r="N6011" s="514"/>
      <c r="R6011" s="293"/>
      <c r="S6011" s="316"/>
      <c r="T6011" s="355"/>
    </row>
    <row r="6012" spans="14:20" x14ac:dyDescent="0.25">
      <c r="N6012" s="514"/>
      <c r="R6012" s="293"/>
      <c r="S6012" s="316"/>
      <c r="T6012" s="355"/>
    </row>
    <row r="6013" spans="14:20" x14ac:dyDescent="0.25">
      <c r="N6013" s="514"/>
      <c r="R6013" s="293"/>
      <c r="S6013" s="316"/>
      <c r="T6013" s="355"/>
    </row>
    <row r="6014" spans="14:20" x14ac:dyDescent="0.25">
      <c r="N6014" s="514"/>
      <c r="R6014" s="293"/>
      <c r="S6014" s="316"/>
      <c r="T6014" s="355"/>
    </row>
    <row r="6015" spans="14:20" x14ac:dyDescent="0.25">
      <c r="N6015" s="514"/>
      <c r="R6015" s="293"/>
      <c r="S6015" s="316"/>
      <c r="T6015" s="355"/>
    </row>
    <row r="6016" spans="14:20" x14ac:dyDescent="0.25">
      <c r="N6016" s="514"/>
      <c r="R6016" s="293"/>
      <c r="S6016" s="316"/>
      <c r="T6016" s="355"/>
    </row>
    <row r="6017" spans="14:20" x14ac:dyDescent="0.25">
      <c r="N6017" s="514"/>
      <c r="R6017" s="293"/>
      <c r="S6017" s="316"/>
      <c r="T6017" s="355"/>
    </row>
    <row r="6018" spans="14:20" x14ac:dyDescent="0.25">
      <c r="N6018" s="514"/>
      <c r="R6018" s="293"/>
      <c r="S6018" s="316"/>
      <c r="T6018" s="355"/>
    </row>
    <row r="6019" spans="14:20" x14ac:dyDescent="0.25">
      <c r="N6019" s="514"/>
      <c r="R6019" s="293"/>
      <c r="S6019" s="316"/>
      <c r="T6019" s="355"/>
    </row>
    <row r="6020" spans="14:20" x14ac:dyDescent="0.25">
      <c r="N6020" s="514"/>
      <c r="R6020" s="293"/>
      <c r="S6020" s="316"/>
      <c r="T6020" s="355"/>
    </row>
    <row r="6021" spans="14:20" x14ac:dyDescent="0.25">
      <c r="N6021" s="514"/>
      <c r="R6021" s="293"/>
      <c r="S6021" s="316"/>
      <c r="T6021" s="355"/>
    </row>
    <row r="6022" spans="14:20" x14ac:dyDescent="0.25">
      <c r="N6022" s="514"/>
      <c r="R6022" s="293"/>
      <c r="S6022" s="316"/>
      <c r="T6022" s="355"/>
    </row>
    <row r="6023" spans="14:20" x14ac:dyDescent="0.25">
      <c r="N6023" s="514"/>
      <c r="R6023" s="293"/>
      <c r="S6023" s="316"/>
      <c r="T6023" s="355"/>
    </row>
    <row r="6024" spans="14:20" x14ac:dyDescent="0.25">
      <c r="N6024" s="514"/>
      <c r="R6024" s="293"/>
      <c r="S6024" s="316"/>
      <c r="T6024" s="355"/>
    </row>
    <row r="6025" spans="14:20" x14ac:dyDescent="0.25">
      <c r="N6025" s="514"/>
      <c r="R6025" s="293"/>
      <c r="S6025" s="316"/>
      <c r="T6025" s="355"/>
    </row>
    <row r="6026" spans="14:20" x14ac:dyDescent="0.25">
      <c r="N6026" s="514"/>
      <c r="R6026" s="293"/>
      <c r="S6026" s="316"/>
      <c r="T6026" s="355"/>
    </row>
    <row r="6027" spans="14:20" x14ac:dyDescent="0.25">
      <c r="N6027" s="514"/>
      <c r="R6027" s="293"/>
      <c r="S6027" s="316"/>
      <c r="T6027" s="355"/>
    </row>
    <row r="6028" spans="14:20" x14ac:dyDescent="0.25">
      <c r="N6028" s="514"/>
      <c r="R6028" s="293"/>
      <c r="S6028" s="316"/>
      <c r="T6028" s="355"/>
    </row>
    <row r="6029" spans="14:20" x14ac:dyDescent="0.25">
      <c r="N6029" s="514"/>
      <c r="R6029" s="293"/>
      <c r="S6029" s="316"/>
      <c r="T6029" s="355"/>
    </row>
    <row r="6030" spans="14:20" x14ac:dyDescent="0.25">
      <c r="N6030" s="514"/>
      <c r="R6030" s="293"/>
      <c r="S6030" s="316"/>
      <c r="T6030" s="355"/>
    </row>
    <row r="6031" spans="14:20" x14ac:dyDescent="0.25">
      <c r="N6031" s="514"/>
      <c r="R6031" s="293"/>
      <c r="S6031" s="316"/>
      <c r="T6031" s="355"/>
    </row>
    <row r="6032" spans="14:20" x14ac:dyDescent="0.25">
      <c r="N6032" s="514"/>
      <c r="R6032" s="293"/>
      <c r="S6032" s="316"/>
      <c r="T6032" s="355"/>
    </row>
    <row r="6033" spans="14:20" x14ac:dyDescent="0.25">
      <c r="N6033" s="514"/>
      <c r="R6033" s="293"/>
      <c r="S6033" s="316"/>
      <c r="T6033" s="355"/>
    </row>
    <row r="6034" spans="14:20" x14ac:dyDescent="0.25">
      <c r="N6034" s="514"/>
      <c r="R6034" s="293"/>
      <c r="S6034" s="316"/>
      <c r="T6034" s="355"/>
    </row>
    <row r="6035" spans="14:20" x14ac:dyDescent="0.25">
      <c r="N6035" s="514"/>
      <c r="R6035" s="293"/>
      <c r="S6035" s="316"/>
      <c r="T6035" s="355"/>
    </row>
    <row r="6036" spans="14:20" x14ac:dyDescent="0.25">
      <c r="N6036" s="514"/>
      <c r="R6036" s="293"/>
      <c r="S6036" s="316"/>
      <c r="T6036" s="355"/>
    </row>
    <row r="6037" spans="14:20" x14ac:dyDescent="0.25">
      <c r="N6037" s="514"/>
      <c r="R6037" s="293"/>
      <c r="S6037" s="316"/>
      <c r="T6037" s="355"/>
    </row>
    <row r="6038" spans="14:20" x14ac:dyDescent="0.25">
      <c r="N6038" s="514"/>
      <c r="R6038" s="293"/>
      <c r="S6038" s="316"/>
      <c r="T6038" s="355"/>
    </row>
    <row r="6039" spans="14:20" x14ac:dyDescent="0.25">
      <c r="N6039" s="514"/>
      <c r="R6039" s="293"/>
      <c r="S6039" s="316"/>
      <c r="T6039" s="355"/>
    </row>
    <row r="6040" spans="14:20" x14ac:dyDescent="0.25">
      <c r="N6040" s="514"/>
      <c r="R6040" s="293"/>
      <c r="S6040" s="316"/>
      <c r="T6040" s="355"/>
    </row>
    <row r="6041" spans="14:20" x14ac:dyDescent="0.25">
      <c r="N6041" s="514"/>
      <c r="R6041" s="293"/>
      <c r="S6041" s="316"/>
      <c r="T6041" s="355"/>
    </row>
    <row r="6042" spans="14:20" x14ac:dyDescent="0.25">
      <c r="N6042" s="514"/>
      <c r="R6042" s="293"/>
      <c r="S6042" s="316"/>
      <c r="T6042" s="355"/>
    </row>
    <row r="6043" spans="14:20" x14ac:dyDescent="0.25">
      <c r="N6043" s="514"/>
      <c r="R6043" s="293"/>
      <c r="S6043" s="316"/>
      <c r="T6043" s="355"/>
    </row>
    <row r="6044" spans="14:20" x14ac:dyDescent="0.25">
      <c r="N6044" s="514"/>
      <c r="R6044" s="293"/>
      <c r="S6044" s="316"/>
      <c r="T6044" s="355"/>
    </row>
    <row r="6045" spans="14:20" x14ac:dyDescent="0.25">
      <c r="N6045" s="514"/>
      <c r="R6045" s="293"/>
      <c r="S6045" s="316"/>
      <c r="T6045" s="355"/>
    </row>
    <row r="6046" spans="14:20" x14ac:dyDescent="0.25">
      <c r="N6046" s="514"/>
      <c r="R6046" s="293"/>
      <c r="S6046" s="316"/>
      <c r="T6046" s="355"/>
    </row>
    <row r="6047" spans="14:20" x14ac:dyDescent="0.25">
      <c r="N6047" s="514"/>
      <c r="R6047" s="293"/>
      <c r="S6047" s="316"/>
      <c r="T6047" s="355"/>
    </row>
    <row r="6048" spans="14:20" x14ac:dyDescent="0.25">
      <c r="N6048" s="514"/>
      <c r="R6048" s="293"/>
      <c r="S6048" s="316"/>
      <c r="T6048" s="355"/>
    </row>
    <row r="6049" spans="14:20" x14ac:dyDescent="0.25">
      <c r="N6049" s="514"/>
      <c r="R6049" s="293"/>
      <c r="S6049" s="316"/>
      <c r="T6049" s="355"/>
    </row>
    <row r="6050" spans="14:20" x14ac:dyDescent="0.25">
      <c r="N6050" s="514"/>
      <c r="R6050" s="293"/>
      <c r="S6050" s="316"/>
      <c r="T6050" s="355"/>
    </row>
    <row r="6051" spans="14:20" x14ac:dyDescent="0.25">
      <c r="N6051" s="514"/>
      <c r="R6051" s="293"/>
      <c r="S6051" s="316"/>
      <c r="T6051" s="355"/>
    </row>
    <row r="6052" spans="14:20" x14ac:dyDescent="0.25">
      <c r="N6052" s="514"/>
      <c r="R6052" s="293"/>
      <c r="S6052" s="316"/>
      <c r="T6052" s="355"/>
    </row>
    <row r="6053" spans="14:20" x14ac:dyDescent="0.25">
      <c r="N6053" s="514"/>
      <c r="R6053" s="293"/>
      <c r="S6053" s="316"/>
      <c r="T6053" s="355"/>
    </row>
    <row r="6054" spans="14:20" x14ac:dyDescent="0.25">
      <c r="N6054" s="514"/>
      <c r="R6054" s="293"/>
      <c r="S6054" s="316"/>
      <c r="T6054" s="355"/>
    </row>
    <row r="6055" spans="14:20" x14ac:dyDescent="0.25">
      <c r="N6055" s="514"/>
      <c r="R6055" s="293"/>
      <c r="S6055" s="316"/>
      <c r="T6055" s="355"/>
    </row>
    <row r="6056" spans="14:20" x14ac:dyDescent="0.25">
      <c r="N6056" s="514"/>
      <c r="R6056" s="293"/>
      <c r="S6056" s="316"/>
      <c r="T6056" s="355"/>
    </row>
    <row r="6057" spans="14:20" x14ac:dyDescent="0.25">
      <c r="N6057" s="514"/>
      <c r="R6057" s="293"/>
      <c r="S6057" s="316"/>
      <c r="T6057" s="355"/>
    </row>
    <row r="6058" spans="14:20" x14ac:dyDescent="0.25">
      <c r="N6058" s="514"/>
      <c r="R6058" s="293"/>
      <c r="S6058" s="316"/>
      <c r="T6058" s="355"/>
    </row>
    <row r="6059" spans="14:20" x14ac:dyDescent="0.25">
      <c r="N6059" s="514"/>
      <c r="R6059" s="293"/>
      <c r="S6059" s="316"/>
      <c r="T6059" s="355"/>
    </row>
    <row r="6060" spans="14:20" x14ac:dyDescent="0.25">
      <c r="N6060" s="514"/>
      <c r="R6060" s="293"/>
      <c r="S6060" s="316"/>
      <c r="T6060" s="355"/>
    </row>
    <row r="6061" spans="14:20" x14ac:dyDescent="0.25">
      <c r="N6061" s="514"/>
      <c r="R6061" s="293"/>
      <c r="S6061" s="316"/>
      <c r="T6061" s="355"/>
    </row>
    <row r="6062" spans="14:20" x14ac:dyDescent="0.25">
      <c r="N6062" s="514"/>
      <c r="R6062" s="293"/>
      <c r="S6062" s="316"/>
      <c r="T6062" s="355"/>
    </row>
    <row r="6063" spans="14:20" x14ac:dyDescent="0.25">
      <c r="N6063" s="514"/>
      <c r="R6063" s="293"/>
      <c r="S6063" s="316"/>
      <c r="T6063" s="355"/>
    </row>
    <row r="6064" spans="14:20" x14ac:dyDescent="0.25">
      <c r="N6064" s="514"/>
      <c r="R6064" s="293"/>
      <c r="S6064" s="316"/>
      <c r="T6064" s="355"/>
    </row>
    <row r="6065" spans="14:20" x14ac:dyDescent="0.25">
      <c r="N6065" s="514"/>
      <c r="R6065" s="293"/>
      <c r="S6065" s="316"/>
      <c r="T6065" s="355"/>
    </row>
    <row r="6066" spans="14:20" x14ac:dyDescent="0.25">
      <c r="N6066" s="514"/>
      <c r="R6066" s="293"/>
      <c r="S6066" s="316"/>
      <c r="T6066" s="355"/>
    </row>
    <row r="6067" spans="14:20" x14ac:dyDescent="0.25">
      <c r="N6067" s="514"/>
      <c r="R6067" s="293"/>
      <c r="S6067" s="316"/>
      <c r="T6067" s="355"/>
    </row>
    <row r="6068" spans="14:20" x14ac:dyDescent="0.25">
      <c r="N6068" s="514"/>
      <c r="R6068" s="293"/>
      <c r="S6068" s="316"/>
      <c r="T6068" s="355"/>
    </row>
    <row r="6069" spans="14:20" x14ac:dyDescent="0.25">
      <c r="N6069" s="514"/>
      <c r="R6069" s="293"/>
      <c r="S6069" s="316"/>
      <c r="T6069" s="355"/>
    </row>
    <row r="6070" spans="14:20" x14ac:dyDescent="0.25">
      <c r="N6070" s="514"/>
      <c r="R6070" s="293"/>
      <c r="S6070" s="316"/>
      <c r="T6070" s="355"/>
    </row>
    <row r="6071" spans="14:20" x14ac:dyDescent="0.25">
      <c r="N6071" s="514"/>
      <c r="R6071" s="293"/>
      <c r="S6071" s="316"/>
      <c r="T6071" s="355"/>
    </row>
    <row r="6072" spans="14:20" x14ac:dyDescent="0.25">
      <c r="N6072" s="514"/>
      <c r="R6072" s="293"/>
      <c r="S6072" s="316"/>
      <c r="T6072" s="355"/>
    </row>
    <row r="6073" spans="14:20" x14ac:dyDescent="0.25">
      <c r="N6073" s="514"/>
      <c r="R6073" s="293"/>
      <c r="S6073" s="316"/>
      <c r="T6073" s="355"/>
    </row>
    <row r="6074" spans="14:20" x14ac:dyDescent="0.25">
      <c r="N6074" s="514"/>
      <c r="R6074" s="293"/>
      <c r="S6074" s="316"/>
      <c r="T6074" s="355"/>
    </row>
    <row r="6075" spans="14:20" x14ac:dyDescent="0.25">
      <c r="N6075" s="514"/>
      <c r="R6075" s="293"/>
      <c r="S6075" s="316"/>
      <c r="T6075" s="355"/>
    </row>
    <row r="6076" spans="14:20" x14ac:dyDescent="0.25">
      <c r="N6076" s="514"/>
      <c r="R6076" s="293"/>
      <c r="S6076" s="316"/>
      <c r="T6076" s="355"/>
    </row>
    <row r="6077" spans="14:20" x14ac:dyDescent="0.25">
      <c r="N6077" s="514"/>
      <c r="R6077" s="293"/>
      <c r="S6077" s="316"/>
      <c r="T6077" s="355"/>
    </row>
    <row r="6078" spans="14:20" x14ac:dyDescent="0.25">
      <c r="N6078" s="514"/>
      <c r="R6078" s="293"/>
      <c r="S6078" s="316"/>
      <c r="T6078" s="355"/>
    </row>
    <row r="6079" spans="14:20" x14ac:dyDescent="0.25">
      <c r="N6079" s="514"/>
      <c r="R6079" s="293"/>
      <c r="S6079" s="316"/>
      <c r="T6079" s="355"/>
    </row>
    <row r="6080" spans="14:20" x14ac:dyDescent="0.25">
      <c r="N6080" s="514"/>
      <c r="R6080" s="293"/>
      <c r="S6080" s="316"/>
      <c r="T6080" s="355"/>
    </row>
    <row r="6081" spans="14:20" x14ac:dyDescent="0.25">
      <c r="N6081" s="514"/>
      <c r="R6081" s="293"/>
      <c r="S6081" s="316"/>
      <c r="T6081" s="355"/>
    </row>
    <row r="6082" spans="14:20" x14ac:dyDescent="0.25">
      <c r="N6082" s="514"/>
      <c r="R6082" s="293"/>
      <c r="S6082" s="316"/>
      <c r="T6082" s="355"/>
    </row>
    <row r="6083" spans="14:20" x14ac:dyDescent="0.25">
      <c r="N6083" s="514"/>
      <c r="R6083" s="293"/>
      <c r="S6083" s="316"/>
      <c r="T6083" s="355"/>
    </row>
    <row r="6084" spans="14:20" x14ac:dyDescent="0.25">
      <c r="N6084" s="514"/>
      <c r="R6084" s="293"/>
      <c r="S6084" s="316"/>
      <c r="T6084" s="355"/>
    </row>
    <row r="6085" spans="14:20" x14ac:dyDescent="0.25">
      <c r="N6085" s="514"/>
      <c r="R6085" s="293"/>
      <c r="S6085" s="316"/>
      <c r="T6085" s="355"/>
    </row>
    <row r="6086" spans="14:20" x14ac:dyDescent="0.25">
      <c r="N6086" s="514"/>
      <c r="R6086" s="293"/>
      <c r="S6086" s="316"/>
      <c r="T6086" s="355"/>
    </row>
    <row r="6087" spans="14:20" x14ac:dyDescent="0.25">
      <c r="N6087" s="514"/>
      <c r="R6087" s="293"/>
      <c r="S6087" s="316"/>
      <c r="T6087" s="355"/>
    </row>
    <row r="6088" spans="14:20" x14ac:dyDescent="0.25">
      <c r="N6088" s="514"/>
      <c r="R6088" s="293"/>
      <c r="S6088" s="316"/>
      <c r="T6088" s="355"/>
    </row>
    <row r="6089" spans="14:20" x14ac:dyDescent="0.25">
      <c r="N6089" s="514"/>
      <c r="R6089" s="293"/>
      <c r="S6089" s="316"/>
      <c r="T6089" s="355"/>
    </row>
    <row r="6090" spans="14:20" x14ac:dyDescent="0.25">
      <c r="N6090" s="514"/>
      <c r="R6090" s="293"/>
      <c r="S6090" s="316"/>
      <c r="T6090" s="355"/>
    </row>
    <row r="6091" spans="14:20" x14ac:dyDescent="0.25">
      <c r="N6091" s="514"/>
      <c r="R6091" s="293"/>
      <c r="S6091" s="316"/>
      <c r="T6091" s="355"/>
    </row>
    <row r="6092" spans="14:20" x14ac:dyDescent="0.25">
      <c r="N6092" s="514"/>
      <c r="R6092" s="293"/>
      <c r="S6092" s="316"/>
      <c r="T6092" s="355"/>
    </row>
    <row r="6093" spans="14:20" x14ac:dyDescent="0.25">
      <c r="N6093" s="514"/>
      <c r="R6093" s="293"/>
      <c r="S6093" s="316"/>
      <c r="T6093" s="355"/>
    </row>
    <row r="6094" spans="14:20" x14ac:dyDescent="0.25">
      <c r="N6094" s="514"/>
      <c r="R6094" s="293"/>
      <c r="S6094" s="316"/>
      <c r="T6094" s="355"/>
    </row>
    <row r="6095" spans="14:20" x14ac:dyDescent="0.25">
      <c r="N6095" s="514"/>
      <c r="R6095" s="293"/>
      <c r="S6095" s="316"/>
      <c r="T6095" s="355"/>
    </row>
    <row r="6096" spans="14:20" x14ac:dyDescent="0.25">
      <c r="N6096" s="514"/>
      <c r="R6096" s="293"/>
      <c r="S6096" s="316"/>
      <c r="T6096" s="355"/>
    </row>
    <row r="6097" spans="14:20" x14ac:dyDescent="0.25">
      <c r="N6097" s="514"/>
      <c r="R6097" s="293"/>
      <c r="S6097" s="316"/>
      <c r="T6097" s="355"/>
    </row>
    <row r="6098" spans="14:20" x14ac:dyDescent="0.25">
      <c r="N6098" s="514"/>
      <c r="R6098" s="293"/>
      <c r="S6098" s="316"/>
      <c r="T6098" s="355"/>
    </row>
    <row r="6099" spans="14:20" x14ac:dyDescent="0.25">
      <c r="N6099" s="514"/>
      <c r="R6099" s="293"/>
      <c r="S6099" s="316"/>
      <c r="T6099" s="355"/>
    </row>
    <row r="6100" spans="14:20" x14ac:dyDescent="0.25">
      <c r="N6100" s="514"/>
      <c r="R6100" s="293"/>
      <c r="S6100" s="316"/>
      <c r="T6100" s="355"/>
    </row>
    <row r="6101" spans="14:20" x14ac:dyDescent="0.25">
      <c r="N6101" s="514"/>
      <c r="R6101" s="293"/>
      <c r="S6101" s="316"/>
      <c r="T6101" s="355"/>
    </row>
    <row r="6102" spans="14:20" x14ac:dyDescent="0.25">
      <c r="N6102" s="514"/>
      <c r="R6102" s="293"/>
      <c r="S6102" s="316"/>
      <c r="T6102" s="355"/>
    </row>
    <row r="6103" spans="14:20" x14ac:dyDescent="0.25">
      <c r="N6103" s="514"/>
      <c r="R6103" s="293"/>
      <c r="S6103" s="316"/>
      <c r="T6103" s="355"/>
    </row>
    <row r="6104" spans="14:20" x14ac:dyDescent="0.25">
      <c r="N6104" s="514"/>
      <c r="R6104" s="293"/>
      <c r="S6104" s="316"/>
      <c r="T6104" s="355"/>
    </row>
    <row r="6105" spans="14:20" x14ac:dyDescent="0.25">
      <c r="N6105" s="514"/>
      <c r="R6105" s="293"/>
      <c r="S6105" s="316"/>
      <c r="T6105" s="355"/>
    </row>
    <row r="6106" spans="14:20" x14ac:dyDescent="0.25">
      <c r="N6106" s="514"/>
      <c r="R6106" s="293"/>
      <c r="S6106" s="316"/>
      <c r="T6106" s="355"/>
    </row>
    <row r="6107" spans="14:20" x14ac:dyDescent="0.25">
      <c r="N6107" s="514"/>
      <c r="R6107" s="293"/>
      <c r="S6107" s="316"/>
      <c r="T6107" s="355"/>
    </row>
    <row r="6108" spans="14:20" x14ac:dyDescent="0.25">
      <c r="N6108" s="514"/>
      <c r="R6108" s="293"/>
      <c r="S6108" s="316"/>
      <c r="T6108" s="355"/>
    </row>
    <row r="6109" spans="14:20" x14ac:dyDescent="0.25">
      <c r="N6109" s="514"/>
      <c r="R6109" s="293"/>
      <c r="S6109" s="316"/>
      <c r="T6109" s="355"/>
    </row>
    <row r="6110" spans="14:20" x14ac:dyDescent="0.25">
      <c r="N6110" s="514"/>
      <c r="R6110" s="293"/>
      <c r="S6110" s="316"/>
      <c r="T6110" s="355"/>
    </row>
    <row r="6111" spans="14:20" x14ac:dyDescent="0.25">
      <c r="N6111" s="514"/>
      <c r="R6111" s="293"/>
      <c r="S6111" s="316"/>
      <c r="T6111" s="355"/>
    </row>
    <row r="6112" spans="14:20" x14ac:dyDescent="0.25">
      <c r="N6112" s="514"/>
      <c r="R6112" s="293"/>
      <c r="S6112" s="316"/>
      <c r="T6112" s="355"/>
    </row>
    <row r="6113" spans="14:20" x14ac:dyDescent="0.25">
      <c r="N6113" s="514"/>
      <c r="R6113" s="293"/>
      <c r="S6113" s="316"/>
      <c r="T6113" s="355"/>
    </row>
    <row r="6114" spans="14:20" x14ac:dyDescent="0.25">
      <c r="N6114" s="514"/>
      <c r="R6114" s="293"/>
      <c r="S6114" s="316"/>
      <c r="T6114" s="355"/>
    </row>
    <row r="6115" spans="14:20" x14ac:dyDescent="0.25">
      <c r="N6115" s="514"/>
      <c r="R6115" s="293"/>
      <c r="S6115" s="316"/>
      <c r="T6115" s="355"/>
    </row>
    <row r="6116" spans="14:20" x14ac:dyDescent="0.25">
      <c r="N6116" s="514"/>
      <c r="R6116" s="293"/>
      <c r="S6116" s="316"/>
      <c r="T6116" s="355"/>
    </row>
    <row r="6117" spans="14:20" x14ac:dyDescent="0.25">
      <c r="N6117" s="514"/>
      <c r="R6117" s="293"/>
      <c r="S6117" s="316"/>
      <c r="T6117" s="355"/>
    </row>
    <row r="6118" spans="14:20" x14ac:dyDescent="0.25">
      <c r="N6118" s="514"/>
      <c r="R6118" s="293"/>
      <c r="S6118" s="316"/>
      <c r="T6118" s="355"/>
    </row>
    <row r="6119" spans="14:20" x14ac:dyDescent="0.25">
      <c r="N6119" s="514"/>
      <c r="R6119" s="293"/>
      <c r="S6119" s="316"/>
      <c r="T6119" s="355"/>
    </row>
    <row r="6120" spans="14:20" x14ac:dyDescent="0.25">
      <c r="N6120" s="514"/>
      <c r="R6120" s="293"/>
      <c r="S6120" s="316"/>
      <c r="T6120" s="355"/>
    </row>
    <row r="6121" spans="14:20" x14ac:dyDescent="0.25">
      <c r="N6121" s="514"/>
      <c r="R6121" s="293"/>
      <c r="S6121" s="316"/>
      <c r="T6121" s="355"/>
    </row>
    <row r="6122" spans="14:20" x14ac:dyDescent="0.25">
      <c r="N6122" s="514"/>
      <c r="R6122" s="293"/>
      <c r="S6122" s="316"/>
      <c r="T6122" s="355"/>
    </row>
    <row r="6123" spans="14:20" x14ac:dyDescent="0.25">
      <c r="N6123" s="514"/>
      <c r="R6123" s="293"/>
      <c r="S6123" s="316"/>
      <c r="T6123" s="355"/>
    </row>
    <row r="6124" spans="14:20" x14ac:dyDescent="0.25">
      <c r="N6124" s="514"/>
      <c r="R6124" s="293"/>
      <c r="S6124" s="316"/>
      <c r="T6124" s="355"/>
    </row>
    <row r="6125" spans="14:20" x14ac:dyDescent="0.25">
      <c r="N6125" s="514"/>
      <c r="R6125" s="293"/>
      <c r="S6125" s="316"/>
      <c r="T6125" s="355"/>
    </row>
    <row r="6126" spans="14:20" x14ac:dyDescent="0.25">
      <c r="N6126" s="514"/>
      <c r="R6126" s="293"/>
      <c r="S6126" s="316"/>
      <c r="T6126" s="355"/>
    </row>
    <row r="6127" spans="14:20" x14ac:dyDescent="0.25">
      <c r="N6127" s="514"/>
      <c r="R6127" s="293"/>
      <c r="S6127" s="316"/>
      <c r="T6127" s="355"/>
    </row>
    <row r="6128" spans="14:20" x14ac:dyDescent="0.25">
      <c r="N6128" s="514"/>
      <c r="R6128" s="293"/>
      <c r="S6128" s="316"/>
      <c r="T6128" s="355"/>
    </row>
    <row r="6129" spans="14:20" x14ac:dyDescent="0.25">
      <c r="N6129" s="514"/>
      <c r="R6129" s="293"/>
      <c r="S6129" s="316"/>
      <c r="T6129" s="355"/>
    </row>
    <row r="6130" spans="14:20" x14ac:dyDescent="0.25">
      <c r="N6130" s="514"/>
      <c r="R6130" s="293"/>
      <c r="S6130" s="316"/>
      <c r="T6130" s="355"/>
    </row>
    <row r="6131" spans="14:20" x14ac:dyDescent="0.25">
      <c r="N6131" s="514"/>
      <c r="R6131" s="293"/>
      <c r="S6131" s="316"/>
      <c r="T6131" s="355"/>
    </row>
    <row r="6132" spans="14:20" x14ac:dyDescent="0.25">
      <c r="N6132" s="514"/>
      <c r="R6132" s="293"/>
      <c r="S6132" s="316"/>
      <c r="T6132" s="355"/>
    </row>
    <row r="6133" spans="14:20" x14ac:dyDescent="0.25">
      <c r="N6133" s="514"/>
      <c r="R6133" s="293"/>
      <c r="S6133" s="316"/>
      <c r="T6133" s="355"/>
    </row>
    <row r="6134" spans="14:20" x14ac:dyDescent="0.25">
      <c r="N6134" s="514"/>
      <c r="R6134" s="293"/>
      <c r="S6134" s="316"/>
      <c r="T6134" s="355"/>
    </row>
    <row r="6135" spans="14:20" x14ac:dyDescent="0.25">
      <c r="N6135" s="514"/>
      <c r="R6135" s="293"/>
      <c r="S6135" s="316"/>
      <c r="T6135" s="355"/>
    </row>
    <row r="6136" spans="14:20" x14ac:dyDescent="0.25">
      <c r="N6136" s="514"/>
      <c r="R6136" s="293"/>
      <c r="S6136" s="316"/>
      <c r="T6136" s="355"/>
    </row>
    <row r="6137" spans="14:20" x14ac:dyDescent="0.25">
      <c r="N6137" s="514"/>
      <c r="R6137" s="293"/>
      <c r="S6137" s="316"/>
      <c r="T6137" s="355"/>
    </row>
    <row r="6138" spans="14:20" x14ac:dyDescent="0.25">
      <c r="N6138" s="514"/>
      <c r="R6138" s="293"/>
      <c r="S6138" s="316"/>
      <c r="T6138" s="355"/>
    </row>
    <row r="6139" spans="14:20" x14ac:dyDescent="0.25">
      <c r="N6139" s="514"/>
      <c r="R6139" s="293"/>
      <c r="S6139" s="316"/>
      <c r="T6139" s="355"/>
    </row>
    <row r="6140" spans="14:20" x14ac:dyDescent="0.25">
      <c r="N6140" s="514"/>
      <c r="R6140" s="293"/>
      <c r="S6140" s="316"/>
      <c r="T6140" s="355"/>
    </row>
    <row r="6141" spans="14:20" x14ac:dyDescent="0.25">
      <c r="N6141" s="514"/>
      <c r="R6141" s="293"/>
      <c r="S6141" s="316"/>
      <c r="T6141" s="355"/>
    </row>
    <row r="6142" spans="14:20" x14ac:dyDescent="0.25">
      <c r="N6142" s="514"/>
      <c r="R6142" s="293"/>
      <c r="S6142" s="316"/>
      <c r="T6142" s="355"/>
    </row>
    <row r="6143" spans="14:20" x14ac:dyDescent="0.25">
      <c r="N6143" s="514"/>
      <c r="R6143" s="293"/>
      <c r="S6143" s="316"/>
      <c r="T6143" s="355"/>
    </row>
    <row r="6144" spans="14:20" x14ac:dyDescent="0.25">
      <c r="N6144" s="514"/>
      <c r="R6144" s="293"/>
      <c r="S6144" s="316"/>
      <c r="T6144" s="355"/>
    </row>
    <row r="6145" spans="14:20" x14ac:dyDescent="0.25">
      <c r="N6145" s="514"/>
      <c r="R6145" s="293"/>
      <c r="S6145" s="316"/>
      <c r="T6145" s="355"/>
    </row>
    <row r="6146" spans="14:20" x14ac:dyDescent="0.25">
      <c r="N6146" s="514"/>
      <c r="R6146" s="293"/>
      <c r="S6146" s="316"/>
      <c r="T6146" s="355"/>
    </row>
    <row r="6147" spans="14:20" x14ac:dyDescent="0.25">
      <c r="N6147" s="514"/>
      <c r="R6147" s="293"/>
      <c r="S6147" s="316"/>
      <c r="T6147" s="355"/>
    </row>
    <row r="6148" spans="14:20" x14ac:dyDescent="0.25">
      <c r="N6148" s="514"/>
      <c r="R6148" s="293"/>
      <c r="S6148" s="316"/>
      <c r="T6148" s="355"/>
    </row>
    <row r="6149" spans="14:20" x14ac:dyDescent="0.25">
      <c r="N6149" s="514"/>
      <c r="R6149" s="293"/>
      <c r="S6149" s="316"/>
      <c r="T6149" s="355"/>
    </row>
    <row r="6150" spans="14:20" x14ac:dyDescent="0.25">
      <c r="N6150" s="514"/>
      <c r="R6150" s="293"/>
      <c r="S6150" s="316"/>
      <c r="T6150" s="355"/>
    </row>
    <row r="6151" spans="14:20" x14ac:dyDescent="0.25">
      <c r="N6151" s="514"/>
      <c r="R6151" s="293"/>
      <c r="S6151" s="316"/>
      <c r="T6151" s="355"/>
    </row>
    <row r="6152" spans="14:20" x14ac:dyDescent="0.25">
      <c r="N6152" s="514"/>
      <c r="R6152" s="293"/>
      <c r="S6152" s="316"/>
      <c r="T6152" s="355"/>
    </row>
    <row r="6153" spans="14:20" x14ac:dyDescent="0.25">
      <c r="N6153" s="514"/>
      <c r="R6153" s="293"/>
      <c r="S6153" s="316"/>
      <c r="T6153" s="355"/>
    </row>
    <row r="6154" spans="14:20" x14ac:dyDescent="0.25">
      <c r="N6154" s="514"/>
      <c r="R6154" s="293"/>
      <c r="S6154" s="316"/>
      <c r="T6154" s="355"/>
    </row>
    <row r="6155" spans="14:20" x14ac:dyDescent="0.25">
      <c r="N6155" s="514"/>
      <c r="R6155" s="293"/>
      <c r="S6155" s="316"/>
      <c r="T6155" s="355"/>
    </row>
    <row r="6156" spans="14:20" x14ac:dyDescent="0.25">
      <c r="N6156" s="514"/>
      <c r="R6156" s="293"/>
      <c r="S6156" s="316"/>
      <c r="T6156" s="355"/>
    </row>
    <row r="6157" spans="14:20" x14ac:dyDescent="0.25">
      <c r="N6157" s="514"/>
      <c r="R6157" s="293"/>
      <c r="S6157" s="316"/>
      <c r="T6157" s="355"/>
    </row>
    <row r="6158" spans="14:20" x14ac:dyDescent="0.25">
      <c r="N6158" s="514"/>
      <c r="R6158" s="293"/>
      <c r="S6158" s="316"/>
      <c r="T6158" s="355"/>
    </row>
    <row r="6159" spans="14:20" x14ac:dyDescent="0.25">
      <c r="N6159" s="514"/>
      <c r="R6159" s="293"/>
      <c r="S6159" s="316"/>
      <c r="T6159" s="355"/>
    </row>
    <row r="6160" spans="14:20" x14ac:dyDescent="0.25">
      <c r="N6160" s="514"/>
      <c r="R6160" s="293"/>
      <c r="S6160" s="316"/>
      <c r="T6160" s="355"/>
    </row>
    <row r="6161" spans="14:20" x14ac:dyDescent="0.25">
      <c r="N6161" s="514"/>
      <c r="R6161" s="293"/>
      <c r="S6161" s="316"/>
      <c r="T6161" s="355"/>
    </row>
    <row r="6162" spans="14:20" x14ac:dyDescent="0.25">
      <c r="N6162" s="514"/>
      <c r="R6162" s="293"/>
      <c r="S6162" s="316"/>
      <c r="T6162" s="355"/>
    </row>
    <row r="6163" spans="14:20" x14ac:dyDescent="0.25">
      <c r="N6163" s="514"/>
      <c r="R6163" s="293"/>
      <c r="S6163" s="316"/>
      <c r="T6163" s="355"/>
    </row>
    <row r="6164" spans="14:20" x14ac:dyDescent="0.25">
      <c r="N6164" s="514"/>
      <c r="R6164" s="293"/>
      <c r="S6164" s="316"/>
      <c r="T6164" s="355"/>
    </row>
    <row r="6165" spans="14:20" x14ac:dyDescent="0.25">
      <c r="N6165" s="514"/>
      <c r="R6165" s="293"/>
      <c r="S6165" s="316"/>
      <c r="T6165" s="355"/>
    </row>
    <row r="6166" spans="14:20" x14ac:dyDescent="0.25">
      <c r="N6166" s="514"/>
      <c r="R6166" s="293"/>
      <c r="S6166" s="316"/>
      <c r="T6166" s="355"/>
    </row>
    <row r="6167" spans="14:20" x14ac:dyDescent="0.25">
      <c r="N6167" s="514"/>
      <c r="R6167" s="293"/>
      <c r="S6167" s="316"/>
      <c r="T6167" s="355"/>
    </row>
    <row r="6168" spans="14:20" x14ac:dyDescent="0.25">
      <c r="N6168" s="514"/>
      <c r="R6168" s="293"/>
      <c r="S6168" s="316"/>
      <c r="T6168" s="355"/>
    </row>
    <row r="6169" spans="14:20" x14ac:dyDescent="0.25">
      <c r="N6169" s="514"/>
      <c r="R6169" s="293"/>
      <c r="S6169" s="316"/>
      <c r="T6169" s="355"/>
    </row>
    <row r="6170" spans="14:20" x14ac:dyDescent="0.25">
      <c r="N6170" s="514"/>
      <c r="R6170" s="293"/>
      <c r="S6170" s="316"/>
      <c r="T6170" s="355"/>
    </row>
    <row r="6171" spans="14:20" x14ac:dyDescent="0.25">
      <c r="N6171" s="514"/>
      <c r="R6171" s="293"/>
      <c r="S6171" s="316"/>
      <c r="T6171" s="355"/>
    </row>
    <row r="6172" spans="14:20" x14ac:dyDescent="0.25">
      <c r="N6172" s="514"/>
      <c r="R6172" s="293"/>
      <c r="S6172" s="316"/>
      <c r="T6172" s="355"/>
    </row>
    <row r="6173" spans="14:20" x14ac:dyDescent="0.25">
      <c r="N6173" s="514"/>
      <c r="R6173" s="293"/>
      <c r="S6173" s="316"/>
      <c r="T6173" s="355"/>
    </row>
    <row r="6174" spans="14:20" x14ac:dyDescent="0.25">
      <c r="N6174" s="514"/>
      <c r="R6174" s="293"/>
      <c r="S6174" s="316"/>
      <c r="T6174" s="355"/>
    </row>
    <row r="6175" spans="14:20" x14ac:dyDescent="0.25">
      <c r="N6175" s="514"/>
      <c r="R6175" s="293"/>
      <c r="S6175" s="316"/>
      <c r="T6175" s="355"/>
    </row>
    <row r="6176" spans="14:20" x14ac:dyDescent="0.25">
      <c r="N6176" s="514"/>
      <c r="R6176" s="293"/>
      <c r="S6176" s="316"/>
      <c r="T6176" s="355"/>
    </row>
    <row r="6177" spans="14:20" x14ac:dyDescent="0.25">
      <c r="N6177" s="514"/>
      <c r="R6177" s="293"/>
      <c r="S6177" s="316"/>
      <c r="T6177" s="355"/>
    </row>
    <row r="6178" spans="14:20" x14ac:dyDescent="0.25">
      <c r="N6178" s="514"/>
      <c r="R6178" s="293"/>
      <c r="S6178" s="316"/>
      <c r="T6178" s="355"/>
    </row>
    <row r="6179" spans="14:20" x14ac:dyDescent="0.25">
      <c r="N6179" s="514"/>
      <c r="R6179" s="293"/>
      <c r="S6179" s="316"/>
      <c r="T6179" s="355"/>
    </row>
    <row r="6180" spans="14:20" x14ac:dyDescent="0.25">
      <c r="N6180" s="514"/>
      <c r="R6180" s="293"/>
      <c r="S6180" s="316"/>
      <c r="T6180" s="355"/>
    </row>
    <row r="6181" spans="14:20" x14ac:dyDescent="0.25">
      <c r="N6181" s="514"/>
      <c r="R6181" s="293"/>
      <c r="S6181" s="316"/>
      <c r="T6181" s="355"/>
    </row>
    <row r="6182" spans="14:20" x14ac:dyDescent="0.25">
      <c r="N6182" s="514"/>
      <c r="R6182" s="293"/>
      <c r="S6182" s="316"/>
      <c r="T6182" s="355"/>
    </row>
    <row r="6183" spans="14:20" x14ac:dyDescent="0.25">
      <c r="N6183" s="514"/>
      <c r="R6183" s="293"/>
      <c r="S6183" s="316"/>
      <c r="T6183" s="355"/>
    </row>
    <row r="6184" spans="14:20" x14ac:dyDescent="0.25">
      <c r="N6184" s="514"/>
      <c r="R6184" s="293"/>
      <c r="S6184" s="316"/>
      <c r="T6184" s="355"/>
    </row>
    <row r="6185" spans="14:20" x14ac:dyDescent="0.25">
      <c r="N6185" s="514"/>
      <c r="R6185" s="293"/>
      <c r="S6185" s="316"/>
      <c r="T6185" s="355"/>
    </row>
    <row r="6186" spans="14:20" x14ac:dyDescent="0.25">
      <c r="N6186" s="514"/>
      <c r="R6186" s="293"/>
      <c r="S6186" s="316"/>
      <c r="T6186" s="355"/>
    </row>
    <row r="6187" spans="14:20" x14ac:dyDescent="0.25">
      <c r="N6187" s="514"/>
      <c r="R6187" s="293"/>
      <c r="S6187" s="316"/>
      <c r="T6187" s="355"/>
    </row>
    <row r="6188" spans="14:20" x14ac:dyDescent="0.25">
      <c r="N6188" s="514"/>
      <c r="R6188" s="293"/>
      <c r="S6188" s="316"/>
      <c r="T6188" s="355"/>
    </row>
    <row r="6189" spans="14:20" x14ac:dyDescent="0.25">
      <c r="N6189" s="514"/>
      <c r="R6189" s="293"/>
      <c r="S6189" s="316"/>
      <c r="T6189" s="355"/>
    </row>
    <row r="6190" spans="14:20" x14ac:dyDescent="0.25">
      <c r="N6190" s="514"/>
      <c r="R6190" s="293"/>
      <c r="S6190" s="316"/>
      <c r="T6190" s="355"/>
    </row>
    <row r="6191" spans="14:20" x14ac:dyDescent="0.25">
      <c r="N6191" s="514"/>
      <c r="R6191" s="293"/>
      <c r="S6191" s="316"/>
      <c r="T6191" s="355"/>
    </row>
    <row r="6192" spans="14:20" x14ac:dyDescent="0.25">
      <c r="N6192" s="514"/>
      <c r="R6192" s="293"/>
      <c r="S6192" s="316"/>
      <c r="T6192" s="355"/>
    </row>
    <row r="6193" spans="14:20" x14ac:dyDescent="0.25">
      <c r="N6193" s="514"/>
      <c r="R6193" s="293"/>
      <c r="S6193" s="316"/>
      <c r="T6193" s="355"/>
    </row>
    <row r="6194" spans="14:20" x14ac:dyDescent="0.25">
      <c r="N6194" s="514"/>
      <c r="R6194" s="293"/>
      <c r="S6194" s="316"/>
      <c r="T6194" s="355"/>
    </row>
    <row r="6195" spans="14:20" x14ac:dyDescent="0.25">
      <c r="N6195" s="514"/>
      <c r="R6195" s="293"/>
      <c r="S6195" s="316"/>
      <c r="T6195" s="355"/>
    </row>
    <row r="6196" spans="14:20" x14ac:dyDescent="0.25">
      <c r="N6196" s="514"/>
      <c r="R6196" s="293"/>
      <c r="S6196" s="316"/>
      <c r="T6196" s="355"/>
    </row>
    <row r="6197" spans="14:20" x14ac:dyDescent="0.25">
      <c r="N6197" s="514"/>
      <c r="R6197" s="293"/>
      <c r="S6197" s="316"/>
      <c r="T6197" s="355"/>
    </row>
    <row r="6198" spans="14:20" x14ac:dyDescent="0.25">
      <c r="N6198" s="514"/>
      <c r="R6198" s="293"/>
      <c r="S6198" s="316"/>
      <c r="T6198" s="355"/>
    </row>
    <row r="6199" spans="14:20" x14ac:dyDescent="0.25">
      <c r="N6199" s="514"/>
      <c r="R6199" s="293"/>
      <c r="S6199" s="316"/>
      <c r="T6199" s="355"/>
    </row>
    <row r="6200" spans="14:20" x14ac:dyDescent="0.25">
      <c r="N6200" s="514"/>
      <c r="R6200" s="293"/>
      <c r="S6200" s="316"/>
      <c r="T6200" s="355"/>
    </row>
    <row r="6201" spans="14:20" x14ac:dyDescent="0.25">
      <c r="N6201" s="514"/>
      <c r="R6201" s="293"/>
      <c r="S6201" s="316"/>
      <c r="T6201" s="355"/>
    </row>
    <row r="6202" spans="14:20" x14ac:dyDescent="0.25">
      <c r="N6202" s="514"/>
      <c r="R6202" s="293"/>
      <c r="S6202" s="316"/>
      <c r="T6202" s="355"/>
    </row>
    <row r="6203" spans="14:20" x14ac:dyDescent="0.25">
      <c r="N6203" s="514"/>
      <c r="R6203" s="293"/>
      <c r="S6203" s="316"/>
      <c r="T6203" s="355"/>
    </row>
    <row r="6204" spans="14:20" x14ac:dyDescent="0.25">
      <c r="N6204" s="514"/>
      <c r="R6204" s="293"/>
      <c r="S6204" s="316"/>
      <c r="T6204" s="355"/>
    </row>
    <row r="6205" spans="14:20" x14ac:dyDescent="0.25">
      <c r="N6205" s="514"/>
      <c r="R6205" s="293"/>
      <c r="S6205" s="316"/>
      <c r="T6205" s="355"/>
    </row>
    <row r="6206" spans="14:20" x14ac:dyDescent="0.25">
      <c r="N6206" s="514"/>
      <c r="R6206" s="293"/>
      <c r="S6206" s="316"/>
      <c r="T6206" s="355"/>
    </row>
    <row r="6207" spans="14:20" x14ac:dyDescent="0.25">
      <c r="N6207" s="514"/>
      <c r="R6207" s="293"/>
      <c r="S6207" s="316"/>
      <c r="T6207" s="355"/>
    </row>
    <row r="6208" spans="14:20" x14ac:dyDescent="0.25">
      <c r="N6208" s="514"/>
      <c r="R6208" s="293"/>
      <c r="S6208" s="316"/>
      <c r="T6208" s="355"/>
    </row>
    <row r="6209" spans="14:20" x14ac:dyDescent="0.25">
      <c r="N6209" s="514"/>
      <c r="R6209" s="293"/>
      <c r="S6209" s="316"/>
      <c r="T6209" s="355"/>
    </row>
    <row r="6210" spans="14:20" x14ac:dyDescent="0.25">
      <c r="N6210" s="514"/>
      <c r="R6210" s="293"/>
      <c r="S6210" s="316"/>
      <c r="T6210" s="355"/>
    </row>
    <row r="6211" spans="14:20" x14ac:dyDescent="0.25">
      <c r="N6211" s="514"/>
      <c r="R6211" s="293"/>
      <c r="S6211" s="316"/>
      <c r="T6211" s="355"/>
    </row>
    <row r="6212" spans="14:20" x14ac:dyDescent="0.25">
      <c r="N6212" s="514"/>
      <c r="R6212" s="293"/>
      <c r="S6212" s="316"/>
      <c r="T6212" s="355"/>
    </row>
    <row r="6213" spans="14:20" x14ac:dyDescent="0.25">
      <c r="N6213" s="514"/>
      <c r="R6213" s="293"/>
      <c r="S6213" s="316"/>
      <c r="T6213" s="355"/>
    </row>
    <row r="6214" spans="14:20" x14ac:dyDescent="0.25">
      <c r="N6214" s="514"/>
      <c r="R6214" s="293"/>
      <c r="S6214" s="316"/>
      <c r="T6214" s="355"/>
    </row>
    <row r="6215" spans="14:20" x14ac:dyDescent="0.25">
      <c r="N6215" s="514"/>
      <c r="R6215" s="293"/>
      <c r="S6215" s="316"/>
      <c r="T6215" s="355"/>
    </row>
    <row r="6216" spans="14:20" x14ac:dyDescent="0.25">
      <c r="N6216" s="514"/>
      <c r="R6216" s="293"/>
      <c r="S6216" s="316"/>
      <c r="T6216" s="355"/>
    </row>
    <row r="6217" spans="14:20" x14ac:dyDescent="0.25">
      <c r="N6217" s="514"/>
      <c r="R6217" s="293"/>
      <c r="S6217" s="316"/>
      <c r="T6217" s="355"/>
    </row>
    <row r="6218" spans="14:20" x14ac:dyDescent="0.25">
      <c r="N6218" s="514"/>
      <c r="R6218" s="293"/>
      <c r="S6218" s="316"/>
      <c r="T6218" s="355"/>
    </row>
    <row r="6219" spans="14:20" x14ac:dyDescent="0.25">
      <c r="N6219" s="514"/>
      <c r="R6219" s="293"/>
      <c r="S6219" s="316"/>
      <c r="T6219" s="355"/>
    </row>
    <row r="6220" spans="14:20" x14ac:dyDescent="0.25">
      <c r="N6220" s="514"/>
      <c r="R6220" s="293"/>
      <c r="S6220" s="316"/>
      <c r="T6220" s="355"/>
    </row>
    <row r="6221" spans="14:20" x14ac:dyDescent="0.25">
      <c r="N6221" s="514"/>
      <c r="R6221" s="293"/>
      <c r="S6221" s="316"/>
      <c r="T6221" s="355"/>
    </row>
    <row r="6222" spans="14:20" x14ac:dyDescent="0.25">
      <c r="N6222" s="514"/>
      <c r="R6222" s="293"/>
      <c r="S6222" s="316"/>
      <c r="T6222" s="355"/>
    </row>
    <row r="6223" spans="14:20" x14ac:dyDescent="0.25">
      <c r="N6223" s="514"/>
      <c r="R6223" s="293"/>
      <c r="S6223" s="316"/>
      <c r="T6223" s="355"/>
    </row>
    <row r="6224" spans="14:20" x14ac:dyDescent="0.25">
      <c r="N6224" s="514"/>
      <c r="R6224" s="293"/>
      <c r="S6224" s="316"/>
      <c r="T6224" s="355"/>
    </row>
    <row r="6225" spans="14:20" x14ac:dyDescent="0.25">
      <c r="N6225" s="514"/>
      <c r="R6225" s="293"/>
      <c r="S6225" s="316"/>
      <c r="T6225" s="355"/>
    </row>
    <row r="6226" spans="14:20" x14ac:dyDescent="0.25">
      <c r="N6226" s="514"/>
      <c r="R6226" s="293"/>
      <c r="S6226" s="316"/>
      <c r="T6226" s="355"/>
    </row>
    <row r="6227" spans="14:20" x14ac:dyDescent="0.25">
      <c r="N6227" s="514"/>
      <c r="R6227" s="293"/>
      <c r="S6227" s="316"/>
      <c r="T6227" s="355"/>
    </row>
    <row r="6228" spans="14:20" x14ac:dyDescent="0.25">
      <c r="N6228" s="514"/>
      <c r="R6228" s="293"/>
      <c r="S6228" s="316"/>
      <c r="T6228" s="355"/>
    </row>
    <row r="6229" spans="14:20" x14ac:dyDescent="0.25">
      <c r="N6229" s="514"/>
      <c r="R6229" s="293"/>
      <c r="S6229" s="316"/>
      <c r="T6229" s="355"/>
    </row>
    <row r="6230" spans="14:20" x14ac:dyDescent="0.25">
      <c r="N6230" s="514"/>
      <c r="R6230" s="293"/>
      <c r="S6230" s="316"/>
      <c r="T6230" s="355"/>
    </row>
    <row r="6231" spans="14:20" x14ac:dyDescent="0.25">
      <c r="N6231" s="514"/>
      <c r="R6231" s="293"/>
      <c r="S6231" s="316"/>
      <c r="T6231" s="355"/>
    </row>
    <row r="6232" spans="14:20" x14ac:dyDescent="0.25">
      <c r="N6232" s="514"/>
      <c r="R6232" s="293"/>
      <c r="S6232" s="316"/>
      <c r="T6232" s="355"/>
    </row>
    <row r="6233" spans="14:20" x14ac:dyDescent="0.25">
      <c r="N6233" s="514"/>
      <c r="R6233" s="293"/>
      <c r="S6233" s="316"/>
      <c r="T6233" s="355"/>
    </row>
    <row r="6234" spans="14:20" x14ac:dyDescent="0.25">
      <c r="N6234" s="514"/>
      <c r="R6234" s="293"/>
      <c r="S6234" s="316"/>
      <c r="T6234" s="355"/>
    </row>
    <row r="6235" spans="14:20" x14ac:dyDescent="0.25">
      <c r="N6235" s="514"/>
      <c r="R6235" s="293"/>
      <c r="S6235" s="316"/>
      <c r="T6235" s="355"/>
    </row>
    <row r="6236" spans="14:20" x14ac:dyDescent="0.25">
      <c r="N6236" s="514"/>
      <c r="R6236" s="293"/>
      <c r="S6236" s="316"/>
      <c r="T6236" s="355"/>
    </row>
    <row r="6237" spans="14:20" x14ac:dyDescent="0.25">
      <c r="N6237" s="514"/>
      <c r="R6237" s="293"/>
      <c r="S6237" s="316"/>
      <c r="T6237" s="355"/>
    </row>
    <row r="6238" spans="14:20" x14ac:dyDescent="0.25">
      <c r="N6238" s="514"/>
      <c r="R6238" s="293"/>
      <c r="S6238" s="316"/>
      <c r="T6238" s="355"/>
    </row>
    <row r="6239" spans="14:20" x14ac:dyDescent="0.25">
      <c r="N6239" s="514"/>
      <c r="R6239" s="293"/>
      <c r="S6239" s="316"/>
      <c r="T6239" s="355"/>
    </row>
    <row r="6240" spans="14:20" x14ac:dyDescent="0.25">
      <c r="N6240" s="514"/>
      <c r="R6240" s="293"/>
      <c r="S6240" s="316"/>
      <c r="T6240" s="355"/>
    </row>
    <row r="6241" spans="14:20" x14ac:dyDescent="0.25">
      <c r="N6241" s="514"/>
      <c r="R6241" s="293"/>
      <c r="S6241" s="316"/>
      <c r="T6241" s="355"/>
    </row>
    <row r="6242" spans="14:20" x14ac:dyDescent="0.25">
      <c r="N6242" s="514"/>
      <c r="R6242" s="293"/>
      <c r="S6242" s="316"/>
      <c r="T6242" s="355"/>
    </row>
    <row r="6243" spans="14:20" x14ac:dyDescent="0.25">
      <c r="N6243" s="514"/>
      <c r="R6243" s="293"/>
      <c r="S6243" s="316"/>
      <c r="T6243" s="355"/>
    </row>
    <row r="6244" spans="14:20" x14ac:dyDescent="0.25">
      <c r="N6244" s="514"/>
      <c r="R6244" s="293"/>
      <c r="S6244" s="316"/>
      <c r="T6244" s="355"/>
    </row>
    <row r="6245" spans="14:20" x14ac:dyDescent="0.25">
      <c r="N6245" s="514"/>
      <c r="R6245" s="293"/>
      <c r="S6245" s="316"/>
      <c r="T6245" s="355"/>
    </row>
    <row r="6246" spans="14:20" x14ac:dyDescent="0.25">
      <c r="N6246" s="514"/>
      <c r="R6246" s="293"/>
      <c r="S6246" s="316"/>
      <c r="T6246" s="355"/>
    </row>
    <row r="6247" spans="14:20" x14ac:dyDescent="0.25">
      <c r="N6247" s="514"/>
      <c r="R6247" s="293"/>
      <c r="S6247" s="316"/>
      <c r="T6247" s="355"/>
    </row>
    <row r="6248" spans="14:20" x14ac:dyDescent="0.25">
      <c r="N6248" s="514"/>
      <c r="R6248" s="293"/>
      <c r="S6248" s="316"/>
      <c r="T6248" s="355"/>
    </row>
    <row r="6249" spans="14:20" x14ac:dyDescent="0.25">
      <c r="N6249" s="514"/>
      <c r="R6249" s="293"/>
      <c r="S6249" s="316"/>
      <c r="T6249" s="355"/>
    </row>
    <row r="6250" spans="14:20" x14ac:dyDescent="0.25">
      <c r="N6250" s="514"/>
      <c r="R6250" s="293"/>
      <c r="S6250" s="316"/>
      <c r="T6250" s="355"/>
    </row>
    <row r="6251" spans="14:20" x14ac:dyDescent="0.25">
      <c r="N6251" s="514"/>
      <c r="R6251" s="293"/>
      <c r="S6251" s="316"/>
      <c r="T6251" s="355"/>
    </row>
    <row r="6252" spans="14:20" x14ac:dyDescent="0.25">
      <c r="N6252" s="514"/>
      <c r="R6252" s="293"/>
      <c r="S6252" s="316"/>
      <c r="T6252" s="355"/>
    </row>
    <row r="6253" spans="14:20" x14ac:dyDescent="0.25">
      <c r="N6253" s="514"/>
      <c r="R6253" s="293"/>
      <c r="S6253" s="316"/>
      <c r="T6253" s="355"/>
    </row>
    <row r="6254" spans="14:20" x14ac:dyDescent="0.25">
      <c r="N6254" s="514"/>
      <c r="R6254" s="293"/>
      <c r="S6254" s="316"/>
      <c r="T6254" s="355"/>
    </row>
    <row r="6255" spans="14:20" x14ac:dyDescent="0.25">
      <c r="N6255" s="514"/>
      <c r="R6255" s="293"/>
      <c r="S6255" s="316"/>
      <c r="T6255" s="355"/>
    </row>
    <row r="6256" spans="14:20" x14ac:dyDescent="0.25">
      <c r="N6256" s="514"/>
      <c r="R6256" s="293"/>
      <c r="S6256" s="316"/>
      <c r="T6256" s="355"/>
    </row>
    <row r="6257" spans="14:20" x14ac:dyDescent="0.25">
      <c r="N6257" s="514"/>
      <c r="R6257" s="293"/>
      <c r="S6257" s="316"/>
      <c r="T6257" s="355"/>
    </row>
    <row r="6258" spans="14:20" x14ac:dyDescent="0.25">
      <c r="N6258" s="514"/>
      <c r="R6258" s="293"/>
      <c r="S6258" s="316"/>
      <c r="T6258" s="355"/>
    </row>
    <row r="6259" spans="14:20" x14ac:dyDescent="0.25">
      <c r="N6259" s="514"/>
      <c r="R6259" s="293"/>
      <c r="S6259" s="316"/>
      <c r="T6259" s="355"/>
    </row>
    <row r="6260" spans="14:20" x14ac:dyDescent="0.25">
      <c r="N6260" s="514"/>
      <c r="R6260" s="293"/>
      <c r="S6260" s="316"/>
      <c r="T6260" s="355"/>
    </row>
    <row r="6261" spans="14:20" x14ac:dyDescent="0.25">
      <c r="N6261" s="514"/>
      <c r="R6261" s="293"/>
      <c r="S6261" s="316"/>
      <c r="T6261" s="355"/>
    </row>
    <row r="6262" spans="14:20" x14ac:dyDescent="0.25">
      <c r="N6262" s="514"/>
      <c r="R6262" s="293"/>
      <c r="S6262" s="316"/>
      <c r="T6262" s="355"/>
    </row>
    <row r="6263" spans="14:20" x14ac:dyDescent="0.25">
      <c r="N6263" s="514"/>
      <c r="R6263" s="293"/>
      <c r="S6263" s="316"/>
      <c r="T6263" s="355"/>
    </row>
    <row r="6264" spans="14:20" x14ac:dyDescent="0.25">
      <c r="N6264" s="514"/>
      <c r="R6264" s="293"/>
      <c r="S6264" s="316"/>
      <c r="T6264" s="355"/>
    </row>
    <row r="6265" spans="14:20" x14ac:dyDescent="0.25">
      <c r="N6265" s="514"/>
      <c r="R6265" s="293"/>
      <c r="S6265" s="316"/>
      <c r="T6265" s="355"/>
    </row>
    <row r="6266" spans="14:20" x14ac:dyDescent="0.25">
      <c r="N6266" s="514"/>
      <c r="R6266" s="293"/>
      <c r="S6266" s="316"/>
      <c r="T6266" s="355"/>
    </row>
    <row r="6267" spans="14:20" x14ac:dyDescent="0.25">
      <c r="N6267" s="514"/>
      <c r="R6267" s="293"/>
      <c r="S6267" s="316"/>
      <c r="T6267" s="355"/>
    </row>
    <row r="6268" spans="14:20" x14ac:dyDescent="0.25">
      <c r="N6268" s="514"/>
      <c r="R6268" s="293"/>
      <c r="S6268" s="316"/>
      <c r="T6268" s="355"/>
    </row>
    <row r="6269" spans="14:20" x14ac:dyDescent="0.25">
      <c r="N6269" s="514"/>
      <c r="R6269" s="293"/>
      <c r="S6269" s="316"/>
      <c r="T6269" s="355"/>
    </row>
    <row r="6270" spans="14:20" x14ac:dyDescent="0.25">
      <c r="N6270" s="514"/>
      <c r="R6270" s="293"/>
      <c r="S6270" s="316"/>
      <c r="T6270" s="355"/>
    </row>
    <row r="6271" spans="14:20" x14ac:dyDescent="0.25">
      <c r="N6271" s="514"/>
      <c r="R6271" s="293"/>
      <c r="S6271" s="316"/>
      <c r="T6271" s="355"/>
    </row>
    <row r="6272" spans="14:20" x14ac:dyDescent="0.25">
      <c r="N6272" s="514"/>
      <c r="R6272" s="293"/>
      <c r="S6272" s="316"/>
      <c r="T6272" s="355"/>
    </row>
    <row r="6273" spans="14:20" x14ac:dyDescent="0.25">
      <c r="N6273" s="514"/>
      <c r="R6273" s="293"/>
      <c r="S6273" s="316"/>
      <c r="T6273" s="355"/>
    </row>
    <row r="6274" spans="14:20" x14ac:dyDescent="0.25">
      <c r="N6274" s="514"/>
      <c r="R6274" s="293"/>
      <c r="S6274" s="316"/>
      <c r="T6274" s="355"/>
    </row>
    <row r="6275" spans="14:20" x14ac:dyDescent="0.25">
      <c r="N6275" s="514"/>
      <c r="R6275" s="293"/>
      <c r="S6275" s="316"/>
      <c r="T6275" s="355"/>
    </row>
    <row r="6276" spans="14:20" x14ac:dyDescent="0.25">
      <c r="N6276" s="514"/>
      <c r="R6276" s="293"/>
      <c r="S6276" s="316"/>
      <c r="T6276" s="355"/>
    </row>
    <row r="6277" spans="14:20" x14ac:dyDescent="0.25">
      <c r="N6277" s="514"/>
      <c r="R6277" s="293"/>
      <c r="S6277" s="316"/>
      <c r="T6277" s="355"/>
    </row>
    <row r="6278" spans="14:20" x14ac:dyDescent="0.25">
      <c r="N6278" s="514"/>
      <c r="R6278" s="293"/>
      <c r="S6278" s="316"/>
      <c r="T6278" s="355"/>
    </row>
    <row r="6279" spans="14:20" x14ac:dyDescent="0.25">
      <c r="N6279" s="514"/>
      <c r="R6279" s="293"/>
      <c r="S6279" s="316"/>
      <c r="T6279" s="355"/>
    </row>
    <row r="6280" spans="14:20" x14ac:dyDescent="0.25">
      <c r="N6280" s="514"/>
      <c r="R6280" s="293"/>
      <c r="S6280" s="316"/>
      <c r="T6280" s="355"/>
    </row>
    <row r="6281" spans="14:20" x14ac:dyDescent="0.25">
      <c r="N6281" s="514"/>
      <c r="R6281" s="293"/>
      <c r="S6281" s="316"/>
      <c r="T6281" s="355"/>
    </row>
    <row r="6282" spans="14:20" x14ac:dyDescent="0.25">
      <c r="N6282" s="514"/>
      <c r="R6282" s="293"/>
      <c r="S6282" s="316"/>
      <c r="T6282" s="355"/>
    </row>
    <row r="6283" spans="14:20" x14ac:dyDescent="0.25">
      <c r="N6283" s="514"/>
      <c r="R6283" s="293"/>
      <c r="S6283" s="316"/>
      <c r="T6283" s="355"/>
    </row>
    <row r="6284" spans="14:20" x14ac:dyDescent="0.25">
      <c r="N6284" s="514"/>
      <c r="R6284" s="293"/>
      <c r="S6284" s="316"/>
      <c r="T6284" s="355"/>
    </row>
    <row r="6285" spans="14:20" x14ac:dyDescent="0.25">
      <c r="N6285" s="514"/>
      <c r="R6285" s="293"/>
      <c r="S6285" s="316"/>
      <c r="T6285" s="355"/>
    </row>
    <row r="6286" spans="14:20" x14ac:dyDescent="0.25">
      <c r="N6286" s="514"/>
      <c r="R6286" s="293"/>
      <c r="S6286" s="316"/>
      <c r="T6286" s="355"/>
    </row>
    <row r="6287" spans="14:20" x14ac:dyDescent="0.25">
      <c r="N6287" s="514"/>
      <c r="R6287" s="293"/>
      <c r="S6287" s="316"/>
      <c r="T6287" s="355"/>
    </row>
    <row r="6288" spans="14:20" x14ac:dyDescent="0.25">
      <c r="N6288" s="514"/>
      <c r="R6288" s="293"/>
      <c r="S6288" s="316"/>
      <c r="T6288" s="355"/>
    </row>
    <row r="6289" spans="14:20" x14ac:dyDescent="0.25">
      <c r="N6289" s="514"/>
      <c r="R6289" s="293"/>
      <c r="S6289" s="316"/>
      <c r="T6289" s="355"/>
    </row>
    <row r="6290" spans="14:20" x14ac:dyDescent="0.25">
      <c r="N6290" s="514"/>
      <c r="R6290" s="293"/>
      <c r="S6290" s="316"/>
      <c r="T6290" s="355"/>
    </row>
    <row r="6291" spans="14:20" x14ac:dyDescent="0.25">
      <c r="N6291" s="514"/>
      <c r="R6291" s="293"/>
      <c r="S6291" s="316"/>
      <c r="T6291" s="355"/>
    </row>
    <row r="6292" spans="14:20" x14ac:dyDescent="0.25">
      <c r="N6292" s="514"/>
      <c r="R6292" s="293"/>
      <c r="S6292" s="316"/>
      <c r="T6292" s="355"/>
    </row>
    <row r="6293" spans="14:20" x14ac:dyDescent="0.25">
      <c r="N6293" s="514"/>
      <c r="R6293" s="293"/>
      <c r="S6293" s="316"/>
      <c r="T6293" s="355"/>
    </row>
    <row r="6294" spans="14:20" x14ac:dyDescent="0.25">
      <c r="N6294" s="514"/>
      <c r="R6294" s="293"/>
      <c r="S6294" s="316"/>
      <c r="T6294" s="355"/>
    </row>
    <row r="6295" spans="14:20" x14ac:dyDescent="0.25">
      <c r="N6295" s="514"/>
      <c r="R6295" s="293"/>
      <c r="S6295" s="316"/>
      <c r="T6295" s="355"/>
    </row>
    <row r="6296" spans="14:20" x14ac:dyDescent="0.25">
      <c r="N6296" s="514"/>
      <c r="R6296" s="293"/>
      <c r="S6296" s="316"/>
      <c r="T6296" s="355"/>
    </row>
    <row r="6297" spans="14:20" x14ac:dyDescent="0.25">
      <c r="N6297" s="514"/>
      <c r="R6297" s="293"/>
      <c r="S6297" s="316"/>
      <c r="T6297" s="355"/>
    </row>
    <row r="6298" spans="14:20" x14ac:dyDescent="0.25">
      <c r="N6298" s="514"/>
      <c r="R6298" s="293"/>
      <c r="S6298" s="316"/>
      <c r="T6298" s="355"/>
    </row>
    <row r="6299" spans="14:20" x14ac:dyDescent="0.25">
      <c r="N6299" s="514"/>
      <c r="R6299" s="293"/>
      <c r="S6299" s="316"/>
      <c r="T6299" s="355"/>
    </row>
    <row r="6300" spans="14:20" x14ac:dyDescent="0.25">
      <c r="N6300" s="514"/>
      <c r="R6300" s="293"/>
      <c r="S6300" s="316"/>
      <c r="T6300" s="355"/>
    </row>
    <row r="6301" spans="14:20" x14ac:dyDescent="0.25">
      <c r="N6301" s="514"/>
      <c r="R6301" s="293"/>
      <c r="S6301" s="316"/>
      <c r="T6301" s="355"/>
    </row>
    <row r="6302" spans="14:20" x14ac:dyDescent="0.25">
      <c r="N6302" s="514"/>
      <c r="R6302" s="293"/>
      <c r="S6302" s="316"/>
      <c r="T6302" s="355"/>
    </row>
    <row r="6303" spans="14:20" x14ac:dyDescent="0.25">
      <c r="N6303" s="514"/>
      <c r="R6303" s="293"/>
      <c r="S6303" s="316"/>
      <c r="T6303" s="355"/>
    </row>
    <row r="6304" spans="14:20" x14ac:dyDescent="0.25">
      <c r="N6304" s="514"/>
      <c r="R6304" s="293"/>
      <c r="S6304" s="316"/>
      <c r="T6304" s="355"/>
    </row>
    <row r="6305" spans="14:20" x14ac:dyDescent="0.25">
      <c r="N6305" s="514"/>
      <c r="R6305" s="293"/>
      <c r="S6305" s="316"/>
      <c r="T6305" s="355"/>
    </row>
    <row r="6306" spans="14:20" x14ac:dyDescent="0.25">
      <c r="N6306" s="514"/>
      <c r="R6306" s="293"/>
      <c r="S6306" s="316"/>
      <c r="T6306" s="355"/>
    </row>
    <row r="6307" spans="14:20" x14ac:dyDescent="0.25">
      <c r="N6307" s="514"/>
      <c r="R6307" s="293"/>
      <c r="S6307" s="316"/>
      <c r="T6307" s="355"/>
    </row>
    <row r="6308" spans="14:20" x14ac:dyDescent="0.25">
      <c r="N6308" s="514"/>
      <c r="R6308" s="293"/>
      <c r="S6308" s="316"/>
      <c r="T6308" s="355"/>
    </row>
    <row r="6309" spans="14:20" x14ac:dyDescent="0.25">
      <c r="N6309" s="514"/>
      <c r="R6309" s="293"/>
      <c r="S6309" s="316"/>
      <c r="T6309" s="355"/>
    </row>
    <row r="6310" spans="14:20" x14ac:dyDescent="0.25">
      <c r="N6310" s="514"/>
      <c r="R6310" s="293"/>
      <c r="S6310" s="316"/>
      <c r="T6310" s="355"/>
    </row>
    <row r="6311" spans="14:20" x14ac:dyDescent="0.25">
      <c r="N6311" s="514"/>
      <c r="R6311" s="293"/>
      <c r="S6311" s="316"/>
      <c r="T6311" s="355"/>
    </row>
    <row r="6312" spans="14:20" x14ac:dyDescent="0.25">
      <c r="N6312" s="514"/>
      <c r="R6312" s="293"/>
      <c r="S6312" s="316"/>
      <c r="T6312" s="355"/>
    </row>
    <row r="6313" spans="14:20" x14ac:dyDescent="0.25">
      <c r="N6313" s="514"/>
      <c r="R6313" s="293"/>
      <c r="S6313" s="316"/>
      <c r="T6313" s="355"/>
    </row>
    <row r="6314" spans="14:20" x14ac:dyDescent="0.25">
      <c r="N6314" s="514"/>
      <c r="R6314" s="293"/>
      <c r="S6314" s="316"/>
      <c r="T6314" s="355"/>
    </row>
    <row r="6315" spans="14:20" x14ac:dyDescent="0.25">
      <c r="N6315" s="514"/>
      <c r="R6315" s="293"/>
      <c r="S6315" s="316"/>
      <c r="T6315" s="355"/>
    </row>
    <row r="6316" spans="14:20" x14ac:dyDescent="0.25">
      <c r="N6316" s="514"/>
      <c r="R6316" s="293"/>
      <c r="S6316" s="316"/>
      <c r="T6316" s="355"/>
    </row>
    <row r="6317" spans="14:20" x14ac:dyDescent="0.25">
      <c r="N6317" s="514"/>
      <c r="R6317" s="293"/>
      <c r="S6317" s="316"/>
      <c r="T6317" s="355"/>
    </row>
    <row r="6318" spans="14:20" x14ac:dyDescent="0.25">
      <c r="N6318" s="514"/>
      <c r="R6318" s="293"/>
      <c r="S6318" s="316"/>
      <c r="T6318" s="355"/>
    </row>
    <row r="6319" spans="14:20" x14ac:dyDescent="0.25">
      <c r="N6319" s="514"/>
      <c r="R6319" s="293"/>
      <c r="S6319" s="316"/>
      <c r="T6319" s="355"/>
    </row>
    <row r="6320" spans="14:20" x14ac:dyDescent="0.25">
      <c r="N6320" s="514"/>
      <c r="R6320" s="293"/>
      <c r="S6320" s="316"/>
      <c r="T6320" s="355"/>
    </row>
    <row r="6321" spans="14:20" x14ac:dyDescent="0.25">
      <c r="N6321" s="514"/>
      <c r="R6321" s="293"/>
      <c r="S6321" s="316"/>
      <c r="T6321" s="355"/>
    </row>
    <row r="6322" spans="14:20" x14ac:dyDescent="0.25">
      <c r="N6322" s="514"/>
      <c r="R6322" s="293"/>
      <c r="S6322" s="316"/>
      <c r="T6322" s="355"/>
    </row>
    <row r="6323" spans="14:20" x14ac:dyDescent="0.25">
      <c r="N6323" s="514"/>
      <c r="R6323" s="293"/>
      <c r="S6323" s="316"/>
      <c r="T6323" s="355"/>
    </row>
    <row r="6324" spans="14:20" x14ac:dyDescent="0.25">
      <c r="N6324" s="514"/>
      <c r="R6324" s="293"/>
      <c r="S6324" s="316"/>
      <c r="T6324" s="355"/>
    </row>
    <row r="6325" spans="14:20" x14ac:dyDescent="0.25">
      <c r="N6325" s="514"/>
      <c r="R6325" s="293"/>
      <c r="S6325" s="316"/>
      <c r="T6325" s="355"/>
    </row>
    <row r="6326" spans="14:20" x14ac:dyDescent="0.25">
      <c r="N6326" s="514"/>
      <c r="R6326" s="293"/>
      <c r="S6326" s="316"/>
      <c r="T6326" s="355"/>
    </row>
    <row r="6327" spans="14:20" x14ac:dyDescent="0.25">
      <c r="N6327" s="514"/>
      <c r="R6327" s="293"/>
      <c r="S6327" s="316"/>
      <c r="T6327" s="355"/>
    </row>
    <row r="6328" spans="14:20" x14ac:dyDescent="0.25">
      <c r="N6328" s="514"/>
      <c r="R6328" s="293"/>
      <c r="S6328" s="316"/>
      <c r="T6328" s="355"/>
    </row>
    <row r="6329" spans="14:20" x14ac:dyDescent="0.25">
      <c r="N6329" s="514"/>
      <c r="R6329" s="293"/>
      <c r="S6329" s="316"/>
      <c r="T6329" s="355"/>
    </row>
    <row r="6330" spans="14:20" x14ac:dyDescent="0.25">
      <c r="N6330" s="514"/>
      <c r="R6330" s="293"/>
      <c r="S6330" s="316"/>
      <c r="T6330" s="355"/>
    </row>
    <row r="6331" spans="14:20" x14ac:dyDescent="0.25">
      <c r="N6331" s="514"/>
      <c r="R6331" s="293"/>
      <c r="S6331" s="316"/>
      <c r="T6331" s="355"/>
    </row>
    <row r="6332" spans="14:20" x14ac:dyDescent="0.25">
      <c r="N6332" s="514"/>
      <c r="R6332" s="293"/>
      <c r="S6332" s="316"/>
      <c r="T6332" s="355"/>
    </row>
    <row r="6333" spans="14:20" x14ac:dyDescent="0.25">
      <c r="N6333" s="514"/>
      <c r="R6333" s="293"/>
      <c r="S6333" s="316"/>
      <c r="T6333" s="355"/>
    </row>
    <row r="6334" spans="14:20" x14ac:dyDescent="0.25">
      <c r="N6334" s="514"/>
      <c r="R6334" s="293"/>
      <c r="S6334" s="316"/>
      <c r="T6334" s="355"/>
    </row>
    <row r="6335" spans="14:20" x14ac:dyDescent="0.25">
      <c r="N6335" s="514"/>
      <c r="R6335" s="293"/>
      <c r="S6335" s="316"/>
      <c r="T6335" s="355"/>
    </row>
    <row r="6336" spans="14:20" x14ac:dyDescent="0.25">
      <c r="N6336" s="514"/>
      <c r="R6336" s="293"/>
      <c r="S6336" s="316"/>
      <c r="T6336" s="355"/>
    </row>
    <row r="6337" spans="14:20" x14ac:dyDescent="0.25">
      <c r="N6337" s="514"/>
      <c r="R6337" s="293"/>
      <c r="S6337" s="316"/>
      <c r="T6337" s="355"/>
    </row>
    <row r="6338" spans="14:20" x14ac:dyDescent="0.25">
      <c r="N6338" s="514"/>
      <c r="R6338" s="293"/>
      <c r="S6338" s="316"/>
      <c r="T6338" s="355"/>
    </row>
    <row r="6339" spans="14:20" x14ac:dyDescent="0.25">
      <c r="N6339" s="514"/>
      <c r="R6339" s="293"/>
      <c r="S6339" s="316"/>
      <c r="T6339" s="355"/>
    </row>
    <row r="6340" spans="14:20" x14ac:dyDescent="0.25">
      <c r="N6340" s="514"/>
      <c r="R6340" s="293"/>
      <c r="S6340" s="316"/>
      <c r="T6340" s="355"/>
    </row>
    <row r="6341" spans="14:20" x14ac:dyDescent="0.25">
      <c r="N6341" s="514"/>
      <c r="R6341" s="293"/>
      <c r="S6341" s="316"/>
      <c r="T6341" s="355"/>
    </row>
    <row r="6342" spans="14:20" x14ac:dyDescent="0.25">
      <c r="N6342" s="514"/>
      <c r="R6342" s="293"/>
      <c r="S6342" s="316"/>
      <c r="T6342" s="355"/>
    </row>
    <row r="6343" spans="14:20" x14ac:dyDescent="0.25">
      <c r="N6343" s="514"/>
      <c r="R6343" s="293"/>
      <c r="S6343" s="316"/>
      <c r="T6343" s="355"/>
    </row>
    <row r="6344" spans="14:20" x14ac:dyDescent="0.25">
      <c r="N6344" s="514"/>
      <c r="R6344" s="293"/>
      <c r="S6344" s="316"/>
      <c r="T6344" s="355"/>
    </row>
    <row r="6345" spans="14:20" x14ac:dyDescent="0.25">
      <c r="N6345" s="514"/>
      <c r="R6345" s="293"/>
      <c r="S6345" s="316"/>
      <c r="T6345" s="355"/>
    </row>
    <row r="6346" spans="14:20" x14ac:dyDescent="0.25">
      <c r="N6346" s="514"/>
      <c r="R6346" s="293"/>
      <c r="S6346" s="316"/>
      <c r="T6346" s="355"/>
    </row>
    <row r="6347" spans="14:20" x14ac:dyDescent="0.25">
      <c r="N6347" s="514"/>
      <c r="R6347" s="293"/>
      <c r="S6347" s="316"/>
      <c r="T6347" s="355"/>
    </row>
    <row r="6348" spans="14:20" x14ac:dyDescent="0.25">
      <c r="N6348" s="514"/>
      <c r="R6348" s="293"/>
      <c r="S6348" s="316"/>
      <c r="T6348" s="355"/>
    </row>
    <row r="6349" spans="14:20" x14ac:dyDescent="0.25">
      <c r="N6349" s="514"/>
      <c r="R6349" s="293"/>
      <c r="S6349" s="316"/>
      <c r="T6349" s="355"/>
    </row>
    <row r="6350" spans="14:20" x14ac:dyDescent="0.25">
      <c r="N6350" s="514"/>
      <c r="R6350" s="293"/>
      <c r="S6350" s="316"/>
      <c r="T6350" s="355"/>
    </row>
    <row r="6351" spans="14:20" x14ac:dyDescent="0.25">
      <c r="N6351" s="514"/>
      <c r="R6351" s="293"/>
      <c r="S6351" s="316"/>
      <c r="T6351" s="355"/>
    </row>
    <row r="6352" spans="14:20" x14ac:dyDescent="0.25">
      <c r="N6352" s="514"/>
      <c r="R6352" s="293"/>
      <c r="S6352" s="316"/>
      <c r="T6352" s="355"/>
    </row>
    <row r="6353" spans="14:20" x14ac:dyDescent="0.25">
      <c r="N6353" s="514"/>
      <c r="R6353" s="293"/>
      <c r="S6353" s="316"/>
      <c r="T6353" s="355"/>
    </row>
    <row r="6354" spans="14:20" x14ac:dyDescent="0.25">
      <c r="N6354" s="514"/>
      <c r="R6354" s="293"/>
      <c r="S6354" s="316"/>
      <c r="T6354" s="355"/>
    </row>
    <row r="6355" spans="14:20" x14ac:dyDescent="0.25">
      <c r="N6355" s="514"/>
      <c r="R6355" s="293"/>
      <c r="S6355" s="316"/>
      <c r="T6355" s="355"/>
    </row>
    <row r="6356" spans="14:20" x14ac:dyDescent="0.25">
      <c r="N6356" s="514"/>
      <c r="R6356" s="293"/>
      <c r="S6356" s="316"/>
      <c r="T6356" s="355"/>
    </row>
    <row r="6357" spans="14:20" x14ac:dyDescent="0.25">
      <c r="N6357" s="514"/>
      <c r="R6357" s="293"/>
      <c r="S6357" s="316"/>
      <c r="T6357" s="355"/>
    </row>
    <row r="6358" spans="14:20" x14ac:dyDescent="0.25">
      <c r="N6358" s="514"/>
      <c r="R6358" s="293"/>
      <c r="S6358" s="316"/>
      <c r="T6358" s="355"/>
    </row>
    <row r="6359" spans="14:20" x14ac:dyDescent="0.25">
      <c r="N6359" s="514"/>
      <c r="R6359" s="293"/>
      <c r="S6359" s="316"/>
      <c r="T6359" s="355"/>
    </row>
    <row r="6360" spans="14:20" x14ac:dyDescent="0.25">
      <c r="N6360" s="514"/>
      <c r="R6360" s="293"/>
      <c r="S6360" s="316"/>
      <c r="T6360" s="355"/>
    </row>
    <row r="6361" spans="14:20" x14ac:dyDescent="0.25">
      <c r="N6361" s="514"/>
      <c r="R6361" s="293"/>
      <c r="S6361" s="316"/>
      <c r="T6361" s="355"/>
    </row>
    <row r="6362" spans="14:20" x14ac:dyDescent="0.25">
      <c r="N6362" s="514"/>
      <c r="R6362" s="293"/>
      <c r="S6362" s="316"/>
      <c r="T6362" s="355"/>
    </row>
    <row r="6363" spans="14:20" x14ac:dyDescent="0.25">
      <c r="N6363" s="514"/>
      <c r="R6363" s="293"/>
      <c r="S6363" s="316"/>
      <c r="T6363" s="355"/>
    </row>
    <row r="6364" spans="14:20" x14ac:dyDescent="0.25">
      <c r="N6364" s="514"/>
      <c r="R6364" s="293"/>
      <c r="S6364" s="316"/>
      <c r="T6364" s="355"/>
    </row>
    <row r="6365" spans="14:20" x14ac:dyDescent="0.25">
      <c r="N6365" s="514"/>
      <c r="R6365" s="293"/>
      <c r="S6365" s="316"/>
      <c r="T6365" s="355"/>
    </row>
    <row r="6366" spans="14:20" x14ac:dyDescent="0.25">
      <c r="N6366" s="514"/>
      <c r="R6366" s="293"/>
      <c r="S6366" s="316"/>
      <c r="T6366" s="355"/>
    </row>
    <row r="6367" spans="14:20" x14ac:dyDescent="0.25">
      <c r="N6367" s="514"/>
      <c r="R6367" s="293"/>
      <c r="S6367" s="316"/>
      <c r="T6367" s="355"/>
    </row>
    <row r="6368" spans="14:20" x14ac:dyDescent="0.25">
      <c r="N6368" s="514"/>
      <c r="R6368" s="293"/>
      <c r="S6368" s="316"/>
      <c r="T6368" s="355"/>
    </row>
    <row r="6369" spans="14:20" x14ac:dyDescent="0.25">
      <c r="N6369" s="514"/>
      <c r="R6369" s="293"/>
      <c r="S6369" s="316"/>
      <c r="T6369" s="355"/>
    </row>
    <row r="6370" spans="14:20" x14ac:dyDescent="0.25">
      <c r="N6370" s="514"/>
      <c r="R6370" s="293"/>
      <c r="S6370" s="316"/>
      <c r="T6370" s="355"/>
    </row>
    <row r="6371" spans="14:20" x14ac:dyDescent="0.25">
      <c r="N6371" s="514"/>
      <c r="R6371" s="293"/>
      <c r="S6371" s="316"/>
      <c r="T6371" s="355"/>
    </row>
    <row r="6372" spans="14:20" x14ac:dyDescent="0.25">
      <c r="N6372" s="514"/>
      <c r="R6372" s="293"/>
      <c r="S6372" s="316"/>
      <c r="T6372" s="355"/>
    </row>
    <row r="6373" spans="14:20" x14ac:dyDescent="0.25">
      <c r="N6373" s="514"/>
      <c r="R6373" s="293"/>
      <c r="S6373" s="316"/>
      <c r="T6373" s="355"/>
    </row>
    <row r="6374" spans="14:20" x14ac:dyDescent="0.25">
      <c r="N6374" s="514"/>
      <c r="R6374" s="293"/>
      <c r="S6374" s="316"/>
      <c r="T6374" s="355"/>
    </row>
    <row r="6375" spans="14:20" x14ac:dyDescent="0.25">
      <c r="N6375" s="514"/>
      <c r="R6375" s="293"/>
      <c r="S6375" s="316"/>
      <c r="T6375" s="355"/>
    </row>
    <row r="6376" spans="14:20" x14ac:dyDescent="0.25">
      <c r="N6376" s="514"/>
      <c r="R6376" s="293"/>
      <c r="S6376" s="316"/>
      <c r="T6376" s="355"/>
    </row>
    <row r="6377" spans="14:20" x14ac:dyDescent="0.25">
      <c r="N6377" s="514"/>
      <c r="R6377" s="293"/>
      <c r="S6377" s="316"/>
      <c r="T6377" s="355"/>
    </row>
    <row r="6378" spans="14:20" x14ac:dyDescent="0.25">
      <c r="N6378" s="514"/>
      <c r="R6378" s="293"/>
      <c r="S6378" s="316"/>
      <c r="T6378" s="355"/>
    </row>
    <row r="6379" spans="14:20" x14ac:dyDescent="0.25">
      <c r="N6379" s="514"/>
      <c r="R6379" s="293"/>
      <c r="S6379" s="316"/>
      <c r="T6379" s="355"/>
    </row>
    <row r="6380" spans="14:20" x14ac:dyDescent="0.25">
      <c r="N6380" s="514"/>
      <c r="R6380" s="293"/>
      <c r="S6380" s="316"/>
      <c r="T6380" s="355"/>
    </row>
    <row r="6381" spans="14:20" x14ac:dyDescent="0.25">
      <c r="N6381" s="514"/>
      <c r="R6381" s="293"/>
      <c r="S6381" s="316"/>
      <c r="T6381" s="355"/>
    </row>
    <row r="6382" spans="14:20" x14ac:dyDescent="0.25">
      <c r="N6382" s="514"/>
      <c r="R6382" s="293"/>
      <c r="S6382" s="316"/>
      <c r="T6382" s="355"/>
    </row>
    <row r="6383" spans="14:20" x14ac:dyDescent="0.25">
      <c r="N6383" s="514"/>
      <c r="R6383" s="293"/>
      <c r="S6383" s="316"/>
      <c r="T6383" s="355"/>
    </row>
    <row r="6384" spans="14:20" x14ac:dyDescent="0.25">
      <c r="N6384" s="514"/>
      <c r="R6384" s="293"/>
      <c r="S6384" s="316"/>
      <c r="T6384" s="355"/>
    </row>
    <row r="6385" spans="14:20" x14ac:dyDescent="0.25">
      <c r="N6385" s="514"/>
      <c r="R6385" s="293"/>
      <c r="S6385" s="316"/>
      <c r="T6385" s="355"/>
    </row>
    <row r="6386" spans="14:20" x14ac:dyDescent="0.25">
      <c r="N6386" s="514"/>
      <c r="R6386" s="293"/>
      <c r="S6386" s="316"/>
      <c r="T6386" s="355"/>
    </row>
    <row r="6387" spans="14:20" x14ac:dyDescent="0.25">
      <c r="N6387" s="514"/>
      <c r="R6387" s="293"/>
      <c r="S6387" s="316"/>
      <c r="T6387" s="355"/>
    </row>
    <row r="6388" spans="14:20" x14ac:dyDescent="0.25">
      <c r="N6388" s="514"/>
      <c r="R6388" s="293"/>
      <c r="S6388" s="316"/>
      <c r="T6388" s="355"/>
    </row>
    <row r="6389" spans="14:20" x14ac:dyDescent="0.25">
      <c r="N6389" s="514"/>
      <c r="R6389" s="293"/>
      <c r="S6389" s="316"/>
      <c r="T6389" s="355"/>
    </row>
    <row r="6390" spans="14:20" x14ac:dyDescent="0.25">
      <c r="N6390" s="514"/>
      <c r="R6390" s="293"/>
      <c r="S6390" s="316"/>
      <c r="T6390" s="355"/>
    </row>
    <row r="6391" spans="14:20" x14ac:dyDescent="0.25">
      <c r="N6391" s="514"/>
      <c r="R6391" s="293"/>
      <c r="S6391" s="316"/>
      <c r="T6391" s="355"/>
    </row>
    <row r="6392" spans="14:20" x14ac:dyDescent="0.25">
      <c r="N6392" s="514"/>
      <c r="R6392" s="293"/>
      <c r="S6392" s="316"/>
      <c r="T6392" s="355"/>
    </row>
    <row r="6393" spans="14:20" x14ac:dyDescent="0.25">
      <c r="N6393" s="514"/>
      <c r="R6393" s="293"/>
      <c r="S6393" s="316"/>
      <c r="T6393" s="355"/>
    </row>
    <row r="6394" spans="14:20" x14ac:dyDescent="0.25">
      <c r="N6394" s="514"/>
      <c r="R6394" s="293"/>
      <c r="S6394" s="316"/>
      <c r="T6394" s="355"/>
    </row>
    <row r="6395" spans="14:20" x14ac:dyDescent="0.25">
      <c r="N6395" s="514"/>
      <c r="R6395" s="293"/>
      <c r="S6395" s="316"/>
      <c r="T6395" s="355"/>
    </row>
    <row r="6396" spans="14:20" x14ac:dyDescent="0.25">
      <c r="N6396" s="514"/>
      <c r="R6396" s="293"/>
      <c r="S6396" s="316"/>
      <c r="T6396" s="355"/>
    </row>
    <row r="6397" spans="14:20" x14ac:dyDescent="0.25">
      <c r="N6397" s="514"/>
      <c r="R6397" s="293"/>
      <c r="S6397" s="316"/>
      <c r="T6397" s="355"/>
    </row>
    <row r="6398" spans="14:20" x14ac:dyDescent="0.25">
      <c r="N6398" s="514"/>
      <c r="R6398" s="293"/>
      <c r="S6398" s="316"/>
      <c r="T6398" s="355"/>
    </row>
    <row r="6399" spans="14:20" x14ac:dyDescent="0.25">
      <c r="N6399" s="514"/>
      <c r="R6399" s="293"/>
      <c r="S6399" s="316"/>
      <c r="T6399" s="355"/>
    </row>
    <row r="6400" spans="14:20" x14ac:dyDescent="0.25">
      <c r="N6400" s="514"/>
      <c r="R6400" s="293"/>
      <c r="S6400" s="316"/>
      <c r="T6400" s="355"/>
    </row>
    <row r="6401" spans="14:20" x14ac:dyDescent="0.25">
      <c r="N6401" s="514"/>
      <c r="R6401" s="293"/>
      <c r="S6401" s="316"/>
      <c r="T6401" s="355"/>
    </row>
    <row r="6402" spans="14:20" x14ac:dyDescent="0.25">
      <c r="N6402" s="514"/>
      <c r="R6402" s="293"/>
      <c r="S6402" s="316"/>
      <c r="T6402" s="355"/>
    </row>
    <row r="6403" spans="14:20" x14ac:dyDescent="0.25">
      <c r="N6403" s="514"/>
      <c r="R6403" s="293"/>
      <c r="S6403" s="316"/>
      <c r="T6403" s="355"/>
    </row>
    <row r="6404" spans="14:20" x14ac:dyDescent="0.25">
      <c r="N6404" s="514"/>
      <c r="R6404" s="293"/>
      <c r="S6404" s="316"/>
      <c r="T6404" s="355"/>
    </row>
    <row r="6405" spans="14:20" x14ac:dyDescent="0.25">
      <c r="N6405" s="514"/>
      <c r="R6405" s="293"/>
      <c r="S6405" s="316"/>
      <c r="T6405" s="355"/>
    </row>
    <row r="6406" spans="14:20" x14ac:dyDescent="0.25">
      <c r="N6406" s="514"/>
      <c r="R6406" s="293"/>
      <c r="S6406" s="316"/>
      <c r="T6406" s="355"/>
    </row>
    <row r="6407" spans="14:20" x14ac:dyDescent="0.25">
      <c r="N6407" s="514"/>
      <c r="R6407" s="293"/>
      <c r="S6407" s="316"/>
      <c r="T6407" s="355"/>
    </row>
    <row r="6408" spans="14:20" x14ac:dyDescent="0.25">
      <c r="N6408" s="514"/>
      <c r="R6408" s="293"/>
      <c r="S6408" s="316"/>
      <c r="T6408" s="355"/>
    </row>
    <row r="6409" spans="14:20" x14ac:dyDescent="0.25">
      <c r="N6409" s="514"/>
      <c r="R6409" s="293"/>
      <c r="S6409" s="316"/>
      <c r="T6409" s="355"/>
    </row>
    <row r="6410" spans="14:20" x14ac:dyDescent="0.25">
      <c r="N6410" s="514"/>
      <c r="R6410" s="293"/>
      <c r="S6410" s="316"/>
      <c r="T6410" s="355"/>
    </row>
    <row r="6411" spans="14:20" x14ac:dyDescent="0.25">
      <c r="N6411" s="514"/>
      <c r="R6411" s="293"/>
      <c r="S6411" s="316"/>
      <c r="T6411" s="355"/>
    </row>
    <row r="6412" spans="14:20" x14ac:dyDescent="0.25">
      <c r="N6412" s="514"/>
      <c r="R6412" s="293"/>
      <c r="S6412" s="316"/>
      <c r="T6412" s="355"/>
    </row>
    <row r="6413" spans="14:20" x14ac:dyDescent="0.25">
      <c r="N6413" s="514"/>
      <c r="R6413" s="293"/>
      <c r="S6413" s="316"/>
      <c r="T6413" s="355"/>
    </row>
    <row r="6414" spans="14:20" x14ac:dyDescent="0.25">
      <c r="N6414" s="514"/>
      <c r="R6414" s="293"/>
      <c r="S6414" s="316"/>
      <c r="T6414" s="355"/>
    </row>
    <row r="6415" spans="14:20" x14ac:dyDescent="0.25">
      <c r="N6415" s="514"/>
      <c r="R6415" s="293"/>
      <c r="S6415" s="316"/>
      <c r="T6415" s="355"/>
    </row>
    <row r="6416" spans="14:20" x14ac:dyDescent="0.25">
      <c r="N6416" s="514"/>
      <c r="R6416" s="293"/>
      <c r="S6416" s="316"/>
      <c r="T6416" s="355"/>
    </row>
    <row r="6417" spans="14:20" x14ac:dyDescent="0.25">
      <c r="N6417" s="514"/>
      <c r="R6417" s="293"/>
      <c r="S6417" s="316"/>
      <c r="T6417" s="355"/>
    </row>
    <row r="6418" spans="14:20" x14ac:dyDescent="0.25">
      <c r="N6418" s="514"/>
      <c r="R6418" s="293"/>
      <c r="S6418" s="316"/>
      <c r="T6418" s="355"/>
    </row>
    <row r="6419" spans="14:20" x14ac:dyDescent="0.25">
      <c r="N6419" s="514"/>
      <c r="R6419" s="293"/>
      <c r="S6419" s="316"/>
      <c r="T6419" s="355"/>
    </row>
    <row r="6420" spans="14:20" x14ac:dyDescent="0.25">
      <c r="N6420" s="514"/>
      <c r="R6420" s="293"/>
      <c r="S6420" s="316"/>
      <c r="T6420" s="355"/>
    </row>
    <row r="6421" spans="14:20" x14ac:dyDescent="0.25">
      <c r="N6421" s="514"/>
      <c r="R6421" s="293"/>
      <c r="S6421" s="316"/>
      <c r="T6421" s="355"/>
    </row>
    <row r="6422" spans="14:20" x14ac:dyDescent="0.25">
      <c r="N6422" s="514"/>
      <c r="R6422" s="293"/>
      <c r="S6422" s="316"/>
      <c r="T6422" s="355"/>
    </row>
    <row r="6423" spans="14:20" x14ac:dyDescent="0.25">
      <c r="N6423" s="514"/>
      <c r="R6423" s="293"/>
      <c r="S6423" s="316"/>
      <c r="T6423" s="355"/>
    </row>
    <row r="6424" spans="14:20" x14ac:dyDescent="0.25">
      <c r="N6424" s="514"/>
      <c r="R6424" s="293"/>
      <c r="S6424" s="316"/>
      <c r="T6424" s="355"/>
    </row>
    <row r="6425" spans="14:20" x14ac:dyDescent="0.25">
      <c r="N6425" s="514"/>
      <c r="R6425" s="293"/>
      <c r="S6425" s="316"/>
      <c r="T6425" s="355"/>
    </row>
    <row r="6426" spans="14:20" x14ac:dyDescent="0.25">
      <c r="N6426" s="514"/>
      <c r="R6426" s="293"/>
      <c r="S6426" s="316"/>
      <c r="T6426" s="355"/>
    </row>
    <row r="6427" spans="14:20" x14ac:dyDescent="0.25">
      <c r="N6427" s="514"/>
      <c r="R6427" s="293"/>
      <c r="S6427" s="316"/>
      <c r="T6427" s="355"/>
    </row>
    <row r="6428" spans="14:20" x14ac:dyDescent="0.25">
      <c r="N6428" s="514"/>
      <c r="R6428" s="293"/>
      <c r="S6428" s="316"/>
      <c r="T6428" s="355"/>
    </row>
    <row r="6429" spans="14:20" x14ac:dyDescent="0.25">
      <c r="N6429" s="514"/>
      <c r="R6429" s="293"/>
      <c r="S6429" s="316"/>
      <c r="T6429" s="355"/>
    </row>
    <row r="6430" spans="14:20" x14ac:dyDescent="0.25">
      <c r="N6430" s="514"/>
      <c r="R6430" s="293"/>
      <c r="S6430" s="316"/>
      <c r="T6430" s="355"/>
    </row>
    <row r="6431" spans="14:20" x14ac:dyDescent="0.25">
      <c r="N6431" s="514"/>
      <c r="R6431" s="293"/>
      <c r="S6431" s="316"/>
      <c r="T6431" s="355"/>
    </row>
    <row r="6432" spans="14:20" x14ac:dyDescent="0.25">
      <c r="N6432" s="514"/>
      <c r="R6432" s="293"/>
      <c r="S6432" s="316"/>
      <c r="T6432" s="355"/>
    </row>
    <row r="6433" spans="14:20" x14ac:dyDescent="0.25">
      <c r="N6433" s="514"/>
      <c r="R6433" s="293"/>
      <c r="S6433" s="316"/>
      <c r="T6433" s="355"/>
    </row>
    <row r="6434" spans="14:20" x14ac:dyDescent="0.25">
      <c r="N6434" s="514"/>
      <c r="R6434" s="293"/>
      <c r="S6434" s="316"/>
      <c r="T6434" s="355"/>
    </row>
    <row r="6435" spans="14:20" x14ac:dyDescent="0.25">
      <c r="N6435" s="514"/>
      <c r="R6435" s="293"/>
      <c r="S6435" s="316"/>
      <c r="T6435" s="355"/>
    </row>
    <row r="6436" spans="14:20" x14ac:dyDescent="0.25">
      <c r="N6436" s="514"/>
      <c r="R6436" s="293"/>
      <c r="S6436" s="316"/>
      <c r="T6436" s="355"/>
    </row>
    <row r="6437" spans="14:20" x14ac:dyDescent="0.25">
      <c r="N6437" s="514"/>
      <c r="R6437" s="293"/>
      <c r="S6437" s="316"/>
      <c r="T6437" s="355"/>
    </row>
    <row r="6438" spans="14:20" x14ac:dyDescent="0.25">
      <c r="N6438" s="514"/>
      <c r="R6438" s="293"/>
      <c r="S6438" s="316"/>
      <c r="T6438" s="355"/>
    </row>
    <row r="6439" spans="14:20" x14ac:dyDescent="0.25">
      <c r="N6439" s="514"/>
      <c r="R6439" s="293"/>
      <c r="S6439" s="316"/>
      <c r="T6439" s="355"/>
    </row>
    <row r="6440" spans="14:20" x14ac:dyDescent="0.25">
      <c r="N6440" s="514"/>
      <c r="R6440" s="293"/>
      <c r="S6440" s="316"/>
      <c r="T6440" s="355"/>
    </row>
    <row r="6441" spans="14:20" x14ac:dyDescent="0.25">
      <c r="N6441" s="514"/>
      <c r="R6441" s="293"/>
      <c r="S6441" s="316"/>
      <c r="T6441" s="355"/>
    </row>
    <row r="6442" spans="14:20" x14ac:dyDescent="0.25">
      <c r="N6442" s="514"/>
      <c r="R6442" s="293"/>
      <c r="S6442" s="316"/>
      <c r="T6442" s="355"/>
    </row>
    <row r="6443" spans="14:20" x14ac:dyDescent="0.25">
      <c r="N6443" s="514"/>
      <c r="R6443" s="293"/>
      <c r="S6443" s="316"/>
      <c r="T6443" s="355"/>
    </row>
    <row r="6444" spans="14:20" x14ac:dyDescent="0.25">
      <c r="N6444" s="514"/>
      <c r="R6444" s="293"/>
      <c r="S6444" s="316"/>
      <c r="T6444" s="355"/>
    </row>
    <row r="6445" spans="14:20" x14ac:dyDescent="0.25">
      <c r="N6445" s="514"/>
      <c r="R6445" s="293"/>
      <c r="S6445" s="316"/>
      <c r="T6445" s="355"/>
    </row>
    <row r="6446" spans="14:20" x14ac:dyDescent="0.25">
      <c r="N6446" s="514"/>
      <c r="R6446" s="293"/>
      <c r="S6446" s="316"/>
      <c r="T6446" s="355"/>
    </row>
    <row r="6447" spans="14:20" x14ac:dyDescent="0.25">
      <c r="N6447" s="514"/>
      <c r="R6447" s="293"/>
      <c r="S6447" s="316"/>
      <c r="T6447" s="355"/>
    </row>
    <row r="6448" spans="14:20" x14ac:dyDescent="0.25">
      <c r="N6448" s="514"/>
      <c r="R6448" s="293"/>
      <c r="S6448" s="316"/>
      <c r="T6448" s="355"/>
    </row>
    <row r="6449" spans="14:20" x14ac:dyDescent="0.25">
      <c r="N6449" s="514"/>
      <c r="R6449" s="293"/>
      <c r="S6449" s="316"/>
      <c r="T6449" s="355"/>
    </row>
    <row r="6450" spans="14:20" x14ac:dyDescent="0.25">
      <c r="N6450" s="514"/>
      <c r="R6450" s="293"/>
      <c r="S6450" s="316"/>
      <c r="T6450" s="355"/>
    </row>
    <row r="6451" spans="14:20" x14ac:dyDescent="0.25">
      <c r="N6451" s="514"/>
      <c r="R6451" s="293"/>
      <c r="S6451" s="316"/>
      <c r="T6451" s="355"/>
    </row>
    <row r="6452" spans="14:20" x14ac:dyDescent="0.25">
      <c r="N6452" s="514"/>
      <c r="R6452" s="293"/>
      <c r="S6452" s="316"/>
      <c r="T6452" s="355"/>
    </row>
    <row r="6453" spans="14:20" x14ac:dyDescent="0.25">
      <c r="N6453" s="514"/>
      <c r="R6453" s="293"/>
      <c r="S6453" s="316"/>
      <c r="T6453" s="355"/>
    </row>
    <row r="6454" spans="14:20" x14ac:dyDescent="0.25">
      <c r="N6454" s="514"/>
      <c r="R6454" s="293"/>
      <c r="S6454" s="316"/>
      <c r="T6454" s="355"/>
    </row>
    <row r="6455" spans="14:20" x14ac:dyDescent="0.25">
      <c r="N6455" s="514"/>
      <c r="R6455" s="293"/>
      <c r="S6455" s="316"/>
      <c r="T6455" s="355"/>
    </row>
    <row r="6456" spans="14:20" x14ac:dyDescent="0.25">
      <c r="N6456" s="514"/>
      <c r="R6456" s="293"/>
      <c r="S6456" s="316"/>
      <c r="T6456" s="355"/>
    </row>
    <row r="6457" spans="14:20" x14ac:dyDescent="0.25">
      <c r="N6457" s="514"/>
      <c r="R6457" s="293"/>
      <c r="S6457" s="316"/>
      <c r="T6457" s="355"/>
    </row>
    <row r="6458" spans="14:20" x14ac:dyDescent="0.25">
      <c r="N6458" s="514"/>
      <c r="R6458" s="293"/>
      <c r="S6458" s="316"/>
      <c r="T6458" s="355"/>
    </row>
    <row r="6459" spans="14:20" x14ac:dyDescent="0.25">
      <c r="N6459" s="514"/>
      <c r="R6459" s="293"/>
      <c r="S6459" s="316"/>
      <c r="T6459" s="355"/>
    </row>
    <row r="6460" spans="14:20" x14ac:dyDescent="0.25">
      <c r="N6460" s="514"/>
      <c r="R6460" s="293"/>
      <c r="S6460" s="316"/>
      <c r="T6460" s="355"/>
    </row>
    <row r="6461" spans="14:20" x14ac:dyDescent="0.25">
      <c r="N6461" s="514"/>
      <c r="R6461" s="293"/>
      <c r="S6461" s="316"/>
      <c r="T6461" s="355"/>
    </row>
    <row r="6462" spans="14:20" x14ac:dyDescent="0.25">
      <c r="N6462" s="514"/>
      <c r="R6462" s="293"/>
      <c r="S6462" s="316"/>
      <c r="T6462" s="355"/>
    </row>
    <row r="6463" spans="14:20" x14ac:dyDescent="0.25">
      <c r="N6463" s="514"/>
      <c r="R6463" s="293"/>
      <c r="S6463" s="316"/>
      <c r="T6463" s="355"/>
    </row>
    <row r="6464" spans="14:20" x14ac:dyDescent="0.25">
      <c r="N6464" s="514"/>
      <c r="R6464" s="293"/>
      <c r="S6464" s="316"/>
      <c r="T6464" s="355"/>
    </row>
    <row r="6465" spans="14:20" x14ac:dyDescent="0.25">
      <c r="N6465" s="514"/>
      <c r="R6465" s="293"/>
      <c r="S6465" s="316"/>
      <c r="T6465" s="355"/>
    </row>
    <row r="6466" spans="14:20" x14ac:dyDescent="0.25">
      <c r="N6466" s="514"/>
      <c r="R6466" s="293"/>
      <c r="S6466" s="316"/>
      <c r="T6466" s="355"/>
    </row>
    <row r="6467" spans="14:20" x14ac:dyDescent="0.25">
      <c r="N6467" s="514"/>
      <c r="R6467" s="293"/>
      <c r="S6467" s="316"/>
      <c r="T6467" s="355"/>
    </row>
    <row r="6468" spans="14:20" x14ac:dyDescent="0.25">
      <c r="N6468" s="514"/>
      <c r="R6468" s="293"/>
      <c r="S6468" s="316"/>
      <c r="T6468" s="355"/>
    </row>
    <row r="6469" spans="14:20" x14ac:dyDescent="0.25">
      <c r="N6469" s="514"/>
      <c r="R6469" s="293"/>
      <c r="S6469" s="316"/>
      <c r="T6469" s="355"/>
    </row>
    <row r="6470" spans="14:20" x14ac:dyDescent="0.25">
      <c r="N6470" s="514"/>
      <c r="R6470" s="293"/>
      <c r="S6470" s="316"/>
      <c r="T6470" s="355"/>
    </row>
    <row r="6471" spans="14:20" x14ac:dyDescent="0.25">
      <c r="N6471" s="514"/>
      <c r="R6471" s="293"/>
      <c r="S6471" s="316"/>
      <c r="T6471" s="355"/>
    </row>
    <row r="6472" spans="14:20" x14ac:dyDescent="0.25">
      <c r="N6472" s="514"/>
      <c r="R6472" s="293"/>
      <c r="S6472" s="316"/>
      <c r="T6472" s="355"/>
    </row>
    <row r="6473" spans="14:20" x14ac:dyDescent="0.25">
      <c r="N6473" s="514"/>
      <c r="R6473" s="293"/>
      <c r="S6473" s="316"/>
      <c r="T6473" s="355"/>
    </row>
    <row r="6474" spans="14:20" x14ac:dyDescent="0.25">
      <c r="N6474" s="514"/>
      <c r="R6474" s="293"/>
      <c r="S6474" s="316"/>
      <c r="T6474" s="355"/>
    </row>
    <row r="6475" spans="14:20" x14ac:dyDescent="0.25">
      <c r="N6475" s="514"/>
      <c r="R6475" s="293"/>
      <c r="S6475" s="316"/>
      <c r="T6475" s="355"/>
    </row>
    <row r="6476" spans="14:20" x14ac:dyDescent="0.25">
      <c r="N6476" s="514"/>
      <c r="R6476" s="293"/>
      <c r="S6476" s="316"/>
      <c r="T6476" s="355"/>
    </row>
    <row r="6477" spans="14:20" x14ac:dyDescent="0.25">
      <c r="N6477" s="514"/>
      <c r="R6477" s="293"/>
      <c r="S6477" s="316"/>
      <c r="T6477" s="355"/>
    </row>
    <row r="6478" spans="14:20" x14ac:dyDescent="0.25">
      <c r="N6478" s="514"/>
      <c r="R6478" s="293"/>
      <c r="S6478" s="316"/>
      <c r="T6478" s="355"/>
    </row>
    <row r="6479" spans="14:20" x14ac:dyDescent="0.25">
      <c r="N6479" s="514"/>
      <c r="R6479" s="293"/>
      <c r="S6479" s="316"/>
      <c r="T6479" s="355"/>
    </row>
    <row r="6480" spans="14:20" x14ac:dyDescent="0.25">
      <c r="N6480" s="514"/>
      <c r="R6480" s="293"/>
      <c r="S6480" s="316"/>
      <c r="T6480" s="355"/>
    </row>
    <row r="6481" spans="14:20" x14ac:dyDescent="0.25">
      <c r="N6481" s="514"/>
      <c r="R6481" s="293"/>
      <c r="S6481" s="316"/>
      <c r="T6481" s="355"/>
    </row>
    <row r="6482" spans="14:20" x14ac:dyDescent="0.25">
      <c r="N6482" s="514"/>
      <c r="R6482" s="293"/>
      <c r="S6482" s="316"/>
      <c r="T6482" s="355"/>
    </row>
    <row r="6483" spans="14:20" x14ac:dyDescent="0.25">
      <c r="N6483" s="514"/>
      <c r="R6483" s="293"/>
      <c r="S6483" s="316"/>
      <c r="T6483" s="355"/>
    </row>
    <row r="6484" spans="14:20" x14ac:dyDescent="0.25">
      <c r="N6484" s="514"/>
      <c r="R6484" s="293"/>
      <c r="S6484" s="316"/>
      <c r="T6484" s="355"/>
    </row>
    <row r="6485" spans="14:20" x14ac:dyDescent="0.25">
      <c r="N6485" s="514"/>
      <c r="R6485" s="293"/>
      <c r="S6485" s="316"/>
      <c r="T6485" s="355"/>
    </row>
    <row r="6486" spans="14:20" x14ac:dyDescent="0.25">
      <c r="N6486" s="514"/>
      <c r="R6486" s="293"/>
      <c r="S6486" s="316"/>
      <c r="T6486" s="355"/>
    </row>
    <row r="6487" spans="14:20" x14ac:dyDescent="0.25">
      <c r="N6487" s="514"/>
      <c r="R6487" s="293"/>
      <c r="S6487" s="316"/>
      <c r="T6487" s="355"/>
    </row>
    <row r="6488" spans="14:20" x14ac:dyDescent="0.25">
      <c r="N6488" s="514"/>
      <c r="R6488" s="293"/>
      <c r="S6488" s="316"/>
      <c r="T6488" s="355"/>
    </row>
    <row r="6489" spans="14:20" x14ac:dyDescent="0.25">
      <c r="N6489" s="514"/>
      <c r="R6489" s="293"/>
      <c r="S6489" s="316"/>
      <c r="T6489" s="355"/>
    </row>
    <row r="6490" spans="14:20" x14ac:dyDescent="0.25">
      <c r="N6490" s="514"/>
      <c r="R6490" s="293"/>
      <c r="S6490" s="316"/>
      <c r="T6490" s="355"/>
    </row>
    <row r="6491" spans="14:20" x14ac:dyDescent="0.25">
      <c r="N6491" s="514"/>
      <c r="R6491" s="293"/>
      <c r="S6491" s="316"/>
      <c r="T6491" s="355"/>
    </row>
    <row r="6492" spans="14:20" x14ac:dyDescent="0.25">
      <c r="N6492" s="514"/>
      <c r="R6492" s="293"/>
      <c r="S6492" s="316"/>
      <c r="T6492" s="355"/>
    </row>
    <row r="6493" spans="14:20" x14ac:dyDescent="0.25">
      <c r="N6493" s="514"/>
      <c r="R6493" s="293"/>
      <c r="S6493" s="316"/>
      <c r="T6493" s="355"/>
    </row>
    <row r="6494" spans="14:20" x14ac:dyDescent="0.25">
      <c r="N6494" s="514"/>
      <c r="R6494" s="293"/>
      <c r="S6494" s="316"/>
      <c r="T6494" s="355"/>
    </row>
    <row r="6495" spans="14:20" x14ac:dyDescent="0.25">
      <c r="N6495" s="514"/>
      <c r="R6495" s="293"/>
      <c r="S6495" s="316"/>
      <c r="T6495" s="355"/>
    </row>
    <row r="6496" spans="14:20" x14ac:dyDescent="0.25">
      <c r="N6496" s="514"/>
      <c r="R6496" s="293"/>
      <c r="S6496" s="316"/>
      <c r="T6496" s="355"/>
    </row>
    <row r="6497" spans="14:20" x14ac:dyDescent="0.25">
      <c r="N6497" s="514"/>
      <c r="R6497" s="293"/>
      <c r="S6497" s="316"/>
      <c r="T6497" s="355"/>
    </row>
    <row r="6498" spans="14:20" x14ac:dyDescent="0.25">
      <c r="N6498" s="514"/>
      <c r="R6498" s="293"/>
      <c r="S6498" s="316"/>
      <c r="T6498" s="355"/>
    </row>
    <row r="6499" spans="14:20" x14ac:dyDescent="0.25">
      <c r="N6499" s="514"/>
      <c r="R6499" s="293"/>
      <c r="S6499" s="316"/>
      <c r="T6499" s="355"/>
    </row>
    <row r="6500" spans="14:20" x14ac:dyDescent="0.25">
      <c r="N6500" s="514"/>
      <c r="R6500" s="293"/>
      <c r="S6500" s="316"/>
      <c r="T6500" s="355"/>
    </row>
    <row r="6501" spans="14:20" x14ac:dyDescent="0.25">
      <c r="N6501" s="514"/>
      <c r="R6501" s="293"/>
      <c r="S6501" s="316"/>
      <c r="T6501" s="355"/>
    </row>
    <row r="6502" spans="14:20" x14ac:dyDescent="0.25">
      <c r="N6502" s="514"/>
      <c r="R6502" s="293"/>
      <c r="S6502" s="316"/>
      <c r="T6502" s="355"/>
    </row>
    <row r="6503" spans="14:20" x14ac:dyDescent="0.25">
      <c r="N6503" s="514"/>
      <c r="R6503" s="293"/>
      <c r="S6503" s="316"/>
      <c r="T6503" s="355"/>
    </row>
    <row r="6504" spans="14:20" x14ac:dyDescent="0.25">
      <c r="N6504" s="514"/>
      <c r="R6504" s="293"/>
      <c r="S6504" s="316"/>
      <c r="T6504" s="355"/>
    </row>
    <row r="6505" spans="14:20" x14ac:dyDescent="0.25">
      <c r="N6505" s="514"/>
      <c r="R6505" s="293"/>
      <c r="S6505" s="316"/>
      <c r="T6505" s="355"/>
    </row>
    <row r="6506" spans="14:20" x14ac:dyDescent="0.25">
      <c r="N6506" s="514"/>
      <c r="R6506" s="293"/>
      <c r="S6506" s="316"/>
      <c r="T6506" s="355"/>
    </row>
    <row r="6507" spans="14:20" x14ac:dyDescent="0.25">
      <c r="N6507" s="514"/>
      <c r="R6507" s="293"/>
      <c r="S6507" s="316"/>
      <c r="T6507" s="355"/>
    </row>
    <row r="6508" spans="14:20" x14ac:dyDescent="0.25">
      <c r="N6508" s="514"/>
      <c r="R6508" s="293"/>
      <c r="S6508" s="316"/>
      <c r="T6508" s="355"/>
    </row>
    <row r="6509" spans="14:20" x14ac:dyDescent="0.25">
      <c r="N6509" s="514"/>
      <c r="R6509" s="293"/>
      <c r="S6509" s="316"/>
      <c r="T6509" s="355"/>
    </row>
    <row r="6510" spans="14:20" x14ac:dyDescent="0.25">
      <c r="N6510" s="514"/>
      <c r="R6510" s="293"/>
      <c r="S6510" s="316"/>
      <c r="T6510" s="355"/>
    </row>
    <row r="6511" spans="14:20" x14ac:dyDescent="0.25">
      <c r="N6511" s="514"/>
      <c r="R6511" s="293"/>
      <c r="S6511" s="316"/>
      <c r="T6511" s="355"/>
    </row>
    <row r="6512" spans="14:20" x14ac:dyDescent="0.25">
      <c r="N6512" s="514"/>
      <c r="R6512" s="293"/>
      <c r="S6512" s="316"/>
      <c r="T6512" s="355"/>
    </row>
    <row r="6513" spans="14:20" x14ac:dyDescent="0.25">
      <c r="N6513" s="514"/>
      <c r="R6513" s="293"/>
      <c r="S6513" s="316"/>
      <c r="T6513" s="355"/>
    </row>
    <row r="6514" spans="14:20" x14ac:dyDescent="0.25">
      <c r="N6514" s="514"/>
      <c r="R6514" s="293"/>
      <c r="S6514" s="316"/>
      <c r="T6514" s="355"/>
    </row>
    <row r="6515" spans="14:20" x14ac:dyDescent="0.25">
      <c r="N6515" s="514"/>
      <c r="R6515" s="293"/>
      <c r="S6515" s="316"/>
      <c r="T6515" s="355"/>
    </row>
    <row r="6516" spans="14:20" x14ac:dyDescent="0.25">
      <c r="N6516" s="514"/>
      <c r="R6516" s="293"/>
      <c r="S6516" s="316"/>
      <c r="T6516" s="355"/>
    </row>
    <row r="6517" spans="14:20" x14ac:dyDescent="0.25">
      <c r="N6517" s="514"/>
      <c r="R6517" s="293"/>
      <c r="S6517" s="316"/>
      <c r="T6517" s="355"/>
    </row>
    <row r="6518" spans="14:20" x14ac:dyDescent="0.25">
      <c r="N6518" s="514"/>
      <c r="R6518" s="293"/>
      <c r="S6518" s="316"/>
      <c r="T6518" s="355"/>
    </row>
    <row r="6519" spans="14:20" x14ac:dyDescent="0.25">
      <c r="N6519" s="514"/>
      <c r="R6519" s="293"/>
      <c r="S6519" s="316"/>
      <c r="T6519" s="355"/>
    </row>
    <row r="6520" spans="14:20" x14ac:dyDescent="0.25">
      <c r="N6520" s="514"/>
      <c r="R6520" s="293"/>
      <c r="S6520" s="316"/>
      <c r="T6520" s="355"/>
    </row>
    <row r="6521" spans="14:20" x14ac:dyDescent="0.25">
      <c r="N6521" s="514"/>
      <c r="R6521" s="293"/>
      <c r="S6521" s="316"/>
      <c r="T6521" s="355"/>
    </row>
    <row r="6522" spans="14:20" x14ac:dyDescent="0.25">
      <c r="N6522" s="514"/>
      <c r="R6522" s="293"/>
      <c r="S6522" s="316"/>
      <c r="T6522" s="355"/>
    </row>
    <row r="6523" spans="14:20" x14ac:dyDescent="0.25">
      <c r="N6523" s="514"/>
      <c r="R6523" s="293"/>
      <c r="S6523" s="316"/>
      <c r="T6523" s="355"/>
    </row>
    <row r="6524" spans="14:20" x14ac:dyDescent="0.25">
      <c r="N6524" s="514"/>
      <c r="R6524" s="293"/>
      <c r="S6524" s="316"/>
      <c r="T6524" s="355"/>
    </row>
    <row r="6525" spans="14:20" x14ac:dyDescent="0.25">
      <c r="N6525" s="514"/>
      <c r="R6525" s="293"/>
      <c r="S6525" s="316"/>
      <c r="T6525" s="355"/>
    </row>
    <row r="6526" spans="14:20" x14ac:dyDescent="0.25">
      <c r="N6526" s="514"/>
      <c r="R6526" s="293"/>
      <c r="S6526" s="316"/>
      <c r="T6526" s="355"/>
    </row>
    <row r="6527" spans="14:20" x14ac:dyDescent="0.25">
      <c r="N6527" s="514"/>
      <c r="R6527" s="293"/>
      <c r="S6527" s="316"/>
      <c r="T6527" s="355"/>
    </row>
    <row r="6528" spans="14:20" x14ac:dyDescent="0.25">
      <c r="N6528" s="514"/>
      <c r="R6528" s="293"/>
      <c r="S6528" s="316"/>
      <c r="T6528" s="355"/>
    </row>
    <row r="6529" spans="14:20" x14ac:dyDescent="0.25">
      <c r="N6529" s="514"/>
      <c r="R6529" s="293"/>
      <c r="S6529" s="316"/>
      <c r="T6529" s="355"/>
    </row>
    <row r="6530" spans="14:20" x14ac:dyDescent="0.25">
      <c r="N6530" s="514"/>
      <c r="R6530" s="293"/>
      <c r="S6530" s="316"/>
      <c r="T6530" s="355"/>
    </row>
    <row r="6531" spans="14:20" x14ac:dyDescent="0.25">
      <c r="N6531" s="514"/>
      <c r="R6531" s="293"/>
      <c r="S6531" s="316"/>
      <c r="T6531" s="355"/>
    </row>
    <row r="6532" spans="14:20" x14ac:dyDescent="0.25">
      <c r="N6532" s="514"/>
      <c r="R6532" s="293"/>
      <c r="S6532" s="316"/>
      <c r="T6532" s="355"/>
    </row>
    <row r="6533" spans="14:20" x14ac:dyDescent="0.25">
      <c r="N6533" s="514"/>
      <c r="R6533" s="293"/>
      <c r="S6533" s="316"/>
      <c r="T6533" s="355"/>
    </row>
    <row r="6534" spans="14:20" x14ac:dyDescent="0.25">
      <c r="N6534" s="514"/>
      <c r="R6534" s="293"/>
      <c r="S6534" s="316"/>
      <c r="T6534" s="355"/>
    </row>
    <row r="6535" spans="14:20" x14ac:dyDescent="0.25">
      <c r="N6535" s="514"/>
      <c r="R6535" s="293"/>
      <c r="S6535" s="316"/>
      <c r="T6535" s="355"/>
    </row>
    <row r="6536" spans="14:20" x14ac:dyDescent="0.25">
      <c r="N6536" s="514"/>
      <c r="R6536" s="293"/>
      <c r="S6536" s="316"/>
      <c r="T6536" s="355"/>
    </row>
    <row r="6537" spans="14:20" x14ac:dyDescent="0.25">
      <c r="N6537" s="514"/>
      <c r="R6537" s="293"/>
      <c r="S6537" s="316"/>
      <c r="T6537" s="355"/>
    </row>
    <row r="6538" spans="14:20" x14ac:dyDescent="0.25">
      <c r="N6538" s="514"/>
      <c r="R6538" s="293"/>
      <c r="S6538" s="316"/>
      <c r="T6538" s="355"/>
    </row>
    <row r="6539" spans="14:20" x14ac:dyDescent="0.25">
      <c r="N6539" s="514"/>
      <c r="R6539" s="293"/>
      <c r="S6539" s="316"/>
      <c r="T6539" s="355"/>
    </row>
    <row r="6540" spans="14:20" x14ac:dyDescent="0.25">
      <c r="N6540" s="514"/>
      <c r="R6540" s="293"/>
      <c r="S6540" s="316"/>
      <c r="T6540" s="355"/>
    </row>
    <row r="6541" spans="14:20" x14ac:dyDescent="0.25">
      <c r="N6541" s="514"/>
      <c r="R6541" s="293"/>
      <c r="S6541" s="316"/>
      <c r="T6541" s="355"/>
    </row>
    <row r="6542" spans="14:20" x14ac:dyDescent="0.25">
      <c r="N6542" s="514"/>
      <c r="R6542" s="293"/>
      <c r="S6542" s="316"/>
      <c r="T6542" s="355"/>
    </row>
    <row r="6543" spans="14:20" x14ac:dyDescent="0.25">
      <c r="N6543" s="514"/>
      <c r="R6543" s="293"/>
      <c r="S6543" s="316"/>
      <c r="T6543" s="355"/>
    </row>
    <row r="6544" spans="14:20" x14ac:dyDescent="0.25">
      <c r="N6544" s="514"/>
      <c r="R6544" s="293"/>
      <c r="S6544" s="316"/>
      <c r="T6544" s="355"/>
    </row>
    <row r="6545" spans="14:20" x14ac:dyDescent="0.25">
      <c r="N6545" s="514"/>
      <c r="R6545" s="293"/>
      <c r="S6545" s="316"/>
      <c r="T6545" s="355"/>
    </row>
    <row r="6546" spans="14:20" x14ac:dyDescent="0.25">
      <c r="N6546" s="514"/>
      <c r="R6546" s="293"/>
      <c r="S6546" s="316"/>
      <c r="T6546" s="355"/>
    </row>
    <row r="6547" spans="14:20" x14ac:dyDescent="0.25">
      <c r="N6547" s="514"/>
      <c r="R6547" s="293"/>
      <c r="S6547" s="316"/>
      <c r="T6547" s="355"/>
    </row>
    <row r="6548" spans="14:20" x14ac:dyDescent="0.25">
      <c r="N6548" s="514"/>
      <c r="R6548" s="293"/>
      <c r="S6548" s="316"/>
      <c r="T6548" s="355"/>
    </row>
    <row r="6549" spans="14:20" x14ac:dyDescent="0.25">
      <c r="N6549" s="514"/>
      <c r="R6549" s="293"/>
      <c r="S6549" s="316"/>
      <c r="T6549" s="355"/>
    </row>
    <row r="6550" spans="14:20" x14ac:dyDescent="0.25">
      <c r="N6550" s="514"/>
      <c r="R6550" s="293"/>
      <c r="S6550" s="316"/>
      <c r="T6550" s="355"/>
    </row>
    <row r="6551" spans="14:20" x14ac:dyDescent="0.25">
      <c r="N6551" s="514"/>
      <c r="R6551" s="293"/>
      <c r="S6551" s="316"/>
      <c r="T6551" s="355"/>
    </row>
    <row r="6552" spans="14:20" x14ac:dyDescent="0.25">
      <c r="N6552" s="514"/>
      <c r="R6552" s="293"/>
      <c r="S6552" s="316"/>
      <c r="T6552" s="355"/>
    </row>
    <row r="6553" spans="14:20" x14ac:dyDescent="0.25">
      <c r="N6553" s="514"/>
      <c r="R6553" s="293"/>
      <c r="S6553" s="316"/>
      <c r="T6553" s="355"/>
    </row>
    <row r="6554" spans="14:20" x14ac:dyDescent="0.25">
      <c r="N6554" s="514"/>
      <c r="R6554" s="293"/>
      <c r="S6554" s="316"/>
      <c r="T6554" s="355"/>
    </row>
    <row r="6555" spans="14:20" x14ac:dyDescent="0.25">
      <c r="N6555" s="514"/>
      <c r="R6555" s="293"/>
      <c r="S6555" s="316"/>
      <c r="T6555" s="355"/>
    </row>
    <row r="6556" spans="14:20" x14ac:dyDescent="0.25">
      <c r="N6556" s="514"/>
      <c r="R6556" s="293"/>
      <c r="S6556" s="316"/>
      <c r="T6556" s="355"/>
    </row>
    <row r="6557" spans="14:20" x14ac:dyDescent="0.25">
      <c r="N6557" s="514"/>
      <c r="R6557" s="293"/>
      <c r="S6557" s="316"/>
      <c r="T6557" s="355"/>
    </row>
    <row r="6558" spans="14:20" x14ac:dyDescent="0.25">
      <c r="N6558" s="514"/>
      <c r="R6558" s="293"/>
      <c r="S6558" s="316"/>
      <c r="T6558" s="355"/>
    </row>
    <row r="6559" spans="14:20" x14ac:dyDescent="0.25">
      <c r="N6559" s="514"/>
      <c r="R6559" s="293"/>
      <c r="S6559" s="316"/>
      <c r="T6559" s="355"/>
    </row>
    <row r="6560" spans="14:20" x14ac:dyDescent="0.25">
      <c r="N6560" s="514"/>
      <c r="R6560" s="293"/>
      <c r="S6560" s="316"/>
      <c r="T6560" s="355"/>
    </row>
    <row r="6561" spans="14:20" x14ac:dyDescent="0.25">
      <c r="N6561" s="514"/>
      <c r="R6561" s="293"/>
      <c r="S6561" s="316"/>
      <c r="T6561" s="355"/>
    </row>
    <row r="6562" spans="14:20" x14ac:dyDescent="0.25">
      <c r="N6562" s="514"/>
      <c r="R6562" s="293"/>
      <c r="S6562" s="316"/>
      <c r="T6562" s="355"/>
    </row>
    <row r="6563" spans="14:20" x14ac:dyDescent="0.25">
      <c r="N6563" s="514"/>
      <c r="R6563" s="293"/>
      <c r="S6563" s="316"/>
      <c r="T6563" s="355"/>
    </row>
    <row r="6564" spans="14:20" x14ac:dyDescent="0.25">
      <c r="N6564" s="514"/>
      <c r="R6564" s="293"/>
      <c r="S6564" s="316"/>
      <c r="T6564" s="355"/>
    </row>
    <row r="6565" spans="14:20" x14ac:dyDescent="0.25">
      <c r="N6565" s="514"/>
      <c r="R6565" s="293"/>
      <c r="S6565" s="316"/>
      <c r="T6565" s="355"/>
    </row>
    <row r="6566" spans="14:20" x14ac:dyDescent="0.25">
      <c r="N6566" s="514"/>
      <c r="R6566" s="293"/>
      <c r="S6566" s="316"/>
      <c r="T6566" s="355"/>
    </row>
    <row r="6567" spans="14:20" x14ac:dyDescent="0.25">
      <c r="N6567" s="514"/>
      <c r="R6567" s="293"/>
      <c r="S6567" s="316"/>
      <c r="T6567" s="355"/>
    </row>
    <row r="6568" spans="14:20" x14ac:dyDescent="0.25">
      <c r="N6568" s="514"/>
      <c r="R6568" s="293"/>
      <c r="S6568" s="316"/>
      <c r="T6568" s="355"/>
    </row>
    <row r="6569" spans="14:20" x14ac:dyDescent="0.25">
      <c r="N6569" s="514"/>
      <c r="R6569" s="293"/>
      <c r="S6569" s="316"/>
      <c r="T6569" s="355"/>
    </row>
    <row r="6570" spans="14:20" x14ac:dyDescent="0.25">
      <c r="N6570" s="514"/>
      <c r="R6570" s="293"/>
      <c r="S6570" s="316"/>
      <c r="T6570" s="355"/>
    </row>
    <row r="6571" spans="14:20" x14ac:dyDescent="0.25">
      <c r="N6571" s="514"/>
      <c r="R6571" s="293"/>
      <c r="S6571" s="316"/>
      <c r="T6571" s="355"/>
    </row>
    <row r="6572" spans="14:20" x14ac:dyDescent="0.25">
      <c r="N6572" s="514"/>
      <c r="R6572" s="293"/>
      <c r="S6572" s="316"/>
      <c r="T6572" s="355"/>
    </row>
    <row r="6573" spans="14:20" x14ac:dyDescent="0.25">
      <c r="N6573" s="514"/>
      <c r="R6573" s="293"/>
      <c r="S6573" s="316"/>
      <c r="T6573" s="355"/>
    </row>
    <row r="6574" spans="14:20" x14ac:dyDescent="0.25">
      <c r="N6574" s="514"/>
      <c r="R6574" s="293"/>
      <c r="S6574" s="316"/>
      <c r="T6574" s="355"/>
    </row>
    <row r="6575" spans="14:20" x14ac:dyDescent="0.25">
      <c r="N6575" s="514"/>
      <c r="R6575" s="293"/>
      <c r="S6575" s="316"/>
      <c r="T6575" s="355"/>
    </row>
    <row r="6576" spans="14:20" x14ac:dyDescent="0.25">
      <c r="N6576" s="514"/>
      <c r="R6576" s="293"/>
      <c r="S6576" s="316"/>
      <c r="T6576" s="355"/>
    </row>
    <row r="6577" spans="14:20" x14ac:dyDescent="0.25">
      <c r="N6577" s="514"/>
      <c r="R6577" s="293"/>
      <c r="S6577" s="316"/>
      <c r="T6577" s="355"/>
    </row>
    <row r="6578" spans="14:20" x14ac:dyDescent="0.25">
      <c r="N6578" s="514"/>
      <c r="R6578" s="293"/>
      <c r="S6578" s="316"/>
      <c r="T6578" s="355"/>
    </row>
    <row r="6579" spans="14:20" x14ac:dyDescent="0.25">
      <c r="N6579" s="514"/>
      <c r="R6579" s="293"/>
      <c r="S6579" s="316"/>
      <c r="T6579" s="355"/>
    </row>
    <row r="6580" spans="14:20" x14ac:dyDescent="0.25">
      <c r="N6580" s="514"/>
      <c r="R6580" s="293"/>
      <c r="S6580" s="316"/>
      <c r="T6580" s="355"/>
    </row>
    <row r="6581" spans="14:20" x14ac:dyDescent="0.25">
      <c r="N6581" s="514"/>
      <c r="R6581" s="293"/>
      <c r="S6581" s="316"/>
      <c r="T6581" s="355"/>
    </row>
    <row r="6582" spans="14:20" x14ac:dyDescent="0.25">
      <c r="N6582" s="514"/>
      <c r="R6582" s="293"/>
      <c r="S6582" s="316"/>
      <c r="T6582" s="355"/>
    </row>
    <row r="6583" spans="14:20" x14ac:dyDescent="0.25">
      <c r="N6583" s="514"/>
      <c r="R6583" s="293"/>
      <c r="S6583" s="316"/>
      <c r="T6583" s="355"/>
    </row>
    <row r="6584" spans="14:20" x14ac:dyDescent="0.25">
      <c r="N6584" s="514"/>
      <c r="R6584" s="293"/>
      <c r="S6584" s="316"/>
      <c r="T6584" s="355"/>
    </row>
    <row r="6585" spans="14:20" x14ac:dyDescent="0.25">
      <c r="N6585" s="514"/>
      <c r="R6585" s="293"/>
      <c r="S6585" s="316"/>
      <c r="T6585" s="355"/>
    </row>
    <row r="6586" spans="14:20" x14ac:dyDescent="0.25">
      <c r="N6586" s="514"/>
      <c r="R6586" s="293"/>
      <c r="S6586" s="316"/>
      <c r="T6586" s="355"/>
    </row>
    <row r="6587" spans="14:20" x14ac:dyDescent="0.25">
      <c r="N6587" s="514"/>
      <c r="R6587" s="293"/>
      <c r="S6587" s="316"/>
      <c r="T6587" s="355"/>
    </row>
    <row r="6588" spans="14:20" x14ac:dyDescent="0.25">
      <c r="N6588" s="514"/>
      <c r="R6588" s="293"/>
      <c r="S6588" s="316"/>
      <c r="T6588" s="355"/>
    </row>
    <row r="6589" spans="14:20" x14ac:dyDescent="0.25">
      <c r="N6589" s="514"/>
      <c r="R6589" s="293"/>
      <c r="S6589" s="316"/>
      <c r="T6589" s="355"/>
    </row>
    <row r="6590" spans="14:20" x14ac:dyDescent="0.25">
      <c r="N6590" s="514"/>
      <c r="R6590" s="293"/>
      <c r="S6590" s="316"/>
      <c r="T6590" s="355"/>
    </row>
    <row r="6591" spans="14:20" x14ac:dyDescent="0.25">
      <c r="N6591" s="514"/>
      <c r="R6591" s="293"/>
      <c r="S6591" s="316"/>
      <c r="T6591" s="355"/>
    </row>
    <row r="6592" spans="14:20" x14ac:dyDescent="0.25">
      <c r="N6592" s="514"/>
      <c r="R6592" s="293"/>
      <c r="S6592" s="316"/>
      <c r="T6592" s="355"/>
    </row>
    <row r="6593" spans="14:20" x14ac:dyDescent="0.25">
      <c r="N6593" s="514"/>
      <c r="R6593" s="293"/>
      <c r="S6593" s="316"/>
      <c r="T6593" s="355"/>
    </row>
    <row r="6594" spans="14:20" x14ac:dyDescent="0.25">
      <c r="N6594" s="514"/>
      <c r="R6594" s="293"/>
      <c r="S6594" s="316"/>
      <c r="T6594" s="355"/>
    </row>
    <row r="6595" spans="14:20" x14ac:dyDescent="0.25">
      <c r="N6595" s="514"/>
      <c r="R6595" s="293"/>
      <c r="S6595" s="316"/>
      <c r="T6595" s="355"/>
    </row>
    <row r="6596" spans="14:20" x14ac:dyDescent="0.25">
      <c r="N6596" s="514"/>
      <c r="R6596" s="293"/>
      <c r="S6596" s="316"/>
      <c r="T6596" s="355"/>
    </row>
    <row r="6597" spans="14:20" x14ac:dyDescent="0.25">
      <c r="N6597" s="514"/>
      <c r="R6597" s="293"/>
      <c r="S6597" s="316"/>
      <c r="T6597" s="355"/>
    </row>
    <row r="6598" spans="14:20" x14ac:dyDescent="0.25">
      <c r="N6598" s="514"/>
      <c r="R6598" s="293"/>
      <c r="S6598" s="316"/>
      <c r="T6598" s="355"/>
    </row>
    <row r="6599" spans="14:20" x14ac:dyDescent="0.25">
      <c r="N6599" s="514"/>
      <c r="R6599" s="293"/>
      <c r="S6599" s="316"/>
      <c r="T6599" s="355"/>
    </row>
    <row r="6600" spans="14:20" x14ac:dyDescent="0.25">
      <c r="N6600" s="514"/>
      <c r="R6600" s="293"/>
      <c r="S6600" s="316"/>
      <c r="T6600" s="355"/>
    </row>
    <row r="6601" spans="14:20" x14ac:dyDescent="0.25">
      <c r="N6601" s="514"/>
      <c r="R6601" s="293"/>
      <c r="S6601" s="316"/>
      <c r="T6601" s="355"/>
    </row>
    <row r="6602" spans="14:20" x14ac:dyDescent="0.25">
      <c r="N6602" s="514"/>
      <c r="R6602" s="293"/>
      <c r="S6602" s="316"/>
      <c r="T6602" s="355"/>
    </row>
    <row r="6603" spans="14:20" x14ac:dyDescent="0.25">
      <c r="N6603" s="514"/>
      <c r="R6603" s="293"/>
      <c r="S6603" s="316"/>
      <c r="T6603" s="355"/>
    </row>
    <row r="6604" spans="14:20" x14ac:dyDescent="0.25">
      <c r="N6604" s="514"/>
      <c r="R6604" s="293"/>
      <c r="S6604" s="316"/>
      <c r="T6604" s="355"/>
    </row>
    <row r="6605" spans="14:20" x14ac:dyDescent="0.25">
      <c r="N6605" s="514"/>
      <c r="R6605" s="293"/>
      <c r="S6605" s="316"/>
      <c r="T6605" s="355"/>
    </row>
    <row r="6606" spans="14:20" x14ac:dyDescent="0.25">
      <c r="N6606" s="514"/>
      <c r="R6606" s="293"/>
      <c r="S6606" s="316"/>
      <c r="T6606" s="355"/>
    </row>
    <row r="6607" spans="14:20" x14ac:dyDescent="0.25">
      <c r="N6607" s="514"/>
      <c r="R6607" s="293"/>
      <c r="S6607" s="316"/>
      <c r="T6607" s="355"/>
    </row>
    <row r="6608" spans="14:20" x14ac:dyDescent="0.25">
      <c r="N6608" s="514"/>
      <c r="R6608" s="293"/>
      <c r="S6608" s="316"/>
      <c r="T6608" s="355"/>
    </row>
    <row r="6609" spans="14:20" x14ac:dyDescent="0.25">
      <c r="N6609" s="514"/>
      <c r="R6609" s="293"/>
      <c r="S6609" s="316"/>
      <c r="T6609" s="355"/>
    </row>
    <row r="6610" spans="14:20" x14ac:dyDescent="0.25">
      <c r="N6610" s="514"/>
      <c r="R6610" s="293"/>
      <c r="S6610" s="316"/>
      <c r="T6610" s="355"/>
    </row>
    <row r="6611" spans="14:20" x14ac:dyDescent="0.25">
      <c r="N6611" s="514"/>
      <c r="R6611" s="293"/>
      <c r="S6611" s="316"/>
      <c r="T6611" s="355"/>
    </row>
    <row r="6612" spans="14:20" x14ac:dyDescent="0.25">
      <c r="N6612" s="514"/>
      <c r="R6612" s="293"/>
      <c r="S6612" s="316"/>
      <c r="T6612" s="355"/>
    </row>
    <row r="6613" spans="14:20" x14ac:dyDescent="0.25">
      <c r="N6613" s="514"/>
      <c r="R6613" s="293"/>
      <c r="S6613" s="316"/>
      <c r="T6613" s="355"/>
    </row>
    <row r="6614" spans="14:20" x14ac:dyDescent="0.25">
      <c r="N6614" s="514"/>
      <c r="R6614" s="293"/>
      <c r="S6614" s="316"/>
      <c r="T6614" s="355"/>
    </row>
    <row r="6615" spans="14:20" x14ac:dyDescent="0.25">
      <c r="N6615" s="514"/>
      <c r="R6615" s="293"/>
      <c r="S6615" s="316"/>
      <c r="T6615" s="355"/>
    </row>
    <row r="6616" spans="14:20" x14ac:dyDescent="0.25">
      <c r="N6616" s="514"/>
      <c r="R6616" s="293"/>
      <c r="S6616" s="316"/>
      <c r="T6616" s="355"/>
    </row>
    <row r="6617" spans="14:20" x14ac:dyDescent="0.25">
      <c r="N6617" s="514"/>
      <c r="R6617" s="293"/>
      <c r="S6617" s="316"/>
      <c r="T6617" s="355"/>
    </row>
    <row r="6618" spans="14:20" x14ac:dyDescent="0.25">
      <c r="N6618" s="514"/>
      <c r="R6618" s="293"/>
      <c r="S6618" s="316"/>
      <c r="T6618" s="355"/>
    </row>
    <row r="6619" spans="14:20" x14ac:dyDescent="0.25">
      <c r="N6619" s="514"/>
      <c r="R6619" s="293"/>
      <c r="S6619" s="316"/>
      <c r="T6619" s="355"/>
    </row>
    <row r="6620" spans="14:20" x14ac:dyDescent="0.25">
      <c r="N6620" s="514"/>
      <c r="R6620" s="293"/>
      <c r="S6620" s="316"/>
      <c r="T6620" s="355"/>
    </row>
    <row r="6621" spans="14:20" x14ac:dyDescent="0.25">
      <c r="N6621" s="514"/>
      <c r="R6621" s="293"/>
      <c r="S6621" s="316"/>
      <c r="T6621" s="355"/>
    </row>
    <row r="6622" spans="14:20" x14ac:dyDescent="0.25">
      <c r="N6622" s="514"/>
      <c r="R6622" s="293"/>
      <c r="S6622" s="316"/>
      <c r="T6622" s="355"/>
    </row>
    <row r="6623" spans="14:20" x14ac:dyDescent="0.25">
      <c r="N6623" s="514"/>
      <c r="R6623" s="293"/>
      <c r="S6623" s="316"/>
      <c r="T6623" s="355"/>
    </row>
    <row r="6624" spans="14:20" x14ac:dyDescent="0.25">
      <c r="N6624" s="514"/>
      <c r="R6624" s="293"/>
      <c r="S6624" s="316"/>
      <c r="T6624" s="355"/>
    </row>
    <row r="6625" spans="14:20" x14ac:dyDescent="0.25">
      <c r="N6625" s="514"/>
      <c r="R6625" s="293"/>
      <c r="S6625" s="316"/>
      <c r="T6625" s="355"/>
    </row>
    <row r="6626" spans="14:20" x14ac:dyDescent="0.25">
      <c r="N6626" s="514"/>
      <c r="R6626" s="293"/>
      <c r="S6626" s="316"/>
      <c r="T6626" s="355"/>
    </row>
    <row r="6627" spans="14:20" x14ac:dyDescent="0.25">
      <c r="N6627" s="514"/>
      <c r="R6627" s="293"/>
      <c r="S6627" s="316"/>
      <c r="T6627" s="355"/>
    </row>
    <row r="6628" spans="14:20" x14ac:dyDescent="0.25">
      <c r="N6628" s="514"/>
      <c r="R6628" s="293"/>
      <c r="S6628" s="316"/>
      <c r="T6628" s="355"/>
    </row>
    <row r="6629" spans="14:20" x14ac:dyDescent="0.25">
      <c r="N6629" s="514"/>
      <c r="R6629" s="293"/>
      <c r="S6629" s="316"/>
      <c r="T6629" s="355"/>
    </row>
    <row r="6630" spans="14:20" x14ac:dyDescent="0.25">
      <c r="N6630" s="514"/>
      <c r="R6630" s="293"/>
      <c r="S6630" s="316"/>
      <c r="T6630" s="355"/>
    </row>
    <row r="6631" spans="14:20" x14ac:dyDescent="0.25">
      <c r="N6631" s="514"/>
      <c r="R6631" s="293"/>
      <c r="S6631" s="316"/>
      <c r="T6631" s="355"/>
    </row>
    <row r="6632" spans="14:20" x14ac:dyDescent="0.25">
      <c r="N6632" s="514"/>
      <c r="R6632" s="293"/>
      <c r="S6632" s="316"/>
      <c r="T6632" s="355"/>
    </row>
    <row r="6633" spans="14:20" x14ac:dyDescent="0.25">
      <c r="N6633" s="514"/>
      <c r="R6633" s="293"/>
      <c r="S6633" s="316"/>
      <c r="T6633" s="355"/>
    </row>
    <row r="6634" spans="14:20" x14ac:dyDescent="0.25">
      <c r="N6634" s="514"/>
      <c r="R6634" s="293"/>
      <c r="S6634" s="316"/>
      <c r="T6634" s="355"/>
    </row>
    <row r="6635" spans="14:20" x14ac:dyDescent="0.25">
      <c r="N6635" s="514"/>
      <c r="R6635" s="293"/>
      <c r="S6635" s="316"/>
      <c r="T6635" s="355"/>
    </row>
    <row r="6636" spans="14:20" x14ac:dyDescent="0.25">
      <c r="N6636" s="514"/>
      <c r="R6636" s="293"/>
      <c r="S6636" s="316"/>
      <c r="T6636" s="355"/>
    </row>
    <row r="6637" spans="14:20" x14ac:dyDescent="0.25">
      <c r="N6637" s="514"/>
      <c r="R6637" s="293"/>
      <c r="S6637" s="316"/>
      <c r="T6637" s="355"/>
    </row>
    <row r="6638" spans="14:20" x14ac:dyDescent="0.25">
      <c r="N6638" s="514"/>
      <c r="R6638" s="293"/>
      <c r="S6638" s="316"/>
      <c r="T6638" s="355"/>
    </row>
    <row r="6639" spans="14:20" x14ac:dyDescent="0.25">
      <c r="N6639" s="514"/>
      <c r="R6639" s="293"/>
      <c r="S6639" s="316"/>
      <c r="T6639" s="355"/>
    </row>
    <row r="6640" spans="14:20" x14ac:dyDescent="0.25">
      <c r="N6640" s="514"/>
      <c r="R6640" s="293"/>
      <c r="S6640" s="316"/>
      <c r="T6640" s="355"/>
    </row>
    <row r="6641" spans="14:20" x14ac:dyDescent="0.25">
      <c r="N6641" s="514"/>
      <c r="R6641" s="293"/>
      <c r="S6641" s="316"/>
      <c r="T6641" s="355"/>
    </row>
    <row r="6642" spans="14:20" x14ac:dyDescent="0.25">
      <c r="N6642" s="514"/>
      <c r="R6642" s="293"/>
      <c r="S6642" s="316"/>
      <c r="T6642" s="355"/>
    </row>
    <row r="6643" spans="14:20" x14ac:dyDescent="0.25">
      <c r="N6643" s="514"/>
      <c r="R6643" s="293"/>
      <c r="S6643" s="316"/>
      <c r="T6643" s="355"/>
    </row>
    <row r="6644" spans="14:20" x14ac:dyDescent="0.25">
      <c r="N6644" s="514"/>
      <c r="R6644" s="293"/>
      <c r="S6644" s="316"/>
      <c r="T6644" s="355"/>
    </row>
    <row r="6645" spans="14:20" x14ac:dyDescent="0.25">
      <c r="N6645" s="514"/>
      <c r="R6645" s="293"/>
      <c r="S6645" s="316"/>
      <c r="T6645" s="355"/>
    </row>
    <row r="6646" spans="14:20" x14ac:dyDescent="0.25">
      <c r="N6646" s="514"/>
      <c r="R6646" s="293"/>
      <c r="S6646" s="316"/>
      <c r="T6646" s="355"/>
    </row>
    <row r="6647" spans="14:20" x14ac:dyDescent="0.25">
      <c r="N6647" s="514"/>
      <c r="R6647" s="293"/>
      <c r="S6647" s="316"/>
      <c r="T6647" s="355"/>
    </row>
    <row r="6648" spans="14:20" x14ac:dyDescent="0.25">
      <c r="N6648" s="514"/>
      <c r="R6648" s="293"/>
      <c r="S6648" s="316"/>
      <c r="T6648" s="355"/>
    </row>
    <row r="6649" spans="14:20" x14ac:dyDescent="0.25">
      <c r="N6649" s="514"/>
      <c r="R6649" s="293"/>
      <c r="S6649" s="316"/>
      <c r="T6649" s="355"/>
    </row>
    <row r="6650" spans="14:20" x14ac:dyDescent="0.25">
      <c r="N6650" s="514"/>
      <c r="R6650" s="293"/>
      <c r="S6650" s="316"/>
      <c r="T6650" s="355"/>
    </row>
    <row r="6651" spans="14:20" x14ac:dyDescent="0.25">
      <c r="N6651" s="514"/>
      <c r="R6651" s="293"/>
      <c r="S6651" s="316"/>
      <c r="T6651" s="355"/>
    </row>
    <row r="6652" spans="14:20" x14ac:dyDescent="0.25">
      <c r="N6652" s="514"/>
      <c r="R6652" s="293"/>
      <c r="S6652" s="316"/>
      <c r="T6652" s="355"/>
    </row>
    <row r="6653" spans="14:20" x14ac:dyDescent="0.25">
      <c r="N6653" s="514"/>
      <c r="R6653" s="293"/>
      <c r="S6653" s="316"/>
      <c r="T6653" s="355"/>
    </row>
    <row r="6654" spans="14:20" x14ac:dyDescent="0.25">
      <c r="N6654" s="514"/>
      <c r="R6654" s="293"/>
      <c r="S6654" s="316"/>
      <c r="T6654" s="355"/>
    </row>
    <row r="6655" spans="14:20" x14ac:dyDescent="0.25">
      <c r="N6655" s="514"/>
      <c r="R6655" s="293"/>
      <c r="S6655" s="316"/>
      <c r="T6655" s="355"/>
    </row>
    <row r="6656" spans="14:20" x14ac:dyDescent="0.25">
      <c r="N6656" s="514"/>
      <c r="R6656" s="293"/>
      <c r="S6656" s="316"/>
      <c r="T6656" s="355"/>
    </row>
    <row r="6657" spans="14:20" x14ac:dyDescent="0.25">
      <c r="N6657" s="514"/>
      <c r="R6657" s="293"/>
      <c r="S6657" s="316"/>
      <c r="T6657" s="355"/>
    </row>
    <row r="6658" spans="14:20" x14ac:dyDescent="0.25">
      <c r="N6658" s="514"/>
      <c r="R6658" s="293"/>
      <c r="S6658" s="316"/>
      <c r="T6658" s="355"/>
    </row>
    <row r="6659" spans="14:20" x14ac:dyDescent="0.25">
      <c r="N6659" s="514"/>
      <c r="R6659" s="293"/>
      <c r="S6659" s="316"/>
      <c r="T6659" s="355"/>
    </row>
    <row r="6660" spans="14:20" x14ac:dyDescent="0.25">
      <c r="N6660" s="514"/>
      <c r="R6660" s="293"/>
      <c r="S6660" s="316"/>
      <c r="T6660" s="355"/>
    </row>
    <row r="6661" spans="14:20" x14ac:dyDescent="0.25">
      <c r="N6661" s="514"/>
      <c r="R6661" s="293"/>
      <c r="S6661" s="316"/>
      <c r="T6661" s="355"/>
    </row>
    <row r="6662" spans="14:20" x14ac:dyDescent="0.25">
      <c r="N6662" s="514"/>
      <c r="R6662" s="293"/>
      <c r="S6662" s="316"/>
      <c r="T6662" s="355"/>
    </row>
    <row r="6663" spans="14:20" x14ac:dyDescent="0.25">
      <c r="N6663" s="514"/>
      <c r="R6663" s="293"/>
      <c r="S6663" s="316"/>
      <c r="T6663" s="355"/>
    </row>
    <row r="6664" spans="14:20" x14ac:dyDescent="0.25">
      <c r="N6664" s="514"/>
      <c r="R6664" s="293"/>
      <c r="S6664" s="316"/>
      <c r="T6664" s="355"/>
    </row>
    <row r="6665" spans="14:20" x14ac:dyDescent="0.25">
      <c r="N6665" s="514"/>
      <c r="R6665" s="293"/>
      <c r="S6665" s="316"/>
      <c r="T6665" s="355"/>
    </row>
    <row r="6666" spans="14:20" x14ac:dyDescent="0.25">
      <c r="N6666" s="514"/>
      <c r="R6666" s="293"/>
      <c r="S6666" s="316"/>
      <c r="T6666" s="355"/>
    </row>
    <row r="6667" spans="14:20" x14ac:dyDescent="0.25">
      <c r="N6667" s="514"/>
      <c r="R6667" s="293"/>
      <c r="S6667" s="316"/>
      <c r="T6667" s="355"/>
    </row>
    <row r="6668" spans="14:20" x14ac:dyDescent="0.25">
      <c r="N6668" s="514"/>
      <c r="R6668" s="293"/>
      <c r="S6668" s="316"/>
      <c r="T6668" s="355"/>
    </row>
    <row r="6669" spans="14:20" x14ac:dyDescent="0.25">
      <c r="N6669" s="514"/>
      <c r="R6669" s="293"/>
      <c r="S6669" s="316"/>
      <c r="T6669" s="355"/>
    </row>
    <row r="6670" spans="14:20" x14ac:dyDescent="0.25">
      <c r="N6670" s="514"/>
      <c r="R6670" s="293"/>
      <c r="S6670" s="316"/>
      <c r="T6670" s="355"/>
    </row>
    <row r="6671" spans="14:20" x14ac:dyDescent="0.25">
      <c r="N6671" s="514"/>
      <c r="R6671" s="293"/>
      <c r="S6671" s="316"/>
      <c r="T6671" s="355"/>
    </row>
    <row r="6672" spans="14:20" x14ac:dyDescent="0.25">
      <c r="N6672" s="514"/>
      <c r="R6672" s="293"/>
      <c r="S6672" s="316"/>
      <c r="T6672" s="355"/>
    </row>
    <row r="6673" spans="14:20" x14ac:dyDescent="0.25">
      <c r="N6673" s="514"/>
      <c r="R6673" s="293"/>
      <c r="S6673" s="316"/>
      <c r="T6673" s="355"/>
    </row>
    <row r="6674" spans="14:20" x14ac:dyDescent="0.25">
      <c r="N6674" s="514"/>
      <c r="R6674" s="293"/>
      <c r="S6674" s="316"/>
      <c r="T6674" s="355"/>
    </row>
    <row r="6675" spans="14:20" x14ac:dyDescent="0.25">
      <c r="N6675" s="514"/>
      <c r="R6675" s="293"/>
      <c r="S6675" s="316"/>
      <c r="T6675" s="355"/>
    </row>
    <row r="6676" spans="14:20" x14ac:dyDescent="0.25">
      <c r="N6676" s="514"/>
      <c r="R6676" s="293"/>
      <c r="S6676" s="316"/>
      <c r="T6676" s="355"/>
    </row>
    <row r="6677" spans="14:20" x14ac:dyDescent="0.25">
      <c r="N6677" s="514"/>
      <c r="R6677" s="293"/>
      <c r="S6677" s="316"/>
      <c r="T6677" s="355"/>
    </row>
    <row r="6678" spans="14:20" x14ac:dyDescent="0.25">
      <c r="N6678" s="514"/>
      <c r="R6678" s="293"/>
      <c r="S6678" s="316"/>
      <c r="T6678" s="355"/>
    </row>
    <row r="6679" spans="14:20" x14ac:dyDescent="0.25">
      <c r="N6679" s="514"/>
      <c r="R6679" s="293"/>
      <c r="S6679" s="316"/>
      <c r="T6679" s="355"/>
    </row>
    <row r="6680" spans="14:20" x14ac:dyDescent="0.25">
      <c r="N6680" s="514"/>
      <c r="R6680" s="293"/>
      <c r="S6680" s="316"/>
      <c r="T6680" s="355"/>
    </row>
    <row r="6681" spans="14:20" x14ac:dyDescent="0.25">
      <c r="N6681" s="514"/>
      <c r="R6681" s="293"/>
      <c r="S6681" s="316"/>
      <c r="T6681" s="355"/>
    </row>
    <row r="6682" spans="14:20" x14ac:dyDescent="0.25">
      <c r="N6682" s="514"/>
      <c r="R6682" s="293"/>
      <c r="S6682" s="316"/>
      <c r="T6682" s="355"/>
    </row>
    <row r="6683" spans="14:20" x14ac:dyDescent="0.25">
      <c r="N6683" s="514"/>
      <c r="R6683" s="293"/>
      <c r="S6683" s="316"/>
      <c r="T6683" s="355"/>
    </row>
    <row r="6684" spans="14:20" x14ac:dyDescent="0.25">
      <c r="N6684" s="514"/>
      <c r="R6684" s="293"/>
      <c r="S6684" s="316"/>
      <c r="T6684" s="355"/>
    </row>
    <row r="6685" spans="14:20" x14ac:dyDescent="0.25">
      <c r="N6685" s="514"/>
      <c r="R6685" s="293"/>
      <c r="S6685" s="316"/>
      <c r="T6685" s="355"/>
    </row>
    <row r="6686" spans="14:20" x14ac:dyDescent="0.25">
      <c r="N6686" s="514"/>
      <c r="R6686" s="293"/>
      <c r="S6686" s="316"/>
      <c r="T6686" s="355"/>
    </row>
    <row r="6687" spans="14:20" x14ac:dyDescent="0.25">
      <c r="N6687" s="514"/>
      <c r="R6687" s="293"/>
      <c r="S6687" s="316"/>
      <c r="T6687" s="355"/>
    </row>
    <row r="6688" spans="14:20" x14ac:dyDescent="0.25">
      <c r="N6688" s="514"/>
      <c r="R6688" s="293"/>
      <c r="S6688" s="316"/>
      <c r="T6688" s="355"/>
    </row>
    <row r="6689" spans="14:20" x14ac:dyDescent="0.25">
      <c r="N6689" s="514"/>
      <c r="R6689" s="293"/>
      <c r="S6689" s="316"/>
      <c r="T6689" s="355"/>
    </row>
    <row r="6690" spans="14:20" x14ac:dyDescent="0.25">
      <c r="N6690" s="514"/>
      <c r="R6690" s="293"/>
      <c r="S6690" s="316"/>
      <c r="T6690" s="355"/>
    </row>
    <row r="6691" spans="14:20" x14ac:dyDescent="0.25">
      <c r="N6691" s="514"/>
      <c r="R6691" s="293"/>
      <c r="S6691" s="316"/>
      <c r="T6691" s="355"/>
    </row>
    <row r="6692" spans="14:20" x14ac:dyDescent="0.25">
      <c r="N6692" s="514"/>
      <c r="R6692" s="293"/>
      <c r="S6692" s="316"/>
      <c r="T6692" s="355"/>
    </row>
    <row r="6693" spans="14:20" x14ac:dyDescent="0.25">
      <c r="N6693" s="514"/>
      <c r="R6693" s="293"/>
      <c r="S6693" s="316"/>
      <c r="T6693" s="355"/>
    </row>
    <row r="6694" spans="14:20" x14ac:dyDescent="0.25">
      <c r="N6694" s="514"/>
      <c r="R6694" s="293"/>
      <c r="S6694" s="316"/>
      <c r="T6694" s="355"/>
    </row>
    <row r="6695" spans="14:20" x14ac:dyDescent="0.25">
      <c r="N6695" s="514"/>
      <c r="R6695" s="293"/>
      <c r="S6695" s="316"/>
      <c r="T6695" s="355"/>
    </row>
    <row r="6696" spans="14:20" x14ac:dyDescent="0.25">
      <c r="N6696" s="514"/>
      <c r="R6696" s="293"/>
      <c r="S6696" s="316"/>
      <c r="T6696" s="355"/>
    </row>
    <row r="6697" spans="14:20" x14ac:dyDescent="0.25">
      <c r="N6697" s="514"/>
      <c r="R6697" s="293"/>
      <c r="S6697" s="316"/>
      <c r="T6697" s="355"/>
    </row>
    <row r="6698" spans="14:20" x14ac:dyDescent="0.25">
      <c r="N6698" s="514"/>
      <c r="R6698" s="293"/>
      <c r="S6698" s="316"/>
      <c r="T6698" s="355"/>
    </row>
    <row r="6699" spans="14:20" x14ac:dyDescent="0.25">
      <c r="N6699" s="514"/>
      <c r="R6699" s="293"/>
      <c r="S6699" s="316"/>
      <c r="T6699" s="355"/>
    </row>
    <row r="6700" spans="14:20" x14ac:dyDescent="0.25">
      <c r="N6700" s="514"/>
      <c r="R6700" s="293"/>
      <c r="S6700" s="316"/>
      <c r="T6700" s="355"/>
    </row>
    <row r="6701" spans="14:20" x14ac:dyDescent="0.25">
      <c r="N6701" s="514"/>
      <c r="R6701" s="293"/>
      <c r="S6701" s="316"/>
      <c r="T6701" s="355"/>
    </row>
    <row r="6702" spans="14:20" x14ac:dyDescent="0.25">
      <c r="N6702" s="514"/>
      <c r="R6702" s="293"/>
      <c r="S6702" s="316"/>
      <c r="T6702" s="355"/>
    </row>
    <row r="6703" spans="14:20" x14ac:dyDescent="0.25">
      <c r="N6703" s="514"/>
      <c r="R6703" s="293"/>
      <c r="S6703" s="316"/>
      <c r="T6703" s="355"/>
    </row>
    <row r="6704" spans="14:20" x14ac:dyDescent="0.25">
      <c r="N6704" s="514"/>
      <c r="R6704" s="293"/>
      <c r="S6704" s="316"/>
      <c r="T6704" s="355"/>
    </row>
    <row r="6705" spans="14:20" x14ac:dyDescent="0.25">
      <c r="N6705" s="514"/>
      <c r="R6705" s="293"/>
      <c r="S6705" s="316"/>
      <c r="T6705" s="355"/>
    </row>
    <row r="6706" spans="14:20" x14ac:dyDescent="0.25">
      <c r="N6706" s="514"/>
      <c r="R6706" s="293"/>
      <c r="S6706" s="316"/>
      <c r="T6706" s="355"/>
    </row>
    <row r="6707" spans="14:20" x14ac:dyDescent="0.25">
      <c r="N6707" s="514"/>
      <c r="R6707" s="293"/>
      <c r="S6707" s="316"/>
      <c r="T6707" s="355"/>
    </row>
    <row r="6708" spans="14:20" x14ac:dyDescent="0.25">
      <c r="N6708" s="514"/>
      <c r="R6708" s="293"/>
      <c r="S6708" s="316"/>
      <c r="T6708" s="355"/>
    </row>
    <row r="6709" spans="14:20" x14ac:dyDescent="0.25">
      <c r="N6709" s="514"/>
      <c r="R6709" s="293"/>
      <c r="S6709" s="316"/>
      <c r="T6709" s="355"/>
    </row>
    <row r="6710" spans="14:20" x14ac:dyDescent="0.25">
      <c r="N6710" s="514"/>
      <c r="R6710" s="293"/>
      <c r="S6710" s="316"/>
      <c r="T6710" s="355"/>
    </row>
    <row r="6711" spans="14:20" x14ac:dyDescent="0.25">
      <c r="N6711" s="514"/>
      <c r="R6711" s="293"/>
      <c r="S6711" s="316"/>
      <c r="T6711" s="355"/>
    </row>
    <row r="6712" spans="14:20" x14ac:dyDescent="0.25">
      <c r="N6712" s="514"/>
      <c r="R6712" s="293"/>
      <c r="S6712" s="316"/>
      <c r="T6712" s="355"/>
    </row>
    <row r="6713" spans="14:20" x14ac:dyDescent="0.25">
      <c r="N6713" s="514"/>
      <c r="R6713" s="293"/>
      <c r="S6713" s="316"/>
      <c r="T6713" s="355"/>
    </row>
    <row r="6714" spans="14:20" x14ac:dyDescent="0.25">
      <c r="N6714" s="514"/>
      <c r="R6714" s="293"/>
      <c r="S6714" s="316"/>
      <c r="T6714" s="355"/>
    </row>
    <row r="6715" spans="14:20" x14ac:dyDescent="0.25">
      <c r="N6715" s="514"/>
      <c r="R6715" s="293"/>
      <c r="S6715" s="316"/>
      <c r="T6715" s="355"/>
    </row>
    <row r="6716" spans="14:20" x14ac:dyDescent="0.25">
      <c r="N6716" s="514"/>
      <c r="R6716" s="293"/>
      <c r="S6716" s="316"/>
      <c r="T6716" s="355"/>
    </row>
    <row r="6717" spans="14:20" x14ac:dyDescent="0.25">
      <c r="N6717" s="514"/>
      <c r="R6717" s="293"/>
      <c r="S6717" s="316"/>
      <c r="T6717" s="355"/>
    </row>
    <row r="6718" spans="14:20" x14ac:dyDescent="0.25">
      <c r="N6718" s="514"/>
      <c r="R6718" s="293"/>
      <c r="S6718" s="316"/>
      <c r="T6718" s="355"/>
    </row>
    <row r="6719" spans="14:20" x14ac:dyDescent="0.25">
      <c r="N6719" s="514"/>
      <c r="R6719" s="293"/>
      <c r="S6719" s="316"/>
      <c r="T6719" s="355"/>
    </row>
    <row r="6720" spans="14:20" x14ac:dyDescent="0.25">
      <c r="N6720" s="514"/>
      <c r="R6720" s="293"/>
      <c r="S6720" s="316"/>
      <c r="T6720" s="355"/>
    </row>
    <row r="6721" spans="14:20" x14ac:dyDescent="0.25">
      <c r="N6721" s="514"/>
      <c r="R6721" s="293"/>
      <c r="S6721" s="316"/>
      <c r="T6721" s="355"/>
    </row>
    <row r="6722" spans="14:20" x14ac:dyDescent="0.25">
      <c r="N6722" s="514"/>
      <c r="R6722" s="293"/>
      <c r="S6722" s="316"/>
      <c r="T6722" s="355"/>
    </row>
    <row r="6723" spans="14:20" x14ac:dyDescent="0.25">
      <c r="N6723" s="514"/>
      <c r="R6723" s="293"/>
      <c r="S6723" s="316"/>
      <c r="T6723" s="355"/>
    </row>
    <row r="6724" spans="14:20" x14ac:dyDescent="0.25">
      <c r="N6724" s="514"/>
      <c r="R6724" s="293"/>
      <c r="S6724" s="316"/>
      <c r="T6724" s="355"/>
    </row>
    <row r="6725" spans="14:20" x14ac:dyDescent="0.25">
      <c r="N6725" s="514"/>
      <c r="R6725" s="293"/>
      <c r="S6725" s="316"/>
      <c r="T6725" s="355"/>
    </row>
    <row r="6726" spans="14:20" x14ac:dyDescent="0.25">
      <c r="N6726" s="514"/>
      <c r="R6726" s="293"/>
      <c r="S6726" s="316"/>
      <c r="T6726" s="355"/>
    </row>
    <row r="6727" spans="14:20" x14ac:dyDescent="0.25">
      <c r="N6727" s="514"/>
      <c r="R6727" s="293"/>
      <c r="S6727" s="316"/>
      <c r="T6727" s="355"/>
    </row>
    <row r="6728" spans="14:20" x14ac:dyDescent="0.25">
      <c r="N6728" s="514"/>
      <c r="R6728" s="293"/>
      <c r="S6728" s="316"/>
      <c r="T6728" s="355"/>
    </row>
    <row r="6729" spans="14:20" x14ac:dyDescent="0.25">
      <c r="N6729" s="514"/>
      <c r="R6729" s="293"/>
      <c r="S6729" s="316"/>
      <c r="T6729" s="355"/>
    </row>
    <row r="6730" spans="14:20" x14ac:dyDescent="0.25">
      <c r="N6730" s="514"/>
      <c r="R6730" s="293"/>
      <c r="S6730" s="316"/>
      <c r="T6730" s="355"/>
    </row>
    <row r="6731" spans="14:20" x14ac:dyDescent="0.25">
      <c r="N6731" s="514"/>
      <c r="R6731" s="293"/>
      <c r="S6731" s="316"/>
      <c r="T6731" s="355"/>
    </row>
    <row r="6732" spans="14:20" x14ac:dyDescent="0.25">
      <c r="N6732" s="514"/>
      <c r="R6732" s="293"/>
      <c r="S6732" s="316"/>
      <c r="T6732" s="355"/>
    </row>
    <row r="6733" spans="14:20" x14ac:dyDescent="0.25">
      <c r="N6733" s="514"/>
      <c r="R6733" s="293"/>
      <c r="S6733" s="316"/>
      <c r="T6733" s="355"/>
    </row>
    <row r="6734" spans="14:20" x14ac:dyDescent="0.25">
      <c r="N6734" s="514"/>
      <c r="R6734" s="293"/>
      <c r="S6734" s="316"/>
      <c r="T6734" s="355"/>
    </row>
    <row r="6735" spans="14:20" x14ac:dyDescent="0.25">
      <c r="N6735" s="514"/>
      <c r="R6735" s="293"/>
      <c r="S6735" s="316"/>
      <c r="T6735" s="355"/>
    </row>
    <row r="6736" spans="14:20" x14ac:dyDescent="0.25">
      <c r="N6736" s="514"/>
      <c r="R6736" s="293"/>
      <c r="S6736" s="316"/>
      <c r="T6736" s="355"/>
    </row>
    <row r="6737" spans="14:20" x14ac:dyDescent="0.25">
      <c r="N6737" s="514"/>
      <c r="R6737" s="293"/>
      <c r="S6737" s="316"/>
      <c r="T6737" s="355"/>
    </row>
    <row r="6738" spans="14:20" x14ac:dyDescent="0.25">
      <c r="N6738" s="514"/>
      <c r="R6738" s="293"/>
      <c r="S6738" s="316"/>
      <c r="T6738" s="355"/>
    </row>
    <row r="6739" spans="14:20" x14ac:dyDescent="0.25">
      <c r="N6739" s="514"/>
      <c r="R6739" s="293"/>
      <c r="S6739" s="316"/>
      <c r="T6739" s="355"/>
    </row>
    <row r="6740" spans="14:20" x14ac:dyDescent="0.25">
      <c r="N6740" s="514"/>
      <c r="R6740" s="293"/>
      <c r="S6740" s="316"/>
      <c r="T6740" s="355"/>
    </row>
    <row r="6741" spans="14:20" x14ac:dyDescent="0.25">
      <c r="N6741" s="514"/>
      <c r="R6741" s="293"/>
      <c r="S6741" s="316"/>
      <c r="T6741" s="355"/>
    </row>
    <row r="6742" spans="14:20" x14ac:dyDescent="0.25">
      <c r="N6742" s="514"/>
      <c r="R6742" s="293"/>
      <c r="S6742" s="316"/>
      <c r="T6742" s="355"/>
    </row>
    <row r="6743" spans="14:20" x14ac:dyDescent="0.25">
      <c r="N6743" s="514"/>
      <c r="R6743" s="293"/>
      <c r="S6743" s="316"/>
      <c r="T6743" s="355"/>
    </row>
    <row r="6744" spans="14:20" x14ac:dyDescent="0.25">
      <c r="N6744" s="514"/>
      <c r="R6744" s="293"/>
      <c r="S6744" s="316"/>
      <c r="T6744" s="355"/>
    </row>
    <row r="6745" spans="14:20" x14ac:dyDescent="0.25">
      <c r="N6745" s="514"/>
      <c r="R6745" s="293"/>
      <c r="S6745" s="316"/>
      <c r="T6745" s="355"/>
    </row>
    <row r="6746" spans="14:20" x14ac:dyDescent="0.25">
      <c r="N6746" s="514"/>
      <c r="R6746" s="293"/>
      <c r="S6746" s="316"/>
      <c r="T6746" s="355"/>
    </row>
    <row r="6747" spans="14:20" x14ac:dyDescent="0.25">
      <c r="N6747" s="514"/>
      <c r="R6747" s="293"/>
      <c r="S6747" s="316"/>
      <c r="T6747" s="355"/>
    </row>
    <row r="6748" spans="14:20" x14ac:dyDescent="0.25">
      <c r="N6748" s="514"/>
      <c r="R6748" s="293"/>
      <c r="S6748" s="316"/>
      <c r="T6748" s="355"/>
    </row>
    <row r="6749" spans="14:20" x14ac:dyDescent="0.25">
      <c r="N6749" s="514"/>
      <c r="R6749" s="293"/>
      <c r="S6749" s="316"/>
      <c r="T6749" s="355"/>
    </row>
    <row r="6750" spans="14:20" x14ac:dyDescent="0.25">
      <c r="N6750" s="514"/>
      <c r="R6750" s="293"/>
      <c r="S6750" s="316"/>
      <c r="T6750" s="355"/>
    </row>
    <row r="6751" spans="14:20" x14ac:dyDescent="0.25">
      <c r="N6751" s="514"/>
      <c r="R6751" s="293"/>
      <c r="S6751" s="316"/>
      <c r="T6751" s="355"/>
    </row>
    <row r="6752" spans="14:20" x14ac:dyDescent="0.25">
      <c r="N6752" s="514"/>
      <c r="R6752" s="293"/>
      <c r="S6752" s="316"/>
      <c r="T6752" s="355"/>
    </row>
    <row r="6753" spans="14:20" x14ac:dyDescent="0.25">
      <c r="N6753" s="514"/>
      <c r="R6753" s="293"/>
      <c r="S6753" s="316"/>
      <c r="T6753" s="355"/>
    </row>
    <row r="6754" spans="14:20" x14ac:dyDescent="0.25">
      <c r="N6754" s="514"/>
      <c r="R6754" s="293"/>
      <c r="S6754" s="316"/>
      <c r="T6754" s="355"/>
    </row>
    <row r="6755" spans="14:20" x14ac:dyDescent="0.25">
      <c r="N6755" s="514"/>
      <c r="R6755" s="293"/>
      <c r="S6755" s="316"/>
      <c r="T6755" s="355"/>
    </row>
    <row r="6756" spans="14:20" x14ac:dyDescent="0.25">
      <c r="N6756" s="514"/>
      <c r="R6756" s="293"/>
      <c r="S6756" s="316"/>
      <c r="T6756" s="355"/>
    </row>
    <row r="6757" spans="14:20" x14ac:dyDescent="0.25">
      <c r="N6757" s="514"/>
      <c r="R6757" s="293"/>
      <c r="S6757" s="316"/>
      <c r="T6757" s="355"/>
    </row>
    <row r="6758" spans="14:20" x14ac:dyDescent="0.25">
      <c r="N6758" s="514"/>
      <c r="R6758" s="293"/>
      <c r="S6758" s="316"/>
      <c r="T6758" s="355"/>
    </row>
    <row r="6759" spans="14:20" x14ac:dyDescent="0.25">
      <c r="N6759" s="514"/>
      <c r="R6759" s="293"/>
      <c r="S6759" s="316"/>
      <c r="T6759" s="355"/>
    </row>
    <row r="6760" spans="14:20" x14ac:dyDescent="0.25">
      <c r="N6760" s="514"/>
      <c r="R6760" s="293"/>
      <c r="S6760" s="316"/>
      <c r="T6760" s="355"/>
    </row>
    <row r="6761" spans="14:20" x14ac:dyDescent="0.25">
      <c r="N6761" s="514"/>
      <c r="R6761" s="293"/>
      <c r="S6761" s="316"/>
      <c r="T6761" s="355"/>
    </row>
    <row r="6762" spans="14:20" x14ac:dyDescent="0.25">
      <c r="N6762" s="514"/>
      <c r="R6762" s="293"/>
      <c r="S6762" s="316"/>
      <c r="T6762" s="355"/>
    </row>
    <row r="6763" spans="14:20" x14ac:dyDescent="0.25">
      <c r="N6763" s="514"/>
      <c r="R6763" s="293"/>
      <c r="S6763" s="316"/>
      <c r="T6763" s="355"/>
    </row>
    <row r="6764" spans="14:20" x14ac:dyDescent="0.25">
      <c r="N6764" s="514"/>
      <c r="R6764" s="293"/>
      <c r="S6764" s="316"/>
      <c r="T6764" s="355"/>
    </row>
    <row r="6765" spans="14:20" x14ac:dyDescent="0.25">
      <c r="N6765" s="514"/>
      <c r="R6765" s="293"/>
      <c r="S6765" s="316"/>
      <c r="T6765" s="355"/>
    </row>
    <row r="6766" spans="14:20" x14ac:dyDescent="0.25">
      <c r="N6766" s="514"/>
      <c r="R6766" s="293"/>
      <c r="S6766" s="316"/>
      <c r="T6766" s="355"/>
    </row>
    <row r="6767" spans="14:20" x14ac:dyDescent="0.25">
      <c r="N6767" s="514"/>
      <c r="R6767" s="293"/>
      <c r="S6767" s="316"/>
      <c r="T6767" s="355"/>
    </row>
    <row r="6768" spans="14:20" x14ac:dyDescent="0.25">
      <c r="N6768" s="514"/>
      <c r="R6768" s="293"/>
      <c r="S6768" s="316"/>
      <c r="T6768" s="355"/>
    </row>
    <row r="6769" spans="14:20" x14ac:dyDescent="0.25">
      <c r="N6769" s="514"/>
      <c r="R6769" s="293"/>
      <c r="S6769" s="316"/>
      <c r="T6769" s="355"/>
    </row>
    <row r="6770" spans="14:20" x14ac:dyDescent="0.25">
      <c r="N6770" s="514"/>
      <c r="R6770" s="293"/>
      <c r="S6770" s="316"/>
      <c r="T6770" s="355"/>
    </row>
    <row r="6771" spans="14:20" x14ac:dyDescent="0.25">
      <c r="N6771" s="514"/>
      <c r="R6771" s="293"/>
      <c r="S6771" s="316"/>
      <c r="T6771" s="355"/>
    </row>
    <row r="6772" spans="14:20" x14ac:dyDescent="0.25">
      <c r="N6772" s="514"/>
      <c r="R6772" s="293"/>
      <c r="S6772" s="316"/>
      <c r="T6772" s="355"/>
    </row>
    <row r="6773" spans="14:20" x14ac:dyDescent="0.25">
      <c r="N6773" s="514"/>
      <c r="R6773" s="293"/>
      <c r="S6773" s="316"/>
      <c r="T6773" s="355"/>
    </row>
    <row r="6774" spans="14:20" x14ac:dyDescent="0.25">
      <c r="N6774" s="514"/>
      <c r="R6774" s="293"/>
      <c r="S6774" s="316"/>
      <c r="T6774" s="355"/>
    </row>
    <row r="6775" spans="14:20" x14ac:dyDescent="0.25">
      <c r="N6775" s="514"/>
      <c r="R6775" s="293"/>
      <c r="S6775" s="316"/>
      <c r="T6775" s="355"/>
    </row>
    <row r="6776" spans="14:20" x14ac:dyDescent="0.25">
      <c r="N6776" s="514"/>
      <c r="R6776" s="293"/>
      <c r="S6776" s="316"/>
      <c r="T6776" s="355"/>
    </row>
    <row r="6777" spans="14:20" x14ac:dyDescent="0.25">
      <c r="N6777" s="514"/>
      <c r="R6777" s="293"/>
      <c r="S6777" s="316"/>
      <c r="T6777" s="355"/>
    </row>
    <row r="6778" spans="14:20" x14ac:dyDescent="0.25">
      <c r="N6778" s="514"/>
      <c r="R6778" s="293"/>
      <c r="S6778" s="316"/>
      <c r="T6778" s="355"/>
    </row>
    <row r="6779" spans="14:20" x14ac:dyDescent="0.25">
      <c r="N6779" s="514"/>
      <c r="R6779" s="293"/>
      <c r="S6779" s="316"/>
      <c r="T6779" s="355"/>
    </row>
    <row r="6780" spans="14:20" x14ac:dyDescent="0.25">
      <c r="N6780" s="514"/>
      <c r="R6780" s="293"/>
      <c r="S6780" s="316"/>
      <c r="T6780" s="355"/>
    </row>
    <row r="6781" spans="14:20" x14ac:dyDescent="0.25">
      <c r="N6781" s="514"/>
      <c r="R6781" s="293"/>
      <c r="S6781" s="316"/>
      <c r="T6781" s="355"/>
    </row>
    <row r="6782" spans="14:20" x14ac:dyDescent="0.25">
      <c r="N6782" s="514"/>
      <c r="R6782" s="293"/>
      <c r="S6782" s="316"/>
      <c r="T6782" s="355"/>
    </row>
    <row r="6783" spans="14:20" x14ac:dyDescent="0.25">
      <c r="N6783" s="514"/>
      <c r="R6783" s="293"/>
      <c r="S6783" s="316"/>
      <c r="T6783" s="355"/>
    </row>
    <row r="6784" spans="14:20" x14ac:dyDescent="0.25">
      <c r="N6784" s="514"/>
      <c r="R6784" s="293"/>
      <c r="S6784" s="316"/>
      <c r="T6784" s="355"/>
    </row>
    <row r="6785" spans="14:20" x14ac:dyDescent="0.25">
      <c r="N6785" s="514"/>
      <c r="R6785" s="293"/>
      <c r="S6785" s="316"/>
      <c r="T6785" s="355"/>
    </row>
    <row r="6786" spans="14:20" x14ac:dyDescent="0.25">
      <c r="N6786" s="514"/>
      <c r="R6786" s="293"/>
      <c r="S6786" s="316"/>
      <c r="T6786" s="355"/>
    </row>
    <row r="6787" spans="14:20" x14ac:dyDescent="0.25">
      <c r="N6787" s="514"/>
      <c r="R6787" s="293"/>
      <c r="S6787" s="316"/>
      <c r="T6787" s="355"/>
    </row>
    <row r="6788" spans="14:20" x14ac:dyDescent="0.25">
      <c r="N6788" s="514"/>
      <c r="R6788" s="293"/>
      <c r="S6788" s="316"/>
      <c r="T6788" s="355"/>
    </row>
    <row r="6789" spans="14:20" x14ac:dyDescent="0.25">
      <c r="N6789" s="514"/>
      <c r="R6789" s="293"/>
      <c r="S6789" s="316"/>
      <c r="T6789" s="355"/>
    </row>
    <row r="6790" spans="14:20" x14ac:dyDescent="0.25">
      <c r="N6790" s="514"/>
      <c r="R6790" s="293"/>
      <c r="S6790" s="316"/>
      <c r="T6790" s="355"/>
    </row>
    <row r="6791" spans="14:20" x14ac:dyDescent="0.25">
      <c r="N6791" s="514"/>
      <c r="R6791" s="293"/>
      <c r="S6791" s="316"/>
      <c r="T6791" s="355"/>
    </row>
    <row r="6792" spans="14:20" x14ac:dyDescent="0.25">
      <c r="N6792" s="514"/>
      <c r="R6792" s="293"/>
      <c r="S6792" s="316"/>
      <c r="T6792" s="355"/>
    </row>
    <row r="6793" spans="14:20" x14ac:dyDescent="0.25">
      <c r="N6793" s="514"/>
      <c r="R6793" s="293"/>
      <c r="S6793" s="316"/>
      <c r="T6793" s="355"/>
    </row>
    <row r="6794" spans="14:20" x14ac:dyDescent="0.25">
      <c r="N6794" s="514"/>
      <c r="R6794" s="293"/>
      <c r="S6794" s="316"/>
      <c r="T6794" s="355"/>
    </row>
    <row r="6795" spans="14:20" x14ac:dyDescent="0.25">
      <c r="N6795" s="514"/>
      <c r="R6795" s="293"/>
      <c r="S6795" s="316"/>
      <c r="T6795" s="355"/>
    </row>
    <row r="6796" spans="14:20" x14ac:dyDescent="0.25">
      <c r="N6796" s="514"/>
      <c r="R6796" s="293"/>
      <c r="S6796" s="316"/>
      <c r="T6796" s="355"/>
    </row>
    <row r="6797" spans="14:20" x14ac:dyDescent="0.25">
      <c r="N6797" s="514"/>
      <c r="R6797" s="293"/>
      <c r="S6797" s="316"/>
      <c r="T6797" s="355"/>
    </row>
    <row r="6798" spans="14:20" x14ac:dyDescent="0.25">
      <c r="N6798" s="514"/>
      <c r="R6798" s="293"/>
      <c r="S6798" s="316"/>
      <c r="T6798" s="355"/>
    </row>
    <row r="6799" spans="14:20" x14ac:dyDescent="0.25">
      <c r="N6799" s="514"/>
      <c r="R6799" s="293"/>
      <c r="S6799" s="316"/>
      <c r="T6799" s="355"/>
    </row>
    <row r="6800" spans="14:20" x14ac:dyDescent="0.25">
      <c r="N6800" s="514"/>
      <c r="R6800" s="293"/>
      <c r="S6800" s="316"/>
      <c r="T6800" s="355"/>
    </row>
    <row r="6801" spans="14:20" x14ac:dyDescent="0.25">
      <c r="N6801" s="514"/>
      <c r="R6801" s="293"/>
      <c r="S6801" s="316"/>
      <c r="T6801" s="355"/>
    </row>
    <row r="6802" spans="14:20" x14ac:dyDescent="0.25">
      <c r="N6802" s="514"/>
      <c r="R6802" s="293"/>
      <c r="S6802" s="316"/>
      <c r="T6802" s="355"/>
    </row>
    <row r="6803" spans="14:20" x14ac:dyDescent="0.25">
      <c r="N6803" s="514"/>
      <c r="R6803" s="293"/>
      <c r="S6803" s="316"/>
      <c r="T6803" s="355"/>
    </row>
    <row r="6804" spans="14:20" x14ac:dyDescent="0.25">
      <c r="N6804" s="514"/>
      <c r="R6804" s="293"/>
      <c r="S6804" s="316"/>
      <c r="T6804" s="355"/>
    </row>
    <row r="6805" spans="14:20" x14ac:dyDescent="0.25">
      <c r="N6805" s="514"/>
      <c r="R6805" s="293"/>
      <c r="S6805" s="316"/>
      <c r="T6805" s="355"/>
    </row>
    <row r="6806" spans="14:20" x14ac:dyDescent="0.25">
      <c r="N6806" s="514"/>
      <c r="R6806" s="293"/>
      <c r="S6806" s="316"/>
      <c r="T6806" s="355"/>
    </row>
    <row r="6807" spans="14:20" x14ac:dyDescent="0.25">
      <c r="N6807" s="514"/>
      <c r="R6807" s="293"/>
      <c r="S6807" s="316"/>
      <c r="T6807" s="355"/>
    </row>
    <row r="6808" spans="14:20" x14ac:dyDescent="0.25">
      <c r="N6808" s="514"/>
      <c r="R6808" s="293"/>
      <c r="S6808" s="316"/>
      <c r="T6808" s="355"/>
    </row>
    <row r="6809" spans="14:20" x14ac:dyDescent="0.25">
      <c r="N6809" s="514"/>
      <c r="R6809" s="293"/>
      <c r="S6809" s="316"/>
      <c r="T6809" s="355"/>
    </row>
    <row r="6810" spans="14:20" x14ac:dyDescent="0.25">
      <c r="N6810" s="514"/>
      <c r="R6810" s="293"/>
      <c r="S6810" s="316"/>
      <c r="T6810" s="355"/>
    </row>
    <row r="6811" spans="14:20" x14ac:dyDescent="0.25">
      <c r="N6811" s="514"/>
      <c r="R6811" s="293"/>
      <c r="S6811" s="316"/>
      <c r="T6811" s="355"/>
    </row>
    <row r="6812" spans="14:20" x14ac:dyDescent="0.25">
      <c r="N6812" s="514"/>
      <c r="R6812" s="293"/>
      <c r="S6812" s="316"/>
      <c r="T6812" s="355"/>
    </row>
    <row r="6813" spans="14:20" x14ac:dyDescent="0.25">
      <c r="N6813" s="514"/>
      <c r="R6813" s="293"/>
      <c r="S6813" s="316"/>
      <c r="T6813" s="355"/>
    </row>
    <row r="6814" spans="14:20" x14ac:dyDescent="0.25">
      <c r="N6814" s="514"/>
      <c r="R6814" s="293"/>
      <c r="S6814" s="316"/>
      <c r="T6814" s="355"/>
    </row>
    <row r="6815" spans="14:20" x14ac:dyDescent="0.25">
      <c r="N6815" s="514"/>
      <c r="R6815" s="293"/>
      <c r="S6815" s="316"/>
      <c r="T6815" s="355"/>
    </row>
    <row r="6816" spans="14:20" x14ac:dyDescent="0.25">
      <c r="N6816" s="514"/>
      <c r="R6816" s="293"/>
      <c r="S6816" s="316"/>
      <c r="T6816" s="355"/>
    </row>
    <row r="6817" spans="14:20" x14ac:dyDescent="0.25">
      <c r="N6817" s="514"/>
      <c r="R6817" s="293"/>
      <c r="S6817" s="316"/>
      <c r="T6817" s="355"/>
    </row>
    <row r="6818" spans="14:20" x14ac:dyDescent="0.25">
      <c r="N6818" s="514"/>
      <c r="R6818" s="293"/>
      <c r="S6818" s="316"/>
      <c r="T6818" s="355"/>
    </row>
    <row r="6819" spans="14:20" x14ac:dyDescent="0.25">
      <c r="N6819" s="514"/>
      <c r="R6819" s="293"/>
      <c r="S6819" s="316"/>
      <c r="T6819" s="355"/>
    </row>
    <row r="6820" spans="14:20" x14ac:dyDescent="0.25">
      <c r="N6820" s="514"/>
      <c r="R6820" s="293"/>
      <c r="S6820" s="316"/>
      <c r="T6820" s="355"/>
    </row>
    <row r="6821" spans="14:20" x14ac:dyDescent="0.25">
      <c r="N6821" s="514"/>
      <c r="R6821" s="293"/>
      <c r="S6821" s="316"/>
      <c r="T6821" s="355"/>
    </row>
    <row r="6822" spans="14:20" x14ac:dyDescent="0.25">
      <c r="N6822" s="514"/>
      <c r="R6822" s="293"/>
      <c r="S6822" s="316"/>
      <c r="T6822" s="355"/>
    </row>
    <row r="6823" spans="14:20" x14ac:dyDescent="0.25">
      <c r="N6823" s="514"/>
      <c r="R6823" s="293"/>
      <c r="S6823" s="316"/>
      <c r="T6823" s="355"/>
    </row>
    <row r="6824" spans="14:20" x14ac:dyDescent="0.25">
      <c r="N6824" s="514"/>
      <c r="R6824" s="293"/>
      <c r="S6824" s="316"/>
      <c r="T6824" s="355"/>
    </row>
    <row r="6825" spans="14:20" x14ac:dyDescent="0.25">
      <c r="N6825" s="514"/>
      <c r="R6825" s="293"/>
      <c r="S6825" s="316"/>
      <c r="T6825" s="355"/>
    </row>
    <row r="6826" spans="14:20" x14ac:dyDescent="0.25">
      <c r="N6826" s="514"/>
      <c r="R6826" s="293"/>
      <c r="S6826" s="316"/>
      <c r="T6826" s="355"/>
    </row>
    <row r="6827" spans="14:20" x14ac:dyDescent="0.25">
      <c r="N6827" s="514"/>
      <c r="R6827" s="293"/>
      <c r="S6827" s="316"/>
      <c r="T6827" s="355"/>
    </row>
    <row r="6828" spans="14:20" x14ac:dyDescent="0.25">
      <c r="N6828" s="514"/>
      <c r="R6828" s="293"/>
      <c r="S6828" s="316"/>
      <c r="T6828" s="355"/>
    </row>
    <row r="6829" spans="14:20" x14ac:dyDescent="0.25">
      <c r="N6829" s="514"/>
      <c r="R6829" s="293"/>
      <c r="S6829" s="316"/>
      <c r="T6829" s="355"/>
    </row>
    <row r="6830" spans="14:20" x14ac:dyDescent="0.25">
      <c r="N6830" s="514"/>
      <c r="R6830" s="293"/>
      <c r="S6830" s="316"/>
      <c r="T6830" s="355"/>
    </row>
    <row r="6831" spans="14:20" x14ac:dyDescent="0.25">
      <c r="N6831" s="514"/>
      <c r="R6831" s="293"/>
      <c r="S6831" s="316"/>
      <c r="T6831" s="355"/>
    </row>
    <row r="6832" spans="14:20" x14ac:dyDescent="0.25">
      <c r="N6832" s="514"/>
      <c r="R6832" s="293"/>
      <c r="S6832" s="316"/>
      <c r="T6832" s="355"/>
    </row>
    <row r="6833" spans="14:20" x14ac:dyDescent="0.25">
      <c r="N6833" s="514"/>
      <c r="R6833" s="293"/>
      <c r="S6833" s="316"/>
      <c r="T6833" s="355"/>
    </row>
    <row r="6834" spans="14:20" x14ac:dyDescent="0.25">
      <c r="N6834" s="514"/>
      <c r="R6834" s="293"/>
      <c r="S6834" s="316"/>
      <c r="T6834" s="355"/>
    </row>
    <row r="6835" spans="14:20" x14ac:dyDescent="0.25">
      <c r="N6835" s="514"/>
      <c r="R6835" s="293"/>
      <c r="S6835" s="316"/>
      <c r="T6835" s="355"/>
    </row>
    <row r="6836" spans="14:20" x14ac:dyDescent="0.25">
      <c r="N6836" s="514"/>
      <c r="R6836" s="293"/>
      <c r="S6836" s="316"/>
      <c r="T6836" s="355"/>
    </row>
    <row r="6837" spans="14:20" x14ac:dyDescent="0.25">
      <c r="N6837" s="514"/>
      <c r="R6837" s="293"/>
      <c r="S6837" s="316"/>
      <c r="T6837" s="355"/>
    </row>
    <row r="6838" spans="14:20" x14ac:dyDescent="0.25">
      <c r="N6838" s="514"/>
      <c r="R6838" s="293"/>
      <c r="S6838" s="316"/>
      <c r="T6838" s="355"/>
    </row>
    <row r="6839" spans="14:20" x14ac:dyDescent="0.25">
      <c r="N6839" s="514"/>
      <c r="R6839" s="293"/>
      <c r="S6839" s="316"/>
      <c r="T6839" s="355"/>
    </row>
    <row r="6840" spans="14:20" x14ac:dyDescent="0.25">
      <c r="N6840" s="514"/>
      <c r="R6840" s="293"/>
      <c r="S6840" s="316"/>
      <c r="T6840" s="355"/>
    </row>
    <row r="6841" spans="14:20" x14ac:dyDescent="0.25">
      <c r="N6841" s="514"/>
      <c r="R6841" s="293"/>
      <c r="S6841" s="316"/>
      <c r="T6841" s="355"/>
    </row>
    <row r="6842" spans="14:20" x14ac:dyDescent="0.25">
      <c r="N6842" s="514"/>
      <c r="R6842" s="293"/>
      <c r="S6842" s="316"/>
      <c r="T6842" s="355"/>
    </row>
    <row r="6843" spans="14:20" x14ac:dyDescent="0.25">
      <c r="N6843" s="514"/>
      <c r="R6843" s="293"/>
      <c r="S6843" s="316"/>
      <c r="T6843" s="355"/>
    </row>
    <row r="6844" spans="14:20" x14ac:dyDescent="0.25">
      <c r="N6844" s="514"/>
      <c r="R6844" s="293"/>
      <c r="S6844" s="316"/>
      <c r="T6844" s="355"/>
    </row>
    <row r="6845" spans="14:20" x14ac:dyDescent="0.25">
      <c r="N6845" s="514"/>
      <c r="R6845" s="293"/>
      <c r="S6845" s="316"/>
      <c r="T6845" s="355"/>
    </row>
    <row r="6846" spans="14:20" x14ac:dyDescent="0.25">
      <c r="N6846" s="514"/>
      <c r="R6846" s="293"/>
      <c r="S6846" s="316"/>
      <c r="T6846" s="355"/>
    </row>
    <row r="6847" spans="14:20" x14ac:dyDescent="0.25">
      <c r="N6847" s="514"/>
      <c r="R6847" s="293"/>
      <c r="S6847" s="316"/>
      <c r="T6847" s="355"/>
    </row>
    <row r="6848" spans="14:20" x14ac:dyDescent="0.25">
      <c r="N6848" s="514"/>
      <c r="R6848" s="293"/>
      <c r="S6848" s="316"/>
      <c r="T6848" s="355"/>
    </row>
    <row r="6849" spans="14:20" x14ac:dyDescent="0.25">
      <c r="N6849" s="514"/>
      <c r="R6849" s="293"/>
      <c r="S6849" s="316"/>
      <c r="T6849" s="355"/>
    </row>
    <row r="6850" spans="14:20" x14ac:dyDescent="0.25">
      <c r="N6850" s="514"/>
      <c r="R6850" s="293"/>
      <c r="S6850" s="316"/>
      <c r="T6850" s="355"/>
    </row>
    <row r="6851" spans="14:20" x14ac:dyDescent="0.25">
      <c r="N6851" s="514"/>
      <c r="R6851" s="293"/>
      <c r="S6851" s="316"/>
      <c r="T6851" s="355"/>
    </row>
    <row r="6852" spans="14:20" x14ac:dyDescent="0.25">
      <c r="N6852" s="514"/>
      <c r="R6852" s="293"/>
      <c r="S6852" s="316"/>
      <c r="T6852" s="355"/>
    </row>
    <row r="6853" spans="14:20" x14ac:dyDescent="0.25">
      <c r="N6853" s="514"/>
      <c r="R6853" s="293"/>
      <c r="S6853" s="316"/>
      <c r="T6853" s="355"/>
    </row>
    <row r="6854" spans="14:20" x14ac:dyDescent="0.25">
      <c r="N6854" s="514"/>
      <c r="R6854" s="293"/>
      <c r="S6854" s="316"/>
      <c r="T6854" s="355"/>
    </row>
    <row r="6855" spans="14:20" x14ac:dyDescent="0.25">
      <c r="N6855" s="514"/>
      <c r="R6855" s="293"/>
      <c r="S6855" s="316"/>
      <c r="T6855" s="355"/>
    </row>
    <row r="6856" spans="14:20" x14ac:dyDescent="0.25">
      <c r="N6856" s="514"/>
      <c r="R6856" s="293"/>
      <c r="S6856" s="316"/>
      <c r="T6856" s="355"/>
    </row>
    <row r="6857" spans="14:20" x14ac:dyDescent="0.25">
      <c r="N6857" s="514"/>
      <c r="R6857" s="293"/>
      <c r="S6857" s="316"/>
      <c r="T6857" s="355"/>
    </row>
    <row r="6858" spans="14:20" x14ac:dyDescent="0.25">
      <c r="N6858" s="514"/>
      <c r="R6858" s="293"/>
      <c r="S6858" s="316"/>
      <c r="T6858" s="355"/>
    </row>
    <row r="6859" spans="14:20" x14ac:dyDescent="0.25">
      <c r="N6859" s="514"/>
      <c r="R6859" s="293"/>
      <c r="S6859" s="316"/>
      <c r="T6859" s="355"/>
    </row>
    <row r="6860" spans="14:20" x14ac:dyDescent="0.25">
      <c r="N6860" s="514"/>
      <c r="R6860" s="293"/>
      <c r="S6860" s="316"/>
      <c r="T6860" s="355"/>
    </row>
    <row r="6861" spans="14:20" x14ac:dyDescent="0.25">
      <c r="N6861" s="514"/>
      <c r="R6861" s="293"/>
      <c r="S6861" s="316"/>
      <c r="T6861" s="355"/>
    </row>
    <row r="6862" spans="14:20" x14ac:dyDescent="0.25">
      <c r="N6862" s="514"/>
      <c r="R6862" s="293"/>
      <c r="S6862" s="316"/>
      <c r="T6862" s="355"/>
    </row>
    <row r="6863" spans="14:20" x14ac:dyDescent="0.25">
      <c r="N6863" s="514"/>
      <c r="R6863" s="293"/>
      <c r="S6863" s="316"/>
      <c r="T6863" s="355"/>
    </row>
    <row r="6864" spans="14:20" x14ac:dyDescent="0.25">
      <c r="N6864" s="514"/>
      <c r="R6864" s="293"/>
      <c r="S6864" s="316"/>
      <c r="T6864" s="355"/>
    </row>
    <row r="6865" spans="14:20" x14ac:dyDescent="0.25">
      <c r="N6865" s="514"/>
      <c r="R6865" s="293"/>
      <c r="S6865" s="316"/>
      <c r="T6865" s="355"/>
    </row>
    <row r="6866" spans="14:20" x14ac:dyDescent="0.25">
      <c r="N6866" s="514"/>
      <c r="R6866" s="293"/>
      <c r="S6866" s="316"/>
      <c r="T6866" s="355"/>
    </row>
    <row r="6867" spans="14:20" x14ac:dyDescent="0.25">
      <c r="N6867" s="514"/>
      <c r="R6867" s="293"/>
      <c r="S6867" s="316"/>
      <c r="T6867" s="355"/>
    </row>
    <row r="6868" spans="14:20" x14ac:dyDescent="0.25">
      <c r="N6868" s="514"/>
      <c r="R6868" s="293"/>
      <c r="S6868" s="316"/>
      <c r="T6868" s="355"/>
    </row>
    <row r="6869" spans="14:20" x14ac:dyDescent="0.25">
      <c r="N6869" s="514"/>
      <c r="R6869" s="293"/>
      <c r="S6869" s="316"/>
      <c r="T6869" s="355"/>
    </row>
    <row r="6870" spans="14:20" x14ac:dyDescent="0.25">
      <c r="N6870" s="514"/>
      <c r="R6870" s="293"/>
      <c r="S6870" s="316"/>
      <c r="T6870" s="355"/>
    </row>
    <row r="6871" spans="14:20" x14ac:dyDescent="0.25">
      <c r="N6871" s="514"/>
      <c r="R6871" s="293"/>
      <c r="S6871" s="316"/>
      <c r="T6871" s="355"/>
    </row>
    <row r="6872" spans="14:20" x14ac:dyDescent="0.25">
      <c r="N6872" s="514"/>
      <c r="R6872" s="293"/>
      <c r="S6872" s="316"/>
      <c r="T6872" s="355"/>
    </row>
    <row r="6873" spans="14:20" x14ac:dyDescent="0.25">
      <c r="N6873" s="514"/>
      <c r="R6873" s="293"/>
      <c r="S6873" s="316"/>
      <c r="T6873" s="355"/>
    </row>
    <row r="6874" spans="14:20" x14ac:dyDescent="0.25">
      <c r="N6874" s="514"/>
      <c r="R6874" s="293"/>
      <c r="S6874" s="316"/>
      <c r="T6874" s="355"/>
    </row>
    <row r="6875" spans="14:20" x14ac:dyDescent="0.25">
      <c r="N6875" s="514"/>
      <c r="R6875" s="293"/>
      <c r="S6875" s="316"/>
      <c r="T6875" s="355"/>
    </row>
    <row r="6876" spans="14:20" x14ac:dyDescent="0.25">
      <c r="N6876" s="514"/>
      <c r="R6876" s="293"/>
      <c r="S6876" s="316"/>
      <c r="T6876" s="355"/>
    </row>
    <row r="6877" spans="14:20" x14ac:dyDescent="0.25">
      <c r="N6877" s="514"/>
      <c r="R6877" s="293"/>
      <c r="S6877" s="316"/>
      <c r="T6877" s="355"/>
    </row>
    <row r="6878" spans="14:20" x14ac:dyDescent="0.25">
      <c r="N6878" s="514"/>
      <c r="R6878" s="293"/>
      <c r="S6878" s="316"/>
      <c r="T6878" s="355"/>
    </row>
    <row r="6879" spans="14:20" x14ac:dyDescent="0.25">
      <c r="N6879" s="514"/>
      <c r="R6879" s="293"/>
      <c r="S6879" s="316"/>
      <c r="T6879" s="355"/>
    </row>
    <row r="6880" spans="14:20" x14ac:dyDescent="0.25">
      <c r="N6880" s="514"/>
      <c r="R6880" s="293"/>
      <c r="S6880" s="316"/>
      <c r="T6880" s="355"/>
    </row>
    <row r="6881" spans="14:20" x14ac:dyDescent="0.25">
      <c r="N6881" s="514"/>
      <c r="R6881" s="293"/>
      <c r="S6881" s="316"/>
      <c r="T6881" s="355"/>
    </row>
    <row r="6882" spans="14:20" x14ac:dyDescent="0.25">
      <c r="N6882" s="514"/>
      <c r="R6882" s="293"/>
      <c r="S6882" s="316"/>
      <c r="T6882" s="355"/>
    </row>
    <row r="6883" spans="14:20" x14ac:dyDescent="0.25">
      <c r="N6883" s="514"/>
      <c r="R6883" s="293"/>
      <c r="S6883" s="316"/>
      <c r="T6883" s="355"/>
    </row>
    <row r="6884" spans="14:20" x14ac:dyDescent="0.25">
      <c r="N6884" s="514"/>
      <c r="R6884" s="293"/>
      <c r="S6884" s="316"/>
      <c r="T6884" s="355"/>
    </row>
    <row r="6885" spans="14:20" x14ac:dyDescent="0.25">
      <c r="N6885" s="514"/>
      <c r="R6885" s="293"/>
      <c r="S6885" s="316"/>
      <c r="T6885" s="355"/>
    </row>
    <row r="6886" spans="14:20" x14ac:dyDescent="0.25">
      <c r="N6886" s="514"/>
      <c r="R6886" s="293"/>
      <c r="S6886" s="316"/>
      <c r="T6886" s="355"/>
    </row>
    <row r="6887" spans="14:20" x14ac:dyDescent="0.25">
      <c r="N6887" s="514"/>
      <c r="R6887" s="293"/>
      <c r="S6887" s="316"/>
      <c r="T6887" s="355"/>
    </row>
    <row r="6888" spans="14:20" x14ac:dyDescent="0.25">
      <c r="N6888" s="514"/>
      <c r="R6888" s="293"/>
      <c r="S6888" s="316"/>
      <c r="T6888" s="355"/>
    </row>
    <row r="6889" spans="14:20" x14ac:dyDescent="0.25">
      <c r="N6889" s="514"/>
      <c r="R6889" s="293"/>
      <c r="S6889" s="316"/>
      <c r="T6889" s="355"/>
    </row>
    <row r="6890" spans="14:20" x14ac:dyDescent="0.25">
      <c r="N6890" s="514"/>
      <c r="R6890" s="293"/>
      <c r="S6890" s="316"/>
      <c r="T6890" s="355"/>
    </row>
    <row r="6891" spans="14:20" x14ac:dyDescent="0.25">
      <c r="N6891" s="514"/>
      <c r="R6891" s="293"/>
      <c r="S6891" s="316"/>
      <c r="T6891" s="355"/>
    </row>
    <row r="6892" spans="14:20" x14ac:dyDescent="0.25">
      <c r="N6892" s="514"/>
      <c r="R6892" s="293"/>
      <c r="S6892" s="316"/>
      <c r="T6892" s="355"/>
    </row>
    <row r="6893" spans="14:20" x14ac:dyDescent="0.25">
      <c r="N6893" s="514"/>
      <c r="R6893" s="293"/>
      <c r="S6893" s="316"/>
      <c r="T6893" s="355"/>
    </row>
    <row r="6894" spans="14:20" x14ac:dyDescent="0.25">
      <c r="N6894" s="514"/>
      <c r="R6894" s="293"/>
      <c r="S6894" s="316"/>
      <c r="T6894" s="355"/>
    </row>
    <row r="6895" spans="14:20" x14ac:dyDescent="0.25">
      <c r="N6895" s="514"/>
      <c r="R6895" s="293"/>
      <c r="S6895" s="316"/>
      <c r="T6895" s="355"/>
    </row>
    <row r="6896" spans="14:20" x14ac:dyDescent="0.25">
      <c r="N6896" s="514"/>
      <c r="R6896" s="293"/>
      <c r="S6896" s="316"/>
      <c r="T6896" s="355"/>
    </row>
    <row r="6897" spans="14:20" x14ac:dyDescent="0.25">
      <c r="N6897" s="514"/>
      <c r="R6897" s="293"/>
      <c r="S6897" s="316"/>
      <c r="T6897" s="355"/>
    </row>
    <row r="6898" spans="14:20" x14ac:dyDescent="0.25">
      <c r="N6898" s="514"/>
      <c r="R6898" s="293"/>
      <c r="S6898" s="316"/>
      <c r="T6898" s="355"/>
    </row>
    <row r="6899" spans="14:20" x14ac:dyDescent="0.25">
      <c r="N6899" s="514"/>
      <c r="R6899" s="293"/>
      <c r="S6899" s="316"/>
      <c r="T6899" s="355"/>
    </row>
    <row r="6900" spans="14:20" x14ac:dyDescent="0.25">
      <c r="N6900" s="514"/>
      <c r="R6900" s="293"/>
      <c r="S6900" s="316"/>
      <c r="T6900" s="355"/>
    </row>
    <row r="6901" spans="14:20" x14ac:dyDescent="0.25">
      <c r="N6901" s="514"/>
      <c r="R6901" s="293"/>
      <c r="S6901" s="316"/>
      <c r="T6901" s="355"/>
    </row>
    <row r="6902" spans="14:20" x14ac:dyDescent="0.25">
      <c r="N6902" s="514"/>
      <c r="R6902" s="293"/>
      <c r="S6902" s="316"/>
      <c r="T6902" s="355"/>
    </row>
    <row r="6903" spans="14:20" x14ac:dyDescent="0.25">
      <c r="N6903" s="514"/>
      <c r="R6903" s="293"/>
      <c r="S6903" s="316"/>
      <c r="T6903" s="355"/>
    </row>
    <row r="6904" spans="14:20" x14ac:dyDescent="0.25">
      <c r="N6904" s="514"/>
      <c r="R6904" s="293"/>
      <c r="S6904" s="316"/>
      <c r="T6904" s="355"/>
    </row>
    <row r="6905" spans="14:20" x14ac:dyDescent="0.25">
      <c r="N6905" s="514"/>
      <c r="R6905" s="293"/>
      <c r="S6905" s="316"/>
      <c r="T6905" s="355"/>
    </row>
    <row r="6906" spans="14:20" x14ac:dyDescent="0.25">
      <c r="N6906" s="514"/>
      <c r="R6906" s="293"/>
      <c r="S6906" s="316"/>
      <c r="T6906" s="355"/>
    </row>
    <row r="6907" spans="14:20" x14ac:dyDescent="0.25">
      <c r="N6907" s="514"/>
      <c r="R6907" s="293"/>
      <c r="S6907" s="316"/>
      <c r="T6907" s="355"/>
    </row>
    <row r="6908" spans="14:20" x14ac:dyDescent="0.25">
      <c r="N6908" s="514"/>
      <c r="R6908" s="293"/>
      <c r="S6908" s="316"/>
      <c r="T6908" s="355"/>
    </row>
    <row r="6909" spans="14:20" x14ac:dyDescent="0.25">
      <c r="N6909" s="514"/>
      <c r="R6909" s="293"/>
      <c r="S6909" s="316"/>
      <c r="T6909" s="355"/>
    </row>
    <row r="6910" spans="14:20" x14ac:dyDescent="0.25">
      <c r="N6910" s="514"/>
      <c r="R6910" s="293"/>
      <c r="S6910" s="316"/>
      <c r="T6910" s="355"/>
    </row>
    <row r="6911" spans="14:20" x14ac:dyDescent="0.25">
      <c r="N6911" s="514"/>
      <c r="R6911" s="293"/>
      <c r="S6911" s="316"/>
      <c r="T6911" s="355"/>
    </row>
    <row r="6912" spans="14:20" x14ac:dyDescent="0.25">
      <c r="N6912" s="514"/>
      <c r="R6912" s="293"/>
      <c r="S6912" s="316"/>
      <c r="T6912" s="355"/>
    </row>
    <row r="6913" spans="14:20" x14ac:dyDescent="0.25">
      <c r="N6913" s="514"/>
      <c r="R6913" s="293"/>
      <c r="S6913" s="316"/>
      <c r="T6913" s="355"/>
    </row>
    <row r="6914" spans="14:20" x14ac:dyDescent="0.25">
      <c r="N6914" s="514"/>
      <c r="R6914" s="293"/>
      <c r="S6914" s="316"/>
      <c r="T6914" s="355"/>
    </row>
    <row r="6915" spans="14:20" x14ac:dyDescent="0.25">
      <c r="N6915" s="514"/>
      <c r="R6915" s="293"/>
      <c r="S6915" s="316"/>
      <c r="T6915" s="355"/>
    </row>
    <row r="6916" spans="14:20" x14ac:dyDescent="0.25">
      <c r="N6916" s="514"/>
      <c r="R6916" s="293"/>
      <c r="S6916" s="316"/>
      <c r="T6916" s="355"/>
    </row>
    <row r="6917" spans="14:20" x14ac:dyDescent="0.25">
      <c r="N6917" s="514"/>
      <c r="R6917" s="293"/>
      <c r="S6917" s="316"/>
      <c r="T6917" s="355"/>
    </row>
    <row r="6918" spans="14:20" x14ac:dyDescent="0.25">
      <c r="N6918" s="514"/>
      <c r="R6918" s="293"/>
      <c r="S6918" s="316"/>
      <c r="T6918" s="355"/>
    </row>
    <row r="6919" spans="14:20" x14ac:dyDescent="0.25">
      <c r="N6919" s="514"/>
      <c r="R6919" s="293"/>
      <c r="S6919" s="316"/>
      <c r="T6919" s="355"/>
    </row>
    <row r="6920" spans="14:20" x14ac:dyDescent="0.25">
      <c r="N6920" s="514"/>
      <c r="R6920" s="293"/>
      <c r="S6920" s="316"/>
      <c r="T6920" s="355"/>
    </row>
    <row r="6921" spans="14:20" x14ac:dyDescent="0.25">
      <c r="N6921" s="514"/>
      <c r="R6921" s="293"/>
      <c r="S6921" s="316"/>
      <c r="T6921" s="355"/>
    </row>
    <row r="6922" spans="14:20" x14ac:dyDescent="0.25">
      <c r="N6922" s="514"/>
      <c r="R6922" s="293"/>
      <c r="S6922" s="316"/>
      <c r="T6922" s="355"/>
    </row>
    <row r="6923" spans="14:20" x14ac:dyDescent="0.25">
      <c r="N6923" s="514"/>
      <c r="R6923" s="293"/>
      <c r="S6923" s="316"/>
      <c r="T6923" s="355"/>
    </row>
    <row r="6924" spans="14:20" x14ac:dyDescent="0.25">
      <c r="N6924" s="514"/>
      <c r="R6924" s="293"/>
      <c r="S6924" s="316"/>
      <c r="T6924" s="355"/>
    </row>
    <row r="6925" spans="14:20" x14ac:dyDescent="0.25">
      <c r="N6925" s="514"/>
      <c r="R6925" s="293"/>
      <c r="S6925" s="316"/>
      <c r="T6925" s="355"/>
    </row>
    <row r="6926" spans="14:20" x14ac:dyDescent="0.25">
      <c r="N6926" s="514"/>
      <c r="R6926" s="293"/>
      <c r="S6926" s="316"/>
      <c r="T6926" s="355"/>
    </row>
    <row r="6927" spans="14:20" x14ac:dyDescent="0.25">
      <c r="N6927" s="514"/>
      <c r="R6927" s="293"/>
      <c r="S6927" s="316"/>
      <c r="T6927" s="355"/>
    </row>
    <row r="6928" spans="14:20" x14ac:dyDescent="0.25">
      <c r="N6928" s="514"/>
      <c r="R6928" s="293"/>
      <c r="S6928" s="316"/>
      <c r="T6928" s="355"/>
    </row>
    <row r="6929" spans="14:20" x14ac:dyDescent="0.25">
      <c r="N6929" s="514"/>
      <c r="R6929" s="293"/>
      <c r="S6929" s="316"/>
      <c r="T6929" s="355"/>
    </row>
    <row r="6930" spans="14:20" x14ac:dyDescent="0.25">
      <c r="N6930" s="514"/>
      <c r="R6930" s="293"/>
      <c r="S6930" s="316"/>
      <c r="T6930" s="355"/>
    </row>
    <row r="6931" spans="14:20" x14ac:dyDescent="0.25">
      <c r="N6931" s="514"/>
      <c r="R6931" s="293"/>
      <c r="S6931" s="316"/>
      <c r="T6931" s="355"/>
    </row>
    <row r="6932" spans="14:20" x14ac:dyDescent="0.25">
      <c r="N6932" s="514"/>
      <c r="R6932" s="293"/>
      <c r="S6932" s="316"/>
      <c r="T6932" s="355"/>
    </row>
    <row r="6933" spans="14:20" x14ac:dyDescent="0.25">
      <c r="N6933" s="514"/>
      <c r="R6933" s="293"/>
      <c r="S6933" s="316"/>
      <c r="T6933" s="355"/>
    </row>
    <row r="6934" spans="14:20" x14ac:dyDescent="0.25">
      <c r="N6934" s="514"/>
      <c r="R6934" s="293"/>
      <c r="S6934" s="316"/>
      <c r="T6934" s="355"/>
    </row>
    <row r="6935" spans="14:20" x14ac:dyDescent="0.25">
      <c r="N6935" s="514"/>
      <c r="R6935" s="293"/>
      <c r="S6935" s="316"/>
      <c r="T6935" s="355"/>
    </row>
    <row r="6936" spans="14:20" x14ac:dyDescent="0.25">
      <c r="N6936" s="514"/>
      <c r="R6936" s="293"/>
      <c r="S6936" s="316"/>
      <c r="T6936" s="355"/>
    </row>
    <row r="6937" spans="14:20" x14ac:dyDescent="0.25">
      <c r="N6937" s="514"/>
      <c r="R6937" s="293"/>
      <c r="S6937" s="316"/>
      <c r="T6937" s="355"/>
    </row>
    <row r="6938" spans="14:20" x14ac:dyDescent="0.25">
      <c r="N6938" s="514"/>
      <c r="R6938" s="293"/>
      <c r="S6938" s="316"/>
      <c r="T6938" s="355"/>
    </row>
    <row r="6939" spans="14:20" x14ac:dyDescent="0.25">
      <c r="N6939" s="514"/>
      <c r="R6939" s="293"/>
      <c r="S6939" s="316"/>
      <c r="T6939" s="355"/>
    </row>
    <row r="6940" spans="14:20" x14ac:dyDescent="0.25">
      <c r="N6940" s="514"/>
      <c r="R6940" s="293"/>
      <c r="S6940" s="316"/>
      <c r="T6940" s="355"/>
    </row>
    <row r="6941" spans="14:20" x14ac:dyDescent="0.25">
      <c r="N6941" s="514"/>
      <c r="R6941" s="293"/>
      <c r="S6941" s="316"/>
      <c r="T6941" s="355"/>
    </row>
    <row r="6942" spans="14:20" x14ac:dyDescent="0.25">
      <c r="N6942" s="514"/>
      <c r="R6942" s="293"/>
      <c r="S6942" s="316"/>
      <c r="T6942" s="355"/>
    </row>
    <row r="6943" spans="14:20" x14ac:dyDescent="0.25">
      <c r="N6943" s="514"/>
      <c r="R6943" s="293"/>
      <c r="S6943" s="316"/>
      <c r="T6943" s="355"/>
    </row>
    <row r="6944" spans="14:20" x14ac:dyDescent="0.25">
      <c r="N6944" s="514"/>
      <c r="R6944" s="293"/>
      <c r="S6944" s="316"/>
      <c r="T6944" s="355"/>
    </row>
    <row r="6945" spans="14:20" x14ac:dyDescent="0.25">
      <c r="N6945" s="514"/>
      <c r="R6945" s="293"/>
      <c r="S6945" s="316"/>
      <c r="T6945" s="355"/>
    </row>
    <row r="6946" spans="14:20" x14ac:dyDescent="0.25">
      <c r="N6946" s="514"/>
      <c r="R6946" s="293"/>
      <c r="S6946" s="316"/>
      <c r="T6946" s="355"/>
    </row>
    <row r="6947" spans="14:20" x14ac:dyDescent="0.25">
      <c r="N6947" s="514"/>
      <c r="R6947" s="293"/>
      <c r="S6947" s="316"/>
      <c r="T6947" s="355"/>
    </row>
    <row r="6948" spans="14:20" x14ac:dyDescent="0.25">
      <c r="N6948" s="514"/>
      <c r="R6948" s="293"/>
      <c r="S6948" s="316"/>
      <c r="T6948" s="355"/>
    </row>
    <row r="6949" spans="14:20" x14ac:dyDescent="0.25">
      <c r="N6949" s="514"/>
      <c r="R6949" s="293"/>
      <c r="S6949" s="316"/>
      <c r="T6949" s="355"/>
    </row>
    <row r="6950" spans="14:20" x14ac:dyDescent="0.25">
      <c r="N6950" s="514"/>
      <c r="R6950" s="293"/>
      <c r="S6950" s="316"/>
      <c r="T6950" s="355"/>
    </row>
    <row r="6951" spans="14:20" x14ac:dyDescent="0.25">
      <c r="N6951" s="514"/>
      <c r="R6951" s="293"/>
      <c r="S6951" s="316"/>
      <c r="T6951" s="355"/>
    </row>
    <row r="6952" spans="14:20" x14ac:dyDescent="0.25">
      <c r="N6952" s="514"/>
      <c r="R6952" s="293"/>
      <c r="S6952" s="316"/>
      <c r="T6952" s="355"/>
    </row>
    <row r="6953" spans="14:20" x14ac:dyDescent="0.25">
      <c r="N6953" s="514"/>
      <c r="R6953" s="293"/>
      <c r="S6953" s="316"/>
      <c r="T6953" s="355"/>
    </row>
    <row r="6954" spans="14:20" x14ac:dyDescent="0.25">
      <c r="N6954" s="514"/>
      <c r="R6954" s="293"/>
      <c r="S6954" s="316"/>
      <c r="T6954" s="355"/>
    </row>
    <row r="6955" spans="14:20" x14ac:dyDescent="0.25">
      <c r="N6955" s="514"/>
      <c r="R6955" s="293"/>
      <c r="S6955" s="316"/>
      <c r="T6955" s="355"/>
    </row>
    <row r="6956" spans="14:20" x14ac:dyDescent="0.25">
      <c r="N6956" s="514"/>
      <c r="R6956" s="293"/>
      <c r="S6956" s="316"/>
      <c r="T6956" s="355"/>
    </row>
    <row r="6957" spans="14:20" x14ac:dyDescent="0.25">
      <c r="N6957" s="514"/>
      <c r="R6957" s="293"/>
      <c r="S6957" s="316"/>
      <c r="T6957" s="355"/>
    </row>
    <row r="6958" spans="14:20" x14ac:dyDescent="0.25">
      <c r="N6958" s="514"/>
      <c r="R6958" s="293"/>
      <c r="S6958" s="316"/>
      <c r="T6958" s="355"/>
    </row>
    <row r="6959" spans="14:20" x14ac:dyDescent="0.25">
      <c r="N6959" s="514"/>
      <c r="R6959" s="293"/>
      <c r="S6959" s="316"/>
      <c r="T6959" s="355"/>
    </row>
    <row r="6960" spans="14:20" x14ac:dyDescent="0.25">
      <c r="N6960" s="514"/>
      <c r="R6960" s="293"/>
      <c r="S6960" s="316"/>
      <c r="T6960" s="355"/>
    </row>
    <row r="6961" spans="14:20" x14ac:dyDescent="0.25">
      <c r="N6961" s="514"/>
      <c r="R6961" s="293"/>
      <c r="S6961" s="316"/>
      <c r="T6961" s="355"/>
    </row>
    <row r="6962" spans="14:20" x14ac:dyDescent="0.25">
      <c r="N6962" s="514"/>
      <c r="R6962" s="293"/>
      <c r="S6962" s="316"/>
      <c r="T6962" s="355"/>
    </row>
    <row r="6963" spans="14:20" x14ac:dyDescent="0.25">
      <c r="N6963" s="514"/>
      <c r="R6963" s="293"/>
      <c r="S6963" s="316"/>
      <c r="T6963" s="355"/>
    </row>
    <row r="6964" spans="14:20" x14ac:dyDescent="0.25">
      <c r="N6964" s="514"/>
      <c r="R6964" s="293"/>
      <c r="S6964" s="316"/>
      <c r="T6964" s="355"/>
    </row>
    <row r="6965" spans="14:20" x14ac:dyDescent="0.25">
      <c r="N6965" s="514"/>
      <c r="R6965" s="293"/>
      <c r="S6965" s="316"/>
      <c r="T6965" s="355"/>
    </row>
    <row r="6966" spans="14:20" x14ac:dyDescent="0.25">
      <c r="N6966" s="514"/>
      <c r="R6966" s="293"/>
      <c r="S6966" s="316"/>
      <c r="T6966" s="355"/>
    </row>
    <row r="6967" spans="14:20" x14ac:dyDescent="0.25">
      <c r="N6967" s="514"/>
      <c r="R6967" s="293"/>
      <c r="S6967" s="316"/>
      <c r="T6967" s="355"/>
    </row>
    <row r="6968" spans="14:20" x14ac:dyDescent="0.25">
      <c r="N6968" s="514"/>
      <c r="R6968" s="293"/>
      <c r="S6968" s="316"/>
      <c r="T6968" s="355"/>
    </row>
    <row r="6969" spans="14:20" x14ac:dyDescent="0.25">
      <c r="N6969" s="514"/>
      <c r="R6969" s="293"/>
      <c r="S6969" s="316"/>
      <c r="T6969" s="355"/>
    </row>
    <row r="6970" spans="14:20" x14ac:dyDescent="0.25">
      <c r="N6970" s="514"/>
      <c r="R6970" s="293"/>
      <c r="S6970" s="316"/>
      <c r="T6970" s="355"/>
    </row>
    <row r="6971" spans="14:20" x14ac:dyDescent="0.25">
      <c r="N6971" s="514"/>
      <c r="R6971" s="293"/>
      <c r="S6971" s="316"/>
      <c r="T6971" s="355"/>
    </row>
    <row r="6972" spans="14:20" x14ac:dyDescent="0.25">
      <c r="N6972" s="514"/>
      <c r="R6972" s="293"/>
      <c r="S6972" s="316"/>
      <c r="T6972" s="355"/>
    </row>
    <row r="6973" spans="14:20" x14ac:dyDescent="0.25">
      <c r="N6973" s="514"/>
      <c r="R6973" s="293"/>
      <c r="S6973" s="316"/>
      <c r="T6973" s="355"/>
    </row>
    <row r="6974" spans="14:20" x14ac:dyDescent="0.25">
      <c r="N6974" s="514"/>
      <c r="R6974" s="293"/>
      <c r="S6974" s="316"/>
      <c r="T6974" s="355"/>
    </row>
    <row r="6975" spans="14:20" x14ac:dyDescent="0.25">
      <c r="N6975" s="514"/>
      <c r="R6975" s="293"/>
      <c r="S6975" s="316"/>
      <c r="T6975" s="355"/>
    </row>
    <row r="6976" spans="14:20" x14ac:dyDescent="0.25">
      <c r="N6976" s="514"/>
      <c r="R6976" s="293"/>
      <c r="S6976" s="316"/>
      <c r="T6976" s="355"/>
    </row>
    <row r="6977" spans="14:20" x14ac:dyDescent="0.25">
      <c r="N6977" s="514"/>
      <c r="R6977" s="293"/>
      <c r="S6977" s="316"/>
      <c r="T6977" s="355"/>
    </row>
    <row r="6978" spans="14:20" x14ac:dyDescent="0.25">
      <c r="N6978" s="514"/>
      <c r="R6978" s="293"/>
      <c r="S6978" s="316"/>
      <c r="T6978" s="355"/>
    </row>
    <row r="6979" spans="14:20" x14ac:dyDescent="0.25">
      <c r="N6979" s="514"/>
      <c r="R6979" s="293"/>
      <c r="S6979" s="316"/>
      <c r="T6979" s="355"/>
    </row>
    <row r="6980" spans="14:20" x14ac:dyDescent="0.25">
      <c r="N6980" s="514"/>
      <c r="R6980" s="293"/>
      <c r="S6980" s="316"/>
      <c r="T6980" s="355"/>
    </row>
    <row r="6981" spans="14:20" x14ac:dyDescent="0.25">
      <c r="N6981" s="514"/>
      <c r="R6981" s="293"/>
      <c r="S6981" s="316"/>
      <c r="T6981" s="355"/>
    </row>
    <row r="6982" spans="14:20" x14ac:dyDescent="0.25">
      <c r="N6982" s="514"/>
      <c r="R6982" s="293"/>
      <c r="S6982" s="316"/>
      <c r="T6982" s="355"/>
    </row>
    <row r="6983" spans="14:20" x14ac:dyDescent="0.25">
      <c r="N6983" s="514"/>
      <c r="R6983" s="293"/>
      <c r="S6983" s="316"/>
      <c r="T6983" s="355"/>
    </row>
    <row r="6984" spans="14:20" x14ac:dyDescent="0.25">
      <c r="N6984" s="514"/>
      <c r="R6984" s="293"/>
      <c r="S6984" s="316"/>
      <c r="T6984" s="355"/>
    </row>
    <row r="6985" spans="14:20" x14ac:dyDescent="0.25">
      <c r="N6985" s="514"/>
      <c r="R6985" s="293"/>
      <c r="S6985" s="316"/>
      <c r="T6985" s="355"/>
    </row>
    <row r="6986" spans="14:20" x14ac:dyDescent="0.25">
      <c r="N6986" s="514"/>
      <c r="R6986" s="293"/>
      <c r="S6986" s="316"/>
      <c r="T6986" s="355"/>
    </row>
    <row r="6987" spans="14:20" x14ac:dyDescent="0.25">
      <c r="N6987" s="514"/>
      <c r="R6987" s="293"/>
      <c r="S6987" s="316"/>
      <c r="T6987" s="355"/>
    </row>
    <row r="6988" spans="14:20" x14ac:dyDescent="0.25">
      <c r="N6988" s="514"/>
      <c r="R6988" s="293"/>
      <c r="S6988" s="316"/>
      <c r="T6988" s="355"/>
    </row>
    <row r="6989" spans="14:20" x14ac:dyDescent="0.25">
      <c r="N6989" s="514"/>
      <c r="R6989" s="293"/>
      <c r="S6989" s="316"/>
      <c r="T6989" s="355"/>
    </row>
    <row r="6990" spans="14:20" x14ac:dyDescent="0.25">
      <c r="N6990" s="514"/>
      <c r="R6990" s="293"/>
      <c r="S6990" s="316"/>
      <c r="T6990" s="355"/>
    </row>
    <row r="6991" spans="14:20" x14ac:dyDescent="0.25">
      <c r="N6991" s="514"/>
      <c r="R6991" s="293"/>
      <c r="S6991" s="316"/>
      <c r="T6991" s="355"/>
    </row>
    <row r="6992" spans="14:20" x14ac:dyDescent="0.25">
      <c r="N6992" s="514"/>
      <c r="R6992" s="293"/>
      <c r="S6992" s="316"/>
      <c r="T6992" s="355"/>
    </row>
    <row r="6993" spans="14:20" x14ac:dyDescent="0.25">
      <c r="N6993" s="514"/>
      <c r="R6993" s="293"/>
      <c r="S6993" s="316"/>
      <c r="T6993" s="355"/>
    </row>
    <row r="6994" spans="14:20" x14ac:dyDescent="0.25">
      <c r="N6994" s="514"/>
      <c r="R6994" s="293"/>
      <c r="S6994" s="316"/>
      <c r="T6994" s="355"/>
    </row>
    <row r="6995" spans="14:20" x14ac:dyDescent="0.25">
      <c r="N6995" s="514"/>
      <c r="R6995" s="293"/>
      <c r="S6995" s="316"/>
      <c r="T6995" s="355"/>
    </row>
    <row r="6996" spans="14:20" x14ac:dyDescent="0.25">
      <c r="N6996" s="514"/>
      <c r="R6996" s="293"/>
      <c r="S6996" s="316"/>
      <c r="T6996" s="355"/>
    </row>
    <row r="6997" spans="14:20" x14ac:dyDescent="0.25">
      <c r="N6997" s="514"/>
      <c r="R6997" s="293"/>
      <c r="S6997" s="316"/>
      <c r="T6997" s="355"/>
    </row>
    <row r="6998" spans="14:20" x14ac:dyDescent="0.25">
      <c r="N6998" s="514"/>
      <c r="R6998" s="293"/>
      <c r="S6998" s="316"/>
      <c r="T6998" s="355"/>
    </row>
    <row r="6999" spans="14:20" x14ac:dyDescent="0.25">
      <c r="N6999" s="514"/>
      <c r="R6999" s="293"/>
      <c r="S6999" s="316"/>
      <c r="T6999" s="355"/>
    </row>
    <row r="7000" spans="14:20" x14ac:dyDescent="0.25">
      <c r="N7000" s="514"/>
      <c r="R7000" s="293"/>
      <c r="S7000" s="316"/>
      <c r="T7000" s="355"/>
    </row>
    <row r="7001" spans="14:20" x14ac:dyDescent="0.25">
      <c r="N7001" s="514"/>
      <c r="R7001" s="293"/>
      <c r="S7001" s="316"/>
      <c r="T7001" s="355"/>
    </row>
    <row r="7002" spans="14:20" x14ac:dyDescent="0.25">
      <c r="N7002" s="514"/>
      <c r="R7002" s="293"/>
      <c r="S7002" s="316"/>
      <c r="T7002" s="355"/>
    </row>
    <row r="7003" spans="14:20" x14ac:dyDescent="0.25">
      <c r="N7003" s="514"/>
      <c r="R7003" s="293"/>
      <c r="S7003" s="316"/>
      <c r="T7003" s="355"/>
    </row>
    <row r="7004" spans="14:20" x14ac:dyDescent="0.25">
      <c r="N7004" s="514"/>
      <c r="R7004" s="293"/>
      <c r="S7004" s="316"/>
      <c r="T7004" s="355"/>
    </row>
    <row r="7005" spans="14:20" x14ac:dyDescent="0.25">
      <c r="N7005" s="514"/>
      <c r="R7005" s="293"/>
      <c r="S7005" s="316"/>
      <c r="T7005" s="355"/>
    </row>
    <row r="7006" spans="14:20" x14ac:dyDescent="0.25">
      <c r="N7006" s="514"/>
      <c r="R7006" s="293"/>
      <c r="S7006" s="316"/>
      <c r="T7006" s="355"/>
    </row>
    <row r="7007" spans="14:20" x14ac:dyDescent="0.25">
      <c r="N7007" s="514"/>
      <c r="R7007" s="293"/>
      <c r="S7007" s="316"/>
      <c r="T7007" s="355"/>
    </row>
    <row r="7008" spans="14:20" x14ac:dyDescent="0.25">
      <c r="N7008" s="514"/>
      <c r="R7008" s="293"/>
      <c r="S7008" s="316"/>
      <c r="T7008" s="355"/>
    </row>
    <row r="7009" spans="14:20" x14ac:dyDescent="0.25">
      <c r="N7009" s="514"/>
      <c r="R7009" s="293"/>
      <c r="S7009" s="316"/>
      <c r="T7009" s="355"/>
    </row>
    <row r="7010" spans="14:20" x14ac:dyDescent="0.25">
      <c r="N7010" s="514"/>
      <c r="R7010" s="293"/>
      <c r="S7010" s="316"/>
      <c r="T7010" s="355"/>
    </row>
    <row r="7011" spans="14:20" x14ac:dyDescent="0.25">
      <c r="N7011" s="514"/>
      <c r="R7011" s="293"/>
      <c r="S7011" s="316"/>
      <c r="T7011" s="355"/>
    </row>
    <row r="7012" spans="14:20" x14ac:dyDescent="0.25">
      <c r="N7012" s="514"/>
      <c r="R7012" s="293"/>
      <c r="S7012" s="316"/>
      <c r="T7012" s="355"/>
    </row>
    <row r="7013" spans="14:20" x14ac:dyDescent="0.25">
      <c r="N7013" s="514"/>
      <c r="R7013" s="293"/>
      <c r="S7013" s="316"/>
      <c r="T7013" s="355"/>
    </row>
    <row r="7014" spans="14:20" x14ac:dyDescent="0.25">
      <c r="N7014" s="514"/>
      <c r="R7014" s="293"/>
      <c r="S7014" s="316"/>
      <c r="T7014" s="355"/>
    </row>
    <row r="7015" spans="14:20" x14ac:dyDescent="0.25">
      <c r="N7015" s="514"/>
      <c r="R7015" s="293"/>
      <c r="S7015" s="316"/>
      <c r="T7015" s="355"/>
    </row>
    <row r="7016" spans="14:20" x14ac:dyDescent="0.25">
      <c r="N7016" s="514"/>
      <c r="R7016" s="293"/>
      <c r="S7016" s="316"/>
      <c r="T7016" s="355"/>
    </row>
    <row r="7017" spans="14:20" x14ac:dyDescent="0.25">
      <c r="N7017" s="514"/>
      <c r="R7017" s="293"/>
      <c r="S7017" s="316"/>
      <c r="T7017" s="355"/>
    </row>
    <row r="7018" spans="14:20" x14ac:dyDescent="0.25">
      <c r="N7018" s="514"/>
      <c r="R7018" s="293"/>
      <c r="S7018" s="316"/>
      <c r="T7018" s="355"/>
    </row>
    <row r="7019" spans="14:20" x14ac:dyDescent="0.25">
      <c r="N7019" s="514"/>
      <c r="R7019" s="293"/>
      <c r="S7019" s="316"/>
      <c r="T7019" s="355"/>
    </row>
    <row r="7020" spans="14:20" x14ac:dyDescent="0.25">
      <c r="N7020" s="514"/>
      <c r="R7020" s="293"/>
      <c r="S7020" s="316"/>
      <c r="T7020" s="355"/>
    </row>
    <row r="7021" spans="14:20" x14ac:dyDescent="0.25">
      <c r="N7021" s="514"/>
      <c r="R7021" s="293"/>
      <c r="S7021" s="316"/>
      <c r="T7021" s="355"/>
    </row>
    <row r="7022" spans="14:20" x14ac:dyDescent="0.25">
      <c r="N7022" s="514"/>
      <c r="R7022" s="293"/>
      <c r="S7022" s="316"/>
      <c r="T7022" s="355"/>
    </row>
    <row r="7023" spans="14:20" x14ac:dyDescent="0.25">
      <c r="N7023" s="514"/>
      <c r="R7023" s="293"/>
      <c r="S7023" s="316"/>
      <c r="T7023" s="355"/>
    </row>
    <row r="7024" spans="14:20" x14ac:dyDescent="0.25">
      <c r="N7024" s="514"/>
      <c r="R7024" s="293"/>
      <c r="S7024" s="316"/>
      <c r="T7024" s="355"/>
    </row>
    <row r="7025" spans="14:20" x14ac:dyDescent="0.25">
      <c r="N7025" s="514"/>
      <c r="R7025" s="293"/>
      <c r="S7025" s="316"/>
      <c r="T7025" s="355"/>
    </row>
    <row r="7026" spans="14:20" x14ac:dyDescent="0.25">
      <c r="N7026" s="514"/>
      <c r="R7026" s="293"/>
      <c r="S7026" s="316"/>
      <c r="T7026" s="355"/>
    </row>
    <row r="7027" spans="14:20" x14ac:dyDescent="0.25">
      <c r="N7027" s="514"/>
      <c r="R7027" s="293"/>
      <c r="S7027" s="316"/>
      <c r="T7027" s="355"/>
    </row>
    <row r="7028" spans="14:20" x14ac:dyDescent="0.25">
      <c r="N7028" s="514"/>
      <c r="R7028" s="293"/>
      <c r="S7028" s="316"/>
      <c r="T7028" s="355"/>
    </row>
    <row r="7029" spans="14:20" x14ac:dyDescent="0.25">
      <c r="N7029" s="514"/>
      <c r="R7029" s="293"/>
      <c r="S7029" s="316"/>
      <c r="T7029" s="355"/>
    </row>
    <row r="7030" spans="14:20" x14ac:dyDescent="0.25">
      <c r="N7030" s="514"/>
      <c r="R7030" s="293"/>
      <c r="S7030" s="316"/>
      <c r="T7030" s="355"/>
    </row>
    <row r="7031" spans="14:20" x14ac:dyDescent="0.25">
      <c r="N7031" s="514"/>
      <c r="R7031" s="293"/>
      <c r="S7031" s="316"/>
      <c r="T7031" s="355"/>
    </row>
    <row r="7032" spans="14:20" x14ac:dyDescent="0.25">
      <c r="N7032" s="514"/>
      <c r="R7032" s="293"/>
      <c r="S7032" s="316"/>
      <c r="T7032" s="355"/>
    </row>
    <row r="7033" spans="14:20" x14ac:dyDescent="0.25">
      <c r="N7033" s="514"/>
      <c r="R7033" s="293"/>
      <c r="S7033" s="316"/>
      <c r="T7033" s="355"/>
    </row>
    <row r="7034" spans="14:20" x14ac:dyDescent="0.25">
      <c r="N7034" s="514"/>
      <c r="R7034" s="293"/>
      <c r="S7034" s="316"/>
      <c r="T7034" s="355"/>
    </row>
    <row r="7035" spans="14:20" x14ac:dyDescent="0.25">
      <c r="N7035" s="514"/>
      <c r="R7035" s="293"/>
      <c r="S7035" s="316"/>
      <c r="T7035" s="355"/>
    </row>
    <row r="7036" spans="14:20" x14ac:dyDescent="0.25">
      <c r="N7036" s="514"/>
      <c r="R7036" s="293"/>
      <c r="S7036" s="316"/>
      <c r="T7036" s="355"/>
    </row>
    <row r="7037" spans="14:20" x14ac:dyDescent="0.25">
      <c r="N7037" s="514"/>
      <c r="R7037" s="293"/>
      <c r="S7037" s="316"/>
      <c r="T7037" s="355"/>
    </row>
    <row r="7038" spans="14:20" x14ac:dyDescent="0.25">
      <c r="N7038" s="514"/>
      <c r="R7038" s="293"/>
      <c r="S7038" s="316"/>
      <c r="T7038" s="355"/>
    </row>
    <row r="7039" spans="14:20" x14ac:dyDescent="0.25">
      <c r="N7039" s="514"/>
      <c r="R7039" s="293"/>
      <c r="S7039" s="316"/>
      <c r="T7039" s="355"/>
    </row>
    <row r="7040" spans="14:20" x14ac:dyDescent="0.25">
      <c r="N7040" s="514"/>
      <c r="R7040" s="293"/>
      <c r="S7040" s="316"/>
      <c r="T7040" s="355"/>
    </row>
    <row r="7041" spans="14:20" x14ac:dyDescent="0.25">
      <c r="N7041" s="514"/>
      <c r="R7041" s="293"/>
      <c r="S7041" s="316"/>
      <c r="T7041" s="355"/>
    </row>
    <row r="7042" spans="14:20" x14ac:dyDescent="0.25">
      <c r="N7042" s="514"/>
      <c r="R7042" s="293"/>
      <c r="S7042" s="316"/>
      <c r="T7042" s="355"/>
    </row>
    <row r="7043" spans="14:20" x14ac:dyDescent="0.25">
      <c r="N7043" s="514"/>
      <c r="R7043" s="293"/>
      <c r="S7043" s="316"/>
      <c r="T7043" s="355"/>
    </row>
    <row r="7044" spans="14:20" x14ac:dyDescent="0.25">
      <c r="N7044" s="514"/>
      <c r="R7044" s="293"/>
      <c r="S7044" s="316"/>
      <c r="T7044" s="355"/>
    </row>
    <row r="7045" spans="14:20" x14ac:dyDescent="0.25">
      <c r="N7045" s="514"/>
      <c r="R7045" s="293"/>
      <c r="S7045" s="316"/>
      <c r="T7045" s="355"/>
    </row>
    <row r="7046" spans="14:20" x14ac:dyDescent="0.25">
      <c r="N7046" s="514"/>
      <c r="R7046" s="293"/>
      <c r="S7046" s="316"/>
      <c r="T7046" s="355"/>
    </row>
    <row r="7047" spans="14:20" x14ac:dyDescent="0.25">
      <c r="N7047" s="514"/>
      <c r="R7047" s="293"/>
      <c r="S7047" s="316"/>
      <c r="T7047" s="355"/>
    </row>
    <row r="7048" spans="14:20" x14ac:dyDescent="0.25">
      <c r="N7048" s="514"/>
      <c r="R7048" s="293"/>
      <c r="S7048" s="316"/>
      <c r="T7048" s="355"/>
    </row>
    <row r="7049" spans="14:20" x14ac:dyDescent="0.25">
      <c r="N7049" s="514"/>
      <c r="R7049" s="293"/>
      <c r="S7049" s="316"/>
      <c r="T7049" s="355"/>
    </row>
    <row r="7050" spans="14:20" x14ac:dyDescent="0.25">
      <c r="N7050" s="514"/>
      <c r="R7050" s="293"/>
      <c r="S7050" s="316"/>
      <c r="T7050" s="355"/>
    </row>
    <row r="7051" spans="14:20" x14ac:dyDescent="0.25">
      <c r="N7051" s="514"/>
      <c r="R7051" s="293"/>
      <c r="S7051" s="316"/>
      <c r="T7051" s="355"/>
    </row>
    <row r="7052" spans="14:20" x14ac:dyDescent="0.25">
      <c r="N7052" s="514"/>
      <c r="R7052" s="293"/>
      <c r="S7052" s="316"/>
      <c r="T7052" s="355"/>
    </row>
    <row r="7053" spans="14:20" x14ac:dyDescent="0.25">
      <c r="N7053" s="514"/>
      <c r="R7053" s="293"/>
      <c r="S7053" s="316"/>
      <c r="T7053" s="355"/>
    </row>
    <row r="7054" spans="14:20" x14ac:dyDescent="0.25">
      <c r="N7054" s="514"/>
      <c r="R7054" s="293"/>
      <c r="S7054" s="316"/>
      <c r="T7054" s="355"/>
    </row>
    <row r="7055" spans="14:20" x14ac:dyDescent="0.25">
      <c r="N7055" s="514"/>
      <c r="R7055" s="293"/>
      <c r="S7055" s="316"/>
      <c r="T7055" s="355"/>
    </row>
    <row r="7056" spans="14:20" x14ac:dyDescent="0.25">
      <c r="N7056" s="514"/>
      <c r="R7056" s="293"/>
      <c r="S7056" s="316"/>
      <c r="T7056" s="355"/>
    </row>
    <row r="7057" spans="14:20" x14ac:dyDescent="0.25">
      <c r="N7057" s="514"/>
      <c r="R7057" s="293"/>
      <c r="S7057" s="316"/>
      <c r="T7057" s="355"/>
    </row>
    <row r="7058" spans="14:20" x14ac:dyDescent="0.25">
      <c r="N7058" s="514"/>
      <c r="R7058" s="293"/>
      <c r="S7058" s="316"/>
      <c r="T7058" s="355"/>
    </row>
    <row r="7059" spans="14:20" x14ac:dyDescent="0.25">
      <c r="N7059" s="514"/>
      <c r="R7059" s="293"/>
      <c r="S7059" s="316"/>
      <c r="T7059" s="355"/>
    </row>
    <row r="7060" spans="14:20" x14ac:dyDescent="0.25">
      <c r="N7060" s="514"/>
      <c r="R7060" s="293"/>
      <c r="S7060" s="316"/>
      <c r="T7060" s="355"/>
    </row>
    <row r="7061" spans="14:20" x14ac:dyDescent="0.25">
      <c r="N7061" s="514"/>
      <c r="R7061" s="293"/>
      <c r="S7061" s="316"/>
      <c r="T7061" s="355"/>
    </row>
    <row r="7062" spans="14:20" x14ac:dyDescent="0.25">
      <c r="N7062" s="514"/>
      <c r="R7062" s="293"/>
      <c r="S7062" s="316"/>
      <c r="T7062" s="355"/>
    </row>
    <row r="7063" spans="14:20" x14ac:dyDescent="0.25">
      <c r="N7063" s="514"/>
      <c r="R7063" s="293"/>
      <c r="S7063" s="316"/>
      <c r="T7063" s="355"/>
    </row>
    <row r="7064" spans="14:20" x14ac:dyDescent="0.25">
      <c r="N7064" s="514"/>
      <c r="R7064" s="293"/>
      <c r="S7064" s="316"/>
      <c r="T7064" s="355"/>
    </row>
    <row r="7065" spans="14:20" x14ac:dyDescent="0.25">
      <c r="N7065" s="514"/>
      <c r="R7065" s="293"/>
      <c r="S7065" s="316"/>
      <c r="T7065" s="355"/>
    </row>
    <row r="7066" spans="14:20" x14ac:dyDescent="0.25">
      <c r="N7066" s="514"/>
      <c r="R7066" s="293"/>
      <c r="S7066" s="316"/>
      <c r="T7066" s="355"/>
    </row>
    <row r="7067" spans="14:20" x14ac:dyDescent="0.25">
      <c r="N7067" s="514"/>
      <c r="R7067" s="293"/>
      <c r="S7067" s="316"/>
      <c r="T7067" s="355"/>
    </row>
    <row r="7068" spans="14:20" x14ac:dyDescent="0.25">
      <c r="N7068" s="514"/>
      <c r="R7068" s="293"/>
      <c r="S7068" s="316"/>
      <c r="T7068" s="355"/>
    </row>
    <row r="7069" spans="14:20" x14ac:dyDescent="0.25">
      <c r="N7069" s="514"/>
      <c r="R7069" s="293"/>
      <c r="S7069" s="316"/>
      <c r="T7069" s="355"/>
    </row>
    <row r="7070" spans="14:20" x14ac:dyDescent="0.25">
      <c r="N7070" s="514"/>
      <c r="R7070" s="293"/>
      <c r="S7070" s="316"/>
      <c r="T7070" s="355"/>
    </row>
    <row r="7071" spans="14:20" x14ac:dyDescent="0.25">
      <c r="N7071" s="514"/>
      <c r="R7071" s="293"/>
      <c r="S7071" s="316"/>
      <c r="T7071" s="355"/>
    </row>
    <row r="7072" spans="14:20" x14ac:dyDescent="0.25">
      <c r="N7072" s="514"/>
      <c r="R7072" s="293"/>
      <c r="S7072" s="316"/>
      <c r="T7072" s="355"/>
    </row>
    <row r="7073" spans="14:20" x14ac:dyDescent="0.25">
      <c r="N7073" s="514"/>
      <c r="R7073" s="293"/>
      <c r="S7073" s="316"/>
      <c r="T7073" s="355"/>
    </row>
    <row r="7074" spans="14:20" x14ac:dyDescent="0.25">
      <c r="N7074" s="514"/>
      <c r="R7074" s="293"/>
      <c r="S7074" s="316"/>
      <c r="T7074" s="355"/>
    </row>
    <row r="7075" spans="14:20" x14ac:dyDescent="0.25">
      <c r="N7075" s="514"/>
      <c r="R7075" s="293"/>
      <c r="S7075" s="316"/>
      <c r="T7075" s="355"/>
    </row>
    <row r="7076" spans="14:20" x14ac:dyDescent="0.25">
      <c r="N7076" s="514"/>
      <c r="R7076" s="293"/>
      <c r="S7076" s="316"/>
      <c r="T7076" s="355"/>
    </row>
    <row r="7077" spans="14:20" x14ac:dyDescent="0.25">
      <c r="N7077" s="514"/>
      <c r="R7077" s="293"/>
      <c r="S7077" s="316"/>
      <c r="T7077" s="355"/>
    </row>
    <row r="7078" spans="14:20" x14ac:dyDescent="0.25">
      <c r="N7078" s="514"/>
      <c r="R7078" s="293"/>
      <c r="S7078" s="316"/>
      <c r="T7078" s="355"/>
    </row>
    <row r="7079" spans="14:20" x14ac:dyDescent="0.25">
      <c r="N7079" s="514"/>
      <c r="R7079" s="293"/>
      <c r="S7079" s="316"/>
      <c r="T7079" s="355"/>
    </row>
    <row r="7080" spans="14:20" x14ac:dyDescent="0.25">
      <c r="N7080" s="514"/>
      <c r="R7080" s="293"/>
      <c r="S7080" s="316"/>
      <c r="T7080" s="355"/>
    </row>
    <row r="7081" spans="14:20" x14ac:dyDescent="0.25">
      <c r="N7081" s="514"/>
      <c r="R7081" s="293"/>
      <c r="S7081" s="316"/>
      <c r="T7081" s="355"/>
    </row>
    <row r="7082" spans="14:20" x14ac:dyDescent="0.25">
      <c r="N7082" s="514"/>
      <c r="R7082" s="293"/>
      <c r="S7082" s="316"/>
      <c r="T7082" s="355"/>
    </row>
    <row r="7083" spans="14:20" x14ac:dyDescent="0.25">
      <c r="N7083" s="514"/>
      <c r="R7083" s="293"/>
      <c r="S7083" s="316"/>
      <c r="T7083" s="355"/>
    </row>
    <row r="7084" spans="14:20" x14ac:dyDescent="0.25">
      <c r="N7084" s="514"/>
      <c r="R7084" s="293"/>
      <c r="S7084" s="316"/>
      <c r="T7084" s="355"/>
    </row>
    <row r="7085" spans="14:20" x14ac:dyDescent="0.25">
      <c r="N7085" s="514"/>
      <c r="R7085" s="293"/>
      <c r="S7085" s="316"/>
      <c r="T7085" s="355"/>
    </row>
    <row r="7086" spans="14:20" x14ac:dyDescent="0.25">
      <c r="N7086" s="514"/>
      <c r="R7086" s="293"/>
      <c r="S7086" s="316"/>
      <c r="T7086" s="355"/>
    </row>
    <row r="7087" spans="14:20" x14ac:dyDescent="0.25">
      <c r="N7087" s="514"/>
      <c r="R7087" s="293"/>
      <c r="S7087" s="316"/>
      <c r="T7087" s="355"/>
    </row>
    <row r="7088" spans="14:20" x14ac:dyDescent="0.25">
      <c r="N7088" s="514"/>
      <c r="R7088" s="293"/>
      <c r="S7088" s="316"/>
      <c r="T7088" s="355"/>
    </row>
    <row r="7089" spans="14:20" x14ac:dyDescent="0.25">
      <c r="N7089" s="514"/>
      <c r="R7089" s="293"/>
      <c r="S7089" s="316"/>
      <c r="T7089" s="355"/>
    </row>
    <row r="7090" spans="14:20" x14ac:dyDescent="0.25">
      <c r="N7090" s="514"/>
      <c r="R7090" s="293"/>
      <c r="S7090" s="316"/>
      <c r="T7090" s="355"/>
    </row>
    <row r="7091" spans="14:20" x14ac:dyDescent="0.25">
      <c r="N7091" s="514"/>
      <c r="R7091" s="293"/>
      <c r="S7091" s="316"/>
      <c r="T7091" s="355"/>
    </row>
    <row r="7092" spans="14:20" x14ac:dyDescent="0.25">
      <c r="N7092" s="514"/>
      <c r="R7092" s="293"/>
      <c r="S7092" s="316"/>
      <c r="T7092" s="355"/>
    </row>
    <row r="7093" spans="14:20" x14ac:dyDescent="0.25">
      <c r="N7093" s="514"/>
      <c r="R7093" s="293"/>
      <c r="S7093" s="316"/>
      <c r="T7093" s="355"/>
    </row>
    <row r="7094" spans="14:20" x14ac:dyDescent="0.25">
      <c r="N7094" s="514"/>
      <c r="R7094" s="293"/>
      <c r="S7094" s="316"/>
      <c r="T7094" s="355"/>
    </row>
    <row r="7095" spans="14:20" x14ac:dyDescent="0.25">
      <c r="N7095" s="514"/>
      <c r="R7095" s="293"/>
      <c r="S7095" s="316"/>
      <c r="T7095" s="355"/>
    </row>
    <row r="7096" spans="14:20" x14ac:dyDescent="0.25">
      <c r="N7096" s="514"/>
      <c r="R7096" s="293"/>
      <c r="S7096" s="316"/>
      <c r="T7096" s="355"/>
    </row>
    <row r="7097" spans="14:20" x14ac:dyDescent="0.25">
      <c r="N7097" s="514"/>
      <c r="R7097" s="293"/>
      <c r="S7097" s="316"/>
      <c r="T7097" s="355"/>
    </row>
    <row r="7098" spans="14:20" x14ac:dyDescent="0.25">
      <c r="N7098" s="514"/>
      <c r="R7098" s="293"/>
      <c r="S7098" s="316"/>
      <c r="T7098" s="355"/>
    </row>
    <row r="7099" spans="14:20" x14ac:dyDescent="0.25">
      <c r="N7099" s="514"/>
      <c r="R7099" s="293"/>
      <c r="S7099" s="316"/>
      <c r="T7099" s="355"/>
    </row>
    <row r="7100" spans="14:20" x14ac:dyDescent="0.25">
      <c r="N7100" s="514"/>
      <c r="R7100" s="293"/>
      <c r="S7100" s="316"/>
      <c r="T7100" s="355"/>
    </row>
    <row r="7101" spans="14:20" x14ac:dyDescent="0.25">
      <c r="N7101" s="514"/>
      <c r="R7101" s="293"/>
      <c r="S7101" s="316"/>
      <c r="T7101" s="355"/>
    </row>
    <row r="7102" spans="14:20" x14ac:dyDescent="0.25">
      <c r="N7102" s="514"/>
      <c r="R7102" s="293"/>
      <c r="S7102" s="316"/>
      <c r="T7102" s="355"/>
    </row>
    <row r="7103" spans="14:20" x14ac:dyDescent="0.25">
      <c r="N7103" s="514"/>
      <c r="R7103" s="293"/>
      <c r="S7103" s="316"/>
      <c r="T7103" s="355"/>
    </row>
    <row r="7104" spans="14:20" x14ac:dyDescent="0.25">
      <c r="N7104" s="514"/>
      <c r="R7104" s="293"/>
      <c r="S7104" s="316"/>
      <c r="T7104" s="355"/>
    </row>
    <row r="7105" spans="14:20" x14ac:dyDescent="0.25">
      <c r="N7105" s="514"/>
      <c r="R7105" s="293"/>
      <c r="S7105" s="316"/>
      <c r="T7105" s="355"/>
    </row>
    <row r="7106" spans="14:20" x14ac:dyDescent="0.25">
      <c r="N7106" s="514"/>
      <c r="R7106" s="293"/>
      <c r="S7106" s="316"/>
      <c r="T7106" s="355"/>
    </row>
    <row r="7107" spans="14:20" x14ac:dyDescent="0.25">
      <c r="N7107" s="514"/>
      <c r="R7107" s="293"/>
      <c r="S7107" s="316"/>
      <c r="T7107" s="355"/>
    </row>
    <row r="7108" spans="14:20" x14ac:dyDescent="0.25">
      <c r="N7108" s="514"/>
      <c r="R7108" s="293"/>
      <c r="S7108" s="316"/>
      <c r="T7108" s="355"/>
    </row>
    <row r="7109" spans="14:20" x14ac:dyDescent="0.25">
      <c r="N7109" s="514"/>
      <c r="R7109" s="293"/>
      <c r="S7109" s="316"/>
      <c r="T7109" s="355"/>
    </row>
    <row r="7110" spans="14:20" x14ac:dyDescent="0.25">
      <c r="N7110" s="514"/>
      <c r="R7110" s="293"/>
      <c r="S7110" s="316"/>
      <c r="T7110" s="355"/>
    </row>
    <row r="7111" spans="14:20" x14ac:dyDescent="0.25">
      <c r="N7111" s="514"/>
      <c r="R7111" s="293"/>
      <c r="S7111" s="316"/>
      <c r="T7111" s="355"/>
    </row>
    <row r="7112" spans="14:20" x14ac:dyDescent="0.25">
      <c r="N7112" s="514"/>
      <c r="R7112" s="293"/>
      <c r="S7112" s="316"/>
      <c r="T7112" s="355"/>
    </row>
    <row r="7113" spans="14:20" x14ac:dyDescent="0.25">
      <c r="N7113" s="514"/>
      <c r="R7113" s="293"/>
      <c r="S7113" s="316"/>
      <c r="T7113" s="355"/>
    </row>
    <row r="7114" spans="14:20" x14ac:dyDescent="0.25">
      <c r="N7114" s="514"/>
      <c r="R7114" s="293"/>
      <c r="S7114" s="316"/>
      <c r="T7114" s="355"/>
    </row>
    <row r="7115" spans="14:20" x14ac:dyDescent="0.25">
      <c r="N7115" s="514"/>
      <c r="R7115" s="293"/>
      <c r="S7115" s="316"/>
      <c r="T7115" s="355"/>
    </row>
    <row r="7116" spans="14:20" x14ac:dyDescent="0.25">
      <c r="N7116" s="514"/>
      <c r="R7116" s="293"/>
      <c r="S7116" s="316"/>
      <c r="T7116" s="355"/>
    </row>
    <row r="7117" spans="14:20" x14ac:dyDescent="0.25">
      <c r="N7117" s="514"/>
      <c r="R7117" s="293"/>
      <c r="S7117" s="316"/>
      <c r="T7117" s="355"/>
    </row>
    <row r="7118" spans="14:20" x14ac:dyDescent="0.25">
      <c r="N7118" s="514"/>
      <c r="R7118" s="293"/>
      <c r="S7118" s="316"/>
      <c r="T7118" s="355"/>
    </row>
    <row r="7119" spans="14:20" x14ac:dyDescent="0.25">
      <c r="N7119" s="514"/>
      <c r="R7119" s="293"/>
      <c r="S7119" s="316"/>
      <c r="T7119" s="355"/>
    </row>
    <row r="7120" spans="14:20" x14ac:dyDescent="0.25">
      <c r="N7120" s="514"/>
      <c r="R7120" s="293"/>
      <c r="S7120" s="316"/>
      <c r="T7120" s="355"/>
    </row>
    <row r="7121" spans="14:20" x14ac:dyDescent="0.25">
      <c r="N7121" s="514"/>
      <c r="R7121" s="293"/>
      <c r="S7121" s="316"/>
      <c r="T7121" s="355"/>
    </row>
    <row r="7122" spans="14:20" x14ac:dyDescent="0.25">
      <c r="N7122" s="514"/>
      <c r="R7122" s="293"/>
      <c r="S7122" s="316"/>
      <c r="T7122" s="355"/>
    </row>
    <row r="7123" spans="14:20" x14ac:dyDescent="0.25">
      <c r="N7123" s="514"/>
      <c r="R7123" s="293"/>
      <c r="S7123" s="316"/>
      <c r="T7123" s="355"/>
    </row>
    <row r="7124" spans="14:20" x14ac:dyDescent="0.25">
      <c r="N7124" s="514"/>
      <c r="R7124" s="293"/>
      <c r="S7124" s="316"/>
      <c r="T7124" s="355"/>
    </row>
    <row r="7125" spans="14:20" x14ac:dyDescent="0.25">
      <c r="N7125" s="514"/>
      <c r="R7125" s="293"/>
      <c r="S7125" s="316"/>
      <c r="T7125" s="355"/>
    </row>
    <row r="7126" spans="14:20" x14ac:dyDescent="0.25">
      <c r="N7126" s="514"/>
      <c r="R7126" s="293"/>
      <c r="S7126" s="316"/>
      <c r="T7126" s="355"/>
    </row>
    <row r="7127" spans="14:20" x14ac:dyDescent="0.25">
      <c r="N7127" s="514"/>
      <c r="R7127" s="293"/>
      <c r="S7127" s="316"/>
      <c r="T7127" s="355"/>
    </row>
    <row r="7128" spans="14:20" x14ac:dyDescent="0.25">
      <c r="N7128" s="514"/>
      <c r="R7128" s="293"/>
      <c r="S7128" s="316"/>
      <c r="T7128" s="355"/>
    </row>
    <row r="7129" spans="14:20" x14ac:dyDescent="0.25">
      <c r="N7129" s="514"/>
      <c r="R7129" s="293"/>
      <c r="S7129" s="316"/>
      <c r="T7129" s="355"/>
    </row>
    <row r="7130" spans="14:20" x14ac:dyDescent="0.25">
      <c r="N7130" s="514"/>
      <c r="R7130" s="293"/>
      <c r="S7130" s="316"/>
      <c r="T7130" s="355"/>
    </row>
    <row r="7131" spans="14:20" x14ac:dyDescent="0.25">
      <c r="N7131" s="514"/>
      <c r="R7131" s="293"/>
      <c r="S7131" s="316"/>
      <c r="T7131" s="355"/>
    </row>
    <row r="7132" spans="14:20" x14ac:dyDescent="0.25">
      <c r="N7132" s="514"/>
      <c r="R7132" s="293"/>
      <c r="S7132" s="316"/>
      <c r="T7132" s="355"/>
    </row>
    <row r="7133" spans="14:20" x14ac:dyDescent="0.25">
      <c r="N7133" s="514"/>
      <c r="R7133" s="293"/>
      <c r="S7133" s="316"/>
      <c r="T7133" s="355"/>
    </row>
    <row r="7134" spans="14:20" x14ac:dyDescent="0.25">
      <c r="N7134" s="514"/>
      <c r="R7134" s="293"/>
      <c r="S7134" s="316"/>
      <c r="T7134" s="355"/>
    </row>
    <row r="7135" spans="14:20" x14ac:dyDescent="0.25">
      <c r="N7135" s="514"/>
      <c r="R7135" s="293"/>
      <c r="S7135" s="316"/>
      <c r="T7135" s="355"/>
    </row>
    <row r="7136" spans="14:20" x14ac:dyDescent="0.25">
      <c r="N7136" s="514"/>
      <c r="R7136" s="293"/>
      <c r="S7136" s="316"/>
      <c r="T7136" s="355"/>
    </row>
    <row r="7137" spans="14:20" x14ac:dyDescent="0.25">
      <c r="N7137" s="514"/>
      <c r="R7137" s="293"/>
      <c r="S7137" s="316"/>
      <c r="T7137" s="355"/>
    </row>
    <row r="7138" spans="14:20" x14ac:dyDescent="0.25">
      <c r="N7138" s="514"/>
      <c r="R7138" s="293"/>
      <c r="S7138" s="316"/>
      <c r="T7138" s="355"/>
    </row>
    <row r="7139" spans="14:20" x14ac:dyDescent="0.25">
      <c r="N7139" s="514"/>
      <c r="R7139" s="293"/>
      <c r="S7139" s="316"/>
      <c r="T7139" s="355"/>
    </row>
    <row r="7140" spans="14:20" x14ac:dyDescent="0.25">
      <c r="N7140" s="514"/>
      <c r="R7140" s="293"/>
      <c r="S7140" s="316"/>
      <c r="T7140" s="355"/>
    </row>
    <row r="7141" spans="14:20" x14ac:dyDescent="0.25">
      <c r="N7141" s="514"/>
      <c r="R7141" s="293"/>
      <c r="S7141" s="316"/>
      <c r="T7141" s="355"/>
    </row>
    <row r="7142" spans="14:20" x14ac:dyDescent="0.25">
      <c r="N7142" s="514"/>
      <c r="R7142" s="293"/>
      <c r="S7142" s="316"/>
      <c r="T7142" s="355"/>
    </row>
    <row r="7143" spans="14:20" x14ac:dyDescent="0.25">
      <c r="N7143" s="514"/>
      <c r="R7143" s="293"/>
      <c r="S7143" s="316"/>
      <c r="T7143" s="355"/>
    </row>
    <row r="7144" spans="14:20" x14ac:dyDescent="0.25">
      <c r="N7144" s="514"/>
      <c r="R7144" s="293"/>
      <c r="S7144" s="316"/>
      <c r="T7144" s="355"/>
    </row>
    <row r="7145" spans="14:20" x14ac:dyDescent="0.25">
      <c r="N7145" s="514"/>
      <c r="R7145" s="293"/>
      <c r="S7145" s="316"/>
      <c r="T7145" s="355"/>
    </row>
    <row r="7146" spans="14:20" x14ac:dyDescent="0.25">
      <c r="N7146" s="514"/>
      <c r="R7146" s="293"/>
      <c r="S7146" s="316"/>
      <c r="T7146" s="355"/>
    </row>
    <row r="7147" spans="14:20" x14ac:dyDescent="0.25">
      <c r="N7147" s="514"/>
      <c r="R7147" s="293"/>
      <c r="S7147" s="316"/>
      <c r="T7147" s="355"/>
    </row>
    <row r="7148" spans="14:20" x14ac:dyDescent="0.25">
      <c r="N7148" s="514"/>
      <c r="R7148" s="293"/>
      <c r="S7148" s="316"/>
      <c r="T7148" s="355"/>
    </row>
    <row r="7149" spans="14:20" x14ac:dyDescent="0.25">
      <c r="N7149" s="514"/>
      <c r="R7149" s="293"/>
      <c r="S7149" s="316"/>
      <c r="T7149" s="355"/>
    </row>
    <row r="7150" spans="14:20" x14ac:dyDescent="0.25">
      <c r="N7150" s="514"/>
      <c r="R7150" s="293"/>
      <c r="S7150" s="316"/>
      <c r="T7150" s="355"/>
    </row>
    <row r="7151" spans="14:20" x14ac:dyDescent="0.25">
      <c r="N7151" s="514"/>
      <c r="R7151" s="293"/>
      <c r="S7151" s="316"/>
      <c r="T7151" s="355"/>
    </row>
    <row r="7152" spans="14:20" x14ac:dyDescent="0.25">
      <c r="N7152" s="514"/>
      <c r="R7152" s="293"/>
      <c r="S7152" s="316"/>
      <c r="T7152" s="355"/>
    </row>
    <row r="7153" spans="14:20" x14ac:dyDescent="0.25">
      <c r="N7153" s="514"/>
      <c r="R7153" s="293"/>
      <c r="S7153" s="316"/>
      <c r="T7153" s="355"/>
    </row>
    <row r="7154" spans="14:20" x14ac:dyDescent="0.25">
      <c r="N7154" s="514"/>
      <c r="R7154" s="293"/>
      <c r="S7154" s="316"/>
      <c r="T7154" s="355"/>
    </row>
    <row r="7155" spans="14:20" x14ac:dyDescent="0.25">
      <c r="N7155" s="514"/>
      <c r="R7155" s="293"/>
      <c r="S7155" s="316"/>
      <c r="T7155" s="355"/>
    </row>
    <row r="7156" spans="14:20" x14ac:dyDescent="0.25">
      <c r="N7156" s="514"/>
      <c r="R7156" s="293"/>
      <c r="S7156" s="316"/>
      <c r="T7156" s="355"/>
    </row>
    <row r="7157" spans="14:20" x14ac:dyDescent="0.25">
      <c r="N7157" s="514"/>
      <c r="R7157" s="293"/>
      <c r="S7157" s="316"/>
      <c r="T7157" s="355"/>
    </row>
    <row r="7158" spans="14:20" x14ac:dyDescent="0.25">
      <c r="N7158" s="514"/>
      <c r="R7158" s="293"/>
      <c r="S7158" s="316"/>
      <c r="T7158" s="355"/>
    </row>
    <row r="7159" spans="14:20" x14ac:dyDescent="0.25">
      <c r="N7159" s="514"/>
      <c r="R7159" s="293"/>
      <c r="S7159" s="316"/>
      <c r="T7159" s="355"/>
    </row>
    <row r="7160" spans="14:20" x14ac:dyDescent="0.25">
      <c r="N7160" s="514"/>
      <c r="R7160" s="293"/>
      <c r="S7160" s="316"/>
      <c r="T7160" s="355"/>
    </row>
    <row r="7161" spans="14:20" x14ac:dyDescent="0.25">
      <c r="N7161" s="514"/>
      <c r="R7161" s="293"/>
      <c r="S7161" s="316"/>
      <c r="T7161" s="355"/>
    </row>
    <row r="7162" spans="14:20" x14ac:dyDescent="0.25">
      <c r="N7162" s="514"/>
      <c r="R7162" s="293"/>
      <c r="S7162" s="316"/>
      <c r="T7162" s="355"/>
    </row>
    <row r="7163" spans="14:20" x14ac:dyDescent="0.25">
      <c r="N7163" s="514"/>
      <c r="R7163" s="293"/>
      <c r="S7163" s="316"/>
      <c r="T7163" s="355"/>
    </row>
    <row r="7164" spans="14:20" x14ac:dyDescent="0.25">
      <c r="N7164" s="514"/>
      <c r="R7164" s="293"/>
      <c r="S7164" s="316"/>
      <c r="T7164" s="355"/>
    </row>
    <row r="7165" spans="14:20" x14ac:dyDescent="0.25">
      <c r="N7165" s="514"/>
      <c r="R7165" s="293"/>
      <c r="S7165" s="316"/>
      <c r="T7165" s="355"/>
    </row>
    <row r="7166" spans="14:20" x14ac:dyDescent="0.25">
      <c r="N7166" s="514"/>
      <c r="R7166" s="293"/>
      <c r="S7166" s="316"/>
      <c r="T7166" s="355"/>
    </row>
    <row r="7167" spans="14:20" x14ac:dyDescent="0.25">
      <c r="N7167" s="514"/>
      <c r="R7167" s="293"/>
      <c r="S7167" s="316"/>
      <c r="T7167" s="355"/>
    </row>
    <row r="7168" spans="14:20" x14ac:dyDescent="0.25">
      <c r="N7168" s="514"/>
      <c r="R7168" s="293"/>
      <c r="S7168" s="316"/>
      <c r="T7168" s="355"/>
    </row>
    <row r="7169" spans="14:20" x14ac:dyDescent="0.25">
      <c r="N7169" s="514"/>
      <c r="R7169" s="293"/>
      <c r="S7169" s="316"/>
      <c r="T7169" s="355"/>
    </row>
    <row r="7170" spans="14:20" x14ac:dyDescent="0.25">
      <c r="N7170" s="514"/>
      <c r="R7170" s="293"/>
      <c r="S7170" s="316"/>
      <c r="T7170" s="355"/>
    </row>
    <row r="7171" spans="14:20" x14ac:dyDescent="0.25">
      <c r="N7171" s="514"/>
      <c r="R7171" s="293"/>
      <c r="S7171" s="316"/>
      <c r="T7171" s="355"/>
    </row>
    <row r="7172" spans="14:20" x14ac:dyDescent="0.25">
      <c r="N7172" s="514"/>
      <c r="R7172" s="293"/>
      <c r="S7172" s="316"/>
      <c r="T7172" s="355"/>
    </row>
    <row r="7173" spans="14:20" x14ac:dyDescent="0.25">
      <c r="N7173" s="514"/>
      <c r="R7173" s="293"/>
      <c r="S7173" s="316"/>
      <c r="T7173" s="355"/>
    </row>
    <row r="7174" spans="14:20" x14ac:dyDescent="0.25">
      <c r="N7174" s="514"/>
      <c r="R7174" s="293"/>
      <c r="S7174" s="316"/>
      <c r="T7174" s="355"/>
    </row>
    <row r="7175" spans="14:20" x14ac:dyDescent="0.25">
      <c r="N7175" s="514"/>
      <c r="R7175" s="293"/>
      <c r="S7175" s="316"/>
      <c r="T7175" s="355"/>
    </row>
    <row r="7176" spans="14:20" x14ac:dyDescent="0.25">
      <c r="N7176" s="514"/>
      <c r="R7176" s="293"/>
      <c r="S7176" s="316"/>
      <c r="T7176" s="355"/>
    </row>
    <row r="7177" spans="14:20" x14ac:dyDescent="0.25">
      <c r="N7177" s="514"/>
      <c r="R7177" s="293"/>
      <c r="S7177" s="316"/>
      <c r="T7177" s="355"/>
    </row>
    <row r="7178" spans="14:20" x14ac:dyDescent="0.25">
      <c r="N7178" s="514"/>
      <c r="R7178" s="293"/>
      <c r="S7178" s="316"/>
      <c r="T7178" s="355"/>
    </row>
    <row r="7179" spans="14:20" x14ac:dyDescent="0.25">
      <c r="N7179" s="514"/>
      <c r="R7179" s="293"/>
      <c r="S7179" s="316"/>
      <c r="T7179" s="355"/>
    </row>
    <row r="7180" spans="14:20" x14ac:dyDescent="0.25">
      <c r="N7180" s="514"/>
      <c r="R7180" s="293"/>
      <c r="S7180" s="316"/>
      <c r="T7180" s="355"/>
    </row>
    <row r="7181" spans="14:20" x14ac:dyDescent="0.25">
      <c r="N7181" s="514"/>
      <c r="R7181" s="293"/>
      <c r="S7181" s="316"/>
      <c r="T7181" s="355"/>
    </row>
    <row r="7182" spans="14:20" x14ac:dyDescent="0.25">
      <c r="N7182" s="514"/>
      <c r="R7182" s="293"/>
      <c r="S7182" s="316"/>
      <c r="T7182" s="355"/>
    </row>
    <row r="7183" spans="14:20" x14ac:dyDescent="0.25">
      <c r="N7183" s="514"/>
      <c r="R7183" s="293"/>
      <c r="S7183" s="316"/>
      <c r="T7183" s="355"/>
    </row>
    <row r="7184" spans="14:20" x14ac:dyDescent="0.25">
      <c r="N7184" s="514"/>
      <c r="R7184" s="293"/>
      <c r="S7184" s="316"/>
      <c r="T7184" s="355"/>
    </row>
    <row r="7185" spans="14:20" x14ac:dyDescent="0.25">
      <c r="N7185" s="514"/>
      <c r="R7185" s="293"/>
      <c r="S7185" s="316"/>
      <c r="T7185" s="355"/>
    </row>
    <row r="7186" spans="14:20" x14ac:dyDescent="0.25">
      <c r="N7186" s="514"/>
      <c r="R7186" s="293"/>
      <c r="S7186" s="316"/>
      <c r="T7186" s="355"/>
    </row>
    <row r="7187" spans="14:20" x14ac:dyDescent="0.25">
      <c r="N7187" s="514"/>
      <c r="R7187" s="293"/>
      <c r="S7187" s="316"/>
      <c r="T7187" s="355"/>
    </row>
    <row r="7188" spans="14:20" x14ac:dyDescent="0.25">
      <c r="N7188" s="514"/>
      <c r="R7188" s="293"/>
      <c r="S7188" s="316"/>
      <c r="T7188" s="355"/>
    </row>
    <row r="7189" spans="14:20" x14ac:dyDescent="0.25">
      <c r="N7189" s="514"/>
      <c r="R7189" s="293"/>
      <c r="S7189" s="316"/>
      <c r="T7189" s="355"/>
    </row>
    <row r="7190" spans="14:20" x14ac:dyDescent="0.25">
      <c r="N7190" s="514"/>
      <c r="R7190" s="293"/>
      <c r="S7190" s="316"/>
      <c r="T7190" s="355"/>
    </row>
    <row r="7191" spans="14:20" x14ac:dyDescent="0.25">
      <c r="N7191" s="514"/>
      <c r="R7191" s="293"/>
      <c r="S7191" s="316"/>
      <c r="T7191" s="355"/>
    </row>
    <row r="7192" spans="14:20" x14ac:dyDescent="0.25">
      <c r="N7192" s="514"/>
      <c r="R7192" s="293"/>
      <c r="S7192" s="316"/>
      <c r="T7192" s="355"/>
    </row>
    <row r="7193" spans="14:20" x14ac:dyDescent="0.25">
      <c r="N7193" s="514"/>
      <c r="R7193" s="293"/>
      <c r="S7193" s="316"/>
      <c r="T7193" s="355"/>
    </row>
    <row r="7194" spans="14:20" x14ac:dyDescent="0.25">
      <c r="N7194" s="514"/>
      <c r="R7194" s="293"/>
      <c r="S7194" s="316"/>
      <c r="T7194" s="355"/>
    </row>
    <row r="7195" spans="14:20" x14ac:dyDescent="0.25">
      <c r="N7195" s="514"/>
      <c r="R7195" s="293"/>
      <c r="S7195" s="316"/>
      <c r="T7195" s="355"/>
    </row>
    <row r="7196" spans="14:20" x14ac:dyDescent="0.25">
      <c r="N7196" s="514"/>
      <c r="R7196" s="293"/>
      <c r="S7196" s="316"/>
      <c r="T7196" s="355"/>
    </row>
    <row r="7197" spans="14:20" x14ac:dyDescent="0.25">
      <c r="N7197" s="514"/>
      <c r="R7197" s="293"/>
      <c r="S7197" s="316"/>
      <c r="T7197" s="355"/>
    </row>
    <row r="7198" spans="14:20" x14ac:dyDescent="0.25">
      <c r="N7198" s="514"/>
      <c r="R7198" s="293"/>
      <c r="S7198" s="316"/>
      <c r="T7198" s="355"/>
    </row>
    <row r="7199" spans="14:20" x14ac:dyDescent="0.25">
      <c r="N7199" s="514"/>
      <c r="R7199" s="293"/>
      <c r="S7199" s="316"/>
      <c r="T7199" s="355"/>
    </row>
    <row r="7200" spans="14:20" x14ac:dyDescent="0.25">
      <c r="N7200" s="514"/>
      <c r="R7200" s="293"/>
      <c r="S7200" s="316"/>
      <c r="T7200" s="355"/>
    </row>
    <row r="7201" spans="14:20" x14ac:dyDescent="0.25">
      <c r="N7201" s="514"/>
      <c r="R7201" s="293"/>
      <c r="S7201" s="316"/>
      <c r="T7201" s="355"/>
    </row>
    <row r="7202" spans="14:20" x14ac:dyDescent="0.25">
      <c r="N7202" s="514"/>
      <c r="R7202" s="293"/>
      <c r="S7202" s="316"/>
      <c r="T7202" s="355"/>
    </row>
    <row r="7203" spans="14:20" x14ac:dyDescent="0.25">
      <c r="N7203" s="514"/>
      <c r="R7203" s="293"/>
      <c r="S7203" s="316"/>
      <c r="T7203" s="355"/>
    </row>
    <row r="7204" spans="14:20" x14ac:dyDescent="0.25">
      <c r="N7204" s="514"/>
      <c r="R7204" s="293"/>
      <c r="S7204" s="316"/>
      <c r="T7204" s="355"/>
    </row>
    <row r="7205" spans="14:20" x14ac:dyDescent="0.25">
      <c r="N7205" s="514"/>
      <c r="R7205" s="293"/>
      <c r="S7205" s="316"/>
      <c r="T7205" s="355"/>
    </row>
    <row r="7206" spans="14:20" x14ac:dyDescent="0.25">
      <c r="N7206" s="514"/>
      <c r="R7206" s="293"/>
      <c r="S7206" s="316"/>
      <c r="T7206" s="355"/>
    </row>
    <row r="7207" spans="14:20" x14ac:dyDescent="0.25">
      <c r="N7207" s="514"/>
      <c r="R7207" s="293"/>
      <c r="S7207" s="316"/>
      <c r="T7207" s="355"/>
    </row>
    <row r="7208" spans="14:20" x14ac:dyDescent="0.25">
      <c r="N7208" s="514"/>
      <c r="R7208" s="293"/>
      <c r="S7208" s="316"/>
      <c r="T7208" s="355"/>
    </row>
    <row r="7209" spans="14:20" x14ac:dyDescent="0.25">
      <c r="N7209" s="514"/>
      <c r="R7209" s="293"/>
      <c r="S7209" s="316"/>
      <c r="T7209" s="355"/>
    </row>
    <row r="7210" spans="14:20" x14ac:dyDescent="0.25">
      <c r="N7210" s="514"/>
      <c r="R7210" s="293"/>
      <c r="S7210" s="316"/>
      <c r="T7210" s="355"/>
    </row>
    <row r="7211" spans="14:20" x14ac:dyDescent="0.25">
      <c r="N7211" s="514"/>
      <c r="R7211" s="293"/>
      <c r="S7211" s="316"/>
      <c r="T7211" s="355"/>
    </row>
    <row r="7212" spans="14:20" x14ac:dyDescent="0.25">
      <c r="N7212" s="514"/>
      <c r="R7212" s="293"/>
      <c r="S7212" s="316"/>
      <c r="T7212" s="355"/>
    </row>
    <row r="7213" spans="14:20" x14ac:dyDescent="0.25">
      <c r="N7213" s="514"/>
      <c r="R7213" s="293"/>
      <c r="S7213" s="316"/>
      <c r="T7213" s="355"/>
    </row>
    <row r="7214" spans="14:20" x14ac:dyDescent="0.25">
      <c r="N7214" s="514"/>
      <c r="R7214" s="293"/>
      <c r="S7214" s="316"/>
      <c r="T7214" s="355"/>
    </row>
    <row r="7215" spans="14:20" x14ac:dyDescent="0.25">
      <c r="N7215" s="514"/>
      <c r="R7215" s="293"/>
      <c r="S7215" s="316"/>
      <c r="T7215" s="355"/>
    </row>
    <row r="7216" spans="14:20" x14ac:dyDescent="0.25">
      <c r="N7216" s="514"/>
      <c r="R7216" s="293"/>
      <c r="S7216" s="316"/>
      <c r="T7216" s="355"/>
    </row>
    <row r="7217" spans="14:20" x14ac:dyDescent="0.25">
      <c r="N7217" s="514"/>
      <c r="R7217" s="293"/>
      <c r="S7217" s="316"/>
      <c r="T7217" s="355"/>
    </row>
    <row r="7218" spans="14:20" x14ac:dyDescent="0.25">
      <c r="N7218" s="514"/>
      <c r="R7218" s="293"/>
      <c r="S7218" s="316"/>
      <c r="T7218" s="355"/>
    </row>
    <row r="7219" spans="14:20" x14ac:dyDescent="0.25">
      <c r="N7219" s="514"/>
      <c r="R7219" s="293"/>
      <c r="S7219" s="316"/>
      <c r="T7219" s="355"/>
    </row>
    <row r="7220" spans="14:20" x14ac:dyDescent="0.25">
      <c r="N7220" s="514"/>
      <c r="R7220" s="293"/>
      <c r="S7220" s="316"/>
      <c r="T7220" s="355"/>
    </row>
    <row r="7221" spans="14:20" x14ac:dyDescent="0.25">
      <c r="N7221" s="514"/>
      <c r="R7221" s="293"/>
      <c r="S7221" s="316"/>
      <c r="T7221" s="355"/>
    </row>
    <row r="7222" spans="14:20" x14ac:dyDescent="0.25">
      <c r="N7222" s="514"/>
      <c r="R7222" s="293"/>
      <c r="S7222" s="316"/>
      <c r="T7222" s="355"/>
    </row>
    <row r="7223" spans="14:20" x14ac:dyDescent="0.25">
      <c r="N7223" s="514"/>
      <c r="R7223" s="293"/>
      <c r="S7223" s="316"/>
      <c r="T7223" s="355"/>
    </row>
    <row r="7224" spans="14:20" x14ac:dyDescent="0.25">
      <c r="N7224" s="514"/>
      <c r="R7224" s="293"/>
      <c r="S7224" s="316"/>
      <c r="T7224" s="355"/>
    </row>
    <row r="7225" spans="14:20" x14ac:dyDescent="0.25">
      <c r="N7225" s="514"/>
      <c r="R7225" s="293"/>
      <c r="S7225" s="316"/>
      <c r="T7225" s="355"/>
    </row>
    <row r="7226" spans="14:20" x14ac:dyDescent="0.25">
      <c r="N7226" s="514"/>
      <c r="R7226" s="293"/>
      <c r="S7226" s="316"/>
      <c r="T7226" s="355"/>
    </row>
    <row r="7227" spans="14:20" x14ac:dyDescent="0.25">
      <c r="N7227" s="514"/>
      <c r="R7227" s="293"/>
      <c r="S7227" s="316"/>
      <c r="T7227" s="355"/>
    </row>
    <row r="7228" spans="14:20" x14ac:dyDescent="0.25">
      <c r="N7228" s="514"/>
      <c r="R7228" s="293"/>
      <c r="S7228" s="316"/>
      <c r="T7228" s="355"/>
    </row>
    <row r="7229" spans="14:20" x14ac:dyDescent="0.25">
      <c r="N7229" s="514"/>
      <c r="R7229" s="293"/>
      <c r="S7229" s="316"/>
      <c r="T7229" s="355"/>
    </row>
    <row r="7230" spans="14:20" x14ac:dyDescent="0.25">
      <c r="N7230" s="514"/>
      <c r="R7230" s="293"/>
      <c r="S7230" s="316"/>
      <c r="T7230" s="355"/>
    </row>
    <row r="7231" spans="14:20" x14ac:dyDescent="0.25">
      <c r="N7231" s="514"/>
      <c r="R7231" s="293"/>
      <c r="S7231" s="316"/>
      <c r="T7231" s="355"/>
    </row>
    <row r="7232" spans="14:20" x14ac:dyDescent="0.25">
      <c r="N7232" s="514"/>
      <c r="R7232" s="293"/>
      <c r="S7232" s="316"/>
      <c r="T7232" s="355"/>
    </row>
    <row r="7233" spans="14:20" x14ac:dyDescent="0.25">
      <c r="N7233" s="514"/>
      <c r="R7233" s="293"/>
      <c r="S7233" s="316"/>
      <c r="T7233" s="355"/>
    </row>
    <row r="7234" spans="14:20" x14ac:dyDescent="0.25">
      <c r="N7234" s="514"/>
      <c r="R7234" s="293"/>
      <c r="S7234" s="316"/>
      <c r="T7234" s="355"/>
    </row>
    <row r="7235" spans="14:20" x14ac:dyDescent="0.25">
      <c r="N7235" s="514"/>
      <c r="R7235" s="293"/>
      <c r="S7235" s="316"/>
      <c r="T7235" s="355"/>
    </row>
    <row r="7236" spans="14:20" x14ac:dyDescent="0.25">
      <c r="N7236" s="514"/>
      <c r="R7236" s="293"/>
      <c r="S7236" s="316"/>
      <c r="T7236" s="355"/>
    </row>
    <row r="7237" spans="14:20" x14ac:dyDescent="0.25">
      <c r="N7237" s="514"/>
      <c r="R7237" s="293"/>
      <c r="S7237" s="316"/>
      <c r="T7237" s="355"/>
    </row>
    <row r="7238" spans="14:20" x14ac:dyDescent="0.25">
      <c r="N7238" s="514"/>
      <c r="R7238" s="293"/>
      <c r="S7238" s="316"/>
      <c r="T7238" s="355"/>
    </row>
    <row r="7239" spans="14:20" x14ac:dyDescent="0.25">
      <c r="N7239" s="514"/>
      <c r="R7239" s="293"/>
      <c r="S7239" s="316"/>
      <c r="T7239" s="355"/>
    </row>
    <row r="7240" spans="14:20" x14ac:dyDescent="0.25">
      <c r="N7240" s="514"/>
      <c r="R7240" s="293"/>
      <c r="S7240" s="316"/>
      <c r="T7240" s="355"/>
    </row>
    <row r="7241" spans="14:20" x14ac:dyDescent="0.25">
      <c r="N7241" s="514"/>
      <c r="R7241" s="293"/>
      <c r="S7241" s="316"/>
      <c r="T7241" s="355"/>
    </row>
    <row r="7242" spans="14:20" x14ac:dyDescent="0.25">
      <c r="N7242" s="514"/>
      <c r="R7242" s="293"/>
      <c r="S7242" s="316"/>
      <c r="T7242" s="355"/>
    </row>
    <row r="7243" spans="14:20" x14ac:dyDescent="0.25">
      <c r="N7243" s="514"/>
      <c r="R7243" s="293"/>
      <c r="S7243" s="316"/>
      <c r="T7243" s="355"/>
    </row>
    <row r="7244" spans="14:20" x14ac:dyDescent="0.25">
      <c r="N7244" s="514"/>
      <c r="R7244" s="293"/>
      <c r="S7244" s="316"/>
      <c r="T7244" s="355"/>
    </row>
    <row r="7245" spans="14:20" x14ac:dyDescent="0.25">
      <c r="N7245" s="514"/>
      <c r="R7245" s="293"/>
      <c r="S7245" s="316"/>
      <c r="T7245" s="355"/>
    </row>
    <row r="7246" spans="14:20" x14ac:dyDescent="0.25">
      <c r="N7246" s="514"/>
      <c r="R7246" s="293"/>
      <c r="S7246" s="316"/>
      <c r="T7246" s="355"/>
    </row>
    <row r="7247" spans="14:20" x14ac:dyDescent="0.25">
      <c r="N7247" s="514"/>
      <c r="R7247" s="293"/>
      <c r="S7247" s="316"/>
      <c r="T7247" s="355"/>
    </row>
    <row r="7248" spans="14:20" x14ac:dyDescent="0.25">
      <c r="N7248" s="514"/>
      <c r="R7248" s="293"/>
      <c r="S7248" s="316"/>
      <c r="T7248" s="355"/>
    </row>
    <row r="7249" spans="14:20" x14ac:dyDescent="0.25">
      <c r="N7249" s="514"/>
      <c r="R7249" s="293"/>
      <c r="S7249" s="316"/>
      <c r="T7249" s="355"/>
    </row>
    <row r="7250" spans="14:20" x14ac:dyDescent="0.25">
      <c r="N7250" s="514"/>
      <c r="R7250" s="293"/>
      <c r="S7250" s="316"/>
      <c r="T7250" s="355"/>
    </row>
    <row r="7251" spans="14:20" x14ac:dyDescent="0.25">
      <c r="N7251" s="514"/>
      <c r="R7251" s="293"/>
      <c r="S7251" s="316"/>
      <c r="T7251" s="355"/>
    </row>
    <row r="7252" spans="14:20" x14ac:dyDescent="0.25">
      <c r="N7252" s="514"/>
      <c r="R7252" s="293"/>
      <c r="S7252" s="316"/>
      <c r="T7252" s="355"/>
    </row>
    <row r="7253" spans="14:20" x14ac:dyDescent="0.25">
      <c r="N7253" s="514"/>
      <c r="R7253" s="293"/>
      <c r="S7253" s="316"/>
      <c r="T7253" s="355"/>
    </row>
    <row r="7254" spans="14:20" x14ac:dyDescent="0.25">
      <c r="N7254" s="514"/>
      <c r="R7254" s="293"/>
      <c r="S7254" s="316"/>
      <c r="T7254" s="355"/>
    </row>
    <row r="7255" spans="14:20" x14ac:dyDescent="0.25">
      <c r="N7255" s="514"/>
      <c r="R7255" s="293"/>
      <c r="S7255" s="316"/>
      <c r="T7255" s="355"/>
    </row>
    <row r="7256" spans="14:20" x14ac:dyDescent="0.25">
      <c r="N7256" s="514"/>
      <c r="R7256" s="293"/>
      <c r="S7256" s="316"/>
      <c r="T7256" s="355"/>
    </row>
    <row r="7257" spans="14:20" x14ac:dyDescent="0.25">
      <c r="N7257" s="514"/>
      <c r="R7257" s="293"/>
      <c r="S7257" s="316"/>
      <c r="T7257" s="355"/>
    </row>
    <row r="7258" spans="14:20" x14ac:dyDescent="0.25">
      <c r="N7258" s="514"/>
      <c r="R7258" s="293"/>
      <c r="S7258" s="316"/>
      <c r="T7258" s="355"/>
    </row>
    <row r="7259" spans="14:20" x14ac:dyDescent="0.25">
      <c r="N7259" s="514"/>
      <c r="R7259" s="293"/>
      <c r="S7259" s="316"/>
      <c r="T7259" s="355"/>
    </row>
    <row r="7260" spans="14:20" x14ac:dyDescent="0.25">
      <c r="N7260" s="514"/>
      <c r="R7260" s="293"/>
      <c r="S7260" s="316"/>
      <c r="T7260" s="355"/>
    </row>
    <row r="7261" spans="14:20" x14ac:dyDescent="0.25">
      <c r="N7261" s="514"/>
      <c r="R7261" s="293"/>
      <c r="S7261" s="316"/>
      <c r="T7261" s="355"/>
    </row>
    <row r="7262" spans="14:20" x14ac:dyDescent="0.25">
      <c r="N7262" s="514"/>
      <c r="R7262" s="293"/>
      <c r="S7262" s="316"/>
      <c r="T7262" s="355"/>
    </row>
    <row r="7263" spans="14:20" x14ac:dyDescent="0.25">
      <c r="N7263" s="514"/>
      <c r="R7263" s="293"/>
      <c r="S7263" s="316"/>
      <c r="T7263" s="355"/>
    </row>
    <row r="7264" spans="14:20" x14ac:dyDescent="0.25">
      <c r="N7264" s="514"/>
      <c r="R7264" s="293"/>
      <c r="S7264" s="316"/>
      <c r="T7264" s="355"/>
    </row>
    <row r="7265" spans="14:20" x14ac:dyDescent="0.25">
      <c r="N7265" s="514"/>
      <c r="R7265" s="293"/>
      <c r="S7265" s="316"/>
      <c r="T7265" s="355"/>
    </row>
    <row r="7266" spans="14:20" x14ac:dyDescent="0.25">
      <c r="N7266" s="514"/>
      <c r="R7266" s="293"/>
      <c r="S7266" s="316"/>
      <c r="T7266" s="355"/>
    </row>
    <row r="7267" spans="14:20" x14ac:dyDescent="0.25">
      <c r="N7267" s="514"/>
      <c r="R7267" s="293"/>
      <c r="S7267" s="316"/>
      <c r="T7267" s="355"/>
    </row>
    <row r="7268" spans="14:20" x14ac:dyDescent="0.25">
      <c r="N7268" s="514"/>
      <c r="R7268" s="293"/>
      <c r="S7268" s="316"/>
      <c r="T7268" s="355"/>
    </row>
    <row r="7269" spans="14:20" x14ac:dyDescent="0.25">
      <c r="N7269" s="514"/>
      <c r="R7269" s="293"/>
      <c r="S7269" s="316"/>
      <c r="T7269" s="355"/>
    </row>
    <row r="7270" spans="14:20" x14ac:dyDescent="0.25">
      <c r="N7270" s="514"/>
      <c r="R7270" s="293"/>
      <c r="S7270" s="316"/>
      <c r="T7270" s="355"/>
    </row>
    <row r="7271" spans="14:20" x14ac:dyDescent="0.25">
      <c r="N7271" s="514"/>
      <c r="R7271" s="293"/>
      <c r="S7271" s="316"/>
      <c r="T7271" s="355"/>
    </row>
    <row r="7272" spans="14:20" x14ac:dyDescent="0.25">
      <c r="N7272" s="514"/>
      <c r="R7272" s="293"/>
      <c r="S7272" s="316"/>
      <c r="T7272" s="355"/>
    </row>
    <row r="7273" spans="14:20" x14ac:dyDescent="0.25">
      <c r="N7273" s="514"/>
      <c r="R7273" s="293"/>
      <c r="S7273" s="316"/>
      <c r="T7273" s="355"/>
    </row>
    <row r="7274" spans="14:20" x14ac:dyDescent="0.25">
      <c r="N7274" s="514"/>
      <c r="R7274" s="293"/>
      <c r="S7274" s="316"/>
      <c r="T7274" s="355"/>
    </row>
    <row r="7275" spans="14:20" x14ac:dyDescent="0.25">
      <c r="N7275" s="514"/>
      <c r="R7275" s="293"/>
      <c r="S7275" s="316"/>
      <c r="T7275" s="355"/>
    </row>
    <row r="7276" spans="14:20" x14ac:dyDescent="0.25">
      <c r="N7276" s="514"/>
      <c r="R7276" s="293"/>
      <c r="S7276" s="316"/>
      <c r="T7276" s="355"/>
    </row>
    <row r="7277" spans="14:20" x14ac:dyDescent="0.25">
      <c r="N7277" s="514"/>
      <c r="R7277" s="293"/>
      <c r="S7277" s="316"/>
      <c r="T7277" s="355"/>
    </row>
    <row r="7278" spans="14:20" x14ac:dyDescent="0.25">
      <c r="N7278" s="514"/>
      <c r="R7278" s="293"/>
      <c r="S7278" s="316"/>
      <c r="T7278" s="355"/>
    </row>
    <row r="7279" spans="14:20" x14ac:dyDescent="0.25">
      <c r="N7279" s="514"/>
      <c r="R7279" s="293"/>
      <c r="S7279" s="316"/>
      <c r="T7279" s="355"/>
    </row>
    <row r="7280" spans="14:20" x14ac:dyDescent="0.25">
      <c r="N7280" s="514"/>
      <c r="R7280" s="293"/>
      <c r="S7280" s="316"/>
      <c r="T7280" s="355"/>
    </row>
    <row r="7281" spans="14:20" x14ac:dyDescent="0.25">
      <c r="N7281" s="514"/>
      <c r="R7281" s="293"/>
      <c r="S7281" s="316"/>
      <c r="T7281" s="355"/>
    </row>
    <row r="7282" spans="14:20" x14ac:dyDescent="0.25">
      <c r="N7282" s="514"/>
      <c r="R7282" s="293"/>
      <c r="S7282" s="316"/>
      <c r="T7282" s="355"/>
    </row>
    <row r="7283" spans="14:20" x14ac:dyDescent="0.25">
      <c r="N7283" s="514"/>
      <c r="R7283" s="293"/>
      <c r="S7283" s="316"/>
      <c r="T7283" s="355"/>
    </row>
    <row r="7284" spans="14:20" x14ac:dyDescent="0.25">
      <c r="N7284" s="514"/>
      <c r="R7284" s="293"/>
      <c r="S7284" s="316"/>
      <c r="T7284" s="355"/>
    </row>
    <row r="7285" spans="14:20" x14ac:dyDescent="0.25">
      <c r="N7285" s="514"/>
      <c r="R7285" s="293"/>
      <c r="S7285" s="316"/>
      <c r="T7285" s="355"/>
    </row>
    <row r="7286" spans="14:20" x14ac:dyDescent="0.25">
      <c r="N7286" s="514"/>
      <c r="R7286" s="293"/>
      <c r="S7286" s="316"/>
      <c r="T7286" s="355"/>
    </row>
    <row r="7287" spans="14:20" x14ac:dyDescent="0.25">
      <c r="N7287" s="514"/>
      <c r="R7287" s="293"/>
      <c r="S7287" s="316"/>
      <c r="T7287" s="355"/>
    </row>
    <row r="7288" spans="14:20" x14ac:dyDescent="0.25">
      <c r="N7288" s="514"/>
      <c r="R7288" s="293"/>
      <c r="S7288" s="316"/>
      <c r="T7288" s="355"/>
    </row>
    <row r="7289" spans="14:20" x14ac:dyDescent="0.25">
      <c r="N7289" s="514"/>
      <c r="R7289" s="293"/>
      <c r="S7289" s="316"/>
      <c r="T7289" s="355"/>
    </row>
    <row r="7290" spans="14:20" x14ac:dyDescent="0.25">
      <c r="N7290" s="514"/>
      <c r="R7290" s="293"/>
      <c r="S7290" s="316"/>
      <c r="T7290" s="355"/>
    </row>
    <row r="7291" spans="14:20" x14ac:dyDescent="0.25">
      <c r="N7291" s="514"/>
      <c r="R7291" s="293"/>
      <c r="S7291" s="316"/>
      <c r="T7291" s="355"/>
    </row>
    <row r="7292" spans="14:20" x14ac:dyDescent="0.25">
      <c r="N7292" s="514"/>
      <c r="R7292" s="293"/>
      <c r="S7292" s="316"/>
      <c r="T7292" s="355"/>
    </row>
    <row r="7293" spans="14:20" x14ac:dyDescent="0.25">
      <c r="N7293" s="514"/>
      <c r="R7293" s="293"/>
      <c r="S7293" s="316"/>
      <c r="T7293" s="355"/>
    </row>
    <row r="7294" spans="14:20" x14ac:dyDescent="0.25">
      <c r="N7294" s="514"/>
      <c r="R7294" s="293"/>
      <c r="S7294" s="316"/>
      <c r="T7294" s="355"/>
    </row>
    <row r="7295" spans="14:20" x14ac:dyDescent="0.25">
      <c r="N7295" s="514"/>
      <c r="R7295" s="293"/>
      <c r="S7295" s="316"/>
      <c r="T7295" s="355"/>
    </row>
    <row r="7296" spans="14:20" x14ac:dyDescent="0.25">
      <c r="N7296" s="514"/>
      <c r="R7296" s="293"/>
      <c r="S7296" s="316"/>
      <c r="T7296" s="355"/>
    </row>
    <row r="7297" spans="14:20" x14ac:dyDescent="0.25">
      <c r="N7297" s="514"/>
      <c r="R7297" s="293"/>
      <c r="S7297" s="316"/>
      <c r="T7297" s="355"/>
    </row>
    <row r="7298" spans="14:20" x14ac:dyDescent="0.25">
      <c r="N7298" s="514"/>
      <c r="R7298" s="293"/>
      <c r="S7298" s="316"/>
      <c r="T7298" s="355"/>
    </row>
    <row r="7299" spans="14:20" x14ac:dyDescent="0.25">
      <c r="N7299" s="514"/>
      <c r="R7299" s="293"/>
      <c r="S7299" s="316"/>
      <c r="T7299" s="355"/>
    </row>
    <row r="7300" spans="14:20" x14ac:dyDescent="0.25">
      <c r="N7300" s="514"/>
      <c r="R7300" s="293"/>
      <c r="S7300" s="316"/>
      <c r="T7300" s="355"/>
    </row>
    <row r="7301" spans="14:20" x14ac:dyDescent="0.25">
      <c r="N7301" s="514"/>
      <c r="R7301" s="293"/>
      <c r="S7301" s="316"/>
      <c r="T7301" s="355"/>
    </row>
    <row r="7302" spans="14:20" x14ac:dyDescent="0.25">
      <c r="N7302" s="514"/>
      <c r="R7302" s="293"/>
      <c r="S7302" s="316"/>
      <c r="T7302" s="355"/>
    </row>
    <row r="7303" spans="14:20" x14ac:dyDescent="0.25">
      <c r="N7303" s="514"/>
      <c r="R7303" s="293"/>
      <c r="S7303" s="316"/>
      <c r="T7303" s="355"/>
    </row>
    <row r="7304" spans="14:20" x14ac:dyDescent="0.25">
      <c r="N7304" s="514"/>
      <c r="R7304" s="293"/>
      <c r="S7304" s="316"/>
      <c r="T7304" s="355"/>
    </row>
    <row r="7305" spans="14:20" x14ac:dyDescent="0.25">
      <c r="N7305" s="514"/>
      <c r="R7305" s="293"/>
      <c r="S7305" s="316"/>
      <c r="T7305" s="355"/>
    </row>
    <row r="7306" spans="14:20" x14ac:dyDescent="0.25">
      <c r="N7306" s="514"/>
      <c r="R7306" s="293"/>
      <c r="S7306" s="316"/>
      <c r="T7306" s="355"/>
    </row>
    <row r="7307" spans="14:20" x14ac:dyDescent="0.25">
      <c r="N7307" s="514"/>
      <c r="R7307" s="293"/>
      <c r="S7307" s="316"/>
      <c r="T7307" s="355"/>
    </row>
    <row r="7308" spans="14:20" x14ac:dyDescent="0.25">
      <c r="N7308" s="514"/>
      <c r="R7308" s="293"/>
      <c r="S7308" s="316"/>
      <c r="T7308" s="355"/>
    </row>
    <row r="7309" spans="14:20" x14ac:dyDescent="0.25">
      <c r="N7309" s="514"/>
      <c r="R7309" s="293"/>
      <c r="S7309" s="316"/>
      <c r="T7309" s="355"/>
    </row>
    <row r="7310" spans="14:20" x14ac:dyDescent="0.25">
      <c r="N7310" s="514"/>
      <c r="R7310" s="293"/>
      <c r="S7310" s="316"/>
      <c r="T7310" s="355"/>
    </row>
    <row r="7311" spans="14:20" x14ac:dyDescent="0.25">
      <c r="N7311" s="514"/>
      <c r="R7311" s="293"/>
      <c r="S7311" s="316"/>
      <c r="T7311" s="355"/>
    </row>
    <row r="7312" spans="14:20" x14ac:dyDescent="0.25">
      <c r="N7312" s="514"/>
      <c r="R7312" s="293"/>
      <c r="S7312" s="316"/>
      <c r="T7312" s="355"/>
    </row>
    <row r="7313" spans="14:20" x14ac:dyDescent="0.25">
      <c r="N7313" s="514"/>
      <c r="R7313" s="293"/>
      <c r="S7313" s="316"/>
      <c r="T7313" s="355"/>
    </row>
    <row r="7314" spans="14:20" x14ac:dyDescent="0.25">
      <c r="N7314" s="514"/>
      <c r="R7314" s="293"/>
      <c r="S7314" s="316"/>
      <c r="T7314" s="355"/>
    </row>
    <row r="7315" spans="14:20" x14ac:dyDescent="0.25">
      <c r="N7315" s="514"/>
      <c r="R7315" s="293"/>
      <c r="S7315" s="316"/>
      <c r="T7315" s="355"/>
    </row>
    <row r="7316" spans="14:20" x14ac:dyDescent="0.25">
      <c r="N7316" s="514"/>
      <c r="R7316" s="293"/>
      <c r="S7316" s="316"/>
      <c r="T7316" s="355"/>
    </row>
    <row r="7317" spans="14:20" x14ac:dyDescent="0.25">
      <c r="N7317" s="514"/>
      <c r="R7317" s="293"/>
      <c r="S7317" s="316"/>
      <c r="T7317" s="355"/>
    </row>
    <row r="7318" spans="14:20" x14ac:dyDescent="0.25">
      <c r="N7318" s="514"/>
      <c r="R7318" s="293"/>
      <c r="S7318" s="316"/>
      <c r="T7318" s="355"/>
    </row>
    <row r="7319" spans="14:20" x14ac:dyDescent="0.25">
      <c r="N7319" s="514"/>
      <c r="R7319" s="293"/>
      <c r="S7319" s="316"/>
      <c r="T7319" s="355"/>
    </row>
    <row r="7320" spans="14:20" x14ac:dyDescent="0.25">
      <c r="N7320" s="514"/>
      <c r="R7320" s="293"/>
      <c r="S7320" s="316"/>
      <c r="T7320" s="355"/>
    </row>
    <row r="7321" spans="14:20" x14ac:dyDescent="0.25">
      <c r="N7321" s="514"/>
      <c r="R7321" s="293"/>
      <c r="S7321" s="316"/>
      <c r="T7321" s="355"/>
    </row>
    <row r="7322" spans="14:20" x14ac:dyDescent="0.25">
      <c r="N7322" s="514"/>
      <c r="R7322" s="293"/>
      <c r="S7322" s="316"/>
      <c r="T7322" s="355"/>
    </row>
    <row r="7323" spans="14:20" x14ac:dyDescent="0.25">
      <c r="N7323" s="514"/>
      <c r="R7323" s="293"/>
      <c r="S7323" s="316"/>
      <c r="T7323" s="355"/>
    </row>
    <row r="7324" spans="14:20" x14ac:dyDescent="0.25">
      <c r="N7324" s="514"/>
      <c r="R7324" s="293"/>
      <c r="S7324" s="316"/>
      <c r="T7324" s="355"/>
    </row>
    <row r="7325" spans="14:20" x14ac:dyDescent="0.25">
      <c r="N7325" s="514"/>
      <c r="R7325" s="293"/>
      <c r="S7325" s="316"/>
      <c r="T7325" s="355"/>
    </row>
    <row r="7326" spans="14:20" x14ac:dyDescent="0.25">
      <c r="N7326" s="514"/>
      <c r="R7326" s="293"/>
      <c r="S7326" s="316"/>
      <c r="T7326" s="355"/>
    </row>
    <row r="7327" spans="14:20" x14ac:dyDescent="0.25">
      <c r="N7327" s="514"/>
      <c r="R7327" s="293"/>
      <c r="S7327" s="316"/>
      <c r="T7327" s="355"/>
    </row>
    <row r="7328" spans="14:20" x14ac:dyDescent="0.25">
      <c r="N7328" s="514"/>
      <c r="R7328" s="293"/>
      <c r="S7328" s="316"/>
      <c r="T7328" s="355"/>
    </row>
    <row r="7329" spans="14:20" x14ac:dyDescent="0.25">
      <c r="N7329" s="514"/>
      <c r="R7329" s="293"/>
      <c r="S7329" s="316"/>
      <c r="T7329" s="355"/>
    </row>
    <row r="7330" spans="14:20" x14ac:dyDescent="0.25">
      <c r="N7330" s="514"/>
      <c r="R7330" s="293"/>
      <c r="S7330" s="316"/>
      <c r="T7330" s="355"/>
    </row>
    <row r="7331" spans="14:20" x14ac:dyDescent="0.25">
      <c r="N7331" s="514"/>
      <c r="R7331" s="293"/>
      <c r="S7331" s="316"/>
      <c r="T7331" s="355"/>
    </row>
    <row r="7332" spans="14:20" x14ac:dyDescent="0.25">
      <c r="N7332" s="514"/>
      <c r="R7332" s="293"/>
      <c r="S7332" s="316"/>
      <c r="T7332" s="355"/>
    </row>
    <row r="7333" spans="14:20" x14ac:dyDescent="0.25">
      <c r="N7333" s="514"/>
      <c r="R7333" s="293"/>
      <c r="S7333" s="316"/>
      <c r="T7333" s="355"/>
    </row>
    <row r="7334" spans="14:20" x14ac:dyDescent="0.25">
      <c r="N7334" s="514"/>
      <c r="R7334" s="293"/>
      <c r="S7334" s="316"/>
      <c r="T7334" s="355"/>
    </row>
    <row r="7335" spans="14:20" x14ac:dyDescent="0.25">
      <c r="N7335" s="514"/>
      <c r="R7335" s="293"/>
      <c r="S7335" s="316"/>
      <c r="T7335" s="355"/>
    </row>
    <row r="7336" spans="14:20" x14ac:dyDescent="0.25">
      <c r="N7336" s="514"/>
      <c r="R7336" s="293"/>
      <c r="S7336" s="316"/>
      <c r="T7336" s="355"/>
    </row>
    <row r="7337" spans="14:20" x14ac:dyDescent="0.25">
      <c r="N7337" s="514"/>
      <c r="R7337" s="293"/>
      <c r="S7337" s="316"/>
      <c r="T7337" s="355"/>
    </row>
    <row r="7338" spans="14:20" x14ac:dyDescent="0.25">
      <c r="N7338" s="514"/>
      <c r="R7338" s="293"/>
      <c r="S7338" s="316"/>
      <c r="T7338" s="355"/>
    </row>
    <row r="7339" spans="14:20" x14ac:dyDescent="0.25">
      <c r="N7339" s="514"/>
      <c r="R7339" s="293"/>
      <c r="S7339" s="316"/>
      <c r="T7339" s="355"/>
    </row>
    <row r="7340" spans="14:20" x14ac:dyDescent="0.25">
      <c r="N7340" s="514"/>
      <c r="R7340" s="293"/>
      <c r="S7340" s="316"/>
      <c r="T7340" s="355"/>
    </row>
    <row r="7341" spans="14:20" x14ac:dyDescent="0.25">
      <c r="N7341" s="514"/>
      <c r="R7341" s="293"/>
      <c r="S7341" s="316"/>
      <c r="T7341" s="355"/>
    </row>
    <row r="7342" spans="14:20" x14ac:dyDescent="0.25">
      <c r="N7342" s="514"/>
      <c r="R7342" s="293"/>
      <c r="S7342" s="316"/>
      <c r="T7342" s="355"/>
    </row>
    <row r="7343" spans="14:20" x14ac:dyDescent="0.25">
      <c r="N7343" s="514"/>
      <c r="R7343" s="293"/>
      <c r="S7343" s="316"/>
      <c r="T7343" s="355"/>
    </row>
    <row r="7344" spans="14:20" x14ac:dyDescent="0.25">
      <c r="N7344" s="514"/>
      <c r="R7344" s="293"/>
      <c r="S7344" s="316"/>
      <c r="T7344" s="355"/>
    </row>
    <row r="7345" spans="14:20" x14ac:dyDescent="0.25">
      <c r="N7345" s="514"/>
      <c r="R7345" s="293"/>
      <c r="S7345" s="316"/>
      <c r="T7345" s="355"/>
    </row>
    <row r="7346" spans="14:20" x14ac:dyDescent="0.25">
      <c r="N7346" s="514"/>
      <c r="R7346" s="293"/>
      <c r="S7346" s="316"/>
      <c r="T7346" s="355"/>
    </row>
    <row r="7347" spans="14:20" x14ac:dyDescent="0.25">
      <c r="N7347" s="514"/>
      <c r="R7347" s="293"/>
      <c r="S7347" s="316"/>
      <c r="T7347" s="355"/>
    </row>
    <row r="7348" spans="14:20" x14ac:dyDescent="0.25">
      <c r="N7348" s="514"/>
      <c r="R7348" s="293"/>
      <c r="S7348" s="316"/>
      <c r="T7348" s="355"/>
    </row>
    <row r="7349" spans="14:20" x14ac:dyDescent="0.25">
      <c r="N7349" s="514"/>
      <c r="R7349" s="293"/>
      <c r="S7349" s="316"/>
      <c r="T7349" s="355"/>
    </row>
    <row r="7350" spans="14:20" x14ac:dyDescent="0.25">
      <c r="N7350" s="514"/>
      <c r="R7350" s="293"/>
      <c r="S7350" s="316"/>
      <c r="T7350" s="355"/>
    </row>
    <row r="7351" spans="14:20" x14ac:dyDescent="0.25">
      <c r="N7351" s="514"/>
      <c r="R7351" s="293"/>
      <c r="S7351" s="316"/>
      <c r="T7351" s="355"/>
    </row>
    <row r="7352" spans="14:20" x14ac:dyDescent="0.25">
      <c r="N7352" s="514"/>
      <c r="R7352" s="293"/>
      <c r="S7352" s="316"/>
      <c r="T7352" s="355"/>
    </row>
    <row r="7353" spans="14:20" x14ac:dyDescent="0.25">
      <c r="N7353" s="514"/>
      <c r="R7353" s="293"/>
      <c r="S7353" s="316"/>
      <c r="T7353" s="355"/>
    </row>
    <row r="7354" spans="14:20" x14ac:dyDescent="0.25">
      <c r="N7354" s="514"/>
      <c r="R7354" s="293"/>
      <c r="S7354" s="316"/>
      <c r="T7354" s="355"/>
    </row>
    <row r="7355" spans="14:20" x14ac:dyDescent="0.25">
      <c r="N7355" s="514"/>
      <c r="R7355" s="293"/>
      <c r="S7355" s="316"/>
      <c r="T7355" s="355"/>
    </row>
    <row r="7356" spans="14:20" x14ac:dyDescent="0.25">
      <c r="N7356" s="514"/>
      <c r="R7356" s="293"/>
      <c r="S7356" s="316"/>
      <c r="T7356" s="355"/>
    </row>
    <row r="7357" spans="14:20" x14ac:dyDescent="0.25">
      <c r="N7357" s="514"/>
      <c r="R7357" s="293"/>
      <c r="S7357" s="316"/>
      <c r="T7357" s="355"/>
    </row>
    <row r="7358" spans="14:20" x14ac:dyDescent="0.25">
      <c r="N7358" s="514"/>
      <c r="R7358" s="293"/>
      <c r="S7358" s="316"/>
      <c r="T7358" s="355"/>
    </row>
    <row r="7359" spans="14:20" x14ac:dyDescent="0.25">
      <c r="N7359" s="514"/>
      <c r="R7359" s="293"/>
      <c r="S7359" s="316"/>
      <c r="T7359" s="355"/>
    </row>
    <row r="7360" spans="14:20" x14ac:dyDescent="0.25">
      <c r="N7360" s="514"/>
      <c r="R7360" s="293"/>
      <c r="S7360" s="316"/>
      <c r="T7360" s="355"/>
    </row>
    <row r="7361" spans="14:20" x14ac:dyDescent="0.25">
      <c r="N7361" s="514"/>
      <c r="R7361" s="293"/>
      <c r="S7361" s="316"/>
      <c r="T7361" s="355"/>
    </row>
    <row r="7362" spans="14:20" x14ac:dyDescent="0.25">
      <c r="N7362" s="514"/>
      <c r="R7362" s="293"/>
      <c r="S7362" s="316"/>
      <c r="T7362" s="355"/>
    </row>
    <row r="7363" spans="14:20" x14ac:dyDescent="0.25">
      <c r="N7363" s="514"/>
      <c r="R7363" s="293"/>
      <c r="S7363" s="316"/>
      <c r="T7363" s="355"/>
    </row>
    <row r="7364" spans="14:20" x14ac:dyDescent="0.25">
      <c r="N7364" s="514"/>
      <c r="R7364" s="293"/>
      <c r="S7364" s="316"/>
      <c r="T7364" s="355"/>
    </row>
    <row r="7365" spans="14:20" x14ac:dyDescent="0.25">
      <c r="N7365" s="514"/>
      <c r="R7365" s="293"/>
      <c r="S7365" s="316"/>
      <c r="T7365" s="355"/>
    </row>
    <row r="7366" spans="14:20" x14ac:dyDescent="0.25">
      <c r="N7366" s="514"/>
      <c r="R7366" s="293"/>
      <c r="S7366" s="316"/>
      <c r="T7366" s="355"/>
    </row>
    <row r="7367" spans="14:20" x14ac:dyDescent="0.25">
      <c r="N7367" s="514"/>
      <c r="R7367" s="293"/>
      <c r="S7367" s="316"/>
      <c r="T7367" s="355"/>
    </row>
    <row r="7368" spans="14:20" x14ac:dyDescent="0.25">
      <c r="N7368" s="514"/>
      <c r="R7368" s="293"/>
      <c r="S7368" s="316"/>
      <c r="T7368" s="355"/>
    </row>
    <row r="7369" spans="14:20" x14ac:dyDescent="0.25">
      <c r="N7369" s="514"/>
      <c r="R7369" s="293"/>
      <c r="S7369" s="316"/>
      <c r="T7369" s="355"/>
    </row>
    <row r="7370" spans="14:20" x14ac:dyDescent="0.25">
      <c r="N7370" s="514"/>
      <c r="R7370" s="293"/>
      <c r="S7370" s="316"/>
      <c r="T7370" s="355"/>
    </row>
    <row r="7371" spans="14:20" x14ac:dyDescent="0.25">
      <c r="N7371" s="514"/>
      <c r="R7371" s="293"/>
      <c r="S7371" s="316"/>
      <c r="T7371" s="355"/>
    </row>
    <row r="7372" spans="14:20" x14ac:dyDescent="0.25">
      <c r="N7372" s="514"/>
      <c r="R7372" s="293"/>
      <c r="S7372" s="316"/>
      <c r="T7372" s="355"/>
    </row>
    <row r="7373" spans="14:20" x14ac:dyDescent="0.25">
      <c r="N7373" s="514"/>
      <c r="R7373" s="293"/>
      <c r="S7373" s="316"/>
      <c r="T7373" s="355"/>
    </row>
    <row r="7374" spans="14:20" x14ac:dyDescent="0.25">
      <c r="N7374" s="514"/>
      <c r="R7374" s="293"/>
      <c r="S7374" s="316"/>
      <c r="T7374" s="355"/>
    </row>
    <row r="7375" spans="14:20" x14ac:dyDescent="0.25">
      <c r="N7375" s="514"/>
      <c r="R7375" s="293"/>
      <c r="S7375" s="316"/>
      <c r="T7375" s="355"/>
    </row>
    <row r="7376" spans="14:20" x14ac:dyDescent="0.25">
      <c r="N7376" s="514"/>
      <c r="R7376" s="293"/>
      <c r="S7376" s="316"/>
      <c r="T7376" s="355"/>
    </row>
    <row r="7377" spans="14:20" x14ac:dyDescent="0.25">
      <c r="N7377" s="514"/>
      <c r="R7377" s="293"/>
      <c r="S7377" s="316"/>
      <c r="T7377" s="355"/>
    </row>
    <row r="7378" spans="14:20" x14ac:dyDescent="0.25">
      <c r="N7378" s="514"/>
      <c r="R7378" s="293"/>
      <c r="S7378" s="316"/>
      <c r="T7378" s="355"/>
    </row>
    <row r="7379" spans="14:20" x14ac:dyDescent="0.25">
      <c r="N7379" s="514"/>
      <c r="R7379" s="293"/>
      <c r="S7379" s="316"/>
      <c r="T7379" s="355"/>
    </row>
    <row r="7380" spans="14:20" x14ac:dyDescent="0.25">
      <c r="N7380" s="514"/>
      <c r="R7380" s="293"/>
      <c r="S7380" s="316"/>
      <c r="T7380" s="355"/>
    </row>
    <row r="7381" spans="14:20" x14ac:dyDescent="0.25">
      <c r="N7381" s="514"/>
      <c r="R7381" s="293"/>
      <c r="S7381" s="316"/>
      <c r="T7381" s="355"/>
    </row>
    <row r="7382" spans="14:20" x14ac:dyDescent="0.25">
      <c r="N7382" s="514"/>
      <c r="R7382" s="293"/>
      <c r="S7382" s="316"/>
      <c r="T7382" s="355"/>
    </row>
    <row r="7383" spans="14:20" x14ac:dyDescent="0.25">
      <c r="N7383" s="514"/>
      <c r="R7383" s="293"/>
      <c r="S7383" s="316"/>
      <c r="T7383" s="355"/>
    </row>
    <row r="7384" spans="14:20" x14ac:dyDescent="0.25">
      <c r="N7384" s="514"/>
      <c r="R7384" s="293"/>
      <c r="S7384" s="316"/>
      <c r="T7384" s="355"/>
    </row>
    <row r="7385" spans="14:20" x14ac:dyDescent="0.25">
      <c r="N7385" s="514"/>
      <c r="R7385" s="293"/>
      <c r="S7385" s="316"/>
      <c r="T7385" s="355"/>
    </row>
    <row r="7386" spans="14:20" x14ac:dyDescent="0.25">
      <c r="N7386" s="514"/>
      <c r="R7386" s="293"/>
      <c r="S7386" s="316"/>
      <c r="T7386" s="355"/>
    </row>
    <row r="7387" spans="14:20" x14ac:dyDescent="0.25">
      <c r="N7387" s="514"/>
      <c r="R7387" s="293"/>
      <c r="S7387" s="316"/>
      <c r="T7387" s="355"/>
    </row>
    <row r="7388" spans="14:20" x14ac:dyDescent="0.25">
      <c r="N7388" s="514"/>
      <c r="R7388" s="293"/>
      <c r="S7388" s="316"/>
      <c r="T7388" s="355"/>
    </row>
    <row r="7389" spans="14:20" x14ac:dyDescent="0.25">
      <c r="N7389" s="514"/>
      <c r="R7389" s="293"/>
      <c r="S7389" s="316"/>
      <c r="T7389" s="355"/>
    </row>
    <row r="7390" spans="14:20" x14ac:dyDescent="0.25">
      <c r="N7390" s="514"/>
      <c r="R7390" s="293"/>
      <c r="S7390" s="316"/>
      <c r="T7390" s="355"/>
    </row>
    <row r="7391" spans="14:20" x14ac:dyDescent="0.25">
      <c r="N7391" s="514"/>
      <c r="R7391" s="293"/>
      <c r="S7391" s="316"/>
      <c r="T7391" s="355"/>
    </row>
    <row r="7392" spans="14:20" x14ac:dyDescent="0.25">
      <c r="N7392" s="514"/>
      <c r="R7392" s="293"/>
      <c r="S7392" s="316"/>
      <c r="T7392" s="355"/>
    </row>
    <row r="7393" spans="14:20" x14ac:dyDescent="0.25">
      <c r="N7393" s="514"/>
      <c r="R7393" s="293"/>
      <c r="S7393" s="316"/>
      <c r="T7393" s="355"/>
    </row>
    <row r="7394" spans="14:20" x14ac:dyDescent="0.25">
      <c r="N7394" s="514"/>
      <c r="R7394" s="293"/>
      <c r="S7394" s="316"/>
      <c r="T7394" s="355"/>
    </row>
    <row r="7395" spans="14:20" x14ac:dyDescent="0.25">
      <c r="N7395" s="514"/>
      <c r="R7395" s="293"/>
      <c r="S7395" s="316"/>
      <c r="T7395" s="355"/>
    </row>
    <row r="7396" spans="14:20" x14ac:dyDescent="0.25">
      <c r="N7396" s="514"/>
      <c r="R7396" s="293"/>
      <c r="S7396" s="316"/>
      <c r="T7396" s="355"/>
    </row>
    <row r="7397" spans="14:20" x14ac:dyDescent="0.25">
      <c r="N7397" s="514"/>
      <c r="R7397" s="293"/>
      <c r="S7397" s="316"/>
      <c r="T7397" s="355"/>
    </row>
    <row r="7398" spans="14:20" x14ac:dyDescent="0.25">
      <c r="N7398" s="514"/>
      <c r="R7398" s="293"/>
      <c r="S7398" s="316"/>
      <c r="T7398" s="355"/>
    </row>
    <row r="7399" spans="14:20" x14ac:dyDescent="0.25">
      <c r="N7399" s="514"/>
      <c r="R7399" s="293"/>
      <c r="S7399" s="316"/>
      <c r="T7399" s="355"/>
    </row>
    <row r="7400" spans="14:20" x14ac:dyDescent="0.25">
      <c r="N7400" s="514"/>
      <c r="R7400" s="293"/>
      <c r="S7400" s="316"/>
      <c r="T7400" s="355"/>
    </row>
    <row r="7401" spans="14:20" x14ac:dyDescent="0.25">
      <c r="N7401" s="514"/>
      <c r="R7401" s="293"/>
      <c r="S7401" s="316"/>
      <c r="T7401" s="355"/>
    </row>
    <row r="7402" spans="14:20" x14ac:dyDescent="0.25">
      <c r="N7402" s="514"/>
      <c r="R7402" s="293"/>
      <c r="S7402" s="316"/>
      <c r="T7402" s="355"/>
    </row>
    <row r="7403" spans="14:20" x14ac:dyDescent="0.25">
      <c r="N7403" s="514"/>
      <c r="R7403" s="293"/>
      <c r="S7403" s="316"/>
      <c r="T7403" s="355"/>
    </row>
    <row r="7404" spans="14:20" x14ac:dyDescent="0.25">
      <c r="N7404" s="514"/>
      <c r="R7404" s="293"/>
      <c r="S7404" s="316"/>
      <c r="T7404" s="355"/>
    </row>
    <row r="7405" spans="14:20" x14ac:dyDescent="0.25">
      <c r="N7405" s="514"/>
      <c r="R7405" s="293"/>
      <c r="S7405" s="316"/>
      <c r="T7405" s="355"/>
    </row>
    <row r="7406" spans="14:20" x14ac:dyDescent="0.25">
      <c r="N7406" s="514"/>
      <c r="R7406" s="293"/>
      <c r="S7406" s="316"/>
      <c r="T7406" s="355"/>
    </row>
    <row r="7407" spans="14:20" x14ac:dyDescent="0.25">
      <c r="N7407" s="514"/>
      <c r="R7407" s="293"/>
      <c r="S7407" s="316"/>
      <c r="T7407" s="355"/>
    </row>
    <row r="7408" spans="14:20" x14ac:dyDescent="0.25">
      <c r="N7408" s="514"/>
      <c r="R7408" s="293"/>
      <c r="S7408" s="316"/>
      <c r="T7408" s="355"/>
    </row>
    <row r="7409" spans="14:20" x14ac:dyDescent="0.25">
      <c r="N7409" s="514"/>
      <c r="R7409" s="293"/>
      <c r="S7409" s="316"/>
      <c r="T7409" s="355"/>
    </row>
    <row r="7410" spans="14:20" x14ac:dyDescent="0.25">
      <c r="N7410" s="514"/>
      <c r="R7410" s="293"/>
      <c r="S7410" s="316"/>
      <c r="T7410" s="355"/>
    </row>
    <row r="7411" spans="14:20" x14ac:dyDescent="0.25">
      <c r="N7411" s="514"/>
      <c r="R7411" s="293"/>
      <c r="S7411" s="316"/>
      <c r="T7411" s="355"/>
    </row>
    <row r="7412" spans="14:20" x14ac:dyDescent="0.25">
      <c r="N7412" s="514"/>
      <c r="R7412" s="293"/>
      <c r="S7412" s="316"/>
      <c r="T7412" s="355"/>
    </row>
    <row r="7413" spans="14:20" x14ac:dyDescent="0.25">
      <c r="N7413" s="514"/>
      <c r="R7413" s="293"/>
      <c r="S7413" s="316"/>
      <c r="T7413" s="355"/>
    </row>
    <row r="7414" spans="14:20" x14ac:dyDescent="0.25">
      <c r="N7414" s="514"/>
      <c r="R7414" s="293"/>
      <c r="S7414" s="316"/>
      <c r="T7414" s="355"/>
    </row>
    <row r="7415" spans="14:20" x14ac:dyDescent="0.25">
      <c r="N7415" s="514"/>
      <c r="R7415" s="293"/>
      <c r="S7415" s="316"/>
      <c r="T7415" s="355"/>
    </row>
    <row r="7416" spans="14:20" x14ac:dyDescent="0.25">
      <c r="N7416" s="514"/>
      <c r="R7416" s="293"/>
      <c r="S7416" s="316"/>
      <c r="T7416" s="355"/>
    </row>
    <row r="7417" spans="14:20" x14ac:dyDescent="0.25">
      <c r="N7417" s="514"/>
      <c r="R7417" s="293"/>
      <c r="S7417" s="316"/>
      <c r="T7417" s="355"/>
    </row>
    <row r="7418" spans="14:20" x14ac:dyDescent="0.25">
      <c r="N7418" s="514"/>
      <c r="R7418" s="293"/>
      <c r="S7418" s="316"/>
      <c r="T7418" s="355"/>
    </row>
    <row r="7419" spans="14:20" x14ac:dyDescent="0.25">
      <c r="N7419" s="514"/>
      <c r="R7419" s="293"/>
      <c r="S7419" s="316"/>
      <c r="T7419" s="355"/>
    </row>
    <row r="7420" spans="14:20" x14ac:dyDescent="0.25">
      <c r="N7420" s="514"/>
      <c r="R7420" s="293"/>
      <c r="S7420" s="316"/>
      <c r="T7420" s="355"/>
    </row>
    <row r="7421" spans="14:20" x14ac:dyDescent="0.25">
      <c r="N7421" s="514"/>
      <c r="R7421" s="293"/>
      <c r="S7421" s="316"/>
      <c r="T7421" s="355"/>
    </row>
    <row r="7422" spans="14:20" x14ac:dyDescent="0.25">
      <c r="N7422" s="514"/>
      <c r="R7422" s="293"/>
      <c r="S7422" s="316"/>
      <c r="T7422" s="355"/>
    </row>
    <row r="7423" spans="14:20" x14ac:dyDescent="0.25">
      <c r="N7423" s="514"/>
      <c r="R7423" s="293"/>
      <c r="S7423" s="316"/>
      <c r="T7423" s="355"/>
    </row>
    <row r="7424" spans="14:20" x14ac:dyDescent="0.25">
      <c r="N7424" s="514"/>
      <c r="R7424" s="293"/>
      <c r="S7424" s="316"/>
      <c r="T7424" s="355"/>
    </row>
    <row r="7425" spans="14:20" x14ac:dyDescent="0.25">
      <c r="N7425" s="514"/>
      <c r="R7425" s="293"/>
      <c r="S7425" s="316"/>
      <c r="T7425" s="355"/>
    </row>
    <row r="7426" spans="14:20" x14ac:dyDescent="0.25">
      <c r="N7426" s="514"/>
      <c r="R7426" s="293"/>
      <c r="S7426" s="316"/>
      <c r="T7426" s="355"/>
    </row>
    <row r="7427" spans="14:20" x14ac:dyDescent="0.25">
      <c r="N7427" s="514"/>
      <c r="R7427" s="293"/>
      <c r="S7427" s="316"/>
      <c r="T7427" s="355"/>
    </row>
    <row r="7428" spans="14:20" x14ac:dyDescent="0.25">
      <c r="N7428" s="514"/>
      <c r="R7428" s="293"/>
      <c r="S7428" s="316"/>
      <c r="T7428" s="355"/>
    </row>
    <row r="7429" spans="14:20" x14ac:dyDescent="0.25">
      <c r="N7429" s="514"/>
      <c r="R7429" s="293"/>
      <c r="S7429" s="316"/>
      <c r="T7429" s="355"/>
    </row>
    <row r="7430" spans="14:20" x14ac:dyDescent="0.25">
      <c r="N7430" s="514"/>
      <c r="R7430" s="293"/>
      <c r="S7430" s="316"/>
      <c r="T7430" s="355"/>
    </row>
    <row r="7431" spans="14:20" x14ac:dyDescent="0.25">
      <c r="N7431" s="514"/>
      <c r="R7431" s="293"/>
      <c r="S7431" s="316"/>
      <c r="T7431" s="355"/>
    </row>
    <row r="7432" spans="14:20" x14ac:dyDescent="0.25">
      <c r="N7432" s="514"/>
      <c r="R7432" s="293"/>
      <c r="S7432" s="316"/>
      <c r="T7432" s="355"/>
    </row>
    <row r="7433" spans="14:20" x14ac:dyDescent="0.25">
      <c r="N7433" s="514"/>
      <c r="R7433" s="293"/>
      <c r="S7433" s="316"/>
      <c r="T7433" s="355"/>
    </row>
    <row r="7434" spans="14:20" x14ac:dyDescent="0.25">
      <c r="N7434" s="514"/>
      <c r="R7434" s="293"/>
      <c r="S7434" s="316"/>
      <c r="T7434" s="355"/>
    </row>
    <row r="7435" spans="14:20" x14ac:dyDescent="0.25">
      <c r="N7435" s="514"/>
      <c r="R7435" s="293"/>
      <c r="S7435" s="316"/>
      <c r="T7435" s="355"/>
    </row>
    <row r="7436" spans="14:20" x14ac:dyDescent="0.25">
      <c r="N7436" s="514"/>
      <c r="R7436" s="293"/>
      <c r="S7436" s="316"/>
      <c r="T7436" s="355"/>
    </row>
    <row r="7437" spans="14:20" x14ac:dyDescent="0.25">
      <c r="N7437" s="514"/>
      <c r="R7437" s="293"/>
      <c r="S7437" s="316"/>
      <c r="T7437" s="355"/>
    </row>
    <row r="7438" spans="14:20" x14ac:dyDescent="0.25">
      <c r="N7438" s="514"/>
      <c r="R7438" s="293"/>
      <c r="S7438" s="316"/>
      <c r="T7438" s="355"/>
    </row>
    <row r="7439" spans="14:20" x14ac:dyDescent="0.25">
      <c r="N7439" s="514"/>
      <c r="R7439" s="293"/>
      <c r="S7439" s="316"/>
      <c r="T7439" s="355"/>
    </row>
    <row r="7440" spans="14:20" x14ac:dyDescent="0.25">
      <c r="N7440" s="514"/>
      <c r="R7440" s="293"/>
      <c r="S7440" s="316"/>
      <c r="T7440" s="355"/>
    </row>
    <row r="7441" spans="14:20" x14ac:dyDescent="0.25">
      <c r="N7441" s="514"/>
      <c r="R7441" s="293"/>
      <c r="S7441" s="316"/>
      <c r="T7441" s="355"/>
    </row>
    <row r="7442" spans="14:20" x14ac:dyDescent="0.25">
      <c r="N7442" s="514"/>
      <c r="R7442" s="293"/>
      <c r="S7442" s="316"/>
      <c r="T7442" s="355"/>
    </row>
    <row r="7443" spans="14:20" x14ac:dyDescent="0.25">
      <c r="N7443" s="514"/>
      <c r="R7443" s="293"/>
      <c r="S7443" s="316"/>
      <c r="T7443" s="355"/>
    </row>
    <row r="7444" spans="14:20" x14ac:dyDescent="0.25">
      <c r="N7444" s="514"/>
      <c r="R7444" s="293"/>
      <c r="S7444" s="316"/>
      <c r="T7444" s="355"/>
    </row>
    <row r="7445" spans="14:20" x14ac:dyDescent="0.25">
      <c r="N7445" s="514"/>
      <c r="R7445" s="293"/>
      <c r="S7445" s="316"/>
      <c r="T7445" s="355"/>
    </row>
    <row r="7446" spans="14:20" x14ac:dyDescent="0.25">
      <c r="N7446" s="514"/>
      <c r="R7446" s="293"/>
      <c r="S7446" s="316"/>
      <c r="T7446" s="355"/>
    </row>
    <row r="7447" spans="14:20" x14ac:dyDescent="0.25">
      <c r="N7447" s="514"/>
      <c r="R7447" s="293"/>
      <c r="S7447" s="316"/>
      <c r="T7447" s="355"/>
    </row>
    <row r="7448" spans="14:20" x14ac:dyDescent="0.25">
      <c r="N7448" s="514"/>
      <c r="R7448" s="293"/>
      <c r="S7448" s="316"/>
      <c r="T7448" s="355"/>
    </row>
    <row r="7449" spans="14:20" x14ac:dyDescent="0.25">
      <c r="N7449" s="514"/>
      <c r="R7449" s="293"/>
      <c r="S7449" s="316"/>
      <c r="T7449" s="355"/>
    </row>
    <row r="7450" spans="14:20" x14ac:dyDescent="0.25">
      <c r="N7450" s="514"/>
      <c r="R7450" s="293"/>
      <c r="S7450" s="316"/>
      <c r="T7450" s="355"/>
    </row>
    <row r="7451" spans="14:20" x14ac:dyDescent="0.25">
      <c r="N7451" s="514"/>
      <c r="R7451" s="293"/>
      <c r="S7451" s="316"/>
      <c r="T7451" s="355"/>
    </row>
    <row r="7452" spans="14:20" x14ac:dyDescent="0.25">
      <c r="N7452" s="514"/>
      <c r="R7452" s="293"/>
      <c r="S7452" s="316"/>
      <c r="T7452" s="355"/>
    </row>
    <row r="7453" spans="14:20" x14ac:dyDescent="0.25">
      <c r="N7453" s="514"/>
      <c r="R7453" s="293"/>
      <c r="S7453" s="316"/>
      <c r="T7453" s="355"/>
    </row>
    <row r="7454" spans="14:20" x14ac:dyDescent="0.25">
      <c r="N7454" s="514"/>
      <c r="R7454" s="293"/>
      <c r="S7454" s="316"/>
      <c r="T7454" s="355"/>
    </row>
    <row r="7455" spans="14:20" x14ac:dyDescent="0.25">
      <c r="N7455" s="514"/>
      <c r="R7455" s="293"/>
      <c r="S7455" s="316"/>
      <c r="T7455" s="355"/>
    </row>
    <row r="7456" spans="14:20" x14ac:dyDescent="0.25">
      <c r="N7456" s="514"/>
      <c r="R7456" s="293"/>
      <c r="S7456" s="316"/>
      <c r="T7456" s="355"/>
    </row>
    <row r="7457" spans="14:20" x14ac:dyDescent="0.25">
      <c r="N7457" s="514"/>
      <c r="R7457" s="293"/>
      <c r="S7457" s="316"/>
      <c r="T7457" s="355"/>
    </row>
    <row r="7458" spans="14:20" x14ac:dyDescent="0.25">
      <c r="N7458" s="514"/>
      <c r="R7458" s="293"/>
      <c r="S7458" s="316"/>
      <c r="T7458" s="355"/>
    </row>
    <row r="7459" spans="14:20" x14ac:dyDescent="0.25">
      <c r="N7459" s="514"/>
      <c r="R7459" s="293"/>
      <c r="S7459" s="316"/>
      <c r="T7459" s="355"/>
    </row>
    <row r="7460" spans="14:20" x14ac:dyDescent="0.25">
      <c r="N7460" s="514"/>
      <c r="R7460" s="293"/>
      <c r="S7460" s="316"/>
      <c r="T7460" s="355"/>
    </row>
    <row r="7461" spans="14:20" x14ac:dyDescent="0.25">
      <c r="N7461" s="514"/>
      <c r="R7461" s="293"/>
      <c r="S7461" s="316"/>
      <c r="T7461" s="355"/>
    </row>
    <row r="7462" spans="14:20" x14ac:dyDescent="0.25">
      <c r="N7462" s="514"/>
      <c r="R7462" s="293"/>
      <c r="S7462" s="316"/>
      <c r="T7462" s="355"/>
    </row>
    <row r="7463" spans="14:20" x14ac:dyDescent="0.25">
      <c r="N7463" s="514"/>
      <c r="R7463" s="293"/>
      <c r="S7463" s="316"/>
      <c r="T7463" s="355"/>
    </row>
    <row r="7464" spans="14:20" x14ac:dyDescent="0.25">
      <c r="N7464" s="514"/>
      <c r="R7464" s="293"/>
      <c r="S7464" s="316"/>
      <c r="T7464" s="355"/>
    </row>
    <row r="7465" spans="14:20" x14ac:dyDescent="0.25">
      <c r="N7465" s="514"/>
      <c r="R7465" s="293"/>
      <c r="S7465" s="316"/>
      <c r="T7465" s="355"/>
    </row>
    <row r="7466" spans="14:20" x14ac:dyDescent="0.25">
      <c r="N7466" s="514"/>
      <c r="R7466" s="293"/>
      <c r="S7466" s="316"/>
      <c r="T7466" s="355"/>
    </row>
    <row r="7467" spans="14:20" x14ac:dyDescent="0.25">
      <c r="N7467" s="514"/>
      <c r="R7467" s="293"/>
      <c r="S7467" s="316"/>
      <c r="T7467" s="355"/>
    </row>
    <row r="7468" spans="14:20" x14ac:dyDescent="0.25">
      <c r="N7468" s="514"/>
      <c r="R7468" s="293"/>
      <c r="S7468" s="316"/>
      <c r="T7468" s="355"/>
    </row>
    <row r="7469" spans="14:20" x14ac:dyDescent="0.25">
      <c r="N7469" s="514"/>
      <c r="R7469" s="293"/>
      <c r="S7469" s="316"/>
      <c r="T7469" s="355"/>
    </row>
    <row r="7470" spans="14:20" x14ac:dyDescent="0.25">
      <c r="N7470" s="514"/>
      <c r="R7470" s="293"/>
      <c r="S7470" s="316"/>
      <c r="T7470" s="355"/>
    </row>
    <row r="7471" spans="14:20" x14ac:dyDescent="0.25">
      <c r="N7471" s="514"/>
      <c r="R7471" s="293"/>
      <c r="S7471" s="316"/>
      <c r="T7471" s="355"/>
    </row>
    <row r="7472" spans="14:20" x14ac:dyDescent="0.25">
      <c r="N7472" s="514"/>
      <c r="R7472" s="293"/>
      <c r="S7472" s="316"/>
      <c r="T7472" s="355"/>
    </row>
    <row r="7473" spans="14:20" x14ac:dyDescent="0.25">
      <c r="N7473" s="514"/>
      <c r="R7473" s="293"/>
      <c r="S7473" s="316"/>
      <c r="T7473" s="355"/>
    </row>
    <row r="7474" spans="14:20" x14ac:dyDescent="0.25">
      <c r="N7474" s="514"/>
      <c r="R7474" s="293"/>
      <c r="S7474" s="316"/>
      <c r="T7474" s="355"/>
    </row>
    <row r="7475" spans="14:20" x14ac:dyDescent="0.25">
      <c r="N7475" s="514"/>
      <c r="R7475" s="293"/>
      <c r="S7475" s="316"/>
      <c r="T7475" s="355"/>
    </row>
    <row r="7476" spans="14:20" x14ac:dyDescent="0.25">
      <c r="N7476" s="514"/>
      <c r="R7476" s="293"/>
      <c r="S7476" s="316"/>
      <c r="T7476" s="355"/>
    </row>
    <row r="7477" spans="14:20" x14ac:dyDescent="0.25">
      <c r="N7477" s="514"/>
      <c r="R7477" s="293"/>
      <c r="S7477" s="316"/>
      <c r="T7477" s="355"/>
    </row>
    <row r="7478" spans="14:20" x14ac:dyDescent="0.25">
      <c r="N7478" s="514"/>
      <c r="R7478" s="293"/>
      <c r="S7478" s="316"/>
      <c r="T7478" s="355"/>
    </row>
    <row r="7479" spans="14:20" x14ac:dyDescent="0.25">
      <c r="N7479" s="514"/>
      <c r="R7479" s="293"/>
      <c r="S7479" s="316"/>
      <c r="T7479" s="355"/>
    </row>
    <row r="7480" spans="14:20" x14ac:dyDescent="0.25">
      <c r="N7480" s="514"/>
      <c r="R7480" s="293"/>
      <c r="S7480" s="316"/>
      <c r="T7480" s="355"/>
    </row>
    <row r="7481" spans="14:20" x14ac:dyDescent="0.25">
      <c r="N7481" s="514"/>
      <c r="R7481" s="293"/>
      <c r="S7481" s="316"/>
      <c r="T7481" s="355"/>
    </row>
    <row r="7482" spans="14:20" x14ac:dyDescent="0.25">
      <c r="N7482" s="514"/>
      <c r="R7482" s="293"/>
      <c r="S7482" s="316"/>
      <c r="T7482" s="355"/>
    </row>
    <row r="7483" spans="14:20" x14ac:dyDescent="0.25">
      <c r="N7483" s="514"/>
      <c r="R7483" s="293"/>
      <c r="S7483" s="316"/>
      <c r="T7483" s="355"/>
    </row>
    <row r="7484" spans="14:20" x14ac:dyDescent="0.25">
      <c r="N7484" s="514"/>
      <c r="R7484" s="293"/>
      <c r="S7484" s="316"/>
      <c r="T7484" s="355"/>
    </row>
    <row r="7485" spans="14:20" x14ac:dyDescent="0.25">
      <c r="N7485" s="514"/>
      <c r="R7485" s="293"/>
      <c r="S7485" s="316"/>
      <c r="T7485" s="355"/>
    </row>
    <row r="7486" spans="14:20" x14ac:dyDescent="0.25">
      <c r="N7486" s="514"/>
      <c r="R7486" s="293"/>
      <c r="S7486" s="316"/>
      <c r="T7486" s="355"/>
    </row>
    <row r="7487" spans="14:20" x14ac:dyDescent="0.25">
      <c r="N7487" s="514"/>
      <c r="R7487" s="293"/>
      <c r="S7487" s="316"/>
      <c r="T7487" s="355"/>
    </row>
    <row r="7488" spans="14:20" x14ac:dyDescent="0.25">
      <c r="N7488" s="514"/>
      <c r="R7488" s="293"/>
      <c r="S7488" s="316"/>
      <c r="T7488" s="355"/>
    </row>
    <row r="7489" spans="14:20" x14ac:dyDescent="0.25">
      <c r="N7489" s="514"/>
      <c r="R7489" s="293"/>
      <c r="S7489" s="316"/>
      <c r="T7489" s="355"/>
    </row>
    <row r="7490" spans="14:20" x14ac:dyDescent="0.25">
      <c r="N7490" s="514"/>
      <c r="R7490" s="293"/>
      <c r="S7490" s="316"/>
      <c r="T7490" s="355"/>
    </row>
    <row r="7491" spans="14:20" x14ac:dyDescent="0.25">
      <c r="N7491" s="514"/>
      <c r="R7491" s="293"/>
      <c r="S7491" s="316"/>
      <c r="T7491" s="355"/>
    </row>
    <row r="7492" spans="14:20" x14ac:dyDescent="0.25">
      <c r="N7492" s="514"/>
      <c r="R7492" s="293"/>
      <c r="S7492" s="316"/>
      <c r="T7492" s="355"/>
    </row>
    <row r="7493" spans="14:20" x14ac:dyDescent="0.25">
      <c r="N7493" s="514"/>
      <c r="R7493" s="293"/>
      <c r="S7493" s="316"/>
      <c r="T7493" s="355"/>
    </row>
    <row r="7494" spans="14:20" x14ac:dyDescent="0.25">
      <c r="N7494" s="514"/>
      <c r="R7494" s="293"/>
      <c r="S7494" s="316"/>
      <c r="T7494" s="355"/>
    </row>
    <row r="7495" spans="14:20" x14ac:dyDescent="0.25">
      <c r="N7495" s="514"/>
      <c r="R7495" s="293"/>
      <c r="S7495" s="316"/>
      <c r="T7495" s="355"/>
    </row>
    <row r="7496" spans="14:20" x14ac:dyDescent="0.25">
      <c r="N7496" s="514"/>
      <c r="R7496" s="293"/>
      <c r="S7496" s="316"/>
      <c r="T7496" s="355"/>
    </row>
    <row r="7497" spans="14:20" x14ac:dyDescent="0.25">
      <c r="N7497" s="514"/>
      <c r="R7497" s="293"/>
      <c r="S7497" s="316"/>
      <c r="T7497" s="355"/>
    </row>
    <row r="7498" spans="14:20" x14ac:dyDescent="0.25">
      <c r="N7498" s="514"/>
      <c r="R7498" s="293"/>
      <c r="S7498" s="316"/>
      <c r="T7498" s="355"/>
    </row>
    <row r="7499" spans="14:20" x14ac:dyDescent="0.25">
      <c r="N7499" s="514"/>
      <c r="R7499" s="293"/>
      <c r="S7499" s="316"/>
      <c r="T7499" s="355"/>
    </row>
    <row r="7500" spans="14:20" x14ac:dyDescent="0.25">
      <c r="N7500" s="514"/>
      <c r="R7500" s="293"/>
      <c r="S7500" s="316"/>
      <c r="T7500" s="355"/>
    </row>
    <row r="7501" spans="14:20" x14ac:dyDescent="0.25">
      <c r="N7501" s="514"/>
      <c r="R7501" s="293"/>
      <c r="S7501" s="316"/>
      <c r="T7501" s="355"/>
    </row>
    <row r="7502" spans="14:20" x14ac:dyDescent="0.25">
      <c r="N7502" s="514"/>
      <c r="R7502" s="293"/>
      <c r="S7502" s="316"/>
      <c r="T7502" s="355"/>
    </row>
    <row r="7503" spans="14:20" x14ac:dyDescent="0.25">
      <c r="N7503" s="514"/>
      <c r="R7503" s="293"/>
      <c r="S7503" s="316"/>
      <c r="T7503" s="355"/>
    </row>
    <row r="7504" spans="14:20" x14ac:dyDescent="0.25">
      <c r="N7504" s="514"/>
      <c r="R7504" s="293"/>
      <c r="S7504" s="316"/>
      <c r="T7504" s="355"/>
    </row>
    <row r="7505" spans="14:20" x14ac:dyDescent="0.25">
      <c r="N7505" s="514"/>
      <c r="R7505" s="293"/>
      <c r="S7505" s="316"/>
      <c r="T7505" s="355"/>
    </row>
    <row r="7506" spans="14:20" x14ac:dyDescent="0.25">
      <c r="N7506" s="514"/>
      <c r="R7506" s="293"/>
      <c r="S7506" s="316"/>
      <c r="T7506" s="355"/>
    </row>
    <row r="7507" spans="14:20" x14ac:dyDescent="0.25">
      <c r="N7507" s="514"/>
      <c r="R7507" s="293"/>
      <c r="S7507" s="316"/>
      <c r="T7507" s="355"/>
    </row>
    <row r="7508" spans="14:20" x14ac:dyDescent="0.25">
      <c r="N7508" s="514"/>
      <c r="R7508" s="293"/>
      <c r="S7508" s="316"/>
      <c r="T7508" s="355"/>
    </row>
    <row r="7509" spans="14:20" x14ac:dyDescent="0.25">
      <c r="N7509" s="514"/>
      <c r="R7509" s="293"/>
      <c r="S7509" s="316"/>
      <c r="T7509" s="355"/>
    </row>
    <row r="7510" spans="14:20" x14ac:dyDescent="0.25">
      <c r="N7510" s="514"/>
      <c r="R7510" s="293"/>
      <c r="S7510" s="316"/>
      <c r="T7510" s="355"/>
    </row>
    <row r="7511" spans="14:20" x14ac:dyDescent="0.25">
      <c r="N7511" s="514"/>
      <c r="R7511" s="293"/>
      <c r="S7511" s="316"/>
      <c r="T7511" s="355"/>
    </row>
    <row r="7512" spans="14:20" x14ac:dyDescent="0.25">
      <c r="N7512" s="514"/>
      <c r="R7512" s="293"/>
      <c r="S7512" s="316"/>
      <c r="T7512" s="355"/>
    </row>
    <row r="7513" spans="14:20" x14ac:dyDescent="0.25">
      <c r="N7513" s="514"/>
      <c r="R7513" s="293"/>
      <c r="S7513" s="316"/>
      <c r="T7513" s="355"/>
    </row>
    <row r="7514" spans="14:20" x14ac:dyDescent="0.25">
      <c r="N7514" s="514"/>
      <c r="R7514" s="293"/>
      <c r="S7514" s="316"/>
      <c r="T7514" s="355"/>
    </row>
    <row r="7515" spans="14:20" x14ac:dyDescent="0.25">
      <c r="N7515" s="514"/>
      <c r="R7515" s="293"/>
      <c r="S7515" s="316"/>
      <c r="T7515" s="355"/>
    </row>
    <row r="7516" spans="14:20" x14ac:dyDescent="0.25">
      <c r="N7516" s="514"/>
      <c r="R7516" s="293"/>
      <c r="S7516" s="316"/>
      <c r="T7516" s="355"/>
    </row>
    <row r="7517" spans="14:20" x14ac:dyDescent="0.25">
      <c r="N7517" s="514"/>
      <c r="R7517" s="293"/>
      <c r="S7517" s="316"/>
      <c r="T7517" s="355"/>
    </row>
    <row r="7518" spans="14:20" x14ac:dyDescent="0.25">
      <c r="N7518" s="514"/>
      <c r="R7518" s="293"/>
      <c r="S7518" s="316"/>
      <c r="T7518" s="355"/>
    </row>
    <row r="7519" spans="14:20" x14ac:dyDescent="0.25">
      <c r="N7519" s="514"/>
      <c r="R7519" s="293"/>
      <c r="S7519" s="316"/>
      <c r="T7519" s="355"/>
    </row>
    <row r="7520" spans="14:20" x14ac:dyDescent="0.25">
      <c r="N7520" s="514"/>
      <c r="R7520" s="293"/>
      <c r="S7520" s="316"/>
      <c r="T7520" s="355"/>
    </row>
    <row r="7521" spans="14:20" x14ac:dyDescent="0.25">
      <c r="N7521" s="514"/>
      <c r="R7521" s="293"/>
      <c r="S7521" s="316"/>
      <c r="T7521" s="355"/>
    </row>
    <row r="7522" spans="14:20" x14ac:dyDescent="0.25">
      <c r="N7522" s="514"/>
      <c r="R7522" s="293"/>
      <c r="S7522" s="316"/>
      <c r="T7522" s="355"/>
    </row>
    <row r="7523" spans="14:20" x14ac:dyDescent="0.25">
      <c r="N7523" s="514"/>
      <c r="R7523" s="293"/>
      <c r="S7523" s="316"/>
      <c r="T7523" s="355"/>
    </row>
    <row r="7524" spans="14:20" x14ac:dyDescent="0.25">
      <c r="N7524" s="514"/>
      <c r="R7524" s="293"/>
      <c r="S7524" s="316"/>
      <c r="T7524" s="355"/>
    </row>
    <row r="7525" spans="14:20" x14ac:dyDescent="0.25">
      <c r="N7525" s="514"/>
      <c r="R7525" s="293"/>
      <c r="S7525" s="316"/>
      <c r="T7525" s="355"/>
    </row>
    <row r="7526" spans="14:20" x14ac:dyDescent="0.25">
      <c r="N7526" s="514"/>
      <c r="R7526" s="293"/>
      <c r="S7526" s="316"/>
      <c r="T7526" s="355"/>
    </row>
    <row r="7527" spans="14:20" x14ac:dyDescent="0.25">
      <c r="N7527" s="514"/>
      <c r="R7527" s="293"/>
      <c r="S7527" s="316"/>
      <c r="T7527" s="355"/>
    </row>
    <row r="7528" spans="14:20" x14ac:dyDescent="0.25">
      <c r="N7528" s="514"/>
      <c r="R7528" s="293"/>
      <c r="S7528" s="316"/>
      <c r="T7528" s="355"/>
    </row>
    <row r="7529" spans="14:20" x14ac:dyDescent="0.25">
      <c r="N7529" s="514"/>
      <c r="R7529" s="293"/>
      <c r="S7529" s="316"/>
      <c r="T7529" s="355"/>
    </row>
    <row r="7530" spans="14:20" x14ac:dyDescent="0.25">
      <c r="N7530" s="514"/>
      <c r="R7530" s="293"/>
      <c r="S7530" s="316"/>
      <c r="T7530" s="355"/>
    </row>
    <row r="7531" spans="14:20" x14ac:dyDescent="0.25">
      <c r="N7531" s="514"/>
      <c r="R7531" s="293"/>
      <c r="S7531" s="316"/>
      <c r="T7531" s="355"/>
    </row>
    <row r="7532" spans="14:20" x14ac:dyDescent="0.25">
      <c r="N7532" s="514"/>
      <c r="R7532" s="293"/>
      <c r="S7532" s="316"/>
      <c r="T7532" s="355"/>
    </row>
    <row r="7533" spans="14:20" x14ac:dyDescent="0.25">
      <c r="N7533" s="514"/>
      <c r="R7533" s="293"/>
      <c r="S7533" s="316"/>
      <c r="T7533" s="355"/>
    </row>
    <row r="7534" spans="14:20" x14ac:dyDescent="0.25">
      <c r="N7534" s="514"/>
      <c r="R7534" s="293"/>
      <c r="S7534" s="316"/>
      <c r="T7534" s="355"/>
    </row>
    <row r="7535" spans="14:20" x14ac:dyDescent="0.25">
      <c r="N7535" s="514"/>
      <c r="R7535" s="293"/>
      <c r="S7535" s="316"/>
      <c r="T7535" s="355"/>
    </row>
    <row r="7536" spans="14:20" x14ac:dyDescent="0.25">
      <c r="N7536" s="514"/>
      <c r="R7536" s="293"/>
      <c r="S7536" s="316"/>
      <c r="T7536" s="355"/>
    </row>
    <row r="7537" spans="14:20" x14ac:dyDescent="0.25">
      <c r="N7537" s="514"/>
      <c r="R7537" s="293"/>
      <c r="S7537" s="316"/>
      <c r="T7537" s="355"/>
    </row>
    <row r="7538" spans="14:20" x14ac:dyDescent="0.25">
      <c r="N7538" s="514"/>
      <c r="R7538" s="293"/>
      <c r="S7538" s="316"/>
      <c r="T7538" s="355"/>
    </row>
    <row r="7539" spans="14:20" x14ac:dyDescent="0.25">
      <c r="N7539" s="514"/>
      <c r="R7539" s="293"/>
      <c r="S7539" s="316"/>
      <c r="T7539" s="355"/>
    </row>
    <row r="7540" spans="14:20" x14ac:dyDescent="0.25">
      <c r="N7540" s="514"/>
      <c r="R7540" s="293"/>
      <c r="S7540" s="316"/>
      <c r="T7540" s="355"/>
    </row>
    <row r="7541" spans="14:20" x14ac:dyDescent="0.25">
      <c r="N7541" s="514"/>
      <c r="R7541" s="293"/>
      <c r="S7541" s="316"/>
      <c r="T7541" s="355"/>
    </row>
    <row r="7542" spans="14:20" x14ac:dyDescent="0.25">
      <c r="N7542" s="514"/>
      <c r="R7542" s="293"/>
      <c r="S7542" s="316"/>
      <c r="T7542" s="355"/>
    </row>
    <row r="7543" spans="14:20" x14ac:dyDescent="0.25">
      <c r="N7543" s="514"/>
      <c r="R7543" s="293"/>
      <c r="S7543" s="316"/>
      <c r="T7543" s="355"/>
    </row>
    <row r="7544" spans="14:20" x14ac:dyDescent="0.25">
      <c r="N7544" s="514"/>
      <c r="R7544" s="293"/>
      <c r="S7544" s="316"/>
      <c r="T7544" s="355"/>
    </row>
    <row r="7545" spans="14:20" x14ac:dyDescent="0.25">
      <c r="N7545" s="514"/>
      <c r="R7545" s="293"/>
      <c r="S7545" s="316"/>
      <c r="T7545" s="355"/>
    </row>
    <row r="7546" spans="14:20" x14ac:dyDescent="0.25">
      <c r="N7546" s="514"/>
      <c r="R7546" s="293"/>
      <c r="S7546" s="316"/>
      <c r="T7546" s="355"/>
    </row>
    <row r="7547" spans="14:20" x14ac:dyDescent="0.25">
      <c r="N7547" s="514"/>
      <c r="R7547" s="293"/>
      <c r="S7547" s="316"/>
      <c r="T7547" s="355"/>
    </row>
    <row r="7548" spans="14:20" x14ac:dyDescent="0.25">
      <c r="N7548" s="514"/>
      <c r="R7548" s="293"/>
      <c r="S7548" s="316"/>
      <c r="T7548" s="355"/>
    </row>
    <row r="7549" spans="14:20" x14ac:dyDescent="0.25">
      <c r="N7549" s="514"/>
      <c r="R7549" s="293"/>
      <c r="S7549" s="316"/>
      <c r="T7549" s="355"/>
    </row>
    <row r="7550" spans="14:20" x14ac:dyDescent="0.25">
      <c r="N7550" s="514"/>
      <c r="R7550" s="293"/>
      <c r="S7550" s="316"/>
      <c r="T7550" s="355"/>
    </row>
    <row r="7551" spans="14:20" x14ac:dyDescent="0.25">
      <c r="N7551" s="514"/>
      <c r="R7551" s="293"/>
      <c r="S7551" s="316"/>
      <c r="T7551" s="355"/>
    </row>
    <row r="7552" spans="14:20" x14ac:dyDescent="0.25">
      <c r="N7552" s="514"/>
      <c r="R7552" s="293"/>
      <c r="S7552" s="316"/>
      <c r="T7552" s="355"/>
    </row>
    <row r="7553" spans="14:20" x14ac:dyDescent="0.25">
      <c r="N7553" s="514"/>
      <c r="R7553" s="293"/>
      <c r="S7553" s="316"/>
      <c r="T7553" s="355"/>
    </row>
    <row r="7554" spans="14:20" x14ac:dyDescent="0.25">
      <c r="N7554" s="514"/>
      <c r="R7554" s="293"/>
      <c r="S7554" s="316"/>
      <c r="T7554" s="355"/>
    </row>
    <row r="7555" spans="14:20" x14ac:dyDescent="0.25">
      <c r="N7555" s="514"/>
      <c r="R7555" s="293"/>
      <c r="S7555" s="316"/>
      <c r="T7555" s="355"/>
    </row>
    <row r="7556" spans="14:20" x14ac:dyDescent="0.25">
      <c r="N7556" s="514"/>
      <c r="R7556" s="293"/>
      <c r="S7556" s="316"/>
      <c r="T7556" s="355"/>
    </row>
    <row r="7557" spans="14:20" x14ac:dyDescent="0.25">
      <c r="N7557" s="514"/>
      <c r="R7557" s="293"/>
      <c r="S7557" s="316"/>
      <c r="T7557" s="355"/>
    </row>
    <row r="7558" spans="14:20" x14ac:dyDescent="0.25">
      <c r="N7558" s="514"/>
      <c r="R7558" s="293"/>
      <c r="S7558" s="316"/>
      <c r="T7558" s="355"/>
    </row>
    <row r="7559" spans="14:20" x14ac:dyDescent="0.25">
      <c r="N7559" s="514"/>
      <c r="R7559" s="293"/>
      <c r="S7559" s="316"/>
      <c r="T7559" s="355"/>
    </row>
    <row r="7560" spans="14:20" x14ac:dyDescent="0.25">
      <c r="N7560" s="514"/>
      <c r="R7560" s="293"/>
      <c r="S7560" s="316"/>
      <c r="T7560" s="355"/>
    </row>
    <row r="7561" spans="14:20" x14ac:dyDescent="0.25">
      <c r="N7561" s="514"/>
      <c r="R7561" s="293"/>
      <c r="S7561" s="316"/>
      <c r="T7561" s="355"/>
    </row>
    <row r="7562" spans="14:20" x14ac:dyDescent="0.25">
      <c r="N7562" s="514"/>
      <c r="R7562" s="293"/>
      <c r="S7562" s="316"/>
      <c r="T7562" s="355"/>
    </row>
    <row r="7563" spans="14:20" x14ac:dyDescent="0.25">
      <c r="N7563" s="514"/>
      <c r="R7563" s="293"/>
      <c r="S7563" s="316"/>
      <c r="T7563" s="355"/>
    </row>
    <row r="7564" spans="14:20" x14ac:dyDescent="0.25">
      <c r="N7564" s="514"/>
      <c r="R7564" s="293"/>
      <c r="S7564" s="316"/>
      <c r="T7564" s="355"/>
    </row>
    <row r="7565" spans="14:20" x14ac:dyDescent="0.25">
      <c r="N7565" s="514"/>
      <c r="R7565" s="293"/>
      <c r="S7565" s="316"/>
      <c r="T7565" s="355"/>
    </row>
    <row r="7566" spans="14:20" x14ac:dyDescent="0.25">
      <c r="N7566" s="514"/>
      <c r="R7566" s="293"/>
      <c r="S7566" s="316"/>
      <c r="T7566" s="355"/>
    </row>
    <row r="7567" spans="14:20" x14ac:dyDescent="0.25">
      <c r="N7567" s="514"/>
      <c r="R7567" s="293"/>
      <c r="S7567" s="316"/>
      <c r="T7567" s="355"/>
    </row>
    <row r="7568" spans="14:20" x14ac:dyDescent="0.25">
      <c r="N7568" s="514"/>
      <c r="R7568" s="293"/>
      <c r="S7568" s="316"/>
      <c r="T7568" s="355"/>
    </row>
    <row r="7569" spans="14:20" x14ac:dyDescent="0.25">
      <c r="N7569" s="514"/>
      <c r="R7569" s="293"/>
      <c r="S7569" s="316"/>
      <c r="T7569" s="355"/>
    </row>
    <row r="7570" spans="14:20" x14ac:dyDescent="0.25">
      <c r="N7570" s="514"/>
      <c r="R7570" s="293"/>
      <c r="S7570" s="316"/>
      <c r="T7570" s="355"/>
    </row>
    <row r="7571" spans="14:20" x14ac:dyDescent="0.25">
      <c r="N7571" s="514"/>
      <c r="R7571" s="293"/>
      <c r="S7571" s="316"/>
      <c r="T7571" s="355"/>
    </row>
    <row r="7572" spans="14:20" x14ac:dyDescent="0.25">
      <c r="N7572" s="514"/>
      <c r="R7572" s="293"/>
      <c r="S7572" s="316"/>
      <c r="T7572" s="355"/>
    </row>
    <row r="7573" spans="14:20" x14ac:dyDescent="0.25">
      <c r="N7573" s="514"/>
      <c r="R7573" s="293"/>
      <c r="S7573" s="316"/>
      <c r="T7573" s="355"/>
    </row>
    <row r="7574" spans="14:20" x14ac:dyDescent="0.25">
      <c r="N7574" s="514"/>
      <c r="R7574" s="293"/>
      <c r="S7574" s="316"/>
      <c r="T7574" s="355"/>
    </row>
    <row r="7575" spans="14:20" x14ac:dyDescent="0.25">
      <c r="N7575" s="514"/>
      <c r="R7575" s="293"/>
      <c r="S7575" s="316"/>
      <c r="T7575" s="355"/>
    </row>
    <row r="7576" spans="14:20" x14ac:dyDescent="0.25">
      <c r="N7576" s="514"/>
      <c r="R7576" s="293"/>
      <c r="S7576" s="316"/>
      <c r="T7576" s="355"/>
    </row>
    <row r="7577" spans="14:20" x14ac:dyDescent="0.25">
      <c r="N7577" s="514"/>
      <c r="R7577" s="293"/>
      <c r="S7577" s="316"/>
      <c r="T7577" s="355"/>
    </row>
    <row r="7578" spans="14:20" x14ac:dyDescent="0.25">
      <c r="N7578" s="514"/>
      <c r="R7578" s="293"/>
      <c r="S7578" s="316"/>
      <c r="T7578" s="355"/>
    </row>
    <row r="7579" spans="14:20" x14ac:dyDescent="0.25">
      <c r="N7579" s="514"/>
      <c r="R7579" s="293"/>
      <c r="S7579" s="316"/>
      <c r="T7579" s="355"/>
    </row>
    <row r="7580" spans="14:20" x14ac:dyDescent="0.25">
      <c r="N7580" s="514"/>
      <c r="R7580" s="293"/>
      <c r="S7580" s="316"/>
      <c r="T7580" s="355"/>
    </row>
    <row r="7581" spans="14:20" x14ac:dyDescent="0.25">
      <c r="N7581" s="514"/>
      <c r="R7581" s="293"/>
      <c r="S7581" s="316"/>
      <c r="T7581" s="355"/>
    </row>
    <row r="7582" spans="14:20" x14ac:dyDescent="0.25">
      <c r="N7582" s="514"/>
      <c r="R7582" s="293"/>
      <c r="S7582" s="316"/>
      <c r="T7582" s="355"/>
    </row>
    <row r="7583" spans="14:20" x14ac:dyDescent="0.25">
      <c r="N7583" s="514"/>
      <c r="R7583" s="293"/>
      <c r="S7583" s="316"/>
      <c r="T7583" s="355"/>
    </row>
    <row r="7584" spans="14:20" x14ac:dyDescent="0.25">
      <c r="N7584" s="514"/>
      <c r="R7584" s="293"/>
      <c r="S7584" s="316"/>
      <c r="T7584" s="355"/>
    </row>
    <row r="7585" spans="14:20" x14ac:dyDescent="0.25">
      <c r="N7585" s="514"/>
      <c r="R7585" s="293"/>
      <c r="S7585" s="316"/>
      <c r="T7585" s="355"/>
    </row>
    <row r="7586" spans="14:20" x14ac:dyDescent="0.25">
      <c r="N7586" s="514"/>
      <c r="R7586" s="293"/>
      <c r="S7586" s="316"/>
      <c r="T7586" s="355"/>
    </row>
    <row r="7587" spans="14:20" x14ac:dyDescent="0.25">
      <c r="N7587" s="514"/>
      <c r="R7587" s="293"/>
      <c r="S7587" s="316"/>
      <c r="T7587" s="355"/>
    </row>
    <row r="7588" spans="14:20" x14ac:dyDescent="0.25">
      <c r="N7588" s="514"/>
      <c r="R7588" s="293"/>
      <c r="S7588" s="316"/>
      <c r="T7588" s="355"/>
    </row>
    <row r="7589" spans="14:20" x14ac:dyDescent="0.25">
      <c r="N7589" s="514"/>
      <c r="R7589" s="293"/>
      <c r="S7589" s="316"/>
      <c r="T7589" s="355"/>
    </row>
    <row r="7590" spans="14:20" x14ac:dyDescent="0.25">
      <c r="N7590" s="514"/>
      <c r="R7590" s="293"/>
      <c r="S7590" s="316"/>
      <c r="T7590" s="355"/>
    </row>
    <row r="7591" spans="14:20" x14ac:dyDescent="0.25">
      <c r="N7591" s="514"/>
      <c r="R7591" s="293"/>
      <c r="S7591" s="316"/>
      <c r="T7591" s="355"/>
    </row>
    <row r="7592" spans="14:20" x14ac:dyDescent="0.25">
      <c r="N7592" s="514"/>
      <c r="R7592" s="293"/>
      <c r="S7592" s="316"/>
      <c r="T7592" s="355"/>
    </row>
    <row r="7593" spans="14:20" x14ac:dyDescent="0.25">
      <c r="N7593" s="514"/>
      <c r="R7593" s="293"/>
      <c r="S7593" s="316"/>
      <c r="T7593" s="355"/>
    </row>
    <row r="7594" spans="14:20" x14ac:dyDescent="0.25">
      <c r="N7594" s="514"/>
      <c r="R7594" s="293"/>
      <c r="S7594" s="316"/>
      <c r="T7594" s="355"/>
    </row>
    <row r="7595" spans="14:20" x14ac:dyDescent="0.25">
      <c r="N7595" s="514"/>
      <c r="R7595" s="293"/>
      <c r="S7595" s="316"/>
      <c r="T7595" s="355"/>
    </row>
    <row r="7596" spans="14:20" x14ac:dyDescent="0.25">
      <c r="N7596" s="514"/>
      <c r="R7596" s="293"/>
      <c r="S7596" s="316"/>
      <c r="T7596" s="355"/>
    </row>
    <row r="7597" spans="14:20" x14ac:dyDescent="0.25">
      <c r="N7597" s="514"/>
      <c r="R7597" s="293"/>
      <c r="S7597" s="316"/>
      <c r="T7597" s="355"/>
    </row>
    <row r="7598" spans="14:20" x14ac:dyDescent="0.25">
      <c r="N7598" s="514"/>
      <c r="R7598" s="293"/>
      <c r="S7598" s="316"/>
      <c r="T7598" s="355"/>
    </row>
    <row r="7599" spans="14:20" x14ac:dyDescent="0.25">
      <c r="N7599" s="514"/>
      <c r="R7599" s="293"/>
      <c r="S7599" s="316"/>
      <c r="T7599" s="355"/>
    </row>
    <row r="7600" spans="14:20" x14ac:dyDescent="0.25">
      <c r="N7600" s="514"/>
      <c r="R7600" s="293"/>
      <c r="S7600" s="316"/>
      <c r="T7600" s="355"/>
    </row>
    <row r="7601" spans="14:20" x14ac:dyDescent="0.25">
      <c r="N7601" s="514"/>
      <c r="R7601" s="293"/>
      <c r="S7601" s="316"/>
      <c r="T7601" s="355"/>
    </row>
    <row r="7602" spans="14:20" x14ac:dyDescent="0.25">
      <c r="N7602" s="514"/>
      <c r="R7602" s="293"/>
      <c r="S7602" s="316"/>
      <c r="T7602" s="355"/>
    </row>
    <row r="7603" spans="14:20" x14ac:dyDescent="0.25">
      <c r="N7603" s="514"/>
      <c r="R7603" s="293"/>
      <c r="S7603" s="316"/>
      <c r="T7603" s="355"/>
    </row>
    <row r="7604" spans="14:20" x14ac:dyDescent="0.25">
      <c r="N7604" s="514"/>
      <c r="R7604" s="293"/>
      <c r="S7604" s="316"/>
      <c r="T7604" s="355"/>
    </row>
    <row r="7605" spans="14:20" x14ac:dyDescent="0.25">
      <c r="N7605" s="514"/>
      <c r="R7605" s="293"/>
      <c r="S7605" s="316"/>
      <c r="T7605" s="355"/>
    </row>
    <row r="7606" spans="14:20" x14ac:dyDescent="0.25">
      <c r="N7606" s="514"/>
      <c r="R7606" s="293"/>
      <c r="S7606" s="316"/>
      <c r="T7606" s="355"/>
    </row>
    <row r="7607" spans="14:20" x14ac:dyDescent="0.25">
      <c r="N7607" s="514"/>
      <c r="R7607" s="293"/>
      <c r="S7607" s="316"/>
      <c r="T7607" s="355"/>
    </row>
    <row r="7608" spans="14:20" x14ac:dyDescent="0.25">
      <c r="N7608" s="514"/>
      <c r="R7608" s="293"/>
      <c r="S7608" s="316"/>
      <c r="T7608" s="355"/>
    </row>
    <row r="7609" spans="14:20" x14ac:dyDescent="0.25">
      <c r="N7609" s="514"/>
      <c r="R7609" s="293"/>
      <c r="S7609" s="316"/>
      <c r="T7609" s="355"/>
    </row>
    <row r="7610" spans="14:20" x14ac:dyDescent="0.25">
      <c r="N7610" s="514"/>
      <c r="R7610" s="293"/>
      <c r="S7610" s="316"/>
      <c r="T7610" s="355"/>
    </row>
    <row r="7611" spans="14:20" x14ac:dyDescent="0.25">
      <c r="N7611" s="514"/>
      <c r="R7611" s="293"/>
      <c r="S7611" s="316"/>
      <c r="T7611" s="355"/>
    </row>
    <row r="7612" spans="14:20" x14ac:dyDescent="0.25">
      <c r="N7612" s="514"/>
      <c r="R7612" s="293"/>
      <c r="S7612" s="316"/>
      <c r="T7612" s="355"/>
    </row>
    <row r="7613" spans="14:20" x14ac:dyDescent="0.25">
      <c r="N7613" s="514"/>
      <c r="R7613" s="293"/>
      <c r="S7613" s="316"/>
      <c r="T7613" s="355"/>
    </row>
    <row r="7614" spans="14:20" x14ac:dyDescent="0.25">
      <c r="N7614" s="514"/>
      <c r="R7614" s="293"/>
      <c r="S7614" s="316"/>
      <c r="T7614" s="355"/>
    </row>
    <row r="7615" spans="14:20" x14ac:dyDescent="0.25">
      <c r="N7615" s="514"/>
      <c r="R7615" s="293"/>
      <c r="S7615" s="316"/>
      <c r="T7615" s="355"/>
    </row>
    <row r="7616" spans="14:20" x14ac:dyDescent="0.25">
      <c r="N7616" s="514"/>
      <c r="R7616" s="293"/>
      <c r="S7616" s="316"/>
      <c r="T7616" s="355"/>
    </row>
    <row r="7617" spans="14:20" x14ac:dyDescent="0.25">
      <c r="N7617" s="514"/>
      <c r="R7617" s="293"/>
      <c r="S7617" s="316"/>
      <c r="T7617" s="355"/>
    </row>
    <row r="7618" spans="14:20" x14ac:dyDescent="0.25">
      <c r="N7618" s="514"/>
      <c r="R7618" s="293"/>
      <c r="S7618" s="316"/>
      <c r="T7618" s="355"/>
    </row>
    <row r="7619" spans="14:20" x14ac:dyDescent="0.25">
      <c r="N7619" s="514"/>
      <c r="R7619" s="293"/>
      <c r="S7619" s="316"/>
      <c r="T7619" s="355"/>
    </row>
    <row r="7620" spans="14:20" x14ac:dyDescent="0.25">
      <c r="N7620" s="514"/>
      <c r="R7620" s="293"/>
      <c r="S7620" s="316"/>
      <c r="T7620" s="355"/>
    </row>
    <row r="7621" spans="14:20" x14ac:dyDescent="0.25">
      <c r="N7621" s="514"/>
      <c r="R7621" s="293"/>
      <c r="S7621" s="316"/>
      <c r="T7621" s="355"/>
    </row>
    <row r="7622" spans="14:20" x14ac:dyDescent="0.25">
      <c r="N7622" s="514"/>
      <c r="R7622" s="293"/>
      <c r="S7622" s="316"/>
      <c r="T7622" s="355"/>
    </row>
    <row r="7623" spans="14:20" x14ac:dyDescent="0.25">
      <c r="N7623" s="514"/>
      <c r="R7623" s="293"/>
      <c r="S7623" s="316"/>
      <c r="T7623" s="355"/>
    </row>
    <row r="7624" spans="14:20" x14ac:dyDescent="0.25">
      <c r="N7624" s="514"/>
      <c r="R7624" s="293"/>
      <c r="S7624" s="316"/>
      <c r="T7624" s="355"/>
    </row>
    <row r="7625" spans="14:20" x14ac:dyDescent="0.25">
      <c r="N7625" s="514"/>
      <c r="R7625" s="293"/>
      <c r="S7625" s="316"/>
      <c r="T7625" s="355"/>
    </row>
    <row r="7626" spans="14:20" x14ac:dyDescent="0.25">
      <c r="N7626" s="514"/>
      <c r="R7626" s="293"/>
      <c r="S7626" s="316"/>
      <c r="T7626" s="355"/>
    </row>
    <row r="7627" spans="14:20" x14ac:dyDescent="0.25">
      <c r="N7627" s="514"/>
      <c r="R7627" s="293"/>
      <c r="S7627" s="316"/>
      <c r="T7627" s="355"/>
    </row>
    <row r="7628" spans="14:20" x14ac:dyDescent="0.25">
      <c r="N7628" s="514"/>
      <c r="R7628" s="293"/>
      <c r="S7628" s="316"/>
      <c r="T7628" s="355"/>
    </row>
    <row r="7629" spans="14:20" x14ac:dyDescent="0.25">
      <c r="N7629" s="514"/>
      <c r="R7629" s="293"/>
      <c r="S7629" s="316"/>
      <c r="T7629" s="355"/>
    </row>
    <row r="7630" spans="14:20" x14ac:dyDescent="0.25">
      <c r="N7630" s="514"/>
      <c r="R7630" s="293"/>
      <c r="S7630" s="316"/>
      <c r="T7630" s="355"/>
    </row>
    <row r="7631" spans="14:20" x14ac:dyDescent="0.25">
      <c r="N7631" s="514"/>
      <c r="R7631" s="293"/>
      <c r="S7631" s="316"/>
      <c r="T7631" s="355"/>
    </row>
    <row r="7632" spans="14:20" x14ac:dyDescent="0.25">
      <c r="N7632" s="514"/>
      <c r="R7632" s="293"/>
      <c r="S7632" s="316"/>
      <c r="T7632" s="355"/>
    </row>
    <row r="7633" spans="14:20" x14ac:dyDescent="0.25">
      <c r="N7633" s="514"/>
      <c r="R7633" s="293"/>
      <c r="S7633" s="316"/>
      <c r="T7633" s="355"/>
    </row>
    <row r="7634" spans="14:20" x14ac:dyDescent="0.25">
      <c r="N7634" s="514"/>
      <c r="R7634" s="293"/>
      <c r="S7634" s="316"/>
      <c r="T7634" s="355"/>
    </row>
    <row r="7635" spans="14:20" x14ac:dyDescent="0.25">
      <c r="N7635" s="514"/>
      <c r="R7635" s="293"/>
      <c r="S7635" s="316"/>
      <c r="T7635" s="355"/>
    </row>
    <row r="7636" spans="14:20" x14ac:dyDescent="0.25">
      <c r="N7636" s="514"/>
      <c r="R7636" s="293"/>
      <c r="S7636" s="316"/>
      <c r="T7636" s="355"/>
    </row>
    <row r="7637" spans="14:20" x14ac:dyDescent="0.25">
      <c r="N7637" s="514"/>
      <c r="R7637" s="293"/>
      <c r="S7637" s="316"/>
      <c r="T7637" s="355"/>
    </row>
    <row r="7638" spans="14:20" x14ac:dyDescent="0.25">
      <c r="N7638" s="514"/>
      <c r="R7638" s="293"/>
      <c r="S7638" s="316"/>
      <c r="T7638" s="355"/>
    </row>
    <row r="7639" spans="14:20" x14ac:dyDescent="0.25">
      <c r="N7639" s="514"/>
      <c r="R7639" s="293"/>
      <c r="S7639" s="316"/>
      <c r="T7639" s="355"/>
    </row>
    <row r="7640" spans="14:20" x14ac:dyDescent="0.25">
      <c r="N7640" s="514"/>
      <c r="R7640" s="293"/>
      <c r="S7640" s="316"/>
      <c r="T7640" s="355"/>
    </row>
    <row r="7641" spans="14:20" x14ac:dyDescent="0.25">
      <c r="N7641" s="514"/>
      <c r="R7641" s="293"/>
      <c r="S7641" s="316"/>
      <c r="T7641" s="355"/>
    </row>
    <row r="7642" spans="14:20" x14ac:dyDescent="0.25">
      <c r="N7642" s="514"/>
      <c r="R7642" s="293"/>
      <c r="S7642" s="316"/>
      <c r="T7642" s="355"/>
    </row>
    <row r="7643" spans="14:20" x14ac:dyDescent="0.25">
      <c r="N7643" s="514"/>
      <c r="R7643" s="293"/>
      <c r="S7643" s="316"/>
      <c r="T7643" s="355"/>
    </row>
    <row r="7644" spans="14:20" x14ac:dyDescent="0.25">
      <c r="N7644" s="514"/>
      <c r="R7644" s="293"/>
      <c r="S7644" s="316"/>
      <c r="T7644" s="355"/>
    </row>
    <row r="7645" spans="14:20" x14ac:dyDescent="0.25">
      <c r="N7645" s="514"/>
      <c r="R7645" s="293"/>
      <c r="S7645" s="316"/>
      <c r="T7645" s="355"/>
    </row>
    <row r="7646" spans="14:20" x14ac:dyDescent="0.25">
      <c r="N7646" s="514"/>
      <c r="R7646" s="293"/>
      <c r="S7646" s="316"/>
      <c r="T7646" s="355"/>
    </row>
    <row r="7647" spans="14:20" x14ac:dyDescent="0.25">
      <c r="N7647" s="514"/>
      <c r="R7647" s="293"/>
      <c r="S7647" s="316"/>
      <c r="T7647" s="355"/>
    </row>
    <row r="7648" spans="14:20" x14ac:dyDescent="0.25">
      <c r="N7648" s="514"/>
      <c r="R7648" s="293"/>
      <c r="S7648" s="316"/>
      <c r="T7648" s="355"/>
    </row>
    <row r="7649" spans="14:20" x14ac:dyDescent="0.25">
      <c r="N7649" s="514"/>
      <c r="R7649" s="293"/>
      <c r="S7649" s="316"/>
      <c r="T7649" s="355"/>
    </row>
    <row r="7650" spans="14:20" x14ac:dyDescent="0.25">
      <c r="N7650" s="514"/>
      <c r="R7650" s="293"/>
      <c r="S7650" s="316"/>
      <c r="T7650" s="355"/>
    </row>
    <row r="7651" spans="14:20" x14ac:dyDescent="0.25">
      <c r="N7651" s="514"/>
      <c r="R7651" s="293"/>
      <c r="S7651" s="316"/>
      <c r="T7651" s="355"/>
    </row>
    <row r="7652" spans="14:20" x14ac:dyDescent="0.25">
      <c r="N7652" s="514"/>
      <c r="R7652" s="293"/>
      <c r="S7652" s="316"/>
      <c r="T7652" s="355"/>
    </row>
    <row r="7653" spans="14:20" x14ac:dyDescent="0.25">
      <c r="N7653" s="514"/>
      <c r="R7653" s="293"/>
      <c r="S7653" s="316"/>
      <c r="T7653" s="355"/>
    </row>
    <row r="7654" spans="14:20" x14ac:dyDescent="0.25">
      <c r="N7654" s="514"/>
      <c r="R7654" s="293"/>
      <c r="S7654" s="316"/>
      <c r="T7654" s="355"/>
    </row>
    <row r="7655" spans="14:20" x14ac:dyDescent="0.25">
      <c r="N7655" s="514"/>
      <c r="R7655" s="293"/>
      <c r="S7655" s="316"/>
      <c r="T7655" s="355"/>
    </row>
    <row r="7656" spans="14:20" x14ac:dyDescent="0.25">
      <c r="N7656" s="514"/>
      <c r="R7656" s="293"/>
      <c r="S7656" s="316"/>
      <c r="T7656" s="355"/>
    </row>
    <row r="7657" spans="14:20" x14ac:dyDescent="0.25">
      <c r="N7657" s="514"/>
      <c r="R7657" s="293"/>
      <c r="S7657" s="316"/>
      <c r="T7657" s="355"/>
    </row>
    <row r="7658" spans="14:20" x14ac:dyDescent="0.25">
      <c r="N7658" s="514"/>
      <c r="R7658" s="293"/>
      <c r="S7658" s="316"/>
      <c r="T7658" s="355"/>
    </row>
    <row r="7659" spans="14:20" x14ac:dyDescent="0.25">
      <c r="N7659" s="514"/>
      <c r="R7659" s="293"/>
      <c r="S7659" s="316"/>
      <c r="T7659" s="355"/>
    </row>
    <row r="7660" spans="14:20" x14ac:dyDescent="0.25">
      <c r="N7660" s="514"/>
      <c r="R7660" s="293"/>
      <c r="S7660" s="316"/>
      <c r="T7660" s="355"/>
    </row>
    <row r="7661" spans="14:20" x14ac:dyDescent="0.25">
      <c r="N7661" s="514"/>
      <c r="R7661" s="293"/>
      <c r="S7661" s="316"/>
      <c r="T7661" s="355"/>
    </row>
    <row r="7662" spans="14:20" x14ac:dyDescent="0.25">
      <c r="N7662" s="514"/>
      <c r="R7662" s="293"/>
      <c r="S7662" s="316"/>
      <c r="T7662" s="355"/>
    </row>
    <row r="7663" spans="14:20" x14ac:dyDescent="0.25">
      <c r="N7663" s="514"/>
      <c r="R7663" s="293"/>
      <c r="S7663" s="316"/>
      <c r="T7663" s="355"/>
    </row>
    <row r="7664" spans="14:20" x14ac:dyDescent="0.25">
      <c r="N7664" s="514"/>
      <c r="R7664" s="293"/>
      <c r="S7664" s="316"/>
      <c r="T7664" s="355"/>
    </row>
    <row r="7665" spans="14:20" x14ac:dyDescent="0.25">
      <c r="N7665" s="514"/>
      <c r="R7665" s="293"/>
      <c r="S7665" s="316"/>
      <c r="T7665" s="355"/>
    </row>
    <row r="7666" spans="14:20" x14ac:dyDescent="0.25">
      <c r="N7666" s="514"/>
      <c r="R7666" s="293"/>
      <c r="S7666" s="316"/>
      <c r="T7666" s="355"/>
    </row>
    <row r="7667" spans="14:20" x14ac:dyDescent="0.25">
      <c r="N7667" s="514"/>
      <c r="R7667" s="293"/>
      <c r="S7667" s="316"/>
      <c r="T7667" s="355"/>
    </row>
    <row r="7668" spans="14:20" x14ac:dyDescent="0.25">
      <c r="N7668" s="514"/>
      <c r="R7668" s="293"/>
      <c r="S7668" s="316"/>
      <c r="T7668" s="355"/>
    </row>
    <row r="7669" spans="14:20" x14ac:dyDescent="0.25">
      <c r="N7669" s="514"/>
      <c r="R7669" s="293"/>
      <c r="S7669" s="316"/>
      <c r="T7669" s="355"/>
    </row>
    <row r="7670" spans="14:20" x14ac:dyDescent="0.25">
      <c r="N7670" s="514"/>
      <c r="R7670" s="293"/>
      <c r="S7670" s="316"/>
      <c r="T7670" s="355"/>
    </row>
    <row r="7671" spans="14:20" x14ac:dyDescent="0.25">
      <c r="N7671" s="514"/>
      <c r="R7671" s="293"/>
      <c r="S7671" s="316"/>
      <c r="T7671" s="355"/>
    </row>
    <row r="7672" spans="14:20" x14ac:dyDescent="0.25">
      <c r="N7672" s="514"/>
      <c r="R7672" s="293"/>
      <c r="S7672" s="316"/>
      <c r="T7672" s="355"/>
    </row>
    <row r="7673" spans="14:20" x14ac:dyDescent="0.25">
      <c r="N7673" s="514"/>
      <c r="R7673" s="293"/>
      <c r="S7673" s="316"/>
      <c r="T7673" s="355"/>
    </row>
    <row r="7674" spans="14:20" x14ac:dyDescent="0.25">
      <c r="N7674" s="514"/>
      <c r="R7674" s="293"/>
      <c r="S7674" s="316"/>
      <c r="T7674" s="355"/>
    </row>
    <row r="7675" spans="14:20" x14ac:dyDescent="0.25">
      <c r="N7675" s="514"/>
      <c r="R7675" s="293"/>
      <c r="S7675" s="316"/>
      <c r="T7675" s="355"/>
    </row>
    <row r="7676" spans="14:20" x14ac:dyDescent="0.25">
      <c r="N7676" s="514"/>
      <c r="R7676" s="293"/>
      <c r="S7676" s="316"/>
      <c r="T7676" s="355"/>
    </row>
    <row r="7677" spans="14:20" x14ac:dyDescent="0.25">
      <c r="N7677" s="514"/>
      <c r="R7677" s="293"/>
      <c r="S7677" s="316"/>
      <c r="T7677" s="355"/>
    </row>
    <row r="7678" spans="14:20" x14ac:dyDescent="0.25">
      <c r="N7678" s="514"/>
      <c r="R7678" s="293"/>
      <c r="S7678" s="316"/>
      <c r="T7678" s="355"/>
    </row>
    <row r="7679" spans="14:20" x14ac:dyDescent="0.25">
      <c r="N7679" s="514"/>
      <c r="R7679" s="293"/>
      <c r="S7679" s="316"/>
      <c r="T7679" s="355"/>
    </row>
    <row r="7680" spans="14:20" x14ac:dyDescent="0.25">
      <c r="N7680" s="514"/>
      <c r="R7680" s="293"/>
      <c r="S7680" s="316"/>
      <c r="T7680" s="355"/>
    </row>
    <row r="7681" spans="14:20" x14ac:dyDescent="0.25">
      <c r="N7681" s="514"/>
      <c r="R7681" s="293"/>
      <c r="S7681" s="316"/>
      <c r="T7681" s="355"/>
    </row>
    <row r="7682" spans="14:20" x14ac:dyDescent="0.25">
      <c r="N7682" s="514"/>
      <c r="R7682" s="293"/>
      <c r="S7682" s="316"/>
      <c r="T7682" s="355"/>
    </row>
    <row r="7683" spans="14:20" x14ac:dyDescent="0.25">
      <c r="N7683" s="514"/>
      <c r="R7683" s="293"/>
      <c r="S7683" s="316"/>
      <c r="T7683" s="355"/>
    </row>
    <row r="7684" spans="14:20" x14ac:dyDescent="0.25">
      <c r="N7684" s="514"/>
      <c r="R7684" s="293"/>
      <c r="S7684" s="316"/>
      <c r="T7684" s="355"/>
    </row>
    <row r="7685" spans="14:20" x14ac:dyDescent="0.25">
      <c r="N7685" s="514"/>
      <c r="R7685" s="293"/>
      <c r="S7685" s="316"/>
      <c r="T7685" s="355"/>
    </row>
    <row r="7686" spans="14:20" x14ac:dyDescent="0.25">
      <c r="N7686" s="514"/>
      <c r="R7686" s="293"/>
      <c r="S7686" s="316"/>
      <c r="T7686" s="355"/>
    </row>
    <row r="7687" spans="14:20" x14ac:dyDescent="0.25">
      <c r="N7687" s="514"/>
      <c r="R7687" s="293"/>
      <c r="S7687" s="316"/>
      <c r="T7687" s="355"/>
    </row>
    <row r="7688" spans="14:20" x14ac:dyDescent="0.25">
      <c r="N7688" s="514"/>
      <c r="R7688" s="293"/>
      <c r="S7688" s="316"/>
      <c r="T7688" s="355"/>
    </row>
    <row r="7689" spans="14:20" x14ac:dyDescent="0.25">
      <c r="N7689" s="514"/>
      <c r="R7689" s="293"/>
      <c r="S7689" s="316"/>
      <c r="T7689" s="355"/>
    </row>
    <row r="7690" spans="14:20" x14ac:dyDescent="0.25">
      <c r="N7690" s="514"/>
      <c r="R7690" s="293"/>
      <c r="S7690" s="316"/>
      <c r="T7690" s="355"/>
    </row>
    <row r="7691" spans="14:20" x14ac:dyDescent="0.25">
      <c r="N7691" s="514"/>
      <c r="R7691" s="293"/>
      <c r="S7691" s="316"/>
      <c r="T7691" s="355"/>
    </row>
    <row r="7692" spans="14:20" x14ac:dyDescent="0.25">
      <c r="N7692" s="514"/>
      <c r="R7692" s="293"/>
      <c r="S7692" s="316"/>
      <c r="T7692" s="355"/>
    </row>
    <row r="7693" spans="14:20" x14ac:dyDescent="0.25">
      <c r="N7693" s="514"/>
      <c r="R7693" s="293"/>
      <c r="S7693" s="316"/>
      <c r="T7693" s="355"/>
    </row>
    <row r="7694" spans="14:20" x14ac:dyDescent="0.25">
      <c r="N7694" s="514"/>
      <c r="R7694" s="293"/>
      <c r="S7694" s="316"/>
      <c r="T7694" s="355"/>
    </row>
    <row r="7695" spans="14:20" x14ac:dyDescent="0.25">
      <c r="N7695" s="514"/>
      <c r="R7695" s="293"/>
      <c r="S7695" s="316"/>
      <c r="T7695" s="355"/>
    </row>
    <row r="7696" spans="14:20" x14ac:dyDescent="0.25">
      <c r="N7696" s="514"/>
      <c r="R7696" s="293"/>
      <c r="S7696" s="316"/>
      <c r="T7696" s="355"/>
    </row>
    <row r="7697" spans="14:20" x14ac:dyDescent="0.25">
      <c r="N7697" s="514"/>
      <c r="R7697" s="293"/>
      <c r="S7697" s="316"/>
      <c r="T7697" s="355"/>
    </row>
    <row r="7698" spans="14:20" x14ac:dyDescent="0.25">
      <c r="N7698" s="514"/>
      <c r="R7698" s="293"/>
      <c r="S7698" s="316"/>
      <c r="T7698" s="355"/>
    </row>
    <row r="7699" spans="14:20" x14ac:dyDescent="0.25">
      <c r="N7699" s="514"/>
      <c r="R7699" s="293"/>
      <c r="S7699" s="316"/>
      <c r="T7699" s="355"/>
    </row>
    <row r="7700" spans="14:20" x14ac:dyDescent="0.25">
      <c r="N7700" s="514"/>
      <c r="R7700" s="293"/>
      <c r="S7700" s="316"/>
      <c r="T7700" s="355"/>
    </row>
    <row r="7701" spans="14:20" x14ac:dyDescent="0.25">
      <c r="N7701" s="514"/>
      <c r="R7701" s="293"/>
      <c r="S7701" s="316"/>
      <c r="T7701" s="355"/>
    </row>
    <row r="7702" spans="14:20" x14ac:dyDescent="0.25">
      <c r="N7702" s="514"/>
      <c r="R7702" s="293"/>
      <c r="S7702" s="316"/>
      <c r="T7702" s="355"/>
    </row>
    <row r="7703" spans="14:20" x14ac:dyDescent="0.25">
      <c r="N7703" s="514"/>
      <c r="R7703" s="293"/>
      <c r="S7703" s="316"/>
      <c r="T7703" s="355"/>
    </row>
    <row r="7704" spans="14:20" x14ac:dyDescent="0.25">
      <c r="N7704" s="514"/>
      <c r="R7704" s="293"/>
      <c r="S7704" s="316"/>
      <c r="T7704" s="355"/>
    </row>
    <row r="7705" spans="14:20" x14ac:dyDescent="0.25">
      <c r="N7705" s="514"/>
      <c r="R7705" s="293"/>
      <c r="S7705" s="316"/>
      <c r="T7705" s="355"/>
    </row>
    <row r="7706" spans="14:20" x14ac:dyDescent="0.25">
      <c r="N7706" s="514"/>
      <c r="R7706" s="293"/>
      <c r="S7706" s="316"/>
      <c r="T7706" s="355"/>
    </row>
    <row r="7707" spans="14:20" x14ac:dyDescent="0.25">
      <c r="N7707" s="514"/>
      <c r="R7707" s="293"/>
      <c r="S7707" s="316"/>
      <c r="T7707" s="355"/>
    </row>
    <row r="7708" spans="14:20" x14ac:dyDescent="0.25">
      <c r="N7708" s="514"/>
      <c r="R7708" s="293"/>
      <c r="S7708" s="316"/>
      <c r="T7708" s="355"/>
    </row>
    <row r="7709" spans="14:20" x14ac:dyDescent="0.25">
      <c r="N7709" s="514"/>
      <c r="R7709" s="293"/>
      <c r="S7709" s="316"/>
      <c r="T7709" s="355"/>
    </row>
    <row r="7710" spans="14:20" x14ac:dyDescent="0.25">
      <c r="N7710" s="514"/>
      <c r="R7710" s="293"/>
      <c r="S7710" s="316"/>
      <c r="T7710" s="355"/>
    </row>
    <row r="7711" spans="14:20" x14ac:dyDescent="0.25">
      <c r="N7711" s="514"/>
      <c r="R7711" s="293"/>
      <c r="S7711" s="316"/>
      <c r="T7711" s="355"/>
    </row>
    <row r="7712" spans="14:20" x14ac:dyDescent="0.25">
      <c r="N7712" s="514"/>
      <c r="R7712" s="293"/>
      <c r="S7712" s="316"/>
      <c r="T7712" s="355"/>
    </row>
    <row r="7713" spans="14:20" x14ac:dyDescent="0.25">
      <c r="N7713" s="514"/>
      <c r="R7713" s="293"/>
      <c r="S7713" s="316"/>
      <c r="T7713" s="355"/>
    </row>
    <row r="7714" spans="14:20" x14ac:dyDescent="0.25">
      <c r="N7714" s="514"/>
      <c r="R7714" s="293"/>
      <c r="S7714" s="316"/>
      <c r="T7714" s="355"/>
    </row>
    <row r="7715" spans="14:20" x14ac:dyDescent="0.25">
      <c r="N7715" s="514"/>
      <c r="R7715" s="293"/>
      <c r="S7715" s="316"/>
      <c r="T7715" s="355"/>
    </row>
    <row r="7716" spans="14:20" x14ac:dyDescent="0.25">
      <c r="N7716" s="514"/>
      <c r="R7716" s="293"/>
      <c r="S7716" s="316"/>
      <c r="T7716" s="355"/>
    </row>
    <row r="7717" spans="14:20" x14ac:dyDescent="0.25">
      <c r="N7717" s="514"/>
      <c r="R7717" s="293"/>
      <c r="S7717" s="316"/>
      <c r="T7717" s="355"/>
    </row>
    <row r="7718" spans="14:20" x14ac:dyDescent="0.25">
      <c r="N7718" s="514"/>
      <c r="R7718" s="293"/>
      <c r="S7718" s="316"/>
      <c r="T7718" s="355"/>
    </row>
    <row r="7719" spans="14:20" x14ac:dyDescent="0.25">
      <c r="N7719" s="514"/>
      <c r="R7719" s="293"/>
      <c r="S7719" s="316"/>
      <c r="T7719" s="355"/>
    </row>
    <row r="7720" spans="14:20" x14ac:dyDescent="0.25">
      <c r="N7720" s="514"/>
      <c r="R7720" s="293"/>
      <c r="S7720" s="316"/>
      <c r="T7720" s="355"/>
    </row>
    <row r="7721" spans="14:20" x14ac:dyDescent="0.25">
      <c r="N7721" s="514"/>
      <c r="R7721" s="293"/>
      <c r="S7721" s="316"/>
      <c r="T7721" s="355"/>
    </row>
    <row r="7722" spans="14:20" x14ac:dyDescent="0.25">
      <c r="N7722" s="514"/>
      <c r="R7722" s="293"/>
      <c r="S7722" s="316"/>
      <c r="T7722" s="355"/>
    </row>
    <row r="7723" spans="14:20" x14ac:dyDescent="0.25">
      <c r="N7723" s="514"/>
      <c r="R7723" s="293"/>
      <c r="S7723" s="316"/>
      <c r="T7723" s="355"/>
    </row>
    <row r="7724" spans="14:20" x14ac:dyDescent="0.25">
      <c r="N7724" s="514"/>
      <c r="R7724" s="293"/>
      <c r="S7724" s="316"/>
      <c r="T7724" s="355"/>
    </row>
    <row r="7725" spans="14:20" x14ac:dyDescent="0.25">
      <c r="N7725" s="514"/>
      <c r="R7725" s="293"/>
      <c r="S7725" s="316"/>
      <c r="T7725" s="355"/>
    </row>
    <row r="7726" spans="14:20" x14ac:dyDescent="0.25">
      <c r="N7726" s="514"/>
      <c r="R7726" s="293"/>
      <c r="S7726" s="316"/>
      <c r="T7726" s="355"/>
    </row>
    <row r="7727" spans="14:20" x14ac:dyDescent="0.25">
      <c r="N7727" s="514"/>
      <c r="R7727" s="293"/>
      <c r="S7727" s="316"/>
      <c r="T7727" s="355"/>
    </row>
    <row r="7728" spans="14:20" x14ac:dyDescent="0.25">
      <c r="N7728" s="514"/>
      <c r="R7728" s="293"/>
      <c r="S7728" s="316"/>
      <c r="T7728" s="355"/>
    </row>
    <row r="7729" spans="14:20" x14ac:dyDescent="0.25">
      <c r="N7729" s="514"/>
      <c r="R7729" s="293"/>
      <c r="S7729" s="316"/>
      <c r="T7729" s="355"/>
    </row>
    <row r="7730" spans="14:20" x14ac:dyDescent="0.25">
      <c r="N7730" s="514"/>
      <c r="R7730" s="293"/>
      <c r="S7730" s="316"/>
      <c r="T7730" s="355"/>
    </row>
    <row r="7731" spans="14:20" x14ac:dyDescent="0.25">
      <c r="N7731" s="514"/>
      <c r="R7731" s="293"/>
      <c r="S7731" s="316"/>
      <c r="T7731" s="355"/>
    </row>
    <row r="7732" spans="14:20" x14ac:dyDescent="0.25">
      <c r="N7732" s="514"/>
      <c r="R7732" s="293"/>
      <c r="S7732" s="316"/>
      <c r="T7732" s="355"/>
    </row>
    <row r="7733" spans="14:20" x14ac:dyDescent="0.25">
      <c r="N7733" s="514"/>
      <c r="R7733" s="293"/>
      <c r="S7733" s="316"/>
      <c r="T7733" s="355"/>
    </row>
    <row r="7734" spans="14:20" x14ac:dyDescent="0.25">
      <c r="N7734" s="514"/>
      <c r="R7734" s="293"/>
      <c r="S7734" s="316"/>
      <c r="T7734" s="355"/>
    </row>
    <row r="7735" spans="14:20" x14ac:dyDescent="0.25">
      <c r="N7735" s="514"/>
      <c r="R7735" s="293"/>
      <c r="S7735" s="316"/>
      <c r="T7735" s="355"/>
    </row>
    <row r="7736" spans="14:20" x14ac:dyDescent="0.25">
      <c r="N7736" s="514"/>
      <c r="R7736" s="293"/>
      <c r="S7736" s="316"/>
      <c r="T7736" s="355"/>
    </row>
    <row r="7737" spans="14:20" x14ac:dyDescent="0.25">
      <c r="N7737" s="514"/>
      <c r="R7737" s="293"/>
      <c r="S7737" s="316"/>
      <c r="T7737" s="355"/>
    </row>
    <row r="7738" spans="14:20" x14ac:dyDescent="0.25">
      <c r="N7738" s="514"/>
      <c r="R7738" s="293"/>
      <c r="S7738" s="316"/>
      <c r="T7738" s="355"/>
    </row>
    <row r="7739" spans="14:20" x14ac:dyDescent="0.25">
      <c r="N7739" s="514"/>
      <c r="R7739" s="293"/>
      <c r="S7739" s="316"/>
      <c r="T7739" s="355"/>
    </row>
    <row r="7740" spans="14:20" x14ac:dyDescent="0.25">
      <c r="N7740" s="514"/>
      <c r="R7740" s="293"/>
      <c r="S7740" s="316"/>
      <c r="T7740" s="355"/>
    </row>
    <row r="7741" spans="14:20" x14ac:dyDescent="0.25">
      <c r="N7741" s="514"/>
      <c r="R7741" s="293"/>
      <c r="S7741" s="316"/>
      <c r="T7741" s="355"/>
    </row>
    <row r="7742" spans="14:20" x14ac:dyDescent="0.25">
      <c r="N7742" s="514"/>
      <c r="R7742" s="293"/>
      <c r="S7742" s="316"/>
      <c r="T7742" s="355"/>
    </row>
    <row r="7743" spans="14:20" x14ac:dyDescent="0.25">
      <c r="N7743" s="514"/>
      <c r="R7743" s="293"/>
      <c r="S7743" s="316"/>
      <c r="T7743" s="355"/>
    </row>
    <row r="7744" spans="14:20" x14ac:dyDescent="0.25">
      <c r="N7744" s="514"/>
      <c r="R7744" s="293"/>
      <c r="S7744" s="316"/>
      <c r="T7744" s="355"/>
    </row>
    <row r="7745" spans="14:20" x14ac:dyDescent="0.25">
      <c r="N7745" s="514"/>
      <c r="R7745" s="293"/>
      <c r="S7745" s="316"/>
      <c r="T7745" s="355"/>
    </row>
    <row r="7746" spans="14:20" x14ac:dyDescent="0.25">
      <c r="N7746" s="514"/>
      <c r="R7746" s="293"/>
      <c r="S7746" s="316"/>
      <c r="T7746" s="355"/>
    </row>
    <row r="7747" spans="14:20" x14ac:dyDescent="0.25">
      <c r="N7747" s="514"/>
      <c r="R7747" s="293"/>
      <c r="S7747" s="316"/>
      <c r="T7747" s="355"/>
    </row>
    <row r="7748" spans="14:20" x14ac:dyDescent="0.25">
      <c r="N7748" s="514"/>
      <c r="R7748" s="293"/>
      <c r="S7748" s="316"/>
      <c r="T7748" s="355"/>
    </row>
    <row r="7749" spans="14:20" x14ac:dyDescent="0.25">
      <c r="N7749" s="514"/>
      <c r="R7749" s="293"/>
      <c r="S7749" s="316"/>
      <c r="T7749" s="355"/>
    </row>
    <row r="7750" spans="14:20" x14ac:dyDescent="0.25">
      <c r="N7750" s="514"/>
      <c r="R7750" s="293"/>
      <c r="S7750" s="316"/>
      <c r="T7750" s="355"/>
    </row>
    <row r="7751" spans="14:20" x14ac:dyDescent="0.25">
      <c r="N7751" s="514"/>
      <c r="R7751" s="293"/>
      <c r="S7751" s="316"/>
      <c r="T7751" s="355"/>
    </row>
    <row r="7752" spans="14:20" x14ac:dyDescent="0.25">
      <c r="N7752" s="514"/>
      <c r="R7752" s="293"/>
      <c r="S7752" s="316"/>
      <c r="T7752" s="355"/>
    </row>
    <row r="7753" spans="14:20" x14ac:dyDescent="0.25">
      <c r="N7753" s="514"/>
      <c r="R7753" s="293"/>
      <c r="S7753" s="316"/>
      <c r="T7753" s="355"/>
    </row>
    <row r="7754" spans="14:20" x14ac:dyDescent="0.25">
      <c r="N7754" s="514"/>
      <c r="R7754" s="293"/>
      <c r="S7754" s="316"/>
      <c r="T7754" s="355"/>
    </row>
    <row r="7755" spans="14:20" x14ac:dyDescent="0.25">
      <c r="N7755" s="514"/>
      <c r="R7755" s="293"/>
      <c r="S7755" s="316"/>
      <c r="T7755" s="355"/>
    </row>
    <row r="7756" spans="14:20" x14ac:dyDescent="0.25">
      <c r="N7756" s="514"/>
      <c r="R7756" s="293"/>
      <c r="S7756" s="316"/>
      <c r="T7756" s="355"/>
    </row>
    <row r="7757" spans="14:20" x14ac:dyDescent="0.25">
      <c r="N7757" s="514"/>
      <c r="R7757" s="293"/>
      <c r="S7757" s="316"/>
      <c r="T7757" s="355"/>
    </row>
    <row r="7758" spans="14:20" x14ac:dyDescent="0.25">
      <c r="N7758" s="514"/>
      <c r="R7758" s="293"/>
      <c r="S7758" s="316"/>
      <c r="T7758" s="355"/>
    </row>
    <row r="7759" spans="14:20" x14ac:dyDescent="0.25">
      <c r="N7759" s="514"/>
      <c r="R7759" s="293"/>
      <c r="S7759" s="316"/>
      <c r="T7759" s="355"/>
    </row>
    <row r="7760" spans="14:20" x14ac:dyDescent="0.25">
      <c r="N7760" s="514"/>
      <c r="R7760" s="293"/>
      <c r="S7760" s="316"/>
      <c r="T7760" s="355"/>
    </row>
    <row r="7761" spans="14:20" x14ac:dyDescent="0.25">
      <c r="N7761" s="514"/>
      <c r="R7761" s="293"/>
      <c r="S7761" s="316"/>
      <c r="T7761" s="355"/>
    </row>
    <row r="7762" spans="14:20" x14ac:dyDescent="0.25">
      <c r="N7762" s="514"/>
      <c r="R7762" s="293"/>
      <c r="S7762" s="316"/>
      <c r="T7762" s="355"/>
    </row>
    <row r="7763" spans="14:20" x14ac:dyDescent="0.25">
      <c r="N7763" s="514"/>
      <c r="R7763" s="293"/>
      <c r="S7763" s="316"/>
      <c r="T7763" s="355"/>
    </row>
    <row r="7764" spans="14:20" x14ac:dyDescent="0.25">
      <c r="N7764" s="514"/>
      <c r="R7764" s="293"/>
      <c r="S7764" s="316"/>
      <c r="T7764" s="355"/>
    </row>
    <row r="7765" spans="14:20" x14ac:dyDescent="0.25">
      <c r="N7765" s="514"/>
      <c r="R7765" s="293"/>
      <c r="S7765" s="316"/>
      <c r="T7765" s="355"/>
    </row>
    <row r="7766" spans="14:20" x14ac:dyDescent="0.25">
      <c r="N7766" s="514"/>
      <c r="R7766" s="293"/>
      <c r="S7766" s="316"/>
      <c r="T7766" s="355"/>
    </row>
    <row r="7767" spans="14:20" x14ac:dyDescent="0.25">
      <c r="N7767" s="514"/>
      <c r="R7767" s="293"/>
      <c r="S7767" s="316"/>
      <c r="T7767" s="355"/>
    </row>
    <row r="7768" spans="14:20" x14ac:dyDescent="0.25">
      <c r="N7768" s="514"/>
      <c r="R7768" s="293"/>
      <c r="S7768" s="316"/>
      <c r="T7768" s="355"/>
    </row>
    <row r="7769" spans="14:20" x14ac:dyDescent="0.25">
      <c r="N7769" s="514"/>
      <c r="R7769" s="293"/>
      <c r="S7769" s="316"/>
      <c r="T7769" s="355"/>
    </row>
    <row r="7770" spans="14:20" x14ac:dyDescent="0.25">
      <c r="N7770" s="514"/>
      <c r="R7770" s="293"/>
      <c r="S7770" s="316"/>
      <c r="T7770" s="355"/>
    </row>
    <row r="7771" spans="14:20" x14ac:dyDescent="0.25">
      <c r="N7771" s="514"/>
      <c r="R7771" s="293"/>
      <c r="S7771" s="316"/>
      <c r="T7771" s="355"/>
    </row>
    <row r="7772" spans="14:20" x14ac:dyDescent="0.25">
      <c r="N7772" s="514"/>
      <c r="R7772" s="293"/>
      <c r="S7772" s="316"/>
      <c r="T7772" s="355"/>
    </row>
    <row r="7773" spans="14:20" x14ac:dyDescent="0.25">
      <c r="N7773" s="514"/>
      <c r="R7773" s="293"/>
      <c r="S7773" s="316"/>
      <c r="T7773" s="355"/>
    </row>
    <row r="7774" spans="14:20" x14ac:dyDescent="0.25">
      <c r="N7774" s="514"/>
      <c r="R7774" s="293"/>
      <c r="S7774" s="316"/>
      <c r="T7774" s="355"/>
    </row>
    <row r="7775" spans="14:20" x14ac:dyDescent="0.25">
      <c r="N7775" s="514"/>
      <c r="R7775" s="293"/>
      <c r="S7775" s="316"/>
      <c r="T7775" s="355"/>
    </row>
    <row r="7776" spans="14:20" x14ac:dyDescent="0.25">
      <c r="N7776" s="514"/>
      <c r="R7776" s="293"/>
      <c r="S7776" s="316"/>
      <c r="T7776" s="355"/>
    </row>
    <row r="7777" spans="14:20" x14ac:dyDescent="0.25">
      <c r="N7777" s="514"/>
      <c r="R7777" s="293"/>
      <c r="S7777" s="316"/>
      <c r="T7777" s="355"/>
    </row>
    <row r="7778" spans="14:20" x14ac:dyDescent="0.25">
      <c r="N7778" s="514"/>
      <c r="R7778" s="293"/>
      <c r="S7778" s="316"/>
      <c r="T7778" s="355"/>
    </row>
    <row r="7779" spans="14:20" x14ac:dyDescent="0.25">
      <c r="N7779" s="514"/>
      <c r="R7779" s="293"/>
      <c r="S7779" s="316"/>
      <c r="T7779" s="355"/>
    </row>
    <row r="7780" spans="14:20" x14ac:dyDescent="0.25">
      <c r="N7780" s="514"/>
      <c r="R7780" s="293"/>
      <c r="S7780" s="316"/>
      <c r="T7780" s="355"/>
    </row>
    <row r="7781" spans="14:20" x14ac:dyDescent="0.25">
      <c r="N7781" s="514"/>
      <c r="R7781" s="293"/>
      <c r="S7781" s="316"/>
      <c r="T7781" s="355"/>
    </row>
    <row r="7782" spans="14:20" x14ac:dyDescent="0.25">
      <c r="N7782" s="514"/>
      <c r="R7782" s="293"/>
      <c r="S7782" s="316"/>
      <c r="T7782" s="355"/>
    </row>
    <row r="7783" spans="14:20" x14ac:dyDescent="0.25">
      <c r="N7783" s="514"/>
      <c r="R7783" s="293"/>
      <c r="S7783" s="316"/>
      <c r="T7783" s="355"/>
    </row>
    <row r="7784" spans="14:20" x14ac:dyDescent="0.25">
      <c r="N7784" s="514"/>
      <c r="R7784" s="293"/>
      <c r="S7784" s="316"/>
      <c r="T7784" s="355"/>
    </row>
    <row r="7785" spans="14:20" x14ac:dyDescent="0.25">
      <c r="N7785" s="514"/>
      <c r="R7785" s="293"/>
      <c r="S7785" s="316"/>
      <c r="T7785" s="355"/>
    </row>
    <row r="7786" spans="14:20" x14ac:dyDescent="0.25">
      <c r="N7786" s="514"/>
      <c r="R7786" s="293"/>
      <c r="S7786" s="316"/>
      <c r="T7786" s="355"/>
    </row>
    <row r="7787" spans="14:20" x14ac:dyDescent="0.25">
      <c r="N7787" s="514"/>
      <c r="R7787" s="293"/>
      <c r="S7787" s="316"/>
      <c r="T7787" s="355"/>
    </row>
    <row r="7788" spans="14:20" x14ac:dyDescent="0.25">
      <c r="N7788" s="514"/>
      <c r="R7788" s="293"/>
      <c r="S7788" s="316"/>
      <c r="T7788" s="355"/>
    </row>
    <row r="7789" spans="14:20" x14ac:dyDescent="0.25">
      <c r="N7789" s="514"/>
      <c r="R7789" s="293"/>
      <c r="S7789" s="316"/>
      <c r="T7789" s="355"/>
    </row>
    <row r="7790" spans="14:20" x14ac:dyDescent="0.25">
      <c r="N7790" s="514"/>
      <c r="R7790" s="293"/>
      <c r="S7790" s="316"/>
      <c r="T7790" s="355"/>
    </row>
    <row r="7791" spans="14:20" x14ac:dyDescent="0.25">
      <c r="N7791" s="514"/>
      <c r="R7791" s="293"/>
      <c r="S7791" s="316"/>
      <c r="T7791" s="355"/>
    </row>
    <row r="7792" spans="14:20" x14ac:dyDescent="0.25">
      <c r="N7792" s="514"/>
      <c r="R7792" s="293"/>
      <c r="S7792" s="316"/>
      <c r="T7792" s="355"/>
    </row>
    <row r="7793" spans="14:20" x14ac:dyDescent="0.25">
      <c r="N7793" s="514"/>
      <c r="R7793" s="293"/>
      <c r="S7793" s="316"/>
      <c r="T7793" s="355"/>
    </row>
    <row r="7794" spans="14:20" x14ac:dyDescent="0.25">
      <c r="N7794" s="514"/>
      <c r="R7794" s="293"/>
      <c r="S7794" s="316"/>
      <c r="T7794" s="355"/>
    </row>
    <row r="7795" spans="14:20" x14ac:dyDescent="0.25">
      <c r="N7795" s="514"/>
      <c r="R7795" s="293"/>
      <c r="S7795" s="316"/>
      <c r="T7795" s="355"/>
    </row>
    <row r="7796" spans="14:20" x14ac:dyDescent="0.25">
      <c r="N7796" s="514"/>
      <c r="R7796" s="293"/>
      <c r="S7796" s="316"/>
      <c r="T7796" s="355"/>
    </row>
    <row r="7797" spans="14:20" x14ac:dyDescent="0.25">
      <c r="N7797" s="514"/>
      <c r="R7797" s="293"/>
      <c r="S7797" s="316"/>
      <c r="T7797" s="355"/>
    </row>
    <row r="7798" spans="14:20" x14ac:dyDescent="0.25">
      <c r="N7798" s="514"/>
      <c r="R7798" s="293"/>
      <c r="S7798" s="316"/>
      <c r="T7798" s="355"/>
    </row>
    <row r="7799" spans="14:20" x14ac:dyDescent="0.25">
      <c r="N7799" s="514"/>
      <c r="R7799" s="293"/>
      <c r="S7799" s="316"/>
      <c r="T7799" s="355"/>
    </row>
    <row r="7800" spans="14:20" x14ac:dyDescent="0.25">
      <c r="N7800" s="514"/>
      <c r="R7800" s="293"/>
      <c r="S7800" s="316"/>
      <c r="T7800" s="355"/>
    </row>
    <row r="7801" spans="14:20" x14ac:dyDescent="0.25">
      <c r="N7801" s="514"/>
      <c r="R7801" s="293"/>
      <c r="S7801" s="316"/>
      <c r="T7801" s="355"/>
    </row>
    <row r="7802" spans="14:20" x14ac:dyDescent="0.25">
      <c r="N7802" s="514"/>
      <c r="R7802" s="293"/>
      <c r="S7802" s="316"/>
      <c r="T7802" s="355"/>
    </row>
    <row r="7803" spans="14:20" x14ac:dyDescent="0.25">
      <c r="N7803" s="514"/>
      <c r="R7803" s="293"/>
      <c r="S7803" s="316"/>
      <c r="T7803" s="355"/>
    </row>
    <row r="7804" spans="14:20" x14ac:dyDescent="0.25">
      <c r="N7804" s="514"/>
      <c r="R7804" s="293"/>
      <c r="S7804" s="316"/>
      <c r="T7804" s="355"/>
    </row>
    <row r="7805" spans="14:20" x14ac:dyDescent="0.25">
      <c r="N7805" s="514"/>
      <c r="R7805" s="293"/>
      <c r="S7805" s="316"/>
      <c r="T7805" s="355"/>
    </row>
    <row r="7806" spans="14:20" x14ac:dyDescent="0.25">
      <c r="N7806" s="514"/>
      <c r="R7806" s="293"/>
      <c r="S7806" s="316"/>
      <c r="T7806" s="355"/>
    </row>
    <row r="7807" spans="14:20" x14ac:dyDescent="0.25">
      <c r="N7807" s="514"/>
      <c r="R7807" s="293"/>
      <c r="S7807" s="316"/>
      <c r="T7807" s="355"/>
    </row>
    <row r="7808" spans="14:20" x14ac:dyDescent="0.25">
      <c r="N7808" s="514"/>
      <c r="R7808" s="293"/>
      <c r="S7808" s="316"/>
      <c r="T7808" s="355"/>
    </row>
    <row r="7809" spans="14:20" x14ac:dyDescent="0.25">
      <c r="N7809" s="514"/>
      <c r="R7809" s="293"/>
      <c r="S7809" s="316"/>
      <c r="T7809" s="355"/>
    </row>
    <row r="7810" spans="14:20" x14ac:dyDescent="0.25">
      <c r="N7810" s="514"/>
      <c r="R7810" s="293"/>
      <c r="S7810" s="316"/>
      <c r="T7810" s="355"/>
    </row>
    <row r="7811" spans="14:20" x14ac:dyDescent="0.25">
      <c r="N7811" s="514"/>
      <c r="R7811" s="293"/>
      <c r="S7811" s="316"/>
      <c r="T7811" s="355"/>
    </row>
    <row r="7812" spans="14:20" x14ac:dyDescent="0.25">
      <c r="N7812" s="514"/>
      <c r="R7812" s="293"/>
      <c r="S7812" s="316"/>
      <c r="T7812" s="355"/>
    </row>
    <row r="7813" spans="14:20" x14ac:dyDescent="0.25">
      <c r="N7813" s="514"/>
      <c r="R7813" s="293"/>
      <c r="S7813" s="316"/>
      <c r="T7813" s="355"/>
    </row>
    <row r="7814" spans="14:20" x14ac:dyDescent="0.25">
      <c r="N7814" s="514"/>
      <c r="R7814" s="293"/>
      <c r="S7814" s="316"/>
      <c r="T7814" s="355"/>
    </row>
    <row r="7815" spans="14:20" x14ac:dyDescent="0.25">
      <c r="N7815" s="514"/>
      <c r="R7815" s="293"/>
      <c r="S7815" s="316"/>
      <c r="T7815" s="355"/>
    </row>
    <row r="7816" spans="14:20" x14ac:dyDescent="0.25">
      <c r="N7816" s="514"/>
      <c r="R7816" s="293"/>
      <c r="S7816" s="316"/>
      <c r="T7816" s="355"/>
    </row>
    <row r="7817" spans="14:20" x14ac:dyDescent="0.25">
      <c r="N7817" s="514"/>
      <c r="R7817" s="293"/>
      <c r="S7817" s="316"/>
      <c r="T7817" s="355"/>
    </row>
    <row r="7818" spans="14:20" x14ac:dyDescent="0.25">
      <c r="N7818" s="514"/>
      <c r="R7818" s="293"/>
      <c r="S7818" s="316"/>
      <c r="T7818" s="355"/>
    </row>
    <row r="7819" spans="14:20" x14ac:dyDescent="0.25">
      <c r="N7819" s="514"/>
      <c r="R7819" s="293"/>
      <c r="S7819" s="316"/>
      <c r="T7819" s="355"/>
    </row>
    <row r="7820" spans="14:20" x14ac:dyDescent="0.25">
      <c r="N7820" s="514"/>
      <c r="R7820" s="293"/>
      <c r="S7820" s="316"/>
      <c r="T7820" s="355"/>
    </row>
    <row r="7821" spans="14:20" x14ac:dyDescent="0.25">
      <c r="N7821" s="514"/>
      <c r="R7821" s="293"/>
      <c r="S7821" s="316"/>
      <c r="T7821" s="355"/>
    </row>
    <row r="7822" spans="14:20" x14ac:dyDescent="0.25">
      <c r="N7822" s="514"/>
      <c r="R7822" s="293"/>
      <c r="S7822" s="316"/>
      <c r="T7822" s="355"/>
    </row>
    <row r="7823" spans="14:20" x14ac:dyDescent="0.25">
      <c r="N7823" s="514"/>
      <c r="R7823" s="293"/>
      <c r="S7823" s="316"/>
      <c r="T7823" s="355"/>
    </row>
    <row r="7824" spans="14:20" x14ac:dyDescent="0.25">
      <c r="N7824" s="514"/>
      <c r="R7824" s="293"/>
      <c r="S7824" s="316"/>
      <c r="T7824" s="355"/>
    </row>
    <row r="7825" spans="14:20" x14ac:dyDescent="0.25">
      <c r="N7825" s="514"/>
      <c r="R7825" s="293"/>
      <c r="S7825" s="316"/>
      <c r="T7825" s="355"/>
    </row>
    <row r="7826" spans="14:20" x14ac:dyDescent="0.25">
      <c r="N7826" s="514"/>
      <c r="R7826" s="293"/>
      <c r="S7826" s="316"/>
      <c r="T7826" s="355"/>
    </row>
    <row r="7827" spans="14:20" x14ac:dyDescent="0.25">
      <c r="N7827" s="514"/>
      <c r="R7827" s="293"/>
      <c r="S7827" s="316"/>
      <c r="T7827" s="355"/>
    </row>
    <row r="7828" spans="14:20" x14ac:dyDescent="0.25">
      <c r="N7828" s="514"/>
      <c r="R7828" s="293"/>
      <c r="S7828" s="316"/>
      <c r="T7828" s="355"/>
    </row>
    <row r="7829" spans="14:20" x14ac:dyDescent="0.25">
      <c r="N7829" s="514"/>
      <c r="R7829" s="293"/>
      <c r="S7829" s="316"/>
      <c r="T7829" s="355"/>
    </row>
    <row r="7830" spans="14:20" x14ac:dyDescent="0.25">
      <c r="N7830" s="514"/>
      <c r="R7830" s="293"/>
      <c r="S7830" s="316"/>
      <c r="T7830" s="355"/>
    </row>
    <row r="7831" spans="14:20" x14ac:dyDescent="0.25">
      <c r="N7831" s="514"/>
      <c r="R7831" s="293"/>
      <c r="S7831" s="316"/>
      <c r="T7831" s="355"/>
    </row>
    <row r="7832" spans="14:20" x14ac:dyDescent="0.25">
      <c r="N7832" s="514"/>
      <c r="R7832" s="293"/>
      <c r="S7832" s="316"/>
      <c r="T7832" s="355"/>
    </row>
    <row r="7833" spans="14:20" x14ac:dyDescent="0.25">
      <c r="N7833" s="514"/>
      <c r="R7833" s="293"/>
      <c r="S7833" s="316"/>
      <c r="T7833" s="355"/>
    </row>
    <row r="7834" spans="14:20" x14ac:dyDescent="0.25">
      <c r="N7834" s="514"/>
      <c r="R7834" s="293"/>
      <c r="S7834" s="316"/>
      <c r="T7834" s="355"/>
    </row>
    <row r="7835" spans="14:20" x14ac:dyDescent="0.25">
      <c r="N7835" s="514"/>
      <c r="R7835" s="293"/>
      <c r="S7835" s="316"/>
      <c r="T7835" s="355"/>
    </row>
    <row r="7836" spans="14:20" x14ac:dyDescent="0.25">
      <c r="N7836" s="514"/>
      <c r="R7836" s="293"/>
      <c r="S7836" s="316"/>
      <c r="T7836" s="355"/>
    </row>
    <row r="7837" spans="14:20" x14ac:dyDescent="0.25">
      <c r="N7837" s="514"/>
      <c r="R7837" s="293"/>
      <c r="S7837" s="316"/>
      <c r="T7837" s="355"/>
    </row>
    <row r="7838" spans="14:20" x14ac:dyDescent="0.25">
      <c r="N7838" s="514"/>
      <c r="R7838" s="293"/>
      <c r="S7838" s="316"/>
      <c r="T7838" s="355"/>
    </row>
    <row r="7839" spans="14:20" x14ac:dyDescent="0.25">
      <c r="N7839" s="514"/>
      <c r="R7839" s="293"/>
      <c r="S7839" s="316"/>
      <c r="T7839" s="355"/>
    </row>
    <row r="7840" spans="14:20" x14ac:dyDescent="0.25">
      <c r="N7840" s="514"/>
      <c r="R7840" s="293"/>
      <c r="S7840" s="316"/>
      <c r="T7840" s="355"/>
    </row>
    <row r="7841" spans="14:20" x14ac:dyDescent="0.25">
      <c r="N7841" s="514"/>
      <c r="R7841" s="293"/>
      <c r="S7841" s="316"/>
      <c r="T7841" s="355"/>
    </row>
    <row r="7842" spans="14:20" x14ac:dyDescent="0.25">
      <c r="N7842" s="514"/>
      <c r="R7842" s="293"/>
      <c r="S7842" s="316"/>
      <c r="T7842" s="355"/>
    </row>
    <row r="7843" spans="14:20" x14ac:dyDescent="0.25">
      <c r="N7843" s="514"/>
      <c r="R7843" s="293"/>
      <c r="S7843" s="316"/>
      <c r="T7843" s="355"/>
    </row>
    <row r="7844" spans="14:20" x14ac:dyDescent="0.25">
      <c r="N7844" s="514"/>
      <c r="R7844" s="293"/>
      <c r="S7844" s="316"/>
      <c r="T7844" s="355"/>
    </row>
    <row r="7845" spans="14:20" x14ac:dyDescent="0.25">
      <c r="N7845" s="514"/>
      <c r="R7845" s="293"/>
      <c r="S7845" s="316"/>
      <c r="T7845" s="355"/>
    </row>
    <row r="7846" spans="14:20" x14ac:dyDescent="0.25">
      <c r="N7846" s="514"/>
      <c r="R7846" s="293"/>
      <c r="S7846" s="316"/>
      <c r="T7846" s="355"/>
    </row>
    <row r="7847" spans="14:20" x14ac:dyDescent="0.25">
      <c r="N7847" s="514"/>
      <c r="R7847" s="293"/>
      <c r="S7847" s="316"/>
      <c r="T7847" s="355"/>
    </row>
    <row r="7848" spans="14:20" x14ac:dyDescent="0.25">
      <c r="N7848" s="514"/>
      <c r="R7848" s="293"/>
      <c r="S7848" s="316"/>
      <c r="T7848" s="355"/>
    </row>
    <row r="7849" spans="14:20" x14ac:dyDescent="0.25">
      <c r="N7849" s="514"/>
      <c r="R7849" s="293"/>
      <c r="S7849" s="316"/>
      <c r="T7849" s="355"/>
    </row>
    <row r="7850" spans="14:20" x14ac:dyDescent="0.25">
      <c r="N7850" s="514"/>
      <c r="R7850" s="293"/>
      <c r="S7850" s="316"/>
      <c r="T7850" s="355"/>
    </row>
    <row r="7851" spans="14:20" x14ac:dyDescent="0.25">
      <c r="N7851" s="514"/>
      <c r="R7851" s="293"/>
      <c r="S7851" s="316"/>
      <c r="T7851" s="355"/>
    </row>
    <row r="7852" spans="14:20" x14ac:dyDescent="0.25">
      <c r="N7852" s="514"/>
      <c r="R7852" s="293"/>
      <c r="S7852" s="316"/>
      <c r="T7852" s="355"/>
    </row>
    <row r="7853" spans="14:20" x14ac:dyDescent="0.25">
      <c r="N7853" s="514"/>
      <c r="R7853" s="293"/>
      <c r="S7853" s="316"/>
      <c r="T7853" s="355"/>
    </row>
    <row r="7854" spans="14:20" x14ac:dyDescent="0.25">
      <c r="N7854" s="514"/>
      <c r="R7854" s="293"/>
      <c r="S7854" s="316"/>
      <c r="T7854" s="355"/>
    </row>
    <row r="7855" spans="14:20" x14ac:dyDescent="0.25">
      <c r="N7855" s="514"/>
      <c r="R7855" s="293"/>
      <c r="S7855" s="316"/>
      <c r="T7855" s="355"/>
    </row>
    <row r="7856" spans="14:20" x14ac:dyDescent="0.25">
      <c r="N7856" s="514"/>
      <c r="R7856" s="293"/>
      <c r="S7856" s="316"/>
      <c r="T7856" s="355"/>
    </row>
    <row r="7857" spans="14:20" x14ac:dyDescent="0.25">
      <c r="N7857" s="514"/>
      <c r="R7857" s="293"/>
      <c r="S7857" s="316"/>
      <c r="T7857" s="355"/>
    </row>
    <row r="7858" spans="14:20" x14ac:dyDescent="0.25">
      <c r="N7858" s="514"/>
      <c r="R7858" s="293"/>
      <c r="S7858" s="316"/>
      <c r="T7858" s="355"/>
    </row>
    <row r="7859" spans="14:20" x14ac:dyDescent="0.25">
      <c r="N7859" s="514"/>
      <c r="R7859" s="293"/>
      <c r="S7859" s="316"/>
      <c r="T7859" s="355"/>
    </row>
    <row r="7860" spans="14:20" x14ac:dyDescent="0.25">
      <c r="N7860" s="514"/>
      <c r="R7860" s="293"/>
      <c r="S7860" s="316"/>
      <c r="T7860" s="355"/>
    </row>
    <row r="7861" spans="14:20" x14ac:dyDescent="0.25">
      <c r="N7861" s="514"/>
      <c r="R7861" s="293"/>
      <c r="S7861" s="316"/>
      <c r="T7861" s="355"/>
    </row>
    <row r="7862" spans="14:20" x14ac:dyDescent="0.25">
      <c r="N7862" s="514"/>
      <c r="R7862" s="293"/>
      <c r="S7862" s="316"/>
      <c r="T7862" s="355"/>
    </row>
    <row r="7863" spans="14:20" x14ac:dyDescent="0.25">
      <c r="N7863" s="514"/>
      <c r="R7863" s="293"/>
      <c r="S7863" s="316"/>
      <c r="T7863" s="355"/>
    </row>
    <row r="7864" spans="14:20" x14ac:dyDescent="0.25">
      <c r="N7864" s="514"/>
      <c r="R7864" s="293"/>
      <c r="S7864" s="316"/>
      <c r="T7864" s="355"/>
    </row>
    <row r="7865" spans="14:20" x14ac:dyDescent="0.25">
      <c r="N7865" s="514"/>
      <c r="R7865" s="293"/>
      <c r="S7865" s="316"/>
      <c r="T7865" s="355"/>
    </row>
    <row r="7866" spans="14:20" x14ac:dyDescent="0.25">
      <c r="N7866" s="514"/>
      <c r="R7866" s="293"/>
      <c r="S7866" s="316"/>
      <c r="T7866" s="355"/>
    </row>
    <row r="7867" spans="14:20" x14ac:dyDescent="0.25">
      <c r="N7867" s="514"/>
      <c r="R7867" s="293"/>
      <c r="S7867" s="316"/>
      <c r="T7867" s="355"/>
    </row>
    <row r="7868" spans="14:20" x14ac:dyDescent="0.25">
      <c r="N7868" s="514"/>
      <c r="R7868" s="293"/>
      <c r="S7868" s="316"/>
      <c r="T7868" s="355"/>
    </row>
    <row r="7869" spans="14:20" x14ac:dyDescent="0.25">
      <c r="N7869" s="514"/>
      <c r="R7869" s="293"/>
      <c r="S7869" s="316"/>
      <c r="T7869" s="355"/>
    </row>
    <row r="7870" spans="14:20" x14ac:dyDescent="0.25">
      <c r="N7870" s="514"/>
      <c r="R7870" s="293"/>
      <c r="S7870" s="316"/>
      <c r="T7870" s="355"/>
    </row>
    <row r="7871" spans="14:20" x14ac:dyDescent="0.25">
      <c r="N7871" s="514"/>
      <c r="R7871" s="293"/>
      <c r="S7871" s="316"/>
      <c r="T7871" s="355"/>
    </row>
    <row r="7872" spans="14:20" x14ac:dyDescent="0.25">
      <c r="N7872" s="514"/>
      <c r="R7872" s="293"/>
      <c r="S7872" s="316"/>
      <c r="T7872" s="355"/>
    </row>
    <row r="7873" spans="14:20" x14ac:dyDescent="0.25">
      <c r="N7873" s="514"/>
      <c r="R7873" s="293"/>
      <c r="S7873" s="316"/>
      <c r="T7873" s="355"/>
    </row>
    <row r="7874" spans="14:20" x14ac:dyDescent="0.25">
      <c r="N7874" s="514"/>
      <c r="R7874" s="293"/>
      <c r="S7874" s="316"/>
      <c r="T7874" s="355"/>
    </row>
    <row r="7875" spans="14:20" x14ac:dyDescent="0.25">
      <c r="N7875" s="514"/>
      <c r="R7875" s="293"/>
      <c r="S7875" s="316"/>
      <c r="T7875" s="355"/>
    </row>
    <row r="7876" spans="14:20" x14ac:dyDescent="0.25">
      <c r="N7876" s="514"/>
      <c r="R7876" s="293"/>
      <c r="S7876" s="316"/>
      <c r="T7876" s="355"/>
    </row>
    <row r="7877" spans="14:20" x14ac:dyDescent="0.25">
      <c r="N7877" s="514"/>
      <c r="R7877" s="293"/>
      <c r="S7877" s="316"/>
      <c r="T7877" s="355"/>
    </row>
    <row r="7878" spans="14:20" x14ac:dyDescent="0.25">
      <c r="N7878" s="514"/>
      <c r="R7878" s="293"/>
      <c r="S7878" s="316"/>
      <c r="T7878" s="355"/>
    </row>
    <row r="7879" spans="14:20" x14ac:dyDescent="0.25">
      <c r="N7879" s="514"/>
      <c r="R7879" s="293"/>
      <c r="S7879" s="316"/>
      <c r="T7879" s="355"/>
    </row>
    <row r="7880" spans="14:20" x14ac:dyDescent="0.25">
      <c r="N7880" s="514"/>
      <c r="R7880" s="293"/>
      <c r="S7880" s="316"/>
      <c r="T7880" s="355"/>
    </row>
    <row r="7881" spans="14:20" x14ac:dyDescent="0.25">
      <c r="N7881" s="514"/>
      <c r="R7881" s="293"/>
      <c r="S7881" s="316"/>
      <c r="T7881" s="355"/>
    </row>
    <row r="7882" spans="14:20" x14ac:dyDescent="0.25">
      <c r="N7882" s="514"/>
      <c r="R7882" s="293"/>
      <c r="S7882" s="316"/>
      <c r="T7882" s="355"/>
    </row>
    <row r="7883" spans="14:20" x14ac:dyDescent="0.25">
      <c r="N7883" s="514"/>
      <c r="R7883" s="293"/>
      <c r="S7883" s="316"/>
      <c r="T7883" s="355"/>
    </row>
    <row r="7884" spans="14:20" x14ac:dyDescent="0.25">
      <c r="N7884" s="514"/>
      <c r="R7884" s="293"/>
      <c r="S7884" s="316"/>
      <c r="T7884" s="355"/>
    </row>
    <row r="7885" spans="14:20" x14ac:dyDescent="0.25">
      <c r="N7885" s="514"/>
      <c r="R7885" s="293"/>
      <c r="S7885" s="316"/>
      <c r="T7885" s="355"/>
    </row>
    <row r="7886" spans="14:20" x14ac:dyDescent="0.25">
      <c r="N7886" s="514"/>
      <c r="R7886" s="293"/>
      <c r="S7886" s="316"/>
      <c r="T7886" s="355"/>
    </row>
    <row r="7887" spans="14:20" x14ac:dyDescent="0.25">
      <c r="N7887" s="514"/>
      <c r="R7887" s="293"/>
      <c r="S7887" s="316"/>
      <c r="T7887" s="355"/>
    </row>
    <row r="7888" spans="14:20" x14ac:dyDescent="0.25">
      <c r="N7888" s="514"/>
      <c r="R7888" s="293"/>
      <c r="S7888" s="316"/>
      <c r="T7888" s="355"/>
    </row>
    <row r="7889" spans="14:20" x14ac:dyDescent="0.25">
      <c r="N7889" s="514"/>
      <c r="R7889" s="293"/>
      <c r="S7889" s="316"/>
      <c r="T7889" s="355"/>
    </row>
    <row r="7890" spans="14:20" x14ac:dyDescent="0.25">
      <c r="N7890" s="514"/>
      <c r="R7890" s="293"/>
      <c r="S7890" s="316"/>
      <c r="T7890" s="355"/>
    </row>
    <row r="7891" spans="14:20" x14ac:dyDescent="0.25">
      <c r="N7891" s="514"/>
      <c r="R7891" s="293"/>
      <c r="S7891" s="316"/>
      <c r="T7891" s="355"/>
    </row>
    <row r="7892" spans="14:20" x14ac:dyDescent="0.25">
      <c r="N7892" s="514"/>
      <c r="R7892" s="293"/>
      <c r="S7892" s="316"/>
      <c r="T7892" s="355"/>
    </row>
    <row r="7893" spans="14:20" x14ac:dyDescent="0.25">
      <c r="N7893" s="514"/>
      <c r="R7893" s="293"/>
      <c r="S7893" s="316"/>
      <c r="T7893" s="355"/>
    </row>
    <row r="7894" spans="14:20" x14ac:dyDescent="0.25">
      <c r="N7894" s="514"/>
      <c r="R7894" s="293"/>
      <c r="S7894" s="316"/>
      <c r="T7894" s="355"/>
    </row>
    <row r="7895" spans="14:20" x14ac:dyDescent="0.25">
      <c r="N7895" s="514"/>
      <c r="R7895" s="293"/>
      <c r="S7895" s="316"/>
      <c r="T7895" s="355"/>
    </row>
    <row r="7896" spans="14:20" x14ac:dyDescent="0.25">
      <c r="N7896" s="514"/>
      <c r="R7896" s="293"/>
      <c r="S7896" s="316"/>
      <c r="T7896" s="355"/>
    </row>
    <row r="7897" spans="14:20" x14ac:dyDescent="0.25">
      <c r="N7897" s="514"/>
      <c r="R7897" s="293"/>
      <c r="S7897" s="316"/>
      <c r="T7897" s="355"/>
    </row>
    <row r="7898" spans="14:20" x14ac:dyDescent="0.25">
      <c r="N7898" s="514"/>
      <c r="R7898" s="293"/>
      <c r="S7898" s="316"/>
      <c r="T7898" s="355"/>
    </row>
    <row r="7899" spans="14:20" x14ac:dyDescent="0.25">
      <c r="N7899" s="514"/>
      <c r="R7899" s="293"/>
      <c r="S7899" s="316"/>
      <c r="T7899" s="355"/>
    </row>
    <row r="7900" spans="14:20" x14ac:dyDescent="0.25">
      <c r="N7900" s="514"/>
      <c r="R7900" s="293"/>
      <c r="S7900" s="316"/>
      <c r="T7900" s="355"/>
    </row>
    <row r="7901" spans="14:20" x14ac:dyDescent="0.25">
      <c r="N7901" s="514"/>
      <c r="R7901" s="293"/>
      <c r="S7901" s="316"/>
      <c r="T7901" s="355"/>
    </row>
    <row r="7902" spans="14:20" x14ac:dyDescent="0.25">
      <c r="N7902" s="514"/>
      <c r="R7902" s="293"/>
      <c r="S7902" s="316"/>
      <c r="T7902" s="355"/>
    </row>
    <row r="7903" spans="14:20" x14ac:dyDescent="0.25">
      <c r="N7903" s="514"/>
      <c r="R7903" s="293"/>
      <c r="S7903" s="316"/>
      <c r="T7903" s="355"/>
    </row>
    <row r="7904" spans="14:20" x14ac:dyDescent="0.25">
      <c r="N7904" s="514"/>
      <c r="R7904" s="293"/>
      <c r="S7904" s="316"/>
      <c r="T7904" s="355"/>
    </row>
    <row r="7905" spans="14:20" x14ac:dyDescent="0.25">
      <c r="N7905" s="514"/>
      <c r="R7905" s="293"/>
      <c r="S7905" s="316"/>
      <c r="T7905" s="355"/>
    </row>
    <row r="7906" spans="14:20" x14ac:dyDescent="0.25">
      <c r="N7906" s="514"/>
      <c r="R7906" s="293"/>
      <c r="S7906" s="316"/>
      <c r="T7906" s="355"/>
    </row>
    <row r="7907" spans="14:20" x14ac:dyDescent="0.25">
      <c r="N7907" s="514"/>
      <c r="R7907" s="293"/>
      <c r="S7907" s="316"/>
      <c r="T7907" s="355"/>
    </row>
    <row r="7908" spans="14:20" x14ac:dyDescent="0.25">
      <c r="N7908" s="514"/>
      <c r="R7908" s="293"/>
      <c r="S7908" s="316"/>
      <c r="T7908" s="355"/>
    </row>
    <row r="7909" spans="14:20" x14ac:dyDescent="0.25">
      <c r="N7909" s="514"/>
      <c r="R7909" s="293"/>
      <c r="S7909" s="316"/>
      <c r="T7909" s="355"/>
    </row>
    <row r="7910" spans="14:20" x14ac:dyDescent="0.25">
      <c r="N7910" s="514"/>
      <c r="R7910" s="293"/>
      <c r="S7910" s="316"/>
      <c r="T7910" s="355"/>
    </row>
    <row r="7911" spans="14:20" x14ac:dyDescent="0.25">
      <c r="N7911" s="514"/>
      <c r="R7911" s="293"/>
      <c r="S7911" s="316"/>
      <c r="T7911" s="355"/>
    </row>
    <row r="7912" spans="14:20" x14ac:dyDescent="0.25">
      <c r="N7912" s="514"/>
      <c r="R7912" s="293"/>
      <c r="S7912" s="316"/>
      <c r="T7912" s="355"/>
    </row>
    <row r="7913" spans="14:20" x14ac:dyDescent="0.25">
      <c r="N7913" s="514"/>
      <c r="R7913" s="293"/>
      <c r="S7913" s="316"/>
      <c r="T7913" s="355"/>
    </row>
    <row r="7914" spans="14:20" x14ac:dyDescent="0.25">
      <c r="N7914" s="514"/>
      <c r="R7914" s="293"/>
      <c r="S7914" s="316"/>
      <c r="T7914" s="355"/>
    </row>
    <row r="7915" spans="14:20" x14ac:dyDescent="0.25">
      <c r="N7915" s="514"/>
      <c r="R7915" s="293"/>
      <c r="S7915" s="316"/>
      <c r="T7915" s="355"/>
    </row>
    <row r="7916" spans="14:20" x14ac:dyDescent="0.25">
      <c r="N7916" s="514"/>
      <c r="R7916" s="293"/>
      <c r="S7916" s="316"/>
      <c r="T7916" s="355"/>
    </row>
    <row r="7917" spans="14:20" x14ac:dyDescent="0.25">
      <c r="N7917" s="514"/>
      <c r="R7917" s="293"/>
      <c r="S7917" s="316"/>
      <c r="T7917" s="355"/>
    </row>
    <row r="7918" spans="14:20" x14ac:dyDescent="0.25">
      <c r="N7918" s="514"/>
      <c r="R7918" s="293"/>
      <c r="S7918" s="316"/>
      <c r="T7918" s="355"/>
    </row>
    <row r="7919" spans="14:20" x14ac:dyDescent="0.25">
      <c r="N7919" s="514"/>
      <c r="R7919" s="293"/>
      <c r="S7919" s="316"/>
      <c r="T7919" s="355"/>
    </row>
    <row r="7920" spans="14:20" x14ac:dyDescent="0.25">
      <c r="N7920" s="514"/>
      <c r="R7920" s="293"/>
      <c r="S7920" s="316"/>
      <c r="T7920" s="355"/>
    </row>
    <row r="7921" spans="14:20" x14ac:dyDescent="0.25">
      <c r="N7921" s="514"/>
      <c r="R7921" s="293"/>
      <c r="S7921" s="316"/>
      <c r="T7921" s="355"/>
    </row>
    <row r="7922" spans="14:20" x14ac:dyDescent="0.25">
      <c r="N7922" s="514"/>
      <c r="R7922" s="293"/>
      <c r="S7922" s="316"/>
      <c r="T7922" s="355"/>
    </row>
    <row r="7923" spans="14:20" x14ac:dyDescent="0.25">
      <c r="N7923" s="514"/>
      <c r="R7923" s="293"/>
      <c r="S7923" s="316"/>
      <c r="T7923" s="355"/>
    </row>
    <row r="7924" spans="14:20" x14ac:dyDescent="0.25">
      <c r="N7924" s="514"/>
      <c r="R7924" s="293"/>
      <c r="S7924" s="316"/>
      <c r="T7924" s="355"/>
    </row>
    <row r="7925" spans="14:20" x14ac:dyDescent="0.25">
      <c r="N7925" s="514"/>
      <c r="R7925" s="293"/>
      <c r="S7925" s="316"/>
      <c r="T7925" s="355"/>
    </row>
    <row r="7926" spans="14:20" x14ac:dyDescent="0.25">
      <c r="N7926" s="514"/>
      <c r="R7926" s="293"/>
      <c r="S7926" s="316"/>
      <c r="T7926" s="355"/>
    </row>
    <row r="7927" spans="14:20" x14ac:dyDescent="0.25">
      <c r="N7927" s="514"/>
      <c r="R7927" s="293"/>
      <c r="S7927" s="316"/>
      <c r="T7927" s="355"/>
    </row>
    <row r="7928" spans="14:20" x14ac:dyDescent="0.25">
      <c r="N7928" s="514"/>
      <c r="R7928" s="293"/>
      <c r="S7928" s="316"/>
      <c r="T7928" s="355"/>
    </row>
    <row r="7929" spans="14:20" x14ac:dyDescent="0.25">
      <c r="N7929" s="514"/>
      <c r="R7929" s="293"/>
      <c r="S7929" s="316"/>
      <c r="T7929" s="355"/>
    </row>
    <row r="7930" spans="14:20" x14ac:dyDescent="0.25">
      <c r="N7930" s="514"/>
      <c r="R7930" s="293"/>
      <c r="S7930" s="316"/>
      <c r="T7930" s="355"/>
    </row>
    <row r="7931" spans="14:20" x14ac:dyDescent="0.25">
      <c r="N7931" s="514"/>
      <c r="R7931" s="293"/>
      <c r="S7931" s="316"/>
      <c r="T7931" s="355"/>
    </row>
    <row r="7932" spans="14:20" x14ac:dyDescent="0.25">
      <c r="N7932" s="514"/>
      <c r="R7932" s="293"/>
      <c r="S7932" s="316"/>
      <c r="T7932" s="355"/>
    </row>
    <row r="7933" spans="14:20" x14ac:dyDescent="0.25">
      <c r="N7933" s="514"/>
      <c r="R7933" s="293"/>
      <c r="S7933" s="316"/>
      <c r="T7933" s="355"/>
    </row>
    <row r="7934" spans="14:20" x14ac:dyDescent="0.25">
      <c r="N7934" s="514"/>
      <c r="R7934" s="293"/>
      <c r="S7934" s="316"/>
      <c r="T7934" s="355"/>
    </row>
    <row r="7935" spans="14:20" x14ac:dyDescent="0.25">
      <c r="N7935" s="514"/>
      <c r="R7935" s="293"/>
      <c r="S7935" s="316"/>
      <c r="T7935" s="355"/>
    </row>
    <row r="7936" spans="14:20" x14ac:dyDescent="0.25">
      <c r="N7936" s="514"/>
      <c r="R7936" s="293"/>
      <c r="S7936" s="316"/>
      <c r="T7936" s="355"/>
    </row>
    <row r="7937" spans="14:20" x14ac:dyDescent="0.25">
      <c r="N7937" s="514"/>
      <c r="R7937" s="293"/>
      <c r="S7937" s="316"/>
      <c r="T7937" s="355"/>
    </row>
    <row r="7938" spans="14:20" x14ac:dyDescent="0.25">
      <c r="N7938" s="514"/>
      <c r="R7938" s="293"/>
      <c r="S7938" s="316"/>
      <c r="T7938" s="355"/>
    </row>
    <row r="7939" spans="14:20" x14ac:dyDescent="0.25">
      <c r="N7939" s="514"/>
      <c r="R7939" s="293"/>
      <c r="S7939" s="316"/>
      <c r="T7939" s="355"/>
    </row>
    <row r="7940" spans="14:20" x14ac:dyDescent="0.25">
      <c r="N7940" s="514"/>
      <c r="R7940" s="293"/>
      <c r="S7940" s="316"/>
      <c r="T7940" s="355"/>
    </row>
    <row r="7941" spans="14:20" x14ac:dyDescent="0.25">
      <c r="N7941" s="514"/>
      <c r="R7941" s="293"/>
      <c r="S7941" s="316"/>
      <c r="T7941" s="355"/>
    </row>
    <row r="7942" spans="14:20" x14ac:dyDescent="0.25">
      <c r="N7942" s="514"/>
      <c r="R7942" s="293"/>
      <c r="S7942" s="316"/>
      <c r="T7942" s="355"/>
    </row>
    <row r="7943" spans="14:20" x14ac:dyDescent="0.25">
      <c r="N7943" s="514"/>
      <c r="R7943" s="293"/>
      <c r="S7943" s="316"/>
      <c r="T7943" s="355"/>
    </row>
    <row r="7944" spans="14:20" x14ac:dyDescent="0.25">
      <c r="N7944" s="514"/>
      <c r="R7944" s="293"/>
      <c r="S7944" s="316"/>
      <c r="T7944" s="355"/>
    </row>
    <row r="7945" spans="14:20" x14ac:dyDescent="0.25">
      <c r="N7945" s="514"/>
      <c r="R7945" s="293"/>
      <c r="S7945" s="316"/>
      <c r="T7945" s="355"/>
    </row>
    <row r="7946" spans="14:20" x14ac:dyDescent="0.25">
      <c r="N7946" s="514"/>
      <c r="R7946" s="293"/>
      <c r="S7946" s="316"/>
      <c r="T7946" s="355"/>
    </row>
    <row r="7947" spans="14:20" x14ac:dyDescent="0.25">
      <c r="N7947" s="514"/>
      <c r="R7947" s="293"/>
      <c r="S7947" s="316"/>
      <c r="T7947" s="355"/>
    </row>
    <row r="7948" spans="14:20" x14ac:dyDescent="0.25">
      <c r="N7948" s="514"/>
      <c r="R7948" s="293"/>
      <c r="S7948" s="316"/>
      <c r="T7948" s="355"/>
    </row>
    <row r="7949" spans="14:20" x14ac:dyDescent="0.25">
      <c r="N7949" s="514"/>
      <c r="R7949" s="293"/>
      <c r="S7949" s="316"/>
      <c r="T7949" s="355"/>
    </row>
    <row r="7950" spans="14:20" x14ac:dyDescent="0.25">
      <c r="N7950" s="514"/>
      <c r="R7950" s="293"/>
      <c r="S7950" s="316"/>
      <c r="T7950" s="355"/>
    </row>
    <row r="7951" spans="14:20" x14ac:dyDescent="0.25">
      <c r="N7951" s="514"/>
      <c r="R7951" s="293"/>
      <c r="S7951" s="316"/>
      <c r="T7951" s="355"/>
    </row>
    <row r="7952" spans="14:20" x14ac:dyDescent="0.25">
      <c r="N7952" s="514"/>
      <c r="R7952" s="293"/>
      <c r="S7952" s="316"/>
      <c r="T7952" s="355"/>
    </row>
    <row r="7953" spans="14:20" x14ac:dyDescent="0.25">
      <c r="N7953" s="514"/>
      <c r="R7953" s="293"/>
      <c r="S7953" s="316"/>
      <c r="T7953" s="355"/>
    </row>
    <row r="7954" spans="14:20" x14ac:dyDescent="0.25">
      <c r="N7954" s="514"/>
      <c r="R7954" s="293"/>
      <c r="S7954" s="316"/>
      <c r="T7954" s="355"/>
    </row>
    <row r="7955" spans="14:20" x14ac:dyDescent="0.25">
      <c r="N7955" s="514"/>
      <c r="R7955" s="293"/>
      <c r="S7955" s="316"/>
      <c r="T7955" s="355"/>
    </row>
    <row r="7956" spans="14:20" x14ac:dyDescent="0.25">
      <c r="N7956" s="514"/>
      <c r="R7956" s="293"/>
      <c r="S7956" s="316"/>
      <c r="T7956" s="355"/>
    </row>
    <row r="7957" spans="14:20" x14ac:dyDescent="0.25">
      <c r="N7957" s="514"/>
      <c r="R7957" s="293"/>
      <c r="S7957" s="316"/>
      <c r="T7957" s="355"/>
    </row>
    <row r="7958" spans="14:20" x14ac:dyDescent="0.25">
      <c r="N7958" s="514"/>
      <c r="R7958" s="293"/>
      <c r="S7958" s="316"/>
      <c r="T7958" s="355"/>
    </row>
    <row r="7959" spans="14:20" x14ac:dyDescent="0.25">
      <c r="N7959" s="514"/>
      <c r="R7959" s="293"/>
      <c r="S7959" s="316"/>
      <c r="T7959" s="355"/>
    </row>
    <row r="7960" spans="14:20" x14ac:dyDescent="0.25">
      <c r="N7960" s="514"/>
      <c r="R7960" s="293"/>
      <c r="S7960" s="316"/>
      <c r="T7960" s="355"/>
    </row>
    <row r="7961" spans="14:20" x14ac:dyDescent="0.25">
      <c r="N7961" s="514"/>
      <c r="R7961" s="293"/>
      <c r="S7961" s="316"/>
      <c r="T7961" s="355"/>
    </row>
    <row r="7962" spans="14:20" x14ac:dyDescent="0.25">
      <c r="N7962" s="514"/>
      <c r="R7962" s="293"/>
      <c r="S7962" s="316"/>
      <c r="T7962" s="355"/>
    </row>
    <row r="7963" spans="14:20" x14ac:dyDescent="0.25">
      <c r="N7963" s="514"/>
      <c r="R7963" s="293"/>
      <c r="S7963" s="316"/>
      <c r="T7963" s="355"/>
    </row>
    <row r="7964" spans="14:20" x14ac:dyDescent="0.25">
      <c r="N7964" s="514"/>
      <c r="R7964" s="293"/>
      <c r="S7964" s="316"/>
      <c r="T7964" s="355"/>
    </row>
    <row r="7965" spans="14:20" x14ac:dyDescent="0.25">
      <c r="N7965" s="514"/>
      <c r="R7965" s="293"/>
      <c r="S7965" s="316"/>
      <c r="T7965" s="355"/>
    </row>
    <row r="7966" spans="14:20" x14ac:dyDescent="0.25">
      <c r="N7966" s="514"/>
      <c r="R7966" s="293"/>
      <c r="S7966" s="316"/>
      <c r="T7966" s="355"/>
    </row>
    <row r="7967" spans="14:20" x14ac:dyDescent="0.25">
      <c r="N7967" s="514"/>
      <c r="R7967" s="293"/>
      <c r="S7967" s="316"/>
      <c r="T7967" s="355"/>
    </row>
    <row r="7968" spans="14:20" x14ac:dyDescent="0.25">
      <c r="N7968" s="514"/>
      <c r="R7968" s="293"/>
      <c r="S7968" s="316"/>
      <c r="T7968" s="355"/>
    </row>
    <row r="7969" spans="14:20" x14ac:dyDescent="0.25">
      <c r="N7969" s="514"/>
      <c r="R7969" s="293"/>
      <c r="S7969" s="316"/>
      <c r="T7969" s="355"/>
    </row>
    <row r="7970" spans="14:20" x14ac:dyDescent="0.25">
      <c r="N7970" s="514"/>
      <c r="R7970" s="293"/>
      <c r="S7970" s="316"/>
      <c r="T7970" s="355"/>
    </row>
    <row r="7971" spans="14:20" x14ac:dyDescent="0.25">
      <c r="N7971" s="514"/>
      <c r="R7971" s="293"/>
      <c r="S7971" s="316"/>
      <c r="T7971" s="355"/>
    </row>
    <row r="7972" spans="14:20" x14ac:dyDescent="0.25">
      <c r="N7972" s="514"/>
      <c r="R7972" s="293"/>
      <c r="S7972" s="316"/>
      <c r="T7972" s="355"/>
    </row>
    <row r="7973" spans="14:20" x14ac:dyDescent="0.25">
      <c r="N7973" s="514"/>
      <c r="R7973" s="293"/>
      <c r="S7973" s="316"/>
      <c r="T7973" s="355"/>
    </row>
    <row r="7974" spans="14:20" x14ac:dyDescent="0.25">
      <c r="N7974" s="514"/>
      <c r="R7974" s="293"/>
      <c r="S7974" s="316"/>
      <c r="T7974" s="355"/>
    </row>
    <row r="7975" spans="14:20" x14ac:dyDescent="0.25">
      <c r="N7975" s="514"/>
      <c r="R7975" s="293"/>
      <c r="S7975" s="316"/>
      <c r="T7975" s="355"/>
    </row>
    <row r="7976" spans="14:20" x14ac:dyDescent="0.25">
      <c r="N7976" s="514"/>
      <c r="R7976" s="293"/>
      <c r="S7976" s="316"/>
      <c r="T7976" s="355"/>
    </row>
    <row r="7977" spans="14:20" x14ac:dyDescent="0.25">
      <c r="N7977" s="514"/>
      <c r="R7977" s="293"/>
      <c r="S7977" s="316"/>
      <c r="T7977" s="355"/>
    </row>
    <row r="7978" spans="14:20" x14ac:dyDescent="0.25">
      <c r="N7978" s="514"/>
      <c r="R7978" s="293"/>
      <c r="S7978" s="316"/>
      <c r="T7978" s="355"/>
    </row>
    <row r="7979" spans="14:20" x14ac:dyDescent="0.25">
      <c r="N7979" s="514"/>
      <c r="R7979" s="293"/>
      <c r="S7979" s="316"/>
      <c r="T7979" s="355"/>
    </row>
    <row r="7980" spans="14:20" x14ac:dyDescent="0.25">
      <c r="N7980" s="514"/>
      <c r="R7980" s="293"/>
      <c r="S7980" s="316"/>
      <c r="T7980" s="355"/>
    </row>
    <row r="7981" spans="14:20" x14ac:dyDescent="0.25">
      <c r="N7981" s="514"/>
      <c r="R7981" s="293"/>
      <c r="S7981" s="316"/>
      <c r="T7981" s="355"/>
    </row>
    <row r="7982" spans="14:20" x14ac:dyDescent="0.25">
      <c r="N7982" s="514"/>
      <c r="R7982" s="293"/>
      <c r="S7982" s="316"/>
      <c r="T7982" s="355"/>
    </row>
    <row r="7983" spans="14:20" x14ac:dyDescent="0.25">
      <c r="N7983" s="514"/>
      <c r="R7983" s="293"/>
      <c r="S7983" s="316"/>
      <c r="T7983" s="355"/>
    </row>
    <row r="7984" spans="14:20" x14ac:dyDescent="0.25">
      <c r="N7984" s="514"/>
      <c r="R7984" s="293"/>
      <c r="S7984" s="316"/>
      <c r="T7984" s="355"/>
    </row>
    <row r="7985" spans="14:20" x14ac:dyDescent="0.25">
      <c r="N7985" s="514"/>
      <c r="R7985" s="293"/>
      <c r="S7985" s="316"/>
      <c r="T7985" s="355"/>
    </row>
    <row r="7986" spans="14:20" x14ac:dyDescent="0.25">
      <c r="N7986" s="514"/>
      <c r="R7986" s="293"/>
      <c r="S7986" s="316"/>
      <c r="T7986" s="355"/>
    </row>
    <row r="7987" spans="14:20" x14ac:dyDescent="0.25">
      <c r="N7987" s="514"/>
      <c r="R7987" s="293"/>
      <c r="S7987" s="316"/>
      <c r="T7987" s="355"/>
    </row>
    <row r="7988" spans="14:20" x14ac:dyDescent="0.25">
      <c r="N7988" s="514"/>
      <c r="R7988" s="293"/>
      <c r="S7988" s="316"/>
      <c r="T7988" s="355"/>
    </row>
    <row r="7989" spans="14:20" x14ac:dyDescent="0.25">
      <c r="N7989" s="514"/>
      <c r="R7989" s="293"/>
      <c r="S7989" s="316"/>
      <c r="T7989" s="355"/>
    </row>
    <row r="7990" spans="14:20" x14ac:dyDescent="0.25">
      <c r="N7990" s="514"/>
      <c r="R7990" s="293"/>
      <c r="S7990" s="316"/>
      <c r="T7990" s="355"/>
    </row>
    <row r="7991" spans="14:20" x14ac:dyDescent="0.25">
      <c r="N7991" s="514"/>
      <c r="R7991" s="293"/>
      <c r="S7991" s="316"/>
      <c r="T7991" s="355"/>
    </row>
    <row r="7992" spans="14:20" x14ac:dyDescent="0.25">
      <c r="N7992" s="514"/>
      <c r="R7992" s="293"/>
      <c r="S7992" s="316"/>
      <c r="T7992" s="355"/>
    </row>
    <row r="7993" spans="14:20" x14ac:dyDescent="0.25">
      <c r="N7993" s="514"/>
      <c r="R7993" s="293"/>
      <c r="S7993" s="316"/>
      <c r="T7993" s="355"/>
    </row>
    <row r="7994" spans="14:20" x14ac:dyDescent="0.25">
      <c r="N7994" s="514"/>
      <c r="R7994" s="293"/>
      <c r="S7994" s="316"/>
      <c r="T7994" s="355"/>
    </row>
    <row r="7995" spans="14:20" x14ac:dyDescent="0.25">
      <c r="N7995" s="514"/>
      <c r="R7995" s="293"/>
      <c r="S7995" s="316"/>
      <c r="T7995" s="355"/>
    </row>
    <row r="7996" spans="14:20" x14ac:dyDescent="0.25">
      <c r="N7996" s="514"/>
      <c r="R7996" s="293"/>
      <c r="S7996" s="316"/>
      <c r="T7996" s="355"/>
    </row>
    <row r="7997" spans="14:20" x14ac:dyDescent="0.25">
      <c r="N7997" s="514"/>
      <c r="R7997" s="293"/>
      <c r="S7997" s="316"/>
      <c r="T7997" s="355"/>
    </row>
    <row r="7998" spans="14:20" x14ac:dyDescent="0.25">
      <c r="N7998" s="514"/>
      <c r="R7998" s="293"/>
      <c r="S7998" s="316"/>
      <c r="T7998" s="355"/>
    </row>
    <row r="7999" spans="14:20" x14ac:dyDescent="0.25">
      <c r="N7999" s="514"/>
      <c r="R7999" s="293"/>
      <c r="S7999" s="316"/>
      <c r="T7999" s="355"/>
    </row>
    <row r="8000" spans="14:20" x14ac:dyDescent="0.25">
      <c r="N8000" s="514"/>
      <c r="R8000" s="293"/>
      <c r="S8000" s="316"/>
      <c r="T8000" s="355"/>
    </row>
    <row r="8001" spans="14:20" x14ac:dyDescent="0.25">
      <c r="N8001" s="514"/>
      <c r="R8001" s="293"/>
      <c r="S8001" s="316"/>
      <c r="T8001" s="355"/>
    </row>
    <row r="8002" spans="14:20" x14ac:dyDescent="0.25">
      <c r="N8002" s="514"/>
      <c r="R8002" s="293"/>
      <c r="S8002" s="316"/>
      <c r="T8002" s="355"/>
    </row>
    <row r="8003" spans="14:20" x14ac:dyDescent="0.25">
      <c r="N8003" s="514"/>
      <c r="R8003" s="293"/>
      <c r="S8003" s="316"/>
      <c r="T8003" s="355"/>
    </row>
    <row r="8004" spans="14:20" x14ac:dyDescent="0.25">
      <c r="N8004" s="514"/>
      <c r="R8004" s="293"/>
      <c r="S8004" s="316"/>
      <c r="T8004" s="355"/>
    </row>
    <row r="8005" spans="14:20" x14ac:dyDescent="0.25">
      <c r="N8005" s="514"/>
      <c r="R8005" s="293"/>
      <c r="S8005" s="316"/>
      <c r="T8005" s="355"/>
    </row>
    <row r="8006" spans="14:20" x14ac:dyDescent="0.25">
      <c r="N8006" s="514"/>
      <c r="R8006" s="293"/>
      <c r="S8006" s="316"/>
      <c r="T8006" s="355"/>
    </row>
    <row r="8007" spans="14:20" x14ac:dyDescent="0.25">
      <c r="N8007" s="514"/>
      <c r="R8007" s="293"/>
      <c r="S8007" s="316"/>
      <c r="T8007" s="355"/>
    </row>
    <row r="8008" spans="14:20" x14ac:dyDescent="0.25">
      <c r="N8008" s="514"/>
      <c r="R8008" s="293"/>
      <c r="S8008" s="316"/>
      <c r="T8008" s="355"/>
    </row>
    <row r="8009" spans="14:20" x14ac:dyDescent="0.25">
      <c r="N8009" s="514"/>
      <c r="R8009" s="293"/>
      <c r="S8009" s="316"/>
      <c r="T8009" s="355"/>
    </row>
    <row r="8010" spans="14:20" x14ac:dyDescent="0.25">
      <c r="N8010" s="514"/>
      <c r="R8010" s="293"/>
      <c r="S8010" s="316"/>
      <c r="T8010" s="355"/>
    </row>
    <row r="8011" spans="14:20" x14ac:dyDescent="0.25">
      <c r="N8011" s="514"/>
      <c r="R8011" s="293"/>
      <c r="S8011" s="316"/>
      <c r="T8011" s="355"/>
    </row>
    <row r="8012" spans="14:20" x14ac:dyDescent="0.25">
      <c r="N8012" s="514"/>
      <c r="R8012" s="293"/>
      <c r="S8012" s="316"/>
      <c r="T8012" s="355"/>
    </row>
    <row r="8013" spans="14:20" x14ac:dyDescent="0.25">
      <c r="N8013" s="514"/>
      <c r="R8013" s="293"/>
      <c r="S8013" s="316"/>
      <c r="T8013" s="355"/>
    </row>
    <row r="8014" spans="14:20" x14ac:dyDescent="0.25">
      <c r="N8014" s="514"/>
      <c r="R8014" s="293"/>
      <c r="S8014" s="316"/>
      <c r="T8014" s="355"/>
    </row>
    <row r="8015" spans="14:20" x14ac:dyDescent="0.25">
      <c r="N8015" s="514"/>
      <c r="R8015" s="293"/>
      <c r="S8015" s="316"/>
      <c r="T8015" s="355"/>
    </row>
    <row r="8016" spans="14:20" x14ac:dyDescent="0.25">
      <c r="N8016" s="514"/>
      <c r="R8016" s="293"/>
      <c r="S8016" s="316"/>
      <c r="T8016" s="355"/>
    </row>
    <row r="8017" spans="14:20" x14ac:dyDescent="0.25">
      <c r="N8017" s="514"/>
      <c r="R8017" s="293"/>
      <c r="S8017" s="316"/>
      <c r="T8017" s="355"/>
    </row>
    <row r="8018" spans="14:20" x14ac:dyDescent="0.25">
      <c r="N8018" s="514"/>
      <c r="R8018" s="293"/>
      <c r="S8018" s="316"/>
      <c r="T8018" s="355"/>
    </row>
    <row r="8019" spans="14:20" x14ac:dyDescent="0.25">
      <c r="N8019" s="514"/>
      <c r="R8019" s="293"/>
      <c r="S8019" s="316"/>
      <c r="T8019" s="355"/>
    </row>
    <row r="8020" spans="14:20" x14ac:dyDescent="0.25">
      <c r="N8020" s="514"/>
      <c r="R8020" s="293"/>
      <c r="S8020" s="316"/>
      <c r="T8020" s="355"/>
    </row>
    <row r="8021" spans="14:20" x14ac:dyDescent="0.25">
      <c r="N8021" s="514"/>
      <c r="R8021" s="293"/>
      <c r="S8021" s="316"/>
      <c r="T8021" s="355"/>
    </row>
    <row r="8022" spans="14:20" x14ac:dyDescent="0.25">
      <c r="N8022" s="514"/>
      <c r="R8022" s="293"/>
      <c r="S8022" s="316"/>
      <c r="T8022" s="355"/>
    </row>
    <row r="8023" spans="14:20" x14ac:dyDescent="0.25">
      <c r="N8023" s="514"/>
      <c r="R8023" s="293"/>
      <c r="S8023" s="316"/>
      <c r="T8023" s="355"/>
    </row>
    <row r="8024" spans="14:20" x14ac:dyDescent="0.25">
      <c r="N8024" s="514"/>
      <c r="R8024" s="293"/>
      <c r="S8024" s="316"/>
      <c r="T8024" s="355"/>
    </row>
    <row r="8025" spans="14:20" x14ac:dyDescent="0.25">
      <c r="N8025" s="514"/>
      <c r="R8025" s="293"/>
      <c r="S8025" s="316"/>
      <c r="T8025" s="355"/>
    </row>
    <row r="8026" spans="14:20" x14ac:dyDescent="0.25">
      <c r="N8026" s="514"/>
      <c r="R8026" s="293"/>
      <c r="S8026" s="316"/>
      <c r="T8026" s="355"/>
    </row>
    <row r="8027" spans="14:20" x14ac:dyDescent="0.25">
      <c r="N8027" s="514"/>
      <c r="R8027" s="293"/>
      <c r="S8027" s="316"/>
      <c r="T8027" s="355"/>
    </row>
    <row r="8028" spans="14:20" x14ac:dyDescent="0.25">
      <c r="N8028" s="514"/>
      <c r="R8028" s="293"/>
      <c r="S8028" s="316"/>
      <c r="T8028" s="355"/>
    </row>
    <row r="8029" spans="14:20" x14ac:dyDescent="0.25">
      <c r="N8029" s="514"/>
      <c r="R8029" s="293"/>
      <c r="S8029" s="316"/>
      <c r="T8029" s="355"/>
    </row>
    <row r="8030" spans="14:20" x14ac:dyDescent="0.25">
      <c r="N8030" s="514"/>
      <c r="R8030" s="293"/>
      <c r="S8030" s="316"/>
      <c r="T8030" s="355"/>
    </row>
    <row r="8031" spans="14:20" x14ac:dyDescent="0.25">
      <c r="N8031" s="514"/>
      <c r="R8031" s="293"/>
      <c r="S8031" s="316"/>
      <c r="T8031" s="355"/>
    </row>
    <row r="8032" spans="14:20" x14ac:dyDescent="0.25">
      <c r="N8032" s="514"/>
      <c r="R8032" s="293"/>
      <c r="S8032" s="316"/>
      <c r="T8032" s="355"/>
    </row>
    <row r="8033" spans="14:20" x14ac:dyDescent="0.25">
      <c r="N8033" s="514"/>
      <c r="R8033" s="293"/>
      <c r="S8033" s="316"/>
      <c r="T8033" s="355"/>
    </row>
    <row r="8034" spans="14:20" x14ac:dyDescent="0.25">
      <c r="N8034" s="514"/>
      <c r="R8034" s="293"/>
      <c r="S8034" s="316"/>
      <c r="T8034" s="355"/>
    </row>
    <row r="8035" spans="14:20" x14ac:dyDescent="0.25">
      <c r="N8035" s="514"/>
      <c r="R8035" s="293"/>
      <c r="S8035" s="316"/>
      <c r="T8035" s="355"/>
    </row>
    <row r="8036" spans="14:20" x14ac:dyDescent="0.25">
      <c r="N8036" s="514"/>
      <c r="R8036" s="293"/>
      <c r="S8036" s="316"/>
      <c r="T8036" s="355"/>
    </row>
    <row r="8037" spans="14:20" x14ac:dyDescent="0.25">
      <c r="N8037" s="514"/>
      <c r="R8037" s="293"/>
      <c r="S8037" s="316"/>
      <c r="T8037" s="355"/>
    </row>
    <row r="8038" spans="14:20" x14ac:dyDescent="0.25">
      <c r="N8038" s="514"/>
      <c r="R8038" s="293"/>
      <c r="S8038" s="316"/>
      <c r="T8038" s="355"/>
    </row>
    <row r="8039" spans="14:20" x14ac:dyDescent="0.25">
      <c r="N8039" s="514"/>
      <c r="R8039" s="293"/>
      <c r="S8039" s="316"/>
      <c r="T8039" s="355"/>
    </row>
    <row r="8040" spans="14:20" x14ac:dyDescent="0.25">
      <c r="N8040" s="514"/>
      <c r="R8040" s="293"/>
      <c r="S8040" s="316"/>
      <c r="T8040" s="355"/>
    </row>
    <row r="8041" spans="14:20" x14ac:dyDescent="0.25">
      <c r="N8041" s="514"/>
      <c r="R8041" s="293"/>
      <c r="S8041" s="316"/>
      <c r="T8041" s="355"/>
    </row>
    <row r="8042" spans="14:20" x14ac:dyDescent="0.25">
      <c r="N8042" s="514"/>
      <c r="R8042" s="293"/>
      <c r="S8042" s="316"/>
      <c r="T8042" s="355"/>
    </row>
    <row r="8043" spans="14:20" x14ac:dyDescent="0.25">
      <c r="N8043" s="514"/>
      <c r="R8043" s="293"/>
      <c r="S8043" s="316"/>
      <c r="T8043" s="355"/>
    </row>
    <row r="8044" spans="14:20" x14ac:dyDescent="0.25">
      <c r="N8044" s="514"/>
      <c r="R8044" s="293"/>
      <c r="S8044" s="316"/>
      <c r="T8044" s="355"/>
    </row>
    <row r="8045" spans="14:20" x14ac:dyDescent="0.25">
      <c r="N8045" s="514"/>
      <c r="R8045" s="293"/>
      <c r="S8045" s="316"/>
      <c r="T8045" s="355"/>
    </row>
    <row r="8046" spans="14:20" x14ac:dyDescent="0.25">
      <c r="N8046" s="514"/>
      <c r="R8046" s="293"/>
      <c r="S8046" s="316"/>
      <c r="T8046" s="355"/>
    </row>
    <row r="8047" spans="14:20" x14ac:dyDescent="0.25">
      <c r="N8047" s="514"/>
      <c r="R8047" s="293"/>
      <c r="S8047" s="316"/>
      <c r="T8047" s="355"/>
    </row>
    <row r="8048" spans="14:20" x14ac:dyDescent="0.25">
      <c r="N8048" s="514"/>
      <c r="R8048" s="293"/>
      <c r="S8048" s="316"/>
      <c r="T8048" s="355"/>
    </row>
    <row r="8049" spans="14:20" x14ac:dyDescent="0.25">
      <c r="N8049" s="514"/>
      <c r="R8049" s="293"/>
      <c r="S8049" s="316"/>
      <c r="T8049" s="355"/>
    </row>
    <row r="8050" spans="14:20" x14ac:dyDescent="0.25">
      <c r="N8050" s="514"/>
      <c r="R8050" s="293"/>
      <c r="S8050" s="316"/>
      <c r="T8050" s="355"/>
    </row>
    <row r="8051" spans="14:20" x14ac:dyDescent="0.25">
      <c r="N8051" s="514"/>
      <c r="R8051" s="293"/>
      <c r="S8051" s="316"/>
      <c r="T8051" s="355"/>
    </row>
    <row r="8052" spans="14:20" x14ac:dyDescent="0.25">
      <c r="N8052" s="514"/>
      <c r="R8052" s="293"/>
      <c r="S8052" s="316"/>
      <c r="T8052" s="355"/>
    </row>
    <row r="8053" spans="14:20" x14ac:dyDescent="0.25">
      <c r="N8053" s="514"/>
      <c r="R8053" s="293"/>
      <c r="S8053" s="316"/>
      <c r="T8053" s="355"/>
    </row>
    <row r="8054" spans="14:20" x14ac:dyDescent="0.25">
      <c r="N8054" s="514"/>
      <c r="R8054" s="293"/>
      <c r="S8054" s="316"/>
      <c r="T8054" s="355"/>
    </row>
    <row r="8055" spans="14:20" x14ac:dyDescent="0.25">
      <c r="N8055" s="514"/>
      <c r="R8055" s="293"/>
      <c r="S8055" s="316"/>
      <c r="T8055" s="355"/>
    </row>
    <row r="8056" spans="14:20" x14ac:dyDescent="0.25">
      <c r="N8056" s="514"/>
      <c r="R8056" s="293"/>
      <c r="S8056" s="316"/>
      <c r="T8056" s="355"/>
    </row>
    <row r="8057" spans="14:20" x14ac:dyDescent="0.25">
      <c r="N8057" s="514"/>
      <c r="R8057" s="293"/>
      <c r="S8057" s="316"/>
      <c r="T8057" s="355"/>
    </row>
    <row r="8058" spans="14:20" x14ac:dyDescent="0.25">
      <c r="N8058" s="514"/>
      <c r="R8058" s="293"/>
      <c r="S8058" s="316"/>
      <c r="T8058" s="355"/>
    </row>
    <row r="8059" spans="14:20" x14ac:dyDescent="0.25">
      <c r="N8059" s="514"/>
      <c r="R8059" s="293"/>
      <c r="S8059" s="316"/>
      <c r="T8059" s="355"/>
    </row>
    <row r="8060" spans="14:20" x14ac:dyDescent="0.25">
      <c r="N8060" s="514"/>
      <c r="R8060" s="293"/>
      <c r="S8060" s="316"/>
      <c r="T8060" s="355"/>
    </row>
    <row r="8061" spans="14:20" x14ac:dyDescent="0.25">
      <c r="N8061" s="514"/>
      <c r="R8061" s="293"/>
      <c r="S8061" s="316"/>
      <c r="T8061" s="355"/>
    </row>
    <row r="8062" spans="14:20" x14ac:dyDescent="0.25">
      <c r="N8062" s="514"/>
      <c r="R8062" s="293"/>
      <c r="S8062" s="316"/>
      <c r="T8062" s="355"/>
    </row>
    <row r="8063" spans="14:20" x14ac:dyDescent="0.25">
      <c r="N8063" s="514"/>
      <c r="R8063" s="293"/>
      <c r="S8063" s="316"/>
      <c r="T8063" s="355"/>
    </row>
    <row r="8064" spans="14:20" x14ac:dyDescent="0.25">
      <c r="N8064" s="514"/>
      <c r="R8064" s="293"/>
      <c r="S8064" s="316"/>
      <c r="T8064" s="355"/>
    </row>
    <row r="8065" spans="14:20" x14ac:dyDescent="0.25">
      <c r="N8065" s="514"/>
      <c r="R8065" s="293"/>
      <c r="S8065" s="316"/>
      <c r="T8065" s="355"/>
    </row>
    <row r="8066" spans="14:20" x14ac:dyDescent="0.25">
      <c r="N8066" s="514"/>
      <c r="R8066" s="293"/>
      <c r="S8066" s="316"/>
      <c r="T8066" s="355"/>
    </row>
    <row r="8067" spans="14:20" x14ac:dyDescent="0.25">
      <c r="N8067" s="514"/>
      <c r="R8067" s="293"/>
      <c r="S8067" s="316"/>
      <c r="T8067" s="355"/>
    </row>
    <row r="8068" spans="14:20" x14ac:dyDescent="0.25">
      <c r="N8068" s="514"/>
      <c r="R8068" s="293"/>
      <c r="S8068" s="316"/>
      <c r="T8068" s="355"/>
    </row>
    <row r="8069" spans="14:20" x14ac:dyDescent="0.25">
      <c r="N8069" s="514"/>
      <c r="R8069" s="293"/>
      <c r="S8069" s="316"/>
      <c r="T8069" s="355"/>
    </row>
    <row r="8070" spans="14:20" x14ac:dyDescent="0.25">
      <c r="N8070" s="514"/>
      <c r="R8070" s="293"/>
      <c r="S8070" s="316"/>
      <c r="T8070" s="355"/>
    </row>
    <row r="8071" spans="14:20" x14ac:dyDescent="0.25">
      <c r="N8071" s="514"/>
      <c r="R8071" s="293"/>
      <c r="S8071" s="316"/>
      <c r="T8071" s="355"/>
    </row>
    <row r="8072" spans="14:20" x14ac:dyDescent="0.25">
      <c r="N8072" s="514"/>
      <c r="R8072" s="293"/>
      <c r="S8072" s="316"/>
      <c r="T8072" s="355"/>
    </row>
    <row r="8073" spans="14:20" x14ac:dyDescent="0.25">
      <c r="N8073" s="514"/>
      <c r="R8073" s="293"/>
      <c r="S8073" s="316"/>
      <c r="T8073" s="355"/>
    </row>
    <row r="8074" spans="14:20" x14ac:dyDescent="0.25">
      <c r="N8074" s="514"/>
      <c r="R8074" s="293"/>
      <c r="S8074" s="316"/>
      <c r="T8074" s="355"/>
    </row>
    <row r="8075" spans="14:20" x14ac:dyDescent="0.25">
      <c r="N8075" s="514"/>
      <c r="R8075" s="293"/>
      <c r="S8075" s="316"/>
      <c r="T8075" s="355"/>
    </row>
    <row r="8076" spans="14:20" x14ac:dyDescent="0.25">
      <c r="N8076" s="514"/>
      <c r="R8076" s="293"/>
      <c r="S8076" s="316"/>
      <c r="T8076" s="355"/>
    </row>
    <row r="8077" spans="14:20" x14ac:dyDescent="0.25">
      <c r="N8077" s="514"/>
      <c r="R8077" s="293"/>
      <c r="S8077" s="316"/>
      <c r="T8077" s="355"/>
    </row>
    <row r="8078" spans="14:20" x14ac:dyDescent="0.25">
      <c r="N8078" s="514"/>
      <c r="R8078" s="293"/>
      <c r="S8078" s="316"/>
      <c r="T8078" s="355"/>
    </row>
    <row r="8079" spans="14:20" x14ac:dyDescent="0.25">
      <c r="N8079" s="514"/>
      <c r="R8079" s="293"/>
      <c r="S8079" s="316"/>
      <c r="T8079" s="355"/>
    </row>
    <row r="8080" spans="14:20" x14ac:dyDescent="0.25">
      <c r="N8080" s="514"/>
      <c r="R8080" s="293"/>
      <c r="S8080" s="316"/>
      <c r="T8080" s="355"/>
    </row>
    <row r="8081" spans="14:20" x14ac:dyDescent="0.25">
      <c r="N8081" s="514"/>
      <c r="R8081" s="293"/>
      <c r="S8081" s="316"/>
      <c r="T8081" s="355"/>
    </row>
    <row r="8082" spans="14:20" x14ac:dyDescent="0.25">
      <c r="N8082" s="514"/>
      <c r="R8082" s="293"/>
      <c r="S8082" s="316"/>
      <c r="T8082" s="355"/>
    </row>
    <row r="8083" spans="14:20" x14ac:dyDescent="0.25">
      <c r="N8083" s="514"/>
      <c r="R8083" s="293"/>
      <c r="S8083" s="316"/>
      <c r="T8083" s="355"/>
    </row>
    <row r="8084" spans="14:20" x14ac:dyDescent="0.25">
      <c r="N8084" s="514"/>
      <c r="R8084" s="293"/>
      <c r="S8084" s="316"/>
      <c r="T8084" s="355"/>
    </row>
    <row r="8085" spans="14:20" x14ac:dyDescent="0.25">
      <c r="N8085" s="514"/>
      <c r="R8085" s="293"/>
      <c r="S8085" s="316"/>
      <c r="T8085" s="355"/>
    </row>
    <row r="8086" spans="14:20" x14ac:dyDescent="0.25">
      <c r="N8086" s="514"/>
      <c r="R8086" s="293"/>
      <c r="S8086" s="316"/>
      <c r="T8086" s="355"/>
    </row>
    <row r="8087" spans="14:20" x14ac:dyDescent="0.25">
      <c r="N8087" s="514"/>
      <c r="R8087" s="293"/>
      <c r="S8087" s="316"/>
      <c r="T8087" s="355"/>
    </row>
    <row r="8088" spans="14:20" x14ac:dyDescent="0.25">
      <c r="N8088" s="514"/>
      <c r="R8088" s="293"/>
      <c r="S8088" s="316"/>
      <c r="T8088" s="355"/>
    </row>
    <row r="8089" spans="14:20" x14ac:dyDescent="0.25">
      <c r="N8089" s="514"/>
      <c r="R8089" s="293"/>
      <c r="S8089" s="316"/>
      <c r="T8089" s="355"/>
    </row>
    <row r="8090" spans="14:20" x14ac:dyDescent="0.25">
      <c r="N8090" s="514"/>
      <c r="R8090" s="293"/>
      <c r="S8090" s="316"/>
      <c r="T8090" s="355"/>
    </row>
    <row r="8091" spans="14:20" x14ac:dyDescent="0.25">
      <c r="N8091" s="514"/>
      <c r="R8091" s="293"/>
      <c r="S8091" s="316"/>
      <c r="T8091" s="355"/>
    </row>
    <row r="8092" spans="14:20" x14ac:dyDescent="0.25">
      <c r="N8092" s="514"/>
      <c r="R8092" s="293"/>
      <c r="S8092" s="316"/>
      <c r="T8092" s="355"/>
    </row>
    <row r="8093" spans="14:20" x14ac:dyDescent="0.25">
      <c r="N8093" s="514"/>
      <c r="R8093" s="293"/>
      <c r="S8093" s="316"/>
      <c r="T8093" s="355"/>
    </row>
    <row r="8094" spans="14:20" x14ac:dyDescent="0.25">
      <c r="N8094" s="514"/>
      <c r="R8094" s="293"/>
      <c r="S8094" s="316"/>
      <c r="T8094" s="355"/>
    </row>
    <row r="8095" spans="14:20" x14ac:dyDescent="0.25">
      <c r="N8095" s="514"/>
      <c r="R8095" s="293"/>
      <c r="S8095" s="316"/>
      <c r="T8095" s="355"/>
    </row>
    <row r="8096" spans="14:20" x14ac:dyDescent="0.25">
      <c r="N8096" s="514"/>
      <c r="R8096" s="293"/>
      <c r="S8096" s="316"/>
      <c r="T8096" s="355"/>
    </row>
    <row r="8097" spans="14:20" x14ac:dyDescent="0.25">
      <c r="N8097" s="514"/>
      <c r="R8097" s="293"/>
      <c r="S8097" s="316"/>
      <c r="T8097" s="355"/>
    </row>
    <row r="8098" spans="14:20" x14ac:dyDescent="0.25">
      <c r="N8098" s="514"/>
      <c r="R8098" s="293"/>
      <c r="S8098" s="316"/>
      <c r="T8098" s="355"/>
    </row>
    <row r="8099" spans="14:20" x14ac:dyDescent="0.25">
      <c r="N8099" s="514"/>
      <c r="R8099" s="293"/>
      <c r="S8099" s="316"/>
      <c r="T8099" s="355"/>
    </row>
    <row r="8100" spans="14:20" x14ac:dyDescent="0.25">
      <c r="N8100" s="514"/>
      <c r="R8100" s="293"/>
      <c r="S8100" s="316"/>
      <c r="T8100" s="355"/>
    </row>
    <row r="8101" spans="14:20" x14ac:dyDescent="0.25">
      <c r="N8101" s="514"/>
      <c r="R8101" s="293"/>
      <c r="S8101" s="316"/>
      <c r="T8101" s="355"/>
    </row>
    <row r="8102" spans="14:20" x14ac:dyDescent="0.25">
      <c r="N8102" s="514"/>
      <c r="R8102" s="293"/>
      <c r="S8102" s="316"/>
      <c r="T8102" s="355"/>
    </row>
    <row r="8103" spans="14:20" x14ac:dyDescent="0.25">
      <c r="N8103" s="514"/>
      <c r="R8103" s="293"/>
      <c r="S8103" s="316"/>
      <c r="T8103" s="355"/>
    </row>
    <row r="8104" spans="14:20" x14ac:dyDescent="0.25">
      <c r="N8104" s="514"/>
      <c r="R8104" s="293"/>
      <c r="S8104" s="316"/>
      <c r="T8104" s="355"/>
    </row>
    <row r="8105" spans="14:20" x14ac:dyDescent="0.25">
      <c r="N8105" s="514"/>
      <c r="R8105" s="293"/>
      <c r="S8105" s="316"/>
      <c r="T8105" s="355"/>
    </row>
    <row r="8106" spans="14:20" x14ac:dyDescent="0.25">
      <c r="N8106" s="514"/>
      <c r="R8106" s="293"/>
      <c r="S8106" s="316"/>
      <c r="T8106" s="355"/>
    </row>
    <row r="8107" spans="14:20" x14ac:dyDescent="0.25">
      <c r="N8107" s="514"/>
      <c r="R8107" s="293"/>
      <c r="S8107" s="316"/>
      <c r="T8107" s="355"/>
    </row>
    <row r="8108" spans="14:20" x14ac:dyDescent="0.25">
      <c r="N8108" s="514"/>
      <c r="R8108" s="293"/>
      <c r="S8108" s="316"/>
      <c r="T8108" s="355"/>
    </row>
    <row r="8109" spans="14:20" x14ac:dyDescent="0.25">
      <c r="N8109" s="514"/>
      <c r="R8109" s="293"/>
      <c r="S8109" s="316"/>
      <c r="T8109" s="355"/>
    </row>
    <row r="8110" spans="14:20" x14ac:dyDescent="0.25">
      <c r="N8110" s="514"/>
      <c r="R8110" s="293"/>
      <c r="S8110" s="316"/>
      <c r="T8110" s="355"/>
    </row>
    <row r="8111" spans="14:20" x14ac:dyDescent="0.25">
      <c r="N8111" s="514"/>
      <c r="R8111" s="293"/>
      <c r="S8111" s="316"/>
      <c r="T8111" s="355"/>
    </row>
    <row r="8112" spans="14:20" x14ac:dyDescent="0.25">
      <c r="N8112" s="514"/>
      <c r="R8112" s="293"/>
      <c r="S8112" s="316"/>
      <c r="T8112" s="355"/>
    </row>
    <row r="8113" spans="14:20" x14ac:dyDescent="0.25">
      <c r="N8113" s="514"/>
      <c r="R8113" s="293"/>
      <c r="S8113" s="316"/>
      <c r="T8113" s="355"/>
    </row>
    <row r="8114" spans="14:20" x14ac:dyDescent="0.25">
      <c r="N8114" s="514"/>
      <c r="R8114" s="293"/>
      <c r="S8114" s="316"/>
      <c r="T8114" s="355"/>
    </row>
    <row r="8115" spans="14:20" x14ac:dyDescent="0.25">
      <c r="N8115" s="514"/>
      <c r="R8115" s="293"/>
      <c r="S8115" s="316"/>
      <c r="T8115" s="355"/>
    </row>
    <row r="8116" spans="14:20" x14ac:dyDescent="0.25">
      <c r="N8116" s="514"/>
      <c r="R8116" s="293"/>
      <c r="S8116" s="316"/>
      <c r="T8116" s="355"/>
    </row>
    <row r="8117" spans="14:20" x14ac:dyDescent="0.25">
      <c r="N8117" s="514"/>
      <c r="R8117" s="293"/>
      <c r="S8117" s="316"/>
      <c r="T8117" s="355"/>
    </row>
    <row r="8118" spans="14:20" x14ac:dyDescent="0.25">
      <c r="N8118" s="514"/>
      <c r="R8118" s="293"/>
      <c r="S8118" s="316"/>
      <c r="T8118" s="355"/>
    </row>
    <row r="8119" spans="14:20" x14ac:dyDescent="0.25">
      <c r="N8119" s="514"/>
      <c r="R8119" s="293"/>
      <c r="S8119" s="316"/>
      <c r="T8119" s="355"/>
    </row>
    <row r="8120" spans="14:20" x14ac:dyDescent="0.25">
      <c r="N8120" s="514"/>
      <c r="R8120" s="293"/>
      <c r="S8120" s="316"/>
      <c r="T8120" s="355"/>
    </row>
    <row r="8121" spans="14:20" x14ac:dyDescent="0.25">
      <c r="N8121" s="514"/>
      <c r="R8121" s="293"/>
      <c r="S8121" s="316"/>
      <c r="T8121" s="355"/>
    </row>
    <row r="8122" spans="14:20" x14ac:dyDescent="0.25">
      <c r="N8122" s="514"/>
      <c r="R8122" s="293"/>
      <c r="S8122" s="316"/>
      <c r="T8122" s="355"/>
    </row>
    <row r="8123" spans="14:20" x14ac:dyDescent="0.25">
      <c r="N8123" s="514"/>
      <c r="R8123" s="293"/>
      <c r="S8123" s="316"/>
      <c r="T8123" s="355"/>
    </row>
    <row r="8124" spans="14:20" x14ac:dyDescent="0.25">
      <c r="N8124" s="514"/>
      <c r="R8124" s="293"/>
      <c r="S8124" s="316"/>
      <c r="T8124" s="355"/>
    </row>
    <row r="8125" spans="14:20" x14ac:dyDescent="0.25">
      <c r="N8125" s="514"/>
      <c r="R8125" s="293"/>
      <c r="S8125" s="316"/>
      <c r="T8125" s="355"/>
    </row>
    <row r="8126" spans="14:20" x14ac:dyDescent="0.25">
      <c r="N8126" s="514"/>
      <c r="R8126" s="293"/>
      <c r="S8126" s="316"/>
      <c r="T8126" s="355"/>
    </row>
    <row r="8127" spans="14:20" x14ac:dyDescent="0.25">
      <c r="N8127" s="514"/>
      <c r="R8127" s="293"/>
      <c r="S8127" s="316"/>
      <c r="T8127" s="355"/>
    </row>
    <row r="8128" spans="14:20" x14ac:dyDescent="0.25">
      <c r="N8128" s="514"/>
      <c r="R8128" s="293"/>
      <c r="S8128" s="316"/>
      <c r="T8128" s="355"/>
    </row>
    <row r="8129" spans="14:20" x14ac:dyDescent="0.25">
      <c r="N8129" s="514"/>
      <c r="R8129" s="293"/>
      <c r="S8129" s="316"/>
      <c r="T8129" s="355"/>
    </row>
    <row r="8130" spans="14:20" x14ac:dyDescent="0.25">
      <c r="N8130" s="514"/>
      <c r="R8130" s="293"/>
      <c r="S8130" s="316"/>
      <c r="T8130" s="355"/>
    </row>
    <row r="8131" spans="14:20" x14ac:dyDescent="0.25">
      <c r="N8131" s="514"/>
      <c r="R8131" s="293"/>
      <c r="S8131" s="316"/>
      <c r="T8131" s="355"/>
    </row>
    <row r="8132" spans="14:20" x14ac:dyDescent="0.25">
      <c r="N8132" s="514"/>
      <c r="R8132" s="293"/>
      <c r="S8132" s="316"/>
      <c r="T8132" s="355"/>
    </row>
    <row r="8133" spans="14:20" x14ac:dyDescent="0.25">
      <c r="N8133" s="514"/>
      <c r="R8133" s="293"/>
      <c r="S8133" s="316"/>
      <c r="T8133" s="355"/>
    </row>
    <row r="8134" spans="14:20" x14ac:dyDescent="0.25">
      <c r="N8134" s="514"/>
      <c r="R8134" s="293"/>
      <c r="S8134" s="316"/>
      <c r="T8134" s="355"/>
    </row>
    <row r="8135" spans="14:20" x14ac:dyDescent="0.25">
      <c r="N8135" s="514"/>
      <c r="R8135" s="293"/>
      <c r="S8135" s="316"/>
      <c r="T8135" s="355"/>
    </row>
    <row r="8136" spans="14:20" x14ac:dyDescent="0.25">
      <c r="N8136" s="514"/>
      <c r="R8136" s="293"/>
      <c r="S8136" s="316"/>
      <c r="T8136" s="355"/>
    </row>
    <row r="8137" spans="14:20" x14ac:dyDescent="0.25">
      <c r="N8137" s="514"/>
      <c r="R8137" s="293"/>
      <c r="S8137" s="316"/>
      <c r="T8137" s="355"/>
    </row>
    <row r="8138" spans="14:20" x14ac:dyDescent="0.25">
      <c r="N8138" s="514"/>
      <c r="R8138" s="293"/>
      <c r="S8138" s="316"/>
      <c r="T8138" s="355"/>
    </row>
    <row r="8139" spans="14:20" x14ac:dyDescent="0.25">
      <c r="N8139" s="514"/>
      <c r="R8139" s="293"/>
      <c r="S8139" s="316"/>
      <c r="T8139" s="355"/>
    </row>
    <row r="8140" spans="14:20" x14ac:dyDescent="0.25">
      <c r="N8140" s="514"/>
      <c r="R8140" s="293"/>
      <c r="S8140" s="316"/>
      <c r="T8140" s="355"/>
    </row>
    <row r="8141" spans="14:20" x14ac:dyDescent="0.25">
      <c r="N8141" s="514"/>
      <c r="R8141" s="293"/>
      <c r="S8141" s="316"/>
      <c r="T8141" s="355"/>
    </row>
    <row r="8142" spans="14:20" x14ac:dyDescent="0.25">
      <c r="N8142" s="514"/>
      <c r="R8142" s="293"/>
      <c r="S8142" s="316"/>
      <c r="T8142" s="355"/>
    </row>
    <row r="8143" spans="14:20" x14ac:dyDescent="0.25">
      <c r="N8143" s="514"/>
      <c r="R8143" s="293"/>
      <c r="S8143" s="316"/>
      <c r="T8143" s="355"/>
    </row>
    <row r="8144" spans="14:20" x14ac:dyDescent="0.25">
      <c r="N8144" s="514"/>
      <c r="R8144" s="293"/>
      <c r="S8144" s="316"/>
      <c r="T8144" s="355"/>
    </row>
    <row r="8145" spans="14:20" x14ac:dyDescent="0.25">
      <c r="N8145" s="514"/>
      <c r="R8145" s="293"/>
      <c r="S8145" s="316"/>
      <c r="T8145" s="355"/>
    </row>
    <row r="8146" spans="14:20" x14ac:dyDescent="0.25">
      <c r="N8146" s="514"/>
      <c r="R8146" s="293"/>
      <c r="S8146" s="316"/>
      <c r="T8146" s="355"/>
    </row>
    <row r="8147" spans="14:20" x14ac:dyDescent="0.25">
      <c r="N8147" s="514"/>
      <c r="R8147" s="293"/>
      <c r="S8147" s="316"/>
      <c r="T8147" s="355"/>
    </row>
    <row r="8148" spans="14:20" x14ac:dyDescent="0.25">
      <c r="N8148" s="514"/>
      <c r="R8148" s="293"/>
      <c r="S8148" s="316"/>
      <c r="T8148" s="355"/>
    </row>
    <row r="8149" spans="14:20" x14ac:dyDescent="0.25">
      <c r="N8149" s="514"/>
      <c r="R8149" s="293"/>
      <c r="S8149" s="316"/>
      <c r="T8149" s="355"/>
    </row>
    <row r="8150" spans="14:20" x14ac:dyDescent="0.25">
      <c r="N8150" s="514"/>
      <c r="R8150" s="293"/>
      <c r="S8150" s="316"/>
      <c r="T8150" s="355"/>
    </row>
    <row r="8151" spans="14:20" x14ac:dyDescent="0.25">
      <c r="N8151" s="514"/>
      <c r="R8151" s="293"/>
      <c r="S8151" s="316"/>
      <c r="T8151" s="355"/>
    </row>
    <row r="8152" spans="14:20" x14ac:dyDescent="0.25">
      <c r="N8152" s="514"/>
      <c r="R8152" s="293"/>
      <c r="S8152" s="316"/>
      <c r="T8152" s="355"/>
    </row>
    <row r="8153" spans="14:20" x14ac:dyDescent="0.25">
      <c r="N8153" s="514"/>
      <c r="R8153" s="293"/>
      <c r="S8153" s="316"/>
      <c r="T8153" s="355"/>
    </row>
    <row r="8154" spans="14:20" x14ac:dyDescent="0.25">
      <c r="N8154" s="514"/>
      <c r="R8154" s="293"/>
      <c r="S8154" s="316"/>
      <c r="T8154" s="355"/>
    </row>
    <row r="8155" spans="14:20" x14ac:dyDescent="0.25">
      <c r="N8155" s="514"/>
      <c r="R8155" s="293"/>
      <c r="S8155" s="316"/>
      <c r="T8155" s="355"/>
    </row>
    <row r="8156" spans="14:20" x14ac:dyDescent="0.25">
      <c r="N8156" s="514"/>
      <c r="R8156" s="293"/>
      <c r="S8156" s="316"/>
      <c r="T8156" s="355"/>
    </row>
    <row r="8157" spans="14:20" x14ac:dyDescent="0.25">
      <c r="N8157" s="514"/>
      <c r="R8157" s="293"/>
      <c r="S8157" s="316"/>
      <c r="T8157" s="355"/>
    </row>
    <row r="8158" spans="14:20" x14ac:dyDescent="0.25">
      <c r="N8158" s="514"/>
      <c r="R8158" s="293"/>
      <c r="S8158" s="316"/>
      <c r="T8158" s="355"/>
    </row>
    <row r="8159" spans="14:20" x14ac:dyDescent="0.25">
      <c r="N8159" s="514"/>
      <c r="R8159" s="293"/>
      <c r="S8159" s="316"/>
      <c r="T8159" s="355"/>
    </row>
    <row r="8160" spans="14:20" x14ac:dyDescent="0.25">
      <c r="N8160" s="514"/>
      <c r="R8160" s="293"/>
      <c r="S8160" s="316"/>
      <c r="T8160" s="355"/>
    </row>
    <row r="8161" spans="14:20" x14ac:dyDescent="0.25">
      <c r="N8161" s="514"/>
      <c r="R8161" s="293"/>
      <c r="S8161" s="316"/>
      <c r="T8161" s="355"/>
    </row>
    <row r="8162" spans="14:20" x14ac:dyDescent="0.25">
      <c r="N8162" s="514"/>
      <c r="R8162" s="293"/>
      <c r="S8162" s="316"/>
      <c r="T8162" s="355"/>
    </row>
    <row r="8163" spans="14:20" x14ac:dyDescent="0.25">
      <c r="N8163" s="514"/>
      <c r="R8163" s="293"/>
      <c r="S8163" s="316"/>
      <c r="T8163" s="355"/>
    </row>
    <row r="8164" spans="14:20" x14ac:dyDescent="0.25">
      <c r="N8164" s="514"/>
      <c r="R8164" s="293"/>
      <c r="S8164" s="316"/>
      <c r="T8164" s="355"/>
    </row>
    <row r="8165" spans="14:20" x14ac:dyDescent="0.25">
      <c r="N8165" s="514"/>
      <c r="R8165" s="293"/>
      <c r="S8165" s="316"/>
      <c r="T8165" s="355"/>
    </row>
    <row r="8166" spans="14:20" x14ac:dyDescent="0.25">
      <c r="N8166" s="514"/>
      <c r="R8166" s="293"/>
      <c r="S8166" s="316"/>
      <c r="T8166" s="355"/>
    </row>
    <row r="8167" spans="14:20" x14ac:dyDescent="0.25">
      <c r="N8167" s="514"/>
      <c r="R8167" s="293"/>
      <c r="S8167" s="316"/>
      <c r="T8167" s="355"/>
    </row>
    <row r="8168" spans="14:20" x14ac:dyDescent="0.25">
      <c r="N8168" s="514"/>
      <c r="R8168" s="293"/>
      <c r="S8168" s="316"/>
      <c r="T8168" s="355"/>
    </row>
    <row r="8169" spans="14:20" x14ac:dyDescent="0.25">
      <c r="N8169" s="514"/>
      <c r="R8169" s="293"/>
      <c r="S8169" s="316"/>
      <c r="T8169" s="355"/>
    </row>
    <row r="8170" spans="14:20" x14ac:dyDescent="0.25">
      <c r="N8170" s="514"/>
      <c r="R8170" s="293"/>
      <c r="S8170" s="316"/>
      <c r="T8170" s="355"/>
    </row>
    <row r="8171" spans="14:20" x14ac:dyDescent="0.25">
      <c r="N8171" s="514"/>
      <c r="R8171" s="293"/>
      <c r="S8171" s="316"/>
      <c r="T8171" s="355"/>
    </row>
    <row r="8172" spans="14:20" x14ac:dyDescent="0.25">
      <c r="N8172" s="514"/>
      <c r="R8172" s="293"/>
      <c r="S8172" s="316"/>
      <c r="T8172" s="355"/>
    </row>
    <row r="8173" spans="14:20" x14ac:dyDescent="0.25">
      <c r="N8173" s="514"/>
      <c r="R8173" s="293"/>
      <c r="S8173" s="316"/>
      <c r="T8173" s="355"/>
    </row>
    <row r="8174" spans="14:20" x14ac:dyDescent="0.25">
      <c r="N8174" s="514"/>
      <c r="R8174" s="293"/>
      <c r="S8174" s="316"/>
      <c r="T8174" s="355"/>
    </row>
    <row r="8175" spans="14:20" x14ac:dyDescent="0.25">
      <c r="N8175" s="514"/>
      <c r="R8175" s="293"/>
      <c r="S8175" s="316"/>
      <c r="T8175" s="355"/>
    </row>
    <row r="8176" spans="14:20" x14ac:dyDescent="0.25">
      <c r="N8176" s="514"/>
      <c r="R8176" s="293"/>
      <c r="S8176" s="316"/>
      <c r="T8176" s="355"/>
    </row>
    <row r="8177" spans="14:20" x14ac:dyDescent="0.25">
      <c r="N8177" s="514"/>
      <c r="R8177" s="293"/>
      <c r="S8177" s="316"/>
      <c r="T8177" s="355"/>
    </row>
    <row r="8178" spans="14:20" x14ac:dyDescent="0.25">
      <c r="N8178" s="514"/>
      <c r="R8178" s="293"/>
      <c r="S8178" s="316"/>
      <c r="T8178" s="355"/>
    </row>
    <row r="8179" spans="14:20" x14ac:dyDescent="0.25">
      <c r="N8179" s="514"/>
      <c r="R8179" s="293"/>
      <c r="S8179" s="316"/>
      <c r="T8179" s="355"/>
    </row>
    <row r="8180" spans="14:20" x14ac:dyDescent="0.25">
      <c r="N8180" s="514"/>
      <c r="R8180" s="293"/>
      <c r="S8180" s="316"/>
      <c r="T8180" s="355"/>
    </row>
    <row r="8181" spans="14:20" x14ac:dyDescent="0.25">
      <c r="N8181" s="514"/>
      <c r="R8181" s="293"/>
      <c r="S8181" s="316"/>
      <c r="T8181" s="355"/>
    </row>
    <row r="8182" spans="14:20" x14ac:dyDescent="0.25">
      <c r="N8182" s="514"/>
      <c r="R8182" s="293"/>
      <c r="S8182" s="316"/>
      <c r="T8182" s="355"/>
    </row>
    <row r="8183" spans="14:20" x14ac:dyDescent="0.25">
      <c r="N8183" s="514"/>
      <c r="R8183" s="293"/>
      <c r="S8183" s="316"/>
      <c r="T8183" s="355"/>
    </row>
    <row r="8184" spans="14:20" x14ac:dyDescent="0.25">
      <c r="N8184" s="514"/>
      <c r="R8184" s="293"/>
      <c r="S8184" s="316"/>
      <c r="T8184" s="355"/>
    </row>
    <row r="8185" spans="14:20" x14ac:dyDescent="0.25">
      <c r="N8185" s="514"/>
      <c r="R8185" s="293"/>
      <c r="S8185" s="316"/>
      <c r="T8185" s="355"/>
    </row>
    <row r="8186" spans="14:20" x14ac:dyDescent="0.25">
      <c r="N8186" s="514"/>
      <c r="R8186" s="293"/>
      <c r="S8186" s="316"/>
      <c r="T8186" s="355"/>
    </row>
    <row r="8187" spans="14:20" x14ac:dyDescent="0.25">
      <c r="N8187" s="514"/>
      <c r="R8187" s="293"/>
      <c r="S8187" s="316"/>
      <c r="T8187" s="355"/>
    </row>
    <row r="8188" spans="14:20" x14ac:dyDescent="0.25">
      <c r="N8188" s="514"/>
      <c r="R8188" s="293"/>
      <c r="S8188" s="316"/>
      <c r="T8188" s="355"/>
    </row>
    <row r="8189" spans="14:20" x14ac:dyDescent="0.25">
      <c r="N8189" s="514"/>
      <c r="R8189" s="293"/>
      <c r="S8189" s="316"/>
      <c r="T8189" s="355"/>
    </row>
    <row r="8190" spans="14:20" x14ac:dyDescent="0.25">
      <c r="N8190" s="514"/>
      <c r="R8190" s="293"/>
      <c r="S8190" s="316"/>
      <c r="T8190" s="355"/>
    </row>
    <row r="8191" spans="14:20" x14ac:dyDescent="0.25">
      <c r="N8191" s="514"/>
      <c r="R8191" s="293"/>
      <c r="S8191" s="316"/>
      <c r="T8191" s="355"/>
    </row>
    <row r="8192" spans="14:20" x14ac:dyDescent="0.25">
      <c r="N8192" s="514"/>
      <c r="R8192" s="293"/>
      <c r="S8192" s="316"/>
      <c r="T8192" s="355"/>
    </row>
    <row r="8193" spans="14:20" x14ac:dyDescent="0.25">
      <c r="N8193" s="514"/>
      <c r="R8193" s="293"/>
      <c r="S8193" s="316"/>
      <c r="T8193" s="355"/>
    </row>
    <row r="8194" spans="14:20" x14ac:dyDescent="0.25">
      <c r="N8194" s="514"/>
      <c r="R8194" s="293"/>
      <c r="S8194" s="316"/>
      <c r="T8194" s="355"/>
    </row>
    <row r="8195" spans="14:20" x14ac:dyDescent="0.25">
      <c r="N8195" s="514"/>
      <c r="R8195" s="293"/>
      <c r="S8195" s="316"/>
      <c r="T8195" s="355"/>
    </row>
    <row r="8196" spans="14:20" x14ac:dyDescent="0.25">
      <c r="N8196" s="514"/>
      <c r="R8196" s="293"/>
      <c r="S8196" s="316"/>
      <c r="T8196" s="355"/>
    </row>
    <row r="8197" spans="14:20" x14ac:dyDescent="0.25">
      <c r="N8197" s="514"/>
      <c r="R8197" s="293"/>
      <c r="S8197" s="316"/>
      <c r="T8197" s="355"/>
    </row>
    <row r="8198" spans="14:20" x14ac:dyDescent="0.25">
      <c r="N8198" s="514"/>
      <c r="R8198" s="293"/>
      <c r="S8198" s="316"/>
      <c r="T8198" s="355"/>
    </row>
    <row r="8199" spans="14:20" x14ac:dyDescent="0.25">
      <c r="N8199" s="514"/>
      <c r="R8199" s="293"/>
      <c r="S8199" s="316"/>
      <c r="T8199" s="355"/>
    </row>
    <row r="8200" spans="14:20" x14ac:dyDescent="0.25">
      <c r="N8200" s="514"/>
      <c r="R8200" s="293"/>
      <c r="S8200" s="316"/>
      <c r="T8200" s="355"/>
    </row>
    <row r="8201" spans="14:20" x14ac:dyDescent="0.25">
      <c r="N8201" s="514"/>
      <c r="R8201" s="293"/>
      <c r="S8201" s="316"/>
      <c r="T8201" s="355"/>
    </row>
    <row r="8202" spans="14:20" x14ac:dyDescent="0.25">
      <c r="N8202" s="514"/>
      <c r="R8202" s="293"/>
      <c r="S8202" s="316"/>
      <c r="T8202" s="355"/>
    </row>
    <row r="8203" spans="14:20" x14ac:dyDescent="0.25">
      <c r="N8203" s="514"/>
      <c r="R8203" s="293"/>
      <c r="S8203" s="316"/>
      <c r="T8203" s="355"/>
    </row>
    <row r="8204" spans="14:20" x14ac:dyDescent="0.25">
      <c r="N8204" s="514"/>
      <c r="R8204" s="293"/>
      <c r="S8204" s="316"/>
      <c r="T8204" s="355"/>
    </row>
    <row r="8205" spans="14:20" x14ac:dyDescent="0.25">
      <c r="N8205" s="514"/>
      <c r="R8205" s="293"/>
      <c r="S8205" s="316"/>
      <c r="T8205" s="355"/>
    </row>
    <row r="8206" spans="14:20" x14ac:dyDescent="0.25">
      <c r="N8206" s="514"/>
      <c r="R8206" s="293"/>
      <c r="S8206" s="316"/>
      <c r="T8206" s="355"/>
    </row>
    <row r="8207" spans="14:20" x14ac:dyDescent="0.25">
      <c r="N8207" s="514"/>
      <c r="R8207" s="293"/>
      <c r="S8207" s="316"/>
      <c r="T8207" s="355"/>
    </row>
    <row r="8208" spans="14:20" x14ac:dyDescent="0.25">
      <c r="N8208" s="514"/>
      <c r="R8208" s="293"/>
      <c r="S8208" s="316"/>
      <c r="T8208" s="355"/>
    </row>
    <row r="8209" spans="14:20" x14ac:dyDescent="0.25">
      <c r="N8209" s="514"/>
      <c r="R8209" s="293"/>
      <c r="S8209" s="316"/>
      <c r="T8209" s="355"/>
    </row>
    <row r="8210" spans="14:20" x14ac:dyDescent="0.25">
      <c r="N8210" s="514"/>
      <c r="R8210" s="293"/>
      <c r="S8210" s="316"/>
      <c r="T8210" s="355"/>
    </row>
    <row r="8211" spans="14:20" x14ac:dyDescent="0.25">
      <c r="N8211" s="514"/>
      <c r="R8211" s="293"/>
      <c r="S8211" s="316"/>
      <c r="T8211" s="355"/>
    </row>
    <row r="8212" spans="14:20" x14ac:dyDescent="0.25">
      <c r="N8212" s="514"/>
      <c r="R8212" s="293"/>
      <c r="S8212" s="316"/>
      <c r="T8212" s="355"/>
    </row>
    <row r="8213" spans="14:20" x14ac:dyDescent="0.25">
      <c r="N8213" s="514"/>
      <c r="R8213" s="293"/>
      <c r="S8213" s="316"/>
      <c r="T8213" s="355"/>
    </row>
    <row r="8214" spans="14:20" x14ac:dyDescent="0.25">
      <c r="N8214" s="514"/>
      <c r="R8214" s="293"/>
      <c r="S8214" s="316"/>
      <c r="T8214" s="355"/>
    </row>
    <row r="8215" spans="14:20" x14ac:dyDescent="0.25">
      <c r="N8215" s="514"/>
      <c r="R8215" s="293"/>
      <c r="S8215" s="316"/>
      <c r="T8215" s="355"/>
    </row>
    <row r="8216" spans="14:20" x14ac:dyDescent="0.25">
      <c r="N8216" s="514"/>
      <c r="R8216" s="293"/>
      <c r="S8216" s="316"/>
      <c r="T8216" s="355"/>
    </row>
    <row r="8217" spans="14:20" x14ac:dyDescent="0.25">
      <c r="N8217" s="514"/>
      <c r="R8217" s="293"/>
      <c r="S8217" s="316"/>
      <c r="T8217" s="355"/>
    </row>
    <row r="8218" spans="14:20" x14ac:dyDescent="0.25">
      <c r="N8218" s="514"/>
      <c r="R8218" s="293"/>
      <c r="S8218" s="316"/>
      <c r="T8218" s="355"/>
    </row>
    <row r="8219" spans="14:20" x14ac:dyDescent="0.25">
      <c r="N8219" s="514"/>
      <c r="R8219" s="293"/>
      <c r="S8219" s="316"/>
      <c r="T8219" s="355"/>
    </row>
    <row r="8220" spans="14:20" x14ac:dyDescent="0.25">
      <c r="N8220" s="514"/>
      <c r="R8220" s="293"/>
      <c r="S8220" s="316"/>
      <c r="T8220" s="355"/>
    </row>
    <row r="8221" spans="14:20" x14ac:dyDescent="0.25">
      <c r="N8221" s="514"/>
      <c r="R8221" s="293"/>
      <c r="S8221" s="316"/>
      <c r="T8221" s="355"/>
    </row>
    <row r="8222" spans="14:20" x14ac:dyDescent="0.25">
      <c r="N8222" s="514"/>
      <c r="R8222" s="293"/>
      <c r="S8222" s="316"/>
      <c r="T8222" s="355"/>
    </row>
    <row r="8223" spans="14:20" x14ac:dyDescent="0.25">
      <c r="N8223" s="514"/>
      <c r="R8223" s="293"/>
      <c r="S8223" s="316"/>
      <c r="T8223" s="355"/>
    </row>
    <row r="8224" spans="14:20" x14ac:dyDescent="0.25">
      <c r="N8224" s="514"/>
      <c r="R8224" s="293"/>
      <c r="S8224" s="316"/>
      <c r="T8224" s="355"/>
    </row>
    <row r="8225" spans="14:20" x14ac:dyDescent="0.25">
      <c r="N8225" s="514"/>
      <c r="R8225" s="293"/>
      <c r="S8225" s="316"/>
      <c r="T8225" s="355"/>
    </row>
    <row r="8226" spans="14:20" x14ac:dyDescent="0.25">
      <c r="N8226" s="514"/>
      <c r="R8226" s="293"/>
      <c r="S8226" s="316"/>
      <c r="T8226" s="355"/>
    </row>
    <row r="8227" spans="14:20" x14ac:dyDescent="0.25">
      <c r="N8227" s="514"/>
      <c r="R8227" s="293"/>
      <c r="S8227" s="316"/>
      <c r="T8227" s="355"/>
    </row>
    <row r="8228" spans="14:20" x14ac:dyDescent="0.25">
      <c r="N8228" s="514"/>
      <c r="R8228" s="293"/>
      <c r="S8228" s="316"/>
      <c r="T8228" s="355"/>
    </row>
    <row r="8229" spans="14:20" x14ac:dyDescent="0.25">
      <c r="N8229" s="514"/>
      <c r="R8229" s="293"/>
      <c r="S8229" s="316"/>
      <c r="T8229" s="355"/>
    </row>
    <row r="8230" spans="14:20" x14ac:dyDescent="0.25">
      <c r="N8230" s="514"/>
      <c r="R8230" s="293"/>
      <c r="S8230" s="316"/>
      <c r="T8230" s="355"/>
    </row>
    <row r="8231" spans="14:20" x14ac:dyDescent="0.25">
      <c r="N8231" s="514"/>
      <c r="R8231" s="293"/>
      <c r="S8231" s="316"/>
      <c r="T8231" s="355"/>
    </row>
    <row r="8232" spans="14:20" x14ac:dyDescent="0.25">
      <c r="N8232" s="514"/>
      <c r="R8232" s="293"/>
      <c r="S8232" s="316"/>
      <c r="T8232" s="355"/>
    </row>
    <row r="8233" spans="14:20" x14ac:dyDescent="0.25">
      <c r="N8233" s="514"/>
      <c r="R8233" s="293"/>
      <c r="S8233" s="316"/>
      <c r="T8233" s="355"/>
    </row>
    <row r="8234" spans="14:20" x14ac:dyDescent="0.25">
      <c r="N8234" s="514"/>
      <c r="R8234" s="293"/>
      <c r="S8234" s="316"/>
      <c r="T8234" s="355"/>
    </row>
    <row r="8235" spans="14:20" x14ac:dyDescent="0.25">
      <c r="N8235" s="514"/>
      <c r="R8235" s="293"/>
      <c r="S8235" s="316"/>
      <c r="T8235" s="355"/>
    </row>
    <row r="8236" spans="14:20" x14ac:dyDescent="0.25">
      <c r="N8236" s="514"/>
      <c r="R8236" s="293"/>
      <c r="S8236" s="316"/>
      <c r="T8236" s="355"/>
    </row>
    <row r="8237" spans="14:20" x14ac:dyDescent="0.25">
      <c r="N8237" s="514"/>
      <c r="R8237" s="293"/>
      <c r="S8237" s="316"/>
      <c r="T8237" s="355"/>
    </row>
    <row r="8238" spans="14:20" x14ac:dyDescent="0.25">
      <c r="N8238" s="514"/>
      <c r="R8238" s="293"/>
      <c r="S8238" s="316"/>
      <c r="T8238" s="355"/>
    </row>
    <row r="8239" spans="14:20" x14ac:dyDescent="0.25">
      <c r="N8239" s="514"/>
      <c r="R8239" s="293"/>
      <c r="S8239" s="316"/>
      <c r="T8239" s="355"/>
    </row>
    <row r="8240" spans="14:20" x14ac:dyDescent="0.25">
      <c r="N8240" s="514"/>
      <c r="R8240" s="293"/>
      <c r="S8240" s="316"/>
      <c r="T8240" s="355"/>
    </row>
    <row r="8241" spans="14:20" x14ac:dyDescent="0.25">
      <c r="N8241" s="514"/>
      <c r="R8241" s="293"/>
      <c r="S8241" s="316"/>
      <c r="T8241" s="355"/>
    </row>
    <row r="8242" spans="14:20" x14ac:dyDescent="0.25">
      <c r="N8242" s="514"/>
      <c r="R8242" s="293"/>
      <c r="S8242" s="316"/>
      <c r="T8242" s="355"/>
    </row>
    <row r="8243" spans="14:20" x14ac:dyDescent="0.25">
      <c r="N8243" s="514"/>
      <c r="R8243" s="293"/>
      <c r="S8243" s="316"/>
      <c r="T8243" s="355"/>
    </row>
    <row r="8244" spans="14:20" x14ac:dyDescent="0.25">
      <c r="N8244" s="514"/>
      <c r="R8244" s="293"/>
      <c r="S8244" s="316"/>
      <c r="T8244" s="355"/>
    </row>
    <row r="8245" spans="14:20" x14ac:dyDescent="0.25">
      <c r="N8245" s="514"/>
      <c r="R8245" s="293"/>
      <c r="S8245" s="316"/>
      <c r="T8245" s="355"/>
    </row>
    <row r="8246" spans="14:20" x14ac:dyDescent="0.25">
      <c r="N8246" s="514"/>
      <c r="R8246" s="293"/>
      <c r="S8246" s="316"/>
      <c r="T8246" s="355"/>
    </row>
    <row r="8247" spans="14:20" x14ac:dyDescent="0.25">
      <c r="N8247" s="514"/>
      <c r="R8247" s="293"/>
      <c r="S8247" s="316"/>
      <c r="T8247" s="355"/>
    </row>
    <row r="8248" spans="14:20" x14ac:dyDescent="0.25">
      <c r="N8248" s="514"/>
      <c r="R8248" s="293"/>
      <c r="S8248" s="316"/>
      <c r="T8248" s="355"/>
    </row>
    <row r="8249" spans="14:20" x14ac:dyDescent="0.25">
      <c r="N8249" s="514"/>
      <c r="R8249" s="293"/>
      <c r="S8249" s="316"/>
      <c r="T8249" s="355"/>
    </row>
    <row r="8250" spans="14:20" x14ac:dyDescent="0.25">
      <c r="N8250" s="514"/>
      <c r="R8250" s="293"/>
      <c r="S8250" s="316"/>
      <c r="T8250" s="355"/>
    </row>
    <row r="8251" spans="14:20" x14ac:dyDescent="0.25">
      <c r="N8251" s="514"/>
      <c r="R8251" s="293"/>
      <c r="S8251" s="316"/>
      <c r="T8251" s="355"/>
    </row>
    <row r="8252" spans="14:20" x14ac:dyDescent="0.25">
      <c r="N8252" s="514"/>
      <c r="R8252" s="293"/>
      <c r="S8252" s="316"/>
      <c r="T8252" s="355"/>
    </row>
    <row r="8253" spans="14:20" x14ac:dyDescent="0.25">
      <c r="N8253" s="514"/>
      <c r="R8253" s="293"/>
      <c r="S8253" s="316"/>
      <c r="T8253" s="355"/>
    </row>
    <row r="8254" spans="14:20" x14ac:dyDescent="0.25">
      <c r="N8254" s="514"/>
      <c r="R8254" s="293"/>
      <c r="S8254" s="316"/>
      <c r="T8254" s="355"/>
    </row>
    <row r="8255" spans="14:20" x14ac:dyDescent="0.25">
      <c r="N8255" s="514"/>
      <c r="R8255" s="293"/>
      <c r="S8255" s="316"/>
      <c r="T8255" s="355"/>
    </row>
    <row r="8256" spans="14:20" x14ac:dyDescent="0.25">
      <c r="N8256" s="514"/>
      <c r="R8256" s="293"/>
      <c r="S8256" s="316"/>
      <c r="T8256" s="355"/>
    </row>
    <row r="8257" spans="14:20" x14ac:dyDescent="0.25">
      <c r="N8257" s="514"/>
      <c r="R8257" s="293"/>
      <c r="S8257" s="316"/>
      <c r="T8257" s="355"/>
    </row>
    <row r="8258" spans="14:20" x14ac:dyDescent="0.25">
      <c r="N8258" s="514"/>
      <c r="R8258" s="293"/>
      <c r="S8258" s="316"/>
      <c r="T8258" s="355"/>
    </row>
    <row r="8259" spans="14:20" x14ac:dyDescent="0.25">
      <c r="N8259" s="514"/>
      <c r="R8259" s="293"/>
      <c r="S8259" s="316"/>
      <c r="T8259" s="355"/>
    </row>
    <row r="8260" spans="14:20" x14ac:dyDescent="0.25">
      <c r="N8260" s="514"/>
      <c r="R8260" s="293"/>
      <c r="S8260" s="316"/>
      <c r="T8260" s="355"/>
    </row>
    <row r="8261" spans="14:20" x14ac:dyDescent="0.25">
      <c r="N8261" s="514"/>
      <c r="R8261" s="293"/>
      <c r="S8261" s="316"/>
      <c r="T8261" s="355"/>
    </row>
    <row r="8262" spans="14:20" x14ac:dyDescent="0.25">
      <c r="N8262" s="514"/>
      <c r="R8262" s="293"/>
      <c r="S8262" s="316"/>
      <c r="T8262" s="355"/>
    </row>
    <row r="8263" spans="14:20" x14ac:dyDescent="0.25">
      <c r="N8263" s="514"/>
      <c r="R8263" s="293"/>
      <c r="S8263" s="316"/>
      <c r="T8263" s="355"/>
    </row>
    <row r="8264" spans="14:20" x14ac:dyDescent="0.25">
      <c r="N8264" s="514"/>
      <c r="R8264" s="293"/>
      <c r="S8264" s="316"/>
      <c r="T8264" s="355"/>
    </row>
    <row r="8265" spans="14:20" x14ac:dyDescent="0.25">
      <c r="N8265" s="514"/>
      <c r="R8265" s="293"/>
      <c r="S8265" s="316"/>
      <c r="T8265" s="355"/>
    </row>
    <row r="8266" spans="14:20" x14ac:dyDescent="0.25">
      <c r="N8266" s="514"/>
      <c r="R8266" s="293"/>
      <c r="S8266" s="316"/>
      <c r="T8266" s="355"/>
    </row>
    <row r="8267" spans="14:20" x14ac:dyDescent="0.25">
      <c r="N8267" s="514"/>
      <c r="R8267" s="293"/>
      <c r="S8267" s="316"/>
      <c r="T8267" s="355"/>
    </row>
    <row r="8268" spans="14:20" x14ac:dyDescent="0.25">
      <c r="N8268" s="514"/>
      <c r="R8268" s="293"/>
      <c r="S8268" s="316"/>
      <c r="T8268" s="355"/>
    </row>
    <row r="8269" spans="14:20" x14ac:dyDescent="0.25">
      <c r="N8269" s="514"/>
      <c r="R8269" s="293"/>
      <c r="S8269" s="316"/>
      <c r="T8269" s="355"/>
    </row>
    <row r="8270" spans="14:20" x14ac:dyDescent="0.25">
      <c r="N8270" s="514"/>
      <c r="R8270" s="293"/>
      <c r="S8270" s="316"/>
      <c r="T8270" s="355"/>
    </row>
    <row r="8271" spans="14:20" x14ac:dyDescent="0.25">
      <c r="N8271" s="514"/>
      <c r="R8271" s="293"/>
      <c r="S8271" s="316"/>
      <c r="T8271" s="355"/>
    </row>
    <row r="8272" spans="14:20" x14ac:dyDescent="0.25">
      <c r="N8272" s="514"/>
      <c r="R8272" s="293"/>
      <c r="S8272" s="316"/>
      <c r="T8272" s="355"/>
    </row>
    <row r="8273" spans="14:20" x14ac:dyDescent="0.25">
      <c r="N8273" s="514"/>
      <c r="R8273" s="293"/>
      <c r="S8273" s="316"/>
      <c r="T8273" s="355"/>
    </row>
    <row r="8274" spans="14:20" x14ac:dyDescent="0.25">
      <c r="N8274" s="514"/>
      <c r="R8274" s="293"/>
      <c r="S8274" s="316"/>
      <c r="T8274" s="355"/>
    </row>
    <row r="8275" spans="14:20" x14ac:dyDescent="0.25">
      <c r="N8275" s="514"/>
      <c r="R8275" s="293"/>
      <c r="S8275" s="316"/>
      <c r="T8275" s="355"/>
    </row>
    <row r="8276" spans="14:20" x14ac:dyDescent="0.25">
      <c r="N8276" s="514"/>
      <c r="R8276" s="293"/>
      <c r="S8276" s="316"/>
      <c r="T8276" s="355"/>
    </row>
    <row r="8277" spans="14:20" x14ac:dyDescent="0.25">
      <c r="N8277" s="514"/>
      <c r="R8277" s="293"/>
      <c r="S8277" s="316"/>
      <c r="T8277" s="355"/>
    </row>
    <row r="8278" spans="14:20" x14ac:dyDescent="0.25">
      <c r="N8278" s="514"/>
      <c r="R8278" s="293"/>
      <c r="S8278" s="316"/>
      <c r="T8278" s="355"/>
    </row>
    <row r="8279" spans="14:20" x14ac:dyDescent="0.25">
      <c r="N8279" s="514"/>
      <c r="R8279" s="293"/>
      <c r="S8279" s="316"/>
      <c r="T8279" s="355"/>
    </row>
    <row r="8280" spans="14:20" x14ac:dyDescent="0.25">
      <c r="N8280" s="514"/>
      <c r="R8280" s="293"/>
      <c r="S8280" s="316"/>
      <c r="T8280" s="355"/>
    </row>
    <row r="8281" spans="14:20" x14ac:dyDescent="0.25">
      <c r="N8281" s="514"/>
      <c r="R8281" s="293"/>
      <c r="S8281" s="316"/>
      <c r="T8281" s="355"/>
    </row>
    <row r="8282" spans="14:20" x14ac:dyDescent="0.25">
      <c r="N8282" s="514"/>
      <c r="R8282" s="293"/>
      <c r="S8282" s="316"/>
      <c r="T8282" s="355"/>
    </row>
    <row r="8283" spans="14:20" x14ac:dyDescent="0.25">
      <c r="N8283" s="514"/>
      <c r="R8283" s="293"/>
      <c r="S8283" s="316"/>
      <c r="T8283" s="355"/>
    </row>
    <row r="8284" spans="14:20" x14ac:dyDescent="0.25">
      <c r="N8284" s="514"/>
      <c r="R8284" s="293"/>
      <c r="S8284" s="316"/>
      <c r="T8284" s="355"/>
    </row>
    <row r="8285" spans="14:20" x14ac:dyDescent="0.25">
      <c r="N8285" s="514"/>
      <c r="R8285" s="293"/>
      <c r="S8285" s="316"/>
      <c r="T8285" s="355"/>
    </row>
    <row r="8286" spans="14:20" x14ac:dyDescent="0.25">
      <c r="N8286" s="514"/>
      <c r="R8286" s="293"/>
      <c r="S8286" s="316"/>
      <c r="T8286" s="355"/>
    </row>
    <row r="8287" spans="14:20" x14ac:dyDescent="0.25">
      <c r="N8287" s="514"/>
      <c r="R8287" s="293"/>
      <c r="S8287" s="316"/>
      <c r="T8287" s="355"/>
    </row>
    <row r="8288" spans="14:20" x14ac:dyDescent="0.25">
      <c r="N8288" s="514"/>
      <c r="R8288" s="293"/>
      <c r="S8288" s="316"/>
      <c r="T8288" s="355"/>
    </row>
    <row r="8289" spans="14:20" x14ac:dyDescent="0.25">
      <c r="N8289" s="514"/>
      <c r="R8289" s="293"/>
      <c r="S8289" s="316"/>
      <c r="T8289" s="355"/>
    </row>
    <row r="8290" spans="14:20" x14ac:dyDescent="0.25">
      <c r="N8290" s="514"/>
      <c r="R8290" s="293"/>
      <c r="S8290" s="316"/>
      <c r="T8290" s="355"/>
    </row>
    <row r="8291" spans="14:20" x14ac:dyDescent="0.25">
      <c r="N8291" s="514"/>
      <c r="R8291" s="293"/>
      <c r="S8291" s="316"/>
      <c r="T8291" s="355"/>
    </row>
    <row r="8292" spans="14:20" x14ac:dyDescent="0.25">
      <c r="N8292" s="514"/>
      <c r="R8292" s="293"/>
      <c r="S8292" s="316"/>
      <c r="T8292" s="355"/>
    </row>
    <row r="8293" spans="14:20" x14ac:dyDescent="0.25">
      <c r="N8293" s="514"/>
      <c r="R8293" s="293"/>
      <c r="S8293" s="316"/>
      <c r="T8293" s="355"/>
    </row>
    <row r="8294" spans="14:20" x14ac:dyDescent="0.25">
      <c r="N8294" s="514"/>
      <c r="R8294" s="293"/>
      <c r="S8294" s="316"/>
      <c r="T8294" s="355"/>
    </row>
    <row r="8295" spans="14:20" x14ac:dyDescent="0.25">
      <c r="N8295" s="514"/>
      <c r="R8295" s="293"/>
      <c r="S8295" s="316"/>
      <c r="T8295" s="355"/>
    </row>
    <row r="8296" spans="14:20" x14ac:dyDescent="0.25">
      <c r="N8296" s="514"/>
      <c r="R8296" s="293"/>
      <c r="S8296" s="316"/>
      <c r="T8296" s="355"/>
    </row>
    <row r="8297" spans="14:20" x14ac:dyDescent="0.25">
      <c r="N8297" s="514"/>
      <c r="R8297" s="293"/>
      <c r="S8297" s="316"/>
      <c r="T8297" s="355"/>
    </row>
    <row r="8298" spans="14:20" x14ac:dyDescent="0.25">
      <c r="N8298" s="514"/>
      <c r="R8298" s="293"/>
      <c r="S8298" s="316"/>
      <c r="T8298" s="355"/>
    </row>
    <row r="8299" spans="14:20" x14ac:dyDescent="0.25">
      <c r="N8299" s="514"/>
      <c r="R8299" s="293"/>
      <c r="S8299" s="316"/>
      <c r="T8299" s="355"/>
    </row>
    <row r="8300" spans="14:20" x14ac:dyDescent="0.25">
      <c r="N8300" s="514"/>
      <c r="R8300" s="293"/>
      <c r="S8300" s="316"/>
      <c r="T8300" s="355"/>
    </row>
    <row r="8301" spans="14:20" x14ac:dyDescent="0.25">
      <c r="N8301" s="514"/>
      <c r="R8301" s="293"/>
      <c r="S8301" s="316"/>
      <c r="T8301" s="355"/>
    </row>
    <row r="8302" spans="14:20" x14ac:dyDescent="0.25">
      <c r="N8302" s="514"/>
      <c r="R8302" s="293"/>
      <c r="S8302" s="316"/>
      <c r="T8302" s="355"/>
    </row>
    <row r="8303" spans="14:20" x14ac:dyDescent="0.25">
      <c r="N8303" s="514"/>
      <c r="R8303" s="293"/>
      <c r="S8303" s="316"/>
      <c r="T8303" s="355"/>
    </row>
    <row r="8304" spans="14:20" x14ac:dyDescent="0.25">
      <c r="N8304" s="514"/>
      <c r="R8304" s="293"/>
      <c r="S8304" s="316"/>
      <c r="T8304" s="355"/>
    </row>
    <row r="8305" spans="14:20" x14ac:dyDescent="0.25">
      <c r="N8305" s="514"/>
      <c r="R8305" s="293"/>
      <c r="S8305" s="316"/>
      <c r="T8305" s="355"/>
    </row>
    <row r="8306" spans="14:20" x14ac:dyDescent="0.25">
      <c r="N8306" s="514"/>
      <c r="R8306" s="293"/>
      <c r="S8306" s="316"/>
      <c r="T8306" s="355"/>
    </row>
    <row r="8307" spans="14:20" x14ac:dyDescent="0.25">
      <c r="N8307" s="514"/>
      <c r="R8307" s="293"/>
      <c r="S8307" s="316"/>
      <c r="T8307" s="355"/>
    </row>
    <row r="8308" spans="14:20" x14ac:dyDescent="0.25">
      <c r="N8308" s="514"/>
      <c r="R8308" s="293"/>
      <c r="S8308" s="316"/>
      <c r="T8308" s="355"/>
    </row>
    <row r="8309" spans="14:20" x14ac:dyDescent="0.25">
      <c r="N8309" s="514"/>
      <c r="R8309" s="293"/>
      <c r="S8309" s="316"/>
      <c r="T8309" s="355"/>
    </row>
    <row r="8310" spans="14:20" x14ac:dyDescent="0.25">
      <c r="N8310" s="514"/>
      <c r="R8310" s="293"/>
      <c r="S8310" s="316"/>
      <c r="T8310" s="355"/>
    </row>
    <row r="8311" spans="14:20" x14ac:dyDescent="0.25">
      <c r="N8311" s="514"/>
      <c r="R8311" s="293"/>
      <c r="S8311" s="316"/>
      <c r="T8311" s="355"/>
    </row>
    <row r="8312" spans="14:20" x14ac:dyDescent="0.25">
      <c r="N8312" s="514"/>
      <c r="R8312" s="293"/>
      <c r="S8312" s="316"/>
      <c r="T8312" s="355"/>
    </row>
    <row r="8313" spans="14:20" x14ac:dyDescent="0.25">
      <c r="N8313" s="514"/>
      <c r="R8313" s="293"/>
      <c r="S8313" s="316"/>
      <c r="T8313" s="355"/>
    </row>
    <row r="8314" spans="14:20" x14ac:dyDescent="0.25">
      <c r="N8314" s="514"/>
      <c r="R8314" s="293"/>
      <c r="S8314" s="316"/>
      <c r="T8314" s="355"/>
    </row>
    <row r="8315" spans="14:20" x14ac:dyDescent="0.25">
      <c r="N8315" s="514"/>
      <c r="R8315" s="293"/>
      <c r="S8315" s="316"/>
      <c r="T8315" s="355"/>
    </row>
    <row r="8316" spans="14:20" x14ac:dyDescent="0.25">
      <c r="N8316" s="514"/>
      <c r="R8316" s="293"/>
      <c r="S8316" s="316"/>
      <c r="T8316" s="355"/>
    </row>
    <row r="8317" spans="14:20" x14ac:dyDescent="0.25">
      <c r="N8317" s="514"/>
      <c r="R8317" s="293"/>
      <c r="S8317" s="316"/>
      <c r="T8317" s="355"/>
    </row>
    <row r="8318" spans="14:20" x14ac:dyDescent="0.25">
      <c r="N8318" s="514"/>
      <c r="R8318" s="293"/>
      <c r="S8318" s="316"/>
      <c r="T8318" s="355"/>
    </row>
    <row r="8319" spans="14:20" x14ac:dyDescent="0.25">
      <c r="N8319" s="514"/>
      <c r="R8319" s="293"/>
      <c r="S8319" s="316"/>
      <c r="T8319" s="355"/>
    </row>
    <row r="8320" spans="14:20" x14ac:dyDescent="0.25">
      <c r="N8320" s="514"/>
      <c r="R8320" s="293"/>
      <c r="S8320" s="316"/>
      <c r="T8320" s="355"/>
    </row>
    <row r="8321" spans="14:20" x14ac:dyDescent="0.25">
      <c r="N8321" s="514"/>
      <c r="R8321" s="293"/>
      <c r="S8321" s="316"/>
      <c r="T8321" s="355"/>
    </row>
    <row r="8322" spans="14:20" x14ac:dyDescent="0.25">
      <c r="N8322" s="514"/>
      <c r="R8322" s="293"/>
      <c r="S8322" s="316"/>
      <c r="T8322" s="355"/>
    </row>
    <row r="8323" spans="14:20" x14ac:dyDescent="0.25">
      <c r="N8323" s="514"/>
      <c r="R8323" s="293"/>
      <c r="S8323" s="316"/>
      <c r="T8323" s="355"/>
    </row>
    <row r="8324" spans="14:20" x14ac:dyDescent="0.25">
      <c r="N8324" s="514"/>
      <c r="R8324" s="293"/>
      <c r="S8324" s="316"/>
      <c r="T8324" s="355"/>
    </row>
    <row r="8325" spans="14:20" x14ac:dyDescent="0.25">
      <c r="N8325" s="514"/>
      <c r="R8325" s="293"/>
      <c r="S8325" s="316"/>
      <c r="T8325" s="355"/>
    </row>
    <row r="8326" spans="14:20" x14ac:dyDescent="0.25">
      <c r="N8326" s="514"/>
      <c r="R8326" s="293"/>
      <c r="S8326" s="316"/>
      <c r="T8326" s="355"/>
    </row>
    <row r="8327" spans="14:20" x14ac:dyDescent="0.25">
      <c r="N8327" s="514"/>
      <c r="R8327" s="293"/>
      <c r="S8327" s="316"/>
      <c r="T8327" s="355"/>
    </row>
    <row r="8328" spans="14:20" x14ac:dyDescent="0.25">
      <c r="N8328" s="514"/>
      <c r="R8328" s="293"/>
      <c r="S8328" s="316"/>
      <c r="T8328" s="355"/>
    </row>
    <row r="8329" spans="14:20" x14ac:dyDescent="0.25">
      <c r="N8329" s="514"/>
      <c r="R8329" s="293"/>
      <c r="S8329" s="316"/>
      <c r="T8329" s="355"/>
    </row>
    <row r="8330" spans="14:20" x14ac:dyDescent="0.25">
      <c r="N8330" s="514"/>
      <c r="R8330" s="293"/>
      <c r="S8330" s="316"/>
      <c r="T8330" s="355"/>
    </row>
    <row r="8331" spans="14:20" x14ac:dyDescent="0.25">
      <c r="N8331" s="514"/>
      <c r="R8331" s="293"/>
      <c r="S8331" s="316"/>
      <c r="T8331" s="355"/>
    </row>
    <row r="8332" spans="14:20" x14ac:dyDescent="0.25">
      <c r="N8332" s="514"/>
      <c r="R8332" s="293"/>
      <c r="S8332" s="316"/>
      <c r="T8332" s="355"/>
    </row>
    <row r="8333" spans="14:20" x14ac:dyDescent="0.25">
      <c r="N8333" s="514"/>
      <c r="R8333" s="293"/>
      <c r="S8333" s="316"/>
      <c r="T8333" s="355"/>
    </row>
    <row r="8334" spans="14:20" x14ac:dyDescent="0.25">
      <c r="N8334" s="514"/>
      <c r="R8334" s="293"/>
      <c r="S8334" s="316"/>
      <c r="T8334" s="355"/>
    </row>
    <row r="8335" spans="14:20" x14ac:dyDescent="0.25">
      <c r="N8335" s="514"/>
      <c r="R8335" s="293"/>
      <c r="S8335" s="316"/>
      <c r="T8335" s="355"/>
    </row>
    <row r="8336" spans="14:20" x14ac:dyDescent="0.25">
      <c r="N8336" s="514"/>
      <c r="R8336" s="293"/>
      <c r="S8336" s="316"/>
      <c r="T8336" s="355"/>
    </row>
    <row r="8337" spans="14:20" x14ac:dyDescent="0.25">
      <c r="N8337" s="514"/>
      <c r="R8337" s="293"/>
      <c r="S8337" s="316"/>
      <c r="T8337" s="355"/>
    </row>
    <row r="8338" spans="14:20" x14ac:dyDescent="0.25">
      <c r="N8338" s="514"/>
      <c r="R8338" s="293"/>
      <c r="S8338" s="316"/>
      <c r="T8338" s="355"/>
    </row>
    <row r="8339" spans="14:20" x14ac:dyDescent="0.25">
      <c r="N8339" s="514"/>
      <c r="R8339" s="293"/>
      <c r="S8339" s="316"/>
      <c r="T8339" s="355"/>
    </row>
    <row r="8340" spans="14:20" x14ac:dyDescent="0.25">
      <c r="N8340" s="514"/>
      <c r="R8340" s="293"/>
      <c r="S8340" s="316"/>
      <c r="T8340" s="355"/>
    </row>
    <row r="8341" spans="14:20" x14ac:dyDescent="0.25">
      <c r="N8341" s="514"/>
      <c r="R8341" s="293"/>
      <c r="S8341" s="316"/>
      <c r="T8341" s="355"/>
    </row>
    <row r="8342" spans="14:20" x14ac:dyDescent="0.25">
      <c r="N8342" s="514"/>
      <c r="R8342" s="293"/>
      <c r="S8342" s="316"/>
      <c r="T8342" s="355"/>
    </row>
    <row r="8343" spans="14:20" x14ac:dyDescent="0.25">
      <c r="N8343" s="514"/>
      <c r="R8343" s="293"/>
      <c r="S8343" s="316"/>
      <c r="T8343" s="355"/>
    </row>
    <row r="8344" spans="14:20" x14ac:dyDescent="0.25">
      <c r="N8344" s="514"/>
      <c r="R8344" s="293"/>
      <c r="S8344" s="316"/>
      <c r="T8344" s="355"/>
    </row>
    <row r="8345" spans="14:20" x14ac:dyDescent="0.25">
      <c r="N8345" s="514"/>
      <c r="R8345" s="293"/>
      <c r="S8345" s="316"/>
      <c r="T8345" s="355"/>
    </row>
    <row r="8346" spans="14:20" x14ac:dyDescent="0.25">
      <c r="N8346" s="514"/>
      <c r="R8346" s="293"/>
      <c r="S8346" s="316"/>
      <c r="T8346" s="355"/>
    </row>
    <row r="8347" spans="14:20" x14ac:dyDescent="0.25">
      <c r="N8347" s="514"/>
      <c r="R8347" s="293"/>
      <c r="S8347" s="316"/>
      <c r="T8347" s="355"/>
    </row>
    <row r="8348" spans="14:20" x14ac:dyDescent="0.25">
      <c r="N8348" s="514"/>
      <c r="R8348" s="293"/>
      <c r="S8348" s="316"/>
      <c r="T8348" s="355"/>
    </row>
    <row r="8349" spans="14:20" x14ac:dyDescent="0.25">
      <c r="N8349" s="514"/>
      <c r="R8349" s="293"/>
      <c r="S8349" s="316"/>
      <c r="T8349" s="355"/>
    </row>
    <row r="8350" spans="14:20" x14ac:dyDescent="0.25">
      <c r="N8350" s="514"/>
      <c r="R8350" s="293"/>
      <c r="S8350" s="316"/>
      <c r="T8350" s="355"/>
    </row>
    <row r="8351" spans="14:20" x14ac:dyDescent="0.25">
      <c r="N8351" s="514"/>
      <c r="R8351" s="293"/>
      <c r="S8351" s="316"/>
      <c r="T8351" s="355"/>
    </row>
    <row r="8352" spans="14:20" x14ac:dyDescent="0.25">
      <c r="N8352" s="514"/>
      <c r="R8352" s="293"/>
      <c r="S8352" s="316"/>
      <c r="T8352" s="355"/>
    </row>
    <row r="8353" spans="14:20" x14ac:dyDescent="0.25">
      <c r="N8353" s="514"/>
      <c r="R8353" s="293"/>
      <c r="S8353" s="316"/>
      <c r="T8353" s="355"/>
    </row>
    <row r="8354" spans="14:20" x14ac:dyDescent="0.25">
      <c r="N8354" s="514"/>
      <c r="R8354" s="293"/>
      <c r="S8354" s="316"/>
      <c r="T8354" s="355"/>
    </row>
    <row r="8355" spans="14:20" x14ac:dyDescent="0.25">
      <c r="N8355" s="514"/>
      <c r="R8355" s="293"/>
      <c r="S8355" s="316"/>
      <c r="T8355" s="355"/>
    </row>
    <row r="8356" spans="14:20" x14ac:dyDescent="0.25">
      <c r="N8356" s="514"/>
      <c r="R8356" s="293"/>
      <c r="S8356" s="316"/>
      <c r="T8356" s="355"/>
    </row>
    <row r="8357" spans="14:20" x14ac:dyDescent="0.25">
      <c r="N8357" s="514"/>
      <c r="R8357" s="293"/>
      <c r="S8357" s="316"/>
      <c r="T8357" s="355"/>
    </row>
    <row r="8358" spans="14:20" x14ac:dyDescent="0.25">
      <c r="N8358" s="514"/>
      <c r="R8358" s="293"/>
      <c r="S8358" s="316"/>
      <c r="T8358" s="355"/>
    </row>
    <row r="8359" spans="14:20" x14ac:dyDescent="0.25">
      <c r="N8359" s="514"/>
      <c r="R8359" s="293"/>
      <c r="S8359" s="316"/>
      <c r="T8359" s="355"/>
    </row>
    <row r="8360" spans="14:20" x14ac:dyDescent="0.25">
      <c r="N8360" s="514"/>
      <c r="R8360" s="293"/>
      <c r="S8360" s="316"/>
      <c r="T8360" s="355"/>
    </row>
    <row r="8361" spans="14:20" x14ac:dyDescent="0.25">
      <c r="N8361" s="514"/>
      <c r="R8361" s="293"/>
      <c r="S8361" s="316"/>
      <c r="T8361" s="355"/>
    </row>
    <row r="8362" spans="14:20" x14ac:dyDescent="0.25">
      <c r="N8362" s="514"/>
      <c r="R8362" s="293"/>
      <c r="S8362" s="316"/>
      <c r="T8362" s="355"/>
    </row>
    <row r="8363" spans="14:20" x14ac:dyDescent="0.25">
      <c r="N8363" s="514"/>
      <c r="R8363" s="293"/>
      <c r="S8363" s="316"/>
      <c r="T8363" s="355"/>
    </row>
    <row r="8364" spans="14:20" x14ac:dyDescent="0.25">
      <c r="N8364" s="514"/>
      <c r="R8364" s="293"/>
      <c r="S8364" s="316"/>
      <c r="T8364" s="355"/>
    </row>
    <row r="8365" spans="14:20" x14ac:dyDescent="0.25">
      <c r="N8365" s="514"/>
      <c r="R8365" s="293"/>
      <c r="S8365" s="316"/>
      <c r="T8365" s="355"/>
    </row>
    <row r="8366" spans="14:20" x14ac:dyDescent="0.25">
      <c r="N8366" s="514"/>
      <c r="R8366" s="293"/>
      <c r="S8366" s="316"/>
      <c r="T8366" s="355"/>
    </row>
    <row r="8367" spans="14:20" x14ac:dyDescent="0.25">
      <c r="N8367" s="514"/>
      <c r="R8367" s="293"/>
      <c r="S8367" s="316"/>
      <c r="T8367" s="355"/>
    </row>
    <row r="8368" spans="14:20" x14ac:dyDescent="0.25">
      <c r="N8368" s="514"/>
      <c r="R8368" s="293"/>
      <c r="S8368" s="316"/>
      <c r="T8368" s="355"/>
    </row>
    <row r="8369" spans="14:20" x14ac:dyDescent="0.25">
      <c r="N8369" s="514"/>
      <c r="R8369" s="293"/>
      <c r="S8369" s="316"/>
      <c r="T8369" s="355"/>
    </row>
    <row r="8370" spans="14:20" x14ac:dyDescent="0.25">
      <c r="N8370" s="514"/>
      <c r="R8370" s="293"/>
      <c r="S8370" s="316"/>
      <c r="T8370" s="355"/>
    </row>
    <row r="8371" spans="14:20" x14ac:dyDescent="0.25">
      <c r="N8371" s="514"/>
      <c r="R8371" s="293"/>
      <c r="S8371" s="316"/>
      <c r="T8371" s="355"/>
    </row>
    <row r="8372" spans="14:20" x14ac:dyDescent="0.25">
      <c r="N8372" s="514"/>
      <c r="R8372" s="293"/>
      <c r="S8372" s="316"/>
      <c r="T8372" s="355"/>
    </row>
    <row r="8373" spans="14:20" x14ac:dyDescent="0.25">
      <c r="N8373" s="514"/>
      <c r="R8373" s="293"/>
      <c r="S8373" s="316"/>
      <c r="T8373" s="355"/>
    </row>
    <row r="8374" spans="14:20" x14ac:dyDescent="0.25">
      <c r="N8374" s="514"/>
      <c r="R8374" s="293"/>
      <c r="S8374" s="316"/>
      <c r="T8374" s="355"/>
    </row>
    <row r="8375" spans="14:20" x14ac:dyDescent="0.25">
      <c r="N8375" s="514"/>
      <c r="R8375" s="293"/>
      <c r="S8375" s="316"/>
      <c r="T8375" s="355"/>
    </row>
    <row r="8376" spans="14:20" x14ac:dyDescent="0.25">
      <c r="N8376" s="514"/>
      <c r="R8376" s="293"/>
      <c r="S8376" s="316"/>
      <c r="T8376" s="355"/>
    </row>
    <row r="8377" spans="14:20" x14ac:dyDescent="0.25">
      <c r="N8377" s="514"/>
      <c r="R8377" s="293"/>
      <c r="S8377" s="316"/>
      <c r="T8377" s="355"/>
    </row>
    <row r="8378" spans="14:20" x14ac:dyDescent="0.25">
      <c r="N8378" s="514"/>
      <c r="R8378" s="293"/>
      <c r="S8378" s="316"/>
      <c r="T8378" s="355"/>
    </row>
    <row r="8379" spans="14:20" x14ac:dyDescent="0.25">
      <c r="N8379" s="514"/>
      <c r="R8379" s="293"/>
      <c r="S8379" s="316"/>
      <c r="T8379" s="355"/>
    </row>
    <row r="8380" spans="14:20" x14ac:dyDescent="0.25">
      <c r="N8380" s="514"/>
      <c r="R8380" s="293"/>
      <c r="S8380" s="316"/>
      <c r="T8380" s="355"/>
    </row>
    <row r="8381" spans="14:20" x14ac:dyDescent="0.25">
      <c r="N8381" s="514"/>
      <c r="R8381" s="293"/>
      <c r="S8381" s="316"/>
      <c r="T8381" s="355"/>
    </row>
    <row r="8382" spans="14:20" x14ac:dyDescent="0.25">
      <c r="N8382" s="514"/>
      <c r="R8382" s="293"/>
      <c r="S8382" s="316"/>
      <c r="T8382" s="355"/>
    </row>
    <row r="8383" spans="14:20" x14ac:dyDescent="0.25">
      <c r="N8383" s="514"/>
      <c r="R8383" s="293"/>
      <c r="S8383" s="316"/>
      <c r="T8383" s="355"/>
    </row>
    <row r="8384" spans="14:20" x14ac:dyDescent="0.25">
      <c r="N8384" s="514"/>
      <c r="R8384" s="293"/>
      <c r="S8384" s="316"/>
      <c r="T8384" s="355"/>
    </row>
    <row r="8385" spans="14:20" x14ac:dyDescent="0.25">
      <c r="N8385" s="514"/>
      <c r="R8385" s="293"/>
      <c r="S8385" s="316"/>
      <c r="T8385" s="355"/>
    </row>
    <row r="8386" spans="14:20" x14ac:dyDescent="0.25">
      <c r="N8386" s="514"/>
      <c r="R8386" s="293"/>
      <c r="S8386" s="316"/>
      <c r="T8386" s="355"/>
    </row>
    <row r="8387" spans="14:20" x14ac:dyDescent="0.25">
      <c r="N8387" s="514"/>
      <c r="R8387" s="293"/>
      <c r="S8387" s="316"/>
      <c r="T8387" s="355"/>
    </row>
    <row r="8388" spans="14:20" x14ac:dyDescent="0.25">
      <c r="N8388" s="514"/>
      <c r="R8388" s="293"/>
      <c r="S8388" s="316"/>
      <c r="T8388" s="355"/>
    </row>
    <row r="8389" spans="14:20" x14ac:dyDescent="0.25">
      <c r="N8389" s="514"/>
      <c r="R8389" s="293"/>
      <c r="S8389" s="316"/>
      <c r="T8389" s="355"/>
    </row>
    <row r="8390" spans="14:20" x14ac:dyDescent="0.25">
      <c r="N8390" s="514"/>
      <c r="R8390" s="293"/>
      <c r="S8390" s="316"/>
      <c r="T8390" s="355"/>
    </row>
    <row r="8391" spans="14:20" x14ac:dyDescent="0.25">
      <c r="N8391" s="514"/>
      <c r="R8391" s="293"/>
      <c r="S8391" s="316"/>
      <c r="T8391" s="355"/>
    </row>
    <row r="8392" spans="14:20" x14ac:dyDescent="0.25">
      <c r="N8392" s="514"/>
      <c r="R8392" s="293"/>
      <c r="S8392" s="316"/>
      <c r="T8392" s="355"/>
    </row>
    <row r="8393" spans="14:20" x14ac:dyDescent="0.25">
      <c r="N8393" s="514"/>
      <c r="R8393" s="293"/>
      <c r="S8393" s="316"/>
      <c r="T8393" s="355"/>
    </row>
    <row r="8394" spans="14:20" x14ac:dyDescent="0.25">
      <c r="N8394" s="514"/>
      <c r="R8394" s="293"/>
      <c r="S8394" s="316"/>
      <c r="T8394" s="355"/>
    </row>
    <row r="8395" spans="14:20" x14ac:dyDescent="0.25">
      <c r="N8395" s="514"/>
      <c r="R8395" s="293"/>
      <c r="S8395" s="316"/>
      <c r="T8395" s="355"/>
    </row>
    <row r="8396" spans="14:20" x14ac:dyDescent="0.25">
      <c r="N8396" s="514"/>
      <c r="R8396" s="293"/>
      <c r="S8396" s="316"/>
      <c r="T8396" s="355"/>
    </row>
    <row r="8397" spans="14:20" x14ac:dyDescent="0.25">
      <c r="N8397" s="514"/>
      <c r="R8397" s="293"/>
      <c r="S8397" s="316"/>
      <c r="T8397" s="355"/>
    </row>
    <row r="8398" spans="14:20" x14ac:dyDescent="0.25">
      <c r="N8398" s="514"/>
      <c r="R8398" s="293"/>
      <c r="S8398" s="316"/>
      <c r="T8398" s="355"/>
    </row>
    <row r="8399" spans="14:20" x14ac:dyDescent="0.25">
      <c r="N8399" s="514"/>
      <c r="R8399" s="293"/>
      <c r="S8399" s="316"/>
      <c r="T8399" s="355"/>
    </row>
    <row r="8400" spans="14:20" x14ac:dyDescent="0.25">
      <c r="N8400" s="514"/>
      <c r="R8400" s="293"/>
      <c r="S8400" s="316"/>
      <c r="T8400" s="355"/>
    </row>
    <row r="8401" spans="14:20" x14ac:dyDescent="0.25">
      <c r="N8401" s="514"/>
      <c r="R8401" s="293"/>
      <c r="S8401" s="316"/>
      <c r="T8401" s="355"/>
    </row>
    <row r="8402" spans="14:20" x14ac:dyDescent="0.25">
      <c r="N8402" s="514"/>
      <c r="R8402" s="293"/>
      <c r="S8402" s="316"/>
      <c r="T8402" s="355"/>
    </row>
    <row r="8403" spans="14:20" x14ac:dyDescent="0.25">
      <c r="N8403" s="514"/>
      <c r="R8403" s="293"/>
      <c r="S8403" s="316"/>
      <c r="T8403" s="355"/>
    </row>
    <row r="8404" spans="14:20" x14ac:dyDescent="0.25">
      <c r="N8404" s="514"/>
      <c r="R8404" s="293"/>
      <c r="S8404" s="316"/>
      <c r="T8404" s="355"/>
    </row>
    <row r="8405" spans="14:20" x14ac:dyDescent="0.25">
      <c r="N8405" s="514"/>
      <c r="R8405" s="293"/>
      <c r="S8405" s="316"/>
      <c r="T8405" s="355"/>
    </row>
    <row r="8406" spans="14:20" x14ac:dyDescent="0.25">
      <c r="N8406" s="514"/>
      <c r="R8406" s="293"/>
      <c r="S8406" s="316"/>
      <c r="T8406" s="355"/>
    </row>
    <row r="8407" spans="14:20" x14ac:dyDescent="0.25">
      <c r="N8407" s="514"/>
      <c r="R8407" s="293"/>
      <c r="S8407" s="316"/>
      <c r="T8407" s="355"/>
    </row>
    <row r="8408" spans="14:20" x14ac:dyDescent="0.25">
      <c r="N8408" s="514"/>
      <c r="R8408" s="293"/>
      <c r="S8408" s="316"/>
      <c r="T8408" s="355"/>
    </row>
    <row r="8409" spans="14:20" x14ac:dyDescent="0.25">
      <c r="N8409" s="514"/>
      <c r="R8409" s="293"/>
      <c r="S8409" s="316"/>
      <c r="T8409" s="355"/>
    </row>
    <row r="8410" spans="14:20" x14ac:dyDescent="0.25">
      <c r="N8410" s="514"/>
      <c r="R8410" s="293"/>
      <c r="S8410" s="316"/>
      <c r="T8410" s="355"/>
    </row>
    <row r="8411" spans="14:20" x14ac:dyDescent="0.25">
      <c r="N8411" s="514"/>
      <c r="R8411" s="293"/>
      <c r="S8411" s="316"/>
      <c r="T8411" s="355"/>
    </row>
    <row r="8412" spans="14:20" x14ac:dyDescent="0.25">
      <c r="N8412" s="514"/>
      <c r="R8412" s="293"/>
      <c r="S8412" s="316"/>
      <c r="T8412" s="355"/>
    </row>
    <row r="8413" spans="14:20" x14ac:dyDescent="0.25">
      <c r="N8413" s="514"/>
      <c r="R8413" s="293"/>
      <c r="S8413" s="316"/>
      <c r="T8413" s="355"/>
    </row>
    <row r="8414" spans="14:20" x14ac:dyDescent="0.25">
      <c r="N8414" s="514"/>
      <c r="R8414" s="293"/>
      <c r="S8414" s="316"/>
      <c r="T8414" s="355"/>
    </row>
    <row r="8415" spans="14:20" x14ac:dyDescent="0.25">
      <c r="N8415" s="514"/>
      <c r="R8415" s="293"/>
      <c r="S8415" s="316"/>
      <c r="T8415" s="355"/>
    </row>
    <row r="8416" spans="14:20" x14ac:dyDescent="0.25">
      <c r="N8416" s="514"/>
      <c r="R8416" s="293"/>
      <c r="S8416" s="316"/>
      <c r="T8416" s="355"/>
    </row>
    <row r="8417" spans="14:20" x14ac:dyDescent="0.25">
      <c r="N8417" s="514"/>
      <c r="R8417" s="293"/>
      <c r="S8417" s="316"/>
      <c r="T8417" s="355"/>
    </row>
    <row r="8418" spans="14:20" x14ac:dyDescent="0.25">
      <c r="N8418" s="514"/>
      <c r="R8418" s="293"/>
      <c r="S8418" s="316"/>
      <c r="T8418" s="355"/>
    </row>
    <row r="8419" spans="14:20" x14ac:dyDescent="0.25">
      <c r="N8419" s="514"/>
      <c r="R8419" s="293"/>
      <c r="S8419" s="316"/>
      <c r="T8419" s="355"/>
    </row>
    <row r="8420" spans="14:20" x14ac:dyDescent="0.25">
      <c r="N8420" s="514"/>
      <c r="R8420" s="293"/>
      <c r="S8420" s="316"/>
      <c r="T8420" s="355"/>
    </row>
    <row r="8421" spans="14:20" x14ac:dyDescent="0.25">
      <c r="N8421" s="514"/>
      <c r="R8421" s="293"/>
      <c r="S8421" s="316"/>
      <c r="T8421" s="355"/>
    </row>
    <row r="8422" spans="14:20" x14ac:dyDescent="0.25">
      <c r="N8422" s="514"/>
      <c r="R8422" s="293"/>
      <c r="S8422" s="316"/>
      <c r="T8422" s="355"/>
    </row>
    <row r="8423" spans="14:20" x14ac:dyDescent="0.25">
      <c r="N8423" s="514"/>
      <c r="R8423" s="293"/>
      <c r="S8423" s="316"/>
      <c r="T8423" s="355"/>
    </row>
    <row r="8424" spans="14:20" x14ac:dyDescent="0.25">
      <c r="N8424" s="514"/>
      <c r="R8424" s="293"/>
      <c r="S8424" s="316"/>
      <c r="T8424" s="355"/>
    </row>
    <row r="8425" spans="14:20" x14ac:dyDescent="0.25">
      <c r="N8425" s="514"/>
      <c r="R8425" s="293"/>
      <c r="S8425" s="316"/>
      <c r="T8425" s="355"/>
    </row>
    <row r="8426" spans="14:20" x14ac:dyDescent="0.25">
      <c r="N8426" s="514"/>
      <c r="R8426" s="293"/>
      <c r="S8426" s="316"/>
      <c r="T8426" s="355"/>
    </row>
    <row r="8427" spans="14:20" x14ac:dyDescent="0.25">
      <c r="N8427" s="514"/>
      <c r="R8427" s="293"/>
      <c r="S8427" s="316"/>
      <c r="T8427" s="355"/>
    </row>
    <row r="8428" spans="14:20" x14ac:dyDescent="0.25">
      <c r="N8428" s="514"/>
      <c r="R8428" s="293"/>
      <c r="S8428" s="316"/>
      <c r="T8428" s="355"/>
    </row>
    <row r="8429" spans="14:20" x14ac:dyDescent="0.25">
      <c r="N8429" s="514"/>
      <c r="R8429" s="293"/>
      <c r="S8429" s="316"/>
      <c r="T8429" s="355"/>
    </row>
    <row r="8430" spans="14:20" x14ac:dyDescent="0.25">
      <c r="N8430" s="514"/>
      <c r="R8430" s="293"/>
      <c r="S8430" s="316"/>
      <c r="T8430" s="355"/>
    </row>
    <row r="8431" spans="14:20" x14ac:dyDescent="0.25">
      <c r="N8431" s="514"/>
      <c r="R8431" s="293"/>
      <c r="S8431" s="316"/>
      <c r="T8431" s="355"/>
    </row>
    <row r="8432" spans="14:20" x14ac:dyDescent="0.25">
      <c r="N8432" s="514"/>
      <c r="R8432" s="293"/>
      <c r="S8432" s="316"/>
      <c r="T8432" s="355"/>
    </row>
    <row r="8433" spans="14:20" x14ac:dyDescent="0.25">
      <c r="N8433" s="514"/>
      <c r="R8433" s="293"/>
      <c r="S8433" s="316"/>
      <c r="T8433" s="355"/>
    </row>
    <row r="8434" spans="14:20" x14ac:dyDescent="0.25">
      <c r="N8434" s="514"/>
      <c r="R8434" s="293"/>
      <c r="S8434" s="316"/>
      <c r="T8434" s="355"/>
    </row>
    <row r="8435" spans="14:20" x14ac:dyDescent="0.25">
      <c r="N8435" s="514"/>
      <c r="R8435" s="293"/>
      <c r="S8435" s="316"/>
      <c r="T8435" s="355"/>
    </row>
    <row r="8436" spans="14:20" x14ac:dyDescent="0.25">
      <c r="N8436" s="514"/>
      <c r="R8436" s="293"/>
      <c r="S8436" s="316"/>
      <c r="T8436" s="355"/>
    </row>
    <row r="8437" spans="14:20" x14ac:dyDescent="0.25">
      <c r="N8437" s="514"/>
      <c r="R8437" s="293"/>
      <c r="S8437" s="316"/>
      <c r="T8437" s="355"/>
    </row>
    <row r="8438" spans="14:20" x14ac:dyDescent="0.25">
      <c r="N8438" s="514"/>
      <c r="R8438" s="293"/>
      <c r="S8438" s="316"/>
      <c r="T8438" s="355"/>
    </row>
    <row r="8439" spans="14:20" x14ac:dyDescent="0.25">
      <c r="N8439" s="514"/>
      <c r="R8439" s="293"/>
      <c r="S8439" s="316"/>
      <c r="T8439" s="355"/>
    </row>
    <row r="8440" spans="14:20" x14ac:dyDescent="0.25">
      <c r="N8440" s="514"/>
      <c r="R8440" s="293"/>
      <c r="S8440" s="316"/>
      <c r="T8440" s="355"/>
    </row>
    <row r="8441" spans="14:20" x14ac:dyDescent="0.25">
      <c r="N8441" s="514"/>
      <c r="R8441" s="293"/>
      <c r="S8441" s="316"/>
      <c r="T8441" s="355"/>
    </row>
    <row r="8442" spans="14:20" x14ac:dyDescent="0.25">
      <c r="N8442" s="514"/>
      <c r="R8442" s="293"/>
      <c r="S8442" s="316"/>
      <c r="T8442" s="355"/>
    </row>
    <row r="8443" spans="14:20" x14ac:dyDescent="0.25">
      <c r="N8443" s="514"/>
      <c r="R8443" s="293"/>
      <c r="S8443" s="316"/>
      <c r="T8443" s="355"/>
    </row>
    <row r="8444" spans="14:20" x14ac:dyDescent="0.25">
      <c r="N8444" s="514"/>
      <c r="R8444" s="293"/>
      <c r="S8444" s="316"/>
      <c r="T8444" s="355"/>
    </row>
    <row r="8445" spans="14:20" x14ac:dyDescent="0.25">
      <c r="N8445" s="514"/>
      <c r="R8445" s="293"/>
      <c r="S8445" s="316"/>
      <c r="T8445" s="355"/>
    </row>
    <row r="8446" spans="14:20" x14ac:dyDescent="0.25">
      <c r="N8446" s="514"/>
      <c r="R8446" s="293"/>
      <c r="S8446" s="316"/>
      <c r="T8446" s="355"/>
    </row>
    <row r="8447" spans="14:20" x14ac:dyDescent="0.25">
      <c r="N8447" s="514"/>
      <c r="R8447" s="293"/>
      <c r="S8447" s="316"/>
      <c r="T8447" s="355"/>
    </row>
    <row r="8448" spans="14:20" x14ac:dyDescent="0.25">
      <c r="N8448" s="514"/>
      <c r="R8448" s="293"/>
      <c r="S8448" s="316"/>
      <c r="T8448" s="355"/>
    </row>
    <row r="8449" spans="14:20" x14ac:dyDescent="0.25">
      <c r="N8449" s="514"/>
      <c r="R8449" s="293"/>
      <c r="S8449" s="316"/>
      <c r="T8449" s="355"/>
    </row>
    <row r="8450" spans="14:20" x14ac:dyDescent="0.25">
      <c r="N8450" s="514"/>
      <c r="R8450" s="293"/>
      <c r="S8450" s="316"/>
      <c r="T8450" s="355"/>
    </row>
    <row r="8451" spans="14:20" x14ac:dyDescent="0.25">
      <c r="N8451" s="514"/>
      <c r="R8451" s="293"/>
      <c r="S8451" s="316"/>
      <c r="T8451" s="355"/>
    </row>
    <row r="8452" spans="14:20" x14ac:dyDescent="0.25">
      <c r="N8452" s="514"/>
      <c r="R8452" s="293"/>
      <c r="S8452" s="316"/>
      <c r="T8452" s="355"/>
    </row>
    <row r="8453" spans="14:20" x14ac:dyDescent="0.25">
      <c r="N8453" s="514"/>
      <c r="R8453" s="293"/>
      <c r="S8453" s="316"/>
      <c r="T8453" s="355"/>
    </row>
    <row r="8454" spans="14:20" x14ac:dyDescent="0.25">
      <c r="N8454" s="514"/>
      <c r="R8454" s="293"/>
      <c r="S8454" s="316"/>
      <c r="T8454" s="355"/>
    </row>
    <row r="8455" spans="14:20" x14ac:dyDescent="0.25">
      <c r="N8455" s="514"/>
      <c r="R8455" s="293"/>
      <c r="S8455" s="316"/>
      <c r="T8455" s="355"/>
    </row>
    <row r="8456" spans="14:20" x14ac:dyDescent="0.25">
      <c r="N8456" s="514"/>
      <c r="R8456" s="293"/>
      <c r="S8456" s="316"/>
      <c r="T8456" s="355"/>
    </row>
    <row r="8457" spans="14:20" x14ac:dyDescent="0.25">
      <c r="N8457" s="514"/>
      <c r="R8457" s="293"/>
      <c r="S8457" s="316"/>
      <c r="T8457" s="355"/>
    </row>
    <row r="8458" spans="14:20" x14ac:dyDescent="0.25">
      <c r="N8458" s="514"/>
      <c r="R8458" s="293"/>
      <c r="S8458" s="316"/>
      <c r="T8458" s="355"/>
    </row>
    <row r="8459" spans="14:20" x14ac:dyDescent="0.25">
      <c r="N8459" s="514"/>
      <c r="R8459" s="293"/>
      <c r="S8459" s="316"/>
      <c r="T8459" s="355"/>
    </row>
    <row r="8460" spans="14:20" x14ac:dyDescent="0.25">
      <c r="N8460" s="514"/>
      <c r="R8460" s="293"/>
      <c r="S8460" s="316"/>
      <c r="T8460" s="355"/>
    </row>
    <row r="8461" spans="14:20" x14ac:dyDescent="0.25">
      <c r="N8461" s="514"/>
      <c r="R8461" s="293"/>
      <c r="S8461" s="316"/>
      <c r="T8461" s="355"/>
    </row>
    <row r="8462" spans="14:20" x14ac:dyDescent="0.25">
      <c r="N8462" s="514"/>
      <c r="R8462" s="293"/>
      <c r="S8462" s="316"/>
      <c r="T8462" s="355"/>
    </row>
    <row r="8463" spans="14:20" x14ac:dyDescent="0.25">
      <c r="N8463" s="514"/>
      <c r="R8463" s="293"/>
      <c r="S8463" s="316"/>
      <c r="T8463" s="355"/>
    </row>
    <row r="8464" spans="14:20" x14ac:dyDescent="0.25">
      <c r="N8464" s="514"/>
      <c r="R8464" s="293"/>
      <c r="S8464" s="316"/>
      <c r="T8464" s="355"/>
    </row>
    <row r="8465" spans="14:20" x14ac:dyDescent="0.25">
      <c r="N8465" s="514"/>
      <c r="R8465" s="293"/>
      <c r="S8465" s="316"/>
      <c r="T8465" s="355"/>
    </row>
    <row r="8466" spans="14:20" x14ac:dyDescent="0.25">
      <c r="N8466" s="514"/>
      <c r="R8466" s="293"/>
      <c r="S8466" s="316"/>
      <c r="T8466" s="355"/>
    </row>
    <row r="8467" spans="14:20" x14ac:dyDescent="0.25">
      <c r="N8467" s="514"/>
      <c r="R8467" s="293"/>
      <c r="S8467" s="316"/>
      <c r="T8467" s="355"/>
    </row>
    <row r="8468" spans="14:20" x14ac:dyDescent="0.25">
      <c r="N8468" s="514"/>
      <c r="R8468" s="293"/>
      <c r="S8468" s="316"/>
      <c r="T8468" s="355"/>
    </row>
    <row r="8469" spans="14:20" x14ac:dyDescent="0.25">
      <c r="N8469" s="514"/>
      <c r="R8469" s="293"/>
      <c r="S8469" s="316"/>
      <c r="T8469" s="355"/>
    </row>
    <row r="8470" spans="14:20" x14ac:dyDescent="0.25">
      <c r="N8470" s="514"/>
      <c r="R8470" s="293"/>
      <c r="S8470" s="316"/>
      <c r="T8470" s="355"/>
    </row>
    <row r="8471" spans="14:20" x14ac:dyDescent="0.25">
      <c r="N8471" s="514"/>
      <c r="R8471" s="293"/>
      <c r="S8471" s="316"/>
      <c r="T8471" s="355"/>
    </row>
    <row r="8472" spans="14:20" x14ac:dyDescent="0.25">
      <c r="N8472" s="514"/>
      <c r="R8472" s="293"/>
      <c r="S8472" s="316"/>
      <c r="T8472" s="355"/>
    </row>
    <row r="8473" spans="14:20" x14ac:dyDescent="0.25">
      <c r="N8473" s="514"/>
      <c r="R8473" s="293"/>
      <c r="S8473" s="316"/>
      <c r="T8473" s="355"/>
    </row>
    <row r="8474" spans="14:20" x14ac:dyDescent="0.25">
      <c r="N8474" s="514"/>
      <c r="R8474" s="293"/>
      <c r="S8474" s="316"/>
      <c r="T8474" s="355"/>
    </row>
    <row r="8475" spans="14:20" x14ac:dyDescent="0.25">
      <c r="N8475" s="514"/>
      <c r="R8475" s="293"/>
      <c r="S8475" s="316"/>
      <c r="T8475" s="355"/>
    </row>
    <row r="8476" spans="14:20" x14ac:dyDescent="0.25">
      <c r="N8476" s="514"/>
      <c r="R8476" s="293"/>
      <c r="S8476" s="316"/>
      <c r="T8476" s="355"/>
    </row>
    <row r="8477" spans="14:20" x14ac:dyDescent="0.25">
      <c r="N8477" s="514"/>
      <c r="R8477" s="293"/>
      <c r="S8477" s="316"/>
      <c r="T8477" s="355"/>
    </row>
    <row r="8478" spans="14:20" x14ac:dyDescent="0.25">
      <c r="N8478" s="514"/>
      <c r="R8478" s="293"/>
      <c r="S8478" s="316"/>
      <c r="T8478" s="355"/>
    </row>
    <row r="8479" spans="14:20" x14ac:dyDescent="0.25">
      <c r="N8479" s="514"/>
      <c r="R8479" s="293"/>
      <c r="S8479" s="316"/>
      <c r="T8479" s="355"/>
    </row>
    <row r="8480" spans="14:20" x14ac:dyDescent="0.25">
      <c r="N8480" s="514"/>
      <c r="R8480" s="293"/>
      <c r="S8480" s="316"/>
      <c r="T8480" s="355"/>
    </row>
    <row r="8481" spans="14:20" x14ac:dyDescent="0.25">
      <c r="N8481" s="514"/>
      <c r="R8481" s="293"/>
      <c r="S8481" s="316"/>
      <c r="T8481" s="355"/>
    </row>
    <row r="8482" spans="14:20" x14ac:dyDescent="0.25">
      <c r="N8482" s="514"/>
      <c r="R8482" s="293"/>
      <c r="S8482" s="316"/>
      <c r="T8482" s="355"/>
    </row>
    <row r="8483" spans="14:20" x14ac:dyDescent="0.25">
      <c r="N8483" s="514"/>
      <c r="R8483" s="293"/>
      <c r="S8483" s="316"/>
      <c r="T8483" s="355"/>
    </row>
    <row r="8484" spans="14:20" x14ac:dyDescent="0.25">
      <c r="N8484" s="514"/>
      <c r="R8484" s="293"/>
      <c r="S8484" s="316"/>
      <c r="T8484" s="355"/>
    </row>
    <row r="8485" spans="14:20" x14ac:dyDescent="0.25">
      <c r="N8485" s="514"/>
      <c r="R8485" s="293"/>
      <c r="S8485" s="316"/>
      <c r="T8485" s="355"/>
    </row>
    <row r="8486" spans="14:20" x14ac:dyDescent="0.25">
      <c r="N8486" s="514"/>
      <c r="R8486" s="293"/>
      <c r="S8486" s="316"/>
      <c r="T8486" s="355"/>
    </row>
    <row r="8487" spans="14:20" x14ac:dyDescent="0.25">
      <c r="N8487" s="514"/>
      <c r="R8487" s="293"/>
      <c r="S8487" s="316"/>
      <c r="T8487" s="355"/>
    </row>
    <row r="8488" spans="14:20" x14ac:dyDescent="0.25">
      <c r="N8488" s="514"/>
      <c r="R8488" s="293"/>
      <c r="S8488" s="316"/>
      <c r="T8488" s="355"/>
    </row>
    <row r="8489" spans="14:20" x14ac:dyDescent="0.25">
      <c r="N8489" s="514"/>
      <c r="R8489" s="293"/>
      <c r="S8489" s="316"/>
      <c r="T8489" s="355"/>
    </row>
    <row r="8490" spans="14:20" x14ac:dyDescent="0.25">
      <c r="N8490" s="514"/>
      <c r="R8490" s="293"/>
      <c r="S8490" s="316"/>
      <c r="T8490" s="355"/>
    </row>
    <row r="8491" spans="14:20" x14ac:dyDescent="0.25">
      <c r="N8491" s="514"/>
      <c r="R8491" s="293"/>
      <c r="S8491" s="316"/>
      <c r="T8491" s="355"/>
    </row>
    <row r="8492" spans="14:20" x14ac:dyDescent="0.25">
      <c r="N8492" s="514"/>
      <c r="R8492" s="293"/>
      <c r="S8492" s="316"/>
      <c r="T8492" s="355"/>
    </row>
    <row r="8493" spans="14:20" x14ac:dyDescent="0.25">
      <c r="N8493" s="514"/>
      <c r="R8493" s="293"/>
      <c r="S8493" s="316"/>
      <c r="T8493" s="355"/>
    </row>
    <row r="8494" spans="14:20" x14ac:dyDescent="0.25">
      <c r="N8494" s="514"/>
      <c r="R8494" s="293"/>
      <c r="S8494" s="316"/>
      <c r="T8494" s="355"/>
    </row>
    <row r="8495" spans="14:20" x14ac:dyDescent="0.25">
      <c r="N8495" s="514"/>
      <c r="R8495" s="293"/>
      <c r="S8495" s="316"/>
      <c r="T8495" s="355"/>
    </row>
    <row r="8496" spans="14:20" x14ac:dyDescent="0.25">
      <c r="N8496" s="514"/>
      <c r="R8496" s="293"/>
      <c r="S8496" s="316"/>
      <c r="T8496" s="355"/>
    </row>
    <row r="8497" spans="14:20" x14ac:dyDescent="0.25">
      <c r="N8497" s="514"/>
      <c r="R8497" s="293"/>
      <c r="S8497" s="316"/>
      <c r="T8497" s="355"/>
    </row>
    <row r="8498" spans="14:20" x14ac:dyDescent="0.25">
      <c r="N8498" s="514"/>
      <c r="R8498" s="293"/>
      <c r="S8498" s="316"/>
      <c r="T8498" s="355"/>
    </row>
    <row r="8499" spans="14:20" x14ac:dyDescent="0.25">
      <c r="N8499" s="514"/>
      <c r="R8499" s="293"/>
      <c r="S8499" s="316"/>
      <c r="T8499" s="355"/>
    </row>
    <row r="8500" spans="14:20" x14ac:dyDescent="0.25">
      <c r="N8500" s="514"/>
      <c r="R8500" s="293"/>
      <c r="S8500" s="316"/>
      <c r="T8500" s="355"/>
    </row>
    <row r="8501" spans="14:20" x14ac:dyDescent="0.25">
      <c r="N8501" s="514"/>
      <c r="R8501" s="293"/>
      <c r="S8501" s="316"/>
      <c r="T8501" s="355"/>
    </row>
    <row r="8502" spans="14:20" x14ac:dyDescent="0.25">
      <c r="N8502" s="514"/>
      <c r="R8502" s="293"/>
      <c r="S8502" s="316"/>
      <c r="T8502" s="355"/>
    </row>
    <row r="8503" spans="14:20" x14ac:dyDescent="0.25">
      <c r="N8503" s="514"/>
      <c r="R8503" s="293"/>
      <c r="S8503" s="316"/>
      <c r="T8503" s="355"/>
    </row>
    <row r="8504" spans="14:20" x14ac:dyDescent="0.25">
      <c r="N8504" s="514"/>
      <c r="R8504" s="293"/>
      <c r="S8504" s="316"/>
      <c r="T8504" s="355"/>
    </row>
    <row r="8505" spans="14:20" x14ac:dyDescent="0.25">
      <c r="N8505" s="514"/>
      <c r="R8505" s="293"/>
      <c r="S8505" s="316"/>
      <c r="T8505" s="355"/>
    </row>
    <row r="8506" spans="14:20" x14ac:dyDescent="0.25">
      <c r="N8506" s="514"/>
      <c r="R8506" s="293"/>
      <c r="S8506" s="316"/>
      <c r="T8506" s="355"/>
    </row>
    <row r="8507" spans="14:20" x14ac:dyDescent="0.25">
      <c r="N8507" s="514"/>
      <c r="R8507" s="293"/>
      <c r="S8507" s="316"/>
      <c r="T8507" s="355"/>
    </row>
    <row r="8508" spans="14:20" x14ac:dyDescent="0.25">
      <c r="N8508" s="514"/>
      <c r="R8508" s="293"/>
      <c r="S8508" s="316"/>
      <c r="T8508" s="355"/>
    </row>
    <row r="8509" spans="14:20" x14ac:dyDescent="0.25">
      <c r="N8509" s="514"/>
      <c r="R8509" s="293"/>
      <c r="S8509" s="316"/>
      <c r="T8509" s="355"/>
    </row>
    <row r="8510" spans="14:20" x14ac:dyDescent="0.25">
      <c r="N8510" s="514"/>
      <c r="R8510" s="293"/>
      <c r="S8510" s="316"/>
      <c r="T8510" s="355"/>
    </row>
    <row r="8511" spans="14:20" x14ac:dyDescent="0.25">
      <c r="N8511" s="514"/>
      <c r="R8511" s="293"/>
      <c r="S8511" s="316"/>
      <c r="T8511" s="355"/>
    </row>
    <row r="8512" spans="14:20" x14ac:dyDescent="0.25">
      <c r="N8512" s="514"/>
      <c r="R8512" s="293"/>
      <c r="S8512" s="316"/>
      <c r="T8512" s="355"/>
    </row>
    <row r="8513" spans="14:20" x14ac:dyDescent="0.25">
      <c r="N8513" s="514"/>
      <c r="R8513" s="293"/>
      <c r="S8513" s="316"/>
      <c r="T8513" s="355"/>
    </row>
    <row r="8514" spans="14:20" x14ac:dyDescent="0.25">
      <c r="N8514" s="514"/>
      <c r="R8514" s="293"/>
      <c r="S8514" s="316"/>
      <c r="T8514" s="355"/>
    </row>
    <row r="8515" spans="14:20" x14ac:dyDescent="0.25">
      <c r="N8515" s="514"/>
      <c r="R8515" s="293"/>
      <c r="S8515" s="316"/>
      <c r="T8515" s="355"/>
    </row>
    <row r="8516" spans="14:20" x14ac:dyDescent="0.25">
      <c r="N8516" s="514"/>
      <c r="R8516" s="293"/>
      <c r="S8516" s="316"/>
      <c r="T8516" s="355"/>
    </row>
    <row r="8517" spans="14:20" x14ac:dyDescent="0.25">
      <c r="N8517" s="514"/>
      <c r="R8517" s="293"/>
      <c r="S8517" s="316"/>
      <c r="T8517" s="355"/>
    </row>
    <row r="8518" spans="14:20" x14ac:dyDescent="0.25">
      <c r="N8518" s="514"/>
      <c r="R8518" s="293"/>
      <c r="S8518" s="316"/>
      <c r="T8518" s="355"/>
    </row>
    <row r="8519" spans="14:20" x14ac:dyDescent="0.25">
      <c r="N8519" s="514"/>
      <c r="R8519" s="293"/>
      <c r="S8519" s="316"/>
      <c r="T8519" s="355"/>
    </row>
    <row r="8520" spans="14:20" x14ac:dyDescent="0.25">
      <c r="N8520" s="514"/>
      <c r="R8520" s="293"/>
      <c r="S8520" s="316"/>
      <c r="T8520" s="355"/>
    </row>
    <row r="8521" spans="14:20" x14ac:dyDescent="0.25">
      <c r="N8521" s="514"/>
      <c r="R8521" s="293"/>
      <c r="S8521" s="316"/>
      <c r="T8521" s="355"/>
    </row>
    <row r="8522" spans="14:20" x14ac:dyDescent="0.25">
      <c r="N8522" s="514"/>
      <c r="R8522" s="293"/>
      <c r="S8522" s="316"/>
      <c r="T8522" s="355"/>
    </row>
    <row r="8523" spans="14:20" x14ac:dyDescent="0.25">
      <c r="N8523" s="514"/>
      <c r="R8523" s="293"/>
      <c r="S8523" s="316"/>
      <c r="T8523" s="355"/>
    </row>
    <row r="8524" spans="14:20" x14ac:dyDescent="0.25">
      <c r="N8524" s="514"/>
      <c r="R8524" s="293"/>
      <c r="S8524" s="316"/>
      <c r="T8524" s="355"/>
    </row>
    <row r="8525" spans="14:20" x14ac:dyDescent="0.25">
      <c r="N8525" s="514"/>
      <c r="R8525" s="293"/>
      <c r="S8525" s="316"/>
      <c r="T8525" s="355"/>
    </row>
    <row r="8526" spans="14:20" x14ac:dyDescent="0.25">
      <c r="N8526" s="514"/>
      <c r="R8526" s="293"/>
      <c r="S8526" s="316"/>
      <c r="T8526" s="355"/>
    </row>
    <row r="8527" spans="14:20" x14ac:dyDescent="0.25">
      <c r="N8527" s="514"/>
      <c r="R8527" s="293"/>
      <c r="S8527" s="316"/>
      <c r="T8527" s="355"/>
    </row>
    <row r="8528" spans="14:20" x14ac:dyDescent="0.25">
      <c r="N8528" s="514"/>
      <c r="R8528" s="293"/>
      <c r="S8528" s="316"/>
      <c r="T8528" s="355"/>
    </row>
    <row r="8529" spans="14:20" x14ac:dyDescent="0.25">
      <c r="N8529" s="514"/>
      <c r="R8529" s="293"/>
      <c r="S8529" s="316"/>
      <c r="T8529" s="355"/>
    </row>
    <row r="8530" spans="14:20" x14ac:dyDescent="0.25">
      <c r="N8530" s="514"/>
      <c r="R8530" s="293"/>
      <c r="S8530" s="316"/>
      <c r="T8530" s="355"/>
    </row>
    <row r="8531" spans="14:20" x14ac:dyDescent="0.25">
      <c r="N8531" s="514"/>
      <c r="R8531" s="293"/>
      <c r="S8531" s="316"/>
      <c r="T8531" s="355"/>
    </row>
    <row r="8532" spans="14:20" x14ac:dyDescent="0.25">
      <c r="N8532" s="514"/>
      <c r="R8532" s="293"/>
      <c r="S8532" s="316"/>
      <c r="T8532" s="355"/>
    </row>
    <row r="8533" spans="14:20" x14ac:dyDescent="0.25">
      <c r="N8533" s="514"/>
      <c r="R8533" s="293"/>
      <c r="S8533" s="316"/>
      <c r="T8533" s="355"/>
    </row>
    <row r="8534" spans="14:20" x14ac:dyDescent="0.25">
      <c r="N8534" s="514"/>
      <c r="R8534" s="293"/>
      <c r="S8534" s="316"/>
      <c r="T8534" s="355"/>
    </row>
    <row r="8535" spans="14:20" x14ac:dyDescent="0.25">
      <c r="N8535" s="514"/>
      <c r="R8535" s="293"/>
      <c r="S8535" s="316"/>
      <c r="T8535" s="355"/>
    </row>
    <row r="8536" spans="14:20" x14ac:dyDescent="0.25">
      <c r="N8536" s="514"/>
      <c r="R8536" s="293"/>
      <c r="S8536" s="316"/>
      <c r="T8536" s="355"/>
    </row>
    <row r="8537" spans="14:20" x14ac:dyDescent="0.25">
      <c r="N8537" s="514"/>
      <c r="R8537" s="293"/>
      <c r="S8537" s="316"/>
      <c r="T8537" s="355"/>
    </row>
    <row r="8538" spans="14:20" x14ac:dyDescent="0.25">
      <c r="N8538" s="514"/>
      <c r="R8538" s="293"/>
      <c r="S8538" s="316"/>
      <c r="T8538" s="355"/>
    </row>
    <row r="8539" spans="14:20" x14ac:dyDescent="0.25">
      <c r="N8539" s="514"/>
      <c r="R8539" s="293"/>
      <c r="S8539" s="316"/>
      <c r="T8539" s="355"/>
    </row>
    <row r="8540" spans="14:20" x14ac:dyDescent="0.25">
      <c r="N8540" s="514"/>
      <c r="R8540" s="293"/>
      <c r="S8540" s="316"/>
      <c r="T8540" s="355"/>
    </row>
    <row r="8541" spans="14:20" x14ac:dyDescent="0.25">
      <c r="N8541" s="514"/>
      <c r="R8541" s="293"/>
      <c r="S8541" s="316"/>
      <c r="T8541" s="355"/>
    </row>
    <row r="8542" spans="14:20" x14ac:dyDescent="0.25">
      <c r="N8542" s="514"/>
      <c r="R8542" s="293"/>
      <c r="S8542" s="316"/>
      <c r="T8542" s="355"/>
    </row>
    <row r="8543" spans="14:20" x14ac:dyDescent="0.25">
      <c r="N8543" s="514"/>
      <c r="R8543" s="293"/>
      <c r="S8543" s="316"/>
      <c r="T8543" s="355"/>
    </row>
    <row r="8544" spans="14:20" x14ac:dyDescent="0.25">
      <c r="N8544" s="514"/>
      <c r="R8544" s="293"/>
      <c r="S8544" s="316"/>
      <c r="T8544" s="355"/>
    </row>
    <row r="8545" spans="14:20" x14ac:dyDescent="0.25">
      <c r="N8545" s="514"/>
      <c r="R8545" s="293"/>
      <c r="S8545" s="316"/>
      <c r="T8545" s="355"/>
    </row>
    <row r="8546" spans="14:20" x14ac:dyDescent="0.25">
      <c r="N8546" s="514"/>
      <c r="R8546" s="293"/>
      <c r="S8546" s="316"/>
      <c r="T8546" s="355"/>
    </row>
    <row r="8547" spans="14:20" x14ac:dyDescent="0.25">
      <c r="N8547" s="514"/>
      <c r="R8547" s="293"/>
      <c r="S8547" s="316"/>
      <c r="T8547" s="355"/>
    </row>
    <row r="8548" spans="14:20" x14ac:dyDescent="0.25">
      <c r="N8548" s="514"/>
      <c r="R8548" s="293"/>
      <c r="S8548" s="316"/>
      <c r="T8548" s="355"/>
    </row>
    <row r="8549" spans="14:20" x14ac:dyDescent="0.25">
      <c r="N8549" s="514"/>
      <c r="R8549" s="293"/>
      <c r="S8549" s="316"/>
      <c r="T8549" s="355"/>
    </row>
    <row r="8550" spans="14:20" x14ac:dyDescent="0.25">
      <c r="N8550" s="514"/>
      <c r="R8550" s="293"/>
      <c r="S8550" s="316"/>
      <c r="T8550" s="355"/>
    </row>
    <row r="8551" spans="14:20" x14ac:dyDescent="0.25">
      <c r="N8551" s="514"/>
      <c r="R8551" s="293"/>
      <c r="S8551" s="316"/>
      <c r="T8551" s="355"/>
    </row>
    <row r="8552" spans="14:20" x14ac:dyDescent="0.25">
      <c r="N8552" s="514"/>
      <c r="R8552" s="293"/>
      <c r="S8552" s="316"/>
      <c r="T8552" s="355"/>
    </row>
    <row r="8553" spans="14:20" x14ac:dyDescent="0.25">
      <c r="N8553" s="514"/>
      <c r="R8553" s="293"/>
      <c r="S8553" s="316"/>
      <c r="T8553" s="355"/>
    </row>
    <row r="8554" spans="14:20" x14ac:dyDescent="0.25">
      <c r="N8554" s="514"/>
      <c r="R8554" s="293"/>
      <c r="S8554" s="316"/>
      <c r="T8554" s="355"/>
    </row>
    <row r="8555" spans="14:20" x14ac:dyDescent="0.25">
      <c r="N8555" s="514"/>
      <c r="R8555" s="293"/>
      <c r="S8555" s="316"/>
      <c r="T8555" s="355"/>
    </row>
    <row r="8556" spans="14:20" x14ac:dyDescent="0.25">
      <c r="N8556" s="514"/>
      <c r="R8556" s="293"/>
      <c r="S8556" s="316"/>
      <c r="T8556" s="355"/>
    </row>
    <row r="8557" spans="14:20" x14ac:dyDescent="0.25">
      <c r="N8557" s="514"/>
      <c r="R8557" s="293"/>
      <c r="S8557" s="316"/>
      <c r="T8557" s="355"/>
    </row>
    <row r="8558" spans="14:20" x14ac:dyDescent="0.25">
      <c r="N8558" s="514"/>
      <c r="R8558" s="293"/>
      <c r="S8558" s="316"/>
      <c r="T8558" s="355"/>
    </row>
    <row r="8559" spans="14:20" x14ac:dyDescent="0.25">
      <c r="N8559" s="514"/>
      <c r="R8559" s="293"/>
      <c r="S8559" s="316"/>
      <c r="T8559" s="355"/>
    </row>
    <row r="8560" spans="14:20" x14ac:dyDescent="0.25">
      <c r="N8560" s="514"/>
      <c r="R8560" s="293"/>
      <c r="S8560" s="316"/>
      <c r="T8560" s="355"/>
    </row>
    <row r="8561" spans="14:20" x14ac:dyDescent="0.25">
      <c r="N8561" s="514"/>
      <c r="R8561" s="293"/>
      <c r="S8561" s="316"/>
      <c r="T8561" s="355"/>
    </row>
    <row r="8562" spans="14:20" x14ac:dyDescent="0.25">
      <c r="N8562" s="514"/>
      <c r="R8562" s="293"/>
      <c r="S8562" s="316"/>
      <c r="T8562" s="355"/>
    </row>
    <row r="8563" spans="14:20" x14ac:dyDescent="0.25">
      <c r="N8563" s="514"/>
      <c r="R8563" s="293"/>
      <c r="S8563" s="316"/>
      <c r="T8563" s="355"/>
    </row>
    <row r="8564" spans="14:20" x14ac:dyDescent="0.25">
      <c r="N8564" s="514"/>
      <c r="R8564" s="293"/>
      <c r="S8564" s="316"/>
      <c r="T8564" s="355"/>
    </row>
    <row r="8565" spans="14:20" x14ac:dyDescent="0.25">
      <c r="N8565" s="514"/>
      <c r="R8565" s="293"/>
      <c r="S8565" s="316"/>
      <c r="T8565" s="355"/>
    </row>
    <row r="8566" spans="14:20" x14ac:dyDescent="0.25">
      <c r="N8566" s="514"/>
      <c r="R8566" s="293"/>
      <c r="S8566" s="316"/>
      <c r="T8566" s="355"/>
    </row>
    <row r="8567" spans="14:20" x14ac:dyDescent="0.25">
      <c r="N8567" s="514"/>
      <c r="R8567" s="293"/>
      <c r="S8567" s="316"/>
      <c r="T8567" s="355"/>
    </row>
    <row r="8568" spans="14:20" x14ac:dyDescent="0.25">
      <c r="N8568" s="514"/>
      <c r="R8568" s="293"/>
      <c r="S8568" s="316"/>
      <c r="T8568" s="355"/>
    </row>
    <row r="8569" spans="14:20" x14ac:dyDescent="0.25">
      <c r="N8569" s="514"/>
      <c r="R8569" s="293"/>
      <c r="S8569" s="316"/>
      <c r="T8569" s="355"/>
    </row>
    <row r="8570" spans="14:20" x14ac:dyDescent="0.25">
      <c r="N8570" s="514"/>
      <c r="R8570" s="293"/>
      <c r="S8570" s="316"/>
      <c r="T8570" s="355"/>
    </row>
    <row r="8571" spans="14:20" x14ac:dyDescent="0.25">
      <c r="N8571" s="514"/>
      <c r="R8571" s="293"/>
      <c r="S8571" s="316"/>
      <c r="T8571" s="355"/>
    </row>
    <row r="8572" spans="14:20" x14ac:dyDescent="0.25">
      <c r="N8572" s="514"/>
      <c r="R8572" s="293"/>
      <c r="S8572" s="316"/>
      <c r="T8572" s="355"/>
    </row>
    <row r="8573" spans="14:20" x14ac:dyDescent="0.25">
      <c r="N8573" s="514"/>
      <c r="R8573" s="293"/>
      <c r="S8573" s="316"/>
      <c r="T8573" s="355"/>
    </row>
    <row r="8574" spans="14:20" x14ac:dyDescent="0.25">
      <c r="N8574" s="514"/>
      <c r="R8574" s="293"/>
      <c r="S8574" s="316"/>
      <c r="T8574" s="355"/>
    </row>
    <row r="8575" spans="14:20" x14ac:dyDescent="0.25">
      <c r="N8575" s="514"/>
      <c r="R8575" s="293"/>
      <c r="S8575" s="316"/>
      <c r="T8575" s="355"/>
    </row>
    <row r="8576" spans="14:20" x14ac:dyDescent="0.25">
      <c r="N8576" s="514"/>
      <c r="R8576" s="293"/>
      <c r="S8576" s="316"/>
      <c r="T8576" s="355"/>
    </row>
    <row r="8577" spans="14:20" x14ac:dyDescent="0.25">
      <c r="N8577" s="514"/>
      <c r="R8577" s="293"/>
      <c r="S8577" s="316"/>
      <c r="T8577" s="355"/>
    </row>
    <row r="8578" spans="14:20" x14ac:dyDescent="0.25">
      <c r="N8578" s="514"/>
      <c r="R8578" s="293"/>
      <c r="S8578" s="316"/>
      <c r="T8578" s="355"/>
    </row>
    <row r="8579" spans="14:20" x14ac:dyDescent="0.25">
      <c r="N8579" s="514"/>
      <c r="R8579" s="293"/>
      <c r="S8579" s="316"/>
      <c r="T8579" s="355"/>
    </row>
    <row r="8580" spans="14:20" x14ac:dyDescent="0.25">
      <c r="N8580" s="514"/>
      <c r="R8580" s="293"/>
      <c r="S8580" s="316"/>
      <c r="T8580" s="355"/>
    </row>
    <row r="8581" spans="14:20" x14ac:dyDescent="0.25">
      <c r="N8581" s="514"/>
      <c r="R8581" s="293"/>
      <c r="S8581" s="316"/>
      <c r="T8581" s="355"/>
    </row>
    <row r="8582" spans="14:20" x14ac:dyDescent="0.25">
      <c r="N8582" s="514"/>
      <c r="R8582" s="293"/>
      <c r="S8582" s="316"/>
      <c r="T8582" s="355"/>
    </row>
    <row r="8583" spans="14:20" x14ac:dyDescent="0.25">
      <c r="N8583" s="514"/>
      <c r="R8583" s="293"/>
      <c r="S8583" s="316"/>
      <c r="T8583" s="355"/>
    </row>
    <row r="8584" spans="14:20" x14ac:dyDescent="0.25">
      <c r="N8584" s="514"/>
      <c r="R8584" s="293"/>
      <c r="S8584" s="316"/>
      <c r="T8584" s="355"/>
    </row>
    <row r="8585" spans="14:20" x14ac:dyDescent="0.25">
      <c r="N8585" s="514"/>
      <c r="R8585" s="293"/>
      <c r="S8585" s="316"/>
      <c r="T8585" s="355"/>
    </row>
    <row r="8586" spans="14:20" x14ac:dyDescent="0.25">
      <c r="N8586" s="514"/>
      <c r="R8586" s="293"/>
      <c r="S8586" s="316"/>
      <c r="T8586" s="355"/>
    </row>
    <row r="8587" spans="14:20" x14ac:dyDescent="0.25">
      <c r="N8587" s="514"/>
      <c r="R8587" s="293"/>
      <c r="S8587" s="316"/>
      <c r="T8587" s="355"/>
    </row>
    <row r="8588" spans="14:20" x14ac:dyDescent="0.25">
      <c r="N8588" s="514"/>
      <c r="R8588" s="293"/>
      <c r="S8588" s="316"/>
      <c r="T8588" s="355"/>
    </row>
    <row r="8589" spans="14:20" x14ac:dyDescent="0.25">
      <c r="N8589" s="514"/>
      <c r="R8589" s="293"/>
      <c r="S8589" s="316"/>
      <c r="T8589" s="355"/>
    </row>
    <row r="8590" spans="14:20" x14ac:dyDescent="0.25">
      <c r="N8590" s="514"/>
      <c r="R8590" s="293"/>
      <c r="S8590" s="316"/>
      <c r="T8590" s="355"/>
    </row>
    <row r="8591" spans="14:20" x14ac:dyDescent="0.25">
      <c r="N8591" s="514"/>
      <c r="R8591" s="293"/>
      <c r="S8591" s="316"/>
      <c r="T8591" s="355"/>
    </row>
    <row r="8592" spans="14:20" x14ac:dyDescent="0.25">
      <c r="N8592" s="514"/>
      <c r="R8592" s="293"/>
      <c r="S8592" s="316"/>
      <c r="T8592" s="355"/>
    </row>
    <row r="8593" spans="14:20" x14ac:dyDescent="0.25">
      <c r="N8593" s="514"/>
      <c r="R8593" s="293"/>
      <c r="S8593" s="316"/>
      <c r="T8593" s="355"/>
    </row>
    <row r="8594" spans="14:20" x14ac:dyDescent="0.25">
      <c r="N8594" s="514"/>
      <c r="R8594" s="293"/>
      <c r="S8594" s="316"/>
      <c r="T8594" s="355"/>
    </row>
    <row r="8595" spans="14:20" x14ac:dyDescent="0.25">
      <c r="N8595" s="514"/>
      <c r="R8595" s="293"/>
      <c r="S8595" s="316"/>
      <c r="T8595" s="355"/>
    </row>
    <row r="8596" spans="14:20" x14ac:dyDescent="0.25">
      <c r="N8596" s="514"/>
      <c r="R8596" s="293"/>
      <c r="S8596" s="316"/>
      <c r="T8596" s="355"/>
    </row>
    <row r="8597" spans="14:20" x14ac:dyDescent="0.25">
      <c r="N8597" s="514"/>
      <c r="R8597" s="293"/>
      <c r="S8597" s="316"/>
      <c r="T8597" s="355"/>
    </row>
    <row r="8598" spans="14:20" x14ac:dyDescent="0.25">
      <c r="N8598" s="514"/>
      <c r="R8598" s="293"/>
      <c r="S8598" s="316"/>
      <c r="T8598" s="355"/>
    </row>
    <row r="8599" spans="14:20" x14ac:dyDescent="0.25">
      <c r="N8599" s="514"/>
      <c r="R8599" s="293"/>
      <c r="S8599" s="316"/>
      <c r="T8599" s="355"/>
    </row>
    <row r="8600" spans="14:20" x14ac:dyDescent="0.25">
      <c r="N8600" s="514"/>
      <c r="R8600" s="293"/>
      <c r="S8600" s="316"/>
      <c r="T8600" s="355"/>
    </row>
    <row r="8601" spans="14:20" x14ac:dyDescent="0.25">
      <c r="N8601" s="514"/>
      <c r="R8601" s="293"/>
      <c r="S8601" s="316"/>
      <c r="T8601" s="355"/>
    </row>
    <row r="8602" spans="14:20" x14ac:dyDescent="0.25">
      <c r="N8602" s="514"/>
      <c r="R8602" s="293"/>
      <c r="S8602" s="316"/>
      <c r="T8602" s="355"/>
    </row>
    <row r="8603" spans="14:20" x14ac:dyDescent="0.25">
      <c r="N8603" s="514"/>
      <c r="R8603" s="293"/>
      <c r="S8603" s="316"/>
      <c r="T8603" s="355"/>
    </row>
    <row r="8604" spans="14:20" x14ac:dyDescent="0.25">
      <c r="N8604" s="514"/>
      <c r="R8604" s="293"/>
      <c r="S8604" s="316"/>
      <c r="T8604" s="355"/>
    </row>
    <row r="8605" spans="14:20" x14ac:dyDescent="0.25">
      <c r="N8605" s="514"/>
      <c r="R8605" s="293"/>
      <c r="S8605" s="316"/>
      <c r="T8605" s="355"/>
    </row>
    <row r="8606" spans="14:20" x14ac:dyDescent="0.25">
      <c r="N8606" s="514"/>
      <c r="R8606" s="293"/>
      <c r="S8606" s="316"/>
      <c r="T8606" s="355"/>
    </row>
    <row r="8607" spans="14:20" x14ac:dyDescent="0.25">
      <c r="N8607" s="514"/>
      <c r="R8607" s="293"/>
      <c r="S8607" s="316"/>
      <c r="T8607" s="355"/>
    </row>
    <row r="8608" spans="14:20" x14ac:dyDescent="0.25">
      <c r="N8608" s="514"/>
      <c r="R8608" s="293"/>
      <c r="S8608" s="316"/>
      <c r="T8608" s="355"/>
    </row>
    <row r="8609" spans="14:20" x14ac:dyDescent="0.25">
      <c r="N8609" s="514"/>
      <c r="R8609" s="293"/>
      <c r="S8609" s="316"/>
      <c r="T8609" s="355"/>
    </row>
    <row r="8610" spans="14:20" x14ac:dyDescent="0.25">
      <c r="N8610" s="514"/>
      <c r="R8610" s="293"/>
      <c r="S8610" s="316"/>
      <c r="T8610" s="355"/>
    </row>
    <row r="8611" spans="14:20" x14ac:dyDescent="0.25">
      <c r="N8611" s="514"/>
      <c r="R8611" s="293"/>
      <c r="S8611" s="316"/>
      <c r="T8611" s="355"/>
    </row>
    <row r="8612" spans="14:20" x14ac:dyDescent="0.25">
      <c r="N8612" s="514"/>
      <c r="R8612" s="293"/>
      <c r="S8612" s="316"/>
      <c r="T8612" s="355"/>
    </row>
    <row r="8613" spans="14:20" x14ac:dyDescent="0.25">
      <c r="N8613" s="514"/>
      <c r="R8613" s="293"/>
      <c r="S8613" s="316"/>
      <c r="T8613" s="355"/>
    </row>
    <row r="8614" spans="14:20" x14ac:dyDescent="0.25">
      <c r="N8614" s="514"/>
      <c r="R8614" s="293"/>
      <c r="S8614" s="316"/>
      <c r="T8614" s="355"/>
    </row>
    <row r="8615" spans="14:20" x14ac:dyDescent="0.25">
      <c r="N8615" s="514"/>
      <c r="R8615" s="293"/>
      <c r="S8615" s="316"/>
      <c r="T8615" s="355"/>
    </row>
    <row r="8616" spans="14:20" x14ac:dyDescent="0.25">
      <c r="N8616" s="514"/>
      <c r="R8616" s="293"/>
      <c r="S8616" s="316"/>
      <c r="T8616" s="355"/>
    </row>
    <row r="8617" spans="14:20" x14ac:dyDescent="0.25">
      <c r="N8617" s="514"/>
      <c r="R8617" s="293"/>
      <c r="S8617" s="316"/>
      <c r="T8617" s="355"/>
    </row>
    <row r="8618" spans="14:20" x14ac:dyDescent="0.25">
      <c r="N8618" s="514"/>
      <c r="R8618" s="293"/>
      <c r="S8618" s="316"/>
      <c r="T8618" s="355"/>
    </row>
    <row r="8619" spans="14:20" x14ac:dyDescent="0.25">
      <c r="N8619" s="514"/>
      <c r="R8619" s="293"/>
      <c r="S8619" s="316"/>
      <c r="T8619" s="355"/>
    </row>
    <row r="8620" spans="14:20" x14ac:dyDescent="0.25">
      <c r="N8620" s="514"/>
      <c r="R8620" s="293"/>
      <c r="S8620" s="316"/>
      <c r="T8620" s="355"/>
    </row>
    <row r="8621" spans="14:20" x14ac:dyDescent="0.25">
      <c r="N8621" s="514"/>
      <c r="R8621" s="293"/>
      <c r="S8621" s="316"/>
      <c r="T8621" s="355"/>
    </row>
    <row r="8622" spans="14:20" x14ac:dyDescent="0.25">
      <c r="N8622" s="514"/>
      <c r="R8622" s="293"/>
      <c r="S8622" s="316"/>
      <c r="T8622" s="355"/>
    </row>
    <row r="8623" spans="14:20" x14ac:dyDescent="0.25">
      <c r="N8623" s="514"/>
      <c r="R8623" s="293"/>
      <c r="S8623" s="316"/>
      <c r="T8623" s="355"/>
    </row>
    <row r="8624" spans="14:20" x14ac:dyDescent="0.25">
      <c r="N8624" s="514"/>
      <c r="R8624" s="293"/>
      <c r="S8624" s="316"/>
      <c r="T8624" s="355"/>
    </row>
    <row r="8625" spans="14:20" x14ac:dyDescent="0.25">
      <c r="N8625" s="514"/>
      <c r="R8625" s="293"/>
      <c r="S8625" s="316"/>
      <c r="T8625" s="355"/>
    </row>
    <row r="8626" spans="14:20" x14ac:dyDescent="0.25">
      <c r="N8626" s="514"/>
      <c r="R8626" s="293"/>
      <c r="S8626" s="316"/>
      <c r="T8626" s="355"/>
    </row>
    <row r="8627" spans="14:20" x14ac:dyDescent="0.25">
      <c r="N8627" s="514"/>
      <c r="R8627" s="293"/>
      <c r="S8627" s="316"/>
      <c r="T8627" s="355"/>
    </row>
    <row r="8628" spans="14:20" x14ac:dyDescent="0.25">
      <c r="N8628" s="514"/>
      <c r="R8628" s="293"/>
      <c r="S8628" s="316"/>
      <c r="T8628" s="355"/>
    </row>
    <row r="8629" spans="14:20" x14ac:dyDescent="0.25">
      <c r="N8629" s="514"/>
      <c r="R8629" s="293"/>
      <c r="S8629" s="316"/>
      <c r="T8629" s="355"/>
    </row>
    <row r="8630" spans="14:20" x14ac:dyDescent="0.25">
      <c r="N8630" s="514"/>
      <c r="R8630" s="293"/>
      <c r="S8630" s="316"/>
      <c r="T8630" s="355"/>
    </row>
    <row r="8631" spans="14:20" x14ac:dyDescent="0.25">
      <c r="N8631" s="514"/>
      <c r="R8631" s="293"/>
      <c r="S8631" s="316"/>
      <c r="T8631" s="355"/>
    </row>
    <row r="8632" spans="14:20" x14ac:dyDescent="0.25">
      <c r="N8632" s="514"/>
      <c r="R8632" s="293"/>
      <c r="S8632" s="316"/>
      <c r="T8632" s="355"/>
    </row>
    <row r="8633" spans="14:20" x14ac:dyDescent="0.25">
      <c r="N8633" s="514"/>
      <c r="R8633" s="293"/>
      <c r="S8633" s="316"/>
      <c r="T8633" s="355"/>
    </row>
    <row r="8634" spans="14:20" x14ac:dyDescent="0.25">
      <c r="N8634" s="514"/>
      <c r="R8634" s="293"/>
      <c r="S8634" s="316"/>
      <c r="T8634" s="355"/>
    </row>
    <row r="8635" spans="14:20" x14ac:dyDescent="0.25">
      <c r="N8635" s="514"/>
      <c r="R8635" s="293"/>
      <c r="S8635" s="316"/>
      <c r="T8635" s="355"/>
    </row>
    <row r="8636" spans="14:20" x14ac:dyDescent="0.25">
      <c r="N8636" s="514"/>
      <c r="R8636" s="293"/>
      <c r="S8636" s="316"/>
      <c r="T8636" s="355"/>
    </row>
    <row r="8637" spans="14:20" x14ac:dyDescent="0.25">
      <c r="N8637" s="514"/>
      <c r="R8637" s="293"/>
      <c r="S8637" s="316"/>
      <c r="T8637" s="355"/>
    </row>
    <row r="8638" spans="14:20" x14ac:dyDescent="0.25">
      <c r="N8638" s="514"/>
      <c r="R8638" s="293"/>
      <c r="S8638" s="316"/>
      <c r="T8638" s="355"/>
    </row>
    <row r="8639" spans="14:20" x14ac:dyDescent="0.25">
      <c r="N8639" s="514"/>
      <c r="R8639" s="293"/>
      <c r="S8639" s="316"/>
      <c r="T8639" s="355"/>
    </row>
    <row r="8640" spans="14:20" x14ac:dyDescent="0.25">
      <c r="N8640" s="514"/>
      <c r="R8640" s="293"/>
      <c r="S8640" s="316"/>
      <c r="T8640" s="355"/>
    </row>
    <row r="8641" spans="14:20" x14ac:dyDescent="0.25">
      <c r="N8641" s="514"/>
      <c r="R8641" s="293"/>
      <c r="S8641" s="316"/>
      <c r="T8641" s="355"/>
    </row>
    <row r="8642" spans="14:20" x14ac:dyDescent="0.25">
      <c r="N8642" s="514"/>
      <c r="R8642" s="293"/>
      <c r="S8642" s="316"/>
      <c r="T8642" s="355"/>
    </row>
    <row r="8643" spans="14:20" x14ac:dyDescent="0.25">
      <c r="N8643" s="514"/>
      <c r="R8643" s="293"/>
      <c r="S8643" s="316"/>
      <c r="T8643" s="355"/>
    </row>
    <row r="8644" spans="14:20" x14ac:dyDescent="0.25">
      <c r="N8644" s="514"/>
      <c r="R8644" s="293"/>
      <c r="S8644" s="316"/>
      <c r="T8644" s="355"/>
    </row>
    <row r="8645" spans="14:20" x14ac:dyDescent="0.25">
      <c r="N8645" s="514"/>
      <c r="R8645" s="293"/>
      <c r="S8645" s="316"/>
      <c r="T8645" s="355"/>
    </row>
    <row r="8646" spans="14:20" x14ac:dyDescent="0.25">
      <c r="N8646" s="514"/>
      <c r="R8646" s="293"/>
      <c r="S8646" s="316"/>
      <c r="T8646" s="355"/>
    </row>
    <row r="8647" spans="14:20" x14ac:dyDescent="0.25">
      <c r="N8647" s="514"/>
      <c r="R8647" s="293"/>
      <c r="S8647" s="316"/>
      <c r="T8647" s="355"/>
    </row>
    <row r="8648" spans="14:20" x14ac:dyDescent="0.25">
      <c r="N8648" s="514"/>
      <c r="R8648" s="293"/>
      <c r="S8648" s="316"/>
      <c r="T8648" s="355"/>
    </row>
    <row r="8649" spans="14:20" x14ac:dyDescent="0.25">
      <c r="N8649" s="514"/>
      <c r="R8649" s="293"/>
      <c r="S8649" s="316"/>
      <c r="T8649" s="355"/>
    </row>
    <row r="8650" spans="14:20" x14ac:dyDescent="0.25">
      <c r="N8650" s="514"/>
      <c r="R8650" s="293"/>
      <c r="S8650" s="316"/>
      <c r="T8650" s="355"/>
    </row>
    <row r="8651" spans="14:20" x14ac:dyDescent="0.25">
      <c r="N8651" s="514"/>
      <c r="R8651" s="293"/>
      <c r="S8651" s="316"/>
      <c r="T8651" s="355"/>
    </row>
    <row r="8652" spans="14:20" x14ac:dyDescent="0.25">
      <c r="N8652" s="514"/>
      <c r="R8652" s="293"/>
      <c r="S8652" s="316"/>
      <c r="T8652" s="355"/>
    </row>
    <row r="8653" spans="14:20" x14ac:dyDescent="0.25">
      <c r="N8653" s="514"/>
      <c r="R8653" s="293"/>
      <c r="S8653" s="316"/>
      <c r="T8653" s="355"/>
    </row>
    <row r="8654" spans="14:20" x14ac:dyDescent="0.25">
      <c r="N8654" s="514"/>
      <c r="R8654" s="293"/>
      <c r="S8654" s="316"/>
      <c r="T8654" s="355"/>
    </row>
    <row r="8655" spans="14:20" x14ac:dyDescent="0.25">
      <c r="N8655" s="514"/>
      <c r="R8655" s="293"/>
      <c r="S8655" s="316"/>
      <c r="T8655" s="355"/>
    </row>
    <row r="8656" spans="14:20" x14ac:dyDescent="0.25">
      <c r="N8656" s="514"/>
      <c r="R8656" s="293"/>
      <c r="S8656" s="316"/>
      <c r="T8656" s="355"/>
    </row>
    <row r="8657" spans="14:20" x14ac:dyDescent="0.25">
      <c r="N8657" s="514"/>
      <c r="R8657" s="293"/>
      <c r="S8657" s="316"/>
      <c r="T8657" s="355"/>
    </row>
    <row r="8658" spans="14:20" x14ac:dyDescent="0.25">
      <c r="N8658" s="514"/>
      <c r="R8658" s="293"/>
      <c r="S8658" s="316"/>
      <c r="T8658" s="355"/>
    </row>
    <row r="8659" spans="14:20" x14ac:dyDescent="0.25">
      <c r="N8659" s="514"/>
      <c r="R8659" s="293"/>
      <c r="S8659" s="316"/>
      <c r="T8659" s="355"/>
    </row>
    <row r="8660" spans="14:20" x14ac:dyDescent="0.25">
      <c r="N8660" s="514"/>
      <c r="R8660" s="293"/>
      <c r="S8660" s="316"/>
      <c r="T8660" s="355"/>
    </row>
    <row r="8661" spans="14:20" x14ac:dyDescent="0.25">
      <c r="N8661" s="514"/>
      <c r="R8661" s="293"/>
      <c r="S8661" s="316"/>
      <c r="T8661" s="355"/>
    </row>
    <row r="8662" spans="14:20" x14ac:dyDescent="0.25">
      <c r="N8662" s="514"/>
      <c r="R8662" s="293"/>
      <c r="S8662" s="316"/>
      <c r="T8662" s="355"/>
    </row>
    <row r="8663" spans="14:20" x14ac:dyDescent="0.25">
      <c r="N8663" s="514"/>
      <c r="R8663" s="293"/>
      <c r="S8663" s="316"/>
      <c r="T8663" s="355"/>
    </row>
    <row r="8664" spans="14:20" x14ac:dyDescent="0.25">
      <c r="N8664" s="514"/>
      <c r="R8664" s="293"/>
      <c r="S8664" s="316"/>
      <c r="T8664" s="355"/>
    </row>
    <row r="8665" spans="14:20" x14ac:dyDescent="0.25">
      <c r="N8665" s="514"/>
      <c r="R8665" s="293"/>
      <c r="S8665" s="316"/>
      <c r="T8665" s="355"/>
    </row>
    <row r="8666" spans="14:20" x14ac:dyDescent="0.25">
      <c r="N8666" s="514"/>
      <c r="R8666" s="293"/>
      <c r="S8666" s="316"/>
      <c r="T8666" s="355"/>
    </row>
    <row r="8667" spans="14:20" x14ac:dyDescent="0.25">
      <c r="N8667" s="514"/>
      <c r="R8667" s="293"/>
      <c r="S8667" s="316"/>
      <c r="T8667" s="355"/>
    </row>
    <row r="8668" spans="14:20" x14ac:dyDescent="0.25">
      <c r="N8668" s="514"/>
      <c r="R8668" s="293"/>
      <c r="S8668" s="316"/>
      <c r="T8668" s="355"/>
    </row>
    <row r="8669" spans="14:20" x14ac:dyDescent="0.25">
      <c r="N8669" s="514"/>
      <c r="R8669" s="293"/>
      <c r="S8669" s="316"/>
      <c r="T8669" s="355"/>
    </row>
    <row r="8670" spans="14:20" x14ac:dyDescent="0.25">
      <c r="N8670" s="514"/>
      <c r="R8670" s="293"/>
      <c r="S8670" s="316"/>
      <c r="T8670" s="355"/>
    </row>
    <row r="8671" spans="14:20" x14ac:dyDescent="0.25">
      <c r="N8671" s="514"/>
      <c r="R8671" s="293"/>
      <c r="S8671" s="316"/>
      <c r="T8671" s="355"/>
    </row>
    <row r="8672" spans="14:20" x14ac:dyDescent="0.25">
      <c r="N8672" s="514"/>
      <c r="R8672" s="293"/>
      <c r="S8672" s="316"/>
      <c r="T8672" s="355"/>
    </row>
    <row r="8673" spans="14:20" x14ac:dyDescent="0.25">
      <c r="N8673" s="514"/>
      <c r="R8673" s="293"/>
      <c r="S8673" s="316"/>
      <c r="T8673" s="355"/>
    </row>
    <row r="8674" spans="14:20" x14ac:dyDescent="0.25">
      <c r="N8674" s="514"/>
      <c r="R8674" s="293"/>
      <c r="S8674" s="316"/>
      <c r="T8674" s="355"/>
    </row>
    <row r="8675" spans="14:20" x14ac:dyDescent="0.25">
      <c r="N8675" s="514"/>
      <c r="R8675" s="293"/>
      <c r="S8675" s="316"/>
      <c r="T8675" s="355"/>
    </row>
    <row r="8676" spans="14:20" x14ac:dyDescent="0.25">
      <c r="N8676" s="514"/>
      <c r="R8676" s="293"/>
      <c r="S8676" s="316"/>
      <c r="T8676" s="355"/>
    </row>
    <row r="8677" spans="14:20" x14ac:dyDescent="0.25">
      <c r="N8677" s="514"/>
      <c r="R8677" s="293"/>
      <c r="S8677" s="316"/>
      <c r="T8677" s="355"/>
    </row>
    <row r="8678" spans="14:20" x14ac:dyDescent="0.25">
      <c r="N8678" s="514"/>
      <c r="R8678" s="293"/>
      <c r="S8678" s="316"/>
      <c r="T8678" s="355"/>
    </row>
    <row r="8679" spans="14:20" x14ac:dyDescent="0.25">
      <c r="N8679" s="514"/>
      <c r="R8679" s="293"/>
      <c r="S8679" s="316"/>
      <c r="T8679" s="355"/>
    </row>
    <row r="8680" spans="14:20" x14ac:dyDescent="0.25">
      <c r="N8680" s="514"/>
      <c r="R8680" s="293"/>
      <c r="S8680" s="316"/>
      <c r="T8680" s="355"/>
    </row>
    <row r="8681" spans="14:20" x14ac:dyDescent="0.25">
      <c r="N8681" s="514"/>
      <c r="R8681" s="293"/>
      <c r="S8681" s="316"/>
      <c r="T8681" s="355"/>
    </row>
    <row r="8682" spans="14:20" x14ac:dyDescent="0.25">
      <c r="N8682" s="514"/>
      <c r="R8682" s="293"/>
      <c r="S8682" s="316"/>
      <c r="T8682" s="355"/>
    </row>
    <row r="8683" spans="14:20" x14ac:dyDescent="0.25">
      <c r="N8683" s="514"/>
      <c r="R8683" s="293"/>
      <c r="S8683" s="316"/>
      <c r="T8683" s="355"/>
    </row>
    <row r="8684" spans="14:20" x14ac:dyDescent="0.25">
      <c r="N8684" s="514"/>
      <c r="R8684" s="293"/>
      <c r="S8684" s="316"/>
      <c r="T8684" s="355"/>
    </row>
    <row r="8685" spans="14:20" x14ac:dyDescent="0.25">
      <c r="N8685" s="514"/>
      <c r="R8685" s="293"/>
      <c r="S8685" s="316"/>
      <c r="T8685" s="355"/>
    </row>
    <row r="8686" spans="14:20" x14ac:dyDescent="0.25">
      <c r="N8686" s="514"/>
      <c r="R8686" s="293"/>
      <c r="S8686" s="316"/>
      <c r="T8686" s="355"/>
    </row>
    <row r="8687" spans="14:20" x14ac:dyDescent="0.25">
      <c r="N8687" s="514"/>
      <c r="R8687" s="293"/>
      <c r="S8687" s="316"/>
      <c r="T8687" s="355"/>
    </row>
    <row r="8688" spans="14:20" x14ac:dyDescent="0.25">
      <c r="N8688" s="514"/>
      <c r="R8688" s="293"/>
      <c r="S8688" s="316"/>
      <c r="T8688" s="355"/>
    </row>
    <row r="8689" spans="14:20" x14ac:dyDescent="0.25">
      <c r="N8689" s="514"/>
      <c r="R8689" s="293"/>
      <c r="S8689" s="316"/>
      <c r="T8689" s="355"/>
    </row>
    <row r="8690" spans="14:20" x14ac:dyDescent="0.25">
      <c r="N8690" s="514"/>
      <c r="R8690" s="293"/>
      <c r="S8690" s="316"/>
      <c r="T8690" s="355"/>
    </row>
    <row r="8691" spans="14:20" x14ac:dyDescent="0.25">
      <c r="N8691" s="514"/>
      <c r="R8691" s="293"/>
      <c r="S8691" s="316"/>
      <c r="T8691" s="355"/>
    </row>
    <row r="8692" spans="14:20" x14ac:dyDescent="0.25">
      <c r="N8692" s="514"/>
      <c r="R8692" s="293"/>
      <c r="S8692" s="316"/>
      <c r="T8692" s="355"/>
    </row>
    <row r="8693" spans="14:20" x14ac:dyDescent="0.25">
      <c r="N8693" s="514"/>
      <c r="R8693" s="293"/>
      <c r="S8693" s="316"/>
      <c r="T8693" s="355"/>
    </row>
    <row r="8694" spans="14:20" x14ac:dyDescent="0.25">
      <c r="N8694" s="514"/>
      <c r="R8694" s="293"/>
      <c r="S8694" s="316"/>
      <c r="T8694" s="355"/>
    </row>
    <row r="8695" spans="14:20" x14ac:dyDescent="0.25">
      <c r="N8695" s="514"/>
      <c r="R8695" s="293"/>
      <c r="S8695" s="316"/>
      <c r="T8695" s="355"/>
    </row>
    <row r="8696" spans="14:20" x14ac:dyDescent="0.25">
      <c r="N8696" s="514"/>
      <c r="R8696" s="293"/>
      <c r="S8696" s="316"/>
      <c r="T8696" s="355"/>
    </row>
    <row r="8697" spans="14:20" x14ac:dyDescent="0.25">
      <c r="N8697" s="514"/>
      <c r="R8697" s="293"/>
      <c r="S8697" s="316"/>
      <c r="T8697" s="355"/>
    </row>
    <row r="8698" spans="14:20" x14ac:dyDescent="0.25">
      <c r="N8698" s="514"/>
      <c r="R8698" s="293"/>
      <c r="S8698" s="316"/>
      <c r="T8698" s="355"/>
    </row>
    <row r="8699" spans="14:20" x14ac:dyDescent="0.25">
      <c r="N8699" s="514"/>
      <c r="R8699" s="293"/>
      <c r="S8699" s="316"/>
      <c r="T8699" s="355"/>
    </row>
    <row r="8700" spans="14:20" x14ac:dyDescent="0.25">
      <c r="N8700" s="514"/>
      <c r="R8700" s="293"/>
      <c r="S8700" s="316"/>
      <c r="T8700" s="355"/>
    </row>
    <row r="8701" spans="14:20" x14ac:dyDescent="0.25">
      <c r="N8701" s="514"/>
      <c r="R8701" s="293"/>
      <c r="S8701" s="316"/>
      <c r="T8701" s="355"/>
    </row>
    <row r="8702" spans="14:20" x14ac:dyDescent="0.25">
      <c r="N8702" s="514"/>
      <c r="R8702" s="293"/>
      <c r="S8702" s="316"/>
      <c r="T8702" s="355"/>
    </row>
    <row r="8703" spans="14:20" x14ac:dyDescent="0.25">
      <c r="N8703" s="514"/>
      <c r="R8703" s="293"/>
      <c r="S8703" s="316"/>
      <c r="T8703" s="355"/>
    </row>
    <row r="8704" spans="14:20" x14ac:dyDescent="0.25">
      <c r="N8704" s="514"/>
      <c r="R8704" s="293"/>
      <c r="S8704" s="316"/>
      <c r="T8704" s="355"/>
    </row>
    <row r="8705" spans="14:20" x14ac:dyDescent="0.25">
      <c r="N8705" s="514"/>
      <c r="R8705" s="293"/>
      <c r="S8705" s="316"/>
      <c r="T8705" s="355"/>
    </row>
    <row r="8706" spans="14:20" x14ac:dyDescent="0.25">
      <c r="N8706" s="514"/>
      <c r="R8706" s="293"/>
      <c r="S8706" s="316"/>
      <c r="T8706" s="355"/>
    </row>
    <row r="8707" spans="14:20" x14ac:dyDescent="0.25">
      <c r="N8707" s="514"/>
      <c r="R8707" s="293"/>
      <c r="S8707" s="316"/>
      <c r="T8707" s="355"/>
    </row>
    <row r="8708" spans="14:20" x14ac:dyDescent="0.25">
      <c r="N8708" s="514"/>
      <c r="R8708" s="293"/>
      <c r="S8708" s="316"/>
      <c r="T8708" s="355"/>
    </row>
    <row r="8709" spans="14:20" x14ac:dyDescent="0.25">
      <c r="N8709" s="514"/>
      <c r="R8709" s="293"/>
      <c r="S8709" s="316"/>
      <c r="T8709" s="355"/>
    </row>
    <row r="8710" spans="14:20" x14ac:dyDescent="0.25">
      <c r="N8710" s="514"/>
      <c r="R8710" s="293"/>
      <c r="S8710" s="316"/>
      <c r="T8710" s="355"/>
    </row>
    <row r="8711" spans="14:20" x14ac:dyDescent="0.25">
      <c r="N8711" s="514"/>
      <c r="R8711" s="293"/>
      <c r="S8711" s="316"/>
      <c r="T8711" s="355"/>
    </row>
    <row r="8712" spans="14:20" x14ac:dyDescent="0.25">
      <c r="N8712" s="514"/>
      <c r="R8712" s="293"/>
      <c r="S8712" s="316"/>
      <c r="T8712" s="355"/>
    </row>
    <row r="8713" spans="14:20" x14ac:dyDescent="0.25">
      <c r="N8713" s="514"/>
      <c r="R8713" s="293"/>
      <c r="S8713" s="316"/>
      <c r="T8713" s="355"/>
    </row>
    <row r="8714" spans="14:20" x14ac:dyDescent="0.25">
      <c r="N8714" s="514"/>
      <c r="R8714" s="293"/>
      <c r="S8714" s="316"/>
      <c r="T8714" s="355"/>
    </row>
    <row r="8715" spans="14:20" x14ac:dyDescent="0.25">
      <c r="N8715" s="514"/>
      <c r="R8715" s="293"/>
      <c r="S8715" s="316"/>
      <c r="T8715" s="355"/>
    </row>
    <row r="8716" spans="14:20" x14ac:dyDescent="0.25">
      <c r="N8716" s="514"/>
      <c r="R8716" s="293"/>
      <c r="S8716" s="316"/>
      <c r="T8716" s="355"/>
    </row>
    <row r="8717" spans="14:20" x14ac:dyDescent="0.25">
      <c r="N8717" s="514"/>
      <c r="R8717" s="293"/>
      <c r="S8717" s="316"/>
      <c r="T8717" s="355"/>
    </row>
    <row r="8718" spans="14:20" x14ac:dyDescent="0.25">
      <c r="N8718" s="514"/>
      <c r="R8718" s="293"/>
      <c r="S8718" s="316"/>
      <c r="T8718" s="355"/>
    </row>
    <row r="8719" spans="14:20" x14ac:dyDescent="0.25">
      <c r="N8719" s="514"/>
      <c r="R8719" s="293"/>
      <c r="S8719" s="316"/>
      <c r="T8719" s="355"/>
    </row>
    <row r="8720" spans="14:20" x14ac:dyDescent="0.25">
      <c r="N8720" s="514"/>
      <c r="R8720" s="293"/>
      <c r="S8720" s="316"/>
      <c r="T8720" s="355"/>
    </row>
    <row r="8721" spans="14:20" x14ac:dyDescent="0.25">
      <c r="N8721" s="514"/>
      <c r="R8721" s="293"/>
      <c r="S8721" s="316"/>
      <c r="T8721" s="355"/>
    </row>
    <row r="8722" spans="14:20" x14ac:dyDescent="0.25">
      <c r="N8722" s="514"/>
      <c r="R8722" s="293"/>
      <c r="S8722" s="316"/>
      <c r="T8722" s="355"/>
    </row>
    <row r="8723" spans="14:20" x14ac:dyDescent="0.25">
      <c r="N8723" s="514"/>
      <c r="R8723" s="293"/>
      <c r="S8723" s="316"/>
      <c r="T8723" s="355"/>
    </row>
    <row r="8724" spans="14:20" x14ac:dyDescent="0.25">
      <c r="N8724" s="514"/>
      <c r="R8724" s="293"/>
      <c r="S8724" s="316"/>
      <c r="T8724" s="355"/>
    </row>
    <row r="8725" spans="14:20" x14ac:dyDescent="0.25">
      <c r="N8725" s="514"/>
      <c r="R8725" s="293"/>
      <c r="S8725" s="316"/>
      <c r="T8725" s="355"/>
    </row>
    <row r="8726" spans="14:20" x14ac:dyDescent="0.25">
      <c r="N8726" s="514"/>
      <c r="R8726" s="293"/>
      <c r="S8726" s="316"/>
      <c r="T8726" s="355"/>
    </row>
    <row r="8727" spans="14:20" x14ac:dyDescent="0.25">
      <c r="N8727" s="514"/>
      <c r="R8727" s="293"/>
      <c r="S8727" s="316"/>
      <c r="T8727" s="355"/>
    </row>
    <row r="8728" spans="14:20" x14ac:dyDescent="0.25">
      <c r="N8728" s="514"/>
      <c r="R8728" s="293"/>
      <c r="S8728" s="316"/>
      <c r="T8728" s="355"/>
    </row>
    <row r="8729" spans="14:20" x14ac:dyDescent="0.25">
      <c r="N8729" s="514"/>
      <c r="R8729" s="293"/>
      <c r="S8729" s="316"/>
      <c r="T8729" s="355"/>
    </row>
    <row r="8730" spans="14:20" x14ac:dyDescent="0.25">
      <c r="N8730" s="514"/>
      <c r="R8730" s="293"/>
      <c r="S8730" s="316"/>
      <c r="T8730" s="355"/>
    </row>
    <row r="8731" spans="14:20" x14ac:dyDescent="0.25">
      <c r="N8731" s="514"/>
      <c r="R8731" s="293"/>
      <c r="S8731" s="316"/>
      <c r="T8731" s="355"/>
    </row>
    <row r="8732" spans="14:20" x14ac:dyDescent="0.25">
      <c r="N8732" s="514"/>
      <c r="R8732" s="293"/>
      <c r="S8732" s="316"/>
      <c r="T8732" s="355"/>
    </row>
    <row r="8733" spans="14:20" x14ac:dyDescent="0.25">
      <c r="N8733" s="514"/>
      <c r="R8733" s="293"/>
      <c r="S8733" s="316"/>
      <c r="T8733" s="355"/>
    </row>
    <row r="8734" spans="14:20" x14ac:dyDescent="0.25">
      <c r="N8734" s="514"/>
      <c r="R8734" s="293"/>
      <c r="S8734" s="316"/>
      <c r="T8734" s="355"/>
    </row>
    <row r="8735" spans="14:20" x14ac:dyDescent="0.25">
      <c r="N8735" s="514"/>
      <c r="R8735" s="293"/>
      <c r="S8735" s="316"/>
      <c r="T8735" s="355"/>
    </row>
    <row r="8736" spans="14:20" x14ac:dyDescent="0.25">
      <c r="N8736" s="514"/>
      <c r="R8736" s="293"/>
      <c r="S8736" s="316"/>
      <c r="T8736" s="355"/>
    </row>
    <row r="8737" spans="14:20" x14ac:dyDescent="0.25">
      <c r="N8737" s="514"/>
      <c r="R8737" s="293"/>
      <c r="S8737" s="316"/>
      <c r="T8737" s="355"/>
    </row>
    <row r="8738" spans="14:20" x14ac:dyDescent="0.25">
      <c r="N8738" s="514"/>
      <c r="R8738" s="293"/>
      <c r="S8738" s="316"/>
      <c r="T8738" s="355"/>
    </row>
    <row r="8739" spans="14:20" x14ac:dyDescent="0.25">
      <c r="N8739" s="514"/>
      <c r="R8739" s="293"/>
      <c r="S8739" s="316"/>
      <c r="T8739" s="355"/>
    </row>
    <row r="8740" spans="14:20" x14ac:dyDescent="0.25">
      <c r="N8740" s="514"/>
      <c r="R8740" s="293"/>
      <c r="S8740" s="316"/>
      <c r="T8740" s="355"/>
    </row>
    <row r="8741" spans="14:20" x14ac:dyDescent="0.25">
      <c r="N8741" s="514"/>
      <c r="R8741" s="293"/>
      <c r="S8741" s="316"/>
      <c r="T8741" s="355"/>
    </row>
    <row r="8742" spans="14:20" x14ac:dyDescent="0.25">
      <c r="N8742" s="514"/>
      <c r="R8742" s="293"/>
      <c r="S8742" s="316"/>
      <c r="T8742" s="355"/>
    </row>
    <row r="8743" spans="14:20" x14ac:dyDescent="0.25">
      <c r="N8743" s="514"/>
      <c r="R8743" s="293"/>
      <c r="S8743" s="316"/>
      <c r="T8743" s="355"/>
    </row>
    <row r="8744" spans="14:20" x14ac:dyDescent="0.25">
      <c r="N8744" s="514"/>
      <c r="R8744" s="293"/>
      <c r="S8744" s="316"/>
      <c r="T8744" s="355"/>
    </row>
    <row r="8745" spans="14:20" x14ac:dyDescent="0.25">
      <c r="N8745" s="514"/>
      <c r="R8745" s="293"/>
      <c r="S8745" s="316"/>
      <c r="T8745" s="355"/>
    </row>
    <row r="8746" spans="14:20" x14ac:dyDescent="0.25">
      <c r="N8746" s="514"/>
      <c r="R8746" s="293"/>
      <c r="S8746" s="316"/>
      <c r="T8746" s="355"/>
    </row>
    <row r="8747" spans="14:20" x14ac:dyDescent="0.25">
      <c r="N8747" s="514"/>
      <c r="R8747" s="293"/>
      <c r="S8747" s="316"/>
      <c r="T8747" s="355"/>
    </row>
    <row r="8748" spans="14:20" x14ac:dyDescent="0.25">
      <c r="N8748" s="514"/>
      <c r="R8748" s="293"/>
      <c r="S8748" s="316"/>
      <c r="T8748" s="355"/>
    </row>
    <row r="8749" spans="14:20" x14ac:dyDescent="0.25">
      <c r="N8749" s="514"/>
      <c r="R8749" s="293"/>
      <c r="S8749" s="316"/>
      <c r="T8749" s="355"/>
    </row>
    <row r="8750" spans="14:20" x14ac:dyDescent="0.25">
      <c r="N8750" s="514"/>
      <c r="R8750" s="293"/>
      <c r="S8750" s="316"/>
      <c r="T8750" s="355"/>
    </row>
    <row r="8751" spans="14:20" x14ac:dyDescent="0.25">
      <c r="N8751" s="514"/>
      <c r="R8751" s="293"/>
      <c r="S8751" s="316"/>
      <c r="T8751" s="355"/>
    </row>
    <row r="8752" spans="14:20" x14ac:dyDescent="0.25">
      <c r="N8752" s="514"/>
      <c r="R8752" s="293"/>
      <c r="S8752" s="316"/>
      <c r="T8752" s="355"/>
    </row>
    <row r="8753" spans="14:20" x14ac:dyDescent="0.25">
      <c r="N8753" s="514"/>
      <c r="R8753" s="293"/>
      <c r="S8753" s="316"/>
      <c r="T8753" s="355"/>
    </row>
    <row r="8754" spans="14:20" x14ac:dyDescent="0.25">
      <c r="N8754" s="514"/>
      <c r="R8754" s="293"/>
      <c r="S8754" s="316"/>
      <c r="T8754" s="355"/>
    </row>
    <row r="8755" spans="14:20" x14ac:dyDescent="0.25">
      <c r="N8755" s="514"/>
      <c r="R8755" s="293"/>
      <c r="S8755" s="316"/>
      <c r="T8755" s="355"/>
    </row>
    <row r="8756" spans="14:20" x14ac:dyDescent="0.25">
      <c r="N8756" s="514"/>
      <c r="R8756" s="293"/>
      <c r="S8756" s="316"/>
      <c r="T8756" s="355"/>
    </row>
    <row r="8757" spans="14:20" x14ac:dyDescent="0.25">
      <c r="N8757" s="514"/>
      <c r="R8757" s="293"/>
      <c r="S8757" s="316"/>
      <c r="T8757" s="355"/>
    </row>
    <row r="8758" spans="14:20" x14ac:dyDescent="0.25">
      <c r="N8758" s="514"/>
      <c r="R8758" s="293"/>
      <c r="S8758" s="316"/>
      <c r="T8758" s="355"/>
    </row>
    <row r="8759" spans="14:20" x14ac:dyDescent="0.25">
      <c r="N8759" s="514"/>
      <c r="R8759" s="293"/>
      <c r="S8759" s="316"/>
      <c r="T8759" s="355"/>
    </row>
    <row r="8760" spans="14:20" x14ac:dyDescent="0.25">
      <c r="N8760" s="514"/>
      <c r="R8760" s="293"/>
      <c r="S8760" s="316"/>
      <c r="T8760" s="355"/>
    </row>
    <row r="8761" spans="14:20" x14ac:dyDescent="0.25">
      <c r="N8761" s="514"/>
      <c r="R8761" s="293"/>
      <c r="S8761" s="316"/>
      <c r="T8761" s="355"/>
    </row>
    <row r="8762" spans="14:20" x14ac:dyDescent="0.25">
      <c r="N8762" s="514"/>
      <c r="R8762" s="293"/>
      <c r="S8762" s="316"/>
      <c r="T8762" s="355"/>
    </row>
    <row r="8763" spans="14:20" x14ac:dyDescent="0.25">
      <c r="N8763" s="514"/>
      <c r="R8763" s="293"/>
      <c r="S8763" s="316"/>
      <c r="T8763" s="355"/>
    </row>
    <row r="8764" spans="14:20" x14ac:dyDescent="0.25">
      <c r="N8764" s="514"/>
      <c r="R8764" s="293"/>
      <c r="S8764" s="316"/>
      <c r="T8764" s="355"/>
    </row>
    <row r="8765" spans="14:20" x14ac:dyDescent="0.25">
      <c r="N8765" s="514"/>
      <c r="R8765" s="293"/>
      <c r="S8765" s="316"/>
      <c r="T8765" s="355"/>
    </row>
    <row r="8766" spans="14:20" x14ac:dyDescent="0.25">
      <c r="N8766" s="514"/>
      <c r="R8766" s="293"/>
      <c r="S8766" s="316"/>
      <c r="T8766" s="355"/>
    </row>
    <row r="8767" spans="14:20" x14ac:dyDescent="0.25">
      <c r="N8767" s="514"/>
      <c r="R8767" s="293"/>
      <c r="S8767" s="316"/>
      <c r="T8767" s="355"/>
    </row>
    <row r="8768" spans="14:20" x14ac:dyDescent="0.25">
      <c r="N8768" s="514"/>
      <c r="R8768" s="293"/>
      <c r="S8768" s="316"/>
      <c r="T8768" s="355"/>
    </row>
    <row r="8769" spans="14:20" x14ac:dyDescent="0.25">
      <c r="N8769" s="514"/>
      <c r="R8769" s="293"/>
      <c r="S8769" s="316"/>
      <c r="T8769" s="355"/>
    </row>
    <row r="8770" spans="14:20" x14ac:dyDescent="0.25">
      <c r="N8770" s="514"/>
      <c r="R8770" s="293"/>
      <c r="S8770" s="316"/>
      <c r="T8770" s="355"/>
    </row>
    <row r="8771" spans="14:20" x14ac:dyDescent="0.25">
      <c r="N8771" s="514"/>
      <c r="R8771" s="293"/>
      <c r="S8771" s="316"/>
      <c r="T8771" s="355"/>
    </row>
    <row r="8772" spans="14:20" x14ac:dyDescent="0.25">
      <c r="N8772" s="514"/>
      <c r="R8772" s="293"/>
      <c r="S8772" s="316"/>
      <c r="T8772" s="355"/>
    </row>
    <row r="8773" spans="14:20" x14ac:dyDescent="0.25">
      <c r="N8773" s="514"/>
      <c r="R8773" s="293"/>
      <c r="S8773" s="316"/>
      <c r="T8773" s="355"/>
    </row>
    <row r="8774" spans="14:20" x14ac:dyDescent="0.25">
      <c r="N8774" s="514"/>
      <c r="R8774" s="293"/>
      <c r="S8774" s="316"/>
      <c r="T8774" s="355"/>
    </row>
    <row r="8775" spans="14:20" x14ac:dyDescent="0.25">
      <c r="N8775" s="514"/>
      <c r="R8775" s="293"/>
      <c r="S8775" s="316"/>
      <c r="T8775" s="355"/>
    </row>
    <row r="8776" spans="14:20" x14ac:dyDescent="0.25">
      <c r="N8776" s="514"/>
      <c r="R8776" s="293"/>
      <c r="S8776" s="316"/>
      <c r="T8776" s="355"/>
    </row>
    <row r="8777" spans="14:20" x14ac:dyDescent="0.25">
      <c r="N8777" s="514"/>
      <c r="R8777" s="293"/>
      <c r="S8777" s="316"/>
      <c r="T8777" s="355"/>
    </row>
    <row r="8778" spans="14:20" x14ac:dyDescent="0.25">
      <c r="N8778" s="514"/>
      <c r="R8778" s="293"/>
      <c r="S8778" s="316"/>
      <c r="T8778" s="355"/>
    </row>
    <row r="8779" spans="14:20" x14ac:dyDescent="0.25">
      <c r="N8779" s="514"/>
      <c r="R8779" s="293"/>
      <c r="S8779" s="316"/>
      <c r="T8779" s="355"/>
    </row>
    <row r="8780" spans="14:20" x14ac:dyDescent="0.25">
      <c r="N8780" s="514"/>
      <c r="R8780" s="293"/>
      <c r="S8780" s="316"/>
      <c r="T8780" s="355"/>
    </row>
    <row r="8781" spans="14:20" x14ac:dyDescent="0.25">
      <c r="N8781" s="514"/>
      <c r="R8781" s="293"/>
      <c r="S8781" s="316"/>
      <c r="T8781" s="355"/>
    </row>
    <row r="8782" spans="14:20" x14ac:dyDescent="0.25">
      <c r="N8782" s="514"/>
      <c r="R8782" s="293"/>
      <c r="S8782" s="316"/>
      <c r="T8782" s="355"/>
    </row>
    <row r="8783" spans="14:20" x14ac:dyDescent="0.25">
      <c r="N8783" s="514"/>
      <c r="R8783" s="293"/>
      <c r="S8783" s="316"/>
      <c r="T8783" s="355"/>
    </row>
    <row r="8784" spans="14:20" x14ac:dyDescent="0.25">
      <c r="N8784" s="514"/>
      <c r="R8784" s="293"/>
      <c r="S8784" s="316"/>
      <c r="T8784" s="355"/>
    </row>
    <row r="8785" spans="14:20" x14ac:dyDescent="0.25">
      <c r="N8785" s="514"/>
      <c r="R8785" s="293"/>
      <c r="S8785" s="316"/>
      <c r="T8785" s="355"/>
    </row>
    <row r="8786" spans="14:20" x14ac:dyDescent="0.25">
      <c r="N8786" s="514"/>
      <c r="R8786" s="293"/>
      <c r="S8786" s="316"/>
      <c r="T8786" s="355"/>
    </row>
    <row r="8787" spans="14:20" x14ac:dyDescent="0.25">
      <c r="N8787" s="514"/>
      <c r="R8787" s="293"/>
      <c r="S8787" s="316"/>
      <c r="T8787" s="355"/>
    </row>
    <row r="8788" spans="14:20" x14ac:dyDescent="0.25">
      <c r="N8788" s="514"/>
      <c r="R8788" s="293"/>
      <c r="S8788" s="316"/>
      <c r="T8788" s="355"/>
    </row>
    <row r="8789" spans="14:20" x14ac:dyDescent="0.25">
      <c r="N8789" s="514"/>
      <c r="R8789" s="293"/>
      <c r="S8789" s="316"/>
      <c r="T8789" s="355"/>
    </row>
    <row r="8790" spans="14:20" x14ac:dyDescent="0.25">
      <c r="N8790" s="514"/>
      <c r="R8790" s="293"/>
      <c r="S8790" s="316"/>
      <c r="T8790" s="355"/>
    </row>
    <row r="8791" spans="14:20" x14ac:dyDescent="0.25">
      <c r="N8791" s="514"/>
      <c r="R8791" s="293"/>
      <c r="S8791" s="316"/>
      <c r="T8791" s="355"/>
    </row>
    <row r="8792" spans="14:20" x14ac:dyDescent="0.25">
      <c r="N8792" s="514"/>
      <c r="R8792" s="293"/>
      <c r="S8792" s="316"/>
      <c r="T8792" s="355"/>
    </row>
    <row r="8793" spans="14:20" x14ac:dyDescent="0.25">
      <c r="N8793" s="514"/>
      <c r="R8793" s="293"/>
      <c r="S8793" s="316"/>
      <c r="T8793" s="355"/>
    </row>
    <row r="8794" spans="14:20" x14ac:dyDescent="0.25">
      <c r="N8794" s="514"/>
      <c r="R8794" s="293"/>
      <c r="S8794" s="316"/>
      <c r="T8794" s="355"/>
    </row>
    <row r="8795" spans="14:20" x14ac:dyDescent="0.25">
      <c r="N8795" s="514"/>
      <c r="R8795" s="293"/>
      <c r="S8795" s="316"/>
      <c r="T8795" s="355"/>
    </row>
    <row r="8796" spans="14:20" x14ac:dyDescent="0.25">
      <c r="N8796" s="514"/>
      <c r="R8796" s="293"/>
      <c r="S8796" s="316"/>
      <c r="T8796" s="355"/>
    </row>
    <row r="8797" spans="14:20" x14ac:dyDescent="0.25">
      <c r="N8797" s="514"/>
      <c r="R8797" s="293"/>
      <c r="S8797" s="316"/>
      <c r="T8797" s="355"/>
    </row>
    <row r="8798" spans="14:20" x14ac:dyDescent="0.25">
      <c r="N8798" s="514"/>
      <c r="R8798" s="293"/>
      <c r="S8798" s="316"/>
      <c r="T8798" s="355"/>
    </row>
    <row r="8799" spans="14:20" x14ac:dyDescent="0.25">
      <c r="N8799" s="514"/>
      <c r="R8799" s="293"/>
      <c r="S8799" s="316"/>
      <c r="T8799" s="355"/>
    </row>
    <row r="8800" spans="14:20" x14ac:dyDescent="0.25">
      <c r="N8800" s="514"/>
      <c r="R8800" s="293"/>
      <c r="S8800" s="316"/>
      <c r="T8800" s="355"/>
    </row>
    <row r="8801" spans="14:20" x14ac:dyDescent="0.25">
      <c r="N8801" s="514"/>
      <c r="R8801" s="293"/>
      <c r="S8801" s="316"/>
      <c r="T8801" s="355"/>
    </row>
    <row r="8802" spans="14:20" x14ac:dyDescent="0.25">
      <c r="N8802" s="514"/>
      <c r="R8802" s="293"/>
      <c r="S8802" s="316"/>
      <c r="T8802" s="355"/>
    </row>
    <row r="8803" spans="14:20" x14ac:dyDescent="0.25">
      <c r="N8803" s="514"/>
      <c r="R8803" s="293"/>
      <c r="S8803" s="316"/>
      <c r="T8803" s="355"/>
    </row>
    <row r="8804" spans="14:20" x14ac:dyDescent="0.25">
      <c r="N8804" s="514"/>
      <c r="R8804" s="293"/>
      <c r="S8804" s="316"/>
      <c r="T8804" s="355"/>
    </row>
    <row r="8805" spans="14:20" x14ac:dyDescent="0.25">
      <c r="N8805" s="514"/>
      <c r="R8805" s="293"/>
      <c r="S8805" s="316"/>
      <c r="T8805" s="355"/>
    </row>
    <row r="8806" spans="14:20" x14ac:dyDescent="0.25">
      <c r="N8806" s="514"/>
      <c r="R8806" s="293"/>
      <c r="S8806" s="316"/>
      <c r="T8806" s="355"/>
    </row>
    <row r="8807" spans="14:20" x14ac:dyDescent="0.25">
      <c r="N8807" s="514"/>
      <c r="R8807" s="293"/>
      <c r="S8807" s="316"/>
      <c r="T8807" s="355"/>
    </row>
    <row r="8808" spans="14:20" x14ac:dyDescent="0.25">
      <c r="N8808" s="514"/>
      <c r="R8808" s="293"/>
      <c r="S8808" s="316"/>
      <c r="T8808" s="355"/>
    </row>
    <row r="8809" spans="14:20" x14ac:dyDescent="0.25">
      <c r="N8809" s="514"/>
      <c r="R8809" s="293"/>
      <c r="S8809" s="316"/>
      <c r="T8809" s="355"/>
    </row>
    <row r="8810" spans="14:20" x14ac:dyDescent="0.25">
      <c r="N8810" s="514"/>
      <c r="R8810" s="293"/>
      <c r="S8810" s="316"/>
      <c r="T8810" s="355"/>
    </row>
    <row r="8811" spans="14:20" x14ac:dyDescent="0.25">
      <c r="N8811" s="514"/>
      <c r="R8811" s="293"/>
      <c r="S8811" s="316"/>
      <c r="T8811" s="355"/>
    </row>
    <row r="8812" spans="14:20" x14ac:dyDescent="0.25">
      <c r="N8812" s="514"/>
      <c r="R8812" s="293"/>
      <c r="S8812" s="316"/>
      <c r="T8812" s="355"/>
    </row>
    <row r="8813" spans="14:20" x14ac:dyDescent="0.25">
      <c r="N8813" s="514"/>
      <c r="R8813" s="293"/>
      <c r="S8813" s="316"/>
      <c r="T8813" s="355"/>
    </row>
    <row r="8814" spans="14:20" x14ac:dyDescent="0.25">
      <c r="N8814" s="514"/>
      <c r="R8814" s="293"/>
      <c r="S8814" s="316"/>
      <c r="T8814" s="355"/>
    </row>
    <row r="8815" spans="14:20" x14ac:dyDescent="0.25">
      <c r="N8815" s="514"/>
      <c r="R8815" s="293"/>
      <c r="S8815" s="316"/>
      <c r="T8815" s="355"/>
    </row>
    <row r="8816" spans="14:20" x14ac:dyDescent="0.25">
      <c r="N8816" s="514"/>
      <c r="R8816" s="293"/>
      <c r="S8816" s="316"/>
      <c r="T8816" s="355"/>
    </row>
    <row r="8817" spans="14:20" x14ac:dyDescent="0.25">
      <c r="N8817" s="514"/>
      <c r="R8817" s="293"/>
      <c r="S8817" s="316"/>
      <c r="T8817" s="355"/>
    </row>
    <row r="8818" spans="14:20" x14ac:dyDescent="0.25">
      <c r="N8818" s="514"/>
      <c r="R8818" s="293"/>
      <c r="S8818" s="316"/>
      <c r="T8818" s="355"/>
    </row>
    <row r="8819" spans="14:20" x14ac:dyDescent="0.25">
      <c r="N8819" s="514"/>
      <c r="R8819" s="293"/>
      <c r="S8819" s="316"/>
      <c r="T8819" s="355"/>
    </row>
    <row r="8820" spans="14:20" x14ac:dyDescent="0.25">
      <c r="N8820" s="514"/>
      <c r="R8820" s="293"/>
      <c r="S8820" s="316"/>
      <c r="T8820" s="355"/>
    </row>
    <row r="8821" spans="14:20" x14ac:dyDescent="0.25">
      <c r="N8821" s="514"/>
      <c r="R8821" s="293"/>
      <c r="S8821" s="316"/>
      <c r="T8821" s="355"/>
    </row>
    <row r="8822" spans="14:20" x14ac:dyDescent="0.25">
      <c r="N8822" s="514"/>
      <c r="R8822" s="293"/>
      <c r="S8822" s="316"/>
      <c r="T8822" s="355"/>
    </row>
    <row r="8823" spans="14:20" x14ac:dyDescent="0.25">
      <c r="N8823" s="514"/>
      <c r="R8823" s="293"/>
      <c r="S8823" s="316"/>
      <c r="T8823" s="355"/>
    </row>
    <row r="8824" spans="14:20" x14ac:dyDescent="0.25">
      <c r="N8824" s="514"/>
      <c r="R8824" s="293"/>
      <c r="S8824" s="316"/>
      <c r="T8824" s="355"/>
    </row>
    <row r="8825" spans="14:20" x14ac:dyDescent="0.25">
      <c r="N8825" s="514"/>
      <c r="R8825" s="293"/>
      <c r="S8825" s="316"/>
      <c r="T8825" s="355"/>
    </row>
    <row r="8826" spans="14:20" x14ac:dyDescent="0.25">
      <c r="N8826" s="514"/>
      <c r="R8826" s="293"/>
      <c r="S8826" s="316"/>
      <c r="T8826" s="355"/>
    </row>
    <row r="8827" spans="14:20" x14ac:dyDescent="0.25">
      <c r="N8827" s="514"/>
      <c r="R8827" s="293"/>
      <c r="S8827" s="316"/>
      <c r="T8827" s="355"/>
    </row>
    <row r="8828" spans="14:20" x14ac:dyDescent="0.25">
      <c r="N8828" s="514"/>
      <c r="R8828" s="293"/>
      <c r="S8828" s="316"/>
      <c r="T8828" s="355"/>
    </row>
    <row r="8829" spans="14:20" x14ac:dyDescent="0.25">
      <c r="N8829" s="514"/>
      <c r="R8829" s="293"/>
      <c r="S8829" s="316"/>
      <c r="T8829" s="355"/>
    </row>
    <row r="8830" spans="14:20" x14ac:dyDescent="0.25">
      <c r="N8830" s="514"/>
      <c r="R8830" s="293"/>
      <c r="S8830" s="316"/>
      <c r="T8830" s="355"/>
    </row>
    <row r="8831" spans="14:20" x14ac:dyDescent="0.25">
      <c r="N8831" s="514"/>
      <c r="R8831" s="293"/>
      <c r="S8831" s="316"/>
      <c r="T8831" s="355"/>
    </row>
    <row r="8832" spans="14:20" x14ac:dyDescent="0.25">
      <c r="N8832" s="514"/>
      <c r="R8832" s="293"/>
      <c r="S8832" s="316"/>
      <c r="T8832" s="355"/>
    </row>
    <row r="8833" spans="14:20" x14ac:dyDescent="0.25">
      <c r="N8833" s="514"/>
      <c r="R8833" s="293"/>
      <c r="S8833" s="316"/>
      <c r="T8833" s="355"/>
    </row>
    <row r="8834" spans="14:20" x14ac:dyDescent="0.25">
      <c r="N8834" s="514"/>
      <c r="R8834" s="293"/>
      <c r="S8834" s="316"/>
      <c r="T8834" s="355"/>
    </row>
    <row r="8835" spans="14:20" x14ac:dyDescent="0.25">
      <c r="N8835" s="514"/>
      <c r="R8835" s="293"/>
      <c r="S8835" s="316"/>
      <c r="T8835" s="355"/>
    </row>
    <row r="8836" spans="14:20" x14ac:dyDescent="0.25">
      <c r="N8836" s="514"/>
      <c r="R8836" s="293"/>
      <c r="S8836" s="316"/>
      <c r="T8836" s="355"/>
    </row>
    <row r="8837" spans="14:20" x14ac:dyDescent="0.25">
      <c r="N8837" s="514"/>
      <c r="R8837" s="293"/>
      <c r="S8837" s="316"/>
      <c r="T8837" s="355"/>
    </row>
    <row r="8838" spans="14:20" x14ac:dyDescent="0.25">
      <c r="N8838" s="514"/>
      <c r="R8838" s="293"/>
      <c r="S8838" s="316"/>
      <c r="T8838" s="355"/>
    </row>
    <row r="8839" spans="14:20" x14ac:dyDescent="0.25">
      <c r="N8839" s="514"/>
      <c r="R8839" s="293"/>
      <c r="S8839" s="316"/>
      <c r="T8839" s="355"/>
    </row>
    <row r="8840" spans="14:20" x14ac:dyDescent="0.25">
      <c r="N8840" s="514"/>
      <c r="R8840" s="293"/>
      <c r="S8840" s="316"/>
      <c r="T8840" s="355"/>
    </row>
    <row r="8841" spans="14:20" x14ac:dyDescent="0.25">
      <c r="N8841" s="514"/>
      <c r="R8841" s="293"/>
      <c r="S8841" s="316"/>
      <c r="T8841" s="355"/>
    </row>
    <row r="8842" spans="14:20" x14ac:dyDescent="0.25">
      <c r="N8842" s="514"/>
      <c r="R8842" s="293"/>
      <c r="S8842" s="316"/>
      <c r="T8842" s="355"/>
    </row>
    <row r="8843" spans="14:20" x14ac:dyDescent="0.25">
      <c r="N8843" s="514"/>
      <c r="R8843" s="293"/>
      <c r="S8843" s="316"/>
      <c r="T8843" s="355"/>
    </row>
    <row r="8844" spans="14:20" x14ac:dyDescent="0.25">
      <c r="N8844" s="514"/>
      <c r="R8844" s="293"/>
      <c r="S8844" s="316"/>
      <c r="T8844" s="355"/>
    </row>
    <row r="8845" spans="14:20" x14ac:dyDescent="0.25">
      <c r="N8845" s="514"/>
      <c r="R8845" s="293"/>
      <c r="S8845" s="316"/>
      <c r="T8845" s="355"/>
    </row>
    <row r="8846" spans="14:20" x14ac:dyDescent="0.25">
      <c r="N8846" s="514"/>
      <c r="R8846" s="293"/>
      <c r="S8846" s="316"/>
      <c r="T8846" s="355"/>
    </row>
    <row r="8847" spans="14:20" x14ac:dyDescent="0.25">
      <c r="N8847" s="514"/>
      <c r="R8847" s="293"/>
      <c r="S8847" s="316"/>
      <c r="T8847" s="355"/>
    </row>
    <row r="8848" spans="14:20" x14ac:dyDescent="0.25">
      <c r="N8848" s="514"/>
      <c r="R8848" s="293"/>
      <c r="S8848" s="316"/>
      <c r="T8848" s="355"/>
    </row>
    <row r="8849" spans="14:20" x14ac:dyDescent="0.25">
      <c r="N8849" s="514"/>
      <c r="R8849" s="293"/>
      <c r="S8849" s="316"/>
      <c r="T8849" s="355"/>
    </row>
    <row r="8850" spans="14:20" x14ac:dyDescent="0.25">
      <c r="N8850" s="514"/>
      <c r="R8850" s="293"/>
      <c r="S8850" s="316"/>
      <c r="T8850" s="355"/>
    </row>
    <row r="8851" spans="14:20" x14ac:dyDescent="0.25">
      <c r="N8851" s="514"/>
      <c r="R8851" s="293"/>
      <c r="S8851" s="316"/>
      <c r="T8851" s="355"/>
    </row>
    <row r="8852" spans="14:20" x14ac:dyDescent="0.25">
      <c r="N8852" s="514"/>
      <c r="R8852" s="293"/>
      <c r="S8852" s="316"/>
      <c r="T8852" s="355"/>
    </row>
    <row r="8853" spans="14:20" x14ac:dyDescent="0.25">
      <c r="N8853" s="514"/>
      <c r="R8853" s="293"/>
      <c r="S8853" s="316"/>
      <c r="T8853" s="355"/>
    </row>
    <row r="8854" spans="14:20" x14ac:dyDescent="0.25">
      <c r="N8854" s="514"/>
      <c r="R8854" s="293"/>
      <c r="S8854" s="316"/>
      <c r="T8854" s="355"/>
    </row>
    <row r="8855" spans="14:20" x14ac:dyDescent="0.25">
      <c r="N8855" s="514"/>
      <c r="R8855" s="293"/>
      <c r="S8855" s="316"/>
      <c r="T8855" s="355"/>
    </row>
    <row r="8856" spans="14:20" x14ac:dyDescent="0.25">
      <c r="N8856" s="514"/>
      <c r="R8856" s="293"/>
      <c r="S8856" s="316"/>
      <c r="T8856" s="355"/>
    </row>
    <row r="8857" spans="14:20" x14ac:dyDescent="0.25">
      <c r="N8857" s="514"/>
      <c r="R8857" s="293"/>
      <c r="S8857" s="316"/>
      <c r="T8857" s="355"/>
    </row>
    <row r="8858" spans="14:20" x14ac:dyDescent="0.25">
      <c r="N8858" s="514"/>
      <c r="R8858" s="293"/>
      <c r="S8858" s="316"/>
      <c r="T8858" s="355"/>
    </row>
    <row r="8859" spans="14:20" x14ac:dyDescent="0.25">
      <c r="N8859" s="514"/>
      <c r="R8859" s="293"/>
      <c r="S8859" s="316"/>
      <c r="T8859" s="355"/>
    </row>
    <row r="8860" spans="14:20" x14ac:dyDescent="0.25">
      <c r="N8860" s="514"/>
      <c r="R8860" s="293"/>
      <c r="S8860" s="316"/>
      <c r="T8860" s="355"/>
    </row>
    <row r="8861" spans="14:20" x14ac:dyDescent="0.25">
      <c r="N8861" s="514"/>
      <c r="R8861" s="293"/>
      <c r="S8861" s="316"/>
      <c r="T8861" s="355"/>
    </row>
    <row r="8862" spans="14:20" x14ac:dyDescent="0.25">
      <c r="N8862" s="514"/>
      <c r="R8862" s="293"/>
      <c r="S8862" s="316"/>
      <c r="T8862" s="355"/>
    </row>
    <row r="8863" spans="14:20" x14ac:dyDescent="0.25">
      <c r="N8863" s="514"/>
      <c r="R8863" s="293"/>
      <c r="S8863" s="316"/>
      <c r="T8863" s="355"/>
    </row>
    <row r="8864" spans="14:20" x14ac:dyDescent="0.25">
      <c r="N8864" s="514"/>
      <c r="R8864" s="293"/>
      <c r="S8864" s="316"/>
      <c r="T8864" s="355"/>
    </row>
    <row r="8865" spans="14:20" x14ac:dyDescent="0.25">
      <c r="N8865" s="514"/>
      <c r="R8865" s="293"/>
      <c r="S8865" s="316"/>
      <c r="T8865" s="355"/>
    </row>
    <row r="8866" spans="14:20" x14ac:dyDescent="0.25">
      <c r="N8866" s="514"/>
      <c r="R8866" s="293"/>
      <c r="S8866" s="316"/>
      <c r="T8866" s="355"/>
    </row>
    <row r="8867" spans="14:20" x14ac:dyDescent="0.25">
      <c r="N8867" s="514"/>
      <c r="R8867" s="293"/>
      <c r="S8867" s="316"/>
      <c r="T8867" s="355"/>
    </row>
    <row r="8868" spans="14:20" x14ac:dyDescent="0.25">
      <c r="N8868" s="514"/>
      <c r="R8868" s="293"/>
      <c r="S8868" s="316"/>
      <c r="T8868" s="355"/>
    </row>
    <row r="8869" spans="14:20" x14ac:dyDescent="0.25">
      <c r="N8869" s="514"/>
      <c r="R8869" s="293"/>
      <c r="S8869" s="316"/>
      <c r="T8869" s="355"/>
    </row>
    <row r="8870" spans="14:20" x14ac:dyDescent="0.25">
      <c r="N8870" s="514"/>
      <c r="R8870" s="293"/>
      <c r="S8870" s="316"/>
      <c r="T8870" s="355"/>
    </row>
    <row r="8871" spans="14:20" x14ac:dyDescent="0.25">
      <c r="N8871" s="514"/>
      <c r="R8871" s="293"/>
      <c r="S8871" s="316"/>
      <c r="T8871" s="355"/>
    </row>
    <row r="8872" spans="14:20" x14ac:dyDescent="0.25">
      <c r="N8872" s="514"/>
      <c r="R8872" s="293"/>
      <c r="S8872" s="316"/>
      <c r="T8872" s="355"/>
    </row>
    <row r="8873" spans="14:20" x14ac:dyDescent="0.25">
      <c r="N8873" s="514"/>
      <c r="R8873" s="293"/>
      <c r="S8873" s="316"/>
      <c r="T8873" s="355"/>
    </row>
    <row r="8874" spans="14:20" x14ac:dyDescent="0.25">
      <c r="N8874" s="514"/>
      <c r="R8874" s="293"/>
      <c r="S8874" s="316"/>
      <c r="T8874" s="355"/>
    </row>
    <row r="8875" spans="14:20" x14ac:dyDescent="0.25">
      <c r="N8875" s="514"/>
      <c r="R8875" s="293"/>
      <c r="S8875" s="316"/>
      <c r="T8875" s="355"/>
    </row>
    <row r="8876" spans="14:20" x14ac:dyDescent="0.25">
      <c r="N8876" s="514"/>
      <c r="R8876" s="293"/>
      <c r="S8876" s="316"/>
      <c r="T8876" s="355"/>
    </row>
    <row r="8877" spans="14:20" x14ac:dyDescent="0.25">
      <c r="N8877" s="514"/>
      <c r="R8877" s="293"/>
      <c r="S8877" s="316"/>
      <c r="T8877" s="355"/>
    </row>
    <row r="8878" spans="14:20" x14ac:dyDescent="0.25">
      <c r="N8878" s="514"/>
      <c r="R8878" s="293"/>
      <c r="S8878" s="316"/>
      <c r="T8878" s="355"/>
    </row>
    <row r="8879" spans="14:20" x14ac:dyDescent="0.25">
      <c r="N8879" s="514"/>
      <c r="R8879" s="293"/>
      <c r="S8879" s="316"/>
      <c r="T8879" s="355"/>
    </row>
    <row r="8880" spans="14:20" x14ac:dyDescent="0.25">
      <c r="N8880" s="514"/>
      <c r="R8880" s="293"/>
      <c r="S8880" s="316"/>
      <c r="T8880" s="355"/>
    </row>
    <row r="8881" spans="14:20" x14ac:dyDescent="0.25">
      <c r="N8881" s="514"/>
      <c r="R8881" s="293"/>
      <c r="S8881" s="316"/>
      <c r="T8881" s="355"/>
    </row>
    <row r="8882" spans="14:20" x14ac:dyDescent="0.25">
      <c r="N8882" s="514"/>
      <c r="R8882" s="293"/>
      <c r="S8882" s="316"/>
      <c r="T8882" s="355"/>
    </row>
    <row r="8883" spans="14:20" x14ac:dyDescent="0.25">
      <c r="N8883" s="514"/>
      <c r="R8883" s="293"/>
      <c r="S8883" s="316"/>
      <c r="T8883" s="355"/>
    </row>
    <row r="8884" spans="14:20" x14ac:dyDescent="0.25">
      <c r="N8884" s="514"/>
      <c r="R8884" s="293"/>
      <c r="S8884" s="316"/>
      <c r="T8884" s="355"/>
    </row>
    <row r="8885" spans="14:20" x14ac:dyDescent="0.25">
      <c r="N8885" s="514"/>
      <c r="R8885" s="293"/>
      <c r="S8885" s="316"/>
      <c r="T8885" s="355"/>
    </row>
    <row r="8886" spans="14:20" x14ac:dyDescent="0.25">
      <c r="N8886" s="514"/>
      <c r="R8886" s="293"/>
      <c r="S8886" s="316"/>
      <c r="T8886" s="355"/>
    </row>
    <row r="8887" spans="14:20" x14ac:dyDescent="0.25">
      <c r="N8887" s="514"/>
      <c r="R8887" s="293"/>
      <c r="S8887" s="316"/>
      <c r="T8887" s="355"/>
    </row>
    <row r="8888" spans="14:20" x14ac:dyDescent="0.25">
      <c r="N8888" s="514"/>
      <c r="R8888" s="293"/>
      <c r="S8888" s="316"/>
      <c r="T8888" s="355"/>
    </row>
    <row r="8889" spans="14:20" x14ac:dyDescent="0.25">
      <c r="N8889" s="514"/>
      <c r="R8889" s="293"/>
      <c r="S8889" s="316"/>
      <c r="T8889" s="355"/>
    </row>
    <row r="8890" spans="14:20" x14ac:dyDescent="0.25">
      <c r="N8890" s="514"/>
      <c r="R8890" s="293"/>
      <c r="S8890" s="316"/>
      <c r="T8890" s="355"/>
    </row>
    <row r="8891" spans="14:20" x14ac:dyDescent="0.25">
      <c r="N8891" s="514"/>
      <c r="R8891" s="293"/>
      <c r="S8891" s="316"/>
      <c r="T8891" s="355"/>
    </row>
    <row r="8892" spans="14:20" x14ac:dyDescent="0.25">
      <c r="N8892" s="514"/>
      <c r="R8892" s="293"/>
      <c r="S8892" s="316"/>
      <c r="T8892" s="355"/>
    </row>
    <row r="8893" spans="14:20" x14ac:dyDescent="0.25">
      <c r="N8893" s="514"/>
      <c r="R8893" s="293"/>
      <c r="S8893" s="316"/>
      <c r="T8893" s="355"/>
    </row>
    <row r="8894" spans="14:20" x14ac:dyDescent="0.25">
      <c r="N8894" s="514"/>
      <c r="R8894" s="293"/>
      <c r="S8894" s="316"/>
      <c r="T8894" s="355"/>
    </row>
    <row r="8895" spans="14:20" x14ac:dyDescent="0.25">
      <c r="N8895" s="514"/>
      <c r="R8895" s="293"/>
      <c r="S8895" s="316"/>
      <c r="T8895" s="355"/>
    </row>
    <row r="8896" spans="14:20" x14ac:dyDescent="0.25">
      <c r="N8896" s="514"/>
      <c r="R8896" s="293"/>
      <c r="S8896" s="316"/>
      <c r="T8896" s="355"/>
    </row>
    <row r="8897" spans="14:20" x14ac:dyDescent="0.25">
      <c r="N8897" s="514"/>
      <c r="R8897" s="293"/>
      <c r="S8897" s="316"/>
      <c r="T8897" s="355"/>
    </row>
    <row r="8898" spans="14:20" x14ac:dyDescent="0.25">
      <c r="N8898" s="514"/>
      <c r="R8898" s="293"/>
      <c r="S8898" s="316"/>
      <c r="T8898" s="355"/>
    </row>
    <row r="8899" spans="14:20" x14ac:dyDescent="0.25">
      <c r="N8899" s="514"/>
      <c r="R8899" s="293"/>
      <c r="S8899" s="316"/>
      <c r="T8899" s="355"/>
    </row>
    <row r="8900" spans="14:20" x14ac:dyDescent="0.25">
      <c r="N8900" s="514"/>
      <c r="R8900" s="293"/>
      <c r="S8900" s="316"/>
      <c r="T8900" s="355"/>
    </row>
    <row r="8901" spans="14:20" x14ac:dyDescent="0.25">
      <c r="N8901" s="514"/>
      <c r="R8901" s="293"/>
      <c r="S8901" s="316"/>
      <c r="T8901" s="355"/>
    </row>
    <row r="8902" spans="14:20" x14ac:dyDescent="0.25">
      <c r="N8902" s="514"/>
      <c r="R8902" s="293"/>
      <c r="S8902" s="316"/>
      <c r="T8902" s="355"/>
    </row>
    <row r="8903" spans="14:20" x14ac:dyDescent="0.25">
      <c r="N8903" s="514"/>
      <c r="R8903" s="293"/>
      <c r="S8903" s="316"/>
      <c r="T8903" s="355"/>
    </row>
    <row r="8904" spans="14:20" x14ac:dyDescent="0.25">
      <c r="N8904" s="514"/>
      <c r="R8904" s="293"/>
      <c r="S8904" s="316"/>
      <c r="T8904" s="355"/>
    </row>
    <row r="8905" spans="14:20" x14ac:dyDescent="0.25">
      <c r="N8905" s="514"/>
      <c r="R8905" s="293"/>
      <c r="S8905" s="316"/>
      <c r="T8905" s="355"/>
    </row>
    <row r="8906" spans="14:20" x14ac:dyDescent="0.25">
      <c r="N8906" s="514"/>
      <c r="R8906" s="293"/>
      <c r="S8906" s="316"/>
      <c r="T8906" s="355"/>
    </row>
    <row r="8907" spans="14:20" x14ac:dyDescent="0.25">
      <c r="N8907" s="514"/>
      <c r="R8907" s="293"/>
      <c r="S8907" s="316"/>
      <c r="T8907" s="355"/>
    </row>
    <row r="8908" spans="14:20" x14ac:dyDescent="0.25">
      <c r="N8908" s="514"/>
      <c r="R8908" s="293"/>
      <c r="S8908" s="316"/>
      <c r="T8908" s="355"/>
    </row>
    <row r="8909" spans="14:20" x14ac:dyDescent="0.25">
      <c r="N8909" s="514"/>
      <c r="R8909" s="293"/>
      <c r="S8909" s="316"/>
      <c r="T8909" s="355"/>
    </row>
    <row r="8910" spans="14:20" x14ac:dyDescent="0.25">
      <c r="N8910" s="514"/>
      <c r="R8910" s="293"/>
      <c r="S8910" s="316"/>
      <c r="T8910" s="355"/>
    </row>
    <row r="8911" spans="14:20" x14ac:dyDescent="0.25">
      <c r="N8911" s="514"/>
      <c r="R8911" s="293"/>
      <c r="S8911" s="316"/>
      <c r="T8911" s="355"/>
    </row>
    <row r="8912" spans="14:20" x14ac:dyDescent="0.25">
      <c r="N8912" s="514"/>
      <c r="R8912" s="293"/>
      <c r="S8912" s="316"/>
      <c r="T8912" s="355"/>
    </row>
    <row r="8913" spans="14:20" x14ac:dyDescent="0.25">
      <c r="N8913" s="514"/>
      <c r="R8913" s="293"/>
      <c r="S8913" s="316"/>
      <c r="T8913" s="355"/>
    </row>
    <row r="8914" spans="14:20" x14ac:dyDescent="0.25">
      <c r="N8914" s="514"/>
      <c r="R8914" s="293"/>
      <c r="S8914" s="316"/>
      <c r="T8914" s="355"/>
    </row>
    <row r="8915" spans="14:20" x14ac:dyDescent="0.25">
      <c r="N8915" s="514"/>
      <c r="R8915" s="293"/>
      <c r="S8915" s="316"/>
      <c r="T8915" s="355"/>
    </row>
    <row r="8916" spans="14:20" x14ac:dyDescent="0.25">
      <c r="N8916" s="514"/>
      <c r="R8916" s="293"/>
      <c r="S8916" s="316"/>
      <c r="T8916" s="355"/>
    </row>
    <row r="8917" spans="14:20" x14ac:dyDescent="0.25">
      <c r="N8917" s="514"/>
      <c r="R8917" s="293"/>
      <c r="S8917" s="316"/>
      <c r="T8917" s="355"/>
    </row>
    <row r="8918" spans="14:20" x14ac:dyDescent="0.25">
      <c r="N8918" s="514"/>
      <c r="R8918" s="293"/>
      <c r="S8918" s="316"/>
      <c r="T8918" s="355"/>
    </row>
    <row r="8919" spans="14:20" x14ac:dyDescent="0.25">
      <c r="N8919" s="514"/>
      <c r="R8919" s="293"/>
      <c r="S8919" s="316"/>
      <c r="T8919" s="355"/>
    </row>
    <row r="8920" spans="14:20" x14ac:dyDescent="0.25">
      <c r="N8920" s="514"/>
      <c r="R8920" s="293"/>
      <c r="S8920" s="316"/>
      <c r="T8920" s="355"/>
    </row>
    <row r="8921" spans="14:20" x14ac:dyDescent="0.25">
      <c r="N8921" s="514"/>
      <c r="R8921" s="293"/>
      <c r="S8921" s="316"/>
      <c r="T8921" s="355"/>
    </row>
    <row r="8922" spans="14:20" x14ac:dyDescent="0.25">
      <c r="N8922" s="514"/>
      <c r="R8922" s="293"/>
      <c r="S8922" s="316"/>
      <c r="T8922" s="355"/>
    </row>
    <row r="8923" spans="14:20" x14ac:dyDescent="0.25">
      <c r="N8923" s="514"/>
      <c r="R8923" s="293"/>
      <c r="S8923" s="316"/>
      <c r="T8923" s="355"/>
    </row>
    <row r="8924" spans="14:20" x14ac:dyDescent="0.25">
      <c r="N8924" s="514"/>
      <c r="R8924" s="293"/>
      <c r="S8924" s="316"/>
      <c r="T8924" s="355"/>
    </row>
    <row r="8925" spans="14:20" x14ac:dyDescent="0.25">
      <c r="N8925" s="514"/>
      <c r="R8925" s="293"/>
      <c r="S8925" s="316"/>
      <c r="T8925" s="355"/>
    </row>
    <row r="8926" spans="14:20" x14ac:dyDescent="0.25">
      <c r="N8926" s="514"/>
      <c r="R8926" s="293"/>
      <c r="S8926" s="316"/>
      <c r="T8926" s="355"/>
    </row>
    <row r="8927" spans="14:20" x14ac:dyDescent="0.25">
      <c r="N8927" s="514"/>
      <c r="R8927" s="293"/>
      <c r="S8927" s="316"/>
      <c r="T8927" s="355"/>
    </row>
    <row r="8928" spans="14:20" x14ac:dyDescent="0.25">
      <c r="N8928" s="514"/>
      <c r="R8928" s="293"/>
      <c r="S8928" s="316"/>
      <c r="T8928" s="355"/>
    </row>
    <row r="8929" spans="14:20" x14ac:dyDescent="0.25">
      <c r="N8929" s="514"/>
      <c r="R8929" s="293"/>
      <c r="S8929" s="316"/>
      <c r="T8929" s="355"/>
    </row>
    <row r="8930" spans="14:20" x14ac:dyDescent="0.25">
      <c r="N8930" s="514"/>
      <c r="R8930" s="293"/>
      <c r="S8930" s="316"/>
      <c r="T8930" s="355"/>
    </row>
    <row r="8931" spans="14:20" x14ac:dyDescent="0.25">
      <c r="N8931" s="514"/>
      <c r="R8931" s="293"/>
      <c r="S8931" s="316"/>
      <c r="T8931" s="355"/>
    </row>
    <row r="8932" spans="14:20" x14ac:dyDescent="0.25">
      <c r="N8932" s="514"/>
      <c r="R8932" s="293"/>
      <c r="S8932" s="316"/>
      <c r="T8932" s="355"/>
    </row>
    <row r="8933" spans="14:20" x14ac:dyDescent="0.25">
      <c r="N8933" s="514"/>
      <c r="R8933" s="293"/>
      <c r="S8933" s="316"/>
      <c r="T8933" s="355"/>
    </row>
    <row r="8934" spans="14:20" x14ac:dyDescent="0.25">
      <c r="N8934" s="514"/>
      <c r="R8934" s="293"/>
      <c r="S8934" s="316"/>
      <c r="T8934" s="355"/>
    </row>
    <row r="8935" spans="14:20" x14ac:dyDescent="0.25">
      <c r="N8935" s="514"/>
      <c r="R8935" s="293"/>
      <c r="S8935" s="316"/>
      <c r="T8935" s="355"/>
    </row>
    <row r="8936" spans="14:20" x14ac:dyDescent="0.25">
      <c r="N8936" s="514"/>
      <c r="R8936" s="293"/>
      <c r="S8936" s="316"/>
      <c r="T8936" s="355"/>
    </row>
    <row r="8937" spans="14:20" x14ac:dyDescent="0.25">
      <c r="N8937" s="514"/>
      <c r="R8937" s="293"/>
      <c r="S8937" s="316"/>
      <c r="T8937" s="355"/>
    </row>
    <row r="8938" spans="14:20" x14ac:dyDescent="0.25">
      <c r="N8938" s="514"/>
      <c r="R8938" s="293"/>
      <c r="S8938" s="316"/>
      <c r="T8938" s="355"/>
    </row>
    <row r="8939" spans="14:20" x14ac:dyDescent="0.25">
      <c r="N8939" s="514"/>
      <c r="R8939" s="293"/>
      <c r="S8939" s="316"/>
      <c r="T8939" s="355"/>
    </row>
    <row r="8940" spans="14:20" x14ac:dyDescent="0.25">
      <c r="N8940" s="514"/>
      <c r="R8940" s="293"/>
      <c r="S8940" s="316"/>
      <c r="T8940" s="355"/>
    </row>
    <row r="8941" spans="14:20" x14ac:dyDescent="0.25">
      <c r="N8941" s="514"/>
      <c r="R8941" s="293"/>
      <c r="S8941" s="316"/>
      <c r="T8941" s="355"/>
    </row>
    <row r="8942" spans="14:20" x14ac:dyDescent="0.25">
      <c r="N8942" s="514"/>
      <c r="R8942" s="293"/>
      <c r="S8942" s="316"/>
      <c r="T8942" s="355"/>
    </row>
    <row r="8943" spans="14:20" x14ac:dyDescent="0.25">
      <c r="N8943" s="514"/>
      <c r="R8943" s="293"/>
      <c r="S8943" s="316"/>
      <c r="T8943" s="355"/>
    </row>
    <row r="8944" spans="14:20" x14ac:dyDescent="0.25">
      <c r="N8944" s="514"/>
      <c r="R8944" s="293"/>
      <c r="S8944" s="316"/>
      <c r="T8944" s="355"/>
    </row>
    <row r="8945" spans="14:20" x14ac:dyDescent="0.25">
      <c r="N8945" s="514"/>
      <c r="R8945" s="293"/>
      <c r="S8945" s="316"/>
      <c r="T8945" s="355"/>
    </row>
    <row r="8946" spans="14:20" x14ac:dyDescent="0.25">
      <c r="N8946" s="514"/>
      <c r="R8946" s="293"/>
      <c r="S8946" s="316"/>
      <c r="T8946" s="355"/>
    </row>
    <row r="8947" spans="14:20" x14ac:dyDescent="0.25">
      <c r="N8947" s="514"/>
      <c r="R8947" s="293"/>
      <c r="S8947" s="316"/>
      <c r="T8947" s="355"/>
    </row>
    <row r="8948" spans="14:20" x14ac:dyDescent="0.25">
      <c r="N8948" s="514"/>
      <c r="R8948" s="293"/>
      <c r="S8948" s="316"/>
      <c r="T8948" s="355"/>
    </row>
    <row r="8949" spans="14:20" x14ac:dyDescent="0.25">
      <c r="N8949" s="514"/>
      <c r="R8949" s="293"/>
      <c r="S8949" s="316"/>
      <c r="T8949" s="355"/>
    </row>
    <row r="8950" spans="14:20" x14ac:dyDescent="0.25">
      <c r="N8950" s="514"/>
      <c r="R8950" s="293"/>
      <c r="S8950" s="316"/>
      <c r="T8950" s="355"/>
    </row>
    <row r="8951" spans="14:20" x14ac:dyDescent="0.25">
      <c r="N8951" s="514"/>
      <c r="R8951" s="293"/>
      <c r="S8951" s="316"/>
      <c r="T8951" s="355"/>
    </row>
    <row r="8952" spans="14:20" x14ac:dyDescent="0.25">
      <c r="N8952" s="514"/>
      <c r="R8952" s="293"/>
      <c r="S8952" s="316"/>
      <c r="T8952" s="355"/>
    </row>
    <row r="8953" spans="14:20" x14ac:dyDescent="0.25">
      <c r="N8953" s="514"/>
      <c r="R8953" s="293"/>
      <c r="S8953" s="316"/>
      <c r="T8953" s="355"/>
    </row>
    <row r="8954" spans="14:20" x14ac:dyDescent="0.25">
      <c r="N8954" s="514"/>
      <c r="R8954" s="293"/>
      <c r="S8954" s="316"/>
      <c r="T8954" s="355"/>
    </row>
    <row r="8955" spans="14:20" x14ac:dyDescent="0.25">
      <c r="N8955" s="514"/>
      <c r="R8955" s="293"/>
      <c r="S8955" s="316"/>
      <c r="T8955" s="355"/>
    </row>
    <row r="8956" spans="14:20" x14ac:dyDescent="0.25">
      <c r="N8956" s="514"/>
      <c r="R8956" s="293"/>
      <c r="S8956" s="316"/>
      <c r="T8956" s="355"/>
    </row>
    <row r="8957" spans="14:20" x14ac:dyDescent="0.25">
      <c r="N8957" s="514"/>
      <c r="R8957" s="293"/>
      <c r="S8957" s="316"/>
      <c r="T8957" s="355"/>
    </row>
    <row r="8958" spans="14:20" x14ac:dyDescent="0.25">
      <c r="N8958" s="514"/>
      <c r="R8958" s="293"/>
      <c r="S8958" s="316"/>
      <c r="T8958" s="355"/>
    </row>
    <row r="8959" spans="14:20" x14ac:dyDescent="0.25">
      <c r="N8959" s="514"/>
      <c r="R8959" s="293"/>
      <c r="S8959" s="316"/>
      <c r="T8959" s="355"/>
    </row>
    <row r="8960" spans="14:20" x14ac:dyDescent="0.25">
      <c r="N8960" s="514"/>
      <c r="R8960" s="293"/>
      <c r="S8960" s="316"/>
      <c r="T8960" s="355"/>
    </row>
    <row r="8961" spans="14:20" x14ac:dyDescent="0.25">
      <c r="N8961" s="514"/>
      <c r="R8961" s="293"/>
      <c r="S8961" s="316"/>
      <c r="T8961" s="355"/>
    </row>
    <row r="8962" spans="14:20" x14ac:dyDescent="0.25">
      <c r="N8962" s="514"/>
      <c r="R8962" s="293"/>
      <c r="S8962" s="316"/>
      <c r="T8962" s="355"/>
    </row>
    <row r="8963" spans="14:20" x14ac:dyDescent="0.25">
      <c r="N8963" s="514"/>
      <c r="R8963" s="293"/>
      <c r="S8963" s="316"/>
      <c r="T8963" s="355"/>
    </row>
    <row r="8964" spans="14:20" x14ac:dyDescent="0.25">
      <c r="N8964" s="514"/>
      <c r="R8964" s="293"/>
      <c r="S8964" s="316"/>
      <c r="T8964" s="355"/>
    </row>
    <row r="8965" spans="14:20" x14ac:dyDescent="0.25">
      <c r="N8965" s="514"/>
      <c r="R8965" s="293"/>
      <c r="S8965" s="316"/>
      <c r="T8965" s="355"/>
    </row>
    <row r="8966" spans="14:20" x14ac:dyDescent="0.25">
      <c r="N8966" s="514"/>
      <c r="R8966" s="293"/>
      <c r="S8966" s="316"/>
      <c r="T8966" s="355"/>
    </row>
    <row r="8967" spans="14:20" x14ac:dyDescent="0.25">
      <c r="N8967" s="514"/>
      <c r="R8967" s="293"/>
      <c r="S8967" s="316"/>
      <c r="T8967" s="355"/>
    </row>
    <row r="8968" spans="14:20" x14ac:dyDescent="0.25">
      <c r="N8968" s="514"/>
      <c r="R8968" s="293"/>
      <c r="S8968" s="316"/>
      <c r="T8968" s="355"/>
    </row>
    <row r="8969" spans="14:20" x14ac:dyDescent="0.25">
      <c r="N8969" s="514"/>
      <c r="R8969" s="293"/>
      <c r="S8969" s="316"/>
      <c r="T8969" s="355"/>
    </row>
    <row r="8970" spans="14:20" x14ac:dyDescent="0.25">
      <c r="N8970" s="514"/>
      <c r="R8970" s="293"/>
      <c r="S8970" s="316"/>
      <c r="T8970" s="355"/>
    </row>
    <row r="8971" spans="14:20" x14ac:dyDescent="0.25">
      <c r="N8971" s="514"/>
      <c r="R8971" s="293"/>
      <c r="S8971" s="316"/>
      <c r="T8971" s="355"/>
    </row>
    <row r="8972" spans="14:20" x14ac:dyDescent="0.25">
      <c r="N8972" s="514"/>
      <c r="R8972" s="293"/>
      <c r="S8972" s="316"/>
      <c r="T8972" s="355"/>
    </row>
    <row r="8973" spans="14:20" x14ac:dyDescent="0.25">
      <c r="N8973" s="514"/>
      <c r="R8973" s="293"/>
      <c r="S8973" s="316"/>
      <c r="T8973" s="355"/>
    </row>
    <row r="8974" spans="14:20" x14ac:dyDescent="0.25">
      <c r="N8974" s="514"/>
      <c r="R8974" s="293"/>
      <c r="S8974" s="316"/>
      <c r="T8974" s="355"/>
    </row>
    <row r="8975" spans="14:20" x14ac:dyDescent="0.25">
      <c r="N8975" s="514"/>
      <c r="R8975" s="293"/>
      <c r="S8975" s="316"/>
      <c r="T8975" s="355"/>
    </row>
    <row r="8976" spans="14:20" x14ac:dyDescent="0.25">
      <c r="N8976" s="514"/>
      <c r="R8976" s="293"/>
      <c r="S8976" s="316"/>
      <c r="T8976" s="355"/>
    </row>
    <row r="8977" spans="14:20" x14ac:dyDescent="0.25">
      <c r="N8977" s="514"/>
      <c r="R8977" s="293"/>
      <c r="S8977" s="316"/>
      <c r="T8977" s="355"/>
    </row>
    <row r="8978" spans="14:20" x14ac:dyDescent="0.25">
      <c r="N8978" s="514"/>
      <c r="R8978" s="293"/>
      <c r="S8978" s="316"/>
      <c r="T8978" s="355"/>
    </row>
    <row r="8979" spans="14:20" x14ac:dyDescent="0.25">
      <c r="N8979" s="514"/>
      <c r="R8979" s="293"/>
      <c r="S8979" s="316"/>
      <c r="T8979" s="355"/>
    </row>
    <row r="8980" spans="14:20" x14ac:dyDescent="0.25">
      <c r="N8980" s="514"/>
      <c r="R8980" s="293"/>
      <c r="S8980" s="316"/>
      <c r="T8980" s="355"/>
    </row>
    <row r="8981" spans="14:20" x14ac:dyDescent="0.25">
      <c r="N8981" s="514"/>
      <c r="R8981" s="293"/>
      <c r="S8981" s="316"/>
      <c r="T8981" s="355"/>
    </row>
    <row r="8982" spans="14:20" x14ac:dyDescent="0.25">
      <c r="N8982" s="514"/>
      <c r="R8982" s="293"/>
      <c r="S8982" s="316"/>
      <c r="T8982" s="355"/>
    </row>
    <row r="8983" spans="14:20" x14ac:dyDescent="0.25">
      <c r="N8983" s="514"/>
      <c r="R8983" s="293"/>
      <c r="S8983" s="316"/>
      <c r="T8983" s="355"/>
    </row>
    <row r="8984" spans="14:20" x14ac:dyDescent="0.25">
      <c r="N8984" s="514"/>
      <c r="R8984" s="293"/>
      <c r="S8984" s="316"/>
      <c r="T8984" s="355"/>
    </row>
    <row r="8985" spans="14:20" x14ac:dyDescent="0.25">
      <c r="N8985" s="514"/>
      <c r="R8985" s="293"/>
      <c r="S8985" s="316"/>
      <c r="T8985" s="355"/>
    </row>
    <row r="8986" spans="14:20" x14ac:dyDescent="0.25">
      <c r="N8986" s="514"/>
      <c r="R8986" s="293"/>
      <c r="S8986" s="316"/>
      <c r="T8986" s="355"/>
    </row>
    <row r="8987" spans="14:20" x14ac:dyDescent="0.25">
      <c r="N8987" s="514"/>
      <c r="R8987" s="293"/>
      <c r="S8987" s="316"/>
      <c r="T8987" s="355"/>
    </row>
    <row r="8988" spans="14:20" x14ac:dyDescent="0.25">
      <c r="N8988" s="514"/>
      <c r="R8988" s="293"/>
      <c r="S8988" s="316"/>
      <c r="T8988" s="355"/>
    </row>
    <row r="8989" spans="14:20" x14ac:dyDescent="0.25">
      <c r="N8989" s="514"/>
      <c r="R8989" s="293"/>
      <c r="S8989" s="316"/>
      <c r="T8989" s="355"/>
    </row>
    <row r="8990" spans="14:20" x14ac:dyDescent="0.25">
      <c r="N8990" s="514"/>
      <c r="R8990" s="293"/>
      <c r="S8990" s="316"/>
      <c r="T8990" s="355"/>
    </row>
    <row r="8991" spans="14:20" x14ac:dyDescent="0.25">
      <c r="N8991" s="514"/>
      <c r="R8991" s="293"/>
      <c r="S8991" s="316"/>
      <c r="T8991" s="355"/>
    </row>
    <row r="8992" spans="14:20" x14ac:dyDescent="0.25">
      <c r="N8992" s="514"/>
      <c r="R8992" s="293"/>
      <c r="S8992" s="316"/>
      <c r="T8992" s="355"/>
    </row>
    <row r="8993" spans="14:20" x14ac:dyDescent="0.25">
      <c r="N8993" s="514"/>
      <c r="R8993" s="293"/>
      <c r="S8993" s="316"/>
      <c r="T8993" s="355"/>
    </row>
    <row r="8994" spans="14:20" x14ac:dyDescent="0.25">
      <c r="N8994" s="514"/>
      <c r="R8994" s="293"/>
      <c r="S8994" s="316"/>
      <c r="T8994" s="355"/>
    </row>
    <row r="8995" spans="14:20" x14ac:dyDescent="0.25">
      <c r="N8995" s="514"/>
      <c r="R8995" s="293"/>
      <c r="S8995" s="316"/>
      <c r="T8995" s="355"/>
    </row>
    <row r="8996" spans="14:20" x14ac:dyDescent="0.25">
      <c r="N8996" s="514"/>
      <c r="R8996" s="293"/>
      <c r="S8996" s="316"/>
      <c r="T8996" s="355"/>
    </row>
    <row r="8997" spans="14:20" x14ac:dyDescent="0.25">
      <c r="N8997" s="514"/>
      <c r="R8997" s="293"/>
      <c r="S8997" s="316"/>
      <c r="T8997" s="355"/>
    </row>
    <row r="8998" spans="14:20" x14ac:dyDescent="0.25">
      <c r="N8998" s="514"/>
      <c r="R8998" s="293"/>
      <c r="S8998" s="316"/>
      <c r="T8998" s="355"/>
    </row>
    <row r="8999" spans="14:20" x14ac:dyDescent="0.25">
      <c r="N8999" s="514"/>
      <c r="R8999" s="293"/>
      <c r="S8999" s="316"/>
      <c r="T8999" s="355"/>
    </row>
    <row r="9000" spans="14:20" x14ac:dyDescent="0.25">
      <c r="N9000" s="514"/>
      <c r="R9000" s="293"/>
      <c r="S9000" s="316"/>
      <c r="T9000" s="355"/>
    </row>
    <row r="9001" spans="14:20" x14ac:dyDescent="0.25">
      <c r="N9001" s="514"/>
      <c r="R9001" s="293"/>
      <c r="S9001" s="316"/>
      <c r="T9001" s="355"/>
    </row>
    <row r="9002" spans="14:20" x14ac:dyDescent="0.25">
      <c r="N9002" s="514"/>
      <c r="R9002" s="293"/>
      <c r="S9002" s="316"/>
      <c r="T9002" s="355"/>
    </row>
    <row r="9003" spans="14:20" x14ac:dyDescent="0.25">
      <c r="N9003" s="514"/>
      <c r="R9003" s="293"/>
      <c r="S9003" s="316"/>
      <c r="T9003" s="355"/>
    </row>
    <row r="9004" spans="14:20" x14ac:dyDescent="0.25">
      <c r="N9004" s="514"/>
      <c r="R9004" s="293"/>
      <c r="S9004" s="316"/>
      <c r="T9004" s="355"/>
    </row>
    <row r="9005" spans="14:20" x14ac:dyDescent="0.25">
      <c r="N9005" s="514"/>
      <c r="R9005" s="293"/>
      <c r="S9005" s="316"/>
      <c r="T9005" s="355"/>
    </row>
    <row r="9006" spans="14:20" x14ac:dyDescent="0.25">
      <c r="N9006" s="514"/>
      <c r="R9006" s="293"/>
      <c r="S9006" s="316"/>
      <c r="T9006" s="355"/>
    </row>
    <row r="9007" spans="14:20" x14ac:dyDescent="0.25">
      <c r="N9007" s="514"/>
      <c r="R9007" s="293"/>
      <c r="S9007" s="316"/>
      <c r="T9007" s="355"/>
    </row>
    <row r="9008" spans="14:20" x14ac:dyDescent="0.25">
      <c r="N9008" s="514"/>
      <c r="R9008" s="293"/>
      <c r="S9008" s="316"/>
      <c r="T9008" s="355"/>
    </row>
    <row r="9009" spans="14:20" x14ac:dyDescent="0.25">
      <c r="N9009" s="514"/>
      <c r="R9009" s="293"/>
      <c r="S9009" s="316"/>
      <c r="T9009" s="355"/>
    </row>
    <row r="9010" spans="14:20" x14ac:dyDescent="0.25">
      <c r="N9010" s="514"/>
      <c r="R9010" s="293"/>
      <c r="S9010" s="316"/>
      <c r="T9010" s="355"/>
    </row>
    <row r="9011" spans="14:20" x14ac:dyDescent="0.25">
      <c r="N9011" s="514"/>
      <c r="R9011" s="293"/>
      <c r="S9011" s="316"/>
      <c r="T9011" s="355"/>
    </row>
    <row r="9012" spans="14:20" x14ac:dyDescent="0.25">
      <c r="N9012" s="514"/>
      <c r="R9012" s="293"/>
      <c r="S9012" s="316"/>
      <c r="T9012" s="355"/>
    </row>
    <row r="9013" spans="14:20" x14ac:dyDescent="0.25">
      <c r="N9013" s="514"/>
      <c r="R9013" s="293"/>
      <c r="S9013" s="316"/>
      <c r="T9013" s="355"/>
    </row>
    <row r="9014" spans="14:20" x14ac:dyDescent="0.25">
      <c r="N9014" s="514"/>
      <c r="R9014" s="293"/>
      <c r="S9014" s="316"/>
      <c r="T9014" s="355"/>
    </row>
    <row r="9015" spans="14:20" x14ac:dyDescent="0.25">
      <c r="N9015" s="514"/>
      <c r="R9015" s="293"/>
      <c r="S9015" s="316"/>
      <c r="T9015" s="355"/>
    </row>
    <row r="9016" spans="14:20" x14ac:dyDescent="0.25">
      <c r="N9016" s="514"/>
      <c r="R9016" s="293"/>
      <c r="S9016" s="316"/>
      <c r="T9016" s="355"/>
    </row>
    <row r="9017" spans="14:20" x14ac:dyDescent="0.25">
      <c r="N9017" s="514"/>
      <c r="R9017" s="293"/>
      <c r="S9017" s="316"/>
      <c r="T9017" s="355"/>
    </row>
    <row r="9018" spans="14:20" x14ac:dyDescent="0.25">
      <c r="N9018" s="514"/>
      <c r="R9018" s="293"/>
      <c r="S9018" s="316"/>
      <c r="T9018" s="355"/>
    </row>
    <row r="9019" spans="14:20" x14ac:dyDescent="0.25">
      <c r="N9019" s="514"/>
      <c r="R9019" s="293"/>
      <c r="S9019" s="316"/>
      <c r="T9019" s="355"/>
    </row>
    <row r="9020" spans="14:20" x14ac:dyDescent="0.25">
      <c r="N9020" s="514"/>
      <c r="R9020" s="293"/>
      <c r="S9020" s="316"/>
      <c r="T9020" s="355"/>
    </row>
    <row r="9021" spans="14:20" x14ac:dyDescent="0.25">
      <c r="N9021" s="514"/>
      <c r="R9021" s="293"/>
      <c r="S9021" s="316"/>
      <c r="T9021" s="355"/>
    </row>
    <row r="9022" spans="14:20" x14ac:dyDescent="0.25">
      <c r="N9022" s="514"/>
      <c r="R9022" s="293"/>
      <c r="S9022" s="316"/>
      <c r="T9022" s="355"/>
    </row>
    <row r="9023" spans="14:20" x14ac:dyDescent="0.25">
      <c r="N9023" s="514"/>
      <c r="R9023" s="293"/>
      <c r="S9023" s="316"/>
      <c r="T9023" s="355"/>
    </row>
    <row r="9024" spans="14:20" x14ac:dyDescent="0.25">
      <c r="N9024" s="514"/>
      <c r="R9024" s="293"/>
      <c r="S9024" s="316"/>
      <c r="T9024" s="355"/>
    </row>
    <row r="9025" spans="14:20" x14ac:dyDescent="0.25">
      <c r="N9025" s="514"/>
      <c r="R9025" s="293"/>
      <c r="S9025" s="316"/>
      <c r="T9025" s="355"/>
    </row>
    <row r="9026" spans="14:20" x14ac:dyDescent="0.25">
      <c r="N9026" s="514"/>
      <c r="R9026" s="293"/>
      <c r="S9026" s="316"/>
      <c r="T9026" s="355"/>
    </row>
    <row r="9027" spans="14:20" x14ac:dyDescent="0.25">
      <c r="N9027" s="514"/>
      <c r="R9027" s="293"/>
      <c r="S9027" s="316"/>
      <c r="T9027" s="355"/>
    </row>
    <row r="9028" spans="14:20" x14ac:dyDescent="0.25">
      <c r="N9028" s="514"/>
      <c r="R9028" s="293"/>
      <c r="S9028" s="316"/>
      <c r="T9028" s="355"/>
    </row>
    <row r="9029" spans="14:20" x14ac:dyDescent="0.25">
      <c r="N9029" s="514"/>
      <c r="R9029" s="293"/>
      <c r="S9029" s="316"/>
      <c r="T9029" s="355"/>
    </row>
    <row r="9030" spans="14:20" x14ac:dyDescent="0.25">
      <c r="N9030" s="514"/>
      <c r="R9030" s="293"/>
      <c r="S9030" s="316"/>
      <c r="T9030" s="355"/>
    </row>
    <row r="9031" spans="14:20" x14ac:dyDescent="0.25">
      <c r="N9031" s="514"/>
      <c r="R9031" s="293"/>
      <c r="S9031" s="316"/>
      <c r="T9031" s="355"/>
    </row>
    <row r="9032" spans="14:20" x14ac:dyDescent="0.25">
      <c r="N9032" s="514"/>
      <c r="R9032" s="293"/>
      <c r="S9032" s="316"/>
      <c r="T9032" s="355"/>
    </row>
    <row r="9033" spans="14:20" x14ac:dyDescent="0.25">
      <c r="N9033" s="514"/>
      <c r="R9033" s="293"/>
      <c r="S9033" s="316"/>
      <c r="T9033" s="355"/>
    </row>
    <row r="9034" spans="14:20" x14ac:dyDescent="0.25">
      <c r="N9034" s="514"/>
      <c r="R9034" s="293"/>
      <c r="S9034" s="316"/>
      <c r="T9034" s="355"/>
    </row>
    <row r="9035" spans="14:20" x14ac:dyDescent="0.25">
      <c r="N9035" s="514"/>
      <c r="R9035" s="293"/>
      <c r="S9035" s="316"/>
      <c r="T9035" s="355"/>
    </row>
    <row r="9036" spans="14:20" x14ac:dyDescent="0.25">
      <c r="N9036" s="514"/>
      <c r="R9036" s="293"/>
      <c r="S9036" s="316"/>
      <c r="T9036" s="355"/>
    </row>
    <row r="9037" spans="14:20" x14ac:dyDescent="0.25">
      <c r="N9037" s="514"/>
      <c r="R9037" s="293"/>
      <c r="S9037" s="316"/>
      <c r="T9037" s="355"/>
    </row>
    <row r="9038" spans="14:20" x14ac:dyDescent="0.25">
      <c r="N9038" s="514"/>
      <c r="R9038" s="293"/>
      <c r="S9038" s="316"/>
      <c r="T9038" s="355"/>
    </row>
    <row r="9039" spans="14:20" x14ac:dyDescent="0.25">
      <c r="N9039" s="514"/>
      <c r="R9039" s="293"/>
      <c r="S9039" s="316"/>
      <c r="T9039" s="355"/>
    </row>
    <row r="9040" spans="14:20" x14ac:dyDescent="0.25">
      <c r="N9040" s="514"/>
      <c r="R9040" s="293"/>
      <c r="S9040" s="316"/>
      <c r="T9040" s="355"/>
    </row>
    <row r="9041" spans="14:20" x14ac:dyDescent="0.25">
      <c r="N9041" s="514"/>
      <c r="R9041" s="293"/>
      <c r="S9041" s="316"/>
      <c r="T9041" s="355"/>
    </row>
    <row r="9042" spans="14:20" x14ac:dyDescent="0.25">
      <c r="N9042" s="514"/>
      <c r="R9042" s="293"/>
      <c r="S9042" s="316"/>
      <c r="T9042" s="355"/>
    </row>
    <row r="9043" spans="14:20" x14ac:dyDescent="0.25">
      <c r="N9043" s="514"/>
      <c r="R9043" s="293"/>
      <c r="S9043" s="316"/>
      <c r="T9043" s="355"/>
    </row>
    <row r="9044" spans="14:20" x14ac:dyDescent="0.25">
      <c r="N9044" s="514"/>
      <c r="R9044" s="293"/>
      <c r="S9044" s="316"/>
      <c r="T9044" s="355"/>
    </row>
    <row r="9045" spans="14:20" x14ac:dyDescent="0.25">
      <c r="N9045" s="514"/>
      <c r="R9045" s="293"/>
      <c r="S9045" s="316"/>
      <c r="T9045" s="355"/>
    </row>
    <row r="9046" spans="14:20" x14ac:dyDescent="0.25">
      <c r="N9046" s="514"/>
      <c r="R9046" s="293"/>
      <c r="S9046" s="316"/>
      <c r="T9046" s="355"/>
    </row>
    <row r="9047" spans="14:20" x14ac:dyDescent="0.25">
      <c r="N9047" s="514"/>
      <c r="R9047" s="293"/>
      <c r="S9047" s="316"/>
      <c r="T9047" s="355"/>
    </row>
    <row r="9048" spans="14:20" x14ac:dyDescent="0.25">
      <c r="N9048" s="514"/>
      <c r="R9048" s="293"/>
      <c r="S9048" s="316"/>
      <c r="T9048" s="355"/>
    </row>
    <row r="9049" spans="14:20" x14ac:dyDescent="0.25">
      <c r="N9049" s="514"/>
      <c r="R9049" s="293"/>
      <c r="S9049" s="316"/>
      <c r="T9049" s="355"/>
    </row>
    <row r="9050" spans="14:20" x14ac:dyDescent="0.25">
      <c r="N9050" s="514"/>
      <c r="R9050" s="293"/>
      <c r="S9050" s="316"/>
      <c r="T9050" s="355"/>
    </row>
    <row r="9051" spans="14:20" x14ac:dyDescent="0.25">
      <c r="N9051" s="514"/>
      <c r="R9051" s="293"/>
      <c r="S9051" s="316"/>
      <c r="T9051" s="355"/>
    </row>
    <row r="9052" spans="14:20" x14ac:dyDescent="0.25">
      <c r="N9052" s="514"/>
      <c r="R9052" s="293"/>
      <c r="S9052" s="316"/>
      <c r="T9052" s="355"/>
    </row>
    <row r="9053" spans="14:20" x14ac:dyDescent="0.25">
      <c r="N9053" s="514"/>
      <c r="R9053" s="293"/>
      <c r="S9053" s="316"/>
      <c r="T9053" s="355"/>
    </row>
    <row r="9054" spans="14:20" x14ac:dyDescent="0.25">
      <c r="N9054" s="514"/>
      <c r="R9054" s="293"/>
      <c r="S9054" s="316"/>
      <c r="T9054" s="355"/>
    </row>
    <row r="9055" spans="14:20" x14ac:dyDescent="0.25">
      <c r="N9055" s="514"/>
      <c r="R9055" s="293"/>
      <c r="S9055" s="316"/>
      <c r="T9055" s="355"/>
    </row>
    <row r="9056" spans="14:20" x14ac:dyDescent="0.25">
      <c r="N9056" s="514"/>
      <c r="R9056" s="293"/>
      <c r="S9056" s="316"/>
      <c r="T9056" s="355"/>
    </row>
    <row r="9057" spans="14:20" x14ac:dyDescent="0.25">
      <c r="N9057" s="514"/>
      <c r="R9057" s="293"/>
      <c r="S9057" s="316"/>
      <c r="T9057" s="355"/>
    </row>
    <row r="9058" spans="14:20" x14ac:dyDescent="0.25">
      <c r="N9058" s="514"/>
      <c r="R9058" s="293"/>
      <c r="S9058" s="316"/>
      <c r="T9058" s="355"/>
    </row>
    <row r="9059" spans="14:20" x14ac:dyDescent="0.25">
      <c r="N9059" s="514"/>
      <c r="R9059" s="293"/>
      <c r="S9059" s="316"/>
      <c r="T9059" s="355"/>
    </row>
    <row r="9060" spans="14:20" x14ac:dyDescent="0.25">
      <c r="N9060" s="514"/>
      <c r="R9060" s="293"/>
      <c r="S9060" s="316"/>
      <c r="T9060" s="355"/>
    </row>
    <row r="9061" spans="14:20" x14ac:dyDescent="0.25">
      <c r="N9061" s="514"/>
      <c r="R9061" s="293"/>
      <c r="S9061" s="316"/>
      <c r="T9061" s="355"/>
    </row>
    <row r="9062" spans="14:20" x14ac:dyDescent="0.25">
      <c r="N9062" s="514"/>
      <c r="R9062" s="293"/>
      <c r="S9062" s="316"/>
      <c r="T9062" s="355"/>
    </row>
    <row r="9063" spans="14:20" x14ac:dyDescent="0.25">
      <c r="N9063" s="514"/>
      <c r="R9063" s="293"/>
      <c r="S9063" s="316"/>
      <c r="T9063" s="355"/>
    </row>
    <row r="9064" spans="14:20" x14ac:dyDescent="0.25">
      <c r="N9064" s="514"/>
      <c r="R9064" s="293"/>
      <c r="S9064" s="316"/>
      <c r="T9064" s="355"/>
    </row>
    <row r="9065" spans="14:20" x14ac:dyDescent="0.25">
      <c r="N9065" s="514"/>
      <c r="R9065" s="293"/>
      <c r="S9065" s="316"/>
      <c r="T9065" s="355"/>
    </row>
    <row r="9066" spans="14:20" x14ac:dyDescent="0.25">
      <c r="N9066" s="514"/>
      <c r="R9066" s="293"/>
      <c r="S9066" s="316"/>
      <c r="T9066" s="355"/>
    </row>
    <row r="9067" spans="14:20" x14ac:dyDescent="0.25">
      <c r="N9067" s="514"/>
      <c r="R9067" s="293"/>
      <c r="S9067" s="316"/>
      <c r="T9067" s="355"/>
    </row>
    <row r="9068" spans="14:20" x14ac:dyDescent="0.25">
      <c r="N9068" s="514"/>
      <c r="R9068" s="293"/>
      <c r="S9068" s="316"/>
      <c r="T9068" s="355"/>
    </row>
    <row r="9069" spans="14:20" x14ac:dyDescent="0.25">
      <c r="N9069" s="514"/>
      <c r="R9069" s="293"/>
      <c r="S9069" s="316"/>
      <c r="T9069" s="355"/>
    </row>
    <row r="9070" spans="14:20" x14ac:dyDescent="0.25">
      <c r="N9070" s="514"/>
      <c r="R9070" s="293"/>
      <c r="S9070" s="316"/>
      <c r="T9070" s="355"/>
    </row>
    <row r="9071" spans="14:20" x14ac:dyDescent="0.25">
      <c r="N9071" s="514"/>
      <c r="R9071" s="293"/>
      <c r="S9071" s="316"/>
      <c r="T9071" s="355"/>
    </row>
    <row r="9072" spans="14:20" x14ac:dyDescent="0.25">
      <c r="N9072" s="514"/>
      <c r="R9072" s="293"/>
      <c r="S9072" s="316"/>
      <c r="T9072" s="355"/>
    </row>
    <row r="9073" spans="14:20" x14ac:dyDescent="0.25">
      <c r="N9073" s="514"/>
      <c r="R9073" s="293"/>
      <c r="S9073" s="316"/>
      <c r="T9073" s="355"/>
    </row>
    <row r="9074" spans="14:20" x14ac:dyDescent="0.25">
      <c r="N9074" s="514"/>
      <c r="R9074" s="293"/>
      <c r="S9074" s="316"/>
      <c r="T9074" s="355"/>
    </row>
    <row r="9075" spans="14:20" x14ac:dyDescent="0.25">
      <c r="N9075" s="514"/>
      <c r="R9075" s="293"/>
      <c r="S9075" s="316"/>
      <c r="T9075" s="355"/>
    </row>
    <row r="9076" spans="14:20" x14ac:dyDescent="0.25">
      <c r="N9076" s="514"/>
      <c r="R9076" s="293"/>
      <c r="S9076" s="316"/>
      <c r="T9076" s="355"/>
    </row>
    <row r="9077" spans="14:20" x14ac:dyDescent="0.25">
      <c r="N9077" s="514"/>
      <c r="R9077" s="293"/>
      <c r="S9077" s="316"/>
      <c r="T9077" s="355"/>
    </row>
    <row r="9078" spans="14:20" x14ac:dyDescent="0.25">
      <c r="N9078" s="514"/>
      <c r="R9078" s="293"/>
      <c r="S9078" s="316"/>
      <c r="T9078" s="355"/>
    </row>
    <row r="9079" spans="14:20" x14ac:dyDescent="0.25">
      <c r="N9079" s="514"/>
      <c r="R9079" s="293"/>
      <c r="S9079" s="316"/>
      <c r="T9079" s="355"/>
    </row>
    <row r="9080" spans="14:20" x14ac:dyDescent="0.25">
      <c r="N9080" s="514"/>
      <c r="R9080" s="293"/>
      <c r="S9080" s="316"/>
      <c r="T9080" s="355"/>
    </row>
    <row r="9081" spans="14:20" x14ac:dyDescent="0.25">
      <c r="N9081" s="514"/>
      <c r="R9081" s="293"/>
      <c r="S9081" s="316"/>
      <c r="T9081" s="355"/>
    </row>
    <row r="9082" spans="14:20" x14ac:dyDescent="0.25">
      <c r="N9082" s="514"/>
      <c r="R9082" s="293"/>
      <c r="S9082" s="316"/>
      <c r="T9082" s="355"/>
    </row>
    <row r="9083" spans="14:20" x14ac:dyDescent="0.25">
      <c r="N9083" s="514"/>
      <c r="R9083" s="293"/>
      <c r="S9083" s="316"/>
      <c r="T9083" s="355"/>
    </row>
    <row r="9084" spans="14:20" x14ac:dyDescent="0.25">
      <c r="N9084" s="514"/>
      <c r="R9084" s="293"/>
      <c r="S9084" s="316"/>
      <c r="T9084" s="355"/>
    </row>
    <row r="9085" spans="14:20" x14ac:dyDescent="0.25">
      <c r="N9085" s="514"/>
      <c r="R9085" s="293"/>
      <c r="S9085" s="316"/>
      <c r="T9085" s="355"/>
    </row>
    <row r="9086" spans="14:20" x14ac:dyDescent="0.25">
      <c r="N9086" s="514"/>
      <c r="R9086" s="293"/>
      <c r="S9086" s="316"/>
      <c r="T9086" s="355"/>
    </row>
    <row r="9087" spans="14:20" x14ac:dyDescent="0.25">
      <c r="N9087" s="514"/>
      <c r="R9087" s="293"/>
      <c r="S9087" s="316"/>
      <c r="T9087" s="355"/>
    </row>
    <row r="9088" spans="14:20" x14ac:dyDescent="0.25">
      <c r="N9088" s="514"/>
      <c r="R9088" s="293"/>
      <c r="S9088" s="316"/>
      <c r="T9088" s="355"/>
    </row>
    <row r="9089" spans="14:20" x14ac:dyDescent="0.25">
      <c r="N9089" s="514"/>
      <c r="R9089" s="293"/>
      <c r="S9089" s="316"/>
      <c r="T9089" s="355"/>
    </row>
    <row r="9090" spans="14:20" x14ac:dyDescent="0.25">
      <c r="N9090" s="514"/>
      <c r="R9090" s="293"/>
      <c r="S9090" s="316"/>
      <c r="T9090" s="355"/>
    </row>
    <row r="9091" spans="14:20" x14ac:dyDescent="0.25">
      <c r="N9091" s="514"/>
      <c r="R9091" s="293"/>
      <c r="S9091" s="316"/>
      <c r="T9091" s="355"/>
    </row>
    <row r="9092" spans="14:20" x14ac:dyDescent="0.25">
      <c r="N9092" s="514"/>
      <c r="R9092" s="293"/>
      <c r="S9092" s="316"/>
      <c r="T9092" s="355"/>
    </row>
    <row r="9093" spans="14:20" x14ac:dyDescent="0.25">
      <c r="N9093" s="514"/>
      <c r="R9093" s="293"/>
      <c r="S9093" s="316"/>
      <c r="T9093" s="355"/>
    </row>
    <row r="9094" spans="14:20" x14ac:dyDescent="0.25">
      <c r="N9094" s="514"/>
      <c r="R9094" s="293"/>
      <c r="S9094" s="316"/>
      <c r="T9094" s="355"/>
    </row>
    <row r="9095" spans="14:20" x14ac:dyDescent="0.25">
      <c r="N9095" s="514"/>
      <c r="R9095" s="293"/>
      <c r="S9095" s="316"/>
      <c r="T9095" s="355"/>
    </row>
    <row r="9096" spans="14:20" x14ac:dyDescent="0.25">
      <c r="N9096" s="514"/>
      <c r="R9096" s="293"/>
      <c r="S9096" s="316"/>
      <c r="T9096" s="355"/>
    </row>
    <row r="9097" spans="14:20" x14ac:dyDescent="0.25">
      <c r="N9097" s="514"/>
      <c r="R9097" s="293"/>
      <c r="S9097" s="316"/>
      <c r="T9097" s="355"/>
    </row>
    <row r="9098" spans="14:20" x14ac:dyDescent="0.25">
      <c r="N9098" s="514"/>
      <c r="R9098" s="293"/>
      <c r="S9098" s="316"/>
      <c r="T9098" s="355"/>
    </row>
    <row r="9099" spans="14:20" x14ac:dyDescent="0.25">
      <c r="N9099" s="514"/>
      <c r="R9099" s="293"/>
      <c r="S9099" s="316"/>
      <c r="T9099" s="355"/>
    </row>
    <row r="9100" spans="14:20" x14ac:dyDescent="0.25">
      <c r="N9100" s="514"/>
      <c r="R9100" s="293"/>
      <c r="S9100" s="316"/>
      <c r="T9100" s="355"/>
    </row>
    <row r="9101" spans="14:20" x14ac:dyDescent="0.25">
      <c r="N9101" s="514"/>
      <c r="R9101" s="293"/>
      <c r="S9101" s="316"/>
      <c r="T9101" s="355"/>
    </row>
    <row r="9102" spans="14:20" x14ac:dyDescent="0.25">
      <c r="N9102" s="514"/>
      <c r="R9102" s="293"/>
      <c r="S9102" s="316"/>
      <c r="T9102" s="355"/>
    </row>
    <row r="9103" spans="14:20" x14ac:dyDescent="0.25">
      <c r="N9103" s="514"/>
      <c r="R9103" s="293"/>
      <c r="S9103" s="316"/>
      <c r="T9103" s="355"/>
    </row>
    <row r="9104" spans="14:20" x14ac:dyDescent="0.25">
      <c r="N9104" s="514"/>
      <c r="R9104" s="293"/>
      <c r="S9104" s="316"/>
      <c r="T9104" s="355"/>
    </row>
    <row r="9105" spans="14:20" x14ac:dyDescent="0.25">
      <c r="N9105" s="514"/>
      <c r="R9105" s="293"/>
      <c r="S9105" s="316"/>
      <c r="T9105" s="355"/>
    </row>
    <row r="9106" spans="14:20" x14ac:dyDescent="0.25">
      <c r="N9106" s="514"/>
      <c r="R9106" s="293"/>
      <c r="S9106" s="316"/>
      <c r="T9106" s="355"/>
    </row>
    <row r="9107" spans="14:20" x14ac:dyDescent="0.25">
      <c r="N9107" s="514"/>
      <c r="R9107" s="293"/>
      <c r="S9107" s="316"/>
      <c r="T9107" s="355"/>
    </row>
    <row r="9108" spans="14:20" x14ac:dyDescent="0.25">
      <c r="N9108" s="514"/>
      <c r="R9108" s="293"/>
      <c r="S9108" s="316"/>
      <c r="T9108" s="355"/>
    </row>
    <row r="9109" spans="14:20" x14ac:dyDescent="0.25">
      <c r="N9109" s="514"/>
      <c r="R9109" s="293"/>
      <c r="S9109" s="316"/>
      <c r="T9109" s="355"/>
    </row>
    <row r="9110" spans="14:20" x14ac:dyDescent="0.25">
      <c r="N9110" s="514"/>
      <c r="R9110" s="293"/>
      <c r="S9110" s="316"/>
      <c r="T9110" s="355"/>
    </row>
    <row r="9111" spans="14:20" x14ac:dyDescent="0.25">
      <c r="N9111" s="514"/>
      <c r="R9111" s="293"/>
      <c r="S9111" s="316"/>
      <c r="T9111" s="355"/>
    </row>
    <row r="9112" spans="14:20" x14ac:dyDescent="0.25">
      <c r="N9112" s="514"/>
      <c r="R9112" s="293"/>
      <c r="S9112" s="316"/>
      <c r="T9112" s="355"/>
    </row>
    <row r="9113" spans="14:20" x14ac:dyDescent="0.25">
      <c r="N9113" s="514"/>
      <c r="R9113" s="293"/>
      <c r="S9113" s="316"/>
      <c r="T9113" s="355"/>
    </row>
    <row r="9114" spans="14:20" x14ac:dyDescent="0.25">
      <c r="N9114" s="514"/>
      <c r="R9114" s="293"/>
      <c r="S9114" s="316"/>
      <c r="T9114" s="355"/>
    </row>
    <row r="9115" spans="14:20" x14ac:dyDescent="0.25">
      <c r="N9115" s="514"/>
      <c r="R9115" s="293"/>
      <c r="S9115" s="316"/>
      <c r="T9115" s="355"/>
    </row>
    <row r="9116" spans="14:20" x14ac:dyDescent="0.25">
      <c r="N9116" s="514"/>
      <c r="R9116" s="293"/>
      <c r="S9116" s="316"/>
      <c r="T9116" s="355"/>
    </row>
    <row r="9117" spans="14:20" x14ac:dyDescent="0.25">
      <c r="N9117" s="514"/>
      <c r="R9117" s="293"/>
      <c r="S9117" s="316"/>
      <c r="T9117" s="355"/>
    </row>
    <row r="9118" spans="14:20" x14ac:dyDescent="0.25">
      <c r="N9118" s="514"/>
      <c r="R9118" s="293"/>
      <c r="S9118" s="316"/>
      <c r="T9118" s="355"/>
    </row>
    <row r="9119" spans="14:20" x14ac:dyDescent="0.25">
      <c r="N9119" s="514"/>
      <c r="R9119" s="293"/>
      <c r="S9119" s="316"/>
      <c r="T9119" s="355"/>
    </row>
    <row r="9120" spans="14:20" x14ac:dyDescent="0.25">
      <c r="N9120" s="514"/>
      <c r="R9120" s="293"/>
      <c r="S9120" s="316"/>
      <c r="T9120" s="355"/>
    </row>
    <row r="9121" spans="14:20" x14ac:dyDescent="0.25">
      <c r="N9121" s="514"/>
      <c r="R9121" s="293"/>
      <c r="S9121" s="316"/>
      <c r="T9121" s="355"/>
    </row>
    <row r="9122" spans="14:20" x14ac:dyDescent="0.25">
      <c r="N9122" s="514"/>
      <c r="R9122" s="293"/>
      <c r="S9122" s="316"/>
      <c r="T9122" s="355"/>
    </row>
    <row r="9123" spans="14:20" x14ac:dyDescent="0.25">
      <c r="N9123" s="514"/>
      <c r="R9123" s="293"/>
      <c r="S9123" s="316"/>
      <c r="T9123" s="355"/>
    </row>
    <row r="9124" spans="14:20" x14ac:dyDescent="0.25">
      <c r="N9124" s="514"/>
      <c r="R9124" s="293"/>
      <c r="S9124" s="316"/>
      <c r="T9124" s="355"/>
    </row>
    <row r="9125" spans="14:20" x14ac:dyDescent="0.25">
      <c r="N9125" s="514"/>
      <c r="R9125" s="293"/>
      <c r="S9125" s="316"/>
      <c r="T9125" s="355"/>
    </row>
    <row r="9126" spans="14:20" x14ac:dyDescent="0.25">
      <c r="N9126" s="514"/>
      <c r="R9126" s="293"/>
      <c r="S9126" s="316"/>
      <c r="T9126" s="355"/>
    </row>
    <row r="9127" spans="14:20" x14ac:dyDescent="0.25">
      <c r="N9127" s="514"/>
      <c r="R9127" s="293"/>
      <c r="S9127" s="316"/>
      <c r="T9127" s="355"/>
    </row>
    <row r="9128" spans="14:20" x14ac:dyDescent="0.25">
      <c r="N9128" s="514"/>
      <c r="R9128" s="293"/>
      <c r="S9128" s="316"/>
      <c r="T9128" s="355"/>
    </row>
    <row r="9129" spans="14:20" x14ac:dyDescent="0.25">
      <c r="N9129" s="514"/>
      <c r="R9129" s="293"/>
      <c r="S9129" s="316"/>
      <c r="T9129" s="355"/>
    </row>
    <row r="9130" spans="14:20" x14ac:dyDescent="0.25">
      <c r="N9130" s="514"/>
      <c r="R9130" s="293"/>
      <c r="S9130" s="316"/>
      <c r="T9130" s="355"/>
    </row>
    <row r="9131" spans="14:20" x14ac:dyDescent="0.25">
      <c r="N9131" s="514"/>
      <c r="R9131" s="293"/>
      <c r="S9131" s="316"/>
      <c r="T9131" s="355"/>
    </row>
    <row r="9132" spans="14:20" x14ac:dyDescent="0.25">
      <c r="N9132" s="514"/>
      <c r="R9132" s="293"/>
      <c r="S9132" s="316"/>
      <c r="T9132" s="355"/>
    </row>
    <row r="9133" spans="14:20" x14ac:dyDescent="0.25">
      <c r="N9133" s="514"/>
      <c r="R9133" s="293"/>
      <c r="S9133" s="316"/>
      <c r="T9133" s="355"/>
    </row>
    <row r="9134" spans="14:20" x14ac:dyDescent="0.25">
      <c r="N9134" s="514"/>
      <c r="R9134" s="293"/>
      <c r="S9134" s="316"/>
      <c r="T9134" s="355"/>
    </row>
    <row r="9135" spans="14:20" x14ac:dyDescent="0.25">
      <c r="N9135" s="514"/>
      <c r="R9135" s="293"/>
      <c r="S9135" s="316"/>
      <c r="T9135" s="355"/>
    </row>
    <row r="9136" spans="14:20" x14ac:dyDescent="0.25">
      <c r="N9136" s="514"/>
      <c r="R9136" s="293"/>
      <c r="S9136" s="316"/>
      <c r="T9136" s="355"/>
    </row>
    <row r="9137" spans="14:20" x14ac:dyDescent="0.25">
      <c r="N9137" s="514"/>
      <c r="R9137" s="293"/>
      <c r="S9137" s="316"/>
      <c r="T9137" s="355"/>
    </row>
    <row r="9138" spans="14:20" x14ac:dyDescent="0.25">
      <c r="N9138" s="514"/>
      <c r="R9138" s="293"/>
      <c r="S9138" s="316"/>
      <c r="T9138" s="355"/>
    </row>
    <row r="9139" spans="14:20" x14ac:dyDescent="0.25">
      <c r="N9139" s="514"/>
      <c r="R9139" s="293"/>
      <c r="S9139" s="316"/>
      <c r="T9139" s="355"/>
    </row>
    <row r="9140" spans="14:20" x14ac:dyDescent="0.25">
      <c r="N9140" s="514"/>
      <c r="R9140" s="293"/>
      <c r="S9140" s="316"/>
      <c r="T9140" s="355"/>
    </row>
    <row r="9141" spans="14:20" x14ac:dyDescent="0.25">
      <c r="N9141" s="514"/>
      <c r="R9141" s="293"/>
      <c r="S9141" s="316"/>
      <c r="T9141" s="355"/>
    </row>
    <row r="9142" spans="14:20" x14ac:dyDescent="0.25">
      <c r="N9142" s="514"/>
      <c r="R9142" s="293"/>
      <c r="S9142" s="316"/>
      <c r="T9142" s="355"/>
    </row>
    <row r="9143" spans="14:20" x14ac:dyDescent="0.25">
      <c r="N9143" s="514"/>
      <c r="R9143" s="293"/>
      <c r="S9143" s="316"/>
      <c r="T9143" s="355"/>
    </row>
    <row r="9144" spans="14:20" x14ac:dyDescent="0.25">
      <c r="N9144" s="514"/>
      <c r="R9144" s="293"/>
      <c r="S9144" s="316"/>
      <c r="T9144" s="355"/>
    </row>
    <row r="9145" spans="14:20" x14ac:dyDescent="0.25">
      <c r="N9145" s="514"/>
      <c r="R9145" s="293"/>
      <c r="S9145" s="316"/>
      <c r="T9145" s="355"/>
    </row>
    <row r="9146" spans="14:20" x14ac:dyDescent="0.25">
      <c r="N9146" s="514"/>
      <c r="R9146" s="293"/>
      <c r="S9146" s="316"/>
      <c r="T9146" s="355"/>
    </row>
    <row r="9147" spans="14:20" x14ac:dyDescent="0.25">
      <c r="N9147" s="514"/>
      <c r="R9147" s="293"/>
      <c r="S9147" s="316"/>
      <c r="T9147" s="355"/>
    </row>
    <row r="9148" spans="14:20" x14ac:dyDescent="0.25">
      <c r="N9148" s="514"/>
      <c r="R9148" s="293"/>
      <c r="S9148" s="316"/>
      <c r="T9148" s="355"/>
    </row>
    <row r="9149" spans="14:20" x14ac:dyDescent="0.25">
      <c r="N9149" s="514"/>
      <c r="R9149" s="293"/>
      <c r="S9149" s="316"/>
      <c r="T9149" s="355"/>
    </row>
    <row r="9150" spans="14:20" x14ac:dyDescent="0.25">
      <c r="N9150" s="514"/>
      <c r="R9150" s="293"/>
      <c r="S9150" s="316"/>
      <c r="T9150" s="355"/>
    </row>
    <row r="9151" spans="14:20" x14ac:dyDescent="0.25">
      <c r="N9151" s="514"/>
      <c r="R9151" s="293"/>
      <c r="S9151" s="316"/>
      <c r="T9151" s="355"/>
    </row>
    <row r="9152" spans="14:20" x14ac:dyDescent="0.25">
      <c r="N9152" s="514"/>
      <c r="R9152" s="293"/>
      <c r="S9152" s="316"/>
      <c r="T9152" s="355"/>
    </row>
    <row r="9153" spans="14:20" x14ac:dyDescent="0.25">
      <c r="N9153" s="514"/>
      <c r="R9153" s="293"/>
      <c r="S9153" s="316"/>
      <c r="T9153" s="355"/>
    </row>
    <row r="9154" spans="14:20" x14ac:dyDescent="0.25">
      <c r="N9154" s="514"/>
      <c r="R9154" s="293"/>
      <c r="S9154" s="316"/>
      <c r="T9154" s="355"/>
    </row>
    <row r="9155" spans="14:20" x14ac:dyDescent="0.25">
      <c r="N9155" s="514"/>
      <c r="R9155" s="293"/>
      <c r="S9155" s="316"/>
      <c r="T9155" s="355"/>
    </row>
    <row r="9156" spans="14:20" x14ac:dyDescent="0.25">
      <c r="N9156" s="514"/>
      <c r="R9156" s="293"/>
      <c r="S9156" s="316"/>
      <c r="T9156" s="355"/>
    </row>
    <row r="9157" spans="14:20" x14ac:dyDescent="0.25">
      <c r="N9157" s="514"/>
      <c r="R9157" s="293"/>
      <c r="S9157" s="316"/>
      <c r="T9157" s="355"/>
    </row>
    <row r="9158" spans="14:20" x14ac:dyDescent="0.25">
      <c r="N9158" s="514"/>
      <c r="R9158" s="293"/>
      <c r="S9158" s="316"/>
      <c r="T9158" s="355"/>
    </row>
    <row r="9159" spans="14:20" x14ac:dyDescent="0.25">
      <c r="N9159" s="514"/>
      <c r="R9159" s="293"/>
      <c r="S9159" s="316"/>
      <c r="T9159" s="355"/>
    </row>
    <row r="9160" spans="14:20" x14ac:dyDescent="0.25">
      <c r="N9160" s="514"/>
      <c r="R9160" s="293"/>
      <c r="S9160" s="316"/>
      <c r="T9160" s="355"/>
    </row>
    <row r="9161" spans="14:20" x14ac:dyDescent="0.25">
      <c r="N9161" s="514"/>
      <c r="R9161" s="293"/>
      <c r="S9161" s="316"/>
      <c r="T9161" s="355"/>
    </row>
    <row r="9162" spans="14:20" x14ac:dyDescent="0.25">
      <c r="N9162" s="514"/>
      <c r="R9162" s="293"/>
      <c r="S9162" s="316"/>
      <c r="T9162" s="355"/>
    </row>
    <row r="9163" spans="14:20" x14ac:dyDescent="0.25">
      <c r="N9163" s="514"/>
      <c r="R9163" s="293"/>
      <c r="S9163" s="316"/>
      <c r="T9163" s="355"/>
    </row>
    <row r="9164" spans="14:20" x14ac:dyDescent="0.25">
      <c r="N9164" s="514"/>
      <c r="R9164" s="293"/>
      <c r="S9164" s="316"/>
      <c r="T9164" s="355"/>
    </row>
    <row r="9165" spans="14:20" x14ac:dyDescent="0.25">
      <c r="N9165" s="514"/>
      <c r="R9165" s="293"/>
      <c r="S9165" s="316"/>
      <c r="T9165" s="355"/>
    </row>
    <row r="9166" spans="14:20" x14ac:dyDescent="0.25">
      <c r="N9166" s="514"/>
      <c r="R9166" s="293"/>
      <c r="S9166" s="316"/>
      <c r="T9166" s="355"/>
    </row>
    <row r="9167" spans="14:20" x14ac:dyDescent="0.25">
      <c r="N9167" s="514"/>
      <c r="R9167" s="293"/>
      <c r="S9167" s="316"/>
      <c r="T9167" s="355"/>
    </row>
    <row r="9168" spans="14:20" x14ac:dyDescent="0.25">
      <c r="N9168" s="514"/>
      <c r="R9168" s="293"/>
      <c r="S9168" s="316"/>
      <c r="T9168" s="355"/>
    </row>
    <row r="9169" spans="14:20" x14ac:dyDescent="0.25">
      <c r="N9169" s="514"/>
      <c r="R9169" s="293"/>
      <c r="S9169" s="316"/>
      <c r="T9169" s="355"/>
    </row>
    <row r="9170" spans="14:20" x14ac:dyDescent="0.25">
      <c r="N9170" s="514"/>
      <c r="R9170" s="293"/>
      <c r="S9170" s="316"/>
      <c r="T9170" s="355"/>
    </row>
    <row r="9171" spans="14:20" x14ac:dyDescent="0.25">
      <c r="N9171" s="514"/>
      <c r="R9171" s="293"/>
      <c r="S9171" s="316"/>
      <c r="T9171" s="355"/>
    </row>
    <row r="9172" spans="14:20" x14ac:dyDescent="0.25">
      <c r="N9172" s="514"/>
      <c r="R9172" s="293"/>
      <c r="S9172" s="316"/>
      <c r="T9172" s="355"/>
    </row>
    <row r="9173" spans="14:20" x14ac:dyDescent="0.25">
      <c r="N9173" s="514"/>
      <c r="R9173" s="293"/>
      <c r="S9173" s="316"/>
      <c r="T9173" s="355"/>
    </row>
    <row r="9174" spans="14:20" x14ac:dyDescent="0.25">
      <c r="N9174" s="514"/>
      <c r="R9174" s="293"/>
      <c r="S9174" s="316"/>
      <c r="T9174" s="355"/>
    </row>
    <row r="9175" spans="14:20" x14ac:dyDescent="0.25">
      <c r="N9175" s="514"/>
      <c r="R9175" s="293"/>
      <c r="S9175" s="316"/>
      <c r="T9175" s="355"/>
    </row>
    <row r="9176" spans="14:20" x14ac:dyDescent="0.25">
      <c r="N9176" s="514"/>
      <c r="R9176" s="293"/>
      <c r="S9176" s="316"/>
      <c r="T9176" s="355"/>
    </row>
    <row r="9177" spans="14:20" x14ac:dyDescent="0.25">
      <c r="N9177" s="514"/>
      <c r="R9177" s="293"/>
      <c r="S9177" s="316"/>
      <c r="T9177" s="355"/>
    </row>
    <row r="9178" spans="14:20" x14ac:dyDescent="0.25">
      <c r="N9178" s="514"/>
      <c r="R9178" s="293"/>
      <c r="S9178" s="316"/>
      <c r="T9178" s="355"/>
    </row>
    <row r="9179" spans="14:20" x14ac:dyDescent="0.25">
      <c r="N9179" s="514"/>
      <c r="R9179" s="293"/>
      <c r="S9179" s="316"/>
      <c r="T9179" s="355"/>
    </row>
    <row r="9180" spans="14:20" x14ac:dyDescent="0.25">
      <c r="N9180" s="514"/>
      <c r="R9180" s="293"/>
      <c r="S9180" s="316"/>
      <c r="T9180" s="355"/>
    </row>
    <row r="9181" spans="14:20" x14ac:dyDescent="0.25">
      <c r="N9181" s="514"/>
      <c r="R9181" s="293"/>
      <c r="S9181" s="316"/>
      <c r="T9181" s="355"/>
    </row>
    <row r="9182" spans="14:20" x14ac:dyDescent="0.25">
      <c r="N9182" s="514"/>
      <c r="R9182" s="293"/>
      <c r="S9182" s="316"/>
      <c r="T9182" s="355"/>
    </row>
    <row r="9183" spans="14:20" x14ac:dyDescent="0.25">
      <c r="N9183" s="514"/>
      <c r="R9183" s="293"/>
      <c r="S9183" s="316"/>
      <c r="T9183" s="355"/>
    </row>
    <row r="9184" spans="14:20" x14ac:dyDescent="0.25">
      <c r="N9184" s="514"/>
      <c r="R9184" s="293"/>
      <c r="S9184" s="316"/>
      <c r="T9184" s="355"/>
    </row>
    <row r="9185" spans="14:20" x14ac:dyDescent="0.25">
      <c r="N9185" s="514"/>
      <c r="R9185" s="293"/>
      <c r="S9185" s="316"/>
      <c r="T9185" s="355"/>
    </row>
    <row r="9186" spans="14:20" x14ac:dyDescent="0.25">
      <c r="N9186" s="514"/>
      <c r="R9186" s="293"/>
      <c r="S9186" s="316"/>
      <c r="T9186" s="355"/>
    </row>
    <row r="9187" spans="14:20" x14ac:dyDescent="0.25">
      <c r="N9187" s="514"/>
      <c r="R9187" s="293"/>
      <c r="S9187" s="316"/>
      <c r="T9187" s="355"/>
    </row>
    <row r="9188" spans="14:20" x14ac:dyDescent="0.25">
      <c r="N9188" s="514"/>
      <c r="R9188" s="293"/>
      <c r="S9188" s="316"/>
      <c r="T9188" s="355"/>
    </row>
    <row r="9189" spans="14:20" x14ac:dyDescent="0.25">
      <c r="N9189" s="514"/>
      <c r="R9189" s="293"/>
      <c r="S9189" s="316"/>
      <c r="T9189" s="355"/>
    </row>
    <row r="9190" spans="14:20" x14ac:dyDescent="0.25">
      <c r="N9190" s="514"/>
      <c r="R9190" s="293"/>
      <c r="S9190" s="316"/>
      <c r="T9190" s="355"/>
    </row>
    <row r="9191" spans="14:20" x14ac:dyDescent="0.25">
      <c r="N9191" s="514"/>
      <c r="R9191" s="293"/>
      <c r="S9191" s="316"/>
      <c r="T9191" s="355"/>
    </row>
    <row r="9192" spans="14:20" x14ac:dyDescent="0.25">
      <c r="N9192" s="514"/>
      <c r="R9192" s="293"/>
      <c r="S9192" s="316"/>
      <c r="T9192" s="355"/>
    </row>
    <row r="9193" spans="14:20" x14ac:dyDescent="0.25">
      <c r="N9193" s="514"/>
      <c r="R9193" s="293"/>
      <c r="S9193" s="316"/>
      <c r="T9193" s="355"/>
    </row>
    <row r="9194" spans="14:20" x14ac:dyDescent="0.25">
      <c r="N9194" s="514"/>
      <c r="R9194" s="293"/>
      <c r="S9194" s="316"/>
      <c r="T9194" s="355"/>
    </row>
    <row r="9195" spans="14:20" x14ac:dyDescent="0.25">
      <c r="N9195" s="514"/>
      <c r="R9195" s="293"/>
      <c r="S9195" s="316"/>
      <c r="T9195" s="355"/>
    </row>
    <row r="9196" spans="14:20" x14ac:dyDescent="0.25">
      <c r="N9196" s="514"/>
      <c r="R9196" s="293"/>
      <c r="S9196" s="316"/>
      <c r="T9196" s="355"/>
    </row>
    <row r="9197" spans="14:20" x14ac:dyDescent="0.25">
      <c r="N9197" s="514"/>
      <c r="R9197" s="293"/>
      <c r="S9197" s="316"/>
      <c r="T9197" s="355"/>
    </row>
    <row r="9198" spans="14:20" x14ac:dyDescent="0.25">
      <c r="N9198" s="514"/>
      <c r="R9198" s="293"/>
      <c r="S9198" s="316"/>
      <c r="T9198" s="355"/>
    </row>
    <row r="9199" spans="14:20" x14ac:dyDescent="0.25">
      <c r="N9199" s="514"/>
      <c r="R9199" s="293"/>
      <c r="S9199" s="316"/>
      <c r="T9199" s="355"/>
    </row>
    <row r="9200" spans="14:20" x14ac:dyDescent="0.25">
      <c r="N9200" s="514"/>
      <c r="R9200" s="293"/>
      <c r="S9200" s="316"/>
      <c r="T9200" s="355"/>
    </row>
    <row r="9201" spans="14:20" x14ac:dyDescent="0.25">
      <c r="N9201" s="514"/>
      <c r="R9201" s="293"/>
      <c r="S9201" s="316"/>
      <c r="T9201" s="355"/>
    </row>
    <row r="9202" spans="14:20" x14ac:dyDescent="0.25">
      <c r="N9202" s="514"/>
      <c r="R9202" s="293"/>
      <c r="S9202" s="316"/>
      <c r="T9202" s="355"/>
    </row>
    <row r="9203" spans="14:20" x14ac:dyDescent="0.25">
      <c r="N9203" s="514"/>
      <c r="R9203" s="293"/>
      <c r="S9203" s="316"/>
      <c r="T9203" s="355"/>
    </row>
    <row r="9204" spans="14:20" x14ac:dyDescent="0.25">
      <c r="N9204" s="514"/>
      <c r="R9204" s="293"/>
      <c r="S9204" s="316"/>
      <c r="T9204" s="355"/>
    </row>
    <row r="9205" spans="14:20" x14ac:dyDescent="0.25">
      <c r="N9205" s="514"/>
      <c r="R9205" s="293"/>
      <c r="S9205" s="316"/>
      <c r="T9205" s="355"/>
    </row>
    <row r="9206" spans="14:20" x14ac:dyDescent="0.25">
      <c r="N9206" s="514"/>
      <c r="R9206" s="293"/>
      <c r="S9206" s="316"/>
      <c r="T9206" s="355"/>
    </row>
    <row r="9207" spans="14:20" x14ac:dyDescent="0.25">
      <c r="N9207" s="514"/>
      <c r="R9207" s="293"/>
      <c r="S9207" s="316"/>
      <c r="T9207" s="355"/>
    </row>
    <row r="9208" spans="14:20" x14ac:dyDescent="0.25">
      <c r="N9208" s="514"/>
      <c r="R9208" s="293"/>
      <c r="S9208" s="316"/>
      <c r="T9208" s="355"/>
    </row>
    <row r="9209" spans="14:20" x14ac:dyDescent="0.25">
      <c r="N9209" s="514"/>
      <c r="R9209" s="293"/>
      <c r="S9209" s="316"/>
      <c r="T9209" s="355"/>
    </row>
    <row r="9210" spans="14:20" x14ac:dyDescent="0.25">
      <c r="N9210" s="514"/>
      <c r="R9210" s="293"/>
      <c r="S9210" s="316"/>
      <c r="T9210" s="355"/>
    </row>
    <row r="9211" spans="14:20" x14ac:dyDescent="0.25">
      <c r="N9211" s="514"/>
      <c r="R9211" s="293"/>
      <c r="S9211" s="316"/>
      <c r="T9211" s="355"/>
    </row>
    <row r="9212" spans="14:20" x14ac:dyDescent="0.25">
      <c r="N9212" s="514"/>
      <c r="R9212" s="293"/>
      <c r="S9212" s="316"/>
      <c r="T9212" s="355"/>
    </row>
    <row r="9213" spans="14:20" x14ac:dyDescent="0.25">
      <c r="N9213" s="514"/>
      <c r="R9213" s="293"/>
      <c r="S9213" s="316"/>
      <c r="T9213" s="355"/>
    </row>
    <row r="9214" spans="14:20" x14ac:dyDescent="0.25">
      <c r="N9214" s="514"/>
      <c r="R9214" s="293"/>
      <c r="S9214" s="316"/>
      <c r="T9214" s="355"/>
    </row>
    <row r="9215" spans="14:20" x14ac:dyDescent="0.25">
      <c r="N9215" s="514"/>
      <c r="R9215" s="293"/>
      <c r="S9215" s="316"/>
      <c r="T9215" s="355"/>
    </row>
    <row r="9216" spans="14:20" x14ac:dyDescent="0.25">
      <c r="N9216" s="514"/>
      <c r="R9216" s="293"/>
      <c r="S9216" s="316"/>
      <c r="T9216" s="355"/>
    </row>
    <row r="9217" spans="14:20" x14ac:dyDescent="0.25">
      <c r="N9217" s="514"/>
      <c r="R9217" s="293"/>
      <c r="S9217" s="316"/>
      <c r="T9217" s="355"/>
    </row>
    <row r="9218" spans="14:20" x14ac:dyDescent="0.25">
      <c r="N9218" s="514"/>
      <c r="R9218" s="293"/>
      <c r="S9218" s="316"/>
      <c r="T9218" s="355"/>
    </row>
    <row r="9219" spans="14:20" x14ac:dyDescent="0.25">
      <c r="N9219" s="514"/>
      <c r="R9219" s="293"/>
      <c r="S9219" s="316"/>
      <c r="T9219" s="355"/>
    </row>
    <row r="9220" spans="14:20" x14ac:dyDescent="0.25">
      <c r="N9220" s="514"/>
      <c r="R9220" s="293"/>
      <c r="S9220" s="316"/>
      <c r="T9220" s="355"/>
    </row>
    <row r="9221" spans="14:20" x14ac:dyDescent="0.25">
      <c r="N9221" s="514"/>
      <c r="R9221" s="293"/>
      <c r="S9221" s="316"/>
      <c r="T9221" s="355"/>
    </row>
    <row r="9222" spans="14:20" x14ac:dyDescent="0.25">
      <c r="N9222" s="514"/>
      <c r="R9222" s="293"/>
      <c r="S9222" s="316"/>
      <c r="T9222" s="355"/>
    </row>
    <row r="9223" spans="14:20" x14ac:dyDescent="0.25">
      <c r="N9223" s="514"/>
      <c r="R9223" s="293"/>
      <c r="S9223" s="316"/>
      <c r="T9223" s="355"/>
    </row>
    <row r="9224" spans="14:20" x14ac:dyDescent="0.25">
      <c r="N9224" s="514"/>
      <c r="R9224" s="293"/>
      <c r="S9224" s="316"/>
      <c r="T9224" s="355"/>
    </row>
    <row r="9225" spans="14:20" x14ac:dyDescent="0.25">
      <c r="N9225" s="514"/>
      <c r="R9225" s="293"/>
      <c r="S9225" s="316"/>
      <c r="T9225" s="355"/>
    </row>
    <row r="9226" spans="14:20" x14ac:dyDescent="0.25">
      <c r="N9226" s="514"/>
      <c r="R9226" s="293"/>
      <c r="S9226" s="316"/>
      <c r="T9226" s="355"/>
    </row>
    <row r="9227" spans="14:20" x14ac:dyDescent="0.25">
      <c r="N9227" s="514"/>
      <c r="R9227" s="293"/>
      <c r="S9227" s="316"/>
      <c r="T9227" s="355"/>
    </row>
    <row r="9228" spans="14:20" x14ac:dyDescent="0.25">
      <c r="N9228" s="514"/>
      <c r="R9228" s="293"/>
      <c r="S9228" s="316"/>
      <c r="T9228" s="355"/>
    </row>
    <row r="9229" spans="14:20" x14ac:dyDescent="0.25">
      <c r="N9229" s="514"/>
      <c r="R9229" s="293"/>
      <c r="S9229" s="316"/>
      <c r="T9229" s="355"/>
    </row>
    <row r="9230" spans="14:20" x14ac:dyDescent="0.25">
      <c r="N9230" s="514"/>
      <c r="R9230" s="293"/>
      <c r="S9230" s="316"/>
      <c r="T9230" s="355"/>
    </row>
    <row r="9231" spans="14:20" x14ac:dyDescent="0.25">
      <c r="N9231" s="514"/>
      <c r="R9231" s="293"/>
      <c r="S9231" s="316"/>
      <c r="T9231" s="355"/>
    </row>
    <row r="9232" spans="14:20" x14ac:dyDescent="0.25">
      <c r="N9232" s="514"/>
      <c r="R9232" s="293"/>
      <c r="S9232" s="316"/>
      <c r="T9232" s="355"/>
    </row>
    <row r="9233" spans="14:20" x14ac:dyDescent="0.25">
      <c r="N9233" s="514"/>
      <c r="R9233" s="293"/>
      <c r="S9233" s="316"/>
      <c r="T9233" s="355"/>
    </row>
    <row r="9234" spans="14:20" x14ac:dyDescent="0.25">
      <c r="N9234" s="514"/>
      <c r="R9234" s="293"/>
      <c r="S9234" s="316"/>
      <c r="T9234" s="355"/>
    </row>
    <row r="9235" spans="14:20" x14ac:dyDescent="0.25">
      <c r="N9235" s="514"/>
      <c r="R9235" s="293"/>
      <c r="S9235" s="316"/>
      <c r="T9235" s="355"/>
    </row>
    <row r="9236" spans="14:20" x14ac:dyDescent="0.25">
      <c r="N9236" s="514"/>
      <c r="R9236" s="293"/>
      <c r="S9236" s="316"/>
      <c r="T9236" s="355"/>
    </row>
    <row r="9237" spans="14:20" x14ac:dyDescent="0.25">
      <c r="N9237" s="514"/>
      <c r="R9237" s="293"/>
      <c r="S9237" s="316"/>
      <c r="T9237" s="355"/>
    </row>
    <row r="9238" spans="14:20" x14ac:dyDescent="0.25">
      <c r="N9238" s="514"/>
      <c r="R9238" s="293"/>
      <c r="S9238" s="316"/>
      <c r="T9238" s="355"/>
    </row>
    <row r="9239" spans="14:20" x14ac:dyDescent="0.25">
      <c r="N9239" s="514"/>
      <c r="R9239" s="293"/>
      <c r="S9239" s="316"/>
      <c r="T9239" s="355"/>
    </row>
    <row r="9240" spans="14:20" x14ac:dyDescent="0.25">
      <c r="N9240" s="514"/>
      <c r="R9240" s="293"/>
      <c r="S9240" s="316"/>
      <c r="T9240" s="355"/>
    </row>
    <row r="9241" spans="14:20" x14ac:dyDescent="0.25">
      <c r="N9241" s="514"/>
      <c r="R9241" s="293"/>
      <c r="S9241" s="316"/>
      <c r="T9241" s="355"/>
    </row>
    <row r="9242" spans="14:20" x14ac:dyDescent="0.25">
      <c r="N9242" s="514"/>
      <c r="R9242" s="293"/>
      <c r="S9242" s="316"/>
      <c r="T9242" s="355"/>
    </row>
    <row r="9243" spans="14:20" x14ac:dyDescent="0.25">
      <c r="N9243" s="514"/>
      <c r="R9243" s="293"/>
      <c r="S9243" s="316"/>
      <c r="T9243" s="355"/>
    </row>
    <row r="9244" spans="14:20" x14ac:dyDescent="0.25">
      <c r="N9244" s="514"/>
      <c r="R9244" s="293"/>
      <c r="S9244" s="316"/>
      <c r="T9244" s="355"/>
    </row>
    <row r="9245" spans="14:20" x14ac:dyDescent="0.25">
      <c r="N9245" s="514"/>
      <c r="R9245" s="293"/>
      <c r="S9245" s="316"/>
      <c r="T9245" s="355"/>
    </row>
    <row r="9246" spans="14:20" x14ac:dyDescent="0.25">
      <c r="N9246" s="514"/>
      <c r="R9246" s="293"/>
      <c r="S9246" s="316"/>
      <c r="T9246" s="355"/>
    </row>
    <row r="9247" spans="14:20" x14ac:dyDescent="0.25">
      <c r="N9247" s="514"/>
      <c r="R9247" s="293"/>
      <c r="S9247" s="316"/>
      <c r="T9247" s="355"/>
    </row>
    <row r="9248" spans="14:20" x14ac:dyDescent="0.25">
      <c r="N9248" s="514"/>
      <c r="R9248" s="293"/>
      <c r="S9248" s="316"/>
      <c r="T9248" s="355"/>
    </row>
    <row r="9249" spans="14:20" x14ac:dyDescent="0.25">
      <c r="N9249" s="514"/>
      <c r="R9249" s="293"/>
      <c r="S9249" s="316"/>
      <c r="T9249" s="355"/>
    </row>
    <row r="9250" spans="14:20" x14ac:dyDescent="0.25">
      <c r="N9250" s="514"/>
      <c r="R9250" s="293"/>
      <c r="S9250" s="316"/>
      <c r="T9250" s="355"/>
    </row>
    <row r="9251" spans="14:20" x14ac:dyDescent="0.25">
      <c r="N9251" s="514"/>
      <c r="R9251" s="293"/>
      <c r="S9251" s="316"/>
      <c r="T9251" s="355"/>
    </row>
    <row r="9252" spans="14:20" x14ac:dyDescent="0.25">
      <c r="N9252" s="514"/>
      <c r="R9252" s="293"/>
      <c r="S9252" s="316"/>
      <c r="T9252" s="355"/>
    </row>
    <row r="9253" spans="14:20" x14ac:dyDescent="0.25">
      <c r="N9253" s="514"/>
      <c r="R9253" s="293"/>
      <c r="S9253" s="316"/>
      <c r="T9253" s="355"/>
    </row>
    <row r="9254" spans="14:20" x14ac:dyDescent="0.25">
      <c r="N9254" s="514"/>
      <c r="R9254" s="293"/>
      <c r="S9254" s="316"/>
      <c r="T9254" s="355"/>
    </row>
    <row r="9255" spans="14:20" x14ac:dyDescent="0.25">
      <c r="N9255" s="514"/>
      <c r="R9255" s="293"/>
      <c r="S9255" s="316"/>
      <c r="T9255" s="355"/>
    </row>
    <row r="9256" spans="14:20" x14ac:dyDescent="0.25">
      <c r="N9256" s="514"/>
      <c r="R9256" s="293"/>
      <c r="S9256" s="316"/>
      <c r="T9256" s="355"/>
    </row>
    <row r="9257" spans="14:20" x14ac:dyDescent="0.25">
      <c r="N9257" s="514"/>
      <c r="R9257" s="293"/>
      <c r="S9257" s="316"/>
      <c r="T9257" s="355"/>
    </row>
    <row r="9258" spans="14:20" x14ac:dyDescent="0.25">
      <c r="N9258" s="514"/>
      <c r="R9258" s="293"/>
      <c r="S9258" s="316"/>
      <c r="T9258" s="355"/>
    </row>
    <row r="9259" spans="14:20" x14ac:dyDescent="0.25">
      <c r="N9259" s="514"/>
      <c r="R9259" s="293"/>
      <c r="S9259" s="316"/>
      <c r="T9259" s="355"/>
    </row>
    <row r="9260" spans="14:20" x14ac:dyDescent="0.25">
      <c r="N9260" s="514"/>
      <c r="R9260" s="293"/>
      <c r="S9260" s="316"/>
      <c r="T9260" s="355"/>
    </row>
    <row r="9261" spans="14:20" x14ac:dyDescent="0.25">
      <c r="N9261" s="514"/>
      <c r="R9261" s="293"/>
      <c r="S9261" s="316"/>
      <c r="T9261" s="355"/>
    </row>
    <row r="9262" spans="14:20" x14ac:dyDescent="0.25">
      <c r="N9262" s="514"/>
      <c r="R9262" s="293"/>
      <c r="S9262" s="316"/>
      <c r="T9262" s="355"/>
    </row>
    <row r="9263" spans="14:20" x14ac:dyDescent="0.25">
      <c r="N9263" s="514"/>
      <c r="R9263" s="293"/>
      <c r="S9263" s="316"/>
      <c r="T9263" s="355"/>
    </row>
    <row r="9264" spans="14:20" x14ac:dyDescent="0.25">
      <c r="N9264" s="514"/>
      <c r="R9264" s="293"/>
      <c r="S9264" s="316"/>
      <c r="T9264" s="355"/>
    </row>
    <row r="9265" spans="14:20" x14ac:dyDescent="0.25">
      <c r="N9265" s="514"/>
      <c r="R9265" s="293"/>
      <c r="S9265" s="316"/>
      <c r="T9265" s="355"/>
    </row>
    <row r="9266" spans="14:20" x14ac:dyDescent="0.25">
      <c r="N9266" s="514"/>
      <c r="R9266" s="293"/>
      <c r="S9266" s="316"/>
      <c r="T9266" s="355"/>
    </row>
    <row r="9267" spans="14:20" x14ac:dyDescent="0.25">
      <c r="N9267" s="514"/>
      <c r="R9267" s="293"/>
      <c r="S9267" s="316"/>
      <c r="T9267" s="355"/>
    </row>
    <row r="9268" spans="14:20" x14ac:dyDescent="0.25">
      <c r="N9268" s="514"/>
      <c r="R9268" s="293"/>
      <c r="S9268" s="316"/>
      <c r="T9268" s="355"/>
    </row>
    <row r="9269" spans="14:20" x14ac:dyDescent="0.25">
      <c r="N9269" s="514"/>
      <c r="R9269" s="293"/>
      <c r="S9269" s="316"/>
      <c r="T9269" s="355"/>
    </row>
    <row r="9270" spans="14:20" x14ac:dyDescent="0.25">
      <c r="N9270" s="514"/>
      <c r="R9270" s="293"/>
      <c r="S9270" s="316"/>
      <c r="T9270" s="355"/>
    </row>
    <row r="9271" spans="14:20" x14ac:dyDescent="0.25">
      <c r="N9271" s="514"/>
      <c r="R9271" s="293"/>
      <c r="S9271" s="316"/>
      <c r="T9271" s="355"/>
    </row>
    <row r="9272" spans="14:20" x14ac:dyDescent="0.25">
      <c r="N9272" s="514"/>
      <c r="R9272" s="293"/>
      <c r="S9272" s="316"/>
      <c r="T9272" s="355"/>
    </row>
    <row r="9273" spans="14:20" x14ac:dyDescent="0.25">
      <c r="N9273" s="514"/>
      <c r="R9273" s="293"/>
      <c r="S9273" s="316"/>
      <c r="T9273" s="355"/>
    </row>
    <row r="9274" spans="14:20" x14ac:dyDescent="0.25">
      <c r="N9274" s="514"/>
      <c r="R9274" s="293"/>
      <c r="S9274" s="316"/>
      <c r="T9274" s="355"/>
    </row>
    <row r="9275" spans="14:20" x14ac:dyDescent="0.25">
      <c r="N9275" s="514"/>
      <c r="R9275" s="293"/>
      <c r="S9275" s="316"/>
      <c r="T9275" s="355"/>
    </row>
    <row r="9276" spans="14:20" x14ac:dyDescent="0.25">
      <c r="N9276" s="514"/>
      <c r="R9276" s="293"/>
      <c r="S9276" s="316"/>
      <c r="T9276" s="355"/>
    </row>
    <row r="9277" spans="14:20" x14ac:dyDescent="0.25">
      <c r="N9277" s="514"/>
      <c r="R9277" s="293"/>
      <c r="S9277" s="316"/>
      <c r="T9277" s="355"/>
    </row>
    <row r="9278" spans="14:20" x14ac:dyDescent="0.25">
      <c r="N9278" s="514"/>
      <c r="R9278" s="293"/>
      <c r="S9278" s="316"/>
      <c r="T9278" s="355"/>
    </row>
    <row r="9279" spans="14:20" x14ac:dyDescent="0.25">
      <c r="N9279" s="514"/>
      <c r="R9279" s="293"/>
      <c r="S9279" s="316"/>
      <c r="T9279" s="355"/>
    </row>
    <row r="9280" spans="14:20" x14ac:dyDescent="0.25">
      <c r="N9280" s="514"/>
      <c r="R9280" s="293"/>
      <c r="S9280" s="316"/>
      <c r="T9280" s="355"/>
    </row>
    <row r="9281" spans="14:20" x14ac:dyDescent="0.25">
      <c r="N9281" s="514"/>
      <c r="R9281" s="293"/>
      <c r="S9281" s="316"/>
      <c r="T9281" s="355"/>
    </row>
    <row r="9282" spans="14:20" x14ac:dyDescent="0.25">
      <c r="N9282" s="514"/>
      <c r="R9282" s="293"/>
      <c r="S9282" s="316"/>
      <c r="T9282" s="355"/>
    </row>
    <row r="9283" spans="14:20" x14ac:dyDescent="0.25">
      <c r="N9283" s="514"/>
      <c r="R9283" s="293"/>
      <c r="S9283" s="316"/>
      <c r="T9283" s="355"/>
    </row>
    <row r="9284" spans="14:20" x14ac:dyDescent="0.25">
      <c r="N9284" s="514"/>
      <c r="R9284" s="293"/>
      <c r="S9284" s="316"/>
      <c r="T9284" s="355"/>
    </row>
    <row r="9285" spans="14:20" x14ac:dyDescent="0.25">
      <c r="N9285" s="514"/>
      <c r="R9285" s="293"/>
      <c r="S9285" s="316"/>
      <c r="T9285" s="355"/>
    </row>
    <row r="9286" spans="14:20" x14ac:dyDescent="0.25">
      <c r="N9286" s="514"/>
      <c r="R9286" s="293"/>
      <c r="S9286" s="316"/>
      <c r="T9286" s="355"/>
    </row>
    <row r="9287" spans="14:20" x14ac:dyDescent="0.25">
      <c r="N9287" s="514"/>
      <c r="R9287" s="293"/>
      <c r="S9287" s="316"/>
      <c r="T9287" s="355"/>
    </row>
    <row r="9288" spans="14:20" x14ac:dyDescent="0.25">
      <c r="N9288" s="514"/>
      <c r="R9288" s="293"/>
      <c r="S9288" s="316"/>
      <c r="T9288" s="355"/>
    </row>
    <row r="9289" spans="14:20" x14ac:dyDescent="0.25">
      <c r="N9289" s="514"/>
      <c r="R9289" s="293"/>
      <c r="S9289" s="316"/>
      <c r="T9289" s="355"/>
    </row>
    <row r="9290" spans="14:20" x14ac:dyDescent="0.25">
      <c r="N9290" s="514"/>
      <c r="R9290" s="293"/>
      <c r="S9290" s="316"/>
      <c r="T9290" s="355"/>
    </row>
    <row r="9291" spans="14:20" x14ac:dyDescent="0.25">
      <c r="N9291" s="514"/>
      <c r="R9291" s="293"/>
      <c r="S9291" s="316"/>
      <c r="T9291" s="355"/>
    </row>
    <row r="9292" spans="14:20" x14ac:dyDescent="0.25">
      <c r="N9292" s="514"/>
      <c r="R9292" s="293"/>
      <c r="S9292" s="316"/>
      <c r="T9292" s="355"/>
    </row>
    <row r="9293" spans="14:20" x14ac:dyDescent="0.25">
      <c r="N9293" s="514"/>
      <c r="R9293" s="293"/>
      <c r="S9293" s="316"/>
      <c r="T9293" s="355"/>
    </row>
    <row r="9294" spans="14:20" x14ac:dyDescent="0.25">
      <c r="N9294" s="514"/>
      <c r="R9294" s="293"/>
      <c r="S9294" s="316"/>
      <c r="T9294" s="355"/>
    </row>
    <row r="9295" spans="14:20" x14ac:dyDescent="0.25">
      <c r="N9295" s="514"/>
      <c r="R9295" s="293"/>
      <c r="S9295" s="316"/>
      <c r="T9295" s="355"/>
    </row>
    <row r="9296" spans="14:20" x14ac:dyDescent="0.25">
      <c r="N9296" s="514"/>
      <c r="R9296" s="293"/>
      <c r="S9296" s="316"/>
      <c r="T9296" s="355"/>
    </row>
    <row r="9297" spans="14:20" x14ac:dyDescent="0.25">
      <c r="N9297" s="514"/>
      <c r="R9297" s="293"/>
      <c r="S9297" s="316"/>
      <c r="T9297" s="355"/>
    </row>
    <row r="9298" spans="14:20" x14ac:dyDescent="0.25">
      <c r="N9298" s="514"/>
      <c r="R9298" s="293"/>
      <c r="S9298" s="316"/>
      <c r="T9298" s="355"/>
    </row>
    <row r="9299" spans="14:20" x14ac:dyDescent="0.25">
      <c r="N9299" s="514"/>
      <c r="R9299" s="293"/>
      <c r="S9299" s="316"/>
      <c r="T9299" s="355"/>
    </row>
    <row r="9300" spans="14:20" x14ac:dyDescent="0.25">
      <c r="N9300" s="514"/>
      <c r="R9300" s="293"/>
      <c r="S9300" s="316"/>
      <c r="T9300" s="355"/>
    </row>
    <row r="9301" spans="14:20" x14ac:dyDescent="0.25">
      <c r="N9301" s="514"/>
      <c r="R9301" s="293"/>
      <c r="S9301" s="316"/>
      <c r="T9301" s="355"/>
    </row>
    <row r="9302" spans="14:20" x14ac:dyDescent="0.25">
      <c r="N9302" s="514"/>
      <c r="R9302" s="293"/>
      <c r="S9302" s="316"/>
      <c r="T9302" s="355"/>
    </row>
    <row r="9303" spans="14:20" x14ac:dyDescent="0.25">
      <c r="N9303" s="514"/>
      <c r="R9303" s="293"/>
      <c r="S9303" s="316"/>
      <c r="T9303" s="355"/>
    </row>
    <row r="9304" spans="14:20" x14ac:dyDescent="0.25">
      <c r="N9304" s="514"/>
      <c r="R9304" s="293"/>
      <c r="S9304" s="316"/>
      <c r="T9304" s="355"/>
    </row>
    <row r="9305" spans="14:20" x14ac:dyDescent="0.25">
      <c r="N9305" s="514"/>
      <c r="R9305" s="293"/>
      <c r="S9305" s="316"/>
      <c r="T9305" s="355"/>
    </row>
    <row r="9306" spans="14:20" x14ac:dyDescent="0.25">
      <c r="N9306" s="514"/>
      <c r="R9306" s="293"/>
      <c r="S9306" s="316"/>
      <c r="T9306" s="355"/>
    </row>
    <row r="9307" spans="14:20" x14ac:dyDescent="0.25">
      <c r="N9307" s="514"/>
      <c r="R9307" s="293"/>
      <c r="S9307" s="316"/>
      <c r="T9307" s="355"/>
    </row>
    <row r="9308" spans="14:20" x14ac:dyDescent="0.25">
      <c r="N9308" s="514"/>
      <c r="R9308" s="293"/>
      <c r="S9308" s="316"/>
      <c r="T9308" s="355"/>
    </row>
    <row r="9309" spans="14:20" x14ac:dyDescent="0.25">
      <c r="N9309" s="514"/>
      <c r="R9309" s="293"/>
      <c r="S9309" s="316"/>
      <c r="T9309" s="355"/>
    </row>
    <row r="9310" spans="14:20" x14ac:dyDescent="0.25">
      <c r="N9310" s="514"/>
      <c r="R9310" s="293"/>
      <c r="S9310" s="316"/>
      <c r="T9310" s="355"/>
    </row>
    <row r="9311" spans="14:20" x14ac:dyDescent="0.25">
      <c r="N9311" s="514"/>
      <c r="R9311" s="293"/>
      <c r="S9311" s="316"/>
      <c r="T9311" s="355"/>
    </row>
    <row r="9312" spans="14:20" x14ac:dyDescent="0.25">
      <c r="N9312" s="514"/>
      <c r="R9312" s="293"/>
      <c r="S9312" s="316"/>
      <c r="T9312" s="355"/>
    </row>
    <row r="9313" spans="14:20" x14ac:dyDescent="0.25">
      <c r="N9313" s="514"/>
      <c r="R9313" s="293"/>
      <c r="S9313" s="316"/>
      <c r="T9313" s="355"/>
    </row>
    <row r="9314" spans="14:20" x14ac:dyDescent="0.25">
      <c r="N9314" s="514"/>
      <c r="R9314" s="293"/>
      <c r="S9314" s="316"/>
      <c r="T9314" s="355"/>
    </row>
    <row r="9315" spans="14:20" x14ac:dyDescent="0.25">
      <c r="N9315" s="514"/>
      <c r="R9315" s="293"/>
      <c r="S9315" s="316"/>
      <c r="T9315" s="355"/>
    </row>
    <row r="9316" spans="14:20" x14ac:dyDescent="0.25">
      <c r="N9316" s="514"/>
      <c r="R9316" s="293"/>
      <c r="S9316" s="316"/>
      <c r="T9316" s="355"/>
    </row>
    <row r="9317" spans="14:20" x14ac:dyDescent="0.25">
      <c r="N9317" s="514"/>
      <c r="R9317" s="293"/>
      <c r="S9317" s="316"/>
      <c r="T9317" s="355"/>
    </row>
    <row r="9318" spans="14:20" x14ac:dyDescent="0.25">
      <c r="N9318" s="514"/>
      <c r="R9318" s="293"/>
      <c r="S9318" s="316"/>
      <c r="T9318" s="355"/>
    </row>
    <row r="9319" spans="14:20" x14ac:dyDescent="0.25">
      <c r="N9319" s="514"/>
      <c r="R9319" s="293"/>
      <c r="S9319" s="316"/>
      <c r="T9319" s="355"/>
    </row>
    <row r="9320" spans="14:20" x14ac:dyDescent="0.25">
      <c r="N9320" s="514"/>
      <c r="R9320" s="293"/>
      <c r="S9320" s="316"/>
      <c r="T9320" s="355"/>
    </row>
    <row r="9321" spans="14:20" x14ac:dyDescent="0.25">
      <c r="N9321" s="514"/>
      <c r="R9321" s="293"/>
      <c r="S9321" s="316"/>
      <c r="T9321" s="355"/>
    </row>
    <row r="9322" spans="14:20" x14ac:dyDescent="0.25">
      <c r="N9322" s="514"/>
      <c r="R9322" s="293"/>
      <c r="S9322" s="316"/>
      <c r="T9322" s="355"/>
    </row>
    <row r="9323" spans="14:20" x14ac:dyDescent="0.25">
      <c r="N9323" s="514"/>
      <c r="R9323" s="293"/>
      <c r="S9323" s="316"/>
      <c r="T9323" s="355"/>
    </row>
    <row r="9324" spans="14:20" x14ac:dyDescent="0.25">
      <c r="N9324" s="514"/>
      <c r="R9324" s="293"/>
      <c r="S9324" s="316"/>
      <c r="T9324" s="355"/>
    </row>
    <row r="9325" spans="14:20" x14ac:dyDescent="0.25">
      <c r="N9325" s="514"/>
      <c r="R9325" s="293"/>
      <c r="S9325" s="316"/>
      <c r="T9325" s="355"/>
    </row>
    <row r="9326" spans="14:20" x14ac:dyDescent="0.25">
      <c r="N9326" s="514"/>
      <c r="R9326" s="293"/>
      <c r="S9326" s="316"/>
      <c r="T9326" s="355"/>
    </row>
    <row r="9327" spans="14:20" x14ac:dyDescent="0.25">
      <c r="N9327" s="514"/>
      <c r="R9327" s="293"/>
      <c r="S9327" s="316"/>
      <c r="T9327" s="355"/>
    </row>
    <row r="9328" spans="14:20" x14ac:dyDescent="0.25">
      <c r="N9328" s="514"/>
      <c r="R9328" s="293"/>
      <c r="S9328" s="316"/>
      <c r="T9328" s="355"/>
    </row>
    <row r="9329" spans="14:20" x14ac:dyDescent="0.25">
      <c r="N9329" s="514"/>
      <c r="T9329" s="355"/>
    </row>
    <row r="9330" spans="14:20" x14ac:dyDescent="0.25">
      <c r="N9330" s="514"/>
      <c r="T9330" s="355"/>
    </row>
    <row r="9331" spans="14:20" x14ac:dyDescent="0.25">
      <c r="N9331" s="514"/>
      <c r="T9331" s="355"/>
    </row>
    <row r="9332" spans="14:20" x14ac:dyDescent="0.25">
      <c r="N9332" s="514"/>
      <c r="T9332" s="355"/>
    </row>
    <row r="9333" spans="14:20" x14ac:dyDescent="0.25">
      <c r="N9333" s="514"/>
      <c r="T9333" s="355"/>
    </row>
    <row r="9334" spans="14:20" x14ac:dyDescent="0.25">
      <c r="N9334" s="514"/>
      <c r="T9334" s="355"/>
    </row>
    <row r="9335" spans="14:20" x14ac:dyDescent="0.25">
      <c r="N9335" s="514"/>
      <c r="T9335" s="355"/>
    </row>
    <row r="9336" spans="14:20" x14ac:dyDescent="0.25">
      <c r="N9336" s="514"/>
      <c r="T9336" s="355"/>
    </row>
    <row r="9337" spans="14:20" x14ac:dyDescent="0.25">
      <c r="N9337" s="514"/>
      <c r="T9337" s="355"/>
    </row>
    <row r="9338" spans="14:20" x14ac:dyDescent="0.25">
      <c r="N9338" s="514"/>
      <c r="T9338" s="355"/>
    </row>
    <row r="9339" spans="14:20" x14ac:dyDescent="0.25">
      <c r="N9339" s="514"/>
      <c r="T9339" s="355"/>
    </row>
    <row r="9340" spans="14:20" x14ac:dyDescent="0.25">
      <c r="N9340" s="514"/>
      <c r="T9340" s="355"/>
    </row>
    <row r="9341" spans="14:20" x14ac:dyDescent="0.25">
      <c r="N9341" s="514"/>
      <c r="T9341" s="355"/>
    </row>
    <row r="9342" spans="14:20" x14ac:dyDescent="0.25">
      <c r="N9342" s="514"/>
      <c r="T9342" s="355"/>
    </row>
    <row r="9343" spans="14:20" x14ac:dyDescent="0.25">
      <c r="N9343" s="514"/>
    </row>
    <row r="9344" spans="14:20" x14ac:dyDescent="0.25">
      <c r="N9344" s="514"/>
    </row>
    <row r="9345" spans="14:14" x14ac:dyDescent="0.25">
      <c r="N9345" s="514"/>
    </row>
    <row r="9346" spans="14:14" x14ac:dyDescent="0.25">
      <c r="N9346" s="514"/>
    </row>
    <row r="9347" spans="14:14" x14ac:dyDescent="0.25">
      <c r="N9347" s="514"/>
    </row>
    <row r="9348" spans="14:14" x14ac:dyDescent="0.25">
      <c r="N9348" s="514"/>
    </row>
    <row r="9349" spans="14:14" x14ac:dyDescent="0.25">
      <c r="N9349" s="514"/>
    </row>
    <row r="9350" spans="14:14" x14ac:dyDescent="0.25">
      <c r="N9350" s="514"/>
    </row>
    <row r="9351" spans="14:14" x14ac:dyDescent="0.25">
      <c r="N9351" s="514"/>
    </row>
    <row r="9352" spans="14:14" x14ac:dyDescent="0.25">
      <c r="N9352" s="514"/>
    </row>
    <row r="9353" spans="14:14" x14ac:dyDescent="0.25">
      <c r="N9353" s="514"/>
    </row>
    <row r="9354" spans="14:14" x14ac:dyDescent="0.25">
      <c r="N9354" s="514"/>
    </row>
    <row r="9355" spans="14:14" x14ac:dyDescent="0.25">
      <c r="N9355" s="514"/>
    </row>
    <row r="9356" spans="14:14" x14ac:dyDescent="0.25">
      <c r="N9356" s="514"/>
    </row>
    <row r="9357" spans="14:14" x14ac:dyDescent="0.25">
      <c r="N9357" s="514"/>
    </row>
    <row r="9358" spans="14:14" x14ac:dyDescent="0.25">
      <c r="N9358" s="514"/>
    </row>
    <row r="9359" spans="14:14" x14ac:dyDescent="0.25">
      <c r="N9359" s="514"/>
    </row>
    <row r="9360" spans="14:14" x14ac:dyDescent="0.25">
      <c r="N9360" s="514"/>
    </row>
    <row r="9361" spans="14:14" x14ac:dyDescent="0.25">
      <c r="N9361" s="514"/>
    </row>
    <row r="9362" spans="14:14" x14ac:dyDescent="0.25">
      <c r="N9362" s="514"/>
    </row>
    <row r="9363" spans="14:14" x14ac:dyDescent="0.25">
      <c r="N9363" s="514"/>
    </row>
    <row r="9364" spans="14:14" x14ac:dyDescent="0.25">
      <c r="N9364" s="514"/>
    </row>
    <row r="9365" spans="14:14" x14ac:dyDescent="0.25">
      <c r="N9365" s="514"/>
    </row>
    <row r="9366" spans="14:14" x14ac:dyDescent="0.25">
      <c r="N9366" s="514"/>
    </row>
    <row r="9367" spans="14:14" x14ac:dyDescent="0.25">
      <c r="N9367" s="514"/>
    </row>
    <row r="9368" spans="14:14" x14ac:dyDescent="0.25">
      <c r="N9368" s="514"/>
    </row>
    <row r="9369" spans="14:14" x14ac:dyDescent="0.25">
      <c r="N9369" s="514"/>
    </row>
    <row r="9370" spans="14:14" x14ac:dyDescent="0.25">
      <c r="N9370" s="514"/>
    </row>
    <row r="9371" spans="14:14" x14ac:dyDescent="0.25">
      <c r="N9371" s="514"/>
    </row>
    <row r="9372" spans="14:14" x14ac:dyDescent="0.25">
      <c r="N9372" s="514"/>
    </row>
    <row r="9373" spans="14:14" x14ac:dyDescent="0.25">
      <c r="N9373" s="514"/>
    </row>
    <row r="9374" spans="14:14" x14ac:dyDescent="0.25">
      <c r="N9374" s="514"/>
    </row>
    <row r="9375" spans="14:14" x14ac:dyDescent="0.25">
      <c r="N9375" s="514"/>
    </row>
    <row r="9376" spans="14:14" x14ac:dyDescent="0.25">
      <c r="N9376" s="514"/>
    </row>
    <row r="9377" spans="14:14" x14ac:dyDescent="0.25">
      <c r="N9377" s="514"/>
    </row>
    <row r="9378" spans="14:14" x14ac:dyDescent="0.25">
      <c r="N9378" s="514"/>
    </row>
    <row r="9379" spans="14:14" x14ac:dyDescent="0.25">
      <c r="N9379" s="514"/>
    </row>
    <row r="9380" spans="14:14" x14ac:dyDescent="0.25">
      <c r="N9380" s="514"/>
    </row>
    <row r="9381" spans="14:14" x14ac:dyDescent="0.25">
      <c r="N9381" s="514"/>
    </row>
    <row r="9382" spans="14:14" x14ac:dyDescent="0.25">
      <c r="N9382" s="514"/>
    </row>
    <row r="9383" spans="14:14" x14ac:dyDescent="0.25">
      <c r="N9383" s="514"/>
    </row>
    <row r="9384" spans="14:14" x14ac:dyDescent="0.25">
      <c r="N9384" s="514"/>
    </row>
    <row r="9385" spans="14:14" x14ac:dyDescent="0.25">
      <c r="N9385" s="514"/>
    </row>
    <row r="9386" spans="14:14" x14ac:dyDescent="0.25">
      <c r="N9386" s="514"/>
    </row>
    <row r="9387" spans="14:14" x14ac:dyDescent="0.25">
      <c r="N9387" s="514"/>
    </row>
    <row r="9388" spans="14:14" x14ac:dyDescent="0.25">
      <c r="N9388" s="514"/>
    </row>
    <row r="9389" spans="14:14" x14ac:dyDescent="0.25">
      <c r="N9389" s="514"/>
    </row>
    <row r="9390" spans="14:14" x14ac:dyDescent="0.25">
      <c r="N9390" s="514"/>
    </row>
    <row r="9391" spans="14:14" x14ac:dyDescent="0.25">
      <c r="N9391" s="514"/>
    </row>
    <row r="9392" spans="14:14" x14ac:dyDescent="0.25">
      <c r="N9392" s="514"/>
    </row>
    <row r="9393" spans="14:14" x14ac:dyDescent="0.25">
      <c r="N9393" s="514"/>
    </row>
    <row r="9394" spans="14:14" x14ac:dyDescent="0.25">
      <c r="N9394" s="514"/>
    </row>
    <row r="9395" spans="14:14" x14ac:dyDescent="0.25">
      <c r="N9395" s="514"/>
    </row>
    <row r="9396" spans="14:14" x14ac:dyDescent="0.25">
      <c r="N9396" s="514"/>
    </row>
    <row r="9397" spans="14:14" x14ac:dyDescent="0.25">
      <c r="N9397" s="514"/>
    </row>
    <row r="9398" spans="14:14" x14ac:dyDescent="0.25">
      <c r="N9398" s="514"/>
    </row>
    <row r="9399" spans="14:14" x14ac:dyDescent="0.25">
      <c r="N9399" s="514"/>
    </row>
    <row r="9400" spans="14:14" x14ac:dyDescent="0.25">
      <c r="N9400" s="514"/>
    </row>
    <row r="9401" spans="14:14" x14ac:dyDescent="0.25">
      <c r="N9401" s="514"/>
    </row>
    <row r="9402" spans="14:14" x14ac:dyDescent="0.25">
      <c r="N9402" s="514"/>
    </row>
    <row r="9403" spans="14:14" x14ac:dyDescent="0.25">
      <c r="N9403" s="514"/>
    </row>
    <row r="9404" spans="14:14" x14ac:dyDescent="0.25">
      <c r="N9404" s="514"/>
    </row>
    <row r="9405" spans="14:14" x14ac:dyDescent="0.25">
      <c r="N9405" s="514"/>
    </row>
    <row r="9406" spans="14:14" x14ac:dyDescent="0.25">
      <c r="N9406" s="514"/>
    </row>
    <row r="9407" spans="14:14" x14ac:dyDescent="0.25">
      <c r="N9407" s="514"/>
    </row>
    <row r="9408" spans="14:14" x14ac:dyDescent="0.25">
      <c r="N9408" s="514"/>
    </row>
    <row r="9409" spans="14:14" x14ac:dyDescent="0.25">
      <c r="N9409" s="514"/>
    </row>
    <row r="9410" spans="14:14" x14ac:dyDescent="0.25">
      <c r="N9410" s="514"/>
    </row>
    <row r="9411" spans="14:14" x14ac:dyDescent="0.25">
      <c r="N9411" s="514"/>
    </row>
    <row r="9412" spans="14:14" x14ac:dyDescent="0.25">
      <c r="N9412" s="514"/>
    </row>
    <row r="9413" spans="14:14" x14ac:dyDescent="0.25">
      <c r="N9413" s="514"/>
    </row>
    <row r="9414" spans="14:14" x14ac:dyDescent="0.25">
      <c r="N9414" s="514"/>
    </row>
    <row r="9415" spans="14:14" x14ac:dyDescent="0.25">
      <c r="N9415" s="514"/>
    </row>
    <row r="9416" spans="14:14" x14ac:dyDescent="0.25">
      <c r="N9416" s="514"/>
    </row>
    <row r="9417" spans="14:14" x14ac:dyDescent="0.25">
      <c r="N9417" s="514"/>
    </row>
    <row r="9418" spans="14:14" x14ac:dyDescent="0.25">
      <c r="N9418" s="514"/>
    </row>
    <row r="9419" spans="14:14" x14ac:dyDescent="0.25">
      <c r="N9419" s="514"/>
    </row>
    <row r="9420" spans="14:14" x14ac:dyDescent="0.25">
      <c r="N9420" s="514"/>
    </row>
    <row r="9421" spans="14:14" x14ac:dyDescent="0.25">
      <c r="N9421" s="514"/>
    </row>
    <row r="9422" spans="14:14" x14ac:dyDescent="0.25">
      <c r="N9422" s="514"/>
    </row>
    <row r="9423" spans="14:14" x14ac:dyDescent="0.25">
      <c r="N9423" s="514"/>
    </row>
    <row r="9424" spans="14:14" x14ac:dyDescent="0.25">
      <c r="N9424" s="514"/>
    </row>
    <row r="9425" spans="14:14" x14ac:dyDescent="0.25">
      <c r="N9425" s="514"/>
    </row>
    <row r="9426" spans="14:14" x14ac:dyDescent="0.25">
      <c r="N9426" s="514"/>
    </row>
    <row r="9427" spans="14:14" x14ac:dyDescent="0.25">
      <c r="N9427" s="514"/>
    </row>
    <row r="9428" spans="14:14" x14ac:dyDescent="0.25">
      <c r="N9428" s="514"/>
    </row>
    <row r="9429" spans="14:14" x14ac:dyDescent="0.25">
      <c r="N9429" s="514"/>
    </row>
    <row r="9430" spans="14:14" x14ac:dyDescent="0.25">
      <c r="N9430" s="514"/>
    </row>
    <row r="9431" spans="14:14" x14ac:dyDescent="0.25">
      <c r="N9431" s="514"/>
    </row>
    <row r="9432" spans="14:14" x14ac:dyDescent="0.25">
      <c r="N9432" s="514"/>
    </row>
    <row r="9433" spans="14:14" x14ac:dyDescent="0.25">
      <c r="N9433" s="514"/>
    </row>
    <row r="9434" spans="14:14" x14ac:dyDescent="0.25">
      <c r="N9434" s="514"/>
    </row>
    <row r="9435" spans="14:14" x14ac:dyDescent="0.25">
      <c r="N9435" s="514"/>
    </row>
    <row r="9436" spans="14:14" x14ac:dyDescent="0.25">
      <c r="N9436" s="514"/>
    </row>
    <row r="9437" spans="14:14" x14ac:dyDescent="0.25">
      <c r="N9437" s="514"/>
    </row>
    <row r="9438" spans="14:14" x14ac:dyDescent="0.25">
      <c r="N9438" s="514"/>
    </row>
    <row r="9439" spans="14:14" x14ac:dyDescent="0.25">
      <c r="N9439" s="514"/>
    </row>
    <row r="9440" spans="14:14" x14ac:dyDescent="0.25">
      <c r="N9440" s="514"/>
    </row>
    <row r="9441" spans="14:14" x14ac:dyDescent="0.25">
      <c r="N9441" s="514"/>
    </row>
    <row r="9442" spans="14:14" x14ac:dyDescent="0.25">
      <c r="N9442" s="514"/>
    </row>
    <row r="9443" spans="14:14" x14ac:dyDescent="0.25">
      <c r="N9443" s="514"/>
    </row>
    <row r="9444" spans="14:14" x14ac:dyDescent="0.25">
      <c r="N9444" s="514"/>
    </row>
    <row r="9445" spans="14:14" x14ac:dyDescent="0.25">
      <c r="N9445" s="514"/>
    </row>
    <row r="9446" spans="14:14" x14ac:dyDescent="0.25">
      <c r="N9446" s="514"/>
    </row>
    <row r="9447" spans="14:14" x14ac:dyDescent="0.25">
      <c r="N9447" s="514"/>
    </row>
    <row r="9448" spans="14:14" x14ac:dyDescent="0.25">
      <c r="N9448" s="514"/>
    </row>
    <row r="9449" spans="14:14" x14ac:dyDescent="0.25">
      <c r="N9449" s="514"/>
    </row>
    <row r="9450" spans="14:14" x14ac:dyDescent="0.25">
      <c r="N9450" s="514"/>
    </row>
    <row r="9451" spans="14:14" x14ac:dyDescent="0.25">
      <c r="N9451" s="514"/>
    </row>
    <row r="9452" spans="14:14" x14ac:dyDescent="0.25">
      <c r="N9452" s="514"/>
    </row>
    <row r="9453" spans="14:14" x14ac:dyDescent="0.25">
      <c r="N9453" s="514"/>
    </row>
    <row r="9454" spans="14:14" x14ac:dyDescent="0.25">
      <c r="N9454" s="514"/>
    </row>
    <row r="9455" spans="14:14" x14ac:dyDescent="0.25">
      <c r="N9455" s="514"/>
    </row>
    <row r="9456" spans="14:14" x14ac:dyDescent="0.25">
      <c r="N9456" s="514"/>
    </row>
    <row r="9457" spans="14:14" x14ac:dyDescent="0.25">
      <c r="N9457" s="514"/>
    </row>
    <row r="9458" spans="14:14" x14ac:dyDescent="0.25">
      <c r="N9458" s="514"/>
    </row>
    <row r="9459" spans="14:14" x14ac:dyDescent="0.25">
      <c r="N9459" s="514"/>
    </row>
    <row r="9460" spans="14:14" x14ac:dyDescent="0.25">
      <c r="N9460" s="514"/>
    </row>
    <row r="9461" spans="14:14" x14ac:dyDescent="0.25">
      <c r="N9461" s="514"/>
    </row>
    <row r="9462" spans="14:14" x14ac:dyDescent="0.25">
      <c r="N9462" s="514"/>
    </row>
    <row r="9463" spans="14:14" x14ac:dyDescent="0.25">
      <c r="N9463" s="514"/>
    </row>
    <row r="9464" spans="14:14" x14ac:dyDescent="0.25">
      <c r="N9464" s="514"/>
    </row>
    <row r="9465" spans="14:14" x14ac:dyDescent="0.25">
      <c r="N9465" s="514"/>
    </row>
    <row r="9466" spans="14:14" x14ac:dyDescent="0.25">
      <c r="N9466" s="514"/>
    </row>
    <row r="9467" spans="14:14" x14ac:dyDescent="0.25">
      <c r="N9467" s="514"/>
    </row>
    <row r="9468" spans="14:14" x14ac:dyDescent="0.25">
      <c r="N9468" s="514"/>
    </row>
    <row r="9469" spans="14:14" x14ac:dyDescent="0.25">
      <c r="N9469" s="514"/>
    </row>
    <row r="9470" spans="14:14" x14ac:dyDescent="0.25">
      <c r="N9470" s="514"/>
    </row>
    <row r="9471" spans="14:14" x14ac:dyDescent="0.25">
      <c r="N9471" s="514"/>
    </row>
    <row r="9472" spans="14:14" x14ac:dyDescent="0.25">
      <c r="N9472" s="514"/>
    </row>
    <row r="9473" spans="14:14" x14ac:dyDescent="0.25">
      <c r="N9473" s="514"/>
    </row>
    <row r="9474" spans="14:14" x14ac:dyDescent="0.25">
      <c r="N9474" s="514"/>
    </row>
    <row r="9475" spans="14:14" x14ac:dyDescent="0.25">
      <c r="N9475" s="514"/>
    </row>
    <row r="9476" spans="14:14" x14ac:dyDescent="0.25">
      <c r="N9476" s="514"/>
    </row>
    <row r="9477" spans="14:14" x14ac:dyDescent="0.25">
      <c r="N9477" s="514"/>
    </row>
    <row r="9478" spans="14:14" x14ac:dyDescent="0.25">
      <c r="N9478" s="514"/>
    </row>
    <row r="9479" spans="14:14" x14ac:dyDescent="0.25">
      <c r="N9479" s="514"/>
    </row>
    <row r="9480" spans="14:14" x14ac:dyDescent="0.25">
      <c r="N9480" s="514"/>
    </row>
    <row r="9481" spans="14:14" x14ac:dyDescent="0.25">
      <c r="N9481" s="514"/>
    </row>
    <row r="9482" spans="14:14" x14ac:dyDescent="0.25">
      <c r="N9482" s="514"/>
    </row>
    <row r="9483" spans="14:14" x14ac:dyDescent="0.25">
      <c r="N9483" s="514"/>
    </row>
    <row r="9484" spans="14:14" x14ac:dyDescent="0.25">
      <c r="N9484" s="514"/>
    </row>
    <row r="9485" spans="14:14" x14ac:dyDescent="0.25">
      <c r="N9485" s="514"/>
    </row>
    <row r="9486" spans="14:14" x14ac:dyDescent="0.25">
      <c r="N9486" s="514"/>
    </row>
    <row r="9487" spans="14:14" x14ac:dyDescent="0.25">
      <c r="N9487" s="514"/>
    </row>
    <row r="9488" spans="14:14" x14ac:dyDescent="0.25">
      <c r="N9488" s="514"/>
    </row>
    <row r="9489" spans="14:14" x14ac:dyDescent="0.25">
      <c r="N9489" s="514"/>
    </row>
    <row r="9490" spans="14:14" x14ac:dyDescent="0.25">
      <c r="N9490" s="514"/>
    </row>
    <row r="9491" spans="14:14" x14ac:dyDescent="0.25">
      <c r="N9491" s="514"/>
    </row>
    <row r="9492" spans="14:14" x14ac:dyDescent="0.25">
      <c r="N9492" s="514"/>
    </row>
    <row r="9493" spans="14:14" x14ac:dyDescent="0.25">
      <c r="N9493" s="514"/>
    </row>
    <row r="9494" spans="14:14" x14ac:dyDescent="0.25">
      <c r="N9494" s="514"/>
    </row>
    <row r="9495" spans="14:14" x14ac:dyDescent="0.25">
      <c r="N9495" s="514"/>
    </row>
    <row r="9496" spans="14:14" x14ac:dyDescent="0.25">
      <c r="N9496" s="514"/>
    </row>
    <row r="9497" spans="14:14" x14ac:dyDescent="0.25">
      <c r="N9497" s="514"/>
    </row>
    <row r="9498" spans="14:14" x14ac:dyDescent="0.25">
      <c r="N9498" s="514"/>
    </row>
    <row r="9499" spans="14:14" x14ac:dyDescent="0.25">
      <c r="N9499" s="514"/>
    </row>
    <row r="9500" spans="14:14" x14ac:dyDescent="0.25">
      <c r="N9500" s="514"/>
    </row>
    <row r="9501" spans="14:14" x14ac:dyDescent="0.25">
      <c r="N9501" s="514"/>
    </row>
    <row r="9502" spans="14:14" x14ac:dyDescent="0.25">
      <c r="N9502" s="514"/>
    </row>
    <row r="9503" spans="14:14" x14ac:dyDescent="0.25">
      <c r="N9503" s="514"/>
    </row>
    <row r="9504" spans="14:14" x14ac:dyDescent="0.25">
      <c r="N9504" s="514"/>
    </row>
    <row r="9505" spans="14:14" x14ac:dyDescent="0.25">
      <c r="N9505" s="514"/>
    </row>
    <row r="9506" spans="14:14" x14ac:dyDescent="0.25">
      <c r="N9506" s="514"/>
    </row>
    <row r="9507" spans="14:14" x14ac:dyDescent="0.25">
      <c r="N9507" s="514"/>
    </row>
    <row r="9508" spans="14:14" x14ac:dyDescent="0.25">
      <c r="N9508" s="514"/>
    </row>
    <row r="9509" spans="14:14" x14ac:dyDescent="0.25">
      <c r="N9509" s="514"/>
    </row>
    <row r="9510" spans="14:14" x14ac:dyDescent="0.25">
      <c r="N9510" s="514"/>
    </row>
    <row r="9511" spans="14:14" x14ac:dyDescent="0.25">
      <c r="N9511" s="514"/>
    </row>
    <row r="9512" spans="14:14" x14ac:dyDescent="0.25">
      <c r="N9512" s="514"/>
    </row>
    <row r="9513" spans="14:14" x14ac:dyDescent="0.25">
      <c r="N9513" s="514"/>
    </row>
    <row r="9514" spans="14:14" x14ac:dyDescent="0.25">
      <c r="N9514" s="514"/>
    </row>
    <row r="9515" spans="14:14" x14ac:dyDescent="0.25">
      <c r="N9515" s="514"/>
    </row>
    <row r="9516" spans="14:14" x14ac:dyDescent="0.25">
      <c r="N9516" s="514"/>
    </row>
    <row r="9517" spans="14:14" x14ac:dyDescent="0.25">
      <c r="N9517" s="514"/>
    </row>
    <row r="9518" spans="14:14" x14ac:dyDescent="0.25">
      <c r="N9518" s="514"/>
    </row>
    <row r="9519" spans="14:14" x14ac:dyDescent="0.25">
      <c r="N9519" s="514"/>
    </row>
    <row r="9520" spans="14:14" x14ac:dyDescent="0.25">
      <c r="N9520" s="514"/>
    </row>
    <row r="9521" spans="14:14" x14ac:dyDescent="0.25">
      <c r="N9521" s="514"/>
    </row>
    <row r="9522" spans="14:14" x14ac:dyDescent="0.25">
      <c r="N9522" s="514"/>
    </row>
    <row r="9523" spans="14:14" x14ac:dyDescent="0.25">
      <c r="N9523" s="514"/>
    </row>
    <row r="9524" spans="14:14" x14ac:dyDescent="0.25">
      <c r="N9524" s="514"/>
    </row>
    <row r="9525" spans="14:14" x14ac:dyDescent="0.25">
      <c r="N9525" s="514"/>
    </row>
    <row r="9526" spans="14:14" x14ac:dyDescent="0.25">
      <c r="N9526" s="514"/>
    </row>
    <row r="9527" spans="14:14" x14ac:dyDescent="0.25">
      <c r="N9527" s="514"/>
    </row>
    <row r="9528" spans="14:14" x14ac:dyDescent="0.25">
      <c r="N9528" s="514"/>
    </row>
    <row r="9529" spans="14:14" x14ac:dyDescent="0.25">
      <c r="N9529" s="514"/>
    </row>
    <row r="9530" spans="14:14" x14ac:dyDescent="0.25">
      <c r="N9530" s="514"/>
    </row>
    <row r="9531" spans="14:14" x14ac:dyDescent="0.25">
      <c r="N9531" s="514"/>
    </row>
    <row r="9532" spans="14:14" x14ac:dyDescent="0.25">
      <c r="N9532" s="514"/>
    </row>
    <row r="9533" spans="14:14" x14ac:dyDescent="0.25">
      <c r="N9533" s="514"/>
    </row>
    <row r="9534" spans="14:14" x14ac:dyDescent="0.25">
      <c r="N9534" s="514"/>
    </row>
    <row r="9535" spans="14:14" x14ac:dyDescent="0.25">
      <c r="N9535" s="514"/>
    </row>
    <row r="9536" spans="14:14" x14ac:dyDescent="0.25">
      <c r="N9536" s="514"/>
    </row>
    <row r="9537" spans="14:14" x14ac:dyDescent="0.25">
      <c r="N9537" s="514"/>
    </row>
    <row r="9538" spans="14:14" x14ac:dyDescent="0.25">
      <c r="N9538" s="514"/>
    </row>
    <row r="9539" spans="14:14" x14ac:dyDescent="0.25">
      <c r="N9539" s="514"/>
    </row>
    <row r="9540" spans="14:14" x14ac:dyDescent="0.25">
      <c r="N9540" s="514"/>
    </row>
    <row r="9541" spans="14:14" x14ac:dyDescent="0.25">
      <c r="N9541" s="514"/>
    </row>
    <row r="9542" spans="14:14" x14ac:dyDescent="0.25">
      <c r="N9542" s="514"/>
    </row>
    <row r="9543" spans="14:14" x14ac:dyDescent="0.25">
      <c r="N9543" s="514"/>
    </row>
    <row r="9544" spans="14:14" x14ac:dyDescent="0.25">
      <c r="N9544" s="514"/>
    </row>
    <row r="9545" spans="14:14" x14ac:dyDescent="0.25">
      <c r="N9545" s="514"/>
    </row>
    <row r="9546" spans="14:14" x14ac:dyDescent="0.25">
      <c r="N9546" s="514"/>
    </row>
    <row r="9547" spans="14:14" x14ac:dyDescent="0.25">
      <c r="N9547" s="514"/>
    </row>
    <row r="9548" spans="14:14" x14ac:dyDescent="0.25">
      <c r="N9548" s="514"/>
    </row>
    <row r="9549" spans="14:14" x14ac:dyDescent="0.25">
      <c r="N9549" s="514"/>
    </row>
    <row r="9550" spans="14:14" x14ac:dyDescent="0.25">
      <c r="N9550" s="514"/>
    </row>
    <row r="9551" spans="14:14" x14ac:dyDescent="0.25">
      <c r="N9551" s="514"/>
    </row>
    <row r="9552" spans="14:14" x14ac:dyDescent="0.25">
      <c r="N9552" s="514"/>
    </row>
    <row r="9553" spans="14:14" x14ac:dyDescent="0.25">
      <c r="N9553" s="514"/>
    </row>
    <row r="9554" spans="14:14" x14ac:dyDescent="0.25">
      <c r="N9554" s="514"/>
    </row>
    <row r="9555" spans="14:14" x14ac:dyDescent="0.25">
      <c r="N9555" s="514"/>
    </row>
    <row r="9556" spans="14:14" x14ac:dyDescent="0.25">
      <c r="N9556" s="514"/>
    </row>
    <row r="9557" spans="14:14" x14ac:dyDescent="0.25">
      <c r="N9557" s="514"/>
    </row>
    <row r="9558" spans="14:14" x14ac:dyDescent="0.25">
      <c r="N9558" s="514"/>
    </row>
    <row r="9559" spans="14:14" x14ac:dyDescent="0.25">
      <c r="N9559" s="514"/>
    </row>
    <row r="9560" spans="14:14" x14ac:dyDescent="0.25">
      <c r="N9560" s="514"/>
    </row>
    <row r="9561" spans="14:14" x14ac:dyDescent="0.25">
      <c r="N9561" s="514"/>
    </row>
    <row r="9562" spans="14:14" x14ac:dyDescent="0.25">
      <c r="N9562" s="514"/>
    </row>
    <row r="9563" spans="14:14" x14ac:dyDescent="0.25">
      <c r="N9563" s="514"/>
    </row>
    <row r="9564" spans="14:14" x14ac:dyDescent="0.25">
      <c r="N9564" s="514"/>
    </row>
    <row r="9565" spans="14:14" x14ac:dyDescent="0.25">
      <c r="N9565" s="514"/>
    </row>
    <row r="9566" spans="14:14" x14ac:dyDescent="0.25">
      <c r="N9566" s="514"/>
    </row>
    <row r="9567" spans="14:14" x14ac:dyDescent="0.25">
      <c r="N9567" s="514"/>
    </row>
    <row r="9568" spans="14:14" x14ac:dyDescent="0.25">
      <c r="N9568" s="514"/>
    </row>
    <row r="9569" spans="14:14" x14ac:dyDescent="0.25">
      <c r="N9569" s="514"/>
    </row>
    <row r="9570" spans="14:14" x14ac:dyDescent="0.25">
      <c r="N9570" s="514"/>
    </row>
    <row r="9571" spans="14:14" x14ac:dyDescent="0.25">
      <c r="N9571" s="514"/>
    </row>
    <row r="9572" spans="14:14" x14ac:dyDescent="0.25">
      <c r="N9572" s="514"/>
    </row>
    <row r="9573" spans="14:14" x14ac:dyDescent="0.25">
      <c r="N9573" s="514"/>
    </row>
    <row r="9574" spans="14:14" x14ac:dyDescent="0.25">
      <c r="N9574" s="514"/>
    </row>
    <row r="9575" spans="14:14" x14ac:dyDescent="0.25">
      <c r="N9575" s="514"/>
    </row>
    <row r="9576" spans="14:14" x14ac:dyDescent="0.25">
      <c r="N9576" s="514"/>
    </row>
    <row r="9577" spans="14:14" x14ac:dyDescent="0.25">
      <c r="N9577" s="514"/>
    </row>
    <row r="9578" spans="14:14" x14ac:dyDescent="0.25">
      <c r="N9578" s="514"/>
    </row>
    <row r="9579" spans="14:14" x14ac:dyDescent="0.25">
      <c r="N9579" s="514"/>
    </row>
    <row r="9580" spans="14:14" x14ac:dyDescent="0.25">
      <c r="N9580" s="514"/>
    </row>
    <row r="9581" spans="14:14" x14ac:dyDescent="0.25">
      <c r="N9581" s="514"/>
    </row>
    <row r="9582" spans="14:14" x14ac:dyDescent="0.25">
      <c r="N9582" s="514"/>
    </row>
    <row r="9583" spans="14:14" x14ac:dyDescent="0.25">
      <c r="N9583" s="514"/>
    </row>
    <row r="9584" spans="14:14" x14ac:dyDescent="0.25">
      <c r="N9584" s="514"/>
    </row>
    <row r="9585" spans="14:14" x14ac:dyDescent="0.25">
      <c r="N9585" s="514"/>
    </row>
    <row r="9586" spans="14:14" x14ac:dyDescent="0.25">
      <c r="N9586" s="514"/>
    </row>
    <row r="9587" spans="14:14" x14ac:dyDescent="0.25">
      <c r="N9587" s="514"/>
    </row>
    <row r="9588" spans="14:14" x14ac:dyDescent="0.25">
      <c r="N9588" s="514"/>
    </row>
    <row r="9589" spans="14:14" x14ac:dyDescent="0.25">
      <c r="N9589" s="514"/>
    </row>
    <row r="9590" spans="14:14" x14ac:dyDescent="0.25">
      <c r="N9590" s="514"/>
    </row>
    <row r="9591" spans="14:14" x14ac:dyDescent="0.25">
      <c r="N9591" s="514"/>
    </row>
    <row r="9592" spans="14:14" x14ac:dyDescent="0.25">
      <c r="N9592" s="514"/>
    </row>
    <row r="9593" spans="14:14" x14ac:dyDescent="0.25">
      <c r="N9593" s="514"/>
    </row>
    <row r="9594" spans="14:14" x14ac:dyDescent="0.25">
      <c r="N9594" s="514"/>
    </row>
    <row r="9595" spans="14:14" x14ac:dyDescent="0.25">
      <c r="N9595" s="514"/>
    </row>
    <row r="9596" spans="14:14" x14ac:dyDescent="0.25">
      <c r="N9596" s="514"/>
    </row>
    <row r="9597" spans="14:14" x14ac:dyDescent="0.25">
      <c r="N9597" s="514"/>
    </row>
    <row r="9598" spans="14:14" x14ac:dyDescent="0.25">
      <c r="N9598" s="514"/>
    </row>
    <row r="9599" spans="14:14" x14ac:dyDescent="0.25">
      <c r="N9599" s="514"/>
    </row>
    <row r="9600" spans="14:14" x14ac:dyDescent="0.25">
      <c r="N9600" s="514"/>
    </row>
    <row r="9601" spans="14:14" x14ac:dyDescent="0.25">
      <c r="N9601" s="514"/>
    </row>
    <row r="9602" spans="14:14" x14ac:dyDescent="0.25">
      <c r="N9602" s="514"/>
    </row>
    <row r="9603" spans="14:14" x14ac:dyDescent="0.25">
      <c r="N9603" s="514"/>
    </row>
    <row r="9604" spans="14:14" x14ac:dyDescent="0.25">
      <c r="N9604" s="514"/>
    </row>
    <row r="9605" spans="14:14" x14ac:dyDescent="0.25">
      <c r="N9605" s="514"/>
    </row>
    <row r="9606" spans="14:14" x14ac:dyDescent="0.25">
      <c r="N9606" s="514"/>
    </row>
    <row r="9607" spans="14:14" x14ac:dyDescent="0.25">
      <c r="N9607" s="514"/>
    </row>
    <row r="9608" spans="14:14" x14ac:dyDescent="0.25">
      <c r="N9608" s="514"/>
    </row>
    <row r="9609" spans="14:14" x14ac:dyDescent="0.25">
      <c r="N9609" s="514"/>
    </row>
    <row r="9610" spans="14:14" x14ac:dyDescent="0.25">
      <c r="N9610" s="514"/>
    </row>
    <row r="9611" spans="14:14" x14ac:dyDescent="0.25">
      <c r="N9611" s="514"/>
    </row>
    <row r="9612" spans="14:14" x14ac:dyDescent="0.25">
      <c r="N9612" s="514"/>
    </row>
    <row r="9613" spans="14:14" x14ac:dyDescent="0.25">
      <c r="N9613" s="514"/>
    </row>
    <row r="9614" spans="14:14" x14ac:dyDescent="0.25">
      <c r="N9614" s="514"/>
    </row>
    <row r="9615" spans="14:14" x14ac:dyDescent="0.25">
      <c r="N9615" s="514"/>
    </row>
    <row r="9616" spans="14:14" x14ac:dyDescent="0.25">
      <c r="N9616" s="514"/>
    </row>
    <row r="9617" spans="14:14" x14ac:dyDescent="0.25">
      <c r="N9617" s="514"/>
    </row>
    <row r="9618" spans="14:14" x14ac:dyDescent="0.25">
      <c r="N9618" s="514"/>
    </row>
    <row r="9619" spans="14:14" x14ac:dyDescent="0.25">
      <c r="N9619" s="514"/>
    </row>
    <row r="9620" spans="14:14" x14ac:dyDescent="0.25">
      <c r="N9620" s="514"/>
    </row>
    <row r="9621" spans="14:14" x14ac:dyDescent="0.25">
      <c r="N9621" s="514"/>
    </row>
    <row r="9622" spans="14:14" x14ac:dyDescent="0.25">
      <c r="N9622" s="514"/>
    </row>
    <row r="9623" spans="14:14" x14ac:dyDescent="0.25">
      <c r="N9623" s="514"/>
    </row>
    <row r="9624" spans="14:14" x14ac:dyDescent="0.25">
      <c r="N9624" s="514"/>
    </row>
    <row r="9625" spans="14:14" x14ac:dyDescent="0.25">
      <c r="N9625" s="514"/>
    </row>
    <row r="9626" spans="14:14" x14ac:dyDescent="0.25">
      <c r="N9626" s="514"/>
    </row>
    <row r="9627" spans="14:14" x14ac:dyDescent="0.25">
      <c r="N9627" s="514"/>
    </row>
    <row r="9628" spans="14:14" x14ac:dyDescent="0.25">
      <c r="N9628" s="514"/>
    </row>
    <row r="9629" spans="14:14" x14ac:dyDescent="0.25">
      <c r="N9629" s="514"/>
    </row>
    <row r="9630" spans="14:14" x14ac:dyDescent="0.25">
      <c r="N9630" s="514"/>
    </row>
    <row r="9631" spans="14:14" x14ac:dyDescent="0.25">
      <c r="N9631" s="514"/>
    </row>
    <row r="9632" spans="14:14" x14ac:dyDescent="0.25">
      <c r="N9632" s="514"/>
    </row>
    <row r="9633" spans="14:14" x14ac:dyDescent="0.25">
      <c r="N9633" s="514"/>
    </row>
    <row r="9634" spans="14:14" x14ac:dyDescent="0.25">
      <c r="N9634" s="514"/>
    </row>
    <row r="9635" spans="14:14" x14ac:dyDescent="0.25">
      <c r="N9635" s="514"/>
    </row>
    <row r="9636" spans="14:14" x14ac:dyDescent="0.25">
      <c r="N9636" s="514"/>
    </row>
    <row r="9637" spans="14:14" x14ac:dyDescent="0.25">
      <c r="N9637" s="514"/>
    </row>
    <row r="9638" spans="14:14" x14ac:dyDescent="0.25">
      <c r="N9638" s="514"/>
    </row>
    <row r="9639" spans="14:14" x14ac:dyDescent="0.25">
      <c r="N9639" s="514"/>
    </row>
    <row r="9640" spans="14:14" x14ac:dyDescent="0.25">
      <c r="N9640" s="514"/>
    </row>
    <row r="9641" spans="14:14" x14ac:dyDescent="0.25">
      <c r="N9641" s="514"/>
    </row>
    <row r="9642" spans="14:14" x14ac:dyDescent="0.25">
      <c r="N9642" s="514"/>
    </row>
    <row r="9643" spans="14:14" x14ac:dyDescent="0.25">
      <c r="N9643" s="514"/>
    </row>
    <row r="9644" spans="14:14" x14ac:dyDescent="0.25">
      <c r="N9644" s="514"/>
    </row>
    <row r="9645" spans="14:14" x14ac:dyDescent="0.25">
      <c r="N9645" s="514"/>
    </row>
    <row r="9646" spans="14:14" x14ac:dyDescent="0.25">
      <c r="N9646" s="514"/>
    </row>
    <row r="9647" spans="14:14" x14ac:dyDescent="0.25">
      <c r="N9647" s="514"/>
    </row>
    <row r="9648" spans="14:14" x14ac:dyDescent="0.25">
      <c r="N9648" s="514"/>
    </row>
    <row r="9649" spans="14:14" x14ac:dyDescent="0.25">
      <c r="N9649" s="514"/>
    </row>
    <row r="9650" spans="14:14" x14ac:dyDescent="0.25">
      <c r="N9650" s="514"/>
    </row>
    <row r="9651" spans="14:14" x14ac:dyDescent="0.25">
      <c r="N9651" s="514"/>
    </row>
    <row r="9652" spans="14:14" x14ac:dyDescent="0.25">
      <c r="N9652" s="514"/>
    </row>
    <row r="9653" spans="14:14" x14ac:dyDescent="0.25">
      <c r="N9653" s="514"/>
    </row>
    <row r="9654" spans="14:14" x14ac:dyDescent="0.25">
      <c r="N9654" s="514"/>
    </row>
    <row r="9655" spans="14:14" x14ac:dyDescent="0.25">
      <c r="N9655" s="514"/>
    </row>
    <row r="9656" spans="14:14" x14ac:dyDescent="0.25">
      <c r="N9656" s="514"/>
    </row>
    <row r="9657" spans="14:14" x14ac:dyDescent="0.25">
      <c r="N9657" s="514"/>
    </row>
    <row r="9658" spans="14:14" x14ac:dyDescent="0.25">
      <c r="N9658" s="514"/>
    </row>
    <row r="9659" spans="14:14" x14ac:dyDescent="0.25">
      <c r="N9659" s="514"/>
    </row>
    <row r="9660" spans="14:14" x14ac:dyDescent="0.25">
      <c r="N9660" s="514"/>
    </row>
    <row r="9661" spans="14:14" x14ac:dyDescent="0.25">
      <c r="N9661" s="514"/>
    </row>
    <row r="9662" spans="14:14" x14ac:dyDescent="0.25">
      <c r="N9662" s="514"/>
    </row>
    <row r="9663" spans="14:14" x14ac:dyDescent="0.25">
      <c r="N9663" s="514"/>
    </row>
    <row r="9664" spans="14:14" x14ac:dyDescent="0.25">
      <c r="N9664" s="514"/>
    </row>
    <row r="9665" spans="14:14" x14ac:dyDescent="0.25">
      <c r="N9665" s="514"/>
    </row>
    <row r="9666" spans="14:14" x14ac:dyDescent="0.25">
      <c r="N9666" s="514"/>
    </row>
    <row r="9667" spans="14:14" x14ac:dyDescent="0.25">
      <c r="N9667" s="514"/>
    </row>
    <row r="9668" spans="14:14" x14ac:dyDescent="0.25">
      <c r="N9668" s="514"/>
    </row>
    <row r="9669" spans="14:14" x14ac:dyDescent="0.25">
      <c r="N9669" s="514"/>
    </row>
    <row r="9670" spans="14:14" x14ac:dyDescent="0.25">
      <c r="N9670" s="514"/>
    </row>
    <row r="9671" spans="14:14" x14ac:dyDescent="0.25">
      <c r="N9671" s="514"/>
    </row>
    <row r="9672" spans="14:14" x14ac:dyDescent="0.25">
      <c r="N9672" s="514"/>
    </row>
    <row r="9673" spans="14:14" x14ac:dyDescent="0.25">
      <c r="N9673" s="514"/>
    </row>
    <row r="9674" spans="14:14" x14ac:dyDescent="0.25">
      <c r="N9674" s="514"/>
    </row>
    <row r="9675" spans="14:14" x14ac:dyDescent="0.25">
      <c r="N9675" s="514"/>
    </row>
    <row r="9676" spans="14:14" x14ac:dyDescent="0.25">
      <c r="N9676" s="514"/>
    </row>
    <row r="9677" spans="14:14" x14ac:dyDescent="0.25">
      <c r="N9677" s="514"/>
    </row>
    <row r="9678" spans="14:14" x14ac:dyDescent="0.25">
      <c r="N9678" s="514"/>
    </row>
    <row r="9679" spans="14:14" x14ac:dyDescent="0.25">
      <c r="N9679" s="514"/>
    </row>
    <row r="9680" spans="14:14" x14ac:dyDescent="0.25">
      <c r="N9680" s="514"/>
    </row>
    <row r="9681" spans="14:14" x14ac:dyDescent="0.25">
      <c r="N9681" s="514"/>
    </row>
    <row r="9682" spans="14:14" x14ac:dyDescent="0.25">
      <c r="N9682" s="514"/>
    </row>
    <row r="9683" spans="14:14" x14ac:dyDescent="0.25">
      <c r="N9683" s="514"/>
    </row>
    <row r="9684" spans="14:14" x14ac:dyDescent="0.25">
      <c r="N9684" s="514"/>
    </row>
    <row r="9685" spans="14:14" x14ac:dyDescent="0.25">
      <c r="N9685" s="514"/>
    </row>
    <row r="9686" spans="14:14" x14ac:dyDescent="0.25">
      <c r="N9686" s="514"/>
    </row>
    <row r="9687" spans="14:14" x14ac:dyDescent="0.25">
      <c r="N9687" s="514"/>
    </row>
    <row r="9688" spans="14:14" x14ac:dyDescent="0.25">
      <c r="N9688" s="514"/>
    </row>
    <row r="9689" spans="14:14" x14ac:dyDescent="0.25">
      <c r="N9689" s="514"/>
    </row>
    <row r="9690" spans="14:14" x14ac:dyDescent="0.25">
      <c r="N9690" s="514"/>
    </row>
    <row r="9691" spans="14:14" x14ac:dyDescent="0.25">
      <c r="N9691" s="514"/>
    </row>
    <row r="9692" spans="14:14" x14ac:dyDescent="0.25">
      <c r="N9692" s="514"/>
    </row>
    <row r="9693" spans="14:14" x14ac:dyDescent="0.25">
      <c r="N9693" s="514"/>
    </row>
    <row r="9694" spans="14:14" x14ac:dyDescent="0.25">
      <c r="N9694" s="514"/>
    </row>
    <row r="9695" spans="14:14" x14ac:dyDescent="0.25">
      <c r="N9695" s="514"/>
    </row>
    <row r="9696" spans="14:14" x14ac:dyDescent="0.25">
      <c r="N9696" s="514"/>
    </row>
    <row r="9697" spans="14:14" x14ac:dyDescent="0.25">
      <c r="N9697" s="514"/>
    </row>
    <row r="9698" spans="14:14" x14ac:dyDescent="0.25">
      <c r="N9698" s="514"/>
    </row>
    <row r="9699" spans="14:14" x14ac:dyDescent="0.25">
      <c r="N9699" s="514"/>
    </row>
    <row r="9700" spans="14:14" x14ac:dyDescent="0.25">
      <c r="N9700" s="514"/>
    </row>
    <row r="9701" spans="14:14" x14ac:dyDescent="0.25">
      <c r="N9701" s="514"/>
    </row>
    <row r="9702" spans="14:14" x14ac:dyDescent="0.25">
      <c r="N9702" s="514"/>
    </row>
    <row r="9703" spans="14:14" x14ac:dyDescent="0.25">
      <c r="N9703" s="514"/>
    </row>
    <row r="9704" spans="14:14" x14ac:dyDescent="0.25">
      <c r="N9704" s="514"/>
    </row>
    <row r="9705" spans="14:14" x14ac:dyDescent="0.25">
      <c r="N9705" s="514"/>
    </row>
    <row r="9706" spans="14:14" x14ac:dyDescent="0.25">
      <c r="N9706" s="514"/>
    </row>
    <row r="9707" spans="14:14" x14ac:dyDescent="0.25">
      <c r="N9707" s="514"/>
    </row>
    <row r="9708" spans="14:14" x14ac:dyDescent="0.25">
      <c r="N9708" s="514"/>
    </row>
    <row r="9709" spans="14:14" x14ac:dyDescent="0.25">
      <c r="N9709" s="514"/>
    </row>
    <row r="9710" spans="14:14" x14ac:dyDescent="0.25">
      <c r="N9710" s="514"/>
    </row>
    <row r="9711" spans="14:14" x14ac:dyDescent="0.25">
      <c r="N9711" s="514"/>
    </row>
    <row r="9712" spans="14:14" x14ac:dyDescent="0.25">
      <c r="N9712" s="514"/>
    </row>
    <row r="9713" spans="14:14" x14ac:dyDescent="0.25">
      <c r="N9713" s="514"/>
    </row>
    <row r="9714" spans="14:14" x14ac:dyDescent="0.25">
      <c r="N9714" s="514"/>
    </row>
    <row r="9715" spans="14:14" x14ac:dyDescent="0.25">
      <c r="N9715" s="514"/>
    </row>
    <row r="9716" spans="14:14" x14ac:dyDescent="0.25">
      <c r="N9716" s="514"/>
    </row>
    <row r="9717" spans="14:14" x14ac:dyDescent="0.25">
      <c r="N9717" s="514"/>
    </row>
    <row r="9718" spans="14:14" x14ac:dyDescent="0.25">
      <c r="N9718" s="514"/>
    </row>
    <row r="9719" spans="14:14" x14ac:dyDescent="0.25">
      <c r="N9719" s="514"/>
    </row>
    <row r="9720" spans="14:14" x14ac:dyDescent="0.25">
      <c r="N9720" s="514"/>
    </row>
    <row r="9721" spans="14:14" x14ac:dyDescent="0.25">
      <c r="N9721" s="514"/>
    </row>
    <row r="9722" spans="14:14" x14ac:dyDescent="0.25">
      <c r="N9722" s="514"/>
    </row>
    <row r="9723" spans="14:14" x14ac:dyDescent="0.25">
      <c r="N9723" s="514"/>
    </row>
    <row r="9724" spans="14:14" x14ac:dyDescent="0.25">
      <c r="N9724" s="514"/>
    </row>
    <row r="9725" spans="14:14" x14ac:dyDescent="0.25">
      <c r="N9725" s="514"/>
    </row>
    <row r="9726" spans="14:14" x14ac:dyDescent="0.25">
      <c r="N9726" s="514"/>
    </row>
    <row r="9727" spans="14:14" x14ac:dyDescent="0.25">
      <c r="N9727" s="514"/>
    </row>
    <row r="9728" spans="14:14" x14ac:dyDescent="0.25">
      <c r="N9728" s="514"/>
    </row>
    <row r="9729" spans="14:14" x14ac:dyDescent="0.25">
      <c r="N9729" s="514"/>
    </row>
    <row r="9730" spans="14:14" x14ac:dyDescent="0.25">
      <c r="N9730" s="514"/>
    </row>
    <row r="9731" spans="14:14" x14ac:dyDescent="0.25">
      <c r="N9731" s="514"/>
    </row>
    <row r="9732" spans="14:14" x14ac:dyDescent="0.25">
      <c r="N9732" s="514"/>
    </row>
    <row r="9733" spans="14:14" x14ac:dyDescent="0.25">
      <c r="N9733" s="514"/>
    </row>
    <row r="9734" spans="14:14" x14ac:dyDescent="0.25">
      <c r="N9734" s="514"/>
    </row>
    <row r="9735" spans="14:14" x14ac:dyDescent="0.25">
      <c r="N9735" s="514"/>
    </row>
    <row r="9736" spans="14:14" x14ac:dyDescent="0.25">
      <c r="N9736" s="514"/>
    </row>
    <row r="9737" spans="14:14" x14ac:dyDescent="0.25">
      <c r="N9737" s="514"/>
    </row>
    <row r="9738" spans="14:14" x14ac:dyDescent="0.25">
      <c r="N9738" s="514"/>
    </row>
    <row r="9739" spans="14:14" x14ac:dyDescent="0.25">
      <c r="N9739" s="514"/>
    </row>
    <row r="9740" spans="14:14" x14ac:dyDescent="0.25">
      <c r="N9740" s="514"/>
    </row>
    <row r="9741" spans="14:14" x14ac:dyDescent="0.25">
      <c r="N9741" s="514"/>
    </row>
    <row r="9742" spans="14:14" x14ac:dyDescent="0.25">
      <c r="N9742" s="514"/>
    </row>
    <row r="9743" spans="14:14" x14ac:dyDescent="0.25">
      <c r="N9743" s="514"/>
    </row>
    <row r="9744" spans="14:14" x14ac:dyDescent="0.25">
      <c r="N9744" s="514"/>
    </row>
    <row r="9745" spans="14:14" x14ac:dyDescent="0.25">
      <c r="N9745" s="514"/>
    </row>
    <row r="9746" spans="14:14" x14ac:dyDescent="0.25">
      <c r="N9746" s="514"/>
    </row>
    <row r="9747" spans="14:14" x14ac:dyDescent="0.25">
      <c r="N9747" s="514"/>
    </row>
    <row r="9748" spans="14:14" x14ac:dyDescent="0.25">
      <c r="N9748" s="514"/>
    </row>
    <row r="9749" spans="14:14" x14ac:dyDescent="0.25">
      <c r="N9749" s="514"/>
    </row>
    <row r="9750" spans="14:14" x14ac:dyDescent="0.25">
      <c r="N9750" s="514"/>
    </row>
    <row r="9751" spans="14:14" x14ac:dyDescent="0.25">
      <c r="N9751" s="514"/>
    </row>
    <row r="9752" spans="14:14" x14ac:dyDescent="0.25">
      <c r="N9752" s="514"/>
    </row>
    <row r="9753" spans="14:14" x14ac:dyDescent="0.25">
      <c r="N9753" s="514"/>
    </row>
    <row r="9754" spans="14:14" x14ac:dyDescent="0.25">
      <c r="N9754" s="514"/>
    </row>
    <row r="9755" spans="14:14" x14ac:dyDescent="0.25">
      <c r="N9755" s="514"/>
    </row>
    <row r="9756" spans="14:14" x14ac:dyDescent="0.25">
      <c r="N9756" s="514"/>
    </row>
    <row r="9757" spans="14:14" x14ac:dyDescent="0.25">
      <c r="N9757" s="514"/>
    </row>
    <row r="9758" spans="14:14" x14ac:dyDescent="0.25">
      <c r="N9758" s="514"/>
    </row>
    <row r="9759" spans="14:14" x14ac:dyDescent="0.25">
      <c r="N9759" s="514"/>
    </row>
    <row r="9760" spans="14:14" x14ac:dyDescent="0.25">
      <c r="N9760" s="514"/>
    </row>
    <row r="9761" spans="14:14" x14ac:dyDescent="0.25">
      <c r="N9761" s="514"/>
    </row>
    <row r="9762" spans="14:14" x14ac:dyDescent="0.25">
      <c r="N9762" s="514"/>
    </row>
    <row r="9763" spans="14:14" x14ac:dyDescent="0.25">
      <c r="N9763" s="514"/>
    </row>
    <row r="9764" spans="14:14" x14ac:dyDescent="0.25">
      <c r="N9764" s="514"/>
    </row>
    <row r="9765" spans="14:14" x14ac:dyDescent="0.25">
      <c r="N9765" s="514"/>
    </row>
    <row r="9766" spans="14:14" x14ac:dyDescent="0.25">
      <c r="N9766" s="514"/>
    </row>
    <row r="9767" spans="14:14" x14ac:dyDescent="0.25">
      <c r="N9767" s="514"/>
    </row>
    <row r="9768" spans="14:14" x14ac:dyDescent="0.25">
      <c r="N9768" s="514"/>
    </row>
    <row r="9769" spans="14:14" x14ac:dyDescent="0.25">
      <c r="N9769" s="514"/>
    </row>
    <row r="9770" spans="14:14" x14ac:dyDescent="0.25">
      <c r="N9770" s="514"/>
    </row>
    <row r="9771" spans="14:14" x14ac:dyDescent="0.25">
      <c r="N9771" s="514"/>
    </row>
    <row r="9772" spans="14:14" x14ac:dyDescent="0.25">
      <c r="N9772" s="514"/>
    </row>
    <row r="9773" spans="14:14" x14ac:dyDescent="0.25">
      <c r="N9773" s="514"/>
    </row>
    <row r="9774" spans="14:14" x14ac:dyDescent="0.25">
      <c r="N9774" s="514"/>
    </row>
    <row r="9775" spans="14:14" x14ac:dyDescent="0.25">
      <c r="N9775" s="514"/>
    </row>
    <row r="9776" spans="14:14" x14ac:dyDescent="0.25">
      <c r="N9776" s="514"/>
    </row>
    <row r="9777" spans="14:14" x14ac:dyDescent="0.25">
      <c r="N9777" s="514"/>
    </row>
    <row r="9778" spans="14:14" x14ac:dyDescent="0.25">
      <c r="N9778" s="514"/>
    </row>
    <row r="9779" spans="14:14" x14ac:dyDescent="0.25">
      <c r="N9779" s="514"/>
    </row>
    <row r="9780" spans="14:14" x14ac:dyDescent="0.25">
      <c r="N9780" s="514"/>
    </row>
    <row r="9781" spans="14:14" x14ac:dyDescent="0.25">
      <c r="N9781" s="514"/>
    </row>
    <row r="9782" spans="14:14" x14ac:dyDescent="0.25">
      <c r="N9782" s="514"/>
    </row>
    <row r="9783" spans="14:14" x14ac:dyDescent="0.25">
      <c r="N9783" s="514"/>
    </row>
    <row r="9784" spans="14:14" x14ac:dyDescent="0.25">
      <c r="N9784" s="514"/>
    </row>
    <row r="9785" spans="14:14" x14ac:dyDescent="0.25">
      <c r="N9785" s="514"/>
    </row>
    <row r="9786" spans="14:14" x14ac:dyDescent="0.25">
      <c r="N9786" s="514"/>
    </row>
    <row r="9787" spans="14:14" x14ac:dyDescent="0.25">
      <c r="N9787" s="514"/>
    </row>
    <row r="9788" spans="14:14" x14ac:dyDescent="0.25">
      <c r="N9788" s="514"/>
    </row>
    <row r="9789" spans="14:14" x14ac:dyDescent="0.25">
      <c r="N9789" s="514"/>
    </row>
    <row r="9790" spans="14:14" x14ac:dyDescent="0.25">
      <c r="N9790" s="514"/>
    </row>
    <row r="9791" spans="14:14" x14ac:dyDescent="0.25">
      <c r="N9791" s="514"/>
    </row>
    <row r="9792" spans="14:14" x14ac:dyDescent="0.25">
      <c r="N9792" s="514"/>
    </row>
    <row r="9793" spans="14:14" x14ac:dyDescent="0.25">
      <c r="N9793" s="514"/>
    </row>
    <row r="9794" spans="14:14" x14ac:dyDescent="0.25">
      <c r="N9794" s="514"/>
    </row>
    <row r="9795" spans="14:14" x14ac:dyDescent="0.25">
      <c r="N9795" s="514"/>
    </row>
    <row r="9796" spans="14:14" x14ac:dyDescent="0.25">
      <c r="N9796" s="514"/>
    </row>
    <row r="9797" spans="14:14" x14ac:dyDescent="0.25">
      <c r="N9797" s="514"/>
    </row>
    <row r="9798" spans="14:14" x14ac:dyDescent="0.25">
      <c r="N9798" s="514"/>
    </row>
    <row r="9799" spans="14:14" x14ac:dyDescent="0.25">
      <c r="N9799" s="514"/>
    </row>
    <row r="9800" spans="14:14" x14ac:dyDescent="0.25">
      <c r="N9800" s="514"/>
    </row>
    <row r="9801" spans="14:14" x14ac:dyDescent="0.25">
      <c r="N9801" s="514"/>
    </row>
    <row r="9802" spans="14:14" x14ac:dyDescent="0.25">
      <c r="N9802" s="514"/>
    </row>
    <row r="9803" spans="14:14" x14ac:dyDescent="0.25">
      <c r="N9803" s="514"/>
    </row>
    <row r="9804" spans="14:14" x14ac:dyDescent="0.25">
      <c r="N9804" s="514"/>
    </row>
    <row r="9805" spans="14:14" x14ac:dyDescent="0.25">
      <c r="N9805" s="514"/>
    </row>
    <row r="9806" spans="14:14" x14ac:dyDescent="0.25">
      <c r="N9806" s="514"/>
    </row>
    <row r="9807" spans="14:14" x14ac:dyDescent="0.25">
      <c r="N9807" s="514"/>
    </row>
    <row r="9808" spans="14:14" x14ac:dyDescent="0.25">
      <c r="N9808" s="514"/>
    </row>
    <row r="9809" spans="14:14" x14ac:dyDescent="0.25">
      <c r="N9809" s="514"/>
    </row>
    <row r="9810" spans="14:14" x14ac:dyDescent="0.25">
      <c r="N9810" s="514"/>
    </row>
    <row r="9811" spans="14:14" x14ac:dyDescent="0.25">
      <c r="N9811" s="514"/>
    </row>
    <row r="9812" spans="14:14" x14ac:dyDescent="0.25">
      <c r="N9812" s="514"/>
    </row>
    <row r="9813" spans="14:14" x14ac:dyDescent="0.25">
      <c r="N9813" s="514"/>
    </row>
    <row r="9814" spans="14:14" x14ac:dyDescent="0.25">
      <c r="N9814" s="514"/>
    </row>
    <row r="9815" spans="14:14" x14ac:dyDescent="0.25">
      <c r="N9815" s="514"/>
    </row>
    <row r="9816" spans="14:14" x14ac:dyDescent="0.25">
      <c r="N9816" s="514"/>
    </row>
    <row r="9817" spans="14:14" x14ac:dyDescent="0.25">
      <c r="N9817" s="514"/>
    </row>
    <row r="9818" spans="14:14" x14ac:dyDescent="0.25">
      <c r="N9818" s="514"/>
    </row>
    <row r="9819" spans="14:14" x14ac:dyDescent="0.25">
      <c r="N9819" s="514"/>
    </row>
    <row r="9820" spans="14:14" x14ac:dyDescent="0.25">
      <c r="N9820" s="514"/>
    </row>
    <row r="9821" spans="14:14" x14ac:dyDescent="0.25">
      <c r="N9821" s="514"/>
    </row>
    <row r="9822" spans="14:14" x14ac:dyDescent="0.25">
      <c r="N9822" s="514"/>
    </row>
    <row r="9823" spans="14:14" x14ac:dyDescent="0.25">
      <c r="N9823" s="514"/>
    </row>
    <row r="9824" spans="14:14" x14ac:dyDescent="0.25">
      <c r="N9824" s="514"/>
    </row>
    <row r="9825" spans="14:14" x14ac:dyDescent="0.25">
      <c r="N9825" s="514"/>
    </row>
    <row r="9826" spans="14:14" x14ac:dyDescent="0.25">
      <c r="N9826" s="514"/>
    </row>
    <row r="9827" spans="14:14" x14ac:dyDescent="0.25">
      <c r="N9827" s="514"/>
    </row>
    <row r="9828" spans="14:14" x14ac:dyDescent="0.25">
      <c r="N9828" s="514"/>
    </row>
    <row r="9829" spans="14:14" x14ac:dyDescent="0.25">
      <c r="N9829" s="514"/>
    </row>
    <row r="9830" spans="14:14" x14ac:dyDescent="0.25">
      <c r="N9830" s="514"/>
    </row>
    <row r="9831" spans="14:14" x14ac:dyDescent="0.25">
      <c r="N9831" s="514"/>
    </row>
    <row r="9832" spans="14:14" x14ac:dyDescent="0.25">
      <c r="N9832" s="514"/>
    </row>
    <row r="9833" spans="14:14" x14ac:dyDescent="0.25">
      <c r="N9833" s="514"/>
    </row>
    <row r="9834" spans="14:14" x14ac:dyDescent="0.25">
      <c r="N9834" s="514"/>
    </row>
    <row r="9835" spans="14:14" x14ac:dyDescent="0.25">
      <c r="N9835" s="514"/>
    </row>
    <row r="9836" spans="14:14" x14ac:dyDescent="0.25">
      <c r="N9836" s="514"/>
    </row>
    <row r="9837" spans="14:14" x14ac:dyDescent="0.25">
      <c r="N9837" s="514"/>
    </row>
    <row r="9838" spans="14:14" x14ac:dyDescent="0.25">
      <c r="N9838" s="514"/>
    </row>
    <row r="9839" spans="14:14" x14ac:dyDescent="0.25">
      <c r="N9839" s="514"/>
    </row>
    <row r="9840" spans="14:14" x14ac:dyDescent="0.25">
      <c r="N9840" s="514"/>
    </row>
    <row r="9841" spans="14:14" x14ac:dyDescent="0.25">
      <c r="N9841" s="514"/>
    </row>
    <row r="9842" spans="14:14" x14ac:dyDescent="0.25">
      <c r="N9842" s="514"/>
    </row>
    <row r="9843" spans="14:14" x14ac:dyDescent="0.25">
      <c r="N9843" s="514"/>
    </row>
    <row r="9844" spans="14:14" x14ac:dyDescent="0.25">
      <c r="N9844" s="514"/>
    </row>
    <row r="9845" spans="14:14" x14ac:dyDescent="0.25">
      <c r="N9845" s="514"/>
    </row>
    <row r="9846" spans="14:14" x14ac:dyDescent="0.25">
      <c r="N9846" s="514"/>
    </row>
    <row r="9847" spans="14:14" x14ac:dyDescent="0.25">
      <c r="N9847" s="514"/>
    </row>
    <row r="9848" spans="14:14" x14ac:dyDescent="0.25">
      <c r="N9848" s="514"/>
    </row>
    <row r="9849" spans="14:14" x14ac:dyDescent="0.25">
      <c r="N9849" s="514"/>
    </row>
    <row r="9850" spans="14:14" x14ac:dyDescent="0.25">
      <c r="N9850" s="514"/>
    </row>
    <row r="9851" spans="14:14" x14ac:dyDescent="0.25">
      <c r="N9851" s="514"/>
    </row>
    <row r="9852" spans="14:14" x14ac:dyDescent="0.25">
      <c r="N9852" s="514"/>
    </row>
    <row r="9853" spans="14:14" x14ac:dyDescent="0.25">
      <c r="N9853" s="514"/>
    </row>
    <row r="9854" spans="14:14" x14ac:dyDescent="0.25">
      <c r="N9854" s="514"/>
    </row>
    <row r="9855" spans="14:14" x14ac:dyDescent="0.25">
      <c r="N9855" s="514"/>
    </row>
    <row r="9856" spans="14:14" x14ac:dyDescent="0.25">
      <c r="N9856" s="514"/>
    </row>
    <row r="9857" spans="14:14" x14ac:dyDescent="0.25">
      <c r="N9857" s="514"/>
    </row>
    <row r="9858" spans="14:14" x14ac:dyDescent="0.25">
      <c r="N9858" s="514"/>
    </row>
    <row r="9859" spans="14:14" x14ac:dyDescent="0.25">
      <c r="N9859" s="514"/>
    </row>
    <row r="9860" spans="14:14" x14ac:dyDescent="0.25">
      <c r="N9860" s="514"/>
    </row>
    <row r="9861" spans="14:14" x14ac:dyDescent="0.25">
      <c r="N9861" s="514"/>
    </row>
    <row r="9862" spans="14:14" x14ac:dyDescent="0.25">
      <c r="N9862" s="514"/>
    </row>
    <row r="9863" spans="14:14" x14ac:dyDescent="0.25">
      <c r="N9863" s="514"/>
    </row>
    <row r="9864" spans="14:14" x14ac:dyDescent="0.25">
      <c r="N9864" s="514"/>
    </row>
    <row r="9865" spans="14:14" x14ac:dyDescent="0.25">
      <c r="N9865" s="514"/>
    </row>
    <row r="9866" spans="14:14" x14ac:dyDescent="0.25">
      <c r="N9866" s="514"/>
    </row>
    <row r="9867" spans="14:14" x14ac:dyDescent="0.25">
      <c r="N9867" s="514"/>
    </row>
    <row r="9868" spans="14:14" x14ac:dyDescent="0.25">
      <c r="N9868" s="514"/>
    </row>
    <row r="9869" spans="14:14" x14ac:dyDescent="0.25">
      <c r="N9869" s="514"/>
    </row>
    <row r="9870" spans="14:14" x14ac:dyDescent="0.25">
      <c r="N9870" s="514"/>
    </row>
    <row r="9871" spans="14:14" x14ac:dyDescent="0.25">
      <c r="N9871" s="514"/>
    </row>
    <row r="9872" spans="14:14" x14ac:dyDescent="0.25">
      <c r="N9872" s="514"/>
    </row>
    <row r="9873" spans="14:14" x14ac:dyDescent="0.25">
      <c r="N9873" s="514"/>
    </row>
    <row r="9874" spans="14:14" x14ac:dyDescent="0.25">
      <c r="N9874" s="514"/>
    </row>
    <row r="9875" spans="14:14" x14ac:dyDescent="0.25">
      <c r="N9875" s="514"/>
    </row>
    <row r="9876" spans="14:14" x14ac:dyDescent="0.25">
      <c r="N9876" s="514"/>
    </row>
    <row r="9877" spans="14:14" x14ac:dyDescent="0.25">
      <c r="N9877" s="514"/>
    </row>
    <row r="9878" spans="14:14" x14ac:dyDescent="0.25">
      <c r="N9878" s="514"/>
    </row>
    <row r="9879" spans="14:14" x14ac:dyDescent="0.25">
      <c r="N9879" s="514"/>
    </row>
    <row r="9880" spans="14:14" x14ac:dyDescent="0.25">
      <c r="N9880" s="514"/>
    </row>
    <row r="9881" spans="14:14" x14ac:dyDescent="0.25">
      <c r="N9881" s="514"/>
    </row>
    <row r="9882" spans="14:14" x14ac:dyDescent="0.25">
      <c r="N9882" s="514"/>
    </row>
    <row r="9883" spans="14:14" x14ac:dyDescent="0.25">
      <c r="N9883" s="514"/>
    </row>
    <row r="9884" spans="14:14" x14ac:dyDescent="0.25">
      <c r="N9884" s="514"/>
    </row>
    <row r="9885" spans="14:14" x14ac:dyDescent="0.25">
      <c r="N9885" s="514"/>
    </row>
    <row r="9886" spans="14:14" x14ac:dyDescent="0.25">
      <c r="N9886" s="514"/>
    </row>
    <row r="9887" spans="14:14" x14ac:dyDescent="0.25">
      <c r="N9887" s="514"/>
    </row>
    <row r="9888" spans="14:14" x14ac:dyDescent="0.25">
      <c r="N9888" s="514"/>
    </row>
    <row r="9889" spans="14:14" x14ac:dyDescent="0.25">
      <c r="N9889" s="514"/>
    </row>
    <row r="9890" spans="14:14" x14ac:dyDescent="0.25">
      <c r="N9890" s="514"/>
    </row>
    <row r="9891" spans="14:14" x14ac:dyDescent="0.25">
      <c r="N9891" s="514"/>
    </row>
    <row r="9892" spans="14:14" x14ac:dyDescent="0.25">
      <c r="N9892" s="514"/>
    </row>
    <row r="9893" spans="14:14" x14ac:dyDescent="0.25">
      <c r="N9893" s="514"/>
    </row>
    <row r="9894" spans="14:14" x14ac:dyDescent="0.25">
      <c r="N9894" s="514"/>
    </row>
    <row r="9895" spans="14:14" x14ac:dyDescent="0.25">
      <c r="N9895" s="514"/>
    </row>
    <row r="9896" spans="14:14" x14ac:dyDescent="0.25">
      <c r="N9896" s="514"/>
    </row>
    <row r="9897" spans="14:14" x14ac:dyDescent="0.25">
      <c r="N9897" s="514"/>
    </row>
    <row r="9898" spans="14:14" x14ac:dyDescent="0.25">
      <c r="N9898" s="514"/>
    </row>
    <row r="9899" spans="14:14" x14ac:dyDescent="0.25">
      <c r="N9899" s="514"/>
    </row>
    <row r="9900" spans="14:14" x14ac:dyDescent="0.25">
      <c r="N9900" s="514"/>
    </row>
    <row r="9901" spans="14:14" x14ac:dyDescent="0.25">
      <c r="N9901" s="514"/>
    </row>
    <row r="9902" spans="14:14" x14ac:dyDescent="0.25">
      <c r="N9902" s="514"/>
    </row>
    <row r="9903" spans="14:14" x14ac:dyDescent="0.25">
      <c r="N9903" s="514"/>
    </row>
    <row r="9904" spans="14:14" x14ac:dyDescent="0.25">
      <c r="N9904" s="514"/>
    </row>
    <row r="9905" spans="14:14" x14ac:dyDescent="0.25">
      <c r="N9905" s="514"/>
    </row>
    <row r="9906" spans="14:14" x14ac:dyDescent="0.25">
      <c r="N9906" s="514"/>
    </row>
    <row r="9907" spans="14:14" x14ac:dyDescent="0.25">
      <c r="N9907" s="514"/>
    </row>
    <row r="9908" spans="14:14" x14ac:dyDescent="0.25">
      <c r="N9908" s="514"/>
    </row>
    <row r="9909" spans="14:14" x14ac:dyDescent="0.25">
      <c r="N9909" s="514"/>
    </row>
    <row r="9910" spans="14:14" x14ac:dyDescent="0.25">
      <c r="N9910" s="514"/>
    </row>
    <row r="9911" spans="14:14" x14ac:dyDescent="0.25">
      <c r="N9911" s="514"/>
    </row>
    <row r="9912" spans="14:14" x14ac:dyDescent="0.25">
      <c r="N9912" s="514"/>
    </row>
    <row r="9913" spans="14:14" x14ac:dyDescent="0.25">
      <c r="N9913" s="514"/>
    </row>
    <row r="9914" spans="14:14" x14ac:dyDescent="0.25">
      <c r="N9914" s="514"/>
    </row>
    <row r="9915" spans="14:14" x14ac:dyDescent="0.25">
      <c r="N9915" s="514"/>
    </row>
    <row r="9916" spans="14:14" x14ac:dyDescent="0.25">
      <c r="N9916" s="514"/>
    </row>
    <row r="9917" spans="14:14" x14ac:dyDescent="0.25">
      <c r="N9917" s="514"/>
    </row>
    <row r="9918" spans="14:14" x14ac:dyDescent="0.25">
      <c r="N9918" s="514"/>
    </row>
    <row r="9919" spans="14:14" x14ac:dyDescent="0.25">
      <c r="N9919" s="514"/>
    </row>
    <row r="9920" spans="14:14" x14ac:dyDescent="0.25">
      <c r="N9920" s="514"/>
    </row>
    <row r="9921" spans="14:14" x14ac:dyDescent="0.25">
      <c r="N9921" s="514"/>
    </row>
    <row r="9922" spans="14:14" x14ac:dyDescent="0.25">
      <c r="N9922" s="514"/>
    </row>
    <row r="9923" spans="14:14" x14ac:dyDescent="0.25">
      <c r="N9923" s="514"/>
    </row>
    <row r="9924" spans="14:14" x14ac:dyDescent="0.25">
      <c r="N9924" s="514"/>
    </row>
    <row r="9925" spans="14:14" x14ac:dyDescent="0.25">
      <c r="N9925" s="514"/>
    </row>
    <row r="9926" spans="14:14" x14ac:dyDescent="0.25">
      <c r="N9926" s="514"/>
    </row>
    <row r="9927" spans="14:14" x14ac:dyDescent="0.25">
      <c r="N9927" s="514"/>
    </row>
    <row r="9928" spans="14:14" x14ac:dyDescent="0.25">
      <c r="N9928" s="514"/>
    </row>
    <row r="9929" spans="14:14" x14ac:dyDescent="0.25">
      <c r="N9929" s="514"/>
    </row>
    <row r="9930" spans="14:14" x14ac:dyDescent="0.25">
      <c r="N9930" s="514"/>
    </row>
    <row r="9931" spans="14:14" x14ac:dyDescent="0.25">
      <c r="N9931" s="514"/>
    </row>
    <row r="9932" spans="14:14" x14ac:dyDescent="0.25">
      <c r="N9932" s="514"/>
    </row>
    <row r="9933" spans="14:14" x14ac:dyDescent="0.25">
      <c r="N9933" s="514"/>
    </row>
    <row r="9934" spans="14:14" x14ac:dyDescent="0.25">
      <c r="N9934" s="514"/>
    </row>
    <row r="9935" spans="14:14" x14ac:dyDescent="0.25">
      <c r="N9935" s="514"/>
    </row>
    <row r="9936" spans="14:14" x14ac:dyDescent="0.25">
      <c r="N9936" s="514"/>
    </row>
    <row r="9937" spans="14:14" x14ac:dyDescent="0.25">
      <c r="N9937" s="514"/>
    </row>
    <row r="9938" spans="14:14" x14ac:dyDescent="0.25">
      <c r="N9938" s="514"/>
    </row>
    <row r="9939" spans="14:14" x14ac:dyDescent="0.25">
      <c r="N9939" s="514"/>
    </row>
    <row r="9940" spans="14:14" x14ac:dyDescent="0.25">
      <c r="N9940" s="514"/>
    </row>
    <row r="9941" spans="14:14" x14ac:dyDescent="0.25">
      <c r="N9941" s="514"/>
    </row>
    <row r="9942" spans="14:14" x14ac:dyDescent="0.25">
      <c r="N9942" s="514"/>
    </row>
    <row r="9943" spans="14:14" x14ac:dyDescent="0.25">
      <c r="N9943" s="514"/>
    </row>
    <row r="9944" spans="14:14" x14ac:dyDescent="0.25">
      <c r="N9944" s="514"/>
    </row>
    <row r="9945" spans="14:14" x14ac:dyDescent="0.25">
      <c r="N9945" s="514"/>
    </row>
    <row r="9946" spans="14:14" x14ac:dyDescent="0.25">
      <c r="N9946" s="514"/>
    </row>
    <row r="9947" spans="14:14" x14ac:dyDescent="0.25">
      <c r="N9947" s="514"/>
    </row>
    <row r="9948" spans="14:14" x14ac:dyDescent="0.25">
      <c r="N9948" s="514"/>
    </row>
    <row r="9949" spans="14:14" x14ac:dyDescent="0.25">
      <c r="N9949" s="514"/>
    </row>
    <row r="9950" spans="14:14" x14ac:dyDescent="0.25">
      <c r="N9950" s="514"/>
    </row>
    <row r="9951" spans="14:14" x14ac:dyDescent="0.25">
      <c r="N9951" s="514"/>
    </row>
    <row r="9952" spans="14:14" x14ac:dyDescent="0.25">
      <c r="N9952" s="514"/>
    </row>
    <row r="9953" spans="14:14" x14ac:dyDescent="0.25">
      <c r="N9953" s="514"/>
    </row>
    <row r="9954" spans="14:14" x14ac:dyDescent="0.25">
      <c r="N9954" s="514"/>
    </row>
    <row r="9955" spans="14:14" x14ac:dyDescent="0.25">
      <c r="N9955" s="514"/>
    </row>
    <row r="9956" spans="14:14" x14ac:dyDescent="0.25">
      <c r="N9956" s="514"/>
    </row>
    <row r="9957" spans="14:14" x14ac:dyDescent="0.25">
      <c r="N9957" s="514"/>
    </row>
    <row r="9958" spans="14:14" x14ac:dyDescent="0.25">
      <c r="N9958" s="514"/>
    </row>
    <row r="9959" spans="14:14" x14ac:dyDescent="0.25">
      <c r="N9959" s="514"/>
    </row>
    <row r="9960" spans="14:14" x14ac:dyDescent="0.25">
      <c r="N9960" s="514"/>
    </row>
    <row r="9961" spans="14:14" x14ac:dyDescent="0.25">
      <c r="N9961" s="514"/>
    </row>
    <row r="9962" spans="14:14" x14ac:dyDescent="0.25">
      <c r="N9962" s="514"/>
    </row>
    <row r="9963" spans="14:14" x14ac:dyDescent="0.25">
      <c r="N9963" s="514"/>
    </row>
    <row r="9964" spans="14:14" x14ac:dyDescent="0.25">
      <c r="N9964" s="514"/>
    </row>
    <row r="9965" spans="14:14" x14ac:dyDescent="0.25">
      <c r="N9965" s="514"/>
    </row>
    <row r="9966" spans="14:14" x14ac:dyDescent="0.25">
      <c r="N9966" s="514"/>
    </row>
    <row r="9967" spans="14:14" x14ac:dyDescent="0.25">
      <c r="N9967" s="514"/>
    </row>
    <row r="9968" spans="14:14" x14ac:dyDescent="0.25">
      <c r="N9968" s="514"/>
    </row>
    <row r="9969" spans="14:14" x14ac:dyDescent="0.25">
      <c r="N9969" s="514"/>
    </row>
    <row r="9970" spans="14:14" x14ac:dyDescent="0.25">
      <c r="N9970" s="514"/>
    </row>
    <row r="9971" spans="14:14" x14ac:dyDescent="0.25">
      <c r="N9971" s="514"/>
    </row>
    <row r="9972" spans="14:14" x14ac:dyDescent="0.25">
      <c r="N9972" s="514"/>
    </row>
    <row r="9973" spans="14:14" x14ac:dyDescent="0.25">
      <c r="N9973" s="514"/>
    </row>
    <row r="9974" spans="14:14" x14ac:dyDescent="0.25">
      <c r="N9974" s="514"/>
    </row>
    <row r="9975" spans="14:14" x14ac:dyDescent="0.25">
      <c r="N9975" s="514"/>
    </row>
    <row r="9976" spans="14:14" x14ac:dyDescent="0.25">
      <c r="N9976" s="514"/>
    </row>
    <row r="9977" spans="14:14" x14ac:dyDescent="0.25">
      <c r="N9977" s="514"/>
    </row>
    <row r="9978" spans="14:14" x14ac:dyDescent="0.25">
      <c r="N9978" s="514"/>
    </row>
    <row r="9979" spans="14:14" x14ac:dyDescent="0.25">
      <c r="N9979" s="514"/>
    </row>
    <row r="9980" spans="14:14" x14ac:dyDescent="0.25">
      <c r="N9980" s="514"/>
    </row>
    <row r="9981" spans="14:14" x14ac:dyDescent="0.25">
      <c r="N9981" s="514"/>
    </row>
    <row r="9982" spans="14:14" x14ac:dyDescent="0.25">
      <c r="N9982" s="514"/>
    </row>
    <row r="9983" spans="14:14" x14ac:dyDescent="0.25">
      <c r="N9983" s="514"/>
    </row>
    <row r="9984" spans="14:14" x14ac:dyDescent="0.25">
      <c r="N9984" s="514"/>
    </row>
    <row r="9985" spans="14:14" x14ac:dyDescent="0.25">
      <c r="N9985" s="514"/>
    </row>
    <row r="9986" spans="14:14" x14ac:dyDescent="0.25">
      <c r="N9986" s="514"/>
    </row>
    <row r="9987" spans="14:14" x14ac:dyDescent="0.25">
      <c r="N9987" s="514"/>
    </row>
    <row r="9988" spans="14:14" x14ac:dyDescent="0.25">
      <c r="N9988" s="514"/>
    </row>
    <row r="9989" spans="14:14" x14ac:dyDescent="0.25">
      <c r="N9989" s="514"/>
    </row>
    <row r="9990" spans="14:14" x14ac:dyDescent="0.25">
      <c r="N9990" s="514"/>
    </row>
    <row r="9991" spans="14:14" x14ac:dyDescent="0.25">
      <c r="N9991" s="514"/>
    </row>
    <row r="9992" spans="14:14" x14ac:dyDescent="0.25">
      <c r="N9992" s="514"/>
    </row>
    <row r="9993" spans="14:14" x14ac:dyDescent="0.25">
      <c r="N9993" s="514"/>
    </row>
    <row r="9994" spans="14:14" x14ac:dyDescent="0.25">
      <c r="N9994" s="514"/>
    </row>
    <row r="9995" spans="14:14" x14ac:dyDescent="0.25">
      <c r="N9995" s="514"/>
    </row>
    <row r="9996" spans="14:14" x14ac:dyDescent="0.25">
      <c r="N9996" s="514"/>
    </row>
    <row r="9997" spans="14:14" x14ac:dyDescent="0.25">
      <c r="N9997" s="514"/>
    </row>
    <row r="9998" spans="14:14" x14ac:dyDescent="0.25">
      <c r="N9998" s="514"/>
    </row>
    <row r="9999" spans="14:14" x14ac:dyDescent="0.25">
      <c r="N9999" s="514"/>
    </row>
    <row r="10000" spans="14:14" x14ac:dyDescent="0.25">
      <c r="N10000" s="514"/>
    </row>
    <row r="10001" spans="14:14" x14ac:dyDescent="0.25">
      <c r="N10001" s="514"/>
    </row>
    <row r="10002" spans="14:14" x14ac:dyDescent="0.25">
      <c r="N10002" s="514"/>
    </row>
    <row r="10003" spans="14:14" x14ac:dyDescent="0.25">
      <c r="N10003" s="514"/>
    </row>
    <row r="10004" spans="14:14" x14ac:dyDescent="0.25">
      <c r="N10004" s="514"/>
    </row>
    <row r="10005" spans="14:14" x14ac:dyDescent="0.25">
      <c r="N10005" s="514"/>
    </row>
    <row r="10006" spans="14:14" x14ac:dyDescent="0.25">
      <c r="N10006" s="514"/>
    </row>
    <row r="10007" spans="14:14" x14ac:dyDescent="0.25">
      <c r="N10007" s="514"/>
    </row>
    <row r="10008" spans="14:14" x14ac:dyDescent="0.25">
      <c r="N10008" s="514"/>
    </row>
    <row r="10009" spans="14:14" x14ac:dyDescent="0.25">
      <c r="N10009" s="514"/>
    </row>
    <row r="10010" spans="14:14" x14ac:dyDescent="0.25">
      <c r="N10010" s="514"/>
    </row>
    <row r="10011" spans="14:14" x14ac:dyDescent="0.25">
      <c r="N10011" s="514"/>
    </row>
    <row r="10012" spans="14:14" x14ac:dyDescent="0.25">
      <c r="N10012" s="514"/>
    </row>
    <row r="10013" spans="14:14" x14ac:dyDescent="0.25">
      <c r="N10013" s="514"/>
    </row>
    <row r="10014" spans="14:14" x14ac:dyDescent="0.25">
      <c r="N10014" s="514"/>
    </row>
    <row r="10015" spans="14:14" x14ac:dyDescent="0.25">
      <c r="N10015" s="514"/>
    </row>
    <row r="10016" spans="14:14" x14ac:dyDescent="0.25">
      <c r="N10016" s="514"/>
    </row>
    <row r="10017" spans="14:14" x14ac:dyDescent="0.25">
      <c r="N10017" s="514"/>
    </row>
    <row r="10018" spans="14:14" x14ac:dyDescent="0.25">
      <c r="N10018" s="514"/>
    </row>
    <row r="10019" spans="14:14" x14ac:dyDescent="0.25">
      <c r="N10019" s="514"/>
    </row>
    <row r="10020" spans="14:14" x14ac:dyDescent="0.25">
      <c r="N10020" s="514"/>
    </row>
    <row r="10021" spans="14:14" x14ac:dyDescent="0.25">
      <c r="N10021" s="514"/>
    </row>
    <row r="10022" spans="14:14" x14ac:dyDescent="0.25">
      <c r="N10022" s="514"/>
    </row>
    <row r="10023" spans="14:14" x14ac:dyDescent="0.25">
      <c r="N10023" s="514"/>
    </row>
    <row r="10024" spans="14:14" x14ac:dyDescent="0.25">
      <c r="N10024" s="514"/>
    </row>
    <row r="10025" spans="14:14" x14ac:dyDescent="0.25">
      <c r="N10025" s="514"/>
    </row>
    <row r="10026" spans="14:14" x14ac:dyDescent="0.25">
      <c r="N10026" s="514"/>
    </row>
    <row r="10027" spans="14:14" x14ac:dyDescent="0.25">
      <c r="N10027" s="514"/>
    </row>
    <row r="10028" spans="14:14" x14ac:dyDescent="0.25">
      <c r="N10028" s="514"/>
    </row>
    <row r="10029" spans="14:14" x14ac:dyDescent="0.25">
      <c r="N10029" s="514"/>
    </row>
    <row r="10030" spans="14:14" x14ac:dyDescent="0.25">
      <c r="N10030" s="514"/>
    </row>
    <row r="10031" spans="14:14" x14ac:dyDescent="0.25">
      <c r="N10031" s="514"/>
    </row>
    <row r="10032" spans="14:14" x14ac:dyDescent="0.25">
      <c r="N10032" s="514"/>
    </row>
    <row r="10033" spans="14:14" x14ac:dyDescent="0.25">
      <c r="N10033" s="514"/>
    </row>
    <row r="10034" spans="14:14" x14ac:dyDescent="0.25">
      <c r="N10034" s="514"/>
    </row>
    <row r="10035" spans="14:14" x14ac:dyDescent="0.25">
      <c r="N10035" s="514"/>
    </row>
    <row r="10036" spans="14:14" x14ac:dyDescent="0.25">
      <c r="N10036" s="514"/>
    </row>
    <row r="10037" spans="14:14" x14ac:dyDescent="0.25">
      <c r="N10037" s="514"/>
    </row>
    <row r="10038" spans="14:14" x14ac:dyDescent="0.25">
      <c r="N10038" s="514"/>
    </row>
    <row r="10039" spans="14:14" x14ac:dyDescent="0.25">
      <c r="N10039" s="514"/>
    </row>
    <row r="10040" spans="14:14" x14ac:dyDescent="0.25">
      <c r="N10040" s="514"/>
    </row>
    <row r="10041" spans="14:14" x14ac:dyDescent="0.25">
      <c r="N10041" s="514"/>
    </row>
    <row r="10042" spans="14:14" x14ac:dyDescent="0.25">
      <c r="N10042" s="514"/>
    </row>
    <row r="10043" spans="14:14" x14ac:dyDescent="0.25">
      <c r="N10043" s="514"/>
    </row>
    <row r="10044" spans="14:14" x14ac:dyDescent="0.25">
      <c r="N10044" s="514"/>
    </row>
    <row r="10045" spans="14:14" x14ac:dyDescent="0.25">
      <c r="N10045" s="514"/>
    </row>
    <row r="10046" spans="14:14" x14ac:dyDescent="0.25">
      <c r="N10046" s="514"/>
    </row>
    <row r="10047" spans="14:14" x14ac:dyDescent="0.25">
      <c r="N10047" s="514"/>
    </row>
    <row r="10048" spans="14:14" x14ac:dyDescent="0.25">
      <c r="N10048" s="514"/>
    </row>
    <row r="10049" spans="14:14" x14ac:dyDescent="0.25">
      <c r="N10049" s="514"/>
    </row>
    <row r="10050" spans="14:14" x14ac:dyDescent="0.25">
      <c r="N10050" s="514"/>
    </row>
    <row r="10051" spans="14:14" x14ac:dyDescent="0.25">
      <c r="N10051" s="514"/>
    </row>
    <row r="10052" spans="14:14" x14ac:dyDescent="0.25">
      <c r="N10052" s="514"/>
    </row>
    <row r="10053" spans="14:14" x14ac:dyDescent="0.25">
      <c r="N10053" s="514"/>
    </row>
    <row r="10054" spans="14:14" x14ac:dyDescent="0.25">
      <c r="N10054" s="514"/>
    </row>
    <row r="10055" spans="14:14" x14ac:dyDescent="0.25">
      <c r="N10055" s="514"/>
    </row>
    <row r="10056" spans="14:14" x14ac:dyDescent="0.25">
      <c r="N10056" s="514"/>
    </row>
    <row r="10057" spans="14:14" x14ac:dyDescent="0.25">
      <c r="N10057" s="514"/>
    </row>
    <row r="10058" spans="14:14" x14ac:dyDescent="0.25">
      <c r="N10058" s="514"/>
    </row>
    <row r="10059" spans="14:14" x14ac:dyDescent="0.25">
      <c r="N10059" s="514"/>
    </row>
    <row r="10060" spans="14:14" x14ac:dyDescent="0.25">
      <c r="N10060" s="514"/>
    </row>
    <row r="10061" spans="14:14" x14ac:dyDescent="0.25">
      <c r="N10061" s="514"/>
    </row>
    <row r="10062" spans="14:14" x14ac:dyDescent="0.25">
      <c r="N10062" s="514"/>
    </row>
    <row r="10063" spans="14:14" x14ac:dyDescent="0.25">
      <c r="N10063" s="514"/>
    </row>
    <row r="10064" spans="14:14" x14ac:dyDescent="0.25">
      <c r="N10064" s="514"/>
    </row>
    <row r="10065" spans="14:14" x14ac:dyDescent="0.25">
      <c r="N10065" s="514"/>
    </row>
    <row r="10066" spans="14:14" x14ac:dyDescent="0.25">
      <c r="N10066" s="514"/>
    </row>
    <row r="10067" spans="14:14" x14ac:dyDescent="0.25">
      <c r="N10067" s="514"/>
    </row>
    <row r="10068" spans="14:14" x14ac:dyDescent="0.25">
      <c r="N10068" s="514"/>
    </row>
    <row r="10069" spans="14:14" x14ac:dyDescent="0.25">
      <c r="N10069" s="514"/>
    </row>
    <row r="10070" spans="14:14" x14ac:dyDescent="0.25">
      <c r="N10070" s="514"/>
    </row>
    <row r="10071" spans="14:14" x14ac:dyDescent="0.25">
      <c r="N10071" s="514"/>
    </row>
    <row r="10072" spans="14:14" x14ac:dyDescent="0.25">
      <c r="N10072" s="514"/>
    </row>
    <row r="10073" spans="14:14" x14ac:dyDescent="0.25">
      <c r="N10073" s="514"/>
    </row>
    <row r="10074" spans="14:14" x14ac:dyDescent="0.25">
      <c r="N10074" s="514"/>
    </row>
    <row r="10075" spans="14:14" x14ac:dyDescent="0.25">
      <c r="N10075" s="514"/>
    </row>
    <row r="10076" spans="14:14" x14ac:dyDescent="0.25">
      <c r="N10076" s="514"/>
    </row>
    <row r="10077" spans="14:14" x14ac:dyDescent="0.25">
      <c r="N10077" s="514"/>
    </row>
    <row r="10078" spans="14:14" x14ac:dyDescent="0.25">
      <c r="N10078" s="514"/>
    </row>
    <row r="10079" spans="14:14" x14ac:dyDescent="0.25">
      <c r="N10079" s="514"/>
    </row>
    <row r="10080" spans="14:14" x14ac:dyDescent="0.25">
      <c r="N10080" s="514"/>
    </row>
    <row r="10081" spans="14:14" x14ac:dyDescent="0.25">
      <c r="N10081" s="514"/>
    </row>
    <row r="10082" spans="14:14" x14ac:dyDescent="0.25">
      <c r="N10082" s="514"/>
    </row>
    <row r="10083" spans="14:14" x14ac:dyDescent="0.25">
      <c r="N10083" s="514"/>
    </row>
    <row r="10084" spans="14:14" x14ac:dyDescent="0.25">
      <c r="N10084" s="514"/>
    </row>
    <row r="10085" spans="14:14" x14ac:dyDescent="0.25">
      <c r="N10085" s="514"/>
    </row>
    <row r="10086" spans="14:14" x14ac:dyDescent="0.25">
      <c r="N10086" s="514"/>
    </row>
    <row r="10087" spans="14:14" x14ac:dyDescent="0.25">
      <c r="N10087" s="514"/>
    </row>
    <row r="10088" spans="14:14" x14ac:dyDescent="0.25">
      <c r="N10088" s="514"/>
    </row>
    <row r="10089" spans="14:14" x14ac:dyDescent="0.25">
      <c r="N10089" s="514"/>
    </row>
    <row r="10090" spans="14:14" x14ac:dyDescent="0.25">
      <c r="N10090" s="514"/>
    </row>
    <row r="10091" spans="14:14" x14ac:dyDescent="0.25">
      <c r="N10091" s="514"/>
    </row>
    <row r="10092" spans="14:14" x14ac:dyDescent="0.25">
      <c r="N10092" s="514"/>
    </row>
    <row r="10093" spans="14:14" x14ac:dyDescent="0.25">
      <c r="N10093" s="514"/>
    </row>
    <row r="10094" spans="14:14" x14ac:dyDescent="0.25">
      <c r="N10094" s="514"/>
    </row>
    <row r="10095" spans="14:14" x14ac:dyDescent="0.25">
      <c r="N10095" s="514"/>
    </row>
    <row r="10096" spans="14:14" x14ac:dyDescent="0.25">
      <c r="N10096" s="514"/>
    </row>
    <row r="10097" spans="14:14" x14ac:dyDescent="0.25">
      <c r="N10097" s="514"/>
    </row>
    <row r="10098" spans="14:14" x14ac:dyDescent="0.25">
      <c r="N10098" s="514"/>
    </row>
    <row r="10099" spans="14:14" x14ac:dyDescent="0.25">
      <c r="N10099" s="514"/>
    </row>
    <row r="10100" spans="14:14" x14ac:dyDescent="0.25">
      <c r="N10100" s="514"/>
    </row>
    <row r="10101" spans="14:14" x14ac:dyDescent="0.25">
      <c r="N10101" s="514"/>
    </row>
    <row r="10102" spans="14:14" x14ac:dyDescent="0.25">
      <c r="N10102" s="514"/>
    </row>
    <row r="10103" spans="14:14" x14ac:dyDescent="0.25">
      <c r="N10103" s="514"/>
    </row>
    <row r="10104" spans="14:14" x14ac:dyDescent="0.25">
      <c r="N10104" s="514"/>
    </row>
    <row r="10105" spans="14:14" x14ac:dyDescent="0.25">
      <c r="N10105" s="514"/>
    </row>
    <row r="10106" spans="14:14" x14ac:dyDescent="0.25">
      <c r="N10106" s="514"/>
    </row>
    <row r="10107" spans="14:14" x14ac:dyDescent="0.25">
      <c r="N10107" s="514"/>
    </row>
    <row r="10108" spans="14:14" x14ac:dyDescent="0.25">
      <c r="N10108" s="514"/>
    </row>
    <row r="10109" spans="14:14" x14ac:dyDescent="0.25">
      <c r="N10109" s="514"/>
    </row>
    <row r="10110" spans="14:14" x14ac:dyDescent="0.25">
      <c r="N10110" s="514"/>
    </row>
    <row r="10111" spans="14:14" x14ac:dyDescent="0.25">
      <c r="N10111" s="514"/>
    </row>
    <row r="10112" spans="14:14" x14ac:dyDescent="0.25">
      <c r="N10112" s="514"/>
    </row>
    <row r="10113" spans="14:14" x14ac:dyDescent="0.25">
      <c r="N10113" s="514"/>
    </row>
    <row r="10114" spans="14:14" x14ac:dyDescent="0.25">
      <c r="N10114" s="514"/>
    </row>
    <row r="10115" spans="14:14" x14ac:dyDescent="0.25">
      <c r="N10115" s="514"/>
    </row>
    <row r="10116" spans="14:14" x14ac:dyDescent="0.25">
      <c r="N10116" s="514"/>
    </row>
    <row r="10117" spans="14:14" x14ac:dyDescent="0.25">
      <c r="N10117" s="514"/>
    </row>
    <row r="10118" spans="14:14" x14ac:dyDescent="0.25">
      <c r="N10118" s="514"/>
    </row>
    <row r="10119" spans="14:14" x14ac:dyDescent="0.25">
      <c r="N10119" s="514"/>
    </row>
    <row r="10120" spans="14:14" x14ac:dyDescent="0.25">
      <c r="N10120" s="514"/>
    </row>
    <row r="10121" spans="14:14" x14ac:dyDescent="0.25">
      <c r="N10121" s="514"/>
    </row>
    <row r="10122" spans="14:14" x14ac:dyDescent="0.25">
      <c r="N10122" s="514"/>
    </row>
    <row r="10123" spans="14:14" x14ac:dyDescent="0.25">
      <c r="N10123" s="514"/>
    </row>
    <row r="10124" spans="14:14" x14ac:dyDescent="0.25">
      <c r="N10124" s="514"/>
    </row>
    <row r="10125" spans="14:14" x14ac:dyDescent="0.25">
      <c r="N10125" s="514"/>
    </row>
    <row r="10126" spans="14:14" x14ac:dyDescent="0.25">
      <c r="N10126" s="514"/>
    </row>
    <row r="10127" spans="14:14" x14ac:dyDescent="0.25">
      <c r="N10127" s="514"/>
    </row>
    <row r="10128" spans="14:14" x14ac:dyDescent="0.25">
      <c r="N10128" s="514"/>
    </row>
    <row r="10129" spans="14:14" x14ac:dyDescent="0.25">
      <c r="N10129" s="514"/>
    </row>
    <row r="10130" spans="14:14" x14ac:dyDescent="0.25">
      <c r="N10130" s="514"/>
    </row>
    <row r="10131" spans="14:14" x14ac:dyDescent="0.25">
      <c r="N10131" s="514"/>
    </row>
    <row r="10132" spans="14:14" x14ac:dyDescent="0.25">
      <c r="N10132" s="514"/>
    </row>
    <row r="10133" spans="14:14" x14ac:dyDescent="0.25">
      <c r="N10133" s="514"/>
    </row>
    <row r="10134" spans="14:14" x14ac:dyDescent="0.25">
      <c r="N10134" s="514"/>
    </row>
    <row r="10135" spans="14:14" x14ac:dyDescent="0.25">
      <c r="N10135" s="514"/>
    </row>
    <row r="10136" spans="14:14" x14ac:dyDescent="0.25">
      <c r="N10136" s="514"/>
    </row>
    <row r="10137" spans="14:14" x14ac:dyDescent="0.25">
      <c r="N10137" s="514"/>
    </row>
    <row r="10138" spans="14:14" x14ac:dyDescent="0.25">
      <c r="N10138" s="514"/>
    </row>
    <row r="10139" spans="14:14" x14ac:dyDescent="0.25">
      <c r="N10139" s="514"/>
    </row>
    <row r="10140" spans="14:14" x14ac:dyDescent="0.25">
      <c r="N10140" s="514"/>
    </row>
    <row r="10141" spans="14:14" x14ac:dyDescent="0.25">
      <c r="N10141" s="514"/>
    </row>
    <row r="10142" spans="14:14" x14ac:dyDescent="0.25">
      <c r="N10142" s="514"/>
    </row>
    <row r="10143" spans="14:14" x14ac:dyDescent="0.25">
      <c r="N10143" s="514"/>
    </row>
    <row r="10144" spans="14:14" x14ac:dyDescent="0.25">
      <c r="N10144" s="514"/>
    </row>
    <row r="10145" spans="14:14" x14ac:dyDescent="0.25">
      <c r="N10145" s="514"/>
    </row>
    <row r="10146" spans="14:14" x14ac:dyDescent="0.25">
      <c r="N10146" s="514"/>
    </row>
    <row r="10147" spans="14:14" x14ac:dyDescent="0.25">
      <c r="N10147" s="514"/>
    </row>
    <row r="10148" spans="14:14" x14ac:dyDescent="0.25">
      <c r="N10148" s="514"/>
    </row>
    <row r="10149" spans="14:14" x14ac:dyDescent="0.25">
      <c r="N10149" s="514"/>
    </row>
    <row r="10150" spans="14:14" x14ac:dyDescent="0.25">
      <c r="N10150" s="514"/>
    </row>
    <row r="10151" spans="14:14" x14ac:dyDescent="0.25">
      <c r="N10151" s="514"/>
    </row>
    <row r="10152" spans="14:14" x14ac:dyDescent="0.25">
      <c r="N10152" s="514"/>
    </row>
    <row r="10153" spans="14:14" x14ac:dyDescent="0.25">
      <c r="N10153" s="514"/>
    </row>
    <row r="10154" spans="14:14" x14ac:dyDescent="0.25">
      <c r="N10154" s="514"/>
    </row>
    <row r="10155" spans="14:14" x14ac:dyDescent="0.25">
      <c r="N10155" s="514"/>
    </row>
    <row r="10156" spans="14:14" x14ac:dyDescent="0.25">
      <c r="N10156" s="514"/>
    </row>
    <row r="10157" spans="14:14" x14ac:dyDescent="0.25">
      <c r="N10157" s="514"/>
    </row>
    <row r="10158" spans="14:14" x14ac:dyDescent="0.25">
      <c r="N10158" s="514"/>
    </row>
    <row r="10159" spans="14:14" x14ac:dyDescent="0.25">
      <c r="N10159" s="514"/>
    </row>
    <row r="10160" spans="14:14" x14ac:dyDescent="0.25">
      <c r="N10160" s="514"/>
    </row>
    <row r="10161" spans="14:14" x14ac:dyDescent="0.25">
      <c r="N10161" s="514"/>
    </row>
    <row r="10162" spans="14:14" x14ac:dyDescent="0.25">
      <c r="N10162" s="514"/>
    </row>
    <row r="10163" spans="14:14" x14ac:dyDescent="0.25">
      <c r="N10163" s="514"/>
    </row>
    <row r="10164" spans="14:14" x14ac:dyDescent="0.25">
      <c r="N10164" s="514"/>
    </row>
    <row r="10165" spans="14:14" x14ac:dyDescent="0.25">
      <c r="N10165" s="514"/>
    </row>
    <row r="10166" spans="14:14" x14ac:dyDescent="0.25">
      <c r="N10166" s="514"/>
    </row>
    <row r="10167" spans="14:14" x14ac:dyDescent="0.25">
      <c r="N10167" s="514"/>
    </row>
    <row r="10168" spans="14:14" x14ac:dyDescent="0.25">
      <c r="N10168" s="514"/>
    </row>
    <row r="10169" spans="14:14" x14ac:dyDescent="0.25">
      <c r="N10169" s="514"/>
    </row>
    <row r="10170" spans="14:14" x14ac:dyDescent="0.25">
      <c r="N10170" s="514"/>
    </row>
    <row r="10171" spans="14:14" x14ac:dyDescent="0.25">
      <c r="N10171" s="514"/>
    </row>
    <row r="10172" spans="14:14" x14ac:dyDescent="0.25">
      <c r="N10172" s="514"/>
    </row>
    <row r="10173" spans="14:14" x14ac:dyDescent="0.25">
      <c r="N10173" s="514"/>
    </row>
    <row r="10174" spans="14:14" x14ac:dyDescent="0.25">
      <c r="N10174" s="514"/>
    </row>
    <row r="10175" spans="14:14" x14ac:dyDescent="0.25">
      <c r="N10175" s="514"/>
    </row>
    <row r="10176" spans="14:14" x14ac:dyDescent="0.25">
      <c r="N10176" s="514"/>
    </row>
    <row r="10177" spans="14:14" x14ac:dyDescent="0.25">
      <c r="N10177" s="514"/>
    </row>
    <row r="10178" spans="14:14" x14ac:dyDescent="0.25">
      <c r="N10178" s="514"/>
    </row>
    <row r="10179" spans="14:14" x14ac:dyDescent="0.25">
      <c r="N10179" s="514"/>
    </row>
    <row r="10180" spans="14:14" x14ac:dyDescent="0.25">
      <c r="N10180" s="514"/>
    </row>
    <row r="10181" spans="14:14" x14ac:dyDescent="0.25">
      <c r="N10181" s="514"/>
    </row>
    <row r="10182" spans="14:14" x14ac:dyDescent="0.25">
      <c r="N10182" s="514"/>
    </row>
    <row r="10183" spans="14:14" x14ac:dyDescent="0.25">
      <c r="N10183" s="514"/>
    </row>
    <row r="10184" spans="14:14" x14ac:dyDescent="0.25">
      <c r="N10184" s="514"/>
    </row>
    <row r="10185" spans="14:14" x14ac:dyDescent="0.25">
      <c r="N10185" s="514"/>
    </row>
    <row r="10186" spans="14:14" x14ac:dyDescent="0.25">
      <c r="N10186" s="514"/>
    </row>
    <row r="10187" spans="14:14" x14ac:dyDescent="0.25">
      <c r="N10187" s="514"/>
    </row>
    <row r="10188" spans="14:14" x14ac:dyDescent="0.25">
      <c r="N10188" s="514"/>
    </row>
    <row r="10189" spans="14:14" x14ac:dyDescent="0.25">
      <c r="N10189" s="514"/>
    </row>
    <row r="10190" spans="14:14" x14ac:dyDescent="0.25">
      <c r="N10190" s="514"/>
    </row>
    <row r="10191" spans="14:14" x14ac:dyDescent="0.25">
      <c r="N10191" s="514"/>
    </row>
    <row r="10192" spans="14:14" x14ac:dyDescent="0.25">
      <c r="N10192" s="514"/>
    </row>
    <row r="10193" spans="14:14" x14ac:dyDescent="0.25">
      <c r="N10193" s="514"/>
    </row>
    <row r="10194" spans="14:14" x14ac:dyDescent="0.25">
      <c r="N10194" s="514"/>
    </row>
    <row r="10195" spans="14:14" x14ac:dyDescent="0.25">
      <c r="N10195" s="514"/>
    </row>
    <row r="10196" spans="14:14" x14ac:dyDescent="0.25">
      <c r="N10196" s="514"/>
    </row>
    <row r="10197" spans="14:14" x14ac:dyDescent="0.25">
      <c r="N10197" s="514"/>
    </row>
    <row r="10198" spans="14:14" x14ac:dyDescent="0.25">
      <c r="N10198" s="514"/>
    </row>
    <row r="10199" spans="14:14" x14ac:dyDescent="0.25">
      <c r="N10199" s="514"/>
    </row>
    <row r="10200" spans="14:14" x14ac:dyDescent="0.25">
      <c r="N10200" s="514"/>
    </row>
    <row r="10201" spans="14:14" x14ac:dyDescent="0.25">
      <c r="N10201" s="514"/>
    </row>
    <row r="10202" spans="14:14" x14ac:dyDescent="0.25">
      <c r="N10202" s="514"/>
    </row>
    <row r="10203" spans="14:14" x14ac:dyDescent="0.25">
      <c r="N10203" s="514"/>
    </row>
    <row r="10204" spans="14:14" x14ac:dyDescent="0.25">
      <c r="N10204" s="514"/>
    </row>
    <row r="10205" spans="14:14" x14ac:dyDescent="0.25">
      <c r="N10205" s="514"/>
    </row>
    <row r="10206" spans="14:14" x14ac:dyDescent="0.25">
      <c r="N10206" s="514"/>
    </row>
    <row r="10207" spans="14:14" x14ac:dyDescent="0.25">
      <c r="N10207" s="514"/>
    </row>
    <row r="10208" spans="14:14" x14ac:dyDescent="0.25">
      <c r="N10208" s="514"/>
    </row>
    <row r="10209" spans="14:14" x14ac:dyDescent="0.25">
      <c r="N10209" s="514"/>
    </row>
    <row r="10210" spans="14:14" x14ac:dyDescent="0.25">
      <c r="N10210" s="514"/>
    </row>
    <row r="10211" spans="14:14" x14ac:dyDescent="0.25">
      <c r="N10211" s="514"/>
    </row>
    <row r="10212" spans="14:14" x14ac:dyDescent="0.25">
      <c r="N10212" s="514"/>
    </row>
    <row r="10213" spans="14:14" x14ac:dyDescent="0.25">
      <c r="N10213" s="514"/>
    </row>
    <row r="10214" spans="14:14" x14ac:dyDescent="0.25">
      <c r="N10214" s="514"/>
    </row>
    <row r="10215" spans="14:14" x14ac:dyDescent="0.25">
      <c r="N10215" s="514"/>
    </row>
    <row r="10216" spans="14:14" x14ac:dyDescent="0.25">
      <c r="N10216" s="514"/>
    </row>
    <row r="10217" spans="14:14" x14ac:dyDescent="0.25">
      <c r="N10217" s="514"/>
    </row>
    <row r="10218" spans="14:14" x14ac:dyDescent="0.25">
      <c r="N10218" s="514"/>
    </row>
    <row r="10219" spans="14:14" x14ac:dyDescent="0.25">
      <c r="N10219" s="514"/>
    </row>
    <row r="10220" spans="14:14" x14ac:dyDescent="0.25">
      <c r="N10220" s="514"/>
    </row>
    <row r="10221" spans="14:14" x14ac:dyDescent="0.25">
      <c r="N10221" s="514"/>
    </row>
    <row r="10222" spans="14:14" x14ac:dyDescent="0.25">
      <c r="N10222" s="514"/>
    </row>
    <row r="10223" spans="14:14" x14ac:dyDescent="0.25">
      <c r="N10223" s="514"/>
    </row>
    <row r="10224" spans="14:14" x14ac:dyDescent="0.25">
      <c r="N10224" s="514"/>
    </row>
    <row r="10225" spans="14:14" x14ac:dyDescent="0.25">
      <c r="N10225" s="514"/>
    </row>
    <row r="10226" spans="14:14" x14ac:dyDescent="0.25">
      <c r="N10226" s="514"/>
    </row>
    <row r="10227" spans="14:14" x14ac:dyDescent="0.25">
      <c r="N10227" s="514"/>
    </row>
    <row r="10228" spans="14:14" x14ac:dyDescent="0.25">
      <c r="N10228" s="514"/>
    </row>
    <row r="10229" spans="14:14" x14ac:dyDescent="0.25">
      <c r="N10229" s="514"/>
    </row>
    <row r="10230" spans="14:14" x14ac:dyDescent="0.25">
      <c r="N10230" s="514"/>
    </row>
    <row r="10231" spans="14:14" x14ac:dyDescent="0.25">
      <c r="N10231" s="514"/>
    </row>
    <row r="10232" spans="14:14" x14ac:dyDescent="0.25">
      <c r="N10232" s="514"/>
    </row>
    <row r="10233" spans="14:14" x14ac:dyDescent="0.25">
      <c r="N10233" s="514"/>
    </row>
    <row r="10234" spans="14:14" x14ac:dyDescent="0.25">
      <c r="N10234" s="514"/>
    </row>
    <row r="10235" spans="14:14" x14ac:dyDescent="0.25">
      <c r="N10235" s="514"/>
    </row>
    <row r="10236" spans="14:14" x14ac:dyDescent="0.25">
      <c r="N10236" s="514"/>
    </row>
    <row r="10237" spans="14:14" x14ac:dyDescent="0.25">
      <c r="N10237" s="514"/>
    </row>
    <row r="10238" spans="14:14" x14ac:dyDescent="0.25">
      <c r="N10238" s="514"/>
    </row>
    <row r="10239" spans="14:14" x14ac:dyDescent="0.25">
      <c r="N10239" s="514"/>
    </row>
    <row r="10240" spans="14:14" x14ac:dyDescent="0.25">
      <c r="N10240" s="514"/>
    </row>
    <row r="10241" spans="14:14" x14ac:dyDescent="0.25">
      <c r="N10241" s="514"/>
    </row>
    <row r="10242" spans="14:14" x14ac:dyDescent="0.25">
      <c r="N10242" s="514"/>
    </row>
    <row r="10243" spans="14:14" x14ac:dyDescent="0.25">
      <c r="N10243" s="514"/>
    </row>
    <row r="10244" spans="14:14" x14ac:dyDescent="0.25">
      <c r="N10244" s="514"/>
    </row>
    <row r="10245" spans="14:14" x14ac:dyDescent="0.25">
      <c r="N10245" s="514"/>
    </row>
    <row r="10246" spans="14:14" x14ac:dyDescent="0.25">
      <c r="N10246" s="514"/>
    </row>
    <row r="10247" spans="14:14" x14ac:dyDescent="0.25">
      <c r="N10247" s="514"/>
    </row>
    <row r="10248" spans="14:14" x14ac:dyDescent="0.25">
      <c r="N10248" s="514"/>
    </row>
    <row r="10249" spans="14:14" x14ac:dyDescent="0.25">
      <c r="N10249" s="514"/>
    </row>
    <row r="10250" spans="14:14" x14ac:dyDescent="0.25">
      <c r="N10250" s="514"/>
    </row>
    <row r="10251" spans="14:14" x14ac:dyDescent="0.25">
      <c r="N10251" s="514"/>
    </row>
    <row r="10252" spans="14:14" x14ac:dyDescent="0.25">
      <c r="N10252" s="514"/>
    </row>
    <row r="10253" spans="14:14" x14ac:dyDescent="0.25">
      <c r="N10253" s="514"/>
    </row>
    <row r="10254" spans="14:14" x14ac:dyDescent="0.25">
      <c r="N10254" s="514"/>
    </row>
    <row r="10255" spans="14:14" x14ac:dyDescent="0.25">
      <c r="N10255" s="514"/>
    </row>
    <row r="10256" spans="14:14" x14ac:dyDescent="0.25">
      <c r="N10256" s="514"/>
    </row>
    <row r="10257" spans="14:14" x14ac:dyDescent="0.25">
      <c r="N10257" s="514"/>
    </row>
    <row r="10258" spans="14:14" x14ac:dyDescent="0.25">
      <c r="N10258" s="514"/>
    </row>
    <row r="10259" spans="14:14" x14ac:dyDescent="0.25">
      <c r="N10259" s="514"/>
    </row>
    <row r="10260" spans="14:14" x14ac:dyDescent="0.25">
      <c r="N10260" s="514"/>
    </row>
    <row r="10261" spans="14:14" x14ac:dyDescent="0.25">
      <c r="N10261" s="514"/>
    </row>
    <row r="10262" spans="14:14" x14ac:dyDescent="0.25">
      <c r="N10262" s="514"/>
    </row>
    <row r="10263" spans="14:14" x14ac:dyDescent="0.25">
      <c r="N10263" s="514"/>
    </row>
    <row r="10264" spans="14:14" x14ac:dyDescent="0.25">
      <c r="N10264" s="514"/>
    </row>
    <row r="10265" spans="14:14" x14ac:dyDescent="0.25">
      <c r="N10265" s="514"/>
    </row>
    <row r="10266" spans="14:14" x14ac:dyDescent="0.25">
      <c r="N10266" s="514"/>
    </row>
    <row r="10267" spans="14:14" x14ac:dyDescent="0.25">
      <c r="N10267" s="514"/>
    </row>
    <row r="10268" spans="14:14" x14ac:dyDescent="0.25">
      <c r="N10268" s="514"/>
    </row>
    <row r="10269" spans="14:14" x14ac:dyDescent="0.25">
      <c r="N10269" s="514"/>
    </row>
    <row r="10270" spans="14:14" x14ac:dyDescent="0.25">
      <c r="N10270" s="514"/>
    </row>
    <row r="10271" spans="14:14" x14ac:dyDescent="0.25">
      <c r="N10271" s="514"/>
    </row>
    <row r="10272" spans="14:14" x14ac:dyDescent="0.25">
      <c r="N10272" s="514"/>
    </row>
    <row r="10273" spans="14:14" x14ac:dyDescent="0.25">
      <c r="N10273" s="514"/>
    </row>
    <row r="10274" spans="14:14" x14ac:dyDescent="0.25">
      <c r="N10274" s="514"/>
    </row>
    <row r="10275" spans="14:14" x14ac:dyDescent="0.25">
      <c r="N10275" s="514"/>
    </row>
    <row r="10276" spans="14:14" x14ac:dyDescent="0.25">
      <c r="N10276" s="514"/>
    </row>
    <row r="10277" spans="14:14" x14ac:dyDescent="0.25">
      <c r="N10277" s="514"/>
    </row>
    <row r="10278" spans="14:14" x14ac:dyDescent="0.25">
      <c r="N10278" s="514"/>
    </row>
    <row r="10279" spans="14:14" x14ac:dyDescent="0.25">
      <c r="N10279" s="514"/>
    </row>
    <row r="10280" spans="14:14" x14ac:dyDescent="0.25">
      <c r="N10280" s="514"/>
    </row>
    <row r="10281" spans="14:14" x14ac:dyDescent="0.25">
      <c r="N10281" s="514"/>
    </row>
    <row r="10282" spans="14:14" x14ac:dyDescent="0.25">
      <c r="N10282" s="514"/>
    </row>
    <row r="10283" spans="14:14" x14ac:dyDescent="0.25">
      <c r="N10283" s="514"/>
    </row>
    <row r="10284" spans="14:14" x14ac:dyDescent="0.25">
      <c r="N10284" s="514"/>
    </row>
    <row r="10285" spans="14:14" x14ac:dyDescent="0.25">
      <c r="N10285" s="514"/>
    </row>
    <row r="10286" spans="14:14" x14ac:dyDescent="0.25">
      <c r="N10286" s="514"/>
    </row>
    <row r="10287" spans="14:14" x14ac:dyDescent="0.25">
      <c r="N10287" s="514"/>
    </row>
    <row r="10288" spans="14:14" x14ac:dyDescent="0.25">
      <c r="N10288" s="514"/>
    </row>
    <row r="10289" spans="14:14" x14ac:dyDescent="0.25">
      <c r="N10289" s="514"/>
    </row>
    <row r="10290" spans="14:14" x14ac:dyDescent="0.25">
      <c r="N10290" s="514"/>
    </row>
    <row r="10291" spans="14:14" x14ac:dyDescent="0.25">
      <c r="N10291" s="514"/>
    </row>
    <row r="10292" spans="14:14" x14ac:dyDescent="0.25">
      <c r="N10292" s="514"/>
    </row>
    <row r="10293" spans="14:14" x14ac:dyDescent="0.25">
      <c r="N10293" s="514"/>
    </row>
    <row r="10294" spans="14:14" x14ac:dyDescent="0.25">
      <c r="N10294" s="514"/>
    </row>
    <row r="10295" spans="14:14" x14ac:dyDescent="0.25">
      <c r="N10295" s="514"/>
    </row>
    <row r="10296" spans="14:14" x14ac:dyDescent="0.25">
      <c r="N10296" s="514"/>
    </row>
    <row r="10297" spans="14:14" x14ac:dyDescent="0.25">
      <c r="N10297" s="514"/>
    </row>
    <row r="10298" spans="14:14" x14ac:dyDescent="0.25">
      <c r="N10298" s="514"/>
    </row>
    <row r="10299" spans="14:14" x14ac:dyDescent="0.25">
      <c r="N10299" s="514"/>
    </row>
    <row r="10300" spans="14:14" x14ac:dyDescent="0.25">
      <c r="N10300" s="514"/>
    </row>
    <row r="10301" spans="14:14" x14ac:dyDescent="0.25">
      <c r="N10301" s="514"/>
    </row>
    <row r="10302" spans="14:14" x14ac:dyDescent="0.25">
      <c r="N10302" s="514"/>
    </row>
    <row r="10303" spans="14:14" x14ac:dyDescent="0.25">
      <c r="N10303" s="514"/>
    </row>
    <row r="10304" spans="14:14" x14ac:dyDescent="0.25">
      <c r="N10304" s="514"/>
    </row>
    <row r="10305" spans="14:14" x14ac:dyDescent="0.25">
      <c r="N10305" s="514"/>
    </row>
    <row r="10306" spans="14:14" x14ac:dyDescent="0.25">
      <c r="N10306" s="514"/>
    </row>
    <row r="10307" spans="14:14" x14ac:dyDescent="0.25">
      <c r="N10307" s="514"/>
    </row>
    <row r="10308" spans="14:14" x14ac:dyDescent="0.25">
      <c r="N10308" s="514"/>
    </row>
    <row r="10309" spans="14:14" x14ac:dyDescent="0.25">
      <c r="N10309" s="514"/>
    </row>
    <row r="10310" spans="14:14" x14ac:dyDescent="0.25">
      <c r="N10310" s="514"/>
    </row>
    <row r="10311" spans="14:14" x14ac:dyDescent="0.25">
      <c r="N10311" s="514"/>
    </row>
    <row r="10312" spans="14:14" x14ac:dyDescent="0.25">
      <c r="N10312" s="514"/>
    </row>
    <row r="10313" spans="14:14" x14ac:dyDescent="0.25">
      <c r="N10313" s="514"/>
    </row>
    <row r="10314" spans="14:14" x14ac:dyDescent="0.25">
      <c r="N10314" s="514"/>
    </row>
    <row r="10315" spans="14:14" x14ac:dyDescent="0.25">
      <c r="N10315" s="514"/>
    </row>
    <row r="10316" spans="14:14" x14ac:dyDescent="0.25">
      <c r="N10316" s="514"/>
    </row>
    <row r="10317" spans="14:14" x14ac:dyDescent="0.25">
      <c r="N10317" s="514"/>
    </row>
    <row r="10318" spans="14:14" x14ac:dyDescent="0.25">
      <c r="N10318" s="514"/>
    </row>
    <row r="10319" spans="14:14" x14ac:dyDescent="0.25">
      <c r="N10319" s="514"/>
    </row>
    <row r="10320" spans="14:14" x14ac:dyDescent="0.25">
      <c r="N10320" s="514"/>
    </row>
    <row r="10321" spans="14:14" x14ac:dyDescent="0.25">
      <c r="N10321" s="514"/>
    </row>
    <row r="10322" spans="14:14" x14ac:dyDescent="0.25">
      <c r="N10322" s="514"/>
    </row>
    <row r="10323" spans="14:14" x14ac:dyDescent="0.25">
      <c r="N10323" s="514"/>
    </row>
    <row r="10324" spans="14:14" x14ac:dyDescent="0.25">
      <c r="N10324" s="514"/>
    </row>
    <row r="10325" spans="14:14" x14ac:dyDescent="0.25">
      <c r="N10325" s="514"/>
    </row>
    <row r="10326" spans="14:14" x14ac:dyDescent="0.25">
      <c r="N10326" s="514"/>
    </row>
    <row r="10327" spans="14:14" x14ac:dyDescent="0.25">
      <c r="N10327" s="514"/>
    </row>
    <row r="10328" spans="14:14" x14ac:dyDescent="0.25">
      <c r="N10328" s="514"/>
    </row>
    <row r="10329" spans="14:14" x14ac:dyDescent="0.25">
      <c r="N10329" s="514"/>
    </row>
    <row r="10330" spans="14:14" x14ac:dyDescent="0.25">
      <c r="N10330" s="514"/>
    </row>
    <row r="10331" spans="14:14" x14ac:dyDescent="0.25">
      <c r="N10331" s="514"/>
    </row>
    <row r="10332" spans="14:14" x14ac:dyDescent="0.25">
      <c r="N10332" s="514"/>
    </row>
    <row r="10333" spans="14:14" x14ac:dyDescent="0.25">
      <c r="N10333" s="514"/>
    </row>
    <row r="10334" spans="14:14" x14ac:dyDescent="0.25">
      <c r="N10334" s="514"/>
    </row>
    <row r="10335" spans="14:14" x14ac:dyDescent="0.25">
      <c r="N10335" s="514"/>
    </row>
    <row r="10336" spans="14:14" x14ac:dyDescent="0.25">
      <c r="N10336" s="514"/>
    </row>
    <row r="10337" spans="14:14" x14ac:dyDescent="0.25">
      <c r="N10337" s="514"/>
    </row>
    <row r="10338" spans="14:14" x14ac:dyDescent="0.25">
      <c r="N10338" s="514"/>
    </row>
    <row r="10339" spans="14:14" x14ac:dyDescent="0.25">
      <c r="N10339" s="514"/>
    </row>
    <row r="10340" spans="14:14" x14ac:dyDescent="0.25">
      <c r="N10340" s="514"/>
    </row>
    <row r="10341" spans="14:14" x14ac:dyDescent="0.25">
      <c r="N10341" s="514"/>
    </row>
    <row r="10342" spans="14:14" x14ac:dyDescent="0.25">
      <c r="N10342" s="514"/>
    </row>
    <row r="10343" spans="14:14" x14ac:dyDescent="0.25">
      <c r="N10343" s="514"/>
    </row>
    <row r="10344" spans="14:14" x14ac:dyDescent="0.25">
      <c r="N10344" s="514"/>
    </row>
    <row r="10345" spans="14:14" x14ac:dyDescent="0.25">
      <c r="N10345" s="514"/>
    </row>
    <row r="10346" spans="14:14" x14ac:dyDescent="0.25">
      <c r="N10346" s="514"/>
    </row>
    <row r="10347" spans="14:14" x14ac:dyDescent="0.25">
      <c r="N10347" s="514"/>
    </row>
    <row r="10348" spans="14:14" x14ac:dyDescent="0.25">
      <c r="N10348" s="514"/>
    </row>
    <row r="10349" spans="14:14" x14ac:dyDescent="0.25">
      <c r="N10349" s="514"/>
    </row>
    <row r="10350" spans="14:14" x14ac:dyDescent="0.25">
      <c r="N10350" s="514"/>
    </row>
    <row r="10351" spans="14:14" x14ac:dyDescent="0.25">
      <c r="N10351" s="514"/>
    </row>
    <row r="10352" spans="14:14" x14ac:dyDescent="0.25">
      <c r="N10352" s="514"/>
    </row>
    <row r="10353" spans="14:14" x14ac:dyDescent="0.25">
      <c r="N10353" s="514"/>
    </row>
    <row r="10354" spans="14:14" x14ac:dyDescent="0.25">
      <c r="N10354" s="514"/>
    </row>
    <row r="10355" spans="14:14" x14ac:dyDescent="0.25">
      <c r="N10355" s="514"/>
    </row>
    <row r="10356" spans="14:14" x14ac:dyDescent="0.25">
      <c r="N10356" s="514"/>
    </row>
    <row r="10357" spans="14:14" x14ac:dyDescent="0.25">
      <c r="N10357" s="514"/>
    </row>
    <row r="10358" spans="14:14" x14ac:dyDescent="0.25">
      <c r="N10358" s="514"/>
    </row>
    <row r="10359" spans="14:14" x14ac:dyDescent="0.25">
      <c r="N10359" s="514"/>
    </row>
    <row r="10360" spans="14:14" x14ac:dyDescent="0.25">
      <c r="N10360" s="514"/>
    </row>
    <row r="10361" spans="14:14" x14ac:dyDescent="0.25">
      <c r="N10361" s="514"/>
    </row>
    <row r="10362" spans="14:14" x14ac:dyDescent="0.25">
      <c r="N10362" s="514"/>
    </row>
    <row r="10363" spans="14:14" x14ac:dyDescent="0.25">
      <c r="N10363" s="514"/>
    </row>
    <row r="10364" spans="14:14" x14ac:dyDescent="0.25">
      <c r="N10364" s="514"/>
    </row>
    <row r="10365" spans="14:14" x14ac:dyDescent="0.25">
      <c r="N10365" s="514"/>
    </row>
    <row r="10366" spans="14:14" x14ac:dyDescent="0.25">
      <c r="N10366" s="514"/>
    </row>
    <row r="10367" spans="14:14" x14ac:dyDescent="0.25">
      <c r="N10367" s="514"/>
    </row>
    <row r="10368" spans="14:14" x14ac:dyDescent="0.25">
      <c r="N10368" s="514"/>
    </row>
    <row r="10369" spans="14:14" x14ac:dyDescent="0.25">
      <c r="N10369" s="514"/>
    </row>
    <row r="10370" spans="14:14" x14ac:dyDescent="0.25">
      <c r="N10370" s="514"/>
    </row>
    <row r="10371" spans="14:14" x14ac:dyDescent="0.25">
      <c r="N10371" s="514"/>
    </row>
    <row r="10372" spans="14:14" x14ac:dyDescent="0.25">
      <c r="N10372" s="514"/>
    </row>
    <row r="10373" spans="14:14" x14ac:dyDescent="0.25">
      <c r="N10373" s="514"/>
    </row>
    <row r="10374" spans="14:14" x14ac:dyDescent="0.25">
      <c r="N10374" s="514"/>
    </row>
    <row r="10375" spans="14:14" x14ac:dyDescent="0.25">
      <c r="N10375" s="514"/>
    </row>
    <row r="10376" spans="14:14" x14ac:dyDescent="0.25">
      <c r="N10376" s="514"/>
    </row>
    <row r="10377" spans="14:14" x14ac:dyDescent="0.25">
      <c r="N10377" s="514"/>
    </row>
    <row r="10378" spans="14:14" x14ac:dyDescent="0.25">
      <c r="N10378" s="514"/>
    </row>
    <row r="10379" spans="14:14" x14ac:dyDescent="0.25">
      <c r="N10379" s="514"/>
    </row>
    <row r="10380" spans="14:14" x14ac:dyDescent="0.25">
      <c r="N10380" s="514"/>
    </row>
    <row r="10381" spans="14:14" x14ac:dyDescent="0.25">
      <c r="N10381" s="514"/>
    </row>
    <row r="10382" spans="14:14" x14ac:dyDescent="0.25">
      <c r="N10382" s="514"/>
    </row>
    <row r="10383" spans="14:14" x14ac:dyDescent="0.25">
      <c r="N10383" s="514"/>
    </row>
    <row r="10384" spans="14:14" x14ac:dyDescent="0.25">
      <c r="N10384" s="514"/>
    </row>
    <row r="10385" spans="14:14" x14ac:dyDescent="0.25">
      <c r="N10385" s="514"/>
    </row>
    <row r="10386" spans="14:14" x14ac:dyDescent="0.25">
      <c r="N10386" s="514"/>
    </row>
    <row r="10387" spans="14:14" x14ac:dyDescent="0.25">
      <c r="N10387" s="514"/>
    </row>
    <row r="10388" spans="14:14" x14ac:dyDescent="0.25">
      <c r="N10388" s="514"/>
    </row>
    <row r="10389" spans="14:14" x14ac:dyDescent="0.25">
      <c r="N10389" s="514"/>
    </row>
    <row r="10390" spans="14:14" x14ac:dyDescent="0.25">
      <c r="N10390" s="514"/>
    </row>
    <row r="10391" spans="14:14" x14ac:dyDescent="0.25">
      <c r="N10391" s="514"/>
    </row>
    <row r="10392" spans="14:14" x14ac:dyDescent="0.25">
      <c r="N10392" s="514"/>
    </row>
    <row r="10393" spans="14:14" x14ac:dyDescent="0.25">
      <c r="N10393" s="514"/>
    </row>
    <row r="10394" spans="14:14" x14ac:dyDescent="0.25">
      <c r="N10394" s="514"/>
    </row>
    <row r="10395" spans="14:14" x14ac:dyDescent="0.25">
      <c r="N10395" s="514"/>
    </row>
    <row r="10396" spans="14:14" x14ac:dyDescent="0.25">
      <c r="N10396" s="514"/>
    </row>
    <row r="10397" spans="14:14" x14ac:dyDescent="0.25">
      <c r="N10397" s="514"/>
    </row>
    <row r="10398" spans="14:14" x14ac:dyDescent="0.25">
      <c r="N10398" s="514"/>
    </row>
    <row r="10399" spans="14:14" x14ac:dyDescent="0.25">
      <c r="N10399" s="514"/>
    </row>
    <row r="10400" spans="14:14" x14ac:dyDescent="0.25">
      <c r="N10400" s="514"/>
    </row>
    <row r="10401" spans="14:14" x14ac:dyDescent="0.25">
      <c r="N10401" s="514"/>
    </row>
    <row r="10402" spans="14:14" x14ac:dyDescent="0.25">
      <c r="N10402" s="514"/>
    </row>
    <row r="10403" spans="14:14" x14ac:dyDescent="0.25">
      <c r="N10403" s="514"/>
    </row>
    <row r="10404" spans="14:14" x14ac:dyDescent="0.25">
      <c r="N10404" s="514"/>
    </row>
    <row r="10405" spans="14:14" x14ac:dyDescent="0.25">
      <c r="N10405" s="514"/>
    </row>
    <row r="10406" spans="14:14" x14ac:dyDescent="0.25">
      <c r="N10406" s="514"/>
    </row>
    <row r="10407" spans="14:14" x14ac:dyDescent="0.25">
      <c r="N10407" s="514"/>
    </row>
    <row r="10408" spans="14:14" x14ac:dyDescent="0.25">
      <c r="N10408" s="514"/>
    </row>
    <row r="10409" spans="14:14" x14ac:dyDescent="0.25">
      <c r="N10409" s="514"/>
    </row>
    <row r="10410" spans="14:14" x14ac:dyDescent="0.25">
      <c r="N10410" s="514"/>
    </row>
    <row r="10411" spans="14:14" x14ac:dyDescent="0.25">
      <c r="N10411" s="514"/>
    </row>
    <row r="10412" spans="14:14" x14ac:dyDescent="0.25">
      <c r="N10412" s="514"/>
    </row>
    <row r="10413" spans="14:14" x14ac:dyDescent="0.25">
      <c r="N10413" s="514"/>
    </row>
    <row r="10414" spans="14:14" x14ac:dyDescent="0.25">
      <c r="N10414" s="514"/>
    </row>
    <row r="10415" spans="14:14" x14ac:dyDescent="0.25">
      <c r="N10415" s="514"/>
    </row>
    <row r="10416" spans="14:14" x14ac:dyDescent="0.25">
      <c r="N10416" s="514"/>
    </row>
    <row r="10417" spans="14:14" x14ac:dyDescent="0.25">
      <c r="N10417" s="514"/>
    </row>
    <row r="10418" spans="14:14" x14ac:dyDescent="0.25">
      <c r="N10418" s="514"/>
    </row>
    <row r="10419" spans="14:14" x14ac:dyDescent="0.25">
      <c r="N10419" s="514"/>
    </row>
    <row r="10420" spans="14:14" x14ac:dyDescent="0.25">
      <c r="N10420" s="514"/>
    </row>
    <row r="10421" spans="14:14" x14ac:dyDescent="0.25">
      <c r="N10421" s="514"/>
    </row>
    <row r="10422" spans="14:14" x14ac:dyDescent="0.25">
      <c r="N10422" s="514"/>
    </row>
    <row r="10423" spans="14:14" x14ac:dyDescent="0.25">
      <c r="N10423" s="514"/>
    </row>
    <row r="10424" spans="14:14" x14ac:dyDescent="0.25">
      <c r="N10424" s="514"/>
    </row>
    <row r="10425" spans="14:14" x14ac:dyDescent="0.25">
      <c r="N10425" s="514"/>
    </row>
    <row r="10426" spans="14:14" x14ac:dyDescent="0.25">
      <c r="N10426" s="514"/>
    </row>
    <row r="10427" spans="14:14" x14ac:dyDescent="0.25">
      <c r="N10427" s="514"/>
    </row>
    <row r="10428" spans="14:14" x14ac:dyDescent="0.25">
      <c r="N10428" s="514"/>
    </row>
    <row r="10429" spans="14:14" x14ac:dyDescent="0.25">
      <c r="N10429" s="514"/>
    </row>
    <row r="10430" spans="14:14" x14ac:dyDescent="0.25">
      <c r="N10430" s="514"/>
    </row>
    <row r="10431" spans="14:14" x14ac:dyDescent="0.25">
      <c r="N10431" s="514"/>
    </row>
    <row r="10432" spans="14:14" x14ac:dyDescent="0.25">
      <c r="N10432" s="514"/>
    </row>
    <row r="10433" spans="14:14" x14ac:dyDescent="0.25">
      <c r="N10433" s="514"/>
    </row>
    <row r="10434" spans="14:14" x14ac:dyDescent="0.25">
      <c r="N10434" s="514"/>
    </row>
    <row r="10435" spans="14:14" x14ac:dyDescent="0.25">
      <c r="N10435" s="514"/>
    </row>
    <row r="10436" spans="14:14" x14ac:dyDescent="0.25">
      <c r="N10436" s="514"/>
    </row>
    <row r="10437" spans="14:14" x14ac:dyDescent="0.25">
      <c r="N10437" s="514"/>
    </row>
    <row r="10438" spans="14:14" x14ac:dyDescent="0.25">
      <c r="N10438" s="514"/>
    </row>
    <row r="10439" spans="14:14" x14ac:dyDescent="0.25">
      <c r="N10439" s="514"/>
    </row>
    <row r="10440" spans="14:14" x14ac:dyDescent="0.25">
      <c r="N10440" s="514"/>
    </row>
    <row r="10441" spans="14:14" x14ac:dyDescent="0.25">
      <c r="N10441" s="514"/>
    </row>
    <row r="10442" spans="14:14" x14ac:dyDescent="0.25">
      <c r="N10442" s="514"/>
    </row>
    <row r="10443" spans="14:14" x14ac:dyDescent="0.25">
      <c r="N10443" s="514"/>
    </row>
    <row r="10444" spans="14:14" x14ac:dyDescent="0.25">
      <c r="N10444" s="514"/>
    </row>
    <row r="10445" spans="14:14" x14ac:dyDescent="0.25">
      <c r="N10445" s="514"/>
    </row>
    <row r="10446" spans="14:14" x14ac:dyDescent="0.25">
      <c r="N10446" s="514"/>
    </row>
    <row r="10447" spans="14:14" x14ac:dyDescent="0.25">
      <c r="N10447" s="514"/>
    </row>
    <row r="10448" spans="14:14" x14ac:dyDescent="0.25">
      <c r="N10448" s="514"/>
    </row>
    <row r="10449" spans="14:14" x14ac:dyDescent="0.25">
      <c r="N10449" s="514"/>
    </row>
    <row r="10450" spans="14:14" x14ac:dyDescent="0.25">
      <c r="N10450" s="514"/>
    </row>
    <row r="10451" spans="14:14" x14ac:dyDescent="0.25">
      <c r="N10451" s="514"/>
    </row>
    <row r="10452" spans="14:14" x14ac:dyDescent="0.25">
      <c r="N10452" s="514"/>
    </row>
    <row r="10453" spans="14:14" x14ac:dyDescent="0.25">
      <c r="N10453" s="514"/>
    </row>
    <row r="10454" spans="14:14" x14ac:dyDescent="0.25">
      <c r="N10454" s="514"/>
    </row>
    <row r="10455" spans="14:14" x14ac:dyDescent="0.25">
      <c r="N10455" s="514"/>
    </row>
    <row r="10456" spans="14:14" x14ac:dyDescent="0.25">
      <c r="N10456" s="514"/>
    </row>
    <row r="10457" spans="14:14" x14ac:dyDescent="0.25">
      <c r="N10457" s="514"/>
    </row>
    <row r="10458" spans="14:14" x14ac:dyDescent="0.25">
      <c r="N10458" s="514"/>
    </row>
    <row r="10459" spans="14:14" x14ac:dyDescent="0.25">
      <c r="N10459" s="514"/>
    </row>
    <row r="10460" spans="14:14" x14ac:dyDescent="0.25">
      <c r="N10460" s="514"/>
    </row>
    <row r="10461" spans="14:14" x14ac:dyDescent="0.25">
      <c r="N10461" s="514"/>
    </row>
    <row r="10462" spans="14:14" x14ac:dyDescent="0.25">
      <c r="N10462" s="514"/>
    </row>
    <row r="10463" spans="14:14" x14ac:dyDescent="0.25">
      <c r="N10463" s="514"/>
    </row>
    <row r="10464" spans="14:14" x14ac:dyDescent="0.25">
      <c r="N10464" s="514"/>
    </row>
    <row r="10465" spans="14:14" x14ac:dyDescent="0.25">
      <c r="N10465" s="514"/>
    </row>
    <row r="10466" spans="14:14" x14ac:dyDescent="0.25">
      <c r="N10466" s="514"/>
    </row>
    <row r="10467" spans="14:14" x14ac:dyDescent="0.25">
      <c r="N10467" s="514"/>
    </row>
    <row r="10468" spans="14:14" x14ac:dyDescent="0.25">
      <c r="N10468" s="514"/>
    </row>
    <row r="10469" spans="14:14" x14ac:dyDescent="0.25">
      <c r="N10469" s="514"/>
    </row>
    <row r="10470" spans="14:14" x14ac:dyDescent="0.25">
      <c r="N10470" s="514"/>
    </row>
    <row r="10471" spans="14:14" x14ac:dyDescent="0.25">
      <c r="N10471" s="514"/>
    </row>
    <row r="10472" spans="14:14" x14ac:dyDescent="0.25">
      <c r="N10472" s="514"/>
    </row>
    <row r="10473" spans="14:14" x14ac:dyDescent="0.25">
      <c r="N10473" s="514"/>
    </row>
    <row r="10474" spans="14:14" x14ac:dyDescent="0.25">
      <c r="N10474" s="514"/>
    </row>
    <row r="10475" spans="14:14" x14ac:dyDescent="0.25">
      <c r="N10475" s="514"/>
    </row>
    <row r="10476" spans="14:14" x14ac:dyDescent="0.25">
      <c r="N10476" s="514"/>
    </row>
    <row r="10477" spans="14:14" x14ac:dyDescent="0.25">
      <c r="N10477" s="514"/>
    </row>
    <row r="10478" spans="14:14" x14ac:dyDescent="0.25">
      <c r="N10478" s="514"/>
    </row>
    <row r="10479" spans="14:14" x14ac:dyDescent="0.25">
      <c r="N10479" s="514"/>
    </row>
    <row r="10480" spans="14:14" x14ac:dyDescent="0.25">
      <c r="N10480" s="514"/>
    </row>
    <row r="10481" spans="14:14" x14ac:dyDescent="0.25">
      <c r="N10481" s="514"/>
    </row>
    <row r="10482" spans="14:14" x14ac:dyDescent="0.25">
      <c r="N10482" s="514"/>
    </row>
    <row r="10483" spans="14:14" x14ac:dyDescent="0.25">
      <c r="N10483" s="514"/>
    </row>
    <row r="10484" spans="14:14" x14ac:dyDescent="0.25">
      <c r="N10484" s="514"/>
    </row>
    <row r="10485" spans="14:14" x14ac:dyDescent="0.25">
      <c r="N10485" s="514"/>
    </row>
    <row r="10486" spans="14:14" x14ac:dyDescent="0.25">
      <c r="N10486" s="514"/>
    </row>
    <row r="10487" spans="14:14" x14ac:dyDescent="0.25">
      <c r="N10487" s="514"/>
    </row>
    <row r="10488" spans="14:14" x14ac:dyDescent="0.25">
      <c r="N10488" s="514"/>
    </row>
    <row r="10489" spans="14:14" x14ac:dyDescent="0.25">
      <c r="N10489" s="514"/>
    </row>
    <row r="10490" spans="14:14" x14ac:dyDescent="0.25">
      <c r="N10490" s="514"/>
    </row>
    <row r="10491" spans="14:14" x14ac:dyDescent="0.25">
      <c r="N10491" s="514"/>
    </row>
    <row r="10492" spans="14:14" x14ac:dyDescent="0.25">
      <c r="N10492" s="514"/>
    </row>
    <row r="10493" spans="14:14" x14ac:dyDescent="0.25">
      <c r="N10493" s="514"/>
    </row>
    <row r="10494" spans="14:14" x14ac:dyDescent="0.25">
      <c r="N10494" s="514"/>
    </row>
    <row r="10495" spans="14:14" x14ac:dyDescent="0.25">
      <c r="N10495" s="514"/>
    </row>
    <row r="10496" spans="14:14" x14ac:dyDescent="0.25">
      <c r="N10496" s="514"/>
    </row>
    <row r="10497" spans="14:14" x14ac:dyDescent="0.25">
      <c r="N10497" s="514"/>
    </row>
    <row r="10498" spans="14:14" x14ac:dyDescent="0.25">
      <c r="N10498" s="514"/>
    </row>
    <row r="10499" spans="14:14" x14ac:dyDescent="0.25">
      <c r="N10499" s="514"/>
    </row>
    <row r="10500" spans="14:14" x14ac:dyDescent="0.25">
      <c r="N10500" s="514"/>
    </row>
    <row r="10501" spans="14:14" x14ac:dyDescent="0.25">
      <c r="N10501" s="514"/>
    </row>
    <row r="10502" spans="14:14" x14ac:dyDescent="0.25">
      <c r="N10502" s="514"/>
    </row>
    <row r="10503" spans="14:14" x14ac:dyDescent="0.25">
      <c r="N10503" s="514"/>
    </row>
    <row r="10504" spans="14:14" x14ac:dyDescent="0.25">
      <c r="N10504" s="514"/>
    </row>
    <row r="10505" spans="14:14" x14ac:dyDescent="0.25">
      <c r="N10505" s="514"/>
    </row>
    <row r="10506" spans="14:14" x14ac:dyDescent="0.25">
      <c r="N10506" s="514"/>
    </row>
    <row r="10507" spans="14:14" x14ac:dyDescent="0.25">
      <c r="N10507" s="514"/>
    </row>
    <row r="10508" spans="14:14" x14ac:dyDescent="0.25">
      <c r="N10508" s="514"/>
    </row>
    <row r="10509" spans="14:14" x14ac:dyDescent="0.25">
      <c r="N10509" s="514"/>
    </row>
    <row r="10510" spans="14:14" x14ac:dyDescent="0.25">
      <c r="N10510" s="514"/>
    </row>
    <row r="10511" spans="14:14" x14ac:dyDescent="0.25">
      <c r="N10511" s="514"/>
    </row>
    <row r="10512" spans="14:14" x14ac:dyDescent="0.25">
      <c r="N10512" s="514"/>
    </row>
    <row r="10513" spans="14:14" x14ac:dyDescent="0.25">
      <c r="N10513" s="514"/>
    </row>
    <row r="10514" spans="14:14" x14ac:dyDescent="0.25">
      <c r="N10514" s="514"/>
    </row>
    <row r="10515" spans="14:14" x14ac:dyDescent="0.25">
      <c r="N10515" s="514"/>
    </row>
    <row r="10516" spans="14:14" x14ac:dyDescent="0.25">
      <c r="N10516" s="514"/>
    </row>
    <row r="10517" spans="14:14" x14ac:dyDescent="0.25">
      <c r="N10517" s="514"/>
    </row>
    <row r="10518" spans="14:14" x14ac:dyDescent="0.25">
      <c r="N10518" s="514"/>
    </row>
    <row r="10519" spans="14:14" x14ac:dyDescent="0.25">
      <c r="N10519" s="514"/>
    </row>
    <row r="10520" spans="14:14" x14ac:dyDescent="0.25">
      <c r="N10520" s="514"/>
    </row>
    <row r="10521" spans="14:14" x14ac:dyDescent="0.25">
      <c r="N10521" s="514"/>
    </row>
    <row r="10522" spans="14:14" x14ac:dyDescent="0.25">
      <c r="N10522" s="514"/>
    </row>
    <row r="10523" spans="14:14" x14ac:dyDescent="0.25">
      <c r="N10523" s="514"/>
    </row>
    <row r="10524" spans="14:14" x14ac:dyDescent="0.25">
      <c r="N10524" s="514"/>
    </row>
    <row r="10525" spans="14:14" x14ac:dyDescent="0.25">
      <c r="N10525" s="514"/>
    </row>
    <row r="10526" spans="14:14" x14ac:dyDescent="0.25">
      <c r="N10526" s="514"/>
    </row>
    <row r="10527" spans="14:14" x14ac:dyDescent="0.25">
      <c r="N10527" s="514"/>
    </row>
    <row r="10528" spans="14:14" x14ac:dyDescent="0.25">
      <c r="N10528" s="514"/>
    </row>
    <row r="10529" spans="14:14" x14ac:dyDescent="0.25">
      <c r="N10529" s="514"/>
    </row>
    <row r="10530" spans="14:14" x14ac:dyDescent="0.25">
      <c r="N10530" s="514"/>
    </row>
    <row r="10531" spans="14:14" x14ac:dyDescent="0.25">
      <c r="N10531" s="514"/>
    </row>
    <row r="10532" spans="14:14" x14ac:dyDescent="0.25">
      <c r="N10532" s="514"/>
    </row>
    <row r="10533" spans="14:14" x14ac:dyDescent="0.25">
      <c r="N10533" s="514"/>
    </row>
    <row r="10534" spans="14:14" x14ac:dyDescent="0.25">
      <c r="N10534" s="514"/>
    </row>
    <row r="10535" spans="14:14" x14ac:dyDescent="0.25">
      <c r="N10535" s="514"/>
    </row>
    <row r="10536" spans="14:14" x14ac:dyDescent="0.25">
      <c r="N10536" s="514"/>
    </row>
    <row r="10537" spans="14:14" x14ac:dyDescent="0.25">
      <c r="N10537" s="514"/>
    </row>
    <row r="10538" spans="14:14" x14ac:dyDescent="0.25">
      <c r="N10538" s="514"/>
    </row>
    <row r="10539" spans="14:14" x14ac:dyDescent="0.25">
      <c r="N10539" s="514"/>
    </row>
    <row r="10540" spans="14:14" x14ac:dyDescent="0.25">
      <c r="N10540" s="514"/>
    </row>
    <row r="10541" spans="14:14" x14ac:dyDescent="0.25">
      <c r="N10541" s="514"/>
    </row>
    <row r="10542" spans="14:14" x14ac:dyDescent="0.25">
      <c r="N10542" s="514"/>
    </row>
    <row r="10543" spans="14:14" x14ac:dyDescent="0.25">
      <c r="N10543" s="514"/>
    </row>
    <row r="10544" spans="14:14" x14ac:dyDescent="0.25">
      <c r="N10544" s="514"/>
    </row>
    <row r="10545" spans="14:14" x14ac:dyDescent="0.25">
      <c r="N10545" s="514"/>
    </row>
    <row r="10546" spans="14:14" x14ac:dyDescent="0.25">
      <c r="N10546" s="514"/>
    </row>
    <row r="10547" spans="14:14" x14ac:dyDescent="0.25">
      <c r="N10547" s="514"/>
    </row>
    <row r="10548" spans="14:14" x14ac:dyDescent="0.25">
      <c r="N10548" s="514"/>
    </row>
    <row r="10549" spans="14:14" x14ac:dyDescent="0.25">
      <c r="N10549" s="514"/>
    </row>
    <row r="10550" spans="14:14" x14ac:dyDescent="0.25">
      <c r="N10550" s="514"/>
    </row>
    <row r="10551" spans="14:14" x14ac:dyDescent="0.25">
      <c r="N10551" s="514"/>
    </row>
    <row r="10552" spans="14:14" x14ac:dyDescent="0.25">
      <c r="N10552" s="514"/>
    </row>
    <row r="10553" spans="14:14" x14ac:dyDescent="0.25">
      <c r="N10553" s="514"/>
    </row>
    <row r="10554" spans="14:14" x14ac:dyDescent="0.25">
      <c r="N10554" s="514"/>
    </row>
    <row r="10555" spans="14:14" x14ac:dyDescent="0.25">
      <c r="N10555" s="514"/>
    </row>
    <row r="10556" spans="14:14" x14ac:dyDescent="0.25">
      <c r="N10556" s="514"/>
    </row>
  </sheetData>
  <autoFilter ref="A4:GZ444">
    <filterColumn colId="1">
      <customFilters and="1">
        <customFilter operator="notEqual" val=" "/>
      </customFilters>
    </filterColumn>
  </autoFilter>
  <mergeCells count="3">
    <mergeCell ref="B2:E2"/>
    <mergeCell ref="Q2:S2"/>
    <mergeCell ref="B1:E1"/>
  </mergeCells>
  <phoneticPr fontId="19" type="noConversion"/>
  <pageMargins left="0.78740157480314965" right="0" top="0" bottom="0" header="0" footer="0"/>
  <pageSetup paperSize="9" scale="40" orientation="portrait" r:id="rId1"/>
  <headerFooter alignWithMargins="0"/>
  <rowBreaks count="4" manualBreakCount="4">
    <brk id="105" max="16383" man="1"/>
    <brk id="221" min="1" max="240" man="1"/>
    <brk id="442" min="1" max="240" man="1"/>
    <brk id="509" max="16383" man="1"/>
  </rowBreaks>
  <colBreaks count="2" manualBreakCount="2">
    <brk id="17" max="10555" man="1"/>
    <brk id="24" max="1055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125133313244522238" filterMode="1"/>
  <dimension ref="A1:GY10556"/>
  <sheetViews>
    <sheetView showZeros="0" tabSelected="1" view="pageBreakPreview" zoomScale="75" zoomScaleNormal="75" zoomScaleSheetLayoutView="75" workbookViewId="0">
      <pane xSplit="6" ySplit="5" topLeftCell="G427" activePane="bottomRight" state="frozen"/>
      <selection pane="topRight" activeCell="G1" sqref="G1"/>
      <selection pane="bottomLeft" activeCell="A6" sqref="A6"/>
      <selection pane="bottomRight" activeCell="E438" sqref="E438"/>
    </sheetView>
  </sheetViews>
  <sheetFormatPr defaultColWidth="16.7109375" defaultRowHeight="18" x14ac:dyDescent="0.25"/>
  <cols>
    <col min="1" max="1" width="0.140625" style="10" customWidth="1"/>
    <col min="2" max="2" width="7.42578125" style="25" customWidth="1"/>
    <col min="3" max="3" width="14" style="10" customWidth="1"/>
    <col min="4" max="4" width="10.28515625" style="76" customWidth="1"/>
    <col min="5" max="5" width="28" style="46" customWidth="1"/>
    <col min="6" max="6" width="8.7109375" style="523" customWidth="1"/>
    <col min="7" max="7" width="5.85546875" style="50" customWidth="1"/>
    <col min="8" max="8" width="14.5703125" style="46" customWidth="1"/>
    <col min="9" max="9" width="20" style="315" customWidth="1"/>
    <col min="10" max="10" width="13.85546875" style="46" customWidth="1"/>
    <col min="11" max="11" width="12.140625" style="312" customWidth="1"/>
    <col min="12" max="12" width="24.85546875" style="221" customWidth="1"/>
    <col min="13" max="13" width="15.5703125" style="278" customWidth="1"/>
    <col min="14" max="14" width="12" style="46" customWidth="1"/>
    <col min="15" max="15" width="18.85546875" style="312" customWidth="1"/>
    <col min="16" max="16" width="24.7109375" style="37" customWidth="1"/>
    <col min="17" max="17" width="8.28515625" style="301" customWidth="1"/>
    <col min="18" max="18" width="11.140625" style="319" customWidth="1"/>
    <col min="19" max="19" width="19" style="349" customWidth="1"/>
    <col min="20" max="20" width="16.28515625" style="10" hidden="1" customWidth="1"/>
    <col min="21" max="21" width="16.7109375" style="10" hidden="1" customWidth="1"/>
    <col min="22" max="22" width="16.85546875" style="10" hidden="1" customWidth="1"/>
    <col min="23" max="23" width="16.28515625" style="10" hidden="1" customWidth="1"/>
    <col min="24" max="24" width="14.7109375" style="10" hidden="1" customWidth="1"/>
    <col min="25" max="16384" width="16.7109375" style="10"/>
  </cols>
  <sheetData>
    <row r="1" spans="2:23" ht="0.75" customHeight="1" x14ac:dyDescent="0.25">
      <c r="B1" s="894"/>
      <c r="C1" s="894"/>
      <c r="D1" s="894"/>
      <c r="E1" s="895"/>
      <c r="H1" s="83"/>
      <c r="I1" s="294"/>
      <c r="J1" s="83"/>
      <c r="K1" s="294"/>
      <c r="R1" s="316"/>
      <c r="U1" s="20">
        <f>M1</f>
        <v>0</v>
      </c>
    </row>
    <row r="2" spans="2:23" s="2" customFormat="1" ht="42.75" customHeight="1" thickBot="1" x14ac:dyDescent="0.45">
      <c r="B2" s="891" t="s">
        <v>37</v>
      </c>
      <c r="C2" s="892"/>
      <c r="D2" s="892"/>
      <c r="E2" s="893"/>
      <c r="F2" s="524"/>
      <c r="G2" s="50"/>
      <c r="H2" s="38"/>
      <c r="I2" s="38" t="s">
        <v>191</v>
      </c>
      <c r="J2" s="38"/>
      <c r="K2" s="38"/>
      <c r="L2" s="222"/>
      <c r="M2" s="376"/>
      <c r="N2" s="38"/>
      <c r="O2" s="308" t="s">
        <v>191</v>
      </c>
      <c r="P2" s="898" t="s">
        <v>27</v>
      </c>
      <c r="Q2" s="899"/>
      <c r="R2" s="900"/>
      <c r="S2" s="350"/>
      <c r="T2" s="207" t="s">
        <v>406</v>
      </c>
      <c r="U2" s="36"/>
      <c r="V2" s="36"/>
      <c r="W2" s="207" t="s">
        <v>406</v>
      </c>
    </row>
    <row r="3" spans="2:23" s="2" customFormat="1" ht="54.75" customHeight="1" thickBot="1" x14ac:dyDescent="0.35">
      <c r="B3" s="242"/>
      <c r="C3" s="243"/>
      <c r="D3" s="243"/>
      <c r="E3" s="38" t="s">
        <v>963</v>
      </c>
      <c r="F3" s="38"/>
      <c r="G3" s="50"/>
      <c r="H3" s="38" t="s">
        <v>962</v>
      </c>
      <c r="I3" s="308"/>
      <c r="J3" s="508" t="s">
        <v>4</v>
      </c>
      <c r="K3" s="308"/>
      <c r="L3" s="222"/>
      <c r="M3" s="376"/>
      <c r="N3" s="38"/>
      <c r="O3" s="308"/>
      <c r="P3" s="244"/>
      <c r="Q3" s="302"/>
      <c r="R3" s="317"/>
      <c r="S3" s="350"/>
      <c r="T3" s="207"/>
      <c r="U3" s="247"/>
      <c r="V3" s="36"/>
      <c r="W3" s="207"/>
    </row>
    <row r="4" spans="2:23" s="53" customFormat="1" ht="59.25" customHeight="1" thickBot="1" x14ac:dyDescent="0.35">
      <c r="B4" s="65" t="s">
        <v>6</v>
      </c>
      <c r="C4" s="57" t="s">
        <v>17</v>
      </c>
      <c r="D4" s="77" t="s">
        <v>223</v>
      </c>
      <c r="E4" s="236" t="s">
        <v>16</v>
      </c>
      <c r="F4" s="525" t="s">
        <v>41</v>
      </c>
      <c r="G4" s="58" t="s">
        <v>7</v>
      </c>
      <c r="H4" s="66" t="s">
        <v>8</v>
      </c>
      <c r="I4" s="313" t="s">
        <v>103</v>
      </c>
      <c r="J4" s="498"/>
      <c r="K4" s="356" t="s">
        <v>12</v>
      </c>
      <c r="L4" s="223" t="s">
        <v>14</v>
      </c>
      <c r="M4" s="138" t="s">
        <v>11</v>
      </c>
      <c r="N4" s="67" t="s">
        <v>8</v>
      </c>
      <c r="O4" s="496" t="s">
        <v>103</v>
      </c>
      <c r="P4" s="361" t="s">
        <v>16</v>
      </c>
      <c r="Q4" s="303" t="s">
        <v>10</v>
      </c>
      <c r="R4" s="318" t="s">
        <v>84</v>
      </c>
      <c r="S4" s="351" t="s">
        <v>85</v>
      </c>
      <c r="T4" s="7" t="s">
        <v>964</v>
      </c>
      <c r="U4" s="20" t="str">
        <f>M4</f>
        <v>Реализовано товара       К-во</v>
      </c>
      <c r="V4" s="7" t="s">
        <v>159</v>
      </c>
      <c r="W4" s="7" t="s">
        <v>809</v>
      </c>
    </row>
    <row r="5" spans="2:23" s="3" customFormat="1" ht="27.75" customHeight="1" x14ac:dyDescent="0.3">
      <c r="B5" s="412">
        <v>1</v>
      </c>
      <c r="C5" s="54"/>
      <c r="D5" s="78"/>
      <c r="E5" s="56"/>
      <c r="F5" s="524"/>
      <c r="G5" s="55"/>
      <c r="H5" s="56" t="s">
        <v>900</v>
      </c>
      <c r="I5" s="56" t="s">
        <v>900</v>
      </c>
      <c r="K5" s="357"/>
      <c r="L5" s="853"/>
      <c r="M5" s="139"/>
      <c r="N5" s="502" t="s">
        <v>951</v>
      </c>
      <c r="O5" s="498" t="s">
        <v>951</v>
      </c>
      <c r="P5" s="362"/>
      <c r="Q5" s="304"/>
      <c r="R5" s="319"/>
      <c r="S5" s="352"/>
      <c r="T5" s="35" t="s">
        <v>919</v>
      </c>
      <c r="U5" s="20">
        <f>K2</f>
        <v>0</v>
      </c>
      <c r="V5" s="75">
        <f>U5</f>
        <v>0</v>
      </c>
      <c r="W5" s="35" t="s">
        <v>961</v>
      </c>
    </row>
    <row r="6" spans="2:23" s="5" customFormat="1" ht="26.25" hidden="1" customHeight="1" x14ac:dyDescent="0.25">
      <c r="B6" s="11"/>
      <c r="C6" s="6" t="s">
        <v>18</v>
      </c>
      <c r="D6" s="23" t="s">
        <v>9</v>
      </c>
      <c r="E6" s="822" t="s">
        <v>752</v>
      </c>
      <c r="F6" s="208">
        <v>1475</v>
      </c>
      <c r="G6" s="48" t="s">
        <v>0</v>
      </c>
      <c r="H6" s="39">
        <v>0</v>
      </c>
      <c r="I6" s="309">
        <v>0</v>
      </c>
      <c r="J6" s="39">
        <f t="shared" ref="J6:J69" si="0">M6+N6-H6</f>
        <v>0</v>
      </c>
      <c r="K6" s="309">
        <f>Q6</f>
        <v>0.06</v>
      </c>
      <c r="L6" s="42"/>
      <c r="M6" s="279"/>
      <c r="N6" s="39">
        <v>0</v>
      </c>
      <c r="O6" s="490">
        <f t="shared" ref="O6:O16" si="1">K6*N6</f>
        <v>0</v>
      </c>
      <c r="P6" s="258" t="str">
        <f t="shared" ref="P6:P52" si="2">E6</f>
        <v>СД523007</v>
      </c>
      <c r="Q6" s="305">
        <f>647*0.0001</f>
        <v>0.06</v>
      </c>
      <c r="R6" s="320">
        <f>16.25*0.033</f>
        <v>0.54</v>
      </c>
      <c r="S6" s="353">
        <f t="shared" ref="S6:S44" si="3">R6*J6</f>
        <v>0</v>
      </c>
      <c r="T6" s="148"/>
      <c r="U6" s="20">
        <f t="shared" ref="U6:U37" si="4">M6</f>
        <v>0</v>
      </c>
      <c r="V6" s="52">
        <f t="shared" ref="V6:V45" si="5">W6-T6+U6</f>
        <v>0</v>
      </c>
      <c r="W6" s="20"/>
    </row>
    <row r="7" spans="2:23" s="5" customFormat="1" ht="26.25" customHeight="1" x14ac:dyDescent="0.25">
      <c r="B7" s="11">
        <v>1</v>
      </c>
      <c r="C7" s="6" t="s">
        <v>18</v>
      </c>
      <c r="D7" s="23" t="s">
        <v>9</v>
      </c>
      <c r="E7" s="269" t="s">
        <v>268</v>
      </c>
      <c r="F7" s="208">
        <v>411</v>
      </c>
      <c r="G7" s="12" t="s">
        <v>0</v>
      </c>
      <c r="H7" s="39">
        <v>648</v>
      </c>
      <c r="I7" s="360">
        <v>524.88</v>
      </c>
      <c r="J7" s="39">
        <f t="shared" si="0"/>
        <v>0</v>
      </c>
      <c r="K7" s="309">
        <f>Q7*0.8</f>
        <v>0.83</v>
      </c>
      <c r="L7" s="205"/>
      <c r="M7" s="279">
        <v>306</v>
      </c>
      <c r="N7" s="285">
        <v>342</v>
      </c>
      <c r="O7" s="309">
        <f t="shared" si="1"/>
        <v>283.86</v>
      </c>
      <c r="P7" s="235" t="str">
        <f t="shared" si="2"/>
        <v>ЭПГ110.151-01</v>
      </c>
      <c r="Q7" s="306">
        <f t="shared" ref="Q7:Q38" si="6">R7*1.2</f>
        <v>1.04</v>
      </c>
      <c r="R7" s="321">
        <v>0.87</v>
      </c>
      <c r="S7" s="353">
        <f t="shared" si="3"/>
        <v>0</v>
      </c>
      <c r="T7" s="147">
        <f>162*10</f>
        <v>1620</v>
      </c>
      <c r="U7" s="20">
        <f t="shared" si="4"/>
        <v>306</v>
      </c>
      <c r="V7" s="52">
        <f t="shared" si="5"/>
        <v>1746</v>
      </c>
      <c r="W7" s="848">
        <f>162*17+2*153</f>
        <v>3060</v>
      </c>
    </row>
    <row r="8" spans="2:23" s="5" customFormat="1" ht="26.25" customHeight="1" x14ac:dyDescent="0.25">
      <c r="B8" s="11">
        <v>2</v>
      </c>
      <c r="C8" s="6" t="s">
        <v>18</v>
      </c>
      <c r="D8" s="23" t="s">
        <v>9</v>
      </c>
      <c r="E8" s="269" t="s">
        <v>705</v>
      </c>
      <c r="F8" s="208">
        <v>1451</v>
      </c>
      <c r="G8" s="12" t="s">
        <v>0</v>
      </c>
      <c r="H8" s="39">
        <v>1026</v>
      </c>
      <c r="I8" s="360">
        <v>800.28</v>
      </c>
      <c r="J8" s="39">
        <f t="shared" si="0"/>
        <v>0</v>
      </c>
      <c r="K8" s="309">
        <f>Q8*0.8</f>
        <v>0.78</v>
      </c>
      <c r="L8" s="205"/>
      <c r="M8" s="279"/>
      <c r="N8" s="39">
        <v>1026</v>
      </c>
      <c r="O8" s="309">
        <f t="shared" si="1"/>
        <v>800.28</v>
      </c>
      <c r="P8" s="235" t="str">
        <f t="shared" si="2"/>
        <v>МЭ250-3730-102</v>
      </c>
      <c r="Q8" s="377">
        <f t="shared" si="6"/>
        <v>0.98</v>
      </c>
      <c r="R8" s="321">
        <f>0.82</f>
        <v>0.82</v>
      </c>
      <c r="S8" s="353">
        <f t="shared" si="3"/>
        <v>0</v>
      </c>
      <c r="T8" s="148">
        <f>12*114</f>
        <v>1368</v>
      </c>
      <c r="U8" s="20">
        <f t="shared" si="4"/>
        <v>0</v>
      </c>
      <c r="V8" s="18">
        <f t="shared" si="5"/>
        <v>144</v>
      </c>
      <c r="W8" s="828">
        <f>3*162+114*9</f>
        <v>1512</v>
      </c>
    </row>
    <row r="9" spans="2:23" ht="26.25" customHeight="1" x14ac:dyDescent="0.25">
      <c r="B9" s="15">
        <v>3</v>
      </c>
      <c r="C9" s="6" t="s">
        <v>18</v>
      </c>
      <c r="D9" s="23" t="s">
        <v>9</v>
      </c>
      <c r="E9" s="237" t="s">
        <v>91</v>
      </c>
      <c r="F9" s="383">
        <v>555</v>
      </c>
      <c r="G9" s="12" t="s">
        <v>0</v>
      </c>
      <c r="H9" s="39"/>
      <c r="I9" s="360">
        <v>0</v>
      </c>
      <c r="J9" s="39">
        <f t="shared" si="0"/>
        <v>5600</v>
      </c>
      <c r="K9" s="309">
        <f>Q9*0.8</f>
        <v>1.02</v>
      </c>
      <c r="L9" s="155"/>
      <c r="M9" s="279"/>
      <c r="N9" s="503">
        <f>10*560</f>
        <v>5600</v>
      </c>
      <c r="O9" s="309">
        <f t="shared" si="1"/>
        <v>5712</v>
      </c>
      <c r="P9" s="404" t="str">
        <f t="shared" si="2"/>
        <v>ЭПГ 110.157 П19х15х14,5</v>
      </c>
      <c r="Q9" s="306">
        <f t="shared" si="6"/>
        <v>1.28</v>
      </c>
      <c r="R9" s="320">
        <v>1.07</v>
      </c>
      <c r="S9" s="353">
        <f t="shared" si="3"/>
        <v>5992</v>
      </c>
      <c r="T9" s="148">
        <f>4*560</f>
        <v>2240</v>
      </c>
      <c r="U9" s="20">
        <f t="shared" si="4"/>
        <v>0</v>
      </c>
      <c r="V9" s="52">
        <f t="shared" si="5"/>
        <v>5600</v>
      </c>
      <c r="W9" s="444">
        <f>14*560</f>
        <v>7840</v>
      </c>
    </row>
    <row r="10" spans="2:23" ht="26.25" customHeight="1" x14ac:dyDescent="0.25">
      <c r="B10" s="15">
        <v>4</v>
      </c>
      <c r="C10" s="6" t="s">
        <v>18</v>
      </c>
      <c r="D10" s="23" t="s">
        <v>9</v>
      </c>
      <c r="E10" s="237" t="s">
        <v>31</v>
      </c>
      <c r="F10" s="208" t="s">
        <v>45</v>
      </c>
      <c r="G10" s="12" t="s">
        <v>0</v>
      </c>
      <c r="H10" s="39"/>
      <c r="I10" s="360">
        <v>0</v>
      </c>
      <c r="J10" s="39">
        <f t="shared" si="0"/>
        <v>4210</v>
      </c>
      <c r="K10" s="414">
        <f>Q10*0.8</f>
        <v>0.34</v>
      </c>
      <c r="L10" s="85"/>
      <c r="M10" s="279">
        <v>4210</v>
      </c>
      <c r="N10" s="503"/>
      <c r="O10" s="309">
        <f t="shared" si="1"/>
        <v>0</v>
      </c>
      <c r="P10" s="260" t="str">
        <f t="shared" si="2"/>
        <v xml:space="preserve">АУИБ 757.159.001 </v>
      </c>
      <c r="Q10" s="845">
        <f t="shared" si="6"/>
        <v>0.42</v>
      </c>
      <c r="R10" s="846">
        <v>0.35</v>
      </c>
      <c r="S10" s="353">
        <f t="shared" si="3"/>
        <v>1473.5</v>
      </c>
      <c r="T10" s="148">
        <v>1440</v>
      </c>
      <c r="U10" s="20">
        <f t="shared" si="4"/>
        <v>4210</v>
      </c>
      <c r="V10" s="52">
        <f t="shared" si="5"/>
        <v>5510</v>
      </c>
      <c r="W10" s="444">
        <f>1440+1300</f>
        <v>2740</v>
      </c>
    </row>
    <row r="11" spans="2:23" ht="26.25" customHeight="1" thickBot="1" x14ac:dyDescent="0.3">
      <c r="B11" s="15">
        <v>5</v>
      </c>
      <c r="C11" s="6" t="s">
        <v>18</v>
      </c>
      <c r="D11" s="23" t="s">
        <v>9</v>
      </c>
      <c r="E11" s="237" t="s">
        <v>968</v>
      </c>
      <c r="F11" s="208">
        <v>1251</v>
      </c>
      <c r="G11" s="48"/>
      <c r="H11" s="39"/>
      <c r="I11" s="360">
        <v>0</v>
      </c>
      <c r="J11" s="39">
        <f t="shared" si="0"/>
        <v>10</v>
      </c>
      <c r="K11" s="309">
        <v>1.1499999999999999</v>
      </c>
      <c r="L11" s="89"/>
      <c r="M11" s="279">
        <v>10</v>
      </c>
      <c r="N11" s="39"/>
      <c r="O11" s="467">
        <f t="shared" si="1"/>
        <v>0</v>
      </c>
      <c r="P11" s="261" t="str">
        <f t="shared" si="2"/>
        <v>АУИБ 757.159.007</v>
      </c>
      <c r="Q11" s="377">
        <f t="shared" si="6"/>
        <v>6</v>
      </c>
      <c r="R11" s="319">
        <v>5</v>
      </c>
      <c r="S11" s="353">
        <f t="shared" si="3"/>
        <v>50</v>
      </c>
      <c r="T11" s="70">
        <f>10*102</f>
        <v>1020</v>
      </c>
      <c r="U11" s="20">
        <f t="shared" si="4"/>
        <v>10</v>
      </c>
      <c r="V11" s="52">
        <f t="shared" si="5"/>
        <v>10</v>
      </c>
      <c r="W11" s="20">
        <f>10*102</f>
        <v>1020</v>
      </c>
    </row>
    <row r="12" spans="2:23" ht="26.25" hidden="1" customHeight="1" x14ac:dyDescent="0.25">
      <c r="B12" s="11"/>
      <c r="C12" s="6" t="s">
        <v>18</v>
      </c>
      <c r="D12" s="23" t="s">
        <v>9</v>
      </c>
      <c r="E12" s="237" t="s">
        <v>13</v>
      </c>
      <c r="F12" s="208" t="s">
        <v>46</v>
      </c>
      <c r="G12" s="48" t="s">
        <v>0</v>
      </c>
      <c r="H12" s="39"/>
      <c r="I12" s="309">
        <v>0</v>
      </c>
      <c r="J12" s="39">
        <f t="shared" si="0"/>
        <v>0</v>
      </c>
      <c r="K12" s="309">
        <f>Q12*0.8</f>
        <v>0.49</v>
      </c>
      <c r="L12" s="42"/>
      <c r="M12" s="279"/>
      <c r="N12" s="39"/>
      <c r="O12" s="309">
        <f t="shared" si="1"/>
        <v>0</v>
      </c>
      <c r="P12" s="262" t="str">
        <f t="shared" si="2"/>
        <v>АУИБ 757.159.003</v>
      </c>
      <c r="Q12" s="377">
        <f t="shared" si="6"/>
        <v>0.61</v>
      </c>
      <c r="R12" s="322">
        <f>5095*0.0001</f>
        <v>0.51</v>
      </c>
      <c r="S12" s="353">
        <f t="shared" si="3"/>
        <v>0</v>
      </c>
      <c r="T12" s="70">
        <f>12*120</f>
        <v>1440</v>
      </c>
      <c r="U12" s="20">
        <f t="shared" si="4"/>
        <v>0</v>
      </c>
      <c r="V12" s="52">
        <f t="shared" si="5"/>
        <v>0</v>
      </c>
      <c r="W12" s="20">
        <f>12*120</f>
        <v>1440</v>
      </c>
    </row>
    <row r="13" spans="2:23" ht="26.25" hidden="1" customHeight="1" x14ac:dyDescent="0.25">
      <c r="B13" s="14"/>
      <c r="C13" s="6" t="s">
        <v>18</v>
      </c>
      <c r="D13" s="23" t="s">
        <v>9</v>
      </c>
      <c r="E13" s="237" t="s">
        <v>753</v>
      </c>
      <c r="F13" s="208">
        <v>1466</v>
      </c>
      <c r="G13" s="48" t="s">
        <v>0</v>
      </c>
      <c r="H13" s="39"/>
      <c r="I13" s="309">
        <v>0</v>
      </c>
      <c r="J13" s="39">
        <f t="shared" si="0"/>
        <v>0</v>
      </c>
      <c r="K13" s="309">
        <f>Q13*0.8</f>
        <v>19.2</v>
      </c>
      <c r="L13" s="89"/>
      <c r="M13" s="279"/>
      <c r="N13" s="39"/>
      <c r="O13" s="309">
        <f t="shared" si="1"/>
        <v>0</v>
      </c>
      <c r="P13" s="235" t="str">
        <f t="shared" si="2"/>
        <v>АУИБ 757.159.008</v>
      </c>
      <c r="Q13" s="377">
        <f t="shared" si="6"/>
        <v>24</v>
      </c>
      <c r="R13" s="320">
        <v>20</v>
      </c>
      <c r="S13" s="353">
        <f t="shared" si="3"/>
        <v>0</v>
      </c>
      <c r="T13" s="20"/>
      <c r="U13" s="20">
        <f t="shared" si="4"/>
        <v>0</v>
      </c>
      <c r="V13" s="52">
        <f t="shared" si="5"/>
        <v>0</v>
      </c>
      <c r="W13" s="20"/>
    </row>
    <row r="14" spans="2:23" ht="26.25" hidden="1" customHeight="1" x14ac:dyDescent="0.25">
      <c r="B14" s="11"/>
      <c r="C14" s="6" t="s">
        <v>18</v>
      </c>
      <c r="D14" s="23" t="s">
        <v>9</v>
      </c>
      <c r="E14" s="238" t="s">
        <v>105</v>
      </c>
      <c r="F14" s="208">
        <v>592</v>
      </c>
      <c r="G14" s="48" t="s">
        <v>0</v>
      </c>
      <c r="H14" s="39"/>
      <c r="I14" s="309">
        <v>0</v>
      </c>
      <c r="J14" s="39">
        <f t="shared" si="0"/>
        <v>0</v>
      </c>
      <c r="K14" s="309">
        <f>Q14*0.8</f>
        <v>0.27</v>
      </c>
      <c r="L14" s="89"/>
      <c r="M14" s="279"/>
      <c r="N14" s="39"/>
      <c r="O14" s="309">
        <f t="shared" si="1"/>
        <v>0</v>
      </c>
      <c r="P14" s="235" t="str">
        <f t="shared" si="2"/>
        <v>43.3701-200211 (S)</v>
      </c>
      <c r="Q14" s="377">
        <f t="shared" si="6"/>
        <v>0.34</v>
      </c>
      <c r="R14" s="319">
        <f>2800*0.0001</f>
        <v>0.28000000000000003</v>
      </c>
      <c r="S14" s="353">
        <f t="shared" si="3"/>
        <v>0</v>
      </c>
      <c r="T14" s="70">
        <f>8*400</f>
        <v>3200</v>
      </c>
      <c r="U14" s="20">
        <f t="shared" si="4"/>
        <v>0</v>
      </c>
      <c r="V14" s="52">
        <f t="shared" si="5"/>
        <v>0</v>
      </c>
      <c r="W14" s="20">
        <f>8*400</f>
        <v>3200</v>
      </c>
    </row>
    <row r="15" spans="2:23" ht="26.25" hidden="1" customHeight="1" x14ac:dyDescent="0.25">
      <c r="B15" s="11"/>
      <c r="C15" s="6" t="s">
        <v>18</v>
      </c>
      <c r="D15" s="23" t="s">
        <v>9</v>
      </c>
      <c r="E15" s="238" t="s">
        <v>106</v>
      </c>
      <c r="F15" s="208" t="s">
        <v>107</v>
      </c>
      <c r="G15" s="48" t="s">
        <v>0</v>
      </c>
      <c r="H15" s="39"/>
      <c r="I15" s="309">
        <v>0</v>
      </c>
      <c r="J15" s="39">
        <f t="shared" si="0"/>
        <v>0</v>
      </c>
      <c r="K15" s="309">
        <f>Q15*0.8</f>
        <v>0.27</v>
      </c>
      <c r="L15" s="89"/>
      <c r="M15" s="279"/>
      <c r="N15" s="39"/>
      <c r="O15" s="309">
        <f t="shared" si="1"/>
        <v>0</v>
      </c>
      <c r="P15" s="235" t="str">
        <f t="shared" si="2"/>
        <v>43.3701-200211 (N)</v>
      </c>
      <c r="Q15" s="377">
        <f t="shared" si="6"/>
        <v>0.34</v>
      </c>
      <c r="R15" s="319">
        <f>2800*0.0001</f>
        <v>0.28000000000000003</v>
      </c>
      <c r="S15" s="353">
        <f t="shared" si="3"/>
        <v>0</v>
      </c>
      <c r="T15" s="70">
        <f>8*400</f>
        <v>3200</v>
      </c>
      <c r="U15" s="20">
        <f t="shared" si="4"/>
        <v>0</v>
      </c>
      <c r="V15" s="52">
        <f t="shared" si="5"/>
        <v>0</v>
      </c>
      <c r="W15" s="20">
        <f>8*400</f>
        <v>3200</v>
      </c>
    </row>
    <row r="16" spans="2:23" ht="26.25" hidden="1" customHeight="1" thickBot="1" x14ac:dyDescent="0.3">
      <c r="B16" s="15"/>
      <c r="C16" s="6" t="s">
        <v>18</v>
      </c>
      <c r="D16" s="23" t="s">
        <v>9</v>
      </c>
      <c r="E16" s="238" t="s">
        <v>135</v>
      </c>
      <c r="F16" s="208" t="s">
        <v>104</v>
      </c>
      <c r="G16" s="48" t="s">
        <v>0</v>
      </c>
      <c r="H16" s="39"/>
      <c r="I16" s="309">
        <v>0</v>
      </c>
      <c r="J16" s="39">
        <f t="shared" si="0"/>
        <v>0</v>
      </c>
      <c r="K16" s="309">
        <f>Q16*0.8</f>
        <v>0.13</v>
      </c>
      <c r="L16" s="89"/>
      <c r="M16" s="279"/>
      <c r="N16" s="39"/>
      <c r="O16" s="309">
        <f t="shared" si="1"/>
        <v>0</v>
      </c>
      <c r="P16" s="263" t="str">
        <f t="shared" si="2"/>
        <v>43.3701-200212(К36х18х6)</v>
      </c>
      <c r="Q16" s="377">
        <f t="shared" si="6"/>
        <v>0.16</v>
      </c>
      <c r="R16" s="319">
        <f>1250*0.0001</f>
        <v>0.13</v>
      </c>
      <c r="S16" s="353">
        <f t="shared" si="3"/>
        <v>0</v>
      </c>
      <c r="T16" s="70">
        <f>8*400</f>
        <v>3200</v>
      </c>
      <c r="U16" s="20">
        <f t="shared" si="4"/>
        <v>0</v>
      </c>
      <c r="V16" s="52">
        <f t="shared" si="5"/>
        <v>0</v>
      </c>
      <c r="W16" s="20">
        <f>8*400</f>
        <v>3200</v>
      </c>
    </row>
    <row r="17" spans="1:40" s="5" customFormat="1" ht="26.25" customHeight="1" x14ac:dyDescent="0.25">
      <c r="B17" s="11">
        <v>6</v>
      </c>
      <c r="C17" s="6" t="s">
        <v>18</v>
      </c>
      <c r="D17" s="23" t="s">
        <v>9</v>
      </c>
      <c r="E17" s="239" t="s">
        <v>433</v>
      </c>
      <c r="F17" s="861"/>
      <c r="G17" s="12" t="s">
        <v>0</v>
      </c>
      <c r="H17" s="39"/>
      <c r="I17" s="360"/>
      <c r="J17" s="39">
        <f t="shared" si="0"/>
        <v>1000</v>
      </c>
      <c r="K17" s="309">
        <v>0.62</v>
      </c>
      <c r="L17" s="233"/>
      <c r="M17" s="279">
        <v>1000</v>
      </c>
      <c r="N17" s="39"/>
      <c r="O17" s="360"/>
      <c r="P17" s="259" t="str">
        <f t="shared" si="2"/>
        <v>К36х5х10</v>
      </c>
      <c r="Q17" s="377">
        <f t="shared" si="6"/>
        <v>0.95</v>
      </c>
      <c r="R17" s="323">
        <f>0.0001*22.7*350</f>
        <v>0.79</v>
      </c>
      <c r="S17" s="353">
        <f t="shared" si="3"/>
        <v>790</v>
      </c>
      <c r="T17" s="20"/>
      <c r="U17" s="20">
        <f t="shared" si="4"/>
        <v>1000</v>
      </c>
      <c r="V17" s="52">
        <f t="shared" si="5"/>
        <v>1000</v>
      </c>
      <c r="W17" s="20"/>
    </row>
    <row r="18" spans="1:40" s="5" customFormat="1" ht="26.25" customHeight="1" thickBot="1" x14ac:dyDescent="0.3">
      <c r="B18" s="11">
        <v>7</v>
      </c>
      <c r="C18" s="6" t="s">
        <v>18</v>
      </c>
      <c r="D18" s="23" t="s">
        <v>9</v>
      </c>
      <c r="E18" s="239" t="s">
        <v>109</v>
      </c>
      <c r="F18" s="387" t="s">
        <v>674</v>
      </c>
      <c r="G18" s="12" t="s">
        <v>0</v>
      </c>
      <c r="H18" s="39"/>
      <c r="I18" s="309">
        <v>0</v>
      </c>
      <c r="J18" s="39">
        <f t="shared" si="0"/>
        <v>3400</v>
      </c>
      <c r="K18" s="309">
        <f>Q18*0.8</f>
        <v>0.32</v>
      </c>
      <c r="L18" s="233" t="s">
        <v>675</v>
      </c>
      <c r="M18" s="279">
        <v>3400</v>
      </c>
      <c r="N18" s="503"/>
      <c r="O18" s="309">
        <f t="shared" ref="O18:O49" si="7">K18*N18</f>
        <v>0</v>
      </c>
      <c r="P18" s="261" t="str">
        <f t="shared" si="2"/>
        <v>К36х18х6</v>
      </c>
      <c r="Q18" s="377">
        <f t="shared" si="6"/>
        <v>0.4</v>
      </c>
      <c r="R18" s="324">
        <v>0.33</v>
      </c>
      <c r="S18" s="353">
        <f t="shared" si="3"/>
        <v>1122</v>
      </c>
      <c r="T18" s="20">
        <f>15050-200</f>
        <v>14850</v>
      </c>
      <c r="U18" s="20">
        <f t="shared" si="4"/>
        <v>3400</v>
      </c>
      <c r="V18" s="52">
        <f t="shared" si="5"/>
        <v>3400</v>
      </c>
      <c r="W18" s="20">
        <f>15050-200</f>
        <v>14850</v>
      </c>
    </row>
    <row r="19" spans="1:40" s="5" customFormat="1" ht="35.25" hidden="1" customHeight="1" thickBot="1" x14ac:dyDescent="0.3">
      <c r="B19" s="11"/>
      <c r="C19" s="6" t="s">
        <v>18</v>
      </c>
      <c r="D19" s="23" t="s">
        <v>9</v>
      </c>
      <c r="E19" s="239" t="s">
        <v>237</v>
      </c>
      <c r="F19" s="387"/>
      <c r="G19" s="12" t="s">
        <v>0</v>
      </c>
      <c r="H19" s="39"/>
      <c r="I19" s="309">
        <v>0</v>
      </c>
      <c r="J19" s="39">
        <f t="shared" si="0"/>
        <v>0</v>
      </c>
      <c r="K19" s="309">
        <f>Q19*0.8</f>
        <v>0.13</v>
      </c>
      <c r="L19" s="62" t="s">
        <v>239</v>
      </c>
      <c r="M19" s="279"/>
      <c r="N19" s="39"/>
      <c r="O19" s="490">
        <f t="shared" si="7"/>
        <v>0</v>
      </c>
      <c r="P19" s="264" t="str">
        <f t="shared" si="2"/>
        <v>К36х18х6 намагн.с заниж.Д</v>
      </c>
      <c r="Q19" s="377">
        <f t="shared" si="6"/>
        <v>0.16</v>
      </c>
      <c r="R19" s="325">
        <f>0.0001*1300</f>
        <v>0.13</v>
      </c>
      <c r="S19" s="353">
        <f t="shared" si="3"/>
        <v>0</v>
      </c>
      <c r="T19" s="20">
        <v>2400</v>
      </c>
      <c r="U19" s="20">
        <f t="shared" si="4"/>
        <v>0</v>
      </c>
      <c r="V19" s="52">
        <f t="shared" si="5"/>
        <v>0</v>
      </c>
      <c r="W19" s="20">
        <v>2400</v>
      </c>
    </row>
    <row r="20" spans="1:40" ht="26.25" customHeight="1" x14ac:dyDescent="0.25">
      <c r="B20" s="14">
        <v>8</v>
      </c>
      <c r="C20" s="6" t="s">
        <v>18</v>
      </c>
      <c r="D20" s="23" t="s">
        <v>9</v>
      </c>
      <c r="E20" s="237" t="s">
        <v>38</v>
      </c>
      <c r="F20" s="208">
        <v>170</v>
      </c>
      <c r="G20" s="12" t="s">
        <v>0</v>
      </c>
      <c r="H20" s="39">
        <v>137</v>
      </c>
      <c r="I20" s="360">
        <v>78.09</v>
      </c>
      <c r="J20" s="39">
        <f t="shared" si="0"/>
        <v>0</v>
      </c>
      <c r="K20" s="309">
        <v>0.56999999999999995</v>
      </c>
      <c r="L20" s="90"/>
      <c r="M20" s="279"/>
      <c r="N20" s="39">
        <f>145-8</f>
        <v>137</v>
      </c>
      <c r="O20" s="490">
        <f t="shared" si="7"/>
        <v>78.09</v>
      </c>
      <c r="P20" s="259" t="str">
        <f t="shared" si="2"/>
        <v>СИДТ  7.770.002 Д36х24х6</v>
      </c>
      <c r="Q20" s="377">
        <f t="shared" si="6"/>
        <v>6.6</v>
      </c>
      <c r="R20" s="320">
        <v>5.5</v>
      </c>
      <c r="S20" s="353">
        <f t="shared" si="3"/>
        <v>0</v>
      </c>
      <c r="T20" s="148">
        <v>37</v>
      </c>
      <c r="U20" s="20">
        <f t="shared" si="4"/>
        <v>0</v>
      </c>
      <c r="V20" s="52">
        <f t="shared" si="5"/>
        <v>0</v>
      </c>
      <c r="W20" s="444">
        <v>37</v>
      </c>
    </row>
    <row r="21" spans="1:40" ht="26.25" customHeight="1" x14ac:dyDescent="0.25">
      <c r="B21" s="11">
        <v>9</v>
      </c>
      <c r="C21" s="6" t="s">
        <v>18</v>
      </c>
      <c r="D21" s="23" t="s">
        <v>9</v>
      </c>
      <c r="E21" s="237" t="s">
        <v>292</v>
      </c>
      <c r="F21" s="208" t="s">
        <v>48</v>
      </c>
      <c r="G21" s="12" t="s">
        <v>0</v>
      </c>
      <c r="H21" s="39">
        <v>5000</v>
      </c>
      <c r="I21" s="360">
        <v>1900</v>
      </c>
      <c r="J21" s="39">
        <f t="shared" si="0"/>
        <v>2000</v>
      </c>
      <c r="K21" s="309">
        <f>Q21*0.8</f>
        <v>0.38</v>
      </c>
      <c r="L21" s="220"/>
      <c r="M21" s="279">
        <v>3000</v>
      </c>
      <c r="N21" s="39">
        <v>4000</v>
      </c>
      <c r="O21" s="309">
        <f t="shared" si="7"/>
        <v>1520</v>
      </c>
      <c r="P21" s="51" t="str">
        <f t="shared" si="2"/>
        <v>ЭПГ110.135(Д32х8х8)</v>
      </c>
      <c r="Q21" s="377">
        <f t="shared" si="6"/>
        <v>0.47</v>
      </c>
      <c r="R21" s="319">
        <v>0.39</v>
      </c>
      <c r="S21" s="353">
        <f t="shared" si="3"/>
        <v>780</v>
      </c>
      <c r="T21" s="20">
        <f>10*250</f>
        <v>2500</v>
      </c>
      <c r="U21" s="20">
        <f t="shared" si="4"/>
        <v>3000</v>
      </c>
      <c r="V21" s="52">
        <f t="shared" si="5"/>
        <v>2500</v>
      </c>
      <c r="W21" s="444">
        <f>8*250</f>
        <v>2000</v>
      </c>
    </row>
    <row r="22" spans="1:40" ht="26.25" customHeight="1" x14ac:dyDescent="0.25">
      <c r="B22" s="11">
        <v>10</v>
      </c>
      <c r="C22" s="6" t="s">
        <v>18</v>
      </c>
      <c r="D22" s="23" t="s">
        <v>9</v>
      </c>
      <c r="E22" s="237" t="s">
        <v>461</v>
      </c>
      <c r="F22" s="208">
        <v>1189</v>
      </c>
      <c r="G22" s="12" t="s">
        <v>0</v>
      </c>
      <c r="H22" s="39"/>
      <c r="I22" s="309">
        <v>0</v>
      </c>
      <c r="J22" s="39">
        <f t="shared" si="0"/>
        <v>0</v>
      </c>
      <c r="K22" s="309">
        <f>Q22*0.8</f>
        <v>0.8</v>
      </c>
      <c r="L22" s="68" t="s">
        <v>936</v>
      </c>
      <c r="M22" s="279"/>
      <c r="N22" s="503"/>
      <c r="O22" s="490">
        <f t="shared" si="7"/>
        <v>0</v>
      </c>
      <c r="P22" s="262" t="str">
        <f t="shared" si="2"/>
        <v>К32х8,2х8</v>
      </c>
      <c r="Q22" s="306">
        <f t="shared" si="6"/>
        <v>1</v>
      </c>
      <c r="R22" s="326">
        <v>0.83</v>
      </c>
      <c r="S22" s="353">
        <f t="shared" si="3"/>
        <v>0</v>
      </c>
      <c r="T22" s="20"/>
      <c r="U22" s="20">
        <f t="shared" si="4"/>
        <v>0</v>
      </c>
      <c r="V22" s="52">
        <f t="shared" si="5"/>
        <v>0</v>
      </c>
      <c r="W22" s="20"/>
    </row>
    <row r="23" spans="1:40" ht="26.25" hidden="1" customHeight="1" x14ac:dyDescent="0.25">
      <c r="B23" s="15"/>
      <c r="C23" s="6" t="s">
        <v>18</v>
      </c>
      <c r="D23" s="23" t="s">
        <v>9</v>
      </c>
      <c r="E23" s="212" t="s">
        <v>265</v>
      </c>
      <c r="F23" s="208"/>
      <c r="G23" s="48" t="s">
        <v>0</v>
      </c>
      <c r="H23" s="39"/>
      <c r="I23" s="309">
        <v>0</v>
      </c>
      <c r="J23" s="39">
        <f t="shared" si="0"/>
        <v>0</v>
      </c>
      <c r="K23" s="309">
        <v>1440</v>
      </c>
      <c r="L23" s="42"/>
      <c r="M23" s="279"/>
      <c r="N23" s="39"/>
      <c r="O23" s="490">
        <f t="shared" si="7"/>
        <v>0</v>
      </c>
      <c r="P23" s="235" t="str">
        <f t="shared" si="2"/>
        <v>К36х13х8</v>
      </c>
      <c r="Q23" s="377">
        <f t="shared" si="6"/>
        <v>0.78</v>
      </c>
      <c r="R23" s="319">
        <f>6500*0.0001</f>
        <v>0.65</v>
      </c>
      <c r="S23" s="353">
        <f t="shared" si="3"/>
        <v>0</v>
      </c>
      <c r="T23" s="20"/>
      <c r="U23" s="20">
        <f t="shared" si="4"/>
        <v>0</v>
      </c>
      <c r="V23" s="52">
        <f t="shared" si="5"/>
        <v>0</v>
      </c>
      <c r="W23" s="20"/>
    </row>
    <row r="24" spans="1:40" s="4" customFormat="1" ht="26.25" hidden="1" customHeight="1" thickBot="1" x14ac:dyDescent="0.3">
      <c r="A24" s="10"/>
      <c r="B24" s="11"/>
      <c r="C24" s="6" t="s">
        <v>18</v>
      </c>
      <c r="D24" s="23" t="s">
        <v>9</v>
      </c>
      <c r="E24" s="212"/>
      <c r="F24" s="397"/>
      <c r="G24" s="48" t="s">
        <v>0</v>
      </c>
      <c r="H24" s="39"/>
      <c r="I24" s="360">
        <v>0</v>
      </c>
      <c r="J24" s="39">
        <f t="shared" si="0"/>
        <v>0</v>
      </c>
      <c r="K24" s="309">
        <f t="shared" ref="K24:K30" si="8">Q24*0.8</f>
        <v>0.62</v>
      </c>
      <c r="L24" s="155"/>
      <c r="M24" s="279"/>
      <c r="N24" s="39"/>
      <c r="O24" s="360">
        <f t="shared" si="7"/>
        <v>0</v>
      </c>
      <c r="P24" s="263">
        <f t="shared" si="2"/>
        <v>0</v>
      </c>
      <c r="Q24" s="306">
        <f t="shared" si="6"/>
        <v>0.77</v>
      </c>
      <c r="R24" s="327">
        <f>21.4*0.03</f>
        <v>0.64</v>
      </c>
      <c r="S24" s="353">
        <f t="shared" si="3"/>
        <v>0</v>
      </c>
      <c r="T24" s="20"/>
      <c r="U24" s="20">
        <f t="shared" si="4"/>
        <v>0</v>
      </c>
      <c r="V24" s="52">
        <f t="shared" si="5"/>
        <v>0</v>
      </c>
      <c r="W24" s="2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spans="1:40" s="4" customFormat="1" ht="26.25" hidden="1" customHeight="1" thickBot="1" x14ac:dyDescent="0.3">
      <c r="A25" s="10"/>
      <c r="B25" s="11"/>
      <c r="C25" s="6" t="s">
        <v>18</v>
      </c>
      <c r="D25" s="23" t="s">
        <v>9</v>
      </c>
      <c r="E25" s="1" t="s">
        <v>466</v>
      </c>
      <c r="F25" s="211" t="s">
        <v>300</v>
      </c>
      <c r="G25" s="19"/>
      <c r="H25" s="39"/>
      <c r="I25" s="309">
        <v>0</v>
      </c>
      <c r="J25" s="39">
        <f t="shared" si="0"/>
        <v>0</v>
      </c>
      <c r="K25" s="309">
        <f t="shared" si="8"/>
        <v>6.72</v>
      </c>
      <c r="L25" s="64"/>
      <c r="M25" s="279"/>
      <c r="N25" s="39"/>
      <c r="O25" s="360">
        <f t="shared" si="7"/>
        <v>0</v>
      </c>
      <c r="P25" s="265" t="str">
        <f t="shared" si="2"/>
        <v>ЭПГ 110.107(К30х5(10)х8)</v>
      </c>
      <c r="Q25" s="377">
        <f t="shared" si="6"/>
        <v>8.4</v>
      </c>
      <c r="R25" s="320">
        <v>7</v>
      </c>
      <c r="S25" s="353">
        <f t="shared" si="3"/>
        <v>0</v>
      </c>
      <c r="T25" s="20"/>
      <c r="U25" s="20">
        <f t="shared" si="4"/>
        <v>0</v>
      </c>
      <c r="V25" s="52">
        <f t="shared" si="5"/>
        <v>0</v>
      </c>
      <c r="W25" s="20"/>
    </row>
    <row r="26" spans="1:40" ht="26.25" hidden="1" customHeight="1" x14ac:dyDescent="0.25">
      <c r="B26" s="11"/>
      <c r="C26" s="6" t="s">
        <v>18</v>
      </c>
      <c r="D26" s="23" t="s">
        <v>9</v>
      </c>
      <c r="E26" s="212" t="s">
        <v>265</v>
      </c>
      <c r="F26" s="398">
        <v>852</v>
      </c>
      <c r="G26" s="48" t="s">
        <v>0</v>
      </c>
      <c r="H26" s="39"/>
      <c r="I26" s="360">
        <v>0</v>
      </c>
      <c r="J26" s="39">
        <f t="shared" si="0"/>
        <v>0</v>
      </c>
      <c r="K26" s="309">
        <f t="shared" si="8"/>
        <v>0.86</v>
      </c>
      <c r="L26" s="155" t="s">
        <v>535</v>
      </c>
      <c r="M26" s="279"/>
      <c r="N26" s="39"/>
      <c r="O26" s="360">
        <f t="shared" si="7"/>
        <v>0</v>
      </c>
      <c r="P26" s="262" t="str">
        <f t="shared" si="2"/>
        <v>К36х13х8</v>
      </c>
      <c r="Q26" s="306">
        <f t="shared" si="6"/>
        <v>1.08</v>
      </c>
      <c r="R26" s="319">
        <v>0.9</v>
      </c>
      <c r="S26" s="353">
        <f t="shared" si="3"/>
        <v>0</v>
      </c>
      <c r="T26" s="18"/>
      <c r="U26" s="20">
        <f t="shared" si="4"/>
        <v>0</v>
      </c>
      <c r="V26" s="52">
        <f t="shared" si="5"/>
        <v>0</v>
      </c>
      <c r="W26" s="18"/>
    </row>
    <row r="27" spans="1:40" ht="26.25" hidden="1" customHeight="1" x14ac:dyDescent="0.25">
      <c r="B27" s="11"/>
      <c r="C27" s="6" t="s">
        <v>18</v>
      </c>
      <c r="D27" s="23" t="s">
        <v>9</v>
      </c>
      <c r="E27" s="239" t="s">
        <v>455</v>
      </c>
      <c r="F27" s="384">
        <v>1231</v>
      </c>
      <c r="G27" s="48" t="s">
        <v>0</v>
      </c>
      <c r="H27" s="39">
        <v>0</v>
      </c>
      <c r="I27" s="360">
        <v>0</v>
      </c>
      <c r="J27" s="39">
        <f t="shared" si="0"/>
        <v>0</v>
      </c>
      <c r="K27" s="309">
        <f t="shared" si="8"/>
        <v>2.21</v>
      </c>
      <c r="L27" s="155"/>
      <c r="M27" s="279"/>
      <c r="N27" s="39">
        <v>0</v>
      </c>
      <c r="O27" s="309">
        <f t="shared" si="7"/>
        <v>0</v>
      </c>
      <c r="P27" s="235" t="str">
        <f t="shared" si="2"/>
        <v>Д30х10</v>
      </c>
      <c r="Q27" s="377">
        <f t="shared" si="6"/>
        <v>2.76</v>
      </c>
      <c r="R27" s="328">
        <v>2.2999999999999998</v>
      </c>
      <c r="S27" s="353">
        <f t="shared" si="3"/>
        <v>0</v>
      </c>
      <c r="T27" s="20"/>
      <c r="U27" s="20">
        <f t="shared" si="4"/>
        <v>0</v>
      </c>
      <c r="V27" s="52">
        <f t="shared" si="5"/>
        <v>0</v>
      </c>
      <c r="W27" s="20"/>
    </row>
    <row r="28" spans="1:40" s="4" customFormat="1" ht="26.25" hidden="1" customHeight="1" x14ac:dyDescent="0.25">
      <c r="A28" s="10"/>
      <c r="B28" s="11"/>
      <c r="C28" s="6" t="s">
        <v>18</v>
      </c>
      <c r="D28" s="23" t="s">
        <v>9</v>
      </c>
      <c r="E28" s="1"/>
      <c r="F28" s="211"/>
      <c r="G28" s="48" t="s">
        <v>0</v>
      </c>
      <c r="H28" s="39"/>
      <c r="I28" s="360">
        <v>0</v>
      </c>
      <c r="J28" s="39">
        <f t="shared" si="0"/>
        <v>0</v>
      </c>
      <c r="K28" s="309">
        <f t="shared" si="8"/>
        <v>0.74</v>
      </c>
      <c r="L28" s="64"/>
      <c r="M28" s="279"/>
      <c r="N28" s="39"/>
      <c r="O28" s="360">
        <f t="shared" si="7"/>
        <v>0</v>
      </c>
      <c r="P28" s="235">
        <f t="shared" si="2"/>
        <v>0</v>
      </c>
      <c r="Q28" s="377">
        <f t="shared" si="6"/>
        <v>0.92</v>
      </c>
      <c r="R28" s="320">
        <v>0.77</v>
      </c>
      <c r="S28" s="353">
        <f t="shared" si="3"/>
        <v>0</v>
      </c>
      <c r="T28" s="20"/>
      <c r="U28" s="20">
        <f t="shared" si="4"/>
        <v>0</v>
      </c>
      <c r="V28" s="52">
        <f t="shared" si="5"/>
        <v>0</v>
      </c>
      <c r="W28" s="20"/>
    </row>
    <row r="29" spans="1:40" s="4" customFormat="1" ht="26.25" hidden="1" customHeight="1" x14ac:dyDescent="0.25">
      <c r="A29" s="10"/>
      <c r="B29" s="11"/>
      <c r="C29" s="6" t="s">
        <v>18</v>
      </c>
      <c r="D29" s="23" t="s">
        <v>9</v>
      </c>
      <c r="E29" s="212" t="s">
        <v>282</v>
      </c>
      <c r="F29" s="211" t="s">
        <v>301</v>
      </c>
      <c r="G29" s="19"/>
      <c r="H29" s="39"/>
      <c r="I29" s="309">
        <v>0</v>
      </c>
      <c r="J29" s="39">
        <f t="shared" si="0"/>
        <v>0</v>
      </c>
      <c r="K29" s="309">
        <f t="shared" si="8"/>
        <v>1.92</v>
      </c>
      <c r="L29" s="64"/>
      <c r="M29" s="279"/>
      <c r="N29" s="39"/>
      <c r="O29" s="309">
        <f t="shared" si="7"/>
        <v>0</v>
      </c>
      <c r="P29" s="235" t="str">
        <f t="shared" si="2"/>
        <v>К24,3х16,2х4</v>
      </c>
      <c r="Q29" s="377">
        <f t="shared" si="6"/>
        <v>2.4</v>
      </c>
      <c r="R29" s="329">
        <f>20000*0.0001</f>
        <v>2</v>
      </c>
      <c r="S29" s="353">
        <f t="shared" si="3"/>
        <v>0</v>
      </c>
      <c r="T29" s="20"/>
      <c r="U29" s="20">
        <f t="shared" si="4"/>
        <v>0</v>
      </c>
      <c r="V29" s="52">
        <f t="shared" si="5"/>
        <v>0</v>
      </c>
      <c r="W29" s="20"/>
    </row>
    <row r="30" spans="1:40" ht="26.25" hidden="1" customHeight="1" x14ac:dyDescent="0.25">
      <c r="B30" s="11"/>
      <c r="C30" s="6" t="s">
        <v>18</v>
      </c>
      <c r="D30" s="23" t="s">
        <v>9</v>
      </c>
      <c r="E30" s="212" t="s">
        <v>493</v>
      </c>
      <c r="F30" s="211"/>
      <c r="G30" s="19"/>
      <c r="H30" s="39"/>
      <c r="I30" s="309">
        <v>0</v>
      </c>
      <c r="J30" s="39">
        <f t="shared" si="0"/>
        <v>0</v>
      </c>
      <c r="K30" s="309">
        <f t="shared" si="8"/>
        <v>6.24</v>
      </c>
      <c r="L30" s="64"/>
      <c r="M30" s="279"/>
      <c r="N30" s="39"/>
      <c r="O30" s="309">
        <f t="shared" si="7"/>
        <v>0</v>
      </c>
      <c r="P30" s="235" t="str">
        <f t="shared" si="2"/>
        <v>К35х5(10)х6</v>
      </c>
      <c r="Q30" s="377">
        <f t="shared" si="6"/>
        <v>7.8</v>
      </c>
      <c r="R30" s="329">
        <f>65000*0.0001</f>
        <v>6.5</v>
      </c>
      <c r="S30" s="353">
        <f t="shared" si="3"/>
        <v>0</v>
      </c>
      <c r="T30" s="20">
        <v>288</v>
      </c>
      <c r="U30" s="20">
        <f t="shared" si="4"/>
        <v>0</v>
      </c>
      <c r="V30" s="52">
        <f t="shared" si="5"/>
        <v>0</v>
      </c>
      <c r="W30" s="20">
        <v>288</v>
      </c>
    </row>
    <row r="31" spans="1:40" ht="26.25" hidden="1" customHeight="1" x14ac:dyDescent="0.25">
      <c r="B31" s="11"/>
      <c r="C31" s="6" t="s">
        <v>18</v>
      </c>
      <c r="D31" s="23" t="s">
        <v>9</v>
      </c>
      <c r="E31" s="212" t="s">
        <v>452</v>
      </c>
      <c r="F31" s="211"/>
      <c r="G31" s="19"/>
      <c r="H31" s="39"/>
      <c r="I31" s="309">
        <v>0</v>
      </c>
      <c r="J31" s="39">
        <f t="shared" si="0"/>
        <v>0</v>
      </c>
      <c r="K31" s="309"/>
      <c r="L31" s="64"/>
      <c r="M31" s="279"/>
      <c r="N31" s="39"/>
      <c r="O31" s="309">
        <f t="shared" si="7"/>
        <v>0</v>
      </c>
      <c r="P31" s="235" t="str">
        <f t="shared" si="2"/>
        <v>К36х8х8</v>
      </c>
      <c r="Q31" s="377">
        <f t="shared" si="6"/>
        <v>0</v>
      </c>
      <c r="R31" s="329"/>
      <c r="S31" s="353">
        <f t="shared" si="3"/>
        <v>0</v>
      </c>
      <c r="T31" s="148">
        <v>400</v>
      </c>
      <c r="U31" s="20">
        <f t="shared" si="4"/>
        <v>0</v>
      </c>
      <c r="V31" s="52">
        <f t="shared" si="5"/>
        <v>0</v>
      </c>
      <c r="W31" s="444">
        <v>400</v>
      </c>
    </row>
    <row r="32" spans="1:40" s="4" customFormat="1" ht="26.25" hidden="1" customHeight="1" x14ac:dyDescent="0.25">
      <c r="A32" s="10"/>
      <c r="B32" s="11"/>
      <c r="C32" s="6" t="s">
        <v>18</v>
      </c>
      <c r="D32" s="23" t="s">
        <v>9</v>
      </c>
      <c r="E32" s="212" t="s">
        <v>281</v>
      </c>
      <c r="F32" s="211" t="s">
        <v>302</v>
      </c>
      <c r="G32" s="19"/>
      <c r="H32" s="39"/>
      <c r="I32" s="309">
        <v>0</v>
      </c>
      <c r="J32" s="39">
        <f t="shared" si="0"/>
        <v>0</v>
      </c>
      <c r="K32" s="309">
        <f t="shared" ref="K32:K40" si="9">Q32*0.8</f>
        <v>4.8</v>
      </c>
      <c r="L32" s="64"/>
      <c r="M32" s="279"/>
      <c r="N32" s="39"/>
      <c r="O32" s="309">
        <f t="shared" si="7"/>
        <v>0</v>
      </c>
      <c r="P32" s="235" t="str">
        <f t="shared" si="2"/>
        <v>К40х24х3,5</v>
      </c>
      <c r="Q32" s="377">
        <f t="shared" si="6"/>
        <v>6</v>
      </c>
      <c r="R32" s="329">
        <f>50000*0.0001</f>
        <v>5</v>
      </c>
      <c r="S32" s="353">
        <f t="shared" si="3"/>
        <v>0</v>
      </c>
      <c r="T32" s="20"/>
      <c r="U32" s="20">
        <f t="shared" si="4"/>
        <v>0</v>
      </c>
      <c r="V32" s="52">
        <f t="shared" si="5"/>
        <v>0</v>
      </c>
      <c r="W32" s="20"/>
    </row>
    <row r="33" spans="1:207" s="4" customFormat="1" ht="26.25" customHeight="1" x14ac:dyDescent="0.25">
      <c r="A33" s="10"/>
      <c r="B33" s="11">
        <v>11</v>
      </c>
      <c r="C33" s="6" t="s">
        <v>18</v>
      </c>
      <c r="D33" s="23" t="s">
        <v>9</v>
      </c>
      <c r="E33" s="459" t="s">
        <v>956</v>
      </c>
      <c r="F33" s="211" t="s">
        <v>966</v>
      </c>
      <c r="G33" s="19"/>
      <c r="H33" s="39"/>
      <c r="I33" s="309">
        <v>0</v>
      </c>
      <c r="J33" s="39">
        <f t="shared" si="0"/>
        <v>6</v>
      </c>
      <c r="K33" s="309">
        <f t="shared" si="9"/>
        <v>4.8</v>
      </c>
      <c r="L33" s="233" t="s">
        <v>735</v>
      </c>
      <c r="M33" s="279">
        <v>6</v>
      </c>
      <c r="N33" s="39"/>
      <c r="O33" s="497">
        <f t="shared" si="7"/>
        <v>0</v>
      </c>
      <c r="P33" s="263" t="str">
        <f t="shared" si="2"/>
        <v>К59х25х9</v>
      </c>
      <c r="Q33" s="377">
        <f t="shared" si="6"/>
        <v>6</v>
      </c>
      <c r="R33" s="321">
        <v>5</v>
      </c>
      <c r="S33" s="353">
        <f t="shared" si="3"/>
        <v>30</v>
      </c>
      <c r="T33" s="20"/>
      <c r="U33" s="20">
        <f t="shared" si="4"/>
        <v>6</v>
      </c>
      <c r="V33" s="52">
        <f t="shared" si="5"/>
        <v>6</v>
      </c>
      <c r="W33" s="20"/>
    </row>
    <row r="34" spans="1:207" ht="26.25" hidden="1" customHeight="1" thickBot="1" x14ac:dyDescent="0.3">
      <c r="B34" s="11"/>
      <c r="C34" s="6" t="s">
        <v>18</v>
      </c>
      <c r="D34" s="23" t="s">
        <v>9</v>
      </c>
      <c r="E34" s="237" t="s">
        <v>95</v>
      </c>
      <c r="F34" s="208" t="s">
        <v>99</v>
      </c>
      <c r="G34" s="48" t="s">
        <v>0</v>
      </c>
      <c r="H34" s="39"/>
      <c r="I34" s="360">
        <v>0</v>
      </c>
      <c r="J34" s="39">
        <f t="shared" si="0"/>
        <v>0</v>
      </c>
      <c r="K34" s="309">
        <f t="shared" si="9"/>
        <v>1.06</v>
      </c>
      <c r="L34" s="233" t="s">
        <v>883</v>
      </c>
      <c r="M34" s="279"/>
      <c r="N34" s="503"/>
      <c r="O34" s="309">
        <f t="shared" si="7"/>
        <v>0</v>
      </c>
      <c r="P34" s="265" t="str">
        <f t="shared" si="2"/>
        <v>К45х22х7</v>
      </c>
      <c r="Q34" s="306">
        <f t="shared" si="6"/>
        <v>1.32</v>
      </c>
      <c r="R34" s="319">
        <v>1.1000000000000001</v>
      </c>
      <c r="S34" s="353">
        <f t="shared" si="3"/>
        <v>0</v>
      </c>
      <c r="T34" s="148">
        <v>11407</v>
      </c>
      <c r="U34" s="20">
        <f t="shared" si="4"/>
        <v>0</v>
      </c>
      <c r="V34" s="52">
        <f t="shared" si="5"/>
        <v>-7537</v>
      </c>
      <c r="W34" s="444">
        <f>567*2+6*456</f>
        <v>3870</v>
      </c>
    </row>
    <row r="35" spans="1:207" ht="26.25" hidden="1" customHeight="1" x14ac:dyDescent="0.25">
      <c r="B35" s="15"/>
      <c r="C35" s="6" t="s">
        <v>18</v>
      </c>
      <c r="D35" s="23" t="s">
        <v>177</v>
      </c>
      <c r="E35" s="104" t="s">
        <v>215</v>
      </c>
      <c r="F35" s="208" t="s">
        <v>178</v>
      </c>
      <c r="G35" s="48" t="s">
        <v>0</v>
      </c>
      <c r="H35" s="39"/>
      <c r="I35" s="309">
        <v>0</v>
      </c>
      <c r="J35" s="39">
        <f t="shared" si="0"/>
        <v>0</v>
      </c>
      <c r="K35" s="309">
        <f t="shared" si="9"/>
        <v>0.14000000000000001</v>
      </c>
      <c r="L35" s="62" t="s">
        <v>275</v>
      </c>
      <c r="M35" s="140"/>
      <c r="N35" s="39"/>
      <c r="O35" s="490">
        <f t="shared" si="7"/>
        <v>0</v>
      </c>
      <c r="P35" s="262" t="str">
        <f t="shared" si="2"/>
        <v>ЭПГ110.165(К45*22*6)</v>
      </c>
      <c r="Q35" s="377">
        <f t="shared" si="6"/>
        <v>0.18</v>
      </c>
      <c r="R35" s="322">
        <f>1513*0.0001</f>
        <v>0.15</v>
      </c>
      <c r="S35" s="353">
        <f t="shared" si="3"/>
        <v>0</v>
      </c>
      <c r="T35" s="199"/>
      <c r="U35" s="20">
        <f t="shared" si="4"/>
        <v>0</v>
      </c>
      <c r="V35" s="52">
        <f t="shared" si="5"/>
        <v>0</v>
      </c>
      <c r="W35" s="199"/>
    </row>
    <row r="36" spans="1:207" ht="26.25" hidden="1" customHeight="1" x14ac:dyDescent="0.25">
      <c r="B36" s="15"/>
      <c r="C36" s="6" t="s">
        <v>18</v>
      </c>
      <c r="D36" s="23" t="s">
        <v>9</v>
      </c>
      <c r="E36" s="238" t="s">
        <v>505</v>
      </c>
      <c r="F36" s="208"/>
      <c r="G36" s="48"/>
      <c r="H36" s="39"/>
      <c r="I36" s="309">
        <v>0</v>
      </c>
      <c r="J36" s="39">
        <f t="shared" si="0"/>
        <v>0</v>
      </c>
      <c r="K36" s="309">
        <f t="shared" si="9"/>
        <v>0</v>
      </c>
      <c r="L36" s="146" t="s">
        <v>331</v>
      </c>
      <c r="M36" s="279"/>
      <c r="N36" s="39"/>
      <c r="O36" s="497">
        <f t="shared" si="7"/>
        <v>0</v>
      </c>
      <c r="P36" s="235" t="str">
        <f t="shared" si="2"/>
        <v>К60х25х9</v>
      </c>
      <c r="Q36" s="377">
        <f t="shared" si="6"/>
        <v>0</v>
      </c>
      <c r="R36" s="330"/>
      <c r="S36" s="353">
        <f t="shared" si="3"/>
        <v>0</v>
      </c>
      <c r="T36" s="148">
        <f>70*5</f>
        <v>350</v>
      </c>
      <c r="U36" s="20">
        <f t="shared" si="4"/>
        <v>0</v>
      </c>
      <c r="V36" s="52">
        <f t="shared" si="5"/>
        <v>0</v>
      </c>
      <c r="W36" s="20">
        <f>70*5</f>
        <v>350</v>
      </c>
    </row>
    <row r="37" spans="1:207" ht="26.25" customHeight="1" x14ac:dyDescent="0.25">
      <c r="B37" s="15">
        <v>12</v>
      </c>
      <c r="C37" s="6" t="s">
        <v>18</v>
      </c>
      <c r="D37" s="23" t="s">
        <v>9</v>
      </c>
      <c r="E37" s="238" t="s">
        <v>283</v>
      </c>
      <c r="F37" s="208">
        <v>1383</v>
      </c>
      <c r="G37" s="12" t="s">
        <v>0</v>
      </c>
      <c r="H37" s="39">
        <v>220</v>
      </c>
      <c r="I37" s="309">
        <v>338.8</v>
      </c>
      <c r="J37" s="39">
        <f t="shared" si="0"/>
        <v>0</v>
      </c>
      <c r="K37" s="309">
        <f t="shared" si="9"/>
        <v>1.54</v>
      </c>
      <c r="L37" s="233"/>
      <c r="M37" s="279"/>
      <c r="N37" s="39">
        <v>220</v>
      </c>
      <c r="O37" s="309">
        <f t="shared" si="7"/>
        <v>338.8</v>
      </c>
      <c r="P37" s="51" t="str">
        <f t="shared" si="2"/>
        <v>К61х24х8</v>
      </c>
      <c r="Q37" s="377">
        <f t="shared" si="6"/>
        <v>1.92</v>
      </c>
      <c r="R37" s="330">
        <v>1.6</v>
      </c>
      <c r="S37" s="353">
        <f t="shared" si="3"/>
        <v>0</v>
      </c>
      <c r="T37" s="148">
        <f>10*125-190-190</f>
        <v>870</v>
      </c>
      <c r="U37" s="20">
        <f t="shared" si="4"/>
        <v>0</v>
      </c>
      <c r="V37" s="52">
        <f t="shared" si="5"/>
        <v>-650</v>
      </c>
      <c r="W37" s="859">
        <f>2*73+74</f>
        <v>220</v>
      </c>
    </row>
    <row r="38" spans="1:207" ht="26.25" hidden="1" customHeight="1" x14ac:dyDescent="0.25">
      <c r="B38" s="11"/>
      <c r="C38" s="6" t="s">
        <v>18</v>
      </c>
      <c r="D38" s="23" t="s">
        <v>9</v>
      </c>
      <c r="E38" s="87" t="s">
        <v>725</v>
      </c>
      <c r="F38" s="208">
        <v>1452</v>
      </c>
      <c r="G38" s="48" t="s">
        <v>0</v>
      </c>
      <c r="H38" s="39"/>
      <c r="I38" s="309">
        <v>0</v>
      </c>
      <c r="J38" s="39">
        <f t="shared" si="0"/>
        <v>0</v>
      </c>
      <c r="K38" s="309">
        <f t="shared" si="9"/>
        <v>23.04</v>
      </c>
      <c r="L38" s="233" t="s">
        <v>737</v>
      </c>
      <c r="M38" s="279"/>
      <c r="N38" s="39"/>
      <c r="O38" s="490">
        <f t="shared" si="7"/>
        <v>0</v>
      </c>
      <c r="P38" s="441" t="str">
        <f t="shared" si="2"/>
        <v>К59х44х4</v>
      </c>
      <c r="Q38" s="377">
        <f t="shared" si="6"/>
        <v>28.8</v>
      </c>
      <c r="R38" s="319">
        <v>24</v>
      </c>
      <c r="S38" s="353">
        <f t="shared" ref="S38:S70" si="10">R38*J38</f>
        <v>0</v>
      </c>
      <c r="T38" s="20"/>
      <c r="U38" s="20">
        <f t="shared" ref="U38:U69" si="11">M38</f>
        <v>0</v>
      </c>
      <c r="V38" s="52">
        <f t="shared" si="5"/>
        <v>0</v>
      </c>
      <c r="W38" s="20"/>
    </row>
    <row r="39" spans="1:207" ht="26.25" customHeight="1" thickBot="1" x14ac:dyDescent="0.3">
      <c r="B39" s="11">
        <v>13</v>
      </c>
      <c r="C39" s="6" t="s">
        <v>18</v>
      </c>
      <c r="D39" s="23" t="s">
        <v>9</v>
      </c>
      <c r="E39" s="43" t="s">
        <v>115</v>
      </c>
      <c r="F39" s="208" t="s">
        <v>116</v>
      </c>
      <c r="G39" s="12" t="s">
        <v>0</v>
      </c>
      <c r="H39" s="39">
        <v>150</v>
      </c>
      <c r="I39" s="360">
        <v>412.5</v>
      </c>
      <c r="J39" s="39">
        <f t="shared" si="0"/>
        <v>0</v>
      </c>
      <c r="K39" s="309">
        <f t="shared" si="9"/>
        <v>2.75</v>
      </c>
      <c r="L39" s="233" t="s">
        <v>652</v>
      </c>
      <c r="M39" s="279"/>
      <c r="N39" s="39">
        <v>150</v>
      </c>
      <c r="O39" s="490">
        <f t="shared" si="7"/>
        <v>412.5</v>
      </c>
      <c r="P39" s="256" t="str">
        <f t="shared" si="2"/>
        <v>К72*32*10</v>
      </c>
      <c r="Q39" s="377">
        <f t="shared" ref="Q39:Q70" si="12">R39*1.2</f>
        <v>3.44</v>
      </c>
      <c r="R39" s="320">
        <v>2.87</v>
      </c>
      <c r="S39" s="353">
        <f t="shared" si="3"/>
        <v>0</v>
      </c>
      <c r="T39" s="148">
        <v>6500</v>
      </c>
      <c r="U39" s="20">
        <f t="shared" si="11"/>
        <v>0</v>
      </c>
      <c r="V39" s="52">
        <f t="shared" si="5"/>
        <v>0</v>
      </c>
      <c r="W39" s="20">
        <v>6500</v>
      </c>
    </row>
    <row r="40" spans="1:207" s="4" customFormat="1" ht="26.25" hidden="1" customHeight="1" thickBot="1" x14ac:dyDescent="0.3">
      <c r="A40" s="10"/>
      <c r="B40" s="11"/>
      <c r="C40" s="6" t="s">
        <v>18</v>
      </c>
      <c r="D40" s="23" t="s">
        <v>9</v>
      </c>
      <c r="E40" s="238" t="s">
        <v>451</v>
      </c>
      <c r="F40" s="387" t="s">
        <v>383</v>
      </c>
      <c r="G40" s="48" t="s">
        <v>0</v>
      </c>
      <c r="H40" s="39"/>
      <c r="I40" s="360">
        <v>0</v>
      </c>
      <c r="J40" s="39">
        <f t="shared" si="0"/>
        <v>0</v>
      </c>
      <c r="K40" s="309">
        <f t="shared" si="9"/>
        <v>4.8</v>
      </c>
      <c r="L40" s="233" t="s">
        <v>528</v>
      </c>
      <c r="M40" s="279"/>
      <c r="N40" s="39"/>
      <c r="O40" s="467">
        <f t="shared" si="7"/>
        <v>0</v>
      </c>
      <c r="P40" s="264" t="str">
        <f t="shared" si="2"/>
        <v>К72х32х12</v>
      </c>
      <c r="Q40" s="377">
        <f t="shared" si="12"/>
        <v>6</v>
      </c>
      <c r="R40" s="330">
        <v>5</v>
      </c>
      <c r="S40" s="353">
        <f t="shared" si="10"/>
        <v>0</v>
      </c>
      <c r="T40" s="20"/>
      <c r="U40" s="20">
        <f t="shared" si="11"/>
        <v>0</v>
      </c>
      <c r="V40" s="52">
        <f t="shared" si="5"/>
        <v>4120</v>
      </c>
      <c r="W40" s="444">
        <f>103*40</f>
        <v>4120</v>
      </c>
    </row>
    <row r="41" spans="1:207" s="4" customFormat="1" ht="26.25" customHeight="1" x14ac:dyDescent="0.25">
      <c r="A41" s="10"/>
      <c r="B41" s="11">
        <v>14</v>
      </c>
      <c r="C41" s="6" t="s">
        <v>18</v>
      </c>
      <c r="D41" s="23" t="s">
        <v>9</v>
      </c>
      <c r="E41" s="239" t="s">
        <v>210</v>
      </c>
      <c r="F41" s="208" t="s">
        <v>256</v>
      </c>
      <c r="G41" s="12" t="s">
        <v>0</v>
      </c>
      <c r="H41" s="39">
        <v>16</v>
      </c>
      <c r="I41" s="360">
        <v>30.08</v>
      </c>
      <c r="J41" s="39">
        <f t="shared" si="0"/>
        <v>0</v>
      </c>
      <c r="K41" s="309">
        <v>1.88</v>
      </c>
      <c r="L41" s="89" t="s">
        <v>566</v>
      </c>
      <c r="M41" s="279"/>
      <c r="N41" s="39">
        <v>16</v>
      </c>
      <c r="O41" s="309">
        <f t="shared" si="7"/>
        <v>30.08</v>
      </c>
      <c r="P41" s="259" t="str">
        <f t="shared" si="2"/>
        <v>К85х32х9</v>
      </c>
      <c r="Q41" s="377">
        <f t="shared" si="12"/>
        <v>2.41</v>
      </c>
      <c r="R41" s="319">
        <v>2.0099999999999998</v>
      </c>
      <c r="S41" s="353">
        <f t="shared" si="3"/>
        <v>0</v>
      </c>
      <c r="T41" s="18">
        <v>3478</v>
      </c>
      <c r="U41" s="20">
        <f t="shared" si="11"/>
        <v>0</v>
      </c>
      <c r="V41" s="52">
        <f t="shared" si="5"/>
        <v>0</v>
      </c>
      <c r="W41" s="18">
        <v>3478</v>
      </c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</row>
    <row r="42" spans="1:207" ht="26.25" hidden="1" customHeight="1" x14ac:dyDescent="0.25">
      <c r="B42" s="11"/>
      <c r="C42" s="6" t="s">
        <v>18</v>
      </c>
      <c r="D42" s="23" t="s">
        <v>9</v>
      </c>
      <c r="E42" s="239"/>
      <c r="F42" s="211"/>
      <c r="G42" s="12" t="s">
        <v>0</v>
      </c>
      <c r="H42" s="39"/>
      <c r="I42" s="360">
        <v>0</v>
      </c>
      <c r="J42" s="39">
        <f t="shared" si="0"/>
        <v>0</v>
      </c>
      <c r="K42" s="309">
        <v>1.76</v>
      </c>
      <c r="L42" s="89"/>
      <c r="M42" s="279"/>
      <c r="N42" s="39"/>
      <c r="O42" s="467">
        <f t="shared" si="7"/>
        <v>0</v>
      </c>
      <c r="P42" s="260">
        <f t="shared" si="2"/>
        <v>0</v>
      </c>
      <c r="Q42" s="377">
        <f t="shared" si="12"/>
        <v>2.41</v>
      </c>
      <c r="R42" s="319">
        <v>2.0099999999999998</v>
      </c>
      <c r="S42" s="353">
        <f t="shared" si="10"/>
        <v>0</v>
      </c>
      <c r="T42" s="18"/>
      <c r="U42" s="20">
        <f t="shared" si="11"/>
        <v>0</v>
      </c>
      <c r="V42" s="52">
        <f t="shared" si="5"/>
        <v>0</v>
      </c>
      <c r="W42" s="18"/>
    </row>
    <row r="43" spans="1:207" s="5" customFormat="1" ht="26.25" customHeight="1" x14ac:dyDescent="0.25">
      <c r="B43" s="11">
        <v>15</v>
      </c>
      <c r="C43" s="6" t="s">
        <v>18</v>
      </c>
      <c r="D43" s="23" t="s">
        <v>9</v>
      </c>
      <c r="E43" s="237" t="s">
        <v>39</v>
      </c>
      <c r="F43" s="208" t="s">
        <v>67</v>
      </c>
      <c r="G43" s="12" t="s">
        <v>0</v>
      </c>
      <c r="H43" s="39">
        <v>1170</v>
      </c>
      <c r="I43" s="360">
        <v>4492.8</v>
      </c>
      <c r="J43" s="39">
        <f t="shared" si="0"/>
        <v>220</v>
      </c>
      <c r="K43" s="309">
        <f>Q43*0.8</f>
        <v>3.84</v>
      </c>
      <c r="L43" s="220" t="s">
        <v>938</v>
      </c>
      <c r="M43" s="279">
        <f>400+190</f>
        <v>590</v>
      </c>
      <c r="N43" s="39">
        <v>800</v>
      </c>
      <c r="O43" s="309">
        <f t="shared" si="7"/>
        <v>3072</v>
      </c>
      <c r="P43" s="260" t="str">
        <f t="shared" si="2"/>
        <v>К85х44х9</v>
      </c>
      <c r="Q43" s="377">
        <f t="shared" si="12"/>
        <v>4.8</v>
      </c>
      <c r="R43" s="319">
        <v>4</v>
      </c>
      <c r="S43" s="353">
        <f t="shared" si="3"/>
        <v>880</v>
      </c>
      <c r="T43" s="148">
        <f>16*30+10+48*72</f>
        <v>3946</v>
      </c>
      <c r="U43" s="20">
        <f t="shared" si="11"/>
        <v>590</v>
      </c>
      <c r="V43" s="52">
        <f t="shared" si="5"/>
        <v>590</v>
      </c>
      <c r="W43" s="20">
        <f>16*30+10+48*72</f>
        <v>3946</v>
      </c>
    </row>
    <row r="44" spans="1:207" s="5" customFormat="1" ht="26.25" customHeight="1" thickBot="1" x14ac:dyDescent="0.3">
      <c r="B44" s="14">
        <v>16</v>
      </c>
      <c r="C44" s="6" t="s">
        <v>18</v>
      </c>
      <c r="D44" s="23" t="s">
        <v>9</v>
      </c>
      <c r="E44" s="237" t="s">
        <v>543</v>
      </c>
      <c r="F44" s="526" t="s">
        <v>303</v>
      </c>
      <c r="G44" s="12" t="s">
        <v>0</v>
      </c>
      <c r="H44" s="39"/>
      <c r="I44" s="360">
        <v>0</v>
      </c>
      <c r="J44" s="39">
        <f t="shared" si="0"/>
        <v>150</v>
      </c>
      <c r="K44" s="309">
        <f>R44*0.8</f>
        <v>1.68</v>
      </c>
      <c r="L44" s="220" t="s">
        <v>937</v>
      </c>
      <c r="M44" s="279">
        <v>150</v>
      </c>
      <c r="N44" s="503"/>
      <c r="O44" s="309">
        <f t="shared" si="7"/>
        <v>0</v>
      </c>
      <c r="P44" s="261" t="str">
        <f t="shared" si="2"/>
        <v>К86х32х9 Кр.Борец</v>
      </c>
      <c r="Q44" s="377">
        <f t="shared" si="12"/>
        <v>2.52</v>
      </c>
      <c r="R44" s="322">
        <v>2.1</v>
      </c>
      <c r="S44" s="353">
        <f t="shared" si="3"/>
        <v>315</v>
      </c>
      <c r="T44" s="18"/>
      <c r="U44" s="20">
        <f t="shared" si="11"/>
        <v>150</v>
      </c>
      <c r="V44" s="52">
        <f t="shared" si="5"/>
        <v>150</v>
      </c>
      <c r="W44" s="18"/>
    </row>
    <row r="45" spans="1:207" s="8" customFormat="1" ht="26.25" hidden="1" customHeight="1" x14ac:dyDescent="0.25">
      <c r="A45" s="5"/>
      <c r="B45" s="14"/>
      <c r="C45" s="6" t="s">
        <v>18</v>
      </c>
      <c r="D45" s="23" t="s">
        <v>357</v>
      </c>
      <c r="E45" s="104" t="s">
        <v>356</v>
      </c>
      <c r="F45" s="387" t="s">
        <v>358</v>
      </c>
      <c r="G45" s="12" t="s">
        <v>0</v>
      </c>
      <c r="H45" s="39"/>
      <c r="I45" s="309">
        <v>0</v>
      </c>
      <c r="J45" s="39">
        <f t="shared" si="0"/>
        <v>0</v>
      </c>
      <c r="K45" s="309">
        <f>Q45*0.8</f>
        <v>37.93</v>
      </c>
      <c r="L45" s="89"/>
      <c r="M45" s="140"/>
      <c r="N45" s="39"/>
      <c r="O45" s="490">
        <f t="shared" si="7"/>
        <v>0</v>
      </c>
      <c r="P45" s="264" t="str">
        <f t="shared" si="2"/>
        <v>К102х56х12</v>
      </c>
      <c r="Q45" s="377">
        <f t="shared" si="12"/>
        <v>47.41</v>
      </c>
      <c r="R45" s="319">
        <f>395125*0.0001</f>
        <v>39.51</v>
      </c>
      <c r="S45" s="353">
        <f t="shared" si="10"/>
        <v>0</v>
      </c>
      <c r="T45" s="20"/>
      <c r="U45" s="20">
        <f t="shared" si="11"/>
        <v>0</v>
      </c>
      <c r="V45" s="52">
        <f t="shared" si="5"/>
        <v>0</v>
      </c>
      <c r="W45" s="20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</row>
    <row r="46" spans="1:207" s="8" customFormat="1" ht="26.25" hidden="1" customHeight="1" x14ac:dyDescent="0.25">
      <c r="A46" s="5"/>
      <c r="B46" s="14"/>
      <c r="C46" s="6" t="s">
        <v>18</v>
      </c>
      <c r="D46" s="23" t="s">
        <v>177</v>
      </c>
      <c r="E46" s="87" t="s">
        <v>693</v>
      </c>
      <c r="F46" s="387" t="s">
        <v>697</v>
      </c>
      <c r="G46" s="12"/>
      <c r="H46" s="39"/>
      <c r="I46" s="360">
        <v>0</v>
      </c>
      <c r="J46" s="39">
        <f t="shared" si="0"/>
        <v>0</v>
      </c>
      <c r="K46" s="309">
        <f>Q46*0.8</f>
        <v>4.8</v>
      </c>
      <c r="L46" s="89"/>
      <c r="M46" s="140"/>
      <c r="N46" s="503"/>
      <c r="O46" s="309">
        <f t="shared" si="7"/>
        <v>0</v>
      </c>
      <c r="P46" s="264" t="str">
        <f t="shared" si="2"/>
        <v>Д8,2х6,4</v>
      </c>
      <c r="Q46" s="377">
        <f t="shared" si="12"/>
        <v>6</v>
      </c>
      <c r="R46" s="319">
        <v>5</v>
      </c>
      <c r="S46" s="353">
        <f t="shared" si="10"/>
        <v>0</v>
      </c>
      <c r="T46" s="20"/>
      <c r="U46" s="20">
        <f t="shared" si="11"/>
        <v>0</v>
      </c>
      <c r="V46" s="52"/>
      <c r="W46" s="20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</row>
    <row r="47" spans="1:207" s="5" customFormat="1" ht="30" customHeight="1" x14ac:dyDescent="0.25">
      <c r="B47" s="11">
        <v>17</v>
      </c>
      <c r="C47" s="6" t="s">
        <v>18</v>
      </c>
      <c r="D47" s="23" t="s">
        <v>9</v>
      </c>
      <c r="E47" s="239" t="s">
        <v>225</v>
      </c>
      <c r="F47" s="208" t="s">
        <v>234</v>
      </c>
      <c r="G47" s="12" t="s">
        <v>0</v>
      </c>
      <c r="H47" s="39">
        <v>2000</v>
      </c>
      <c r="I47" s="360">
        <v>280</v>
      </c>
      <c r="J47" s="39">
        <f t="shared" si="0"/>
        <v>0</v>
      </c>
      <c r="K47" s="309">
        <f>R47*0.8</f>
        <v>0.14000000000000001</v>
      </c>
      <c r="L47" s="233" t="s">
        <v>884</v>
      </c>
      <c r="M47" s="279">
        <v>65</v>
      </c>
      <c r="N47" s="39">
        <f>2000-65</f>
        <v>1935</v>
      </c>
      <c r="O47" s="309">
        <f t="shared" si="7"/>
        <v>270.89999999999998</v>
      </c>
      <c r="P47" s="235" t="str">
        <f t="shared" si="2"/>
        <v>Д18х3</v>
      </c>
      <c r="Q47" s="377">
        <f t="shared" si="12"/>
        <v>0.22</v>
      </c>
      <c r="R47" s="323">
        <v>0.18</v>
      </c>
      <c r="S47" s="353">
        <f t="shared" si="10"/>
        <v>0</v>
      </c>
      <c r="T47" s="148">
        <f>6500*9</f>
        <v>58500</v>
      </c>
      <c r="U47" s="20">
        <f t="shared" si="11"/>
        <v>65</v>
      </c>
      <c r="V47" s="52">
        <f t="shared" ref="V47:V55" si="13">W47-T47+U47</f>
        <v>-12935</v>
      </c>
      <c r="W47" s="444">
        <f>6500*7</f>
        <v>45500</v>
      </c>
    </row>
    <row r="48" spans="1:207" s="5" customFormat="1" ht="32.25" hidden="1" customHeight="1" x14ac:dyDescent="0.25">
      <c r="B48" s="11"/>
      <c r="C48" s="6" t="s">
        <v>18</v>
      </c>
      <c r="D48" s="23" t="s">
        <v>9</v>
      </c>
      <c r="E48" s="512" t="s">
        <v>851</v>
      </c>
      <c r="F48" s="208">
        <v>1285</v>
      </c>
      <c r="G48" s="12" t="s">
        <v>0</v>
      </c>
      <c r="H48" s="39"/>
      <c r="I48" s="309">
        <v>0</v>
      </c>
      <c r="J48" s="39">
        <f t="shared" si="0"/>
        <v>0</v>
      </c>
      <c r="K48" s="309">
        <f>Q48*0.8</f>
        <v>7.68</v>
      </c>
      <c r="L48" s="233" t="s">
        <v>863</v>
      </c>
      <c r="M48" s="279"/>
      <c r="N48" s="503"/>
      <c r="O48" s="309">
        <f t="shared" si="7"/>
        <v>0</v>
      </c>
      <c r="P48" s="235" t="str">
        <f t="shared" si="2"/>
        <v xml:space="preserve">Д12х18 </v>
      </c>
      <c r="Q48" s="495">
        <f t="shared" si="12"/>
        <v>9.6</v>
      </c>
      <c r="R48" s="323">
        <v>8</v>
      </c>
      <c r="S48" s="353">
        <f t="shared" si="10"/>
        <v>0</v>
      </c>
      <c r="T48" s="18"/>
      <c r="U48" s="20">
        <f t="shared" si="11"/>
        <v>0</v>
      </c>
      <c r="V48" s="18">
        <f t="shared" si="13"/>
        <v>0</v>
      </c>
      <c r="W48" s="18"/>
    </row>
    <row r="49" spans="1:24" s="5" customFormat="1" ht="26.25" hidden="1" customHeight="1" x14ac:dyDescent="0.25">
      <c r="B49" s="483"/>
      <c r="C49" s="484" t="s">
        <v>18</v>
      </c>
      <c r="D49" s="485" t="s">
        <v>9</v>
      </c>
      <c r="E49" s="486" t="s">
        <v>853</v>
      </c>
      <c r="F49" s="487" t="s">
        <v>698</v>
      </c>
      <c r="G49" s="12" t="s">
        <v>0</v>
      </c>
      <c r="H49" s="489"/>
      <c r="I49" s="467">
        <v>0</v>
      </c>
      <c r="J49" s="39">
        <f t="shared" si="0"/>
        <v>0</v>
      </c>
      <c r="K49" s="490">
        <f>Q49*0.8</f>
        <v>0.48</v>
      </c>
      <c r="L49" s="233" t="s">
        <v>865</v>
      </c>
      <c r="M49" s="493"/>
      <c r="N49" s="489"/>
      <c r="O49" s="467">
        <f t="shared" si="7"/>
        <v>0</v>
      </c>
      <c r="P49" s="264" t="str">
        <f t="shared" si="2"/>
        <v>Д16х3</v>
      </c>
      <c r="Q49" s="494">
        <f t="shared" si="12"/>
        <v>0.6</v>
      </c>
      <c r="R49" s="324">
        <v>0.5</v>
      </c>
      <c r="S49" s="353">
        <f t="shared" si="10"/>
        <v>0</v>
      </c>
      <c r="T49" s="20"/>
      <c r="U49" s="20">
        <f t="shared" si="11"/>
        <v>0</v>
      </c>
      <c r="V49" s="52">
        <f t="shared" si="13"/>
        <v>0</v>
      </c>
      <c r="W49" s="20"/>
    </row>
    <row r="50" spans="1:24" s="5" customFormat="1" ht="26.25" customHeight="1" x14ac:dyDescent="0.25">
      <c r="B50" s="11">
        <v>18</v>
      </c>
      <c r="C50" s="6" t="s">
        <v>18</v>
      </c>
      <c r="D50" s="23" t="s">
        <v>9</v>
      </c>
      <c r="E50" s="239" t="s">
        <v>315</v>
      </c>
      <c r="F50" s="208">
        <v>1094</v>
      </c>
      <c r="G50" s="12" t="s">
        <v>0</v>
      </c>
      <c r="H50" s="39">
        <v>1760</v>
      </c>
      <c r="I50" s="360">
        <v>338.32</v>
      </c>
      <c r="J50" s="39">
        <f t="shared" si="0"/>
        <v>0</v>
      </c>
      <c r="K50" s="309">
        <v>0.19</v>
      </c>
      <c r="L50" s="89"/>
      <c r="M50" s="279"/>
      <c r="N50" s="39">
        <v>1760</v>
      </c>
      <c r="O50" s="466">
        <f>I50</f>
        <v>338.32</v>
      </c>
      <c r="P50" s="235" t="str">
        <f t="shared" si="2"/>
        <v>Д20х3</v>
      </c>
      <c r="Q50" s="377">
        <f t="shared" si="12"/>
        <v>0.24</v>
      </c>
      <c r="R50" s="323">
        <f>2000*0.0001</f>
        <v>0.2</v>
      </c>
      <c r="S50" s="353">
        <f t="shared" si="10"/>
        <v>0</v>
      </c>
      <c r="T50" s="20"/>
      <c r="U50" s="20">
        <f t="shared" si="11"/>
        <v>0</v>
      </c>
      <c r="V50" s="52">
        <f t="shared" si="13"/>
        <v>0</v>
      </c>
      <c r="W50" s="20"/>
    </row>
    <row r="51" spans="1:24" s="5" customFormat="1" ht="26.25" hidden="1" customHeight="1" x14ac:dyDescent="0.25">
      <c r="B51" s="11"/>
      <c r="C51" s="6" t="s">
        <v>18</v>
      </c>
      <c r="D51" s="23" t="s">
        <v>9</v>
      </c>
      <c r="E51" s="212" t="s">
        <v>490</v>
      </c>
      <c r="F51" s="385" t="s">
        <v>270</v>
      </c>
      <c r="G51" s="12" t="s">
        <v>0</v>
      </c>
      <c r="H51" s="39"/>
      <c r="I51" s="309">
        <v>0</v>
      </c>
      <c r="J51" s="39">
        <f t="shared" si="0"/>
        <v>0</v>
      </c>
      <c r="K51" s="309">
        <f>Q51*0.8</f>
        <v>4.99</v>
      </c>
      <c r="L51" s="89"/>
      <c r="M51" s="279"/>
      <c r="N51" s="39"/>
      <c r="O51" s="490">
        <f>K51*N51</f>
        <v>0</v>
      </c>
      <c r="P51" s="264" t="str">
        <f t="shared" si="2"/>
        <v>Д40х9</v>
      </c>
      <c r="Q51" s="377">
        <f t="shared" si="12"/>
        <v>6.24</v>
      </c>
      <c r="R51" s="323">
        <f>52000*0.0001</f>
        <v>5.2</v>
      </c>
      <c r="S51" s="353">
        <f t="shared" si="10"/>
        <v>0</v>
      </c>
      <c r="T51" s="20">
        <v>210</v>
      </c>
      <c r="U51" s="20">
        <f t="shared" si="11"/>
        <v>0</v>
      </c>
      <c r="V51" s="52">
        <f t="shared" si="13"/>
        <v>0</v>
      </c>
      <c r="W51" s="20">
        <v>210</v>
      </c>
    </row>
    <row r="52" spans="1:24" s="5" customFormat="1" ht="26.25" customHeight="1" x14ac:dyDescent="0.25">
      <c r="B52" s="11">
        <v>19</v>
      </c>
      <c r="C52" s="6" t="s">
        <v>18</v>
      </c>
      <c r="D52" s="23" t="s">
        <v>9</v>
      </c>
      <c r="E52" s="212" t="s">
        <v>455</v>
      </c>
      <c r="F52" s="383" t="s">
        <v>456</v>
      </c>
      <c r="G52" s="12" t="s">
        <v>0</v>
      </c>
      <c r="H52" s="39">
        <v>400</v>
      </c>
      <c r="I52" s="360">
        <v>691.2</v>
      </c>
      <c r="J52" s="39">
        <f t="shared" si="0"/>
        <v>0</v>
      </c>
      <c r="K52" s="309">
        <v>1.73</v>
      </c>
      <c r="L52" s="89"/>
      <c r="M52" s="279"/>
      <c r="N52" s="39">
        <v>400</v>
      </c>
      <c r="O52" s="466">
        <f>I52</f>
        <v>691.2</v>
      </c>
      <c r="P52" s="235" t="str">
        <f t="shared" si="2"/>
        <v>Д30х10</v>
      </c>
      <c r="Q52" s="377">
        <f t="shared" si="12"/>
        <v>2.16</v>
      </c>
      <c r="R52" s="325">
        <f>18000*0.0001</f>
        <v>1.8</v>
      </c>
      <c r="S52" s="353">
        <f t="shared" si="10"/>
        <v>0</v>
      </c>
      <c r="T52" s="20"/>
      <c r="U52" s="20">
        <f t="shared" si="11"/>
        <v>0</v>
      </c>
      <c r="V52" s="52">
        <f t="shared" si="13"/>
        <v>0</v>
      </c>
      <c r="W52" s="20"/>
    </row>
    <row r="53" spans="1:24" s="4" customFormat="1" ht="26.25" hidden="1" customHeight="1" x14ac:dyDescent="0.25">
      <c r="A53" s="10"/>
      <c r="B53" s="11"/>
      <c r="C53" s="6" t="s">
        <v>18</v>
      </c>
      <c r="D53" s="23" t="s">
        <v>9</v>
      </c>
      <c r="E53" s="239" t="s">
        <v>661</v>
      </c>
      <c r="F53" s="270">
        <v>1131</v>
      </c>
      <c r="G53" s="12" t="s">
        <v>0</v>
      </c>
      <c r="H53" s="39"/>
      <c r="I53" s="309">
        <v>0</v>
      </c>
      <c r="J53" s="39">
        <f t="shared" si="0"/>
        <v>0</v>
      </c>
      <c r="K53" s="309">
        <f>Q53*0.8</f>
        <v>19.2</v>
      </c>
      <c r="L53" s="64"/>
      <c r="M53" s="279"/>
      <c r="N53" s="39"/>
      <c r="O53" s="490">
        <f t="shared" ref="O53:O63" si="14">K53*N53</f>
        <v>0</v>
      </c>
      <c r="P53" s="262"/>
      <c r="Q53" s="377">
        <f t="shared" si="12"/>
        <v>24</v>
      </c>
      <c r="R53" s="320">
        <f>200000*0.0001</f>
        <v>20</v>
      </c>
      <c r="S53" s="353">
        <f t="shared" si="10"/>
        <v>0</v>
      </c>
      <c r="T53" s="148">
        <v>1250</v>
      </c>
      <c r="U53" s="20">
        <f t="shared" si="11"/>
        <v>0</v>
      </c>
      <c r="V53" s="52">
        <f t="shared" si="13"/>
        <v>0</v>
      </c>
      <c r="W53" s="20">
        <v>1250</v>
      </c>
    </row>
    <row r="54" spans="1:24" s="4" customFormat="1" ht="26.25" hidden="1" customHeight="1" x14ac:dyDescent="0.25">
      <c r="A54" s="10"/>
      <c r="B54" s="14"/>
      <c r="C54" s="6" t="s">
        <v>18</v>
      </c>
      <c r="D54" s="23" t="s">
        <v>9</v>
      </c>
      <c r="E54" s="212"/>
      <c r="F54" s="385"/>
      <c r="G54" s="12" t="s">
        <v>0</v>
      </c>
      <c r="H54" s="39"/>
      <c r="I54" s="309">
        <v>0</v>
      </c>
      <c r="J54" s="39">
        <f t="shared" si="0"/>
        <v>0</v>
      </c>
      <c r="K54" s="309">
        <f>Q54*0.8</f>
        <v>0.48</v>
      </c>
      <c r="L54" s="42"/>
      <c r="M54" s="279"/>
      <c r="N54" s="39"/>
      <c r="O54" s="309">
        <f t="shared" si="14"/>
        <v>0</v>
      </c>
      <c r="P54" s="263">
        <f t="shared" ref="P54:P117" si="15">E54</f>
        <v>0</v>
      </c>
      <c r="Q54" s="377">
        <f t="shared" si="12"/>
        <v>0.6</v>
      </c>
      <c r="R54" s="322">
        <f>0.0001*5000</f>
        <v>0.5</v>
      </c>
      <c r="S54" s="353">
        <f t="shared" si="10"/>
        <v>0</v>
      </c>
      <c r="T54" s="147">
        <v>1250</v>
      </c>
      <c r="U54" s="20">
        <f t="shared" si="11"/>
        <v>0</v>
      </c>
      <c r="V54" s="52">
        <f t="shared" si="13"/>
        <v>-1250</v>
      </c>
      <c r="W54" s="18"/>
    </row>
    <row r="55" spans="1:24" ht="26.25" customHeight="1" x14ac:dyDescent="0.25">
      <c r="B55" s="15">
        <v>20</v>
      </c>
      <c r="C55" s="6" t="s">
        <v>18</v>
      </c>
      <c r="D55" s="23" t="s">
        <v>9</v>
      </c>
      <c r="E55" s="87" t="s">
        <v>507</v>
      </c>
      <c r="F55" s="208" t="s">
        <v>184</v>
      </c>
      <c r="G55" s="48" t="s">
        <v>0</v>
      </c>
      <c r="H55" s="39"/>
      <c r="I55" s="360">
        <v>0</v>
      </c>
      <c r="J55" s="39">
        <f t="shared" si="0"/>
        <v>10000</v>
      </c>
      <c r="K55" s="309">
        <f>Q55*0.8</f>
        <v>0.42</v>
      </c>
      <c r="L55" s="155" t="s">
        <v>801</v>
      </c>
      <c r="M55" s="279">
        <v>5000</v>
      </c>
      <c r="N55" s="503">
        <v>5000</v>
      </c>
      <c r="O55" s="309">
        <f t="shared" si="14"/>
        <v>2100</v>
      </c>
      <c r="P55" s="235" t="str">
        <f t="shared" si="15"/>
        <v>П2х3.5х3.8 DFM</v>
      </c>
      <c r="Q55" s="306">
        <f t="shared" si="12"/>
        <v>0.52</v>
      </c>
      <c r="R55" s="319">
        <v>0.43</v>
      </c>
      <c r="S55" s="353">
        <f t="shared" si="10"/>
        <v>4300</v>
      </c>
      <c r="T55" s="20">
        <v>31000</v>
      </c>
      <c r="U55" s="20">
        <f t="shared" si="11"/>
        <v>5000</v>
      </c>
      <c r="V55" s="52">
        <f t="shared" si="13"/>
        <v>5000</v>
      </c>
      <c r="W55" s="20">
        <v>31000</v>
      </c>
      <c r="X55" s="10">
        <v>20000</v>
      </c>
    </row>
    <row r="56" spans="1:24" ht="26.25" hidden="1" customHeight="1" x14ac:dyDescent="0.25">
      <c r="B56" s="15"/>
      <c r="C56" s="6" t="s">
        <v>18</v>
      </c>
      <c r="D56" s="23" t="s">
        <v>9</v>
      </c>
      <c r="E56" s="87" t="s">
        <v>390</v>
      </c>
      <c r="F56" s="208">
        <v>1464</v>
      </c>
      <c r="G56" s="48" t="s">
        <v>0</v>
      </c>
      <c r="H56" s="39"/>
      <c r="I56" s="360">
        <v>0</v>
      </c>
      <c r="J56" s="39">
        <f t="shared" si="0"/>
        <v>0</v>
      </c>
      <c r="K56" s="309">
        <f t="shared" ref="K56:K63" si="16">Q56*0.8</f>
        <v>1.06</v>
      </c>
      <c r="L56" s="456" t="s">
        <v>739</v>
      </c>
      <c r="M56" s="279"/>
      <c r="N56" s="503"/>
      <c r="O56" s="309">
        <f t="shared" si="14"/>
        <v>0</v>
      </c>
      <c r="P56" s="235" t="str">
        <f t="shared" si="15"/>
        <v xml:space="preserve">П3,5х2х4 </v>
      </c>
      <c r="Q56" s="306">
        <f t="shared" si="12"/>
        <v>1.32</v>
      </c>
      <c r="R56" s="319">
        <v>1.1000000000000001</v>
      </c>
      <c r="S56" s="353">
        <f t="shared" si="10"/>
        <v>0</v>
      </c>
      <c r="T56" s="20"/>
      <c r="U56" s="20">
        <f t="shared" si="11"/>
        <v>0</v>
      </c>
      <c r="V56" s="52"/>
      <c r="W56" s="20"/>
    </row>
    <row r="57" spans="1:24" ht="26.25" customHeight="1" x14ac:dyDescent="0.25">
      <c r="B57" s="11">
        <v>21</v>
      </c>
      <c r="C57" s="6" t="s">
        <v>18</v>
      </c>
      <c r="D57" s="23" t="s">
        <v>9</v>
      </c>
      <c r="E57" s="237" t="s">
        <v>90</v>
      </c>
      <c r="F57" s="208">
        <v>403</v>
      </c>
      <c r="G57" s="48" t="s">
        <v>0</v>
      </c>
      <c r="H57" s="39"/>
      <c r="I57" s="360">
        <v>0</v>
      </c>
      <c r="J57" s="39">
        <f t="shared" si="0"/>
        <v>720</v>
      </c>
      <c r="K57" s="309">
        <f t="shared" si="16"/>
        <v>0.68</v>
      </c>
      <c r="L57" s="292"/>
      <c r="M57" s="279">
        <v>220</v>
      </c>
      <c r="N57" s="503">
        <v>500</v>
      </c>
      <c r="O57" s="309">
        <f t="shared" si="14"/>
        <v>340</v>
      </c>
      <c r="P57" s="235" t="str">
        <f t="shared" si="15"/>
        <v>П4,8х4х3,8 ЭПГ110.150</v>
      </c>
      <c r="Q57" s="306">
        <f t="shared" si="12"/>
        <v>0.85</v>
      </c>
      <c r="R57" s="320">
        <v>0.71</v>
      </c>
      <c r="S57" s="353">
        <f t="shared" si="10"/>
        <v>511.2</v>
      </c>
      <c r="T57" s="20">
        <f>7680-118</f>
        <v>7562</v>
      </c>
      <c r="U57" s="20">
        <f t="shared" si="11"/>
        <v>220</v>
      </c>
      <c r="V57" s="52">
        <f t="shared" ref="V57:V65" si="17">W57-T57+U57</f>
        <v>-680</v>
      </c>
      <c r="W57" s="148">
        <f>7680-118-900</f>
        <v>6662</v>
      </c>
    </row>
    <row r="58" spans="1:24" ht="26.25" hidden="1" customHeight="1" x14ac:dyDescent="0.25">
      <c r="B58" s="11"/>
      <c r="C58" s="6" t="s">
        <v>18</v>
      </c>
      <c r="D58" s="23" t="s">
        <v>9</v>
      </c>
      <c r="E58" s="87" t="s">
        <v>552</v>
      </c>
      <c r="F58" s="208">
        <v>1353</v>
      </c>
      <c r="G58" s="48"/>
      <c r="H58" s="39"/>
      <c r="I58" s="360">
        <v>0</v>
      </c>
      <c r="J58" s="39">
        <f t="shared" si="0"/>
        <v>0</v>
      </c>
      <c r="K58" s="309">
        <f t="shared" si="16"/>
        <v>15.36</v>
      </c>
      <c r="L58" s="213"/>
      <c r="M58" s="279"/>
      <c r="N58" s="39"/>
      <c r="O58" s="467">
        <f t="shared" si="14"/>
        <v>0</v>
      </c>
      <c r="P58" s="441" t="str">
        <f t="shared" si="15"/>
        <v>П5,5х1,5х5,5</v>
      </c>
      <c r="Q58" s="306">
        <f t="shared" si="12"/>
        <v>19.2</v>
      </c>
      <c r="R58" s="320">
        <v>16</v>
      </c>
      <c r="S58" s="353">
        <f t="shared" si="10"/>
        <v>0</v>
      </c>
      <c r="T58" s="20"/>
      <c r="U58" s="20">
        <f t="shared" si="11"/>
        <v>0</v>
      </c>
      <c r="V58" s="52">
        <f t="shared" si="17"/>
        <v>0</v>
      </c>
      <c r="W58" s="20"/>
    </row>
    <row r="59" spans="1:24" ht="26.25" hidden="1" customHeight="1" x14ac:dyDescent="0.25">
      <c r="B59" s="11"/>
      <c r="C59" s="6" t="s">
        <v>18</v>
      </c>
      <c r="D59" s="23" t="s">
        <v>9</v>
      </c>
      <c r="E59" s="87" t="s">
        <v>553</v>
      </c>
      <c r="F59" s="208">
        <v>1353</v>
      </c>
      <c r="G59" s="48"/>
      <c r="H59" s="39"/>
      <c r="I59" s="360">
        <v>0</v>
      </c>
      <c r="J59" s="39">
        <f t="shared" si="0"/>
        <v>0</v>
      </c>
      <c r="K59" s="309">
        <f t="shared" si="16"/>
        <v>15.36</v>
      </c>
      <c r="L59" s="213"/>
      <c r="M59" s="279"/>
      <c r="N59" s="39"/>
      <c r="O59" s="360">
        <f t="shared" si="14"/>
        <v>0</v>
      </c>
      <c r="P59" s="51" t="str">
        <f t="shared" si="15"/>
        <v>П5,5х2х5,5</v>
      </c>
      <c r="Q59" s="306">
        <f t="shared" si="12"/>
        <v>19.2</v>
      </c>
      <c r="R59" s="320">
        <v>16</v>
      </c>
      <c r="S59" s="353">
        <f t="shared" si="10"/>
        <v>0</v>
      </c>
      <c r="T59" s="20"/>
      <c r="U59" s="20">
        <f t="shared" si="11"/>
        <v>0</v>
      </c>
      <c r="V59" s="52">
        <f t="shared" si="17"/>
        <v>0</v>
      </c>
      <c r="W59" s="20"/>
    </row>
    <row r="60" spans="1:24" ht="26.25" hidden="1" customHeight="1" x14ac:dyDescent="0.25">
      <c r="B60" s="11"/>
      <c r="C60" s="6" t="s">
        <v>18</v>
      </c>
      <c r="D60" s="23" t="s">
        <v>9</v>
      </c>
      <c r="E60" s="87" t="s">
        <v>554</v>
      </c>
      <c r="F60" s="208">
        <v>1353</v>
      </c>
      <c r="G60" s="48"/>
      <c r="H60" s="39"/>
      <c r="I60" s="360">
        <v>0</v>
      </c>
      <c r="J60" s="39">
        <f t="shared" si="0"/>
        <v>0</v>
      </c>
      <c r="K60" s="309">
        <f t="shared" si="16"/>
        <v>15.36</v>
      </c>
      <c r="L60" s="213"/>
      <c r="M60" s="279"/>
      <c r="N60" s="39"/>
      <c r="O60" s="360">
        <f t="shared" si="14"/>
        <v>0</v>
      </c>
      <c r="P60" s="442" t="str">
        <f t="shared" si="15"/>
        <v>П5,5х2,5х5,5</v>
      </c>
      <c r="Q60" s="306">
        <f t="shared" si="12"/>
        <v>19.2</v>
      </c>
      <c r="R60" s="320">
        <v>16</v>
      </c>
      <c r="S60" s="353">
        <f t="shared" si="10"/>
        <v>0</v>
      </c>
      <c r="T60" s="20"/>
      <c r="U60" s="20">
        <f t="shared" si="11"/>
        <v>0</v>
      </c>
      <c r="V60" s="52">
        <f t="shared" si="17"/>
        <v>0</v>
      </c>
      <c r="W60" s="20"/>
    </row>
    <row r="61" spans="1:24" ht="26.25" hidden="1" customHeight="1" x14ac:dyDescent="0.25">
      <c r="B61" s="11"/>
      <c r="C61" s="6" t="s">
        <v>18</v>
      </c>
      <c r="D61" s="23" t="s">
        <v>9</v>
      </c>
      <c r="E61" s="237" t="s">
        <v>323</v>
      </c>
      <c r="F61" s="208">
        <v>997</v>
      </c>
      <c r="G61" s="48"/>
      <c r="H61" s="39"/>
      <c r="I61" s="360">
        <v>0</v>
      </c>
      <c r="J61" s="39">
        <f t="shared" si="0"/>
        <v>0</v>
      </c>
      <c r="K61" s="309">
        <f t="shared" si="16"/>
        <v>0.9</v>
      </c>
      <c r="L61" s="233"/>
      <c r="M61" s="279"/>
      <c r="N61" s="503"/>
      <c r="O61" s="309">
        <f t="shared" si="14"/>
        <v>0</v>
      </c>
      <c r="P61" s="235" t="str">
        <f t="shared" si="15"/>
        <v>П5х5х4</v>
      </c>
      <c r="Q61" s="306">
        <f t="shared" si="12"/>
        <v>1.1200000000000001</v>
      </c>
      <c r="R61" s="320">
        <v>0.93</v>
      </c>
      <c r="S61" s="353">
        <f t="shared" si="10"/>
        <v>0</v>
      </c>
      <c r="T61" s="20">
        <v>3157</v>
      </c>
      <c r="U61" s="20">
        <f t="shared" si="11"/>
        <v>0</v>
      </c>
      <c r="V61" s="52">
        <f t="shared" si="17"/>
        <v>0</v>
      </c>
      <c r="W61" s="20">
        <v>3157</v>
      </c>
    </row>
    <row r="62" spans="1:24" ht="26.25" hidden="1" customHeight="1" x14ac:dyDescent="0.25">
      <c r="B62" s="11"/>
      <c r="C62" s="6" t="s">
        <v>18</v>
      </c>
      <c r="D62" s="23" t="s">
        <v>9</v>
      </c>
      <c r="E62" s="237" t="s">
        <v>324</v>
      </c>
      <c r="F62" s="384">
        <v>996</v>
      </c>
      <c r="G62" s="48"/>
      <c r="H62" s="39"/>
      <c r="I62" s="360">
        <v>0</v>
      </c>
      <c r="J62" s="39">
        <f t="shared" si="0"/>
        <v>0</v>
      </c>
      <c r="K62" s="309">
        <f t="shared" si="16"/>
        <v>0.86</v>
      </c>
      <c r="L62" s="213"/>
      <c r="M62" s="279"/>
      <c r="N62" s="39"/>
      <c r="O62" s="469">
        <f t="shared" si="14"/>
        <v>0</v>
      </c>
      <c r="P62" s="264" t="str">
        <f t="shared" si="15"/>
        <v>П5х5х5</v>
      </c>
      <c r="Q62" s="306">
        <f t="shared" si="12"/>
        <v>1.08</v>
      </c>
      <c r="R62" s="320">
        <v>0.9</v>
      </c>
      <c r="S62" s="353">
        <f t="shared" si="10"/>
        <v>0</v>
      </c>
      <c r="T62" s="20">
        <v>76</v>
      </c>
      <c r="U62" s="20">
        <f t="shared" si="11"/>
        <v>0</v>
      </c>
      <c r="V62" s="52">
        <f t="shared" si="17"/>
        <v>0</v>
      </c>
      <c r="W62" s="20">
        <v>76</v>
      </c>
    </row>
    <row r="63" spans="1:24" ht="26.25" hidden="1" customHeight="1" x14ac:dyDescent="0.25">
      <c r="B63" s="11"/>
      <c r="C63" s="6" t="s">
        <v>18</v>
      </c>
      <c r="D63" s="23" t="s">
        <v>9</v>
      </c>
      <c r="E63" s="237" t="s">
        <v>489</v>
      </c>
      <c r="F63" s="208">
        <v>505</v>
      </c>
      <c r="G63" s="12" t="s">
        <v>0</v>
      </c>
      <c r="H63" s="39"/>
      <c r="I63" s="360">
        <v>0</v>
      </c>
      <c r="J63" s="39">
        <f t="shared" si="0"/>
        <v>0</v>
      </c>
      <c r="K63" s="309">
        <f t="shared" si="16"/>
        <v>0.28000000000000003</v>
      </c>
      <c r="L63" s="233" t="s">
        <v>866</v>
      </c>
      <c r="M63" s="279"/>
      <c r="N63" s="503"/>
      <c r="O63" s="309">
        <f t="shared" si="14"/>
        <v>0</v>
      </c>
      <c r="P63" s="235" t="str">
        <f t="shared" si="15"/>
        <v>П 5х5х20 (ЭПГ110.156)</v>
      </c>
      <c r="Q63" s="306">
        <f t="shared" si="12"/>
        <v>0.35</v>
      </c>
      <c r="R63" s="320">
        <v>0.28999999999999998</v>
      </c>
      <c r="S63" s="353">
        <f t="shared" si="10"/>
        <v>0</v>
      </c>
      <c r="T63" s="70"/>
      <c r="U63" s="20">
        <f t="shared" si="11"/>
        <v>0</v>
      </c>
      <c r="V63" s="52">
        <f t="shared" si="17"/>
        <v>0</v>
      </c>
      <c r="W63" s="20"/>
    </row>
    <row r="64" spans="1:24" ht="26.25" hidden="1" customHeight="1" x14ac:dyDescent="0.25">
      <c r="B64" s="11"/>
      <c r="C64" s="6" t="s">
        <v>18</v>
      </c>
      <c r="D64" s="23" t="s">
        <v>9</v>
      </c>
      <c r="E64" s="237" t="s">
        <v>646</v>
      </c>
      <c r="F64" s="390">
        <v>922</v>
      </c>
      <c r="G64" s="48"/>
      <c r="H64" s="39"/>
      <c r="I64" s="360"/>
      <c r="J64" s="39">
        <f t="shared" si="0"/>
        <v>0</v>
      </c>
      <c r="K64" s="309">
        <f>R64*0.8</f>
        <v>0.76</v>
      </c>
      <c r="L64" s="233"/>
      <c r="M64" s="279"/>
      <c r="N64" s="39"/>
      <c r="O64" s="467"/>
      <c r="P64" s="51" t="str">
        <f t="shared" si="15"/>
        <v>П17х8х7</v>
      </c>
      <c r="Q64" s="306">
        <f t="shared" si="12"/>
        <v>1.1399999999999999</v>
      </c>
      <c r="R64" s="320">
        <v>0.95</v>
      </c>
      <c r="S64" s="353">
        <f t="shared" si="10"/>
        <v>0</v>
      </c>
      <c r="T64" s="148">
        <v>20000</v>
      </c>
      <c r="U64" s="20">
        <f t="shared" si="11"/>
        <v>0</v>
      </c>
      <c r="V64" s="52">
        <f t="shared" si="17"/>
        <v>0</v>
      </c>
      <c r="W64" s="444">
        <v>20000</v>
      </c>
    </row>
    <row r="65" spans="1:40" ht="26.25" customHeight="1" x14ac:dyDescent="0.25">
      <c r="B65" s="14">
        <v>22</v>
      </c>
      <c r="C65" s="6" t="s">
        <v>18</v>
      </c>
      <c r="D65" s="23" t="s">
        <v>9</v>
      </c>
      <c r="E65" s="237" t="s">
        <v>508</v>
      </c>
      <c r="F65" s="208">
        <v>1239</v>
      </c>
      <c r="G65" s="12" t="s">
        <v>0</v>
      </c>
      <c r="H65" s="39">
        <v>1000</v>
      </c>
      <c r="I65" s="360">
        <v>200</v>
      </c>
      <c r="J65" s="39">
        <f t="shared" si="0"/>
        <v>0</v>
      </c>
      <c r="K65" s="309">
        <f t="shared" ref="K65:K72" si="18">Q65*0.8</f>
        <v>0.2</v>
      </c>
      <c r="L65" s="205" t="s">
        <v>677</v>
      </c>
      <c r="M65" s="279"/>
      <c r="N65" s="39">
        <v>1000</v>
      </c>
      <c r="O65" s="309">
        <f t="shared" ref="O65:O75" si="19">K65*N65</f>
        <v>200</v>
      </c>
      <c r="P65" s="235" t="str">
        <f t="shared" si="15"/>
        <v>П7х8х17</v>
      </c>
      <c r="Q65" s="306">
        <f t="shared" si="12"/>
        <v>0.25</v>
      </c>
      <c r="R65" s="320">
        <v>0.21</v>
      </c>
      <c r="S65" s="353">
        <f t="shared" si="10"/>
        <v>0</v>
      </c>
      <c r="T65" s="148">
        <v>316</v>
      </c>
      <c r="U65" s="20">
        <f t="shared" si="11"/>
        <v>0</v>
      </c>
      <c r="V65" s="52">
        <f t="shared" si="17"/>
        <v>0</v>
      </c>
      <c r="W65" s="20">
        <v>316</v>
      </c>
    </row>
    <row r="66" spans="1:40" ht="26.25" hidden="1" customHeight="1" x14ac:dyDescent="0.25">
      <c r="B66" s="14"/>
      <c r="C66" s="6" t="s">
        <v>18</v>
      </c>
      <c r="D66" s="23" t="s">
        <v>9</v>
      </c>
      <c r="E66" s="237" t="s">
        <v>604</v>
      </c>
      <c r="F66" s="382">
        <v>922</v>
      </c>
      <c r="G66" s="48"/>
      <c r="H66" s="39"/>
      <c r="I66" s="360">
        <v>0</v>
      </c>
      <c r="J66" s="39">
        <f t="shared" si="0"/>
        <v>0</v>
      </c>
      <c r="K66" s="309">
        <f t="shared" si="18"/>
        <v>0.91</v>
      </c>
      <c r="L66" s="205"/>
      <c r="M66" s="279"/>
      <c r="N66" s="503"/>
      <c r="O66" s="309">
        <f t="shared" si="19"/>
        <v>0</v>
      </c>
      <c r="P66" s="235" t="str">
        <f t="shared" si="15"/>
        <v>П7х7х17</v>
      </c>
      <c r="Q66" s="306">
        <f t="shared" si="12"/>
        <v>1.1399999999999999</v>
      </c>
      <c r="R66" s="320">
        <v>0.95</v>
      </c>
      <c r="S66" s="353">
        <f t="shared" si="10"/>
        <v>0</v>
      </c>
      <c r="T66" s="148">
        <f>145+200</f>
        <v>345</v>
      </c>
      <c r="U66" s="20">
        <f t="shared" si="11"/>
        <v>0</v>
      </c>
      <c r="V66" s="52"/>
      <c r="W66" s="20">
        <f>145+200</f>
        <v>345</v>
      </c>
    </row>
    <row r="67" spans="1:40" ht="26.25" customHeight="1" x14ac:dyDescent="0.25">
      <c r="B67" s="11">
        <v>23</v>
      </c>
      <c r="C67" s="6" t="s">
        <v>18</v>
      </c>
      <c r="D67" s="23" t="s">
        <v>9</v>
      </c>
      <c r="E67" s="237" t="s">
        <v>100</v>
      </c>
      <c r="F67" s="208">
        <v>579</v>
      </c>
      <c r="G67" s="12" t="s">
        <v>0</v>
      </c>
      <c r="H67" s="39"/>
      <c r="I67" s="360">
        <v>0</v>
      </c>
      <c r="J67" s="39">
        <f t="shared" si="0"/>
        <v>700</v>
      </c>
      <c r="K67" s="309">
        <f t="shared" si="18"/>
        <v>0.54</v>
      </c>
      <c r="L67" s="218" t="s">
        <v>939</v>
      </c>
      <c r="M67" s="279">
        <v>200</v>
      </c>
      <c r="N67" s="503">
        <v>500</v>
      </c>
      <c r="O67" s="309">
        <f t="shared" si="19"/>
        <v>270</v>
      </c>
      <c r="P67" s="235" t="str">
        <f t="shared" si="15"/>
        <v>П10х10х7</v>
      </c>
      <c r="Q67" s="306">
        <f t="shared" si="12"/>
        <v>0.68</v>
      </c>
      <c r="R67" s="319">
        <v>0.56999999999999995</v>
      </c>
      <c r="S67" s="353">
        <f t="shared" si="10"/>
        <v>399</v>
      </c>
      <c r="T67" s="148">
        <v>512</v>
      </c>
      <c r="U67" s="20">
        <f t="shared" si="11"/>
        <v>200</v>
      </c>
      <c r="V67" s="52">
        <f t="shared" ref="V67:V110" si="20">W67-T67+U67</f>
        <v>200</v>
      </c>
      <c r="W67" s="20">
        <v>512</v>
      </c>
    </row>
    <row r="68" spans="1:40" s="5" customFormat="1" ht="26.25" customHeight="1" x14ac:dyDescent="0.25">
      <c r="B68" s="11">
        <v>24</v>
      </c>
      <c r="C68" s="6" t="s">
        <v>18</v>
      </c>
      <c r="D68" s="23" t="s">
        <v>9</v>
      </c>
      <c r="E68" s="239" t="s">
        <v>330</v>
      </c>
      <c r="F68" s="526">
        <v>1323</v>
      </c>
      <c r="G68" s="12" t="s">
        <v>0</v>
      </c>
      <c r="H68" s="39">
        <v>180</v>
      </c>
      <c r="I68" s="360">
        <v>432</v>
      </c>
      <c r="J68" s="39">
        <f t="shared" si="0"/>
        <v>0</v>
      </c>
      <c r="K68" s="309">
        <f t="shared" si="18"/>
        <v>2.4</v>
      </c>
      <c r="L68" s="205"/>
      <c r="M68" s="279"/>
      <c r="N68" s="39">
        <v>180</v>
      </c>
      <c r="O68" s="309">
        <f t="shared" si="19"/>
        <v>432</v>
      </c>
      <c r="P68" s="235" t="str">
        <f t="shared" si="15"/>
        <v>П15х9х5</v>
      </c>
      <c r="Q68" s="306">
        <f t="shared" si="12"/>
        <v>3</v>
      </c>
      <c r="R68" s="331">
        <v>2.5</v>
      </c>
      <c r="S68" s="353">
        <f t="shared" si="10"/>
        <v>0</v>
      </c>
      <c r="T68" s="148">
        <v>95</v>
      </c>
      <c r="U68" s="20">
        <f t="shared" si="11"/>
        <v>0</v>
      </c>
      <c r="V68" s="52">
        <f t="shared" si="20"/>
        <v>0</v>
      </c>
      <c r="W68" s="20">
        <v>95</v>
      </c>
    </row>
    <row r="69" spans="1:40" ht="26.25" hidden="1" customHeight="1" x14ac:dyDescent="0.25">
      <c r="B69" s="11"/>
      <c r="C69" s="6" t="s">
        <v>18</v>
      </c>
      <c r="D69" s="23" t="s">
        <v>9</v>
      </c>
      <c r="E69" s="239" t="s">
        <v>217</v>
      </c>
      <c r="F69" s="211" t="s">
        <v>126</v>
      </c>
      <c r="G69" s="12" t="s">
        <v>0</v>
      </c>
      <c r="H69" s="39"/>
      <c r="I69" s="360">
        <v>0</v>
      </c>
      <c r="J69" s="39">
        <f t="shared" si="0"/>
        <v>0</v>
      </c>
      <c r="K69" s="309">
        <f t="shared" si="18"/>
        <v>0</v>
      </c>
      <c r="L69" s="535"/>
      <c r="M69" s="279"/>
      <c r="N69" s="39"/>
      <c r="O69" s="309">
        <f t="shared" si="19"/>
        <v>0</v>
      </c>
      <c r="P69" s="443" t="str">
        <f t="shared" si="15"/>
        <v>П24х10х5 (Метиз)</v>
      </c>
      <c r="Q69" s="377">
        <f t="shared" si="12"/>
        <v>0</v>
      </c>
      <c r="R69" s="320"/>
      <c r="S69" s="353">
        <f t="shared" si="10"/>
        <v>0</v>
      </c>
      <c r="T69" s="20"/>
      <c r="U69" s="20">
        <f t="shared" si="11"/>
        <v>0</v>
      </c>
      <c r="V69" s="52">
        <f t="shared" si="20"/>
        <v>0</v>
      </c>
      <c r="W69" s="20"/>
    </row>
    <row r="70" spans="1:40" ht="26.25" customHeight="1" x14ac:dyDescent="0.25">
      <c r="B70" s="11">
        <v>25</v>
      </c>
      <c r="C70" s="6" t="s">
        <v>18</v>
      </c>
      <c r="D70" s="23" t="s">
        <v>9</v>
      </c>
      <c r="E70" s="237" t="s">
        <v>5</v>
      </c>
      <c r="F70" s="208" t="s">
        <v>43</v>
      </c>
      <c r="G70" s="12" t="s">
        <v>0</v>
      </c>
      <c r="H70" s="39"/>
      <c r="I70" s="360">
        <v>0</v>
      </c>
      <c r="J70" s="39">
        <f t="shared" ref="J70:J133" si="21">M70+N70-H70</f>
        <v>19600</v>
      </c>
      <c r="K70" s="309">
        <f t="shared" si="18"/>
        <v>0.11</v>
      </c>
      <c r="L70" s="233" t="s">
        <v>802</v>
      </c>
      <c r="M70" s="280">
        <v>9800</v>
      </c>
      <c r="N70" s="503">
        <v>9800</v>
      </c>
      <c r="O70" s="309">
        <f t="shared" si="19"/>
        <v>1078</v>
      </c>
      <c r="P70" s="235" t="str">
        <f t="shared" si="15"/>
        <v>МЛП 1б-04</v>
      </c>
      <c r="Q70" s="306">
        <f t="shared" si="12"/>
        <v>0.14000000000000001</v>
      </c>
      <c r="R70" s="319">
        <f>1200*0.0001</f>
        <v>0.12</v>
      </c>
      <c r="S70" s="353">
        <f t="shared" si="10"/>
        <v>2352</v>
      </c>
      <c r="T70" s="148">
        <f>5*1960+100000</f>
        <v>109800</v>
      </c>
      <c r="U70" s="20">
        <f t="shared" ref="U70:U101" si="22">M70</f>
        <v>9800</v>
      </c>
      <c r="V70" s="52">
        <f t="shared" si="20"/>
        <v>-10852</v>
      </c>
      <c r="W70" s="444">
        <f>17*5244</f>
        <v>89148</v>
      </c>
    </row>
    <row r="71" spans="1:40" ht="26.25" hidden="1" customHeight="1" x14ac:dyDescent="0.25">
      <c r="B71" s="14"/>
      <c r="C71" s="6" t="s">
        <v>18</v>
      </c>
      <c r="D71" s="23" t="s">
        <v>9</v>
      </c>
      <c r="E71" s="43" t="s">
        <v>167</v>
      </c>
      <c r="F71" s="208" t="s">
        <v>179</v>
      </c>
      <c r="G71" s="48" t="s">
        <v>0</v>
      </c>
      <c r="H71" s="39"/>
      <c r="I71" s="309">
        <v>0</v>
      </c>
      <c r="J71" s="39">
        <f t="shared" si="21"/>
        <v>0</v>
      </c>
      <c r="K71" s="309">
        <f t="shared" si="18"/>
        <v>0.11</v>
      </c>
      <c r="L71" s="89" t="s">
        <v>454</v>
      </c>
      <c r="M71" s="279"/>
      <c r="N71" s="39"/>
      <c r="O71" s="309">
        <f t="shared" si="19"/>
        <v>0</v>
      </c>
      <c r="P71" s="264" t="str">
        <f t="shared" si="15"/>
        <v>ЭПГ110.166 (16х15х12)</v>
      </c>
      <c r="Q71" s="377">
        <f>R71*1.2</f>
        <v>0.14000000000000001</v>
      </c>
      <c r="R71" s="332">
        <f>1200*0.0001</f>
        <v>0.12</v>
      </c>
      <c r="S71" s="353">
        <f t="shared" ref="S71:S101" si="23">R71*J71</f>
        <v>0</v>
      </c>
      <c r="T71" s="70">
        <f>77*600</f>
        <v>46200</v>
      </c>
      <c r="U71" s="20">
        <f t="shared" si="22"/>
        <v>0</v>
      </c>
      <c r="V71" s="52">
        <f t="shared" si="20"/>
        <v>0</v>
      </c>
      <c r="W71" s="20">
        <f>77*600</f>
        <v>46200</v>
      </c>
    </row>
    <row r="72" spans="1:40" ht="26.25" customHeight="1" x14ac:dyDescent="0.25">
      <c r="B72" s="11">
        <v>26</v>
      </c>
      <c r="C72" s="6" t="s">
        <v>18</v>
      </c>
      <c r="D72" s="23" t="s">
        <v>9</v>
      </c>
      <c r="E72" s="238" t="s">
        <v>250</v>
      </c>
      <c r="F72" s="383">
        <v>998</v>
      </c>
      <c r="G72" s="12" t="s">
        <v>0</v>
      </c>
      <c r="H72" s="39">
        <v>3920</v>
      </c>
      <c r="I72" s="360">
        <v>376.32</v>
      </c>
      <c r="J72" s="39">
        <f t="shared" si="21"/>
        <v>0</v>
      </c>
      <c r="K72" s="309">
        <f t="shared" si="18"/>
        <v>0.15</v>
      </c>
      <c r="L72" s="91"/>
      <c r="M72" s="279">
        <v>1960</v>
      </c>
      <c r="N72" s="39">
        <v>1960</v>
      </c>
      <c r="O72" s="309">
        <f t="shared" si="19"/>
        <v>294</v>
      </c>
      <c r="P72" s="263" t="str">
        <f t="shared" si="15"/>
        <v>П24х10х5,6</v>
      </c>
      <c r="Q72" s="377">
        <f>R72*1.2</f>
        <v>0.19</v>
      </c>
      <c r="R72" s="319">
        <v>0.16</v>
      </c>
      <c r="S72" s="353">
        <f t="shared" si="23"/>
        <v>0</v>
      </c>
      <c r="T72" s="148">
        <v>1960</v>
      </c>
      <c r="U72" s="20">
        <f t="shared" si="22"/>
        <v>1960</v>
      </c>
      <c r="V72" s="52">
        <f t="shared" si="20"/>
        <v>1960</v>
      </c>
      <c r="W72" s="444">
        <v>1960</v>
      </c>
    </row>
    <row r="73" spans="1:40" s="5" customFormat="1" ht="26.25" hidden="1" customHeight="1" x14ac:dyDescent="0.25">
      <c r="B73" s="11"/>
      <c r="C73" s="6" t="s">
        <v>18</v>
      </c>
      <c r="D73" s="23" t="s">
        <v>9</v>
      </c>
      <c r="E73" s="87" t="s">
        <v>728</v>
      </c>
      <c r="F73" s="397">
        <v>1453</v>
      </c>
      <c r="G73" s="12" t="s">
        <v>0</v>
      </c>
      <c r="H73" s="39"/>
      <c r="I73" s="360">
        <v>0</v>
      </c>
      <c r="J73" s="39">
        <f t="shared" si="21"/>
        <v>0</v>
      </c>
      <c r="K73" s="309">
        <f>Q73*0.8</f>
        <v>12</v>
      </c>
      <c r="L73" s="205" t="s">
        <v>741</v>
      </c>
      <c r="M73" s="279"/>
      <c r="N73" s="39"/>
      <c r="O73" s="309">
        <f t="shared" si="19"/>
        <v>0</v>
      </c>
      <c r="P73" s="51" t="str">
        <f t="shared" si="15"/>
        <v>АЮДИ 757.159.001</v>
      </c>
      <c r="Q73" s="377">
        <f>R73*1.2</f>
        <v>15</v>
      </c>
      <c r="R73" s="331">
        <v>12.5</v>
      </c>
      <c r="S73" s="353">
        <f t="shared" si="23"/>
        <v>0</v>
      </c>
      <c r="T73" s="20"/>
      <c r="U73" s="20">
        <f t="shared" si="22"/>
        <v>0</v>
      </c>
      <c r="V73" s="52">
        <f t="shared" si="20"/>
        <v>0</v>
      </c>
      <c r="W73" s="20"/>
    </row>
    <row r="74" spans="1:40" s="5" customFormat="1" ht="26.25" customHeight="1" x14ac:dyDescent="0.25">
      <c r="B74" s="11">
        <v>27</v>
      </c>
      <c r="C74" s="6" t="s">
        <v>18</v>
      </c>
      <c r="D74" s="23" t="s">
        <v>9</v>
      </c>
      <c r="E74" s="237" t="s">
        <v>294</v>
      </c>
      <c r="F74" s="209" t="s">
        <v>42</v>
      </c>
      <c r="G74" s="12" t="s">
        <v>0</v>
      </c>
      <c r="H74" s="39"/>
      <c r="I74" s="360">
        <v>0</v>
      </c>
      <c r="J74" s="39">
        <f t="shared" si="21"/>
        <v>200</v>
      </c>
      <c r="K74" s="309">
        <v>1.36</v>
      </c>
      <c r="L74" s="205"/>
      <c r="M74" s="279">
        <v>200</v>
      </c>
      <c r="N74" s="503"/>
      <c r="O74" s="309">
        <f t="shared" si="19"/>
        <v>0</v>
      </c>
      <c r="P74" s="51" t="str">
        <f t="shared" si="15"/>
        <v>ЦИКС 741611018(П34х19х6)</v>
      </c>
      <c r="Q74" s="377">
        <f>R74*1.2</f>
        <v>2.54</v>
      </c>
      <c r="R74" s="320">
        <v>2.12</v>
      </c>
      <c r="S74" s="353">
        <f t="shared" si="23"/>
        <v>424</v>
      </c>
      <c r="T74" s="20"/>
      <c r="U74" s="20">
        <f t="shared" si="22"/>
        <v>200</v>
      </c>
      <c r="V74" s="52">
        <f t="shared" si="20"/>
        <v>200</v>
      </c>
      <c r="W74" s="20"/>
    </row>
    <row r="75" spans="1:40" ht="26.25" hidden="1" customHeight="1" x14ac:dyDescent="0.25">
      <c r="B75" s="11"/>
      <c r="C75" s="6" t="s">
        <v>18</v>
      </c>
      <c r="D75" s="23" t="s">
        <v>9</v>
      </c>
      <c r="E75" s="239" t="s">
        <v>293</v>
      </c>
      <c r="F75" s="387"/>
      <c r="G75" s="48" t="s">
        <v>0</v>
      </c>
      <c r="H75" s="39">
        <v>0</v>
      </c>
      <c r="I75" s="309">
        <v>0</v>
      </c>
      <c r="J75" s="39">
        <f t="shared" si="21"/>
        <v>0</v>
      </c>
      <c r="K75" s="309">
        <f t="shared" ref="K75:K87" si="24">Q75*0.8</f>
        <v>7.0000000000000007E-2</v>
      </c>
      <c r="L75" s="64"/>
      <c r="M75" s="279"/>
      <c r="N75" s="39">
        <v>0</v>
      </c>
      <c r="O75" s="490">
        <f t="shared" si="19"/>
        <v>0</v>
      </c>
      <c r="P75" s="264" t="str">
        <f t="shared" si="15"/>
        <v xml:space="preserve">малая Фронда П24х12х10 </v>
      </c>
      <c r="Q75" s="377">
        <f>R75*1.2</f>
        <v>0.09</v>
      </c>
      <c r="R75" s="326">
        <v>7.4999999999999997E-2</v>
      </c>
      <c r="S75" s="353">
        <f t="shared" si="23"/>
        <v>0</v>
      </c>
      <c r="T75" s="147">
        <v>10000</v>
      </c>
      <c r="U75" s="20">
        <f t="shared" si="22"/>
        <v>0</v>
      </c>
      <c r="V75" s="52">
        <f t="shared" si="20"/>
        <v>7280</v>
      </c>
      <c r="W75" s="848">
        <f>18*960</f>
        <v>17280</v>
      </c>
    </row>
    <row r="76" spans="1:40" ht="26.25" hidden="1" customHeight="1" x14ac:dyDescent="0.25">
      <c r="B76" s="11"/>
      <c r="C76" s="6" t="s">
        <v>18</v>
      </c>
      <c r="D76" s="23" t="s">
        <v>9</v>
      </c>
      <c r="E76" s="239" t="s">
        <v>620</v>
      </c>
      <c r="F76" s="387"/>
      <c r="G76" s="48"/>
      <c r="H76" s="39"/>
      <c r="I76" s="309"/>
      <c r="J76" s="39">
        <f t="shared" si="21"/>
        <v>0</v>
      </c>
      <c r="K76" s="309">
        <f t="shared" si="24"/>
        <v>0</v>
      </c>
      <c r="L76" s="64"/>
      <c r="M76" s="279"/>
      <c r="N76" s="39"/>
      <c r="O76" s="497"/>
      <c r="P76" s="264" t="str">
        <f t="shared" si="15"/>
        <v>большая Фронда</v>
      </c>
      <c r="Q76" s="377"/>
      <c r="R76" s="316"/>
      <c r="S76" s="353">
        <f t="shared" si="23"/>
        <v>0</v>
      </c>
      <c r="T76" s="148">
        <f>25*1700</f>
        <v>42500</v>
      </c>
      <c r="U76" s="20">
        <f t="shared" si="22"/>
        <v>0</v>
      </c>
      <c r="V76" s="52">
        <f t="shared" si="20"/>
        <v>-20000</v>
      </c>
      <c r="W76" s="444">
        <f>15*1500</f>
        <v>22500</v>
      </c>
      <c r="X76" s="4"/>
    </row>
    <row r="77" spans="1:40" ht="38.25" customHeight="1" x14ac:dyDescent="0.25">
      <c r="B77" s="14">
        <v>28</v>
      </c>
      <c r="C77" s="6" t="s">
        <v>18</v>
      </c>
      <c r="D77" s="23" t="s">
        <v>9</v>
      </c>
      <c r="E77" s="465" t="s">
        <v>619</v>
      </c>
      <c r="F77" s="208">
        <v>325</v>
      </c>
      <c r="G77" s="12" t="s">
        <v>0</v>
      </c>
      <c r="H77" s="39">
        <v>3200</v>
      </c>
      <c r="I77" s="309">
        <v>672</v>
      </c>
      <c r="J77" s="39">
        <f t="shared" si="21"/>
        <v>0</v>
      </c>
      <c r="K77" s="309">
        <f t="shared" si="24"/>
        <v>0.21</v>
      </c>
      <c r="L77" s="233" t="s">
        <v>829</v>
      </c>
      <c r="M77" s="279"/>
      <c r="N77" s="39">
        <v>3200</v>
      </c>
      <c r="O77" s="309">
        <f t="shared" ref="O77:O90" si="25">K77*N77</f>
        <v>672</v>
      </c>
      <c r="P77" s="235" t="str">
        <f t="shared" si="15"/>
        <v>ЭПГ 110.094 (П24х16х10)-Чебоксары</v>
      </c>
      <c r="Q77" s="377">
        <f t="shared" ref="Q77:Q110" si="26">R77*1.2</f>
        <v>0.26</v>
      </c>
      <c r="R77" s="338">
        <f>6.6*0.034</f>
        <v>0.22</v>
      </c>
      <c r="S77" s="353">
        <f t="shared" si="23"/>
        <v>0</v>
      </c>
      <c r="T77" s="70">
        <f>4*1700</f>
        <v>6800</v>
      </c>
      <c r="U77" s="20">
        <f t="shared" si="22"/>
        <v>0</v>
      </c>
      <c r="V77" s="52">
        <f t="shared" si="20"/>
        <v>-2000</v>
      </c>
      <c r="W77" s="444">
        <f>6*800</f>
        <v>4800</v>
      </c>
    </row>
    <row r="78" spans="1:40" s="4" customFormat="1" ht="26.25" hidden="1" customHeight="1" x14ac:dyDescent="0.25">
      <c r="A78" s="10"/>
      <c r="B78" s="11"/>
      <c r="C78" s="6" t="s">
        <v>18</v>
      </c>
      <c r="D78" s="23" t="s">
        <v>9</v>
      </c>
      <c r="E78" s="212" t="s">
        <v>280</v>
      </c>
      <c r="F78" s="382" t="s">
        <v>491</v>
      </c>
      <c r="G78" s="48" t="s">
        <v>0</v>
      </c>
      <c r="H78" s="39"/>
      <c r="I78" s="360">
        <v>0</v>
      </c>
      <c r="J78" s="39">
        <f t="shared" si="21"/>
        <v>0</v>
      </c>
      <c r="K78" s="309">
        <f t="shared" si="24"/>
        <v>0.21</v>
      </c>
      <c r="L78" s="155"/>
      <c r="M78" s="279"/>
      <c r="N78" s="39"/>
      <c r="O78" s="467">
        <f t="shared" si="25"/>
        <v>0</v>
      </c>
      <c r="P78" s="264" t="str">
        <f t="shared" si="15"/>
        <v>П34х19х3</v>
      </c>
      <c r="Q78" s="306">
        <f t="shared" si="26"/>
        <v>0.26</v>
      </c>
      <c r="R78" s="321">
        <v>0.22</v>
      </c>
      <c r="S78" s="353">
        <f t="shared" si="23"/>
        <v>0</v>
      </c>
      <c r="T78" s="20"/>
      <c r="U78" s="20">
        <f t="shared" si="22"/>
        <v>0</v>
      </c>
      <c r="V78" s="52">
        <f t="shared" si="20"/>
        <v>0</v>
      </c>
      <c r="W78" s="2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1:40" ht="26.25" customHeight="1" x14ac:dyDescent="0.25">
      <c r="B79" s="14">
        <v>29</v>
      </c>
      <c r="C79" s="6" t="s">
        <v>18</v>
      </c>
      <c r="D79" s="23" t="s">
        <v>9</v>
      </c>
      <c r="E79" s="43" t="s">
        <v>252</v>
      </c>
      <c r="F79" s="208">
        <v>1172</v>
      </c>
      <c r="G79" s="12" t="s">
        <v>0</v>
      </c>
      <c r="H79" s="39">
        <v>19840</v>
      </c>
      <c r="I79" s="360">
        <v>4166.3999999999996</v>
      </c>
      <c r="J79" s="39">
        <f t="shared" si="21"/>
        <v>3200</v>
      </c>
      <c r="K79" s="309">
        <f t="shared" si="24"/>
        <v>0.22</v>
      </c>
      <c r="L79" s="154"/>
      <c r="M79" s="279">
        <v>3200</v>
      </c>
      <c r="N79" s="503">
        <v>19840</v>
      </c>
      <c r="O79" s="309">
        <f t="shared" si="25"/>
        <v>4364.8</v>
      </c>
      <c r="P79" s="235" t="str">
        <f t="shared" si="15"/>
        <v>П30х15х10</v>
      </c>
      <c r="Q79" s="377">
        <f t="shared" si="26"/>
        <v>0.28000000000000003</v>
      </c>
      <c r="R79" s="320">
        <f>6.45*0.035</f>
        <v>0.23</v>
      </c>
      <c r="S79" s="353">
        <f t="shared" si="23"/>
        <v>736</v>
      </c>
      <c r="T79" s="18">
        <f>42*640</f>
        <v>26880</v>
      </c>
      <c r="U79" s="20">
        <f t="shared" si="22"/>
        <v>3200</v>
      </c>
      <c r="V79" s="52">
        <f t="shared" si="20"/>
        <v>-7680</v>
      </c>
      <c r="W79" s="848">
        <f>25*640</f>
        <v>16000</v>
      </c>
    </row>
    <row r="80" spans="1:40" ht="26.25" hidden="1" customHeight="1" x14ac:dyDescent="0.25">
      <c r="B80" s="14"/>
      <c r="C80" s="6" t="s">
        <v>18</v>
      </c>
      <c r="D80" s="23" t="s">
        <v>9</v>
      </c>
      <c r="E80" s="212" t="s">
        <v>233</v>
      </c>
      <c r="F80" s="522">
        <v>850</v>
      </c>
      <c r="G80" s="48"/>
      <c r="H80" s="39"/>
      <c r="I80" s="309">
        <v>0</v>
      </c>
      <c r="J80" s="39">
        <f t="shared" si="21"/>
        <v>0</v>
      </c>
      <c r="K80" s="309">
        <f t="shared" si="24"/>
        <v>1.95</v>
      </c>
      <c r="L80" s="91"/>
      <c r="M80" s="279"/>
      <c r="N80" s="39"/>
      <c r="O80" s="467">
        <f t="shared" si="25"/>
        <v>0</v>
      </c>
      <c r="P80" s="51" t="str">
        <f t="shared" si="15"/>
        <v>П32х18х27</v>
      </c>
      <c r="Q80" s="377">
        <f t="shared" si="26"/>
        <v>2.44</v>
      </c>
      <c r="R80" s="320">
        <v>2.0299999999999998</v>
      </c>
      <c r="S80" s="353">
        <f t="shared" si="23"/>
        <v>0</v>
      </c>
      <c r="T80" s="20"/>
      <c r="U80" s="20">
        <f t="shared" si="22"/>
        <v>0</v>
      </c>
      <c r="V80" s="52">
        <f t="shared" si="20"/>
        <v>0</v>
      </c>
      <c r="W80" s="20"/>
    </row>
    <row r="81" spans="2:23" ht="26.25" hidden="1" customHeight="1" x14ac:dyDescent="0.25">
      <c r="B81" s="14"/>
      <c r="C81" s="6" t="s">
        <v>18</v>
      </c>
      <c r="D81" s="23" t="s">
        <v>9</v>
      </c>
      <c r="E81" s="212" t="s">
        <v>166</v>
      </c>
      <c r="F81" s="522">
        <v>849</v>
      </c>
      <c r="G81" s="48"/>
      <c r="H81" s="39"/>
      <c r="I81" s="309">
        <v>0</v>
      </c>
      <c r="J81" s="39">
        <f t="shared" si="21"/>
        <v>0</v>
      </c>
      <c r="K81" s="309">
        <f t="shared" si="24"/>
        <v>1.95</v>
      </c>
      <c r="L81" s="91"/>
      <c r="M81" s="279"/>
      <c r="N81" s="39"/>
      <c r="O81" s="360">
        <f t="shared" si="25"/>
        <v>0</v>
      </c>
      <c r="P81" s="51" t="str">
        <f t="shared" si="15"/>
        <v>П32х27х18</v>
      </c>
      <c r="Q81" s="377">
        <f t="shared" si="26"/>
        <v>2.44</v>
      </c>
      <c r="R81" s="320">
        <v>2.0299999999999998</v>
      </c>
      <c r="S81" s="353">
        <f t="shared" si="23"/>
        <v>0</v>
      </c>
      <c r="T81" s="20"/>
      <c r="U81" s="20">
        <f t="shared" si="22"/>
        <v>0</v>
      </c>
      <c r="V81" s="52">
        <f t="shared" si="20"/>
        <v>0</v>
      </c>
      <c r="W81" s="20"/>
    </row>
    <row r="82" spans="2:23" ht="26.25" hidden="1" customHeight="1" x14ac:dyDescent="0.25">
      <c r="B82" s="14"/>
      <c r="C82" s="6" t="s">
        <v>18</v>
      </c>
      <c r="D82" s="23" t="s">
        <v>9</v>
      </c>
      <c r="E82" s="212" t="s">
        <v>603</v>
      </c>
      <c r="F82" s="390">
        <v>851</v>
      </c>
      <c r="G82" s="48"/>
      <c r="H82" s="39"/>
      <c r="I82" s="309">
        <v>0</v>
      </c>
      <c r="J82" s="39">
        <f t="shared" si="21"/>
        <v>0</v>
      </c>
      <c r="K82" s="309">
        <f t="shared" si="24"/>
        <v>2.82</v>
      </c>
      <c r="L82" s="91"/>
      <c r="M82" s="279"/>
      <c r="N82" s="39"/>
      <c r="O82" s="497">
        <f t="shared" si="25"/>
        <v>0</v>
      </c>
      <c r="P82" s="51" t="str">
        <f t="shared" si="15"/>
        <v>П64х27х27</v>
      </c>
      <c r="Q82" s="377">
        <f t="shared" si="26"/>
        <v>3.53</v>
      </c>
      <c r="R82" s="320">
        <v>2.94</v>
      </c>
      <c r="S82" s="353">
        <f t="shared" si="23"/>
        <v>0</v>
      </c>
      <c r="T82" s="20"/>
      <c r="U82" s="20">
        <f t="shared" si="22"/>
        <v>0</v>
      </c>
      <c r="V82" s="52">
        <f t="shared" si="20"/>
        <v>0</v>
      </c>
      <c r="W82" s="20"/>
    </row>
    <row r="83" spans="2:23" ht="26.25" customHeight="1" x14ac:dyDescent="0.25">
      <c r="B83" s="15">
        <v>30</v>
      </c>
      <c r="C83" s="6" t="s">
        <v>18</v>
      </c>
      <c r="D83" s="23" t="s">
        <v>9</v>
      </c>
      <c r="E83" s="237" t="s">
        <v>98</v>
      </c>
      <c r="F83" s="208" t="s">
        <v>94</v>
      </c>
      <c r="G83" s="12" t="s">
        <v>0</v>
      </c>
      <c r="H83" s="39">
        <v>7200</v>
      </c>
      <c r="I83" s="360">
        <v>3024</v>
      </c>
      <c r="J83" s="39">
        <f t="shared" si="21"/>
        <v>0</v>
      </c>
      <c r="K83" s="309">
        <f t="shared" si="24"/>
        <v>0.42</v>
      </c>
      <c r="L83" s="205" t="s">
        <v>742</v>
      </c>
      <c r="M83" s="279"/>
      <c r="N83" s="39">
        <v>7200</v>
      </c>
      <c r="O83" s="309">
        <f t="shared" si="25"/>
        <v>3024</v>
      </c>
      <c r="P83" s="235" t="str">
        <f t="shared" si="15"/>
        <v>П24х18х14 АБПК 757.153.028</v>
      </c>
      <c r="Q83" s="377">
        <f t="shared" si="26"/>
        <v>0.53</v>
      </c>
      <c r="R83" s="319">
        <v>0.44</v>
      </c>
      <c r="S83" s="353">
        <f t="shared" si="23"/>
        <v>0</v>
      </c>
      <c r="T83" s="20">
        <f>45*450+16*450+21*450</f>
        <v>36900</v>
      </c>
      <c r="U83" s="20">
        <f t="shared" si="22"/>
        <v>0</v>
      </c>
      <c r="V83" s="52">
        <f t="shared" si="20"/>
        <v>-22950</v>
      </c>
      <c r="W83" s="444">
        <f>16*450+15*450</f>
        <v>13950</v>
      </c>
    </row>
    <row r="84" spans="2:23" ht="26.25" hidden="1" customHeight="1" x14ac:dyDescent="0.25">
      <c r="B84" s="14"/>
      <c r="C84" s="6" t="s">
        <v>18</v>
      </c>
      <c r="D84" s="23" t="s">
        <v>9</v>
      </c>
      <c r="E84" s="237" t="s">
        <v>557</v>
      </c>
      <c r="F84" s="386">
        <v>1299</v>
      </c>
      <c r="G84" s="48" t="s">
        <v>0</v>
      </c>
      <c r="H84" s="39"/>
      <c r="I84" s="360">
        <v>0</v>
      </c>
      <c r="J84" s="39">
        <f t="shared" si="21"/>
        <v>0</v>
      </c>
      <c r="K84" s="309">
        <f t="shared" si="24"/>
        <v>4.9000000000000004</v>
      </c>
      <c r="L84" s="91"/>
      <c r="M84" s="279"/>
      <c r="N84" s="39"/>
      <c r="O84" s="469">
        <f t="shared" si="25"/>
        <v>0</v>
      </c>
      <c r="P84" s="441" t="str">
        <f t="shared" si="15"/>
        <v>П27х24х27</v>
      </c>
      <c r="Q84" s="377">
        <f t="shared" si="26"/>
        <v>6.12</v>
      </c>
      <c r="R84" s="322">
        <v>5.0999999999999996</v>
      </c>
      <c r="S84" s="353">
        <f t="shared" si="23"/>
        <v>0</v>
      </c>
      <c r="T84" s="18"/>
      <c r="U84" s="20">
        <f t="shared" si="22"/>
        <v>0</v>
      </c>
      <c r="V84" s="52">
        <f t="shared" si="20"/>
        <v>0</v>
      </c>
      <c r="W84" s="18"/>
    </row>
    <row r="85" spans="2:23" ht="26.25" customHeight="1" x14ac:dyDescent="0.25">
      <c r="B85" s="14">
        <v>31</v>
      </c>
      <c r="C85" s="6" t="s">
        <v>18</v>
      </c>
      <c r="D85" s="23" t="s">
        <v>9</v>
      </c>
      <c r="E85" s="237" t="s">
        <v>295</v>
      </c>
      <c r="F85" s="208" t="s">
        <v>176</v>
      </c>
      <c r="G85" s="12" t="s">
        <v>0</v>
      </c>
      <c r="H85" s="39">
        <v>15750</v>
      </c>
      <c r="I85" s="360">
        <v>3307.5</v>
      </c>
      <c r="J85" s="39">
        <f t="shared" si="21"/>
        <v>0</v>
      </c>
      <c r="K85" s="309">
        <f t="shared" si="24"/>
        <v>0.21</v>
      </c>
      <c r="L85" s="205"/>
      <c r="M85" s="279"/>
      <c r="N85" s="39">
        <v>15750</v>
      </c>
      <c r="O85" s="497">
        <f t="shared" si="25"/>
        <v>3307.5</v>
      </c>
      <c r="P85" s="266" t="str">
        <f t="shared" si="15"/>
        <v>ИЖКС 005 (27х18х11)</v>
      </c>
      <c r="Q85" s="306">
        <f t="shared" si="26"/>
        <v>0.26</v>
      </c>
      <c r="R85" s="319">
        <v>0.22</v>
      </c>
      <c r="S85" s="353">
        <f t="shared" si="23"/>
        <v>0</v>
      </c>
      <c r="T85" s="148">
        <f>16*630+17-1265+50000</f>
        <v>58832</v>
      </c>
      <c r="U85" s="20">
        <f t="shared" si="22"/>
        <v>0</v>
      </c>
      <c r="V85" s="52">
        <f t="shared" si="20"/>
        <v>0</v>
      </c>
      <c r="W85" s="20">
        <f>16*630+17-1265+50000</f>
        <v>58832</v>
      </c>
    </row>
    <row r="86" spans="2:23" ht="26.25" hidden="1" customHeight="1" x14ac:dyDescent="0.25">
      <c r="B86" s="11"/>
      <c r="C86" s="6" t="s">
        <v>18</v>
      </c>
      <c r="D86" s="23" t="s">
        <v>9</v>
      </c>
      <c r="E86" s="237" t="s">
        <v>296</v>
      </c>
      <c r="F86" s="208" t="s">
        <v>82</v>
      </c>
      <c r="G86" s="48" t="s">
        <v>0</v>
      </c>
      <c r="H86" s="39"/>
      <c r="I86" s="360">
        <v>0</v>
      </c>
      <c r="J86" s="39">
        <f t="shared" si="21"/>
        <v>0</v>
      </c>
      <c r="K86" s="309">
        <f t="shared" si="24"/>
        <v>0.27</v>
      </c>
      <c r="L86" s="205" t="s">
        <v>743</v>
      </c>
      <c r="M86" s="279"/>
      <c r="N86" s="39"/>
      <c r="O86" s="309">
        <f t="shared" si="25"/>
        <v>0</v>
      </c>
      <c r="P86" s="51" t="str">
        <f t="shared" si="15"/>
        <v>ИЖКС 007 (31х19х11)</v>
      </c>
      <c r="Q86" s="306">
        <f t="shared" si="26"/>
        <v>0.34</v>
      </c>
      <c r="R86" s="320">
        <v>0.28000000000000003</v>
      </c>
      <c r="S86" s="353">
        <f t="shared" si="23"/>
        <v>0</v>
      </c>
      <c r="T86" s="148">
        <v>20000</v>
      </c>
      <c r="U86" s="20">
        <f t="shared" si="22"/>
        <v>0</v>
      </c>
      <c r="V86" s="52">
        <f t="shared" si="20"/>
        <v>0</v>
      </c>
      <c r="W86" s="444">
        <v>20000</v>
      </c>
    </row>
    <row r="87" spans="2:23" ht="26.25" hidden="1" customHeight="1" x14ac:dyDescent="0.25">
      <c r="B87" s="11"/>
      <c r="C87" s="6" t="s">
        <v>18</v>
      </c>
      <c r="D87" s="23" t="s">
        <v>9</v>
      </c>
      <c r="E87" s="241" t="s">
        <v>222</v>
      </c>
      <c r="F87" s="384">
        <v>993</v>
      </c>
      <c r="G87" s="13" t="s">
        <v>0</v>
      </c>
      <c r="H87" s="39"/>
      <c r="I87" s="360">
        <v>0</v>
      </c>
      <c r="J87" s="39">
        <f t="shared" si="21"/>
        <v>0</v>
      </c>
      <c r="K87" s="309">
        <f t="shared" si="24"/>
        <v>3.36</v>
      </c>
      <c r="L87" s="205" t="s">
        <v>547</v>
      </c>
      <c r="M87" s="279"/>
      <c r="N87" s="39"/>
      <c r="O87" s="467">
        <f t="shared" si="25"/>
        <v>0</v>
      </c>
      <c r="P87" s="264" t="str">
        <f t="shared" si="15"/>
        <v>П40х20х10</v>
      </c>
      <c r="Q87" s="377">
        <f t="shared" si="26"/>
        <v>4.2</v>
      </c>
      <c r="R87" s="333">
        <v>3.5</v>
      </c>
      <c r="S87" s="353">
        <f t="shared" si="23"/>
        <v>0</v>
      </c>
      <c r="T87" s="20"/>
      <c r="U87" s="20">
        <f t="shared" si="22"/>
        <v>0</v>
      </c>
      <c r="V87" s="52">
        <f t="shared" si="20"/>
        <v>0</v>
      </c>
      <c r="W87" s="20"/>
    </row>
    <row r="88" spans="2:23" ht="26.25" hidden="1" customHeight="1" x14ac:dyDescent="0.25">
      <c r="B88" s="11"/>
      <c r="C88" s="6" t="s">
        <v>18</v>
      </c>
      <c r="D88" s="23" t="s">
        <v>9</v>
      </c>
      <c r="E88" s="237" t="s">
        <v>426</v>
      </c>
      <c r="F88" s="208">
        <v>1229</v>
      </c>
      <c r="G88" s="48" t="s">
        <v>0</v>
      </c>
      <c r="H88" s="39"/>
      <c r="I88" s="360">
        <v>0</v>
      </c>
      <c r="J88" s="39">
        <f t="shared" si="21"/>
        <v>0</v>
      </c>
      <c r="K88" s="309">
        <v>0.26</v>
      </c>
      <c r="L88" s="205"/>
      <c r="M88" s="279"/>
      <c r="N88" s="39"/>
      <c r="O88" s="360">
        <f t="shared" si="25"/>
        <v>0</v>
      </c>
      <c r="P88" s="51" t="str">
        <f t="shared" si="15"/>
        <v>ЭПГ-110.093</v>
      </c>
      <c r="Q88" s="306">
        <f t="shared" si="26"/>
        <v>0.37</v>
      </c>
      <c r="R88" s="320">
        <f>9*0.034</f>
        <v>0.31</v>
      </c>
      <c r="S88" s="353">
        <f t="shared" si="23"/>
        <v>0</v>
      </c>
      <c r="T88" s="148">
        <f>17*400</f>
        <v>6800</v>
      </c>
      <c r="U88" s="20">
        <f t="shared" si="22"/>
        <v>0</v>
      </c>
      <c r="V88" s="52">
        <f t="shared" si="20"/>
        <v>0</v>
      </c>
      <c r="W88" s="444">
        <f>17*400</f>
        <v>6800</v>
      </c>
    </row>
    <row r="89" spans="2:23" ht="26.25" hidden="1" customHeight="1" x14ac:dyDescent="0.25">
      <c r="B89" s="11"/>
      <c r="C89" s="6" t="s">
        <v>18</v>
      </c>
      <c r="D89" s="23" t="s">
        <v>9</v>
      </c>
      <c r="E89" s="237" t="s">
        <v>29</v>
      </c>
      <c r="F89" s="208" t="s">
        <v>44</v>
      </c>
      <c r="G89" s="48" t="s">
        <v>0</v>
      </c>
      <c r="H89" s="39"/>
      <c r="I89" s="309">
        <v>0</v>
      </c>
      <c r="J89" s="39">
        <f t="shared" si="21"/>
        <v>0</v>
      </c>
      <c r="K89" s="309">
        <v>0.11</v>
      </c>
      <c r="L89" s="42" t="s">
        <v>339</v>
      </c>
      <c r="M89" s="279"/>
      <c r="N89" s="39"/>
      <c r="O89" s="309">
        <f t="shared" si="25"/>
        <v>0</v>
      </c>
      <c r="P89" s="264" t="str">
        <f t="shared" si="15"/>
        <v>П38х27х7,5 (ЭПГ110.088)</v>
      </c>
      <c r="Q89" s="377">
        <f t="shared" si="26"/>
        <v>0</v>
      </c>
      <c r="R89" s="321">
        <v>0</v>
      </c>
      <c r="S89" s="353">
        <f t="shared" si="23"/>
        <v>0</v>
      </c>
      <c r="T89" s="148">
        <v>7500</v>
      </c>
      <c r="U89" s="20">
        <f t="shared" si="22"/>
        <v>0</v>
      </c>
      <c r="V89" s="52">
        <f t="shared" si="20"/>
        <v>0</v>
      </c>
      <c r="W89" s="444">
        <v>7500</v>
      </c>
    </row>
    <row r="90" spans="2:23" ht="26.25" customHeight="1" x14ac:dyDescent="0.25">
      <c r="B90" s="11">
        <v>32</v>
      </c>
      <c r="C90" s="6" t="s">
        <v>18</v>
      </c>
      <c r="D90" s="23" t="s">
        <v>9</v>
      </c>
      <c r="E90" s="237" t="s">
        <v>297</v>
      </c>
      <c r="F90" s="208" t="s">
        <v>47</v>
      </c>
      <c r="G90" s="12" t="s">
        <v>0</v>
      </c>
      <c r="H90" s="39">
        <v>760</v>
      </c>
      <c r="I90" s="360">
        <v>744.8</v>
      </c>
      <c r="J90" s="39">
        <f t="shared" si="21"/>
        <v>0</v>
      </c>
      <c r="K90" s="309">
        <f>Q90*0.8</f>
        <v>0.98</v>
      </c>
      <c r="L90" s="205"/>
      <c r="M90" s="279"/>
      <c r="N90" s="39">
        <f>2*380</f>
        <v>760</v>
      </c>
      <c r="O90" s="309">
        <f t="shared" si="25"/>
        <v>744.8</v>
      </c>
      <c r="P90" s="235" t="str">
        <f t="shared" si="15"/>
        <v>ЭПГ-110.086 (П37х27х4,5)</v>
      </c>
      <c r="Q90" s="377">
        <f t="shared" si="26"/>
        <v>1.22</v>
      </c>
      <c r="R90" s="319">
        <v>1.02</v>
      </c>
      <c r="S90" s="353">
        <f t="shared" si="23"/>
        <v>0</v>
      </c>
      <c r="T90" s="148">
        <f>380*2+161</f>
        <v>921</v>
      </c>
      <c r="U90" s="20">
        <f t="shared" si="22"/>
        <v>0</v>
      </c>
      <c r="V90" s="52">
        <f t="shared" si="20"/>
        <v>0</v>
      </c>
      <c r="W90" s="444">
        <f>380*2+161</f>
        <v>921</v>
      </c>
    </row>
    <row r="91" spans="2:23" ht="26.25" customHeight="1" x14ac:dyDescent="0.25">
      <c r="B91" s="15">
        <v>33</v>
      </c>
      <c r="C91" s="6" t="s">
        <v>18</v>
      </c>
      <c r="D91" s="23" t="s">
        <v>9</v>
      </c>
      <c r="E91" s="237" t="s">
        <v>89</v>
      </c>
      <c r="F91" s="208">
        <v>495</v>
      </c>
      <c r="G91" s="12" t="s">
        <v>0</v>
      </c>
      <c r="H91" s="39">
        <v>2760</v>
      </c>
      <c r="I91" s="360">
        <v>2437.63</v>
      </c>
      <c r="J91" s="39">
        <f t="shared" si="21"/>
        <v>0</v>
      </c>
      <c r="K91" s="309">
        <v>0.88</v>
      </c>
      <c r="L91" s="89"/>
      <c r="M91" s="279"/>
      <c r="N91" s="39">
        <f>4920-1080-1080</f>
        <v>2760</v>
      </c>
      <c r="O91" s="466">
        <f>I91</f>
        <v>2437.63</v>
      </c>
      <c r="P91" s="235" t="str">
        <f t="shared" si="15"/>
        <v>П32х18х40 ЭПГ110.155</v>
      </c>
      <c r="Q91" s="377">
        <f t="shared" si="26"/>
        <v>1.1000000000000001</v>
      </c>
      <c r="R91" s="319">
        <v>0.92</v>
      </c>
      <c r="S91" s="353">
        <f t="shared" si="23"/>
        <v>0</v>
      </c>
      <c r="T91" s="148">
        <f>23*120</f>
        <v>2760</v>
      </c>
      <c r="U91" s="20">
        <f t="shared" si="22"/>
        <v>0</v>
      </c>
      <c r="V91" s="52">
        <f t="shared" si="20"/>
        <v>0</v>
      </c>
      <c r="W91" s="444">
        <f>23*120</f>
        <v>2760</v>
      </c>
    </row>
    <row r="92" spans="2:23" ht="26.25" customHeight="1" x14ac:dyDescent="0.25">
      <c r="B92" s="15">
        <v>34</v>
      </c>
      <c r="C92" s="6" t="s">
        <v>18</v>
      </c>
      <c r="D92" s="23" t="s">
        <v>9</v>
      </c>
      <c r="E92" s="241" t="s">
        <v>428</v>
      </c>
      <c r="F92" s="208">
        <v>326</v>
      </c>
      <c r="G92" s="12" t="s">
        <v>0</v>
      </c>
      <c r="H92" s="39">
        <v>4680</v>
      </c>
      <c r="I92" s="360">
        <v>1965.6</v>
      </c>
      <c r="J92" s="39">
        <f t="shared" si="21"/>
        <v>0</v>
      </c>
      <c r="K92" s="309">
        <f t="shared" ref="K92:K106" si="27">Q92*0.8</f>
        <v>0.42</v>
      </c>
      <c r="L92" s="205" t="s">
        <v>867</v>
      </c>
      <c r="M92" s="281"/>
      <c r="N92" s="39">
        <v>4680</v>
      </c>
      <c r="O92" s="309">
        <f t="shared" ref="O92:O110" si="28">K92*N92</f>
        <v>1965.6</v>
      </c>
      <c r="P92" s="235" t="str">
        <f t="shared" si="15"/>
        <v>ЭПГ-110.102</v>
      </c>
      <c r="Q92" s="306">
        <f t="shared" si="26"/>
        <v>0.53</v>
      </c>
      <c r="R92" s="401">
        <f>13.2*0.033</f>
        <v>0.44</v>
      </c>
      <c r="S92" s="353">
        <f t="shared" si="23"/>
        <v>0</v>
      </c>
      <c r="T92" s="148">
        <f>39*234</f>
        <v>9126</v>
      </c>
      <c r="U92" s="20">
        <f t="shared" si="22"/>
        <v>0</v>
      </c>
      <c r="V92" s="52">
        <f t="shared" si="20"/>
        <v>0</v>
      </c>
      <c r="W92" s="444">
        <f>39*234</f>
        <v>9126</v>
      </c>
    </row>
    <row r="93" spans="2:23" ht="26.25" hidden="1" customHeight="1" x14ac:dyDescent="0.25">
      <c r="B93" s="15"/>
      <c r="C93" s="6" t="s">
        <v>18</v>
      </c>
      <c r="D93" s="23" t="s">
        <v>9</v>
      </c>
      <c r="E93" s="241" t="s">
        <v>427</v>
      </c>
      <c r="F93" s="208">
        <v>385</v>
      </c>
      <c r="G93" s="13" t="s">
        <v>0</v>
      </c>
      <c r="H93" s="39"/>
      <c r="I93" s="309">
        <v>0</v>
      </c>
      <c r="J93" s="39">
        <f t="shared" si="21"/>
        <v>0</v>
      </c>
      <c r="K93" s="309">
        <f t="shared" si="27"/>
        <v>0.48</v>
      </c>
      <c r="L93" s="88"/>
      <c r="M93" s="281"/>
      <c r="N93" s="39"/>
      <c r="O93" s="490">
        <f t="shared" si="28"/>
        <v>0</v>
      </c>
      <c r="P93" s="264" t="str">
        <f t="shared" si="15"/>
        <v>ЭПГ-110.103</v>
      </c>
      <c r="Q93" s="377">
        <f t="shared" si="26"/>
        <v>0.6</v>
      </c>
      <c r="R93" s="378">
        <f>15*0.033</f>
        <v>0.5</v>
      </c>
      <c r="S93" s="353">
        <f t="shared" si="23"/>
        <v>0</v>
      </c>
      <c r="T93" s="148">
        <f>5*144</f>
        <v>720</v>
      </c>
      <c r="U93" s="20">
        <f t="shared" si="22"/>
        <v>0</v>
      </c>
      <c r="V93" s="52">
        <f t="shared" si="20"/>
        <v>0</v>
      </c>
      <c r="W93" s="444">
        <f>5*144</f>
        <v>720</v>
      </c>
    </row>
    <row r="94" spans="2:23" ht="26.25" hidden="1" customHeight="1" x14ac:dyDescent="0.25">
      <c r="B94" s="15"/>
      <c r="C94" s="6" t="s">
        <v>18</v>
      </c>
      <c r="D94" s="23" t="s">
        <v>9</v>
      </c>
      <c r="E94" s="1" t="s">
        <v>622</v>
      </c>
      <c r="F94" s="382">
        <v>1394</v>
      </c>
      <c r="G94" s="12" t="s">
        <v>0</v>
      </c>
      <c r="H94" s="39"/>
      <c r="I94" s="360">
        <v>0</v>
      </c>
      <c r="J94" s="39">
        <f t="shared" si="21"/>
        <v>0</v>
      </c>
      <c r="K94" s="309">
        <f t="shared" si="27"/>
        <v>2.69</v>
      </c>
      <c r="L94" s="205"/>
      <c r="M94" s="281"/>
      <c r="N94" s="39"/>
      <c r="O94" s="360">
        <f t="shared" si="28"/>
        <v>0</v>
      </c>
      <c r="P94" s="51" t="str">
        <f t="shared" si="15"/>
        <v>пж 06.56.026(П40х10х10)</v>
      </c>
      <c r="Q94" s="306">
        <f t="shared" si="26"/>
        <v>3.36</v>
      </c>
      <c r="R94" s="335">
        <v>2.8</v>
      </c>
      <c r="S94" s="353">
        <f t="shared" si="23"/>
        <v>0</v>
      </c>
      <c r="T94" s="20"/>
      <c r="U94" s="20">
        <f t="shared" si="22"/>
        <v>0</v>
      </c>
      <c r="V94" s="52">
        <f t="shared" si="20"/>
        <v>0</v>
      </c>
      <c r="W94" s="20"/>
    </row>
    <row r="95" spans="2:23" ht="26.25" hidden="1" customHeight="1" x14ac:dyDescent="0.25">
      <c r="B95" s="15"/>
      <c r="C95" s="6" t="s">
        <v>18</v>
      </c>
      <c r="D95" s="23" t="s">
        <v>9</v>
      </c>
      <c r="E95" s="1" t="s">
        <v>623</v>
      </c>
      <c r="F95" s="382">
        <v>1395</v>
      </c>
      <c r="G95" s="13" t="s">
        <v>0</v>
      </c>
      <c r="H95" s="39"/>
      <c r="I95" s="360">
        <v>0</v>
      </c>
      <c r="J95" s="39">
        <f t="shared" si="21"/>
        <v>0</v>
      </c>
      <c r="K95" s="309">
        <f t="shared" si="27"/>
        <v>6.72</v>
      </c>
      <c r="L95" s="205"/>
      <c r="M95" s="282"/>
      <c r="N95" s="39"/>
      <c r="O95" s="360">
        <f t="shared" si="28"/>
        <v>0</v>
      </c>
      <c r="P95" s="51" t="str">
        <f t="shared" si="15"/>
        <v>пж 06.56.029 (П40х10х10 с прорез)</v>
      </c>
      <c r="Q95" s="306">
        <f t="shared" si="26"/>
        <v>8.4</v>
      </c>
      <c r="R95" s="334">
        <v>7</v>
      </c>
      <c r="S95" s="353">
        <f t="shared" si="23"/>
        <v>0</v>
      </c>
      <c r="T95" s="20"/>
      <c r="U95" s="20">
        <f t="shared" si="22"/>
        <v>0</v>
      </c>
      <c r="V95" s="52">
        <f t="shared" si="20"/>
        <v>0</v>
      </c>
      <c r="W95" s="20"/>
    </row>
    <row r="96" spans="2:23" ht="26.25" hidden="1" customHeight="1" x14ac:dyDescent="0.25">
      <c r="B96" s="15"/>
      <c r="C96" s="6" t="s">
        <v>18</v>
      </c>
      <c r="D96" s="23" t="s">
        <v>9</v>
      </c>
      <c r="E96" s="1" t="s">
        <v>530</v>
      </c>
      <c r="F96" s="382">
        <v>1321</v>
      </c>
      <c r="G96" s="13" t="s">
        <v>0</v>
      </c>
      <c r="H96" s="39"/>
      <c r="I96" s="360">
        <v>0</v>
      </c>
      <c r="J96" s="39">
        <f t="shared" si="21"/>
        <v>0</v>
      </c>
      <c r="K96" s="309">
        <f t="shared" si="27"/>
        <v>6.62</v>
      </c>
      <c r="L96" s="205" t="s">
        <v>542</v>
      </c>
      <c r="M96" s="281"/>
      <c r="N96" s="39"/>
      <c r="O96" s="360">
        <f t="shared" si="28"/>
        <v>0</v>
      </c>
      <c r="P96" s="51" t="str">
        <f t="shared" si="15"/>
        <v>Э.200116.020-01 П50х37х13</v>
      </c>
      <c r="Q96" s="306">
        <f t="shared" si="26"/>
        <v>8.2799999999999994</v>
      </c>
      <c r="R96" s="334">
        <f>230*0.03</f>
        <v>6.9</v>
      </c>
      <c r="S96" s="353">
        <f t="shared" si="23"/>
        <v>0</v>
      </c>
      <c r="T96" s="20"/>
      <c r="U96" s="20">
        <f t="shared" si="22"/>
        <v>0</v>
      </c>
      <c r="V96" s="52">
        <f t="shared" si="20"/>
        <v>0</v>
      </c>
      <c r="W96" s="20"/>
    </row>
    <row r="97" spans="1:23" ht="26.25" hidden="1" customHeight="1" x14ac:dyDescent="0.25">
      <c r="B97" s="15"/>
      <c r="C97" s="6" t="s">
        <v>18</v>
      </c>
      <c r="D97" s="23" t="s">
        <v>9</v>
      </c>
      <c r="E97" s="241" t="s">
        <v>616</v>
      </c>
      <c r="F97" s="208">
        <v>978</v>
      </c>
      <c r="G97" s="48" t="s">
        <v>0</v>
      </c>
      <c r="H97" s="39"/>
      <c r="I97" s="360">
        <v>0</v>
      </c>
      <c r="J97" s="39">
        <f t="shared" si="21"/>
        <v>0</v>
      </c>
      <c r="K97" s="309">
        <f t="shared" si="27"/>
        <v>0.19</v>
      </c>
      <c r="L97" s="89"/>
      <c r="M97" s="281"/>
      <c r="N97" s="39"/>
      <c r="O97" s="360">
        <f t="shared" si="28"/>
        <v>0</v>
      </c>
      <c r="P97" s="51" t="str">
        <f t="shared" si="15"/>
        <v>П64х20х14</v>
      </c>
      <c r="Q97" s="377">
        <f t="shared" si="26"/>
        <v>0.24</v>
      </c>
      <c r="R97" s="378">
        <v>0.2</v>
      </c>
      <c r="S97" s="353">
        <f t="shared" si="23"/>
        <v>0</v>
      </c>
      <c r="T97" s="20"/>
      <c r="U97" s="20">
        <f t="shared" si="22"/>
        <v>0</v>
      </c>
      <c r="V97" s="52">
        <f t="shared" si="20"/>
        <v>0</v>
      </c>
      <c r="W97" s="20"/>
    </row>
    <row r="98" spans="1:23" ht="26.25" customHeight="1" x14ac:dyDescent="0.25">
      <c r="B98" s="15">
        <v>35</v>
      </c>
      <c r="C98" s="6" t="s">
        <v>18</v>
      </c>
      <c r="D98" s="23" t="s">
        <v>9</v>
      </c>
      <c r="E98" s="241" t="s">
        <v>903</v>
      </c>
      <c r="F98" s="208">
        <v>190</v>
      </c>
      <c r="G98" s="48" t="s">
        <v>0</v>
      </c>
      <c r="H98" s="39"/>
      <c r="I98" s="360">
        <v>0</v>
      </c>
      <c r="J98" s="39">
        <f t="shared" si="21"/>
        <v>0</v>
      </c>
      <c r="K98" s="309">
        <f t="shared" si="27"/>
        <v>3.07</v>
      </c>
      <c r="L98" s="89"/>
      <c r="M98" s="281"/>
      <c r="N98" s="39"/>
      <c r="O98" s="360">
        <f t="shared" si="28"/>
        <v>0</v>
      </c>
      <c r="P98" s="51" t="str">
        <f t="shared" si="15"/>
        <v>П53х3,5х4,5</v>
      </c>
      <c r="Q98" s="306">
        <f t="shared" si="26"/>
        <v>3.84</v>
      </c>
      <c r="R98" s="378">
        <v>3.2</v>
      </c>
      <c r="S98" s="353">
        <f t="shared" si="23"/>
        <v>0</v>
      </c>
      <c r="T98" s="20"/>
      <c r="U98" s="20">
        <f t="shared" si="22"/>
        <v>0</v>
      </c>
      <c r="V98" s="52">
        <f t="shared" si="20"/>
        <v>0</v>
      </c>
      <c r="W98" s="20"/>
    </row>
    <row r="99" spans="1:23" ht="26.25" customHeight="1" x14ac:dyDescent="0.25">
      <c r="B99" s="11">
        <v>36</v>
      </c>
      <c r="C99" s="6" t="s">
        <v>18</v>
      </c>
      <c r="D99" s="23" t="s">
        <v>9</v>
      </c>
      <c r="E99" s="237" t="s">
        <v>108</v>
      </c>
      <c r="F99" s="208">
        <v>600</v>
      </c>
      <c r="G99" s="12" t="s">
        <v>0</v>
      </c>
      <c r="H99" s="39">
        <v>50</v>
      </c>
      <c r="I99" s="360">
        <v>158.5</v>
      </c>
      <c r="J99" s="39">
        <f t="shared" si="21"/>
        <v>0</v>
      </c>
      <c r="K99" s="309">
        <f t="shared" si="27"/>
        <v>3.17</v>
      </c>
      <c r="L99" s="155"/>
      <c r="M99" s="279"/>
      <c r="N99" s="39">
        <v>50</v>
      </c>
      <c r="O99" s="468">
        <f t="shared" si="28"/>
        <v>158.5</v>
      </c>
      <c r="P99" s="51" t="str">
        <f t="shared" si="15"/>
        <v>ЭПГ110.158(П50х35х40)</v>
      </c>
      <c r="Q99" s="306">
        <f t="shared" si="26"/>
        <v>3.96</v>
      </c>
      <c r="R99" s="320">
        <v>3.3</v>
      </c>
      <c r="S99" s="353">
        <f t="shared" si="23"/>
        <v>0</v>
      </c>
      <c r="T99" s="148">
        <f>10*38-8*38-18</f>
        <v>58</v>
      </c>
      <c r="U99" s="20">
        <f t="shared" si="22"/>
        <v>0</v>
      </c>
      <c r="V99" s="52">
        <f t="shared" si="20"/>
        <v>456</v>
      </c>
      <c r="W99" s="444">
        <f>13*38+20</f>
        <v>514</v>
      </c>
    </row>
    <row r="100" spans="1:23" ht="26.25" customHeight="1" x14ac:dyDescent="0.25">
      <c r="B100" s="11">
        <v>37</v>
      </c>
      <c r="C100" s="6" t="s">
        <v>18</v>
      </c>
      <c r="D100" s="23" t="s">
        <v>9</v>
      </c>
      <c r="E100" s="237" t="s">
        <v>66</v>
      </c>
      <c r="F100" s="210">
        <v>395</v>
      </c>
      <c r="G100" s="12" t="s">
        <v>0</v>
      </c>
      <c r="H100" s="39">
        <v>120</v>
      </c>
      <c r="I100" s="360">
        <v>804</v>
      </c>
      <c r="J100" s="39">
        <f t="shared" si="21"/>
        <v>0</v>
      </c>
      <c r="K100" s="309">
        <f t="shared" si="27"/>
        <v>6.7</v>
      </c>
      <c r="L100" s="154"/>
      <c r="M100" s="279"/>
      <c r="N100" s="39">
        <v>120</v>
      </c>
      <c r="O100" s="309">
        <f t="shared" si="28"/>
        <v>804</v>
      </c>
      <c r="P100" s="260" t="str">
        <f t="shared" si="15"/>
        <v>ЭПГ110.149(П90х35х34)</v>
      </c>
      <c r="Q100" s="306">
        <f t="shared" si="26"/>
        <v>8.3800000000000008</v>
      </c>
      <c r="R100" s="326">
        <v>6.98</v>
      </c>
      <c r="S100" s="353">
        <f t="shared" si="23"/>
        <v>0</v>
      </c>
      <c r="T100" s="148">
        <f>6*20</f>
        <v>120</v>
      </c>
      <c r="U100" s="20">
        <f t="shared" si="22"/>
        <v>0</v>
      </c>
      <c r="V100" s="52">
        <f t="shared" si="20"/>
        <v>0</v>
      </c>
      <c r="W100" s="444">
        <f>6*20</f>
        <v>120</v>
      </c>
    </row>
    <row r="101" spans="1:23" ht="26.25" customHeight="1" thickBot="1" x14ac:dyDescent="0.3">
      <c r="B101" s="15">
        <v>38</v>
      </c>
      <c r="C101" s="6" t="s">
        <v>18</v>
      </c>
      <c r="D101" s="23" t="s">
        <v>9</v>
      </c>
      <c r="E101" s="237" t="s">
        <v>65</v>
      </c>
      <c r="F101" s="210">
        <v>406</v>
      </c>
      <c r="G101" s="12" t="s">
        <v>0</v>
      </c>
      <c r="H101" s="39">
        <v>140</v>
      </c>
      <c r="I101" s="360">
        <v>1814.4</v>
      </c>
      <c r="J101" s="39">
        <f t="shared" si="21"/>
        <v>0</v>
      </c>
      <c r="K101" s="309">
        <f t="shared" si="27"/>
        <v>12.96</v>
      </c>
      <c r="L101" s="155"/>
      <c r="M101" s="279"/>
      <c r="N101" s="39">
        <v>140</v>
      </c>
      <c r="O101" s="309">
        <f t="shared" si="28"/>
        <v>1814.4</v>
      </c>
      <c r="P101" s="261" t="str">
        <f t="shared" si="15"/>
        <v>ЭПГ110.148(П120х35х34)</v>
      </c>
      <c r="Q101" s="306">
        <f t="shared" si="26"/>
        <v>16.2</v>
      </c>
      <c r="R101" s="333">
        <v>13.5</v>
      </c>
      <c r="S101" s="353">
        <f t="shared" si="23"/>
        <v>0</v>
      </c>
      <c r="T101" s="148">
        <f>12*14+12-7*14</f>
        <v>82</v>
      </c>
      <c r="U101" s="20">
        <f t="shared" si="22"/>
        <v>0</v>
      </c>
      <c r="V101" s="52">
        <f t="shared" si="20"/>
        <v>154</v>
      </c>
      <c r="W101" s="444">
        <f>16*14+12</f>
        <v>236</v>
      </c>
    </row>
    <row r="102" spans="1:23" ht="26.25" hidden="1" customHeight="1" x14ac:dyDescent="0.25">
      <c r="B102" s="14"/>
      <c r="C102" s="6" t="s">
        <v>18</v>
      </c>
      <c r="D102" s="23" t="s">
        <v>9</v>
      </c>
      <c r="E102" s="212" t="s">
        <v>253</v>
      </c>
      <c r="F102" s="270">
        <v>829</v>
      </c>
      <c r="G102" s="12" t="s">
        <v>0</v>
      </c>
      <c r="H102" s="39"/>
      <c r="I102" s="309">
        <v>0</v>
      </c>
      <c r="J102" s="39">
        <f t="shared" si="21"/>
        <v>0</v>
      </c>
      <c r="K102" s="309">
        <f t="shared" si="27"/>
        <v>7.2</v>
      </c>
      <c r="L102" s="89"/>
      <c r="M102" s="279"/>
      <c r="N102" s="39"/>
      <c r="O102" s="490">
        <f t="shared" si="28"/>
        <v>0</v>
      </c>
      <c r="P102" s="262" t="str">
        <f t="shared" si="15"/>
        <v>П40х40х10</v>
      </c>
      <c r="Q102" s="377">
        <f t="shared" si="26"/>
        <v>9</v>
      </c>
      <c r="R102" s="319">
        <v>7.5</v>
      </c>
      <c r="S102" s="353">
        <f t="shared" ref="S102:S135" si="29">R102*J102</f>
        <v>0</v>
      </c>
      <c r="T102" s="18">
        <v>100</v>
      </c>
      <c r="U102" s="20">
        <f t="shared" ref="U102:U133" si="30">M102</f>
        <v>0</v>
      </c>
      <c r="V102" s="52">
        <f t="shared" si="20"/>
        <v>0</v>
      </c>
      <c r="W102" s="18">
        <v>100</v>
      </c>
    </row>
    <row r="103" spans="1:23" s="4" customFormat="1" ht="26.25" hidden="1" customHeight="1" x14ac:dyDescent="0.25">
      <c r="A103" s="10"/>
      <c r="B103" s="14"/>
      <c r="C103" s="6" t="s">
        <v>18</v>
      </c>
      <c r="D103" s="23" t="s">
        <v>9</v>
      </c>
      <c r="E103" s="212" t="s">
        <v>665</v>
      </c>
      <c r="F103" s="384">
        <v>1424</v>
      </c>
      <c r="G103" s="12"/>
      <c r="H103" s="39"/>
      <c r="I103" s="360">
        <v>0</v>
      </c>
      <c r="J103" s="39">
        <f t="shared" si="21"/>
        <v>0</v>
      </c>
      <c r="K103" s="309">
        <f t="shared" si="27"/>
        <v>3.55</v>
      </c>
      <c r="L103" s="205"/>
      <c r="M103" s="279"/>
      <c r="N103" s="503"/>
      <c r="O103" s="309">
        <f t="shared" si="28"/>
        <v>0</v>
      </c>
      <c r="P103" s="235" t="str">
        <f t="shared" si="15"/>
        <v>П40х25х10</v>
      </c>
      <c r="Q103" s="377">
        <f t="shared" si="26"/>
        <v>4.4400000000000004</v>
      </c>
      <c r="R103" s="319">
        <v>3.7</v>
      </c>
      <c r="S103" s="353">
        <f t="shared" si="29"/>
        <v>0</v>
      </c>
      <c r="T103" s="18"/>
      <c r="U103" s="20">
        <f t="shared" si="30"/>
        <v>0</v>
      </c>
      <c r="V103" s="52">
        <f t="shared" si="20"/>
        <v>0</v>
      </c>
      <c r="W103" s="18"/>
    </row>
    <row r="104" spans="1:23" s="4" customFormat="1" ht="26.25" hidden="1" customHeight="1" x14ac:dyDescent="0.25">
      <c r="A104" s="10"/>
      <c r="B104" s="15"/>
      <c r="C104" s="6" t="s">
        <v>18</v>
      </c>
      <c r="D104" s="23" t="s">
        <v>9</v>
      </c>
      <c r="E104" s="212" t="s">
        <v>523</v>
      </c>
      <c r="F104" s="270"/>
      <c r="G104" s="12"/>
      <c r="H104" s="39"/>
      <c r="I104" s="309">
        <v>0</v>
      </c>
      <c r="J104" s="39">
        <f t="shared" si="21"/>
        <v>0</v>
      </c>
      <c r="K104" s="309">
        <f t="shared" si="27"/>
        <v>2.2999999999999998</v>
      </c>
      <c r="L104" s="89"/>
      <c r="M104" s="279"/>
      <c r="N104" s="39"/>
      <c r="O104" s="490">
        <f t="shared" si="28"/>
        <v>0</v>
      </c>
      <c r="P104" s="235" t="str">
        <f t="shared" si="15"/>
        <v>30М7115.01.30.007(П27х24х27)</v>
      </c>
      <c r="Q104" s="377">
        <f t="shared" si="26"/>
        <v>2.87</v>
      </c>
      <c r="R104" s="319">
        <v>2.39</v>
      </c>
      <c r="S104" s="353">
        <f t="shared" si="29"/>
        <v>0</v>
      </c>
      <c r="T104" s="18"/>
      <c r="U104" s="20">
        <f t="shared" si="30"/>
        <v>0</v>
      </c>
      <c r="V104" s="52">
        <f t="shared" si="20"/>
        <v>0</v>
      </c>
      <c r="W104" s="18"/>
    </row>
    <row r="105" spans="1:23" s="4" customFormat="1" ht="26.25" hidden="1" customHeight="1" x14ac:dyDescent="0.25">
      <c r="A105" s="10"/>
      <c r="B105" s="15"/>
      <c r="C105" s="6" t="s">
        <v>18</v>
      </c>
      <c r="D105" s="23" t="s">
        <v>9</v>
      </c>
      <c r="E105" s="1" t="s">
        <v>544</v>
      </c>
      <c r="F105" s="384">
        <v>1075</v>
      </c>
      <c r="G105" s="12"/>
      <c r="H105" s="39"/>
      <c r="I105" s="360">
        <v>0</v>
      </c>
      <c r="J105" s="39">
        <f t="shared" si="21"/>
        <v>0</v>
      </c>
      <c r="K105" s="309">
        <f t="shared" si="27"/>
        <v>3.89</v>
      </c>
      <c r="L105" s="205"/>
      <c r="M105" s="279"/>
      <c r="N105" s="39"/>
      <c r="O105" s="468">
        <f t="shared" si="28"/>
        <v>0</v>
      </c>
      <c r="P105" s="51" t="str">
        <f t="shared" si="15"/>
        <v>П50х55х10</v>
      </c>
      <c r="Q105" s="377">
        <f t="shared" si="26"/>
        <v>4.8600000000000003</v>
      </c>
      <c r="R105" s="319">
        <v>4.05</v>
      </c>
      <c r="S105" s="353">
        <f t="shared" si="29"/>
        <v>0</v>
      </c>
      <c r="T105" s="18"/>
      <c r="U105" s="20">
        <f t="shared" si="30"/>
        <v>0</v>
      </c>
      <c r="V105" s="52">
        <f t="shared" si="20"/>
        <v>0</v>
      </c>
      <c r="W105" s="18"/>
    </row>
    <row r="106" spans="1:23" ht="26.25" hidden="1" customHeight="1" x14ac:dyDescent="0.25">
      <c r="B106" s="15"/>
      <c r="C106" s="6" t="s">
        <v>18</v>
      </c>
      <c r="D106" s="23" t="s">
        <v>9</v>
      </c>
      <c r="E106" s="237" t="s">
        <v>724</v>
      </c>
      <c r="F106" s="383">
        <v>1360</v>
      </c>
      <c r="G106" s="12" t="s">
        <v>0</v>
      </c>
      <c r="H106" s="39"/>
      <c r="I106" s="360">
        <v>0</v>
      </c>
      <c r="J106" s="39">
        <f t="shared" si="21"/>
        <v>0</v>
      </c>
      <c r="K106" s="309">
        <f t="shared" si="27"/>
        <v>2.54</v>
      </c>
      <c r="L106" s="82"/>
      <c r="M106" s="279"/>
      <c r="N106" s="503"/>
      <c r="O106" s="309">
        <f t="shared" si="28"/>
        <v>0</v>
      </c>
      <c r="P106" s="235" t="str">
        <f t="shared" si="15"/>
        <v>П60х20х7</v>
      </c>
      <c r="Q106" s="377">
        <f t="shared" si="26"/>
        <v>3.18</v>
      </c>
      <c r="R106" s="320">
        <v>2.65</v>
      </c>
      <c r="S106" s="353">
        <f t="shared" si="29"/>
        <v>0</v>
      </c>
      <c r="T106" s="430">
        <v>52</v>
      </c>
      <c r="U106" s="20">
        <f t="shared" si="30"/>
        <v>0</v>
      </c>
      <c r="V106" s="52">
        <f t="shared" si="20"/>
        <v>0</v>
      </c>
      <c r="W106" s="18">
        <v>52</v>
      </c>
    </row>
    <row r="107" spans="1:23" ht="26.25" hidden="1" customHeight="1" thickBot="1" x14ac:dyDescent="0.3">
      <c r="B107" s="15"/>
      <c r="C107" s="6" t="s">
        <v>18</v>
      </c>
      <c r="D107" s="23" t="s">
        <v>9</v>
      </c>
      <c r="E107" s="237" t="s">
        <v>492</v>
      </c>
      <c r="F107" s="270"/>
      <c r="G107" s="12"/>
      <c r="H107" s="39"/>
      <c r="I107" s="309">
        <v>0</v>
      </c>
      <c r="J107" s="39">
        <f t="shared" si="21"/>
        <v>0</v>
      </c>
      <c r="K107" s="309"/>
      <c r="L107" s="82"/>
      <c r="M107" s="279"/>
      <c r="N107" s="39"/>
      <c r="O107" s="490">
        <f t="shared" si="28"/>
        <v>0</v>
      </c>
      <c r="P107" s="263" t="str">
        <f t="shared" si="15"/>
        <v>П30х30х9</v>
      </c>
      <c r="Q107" s="377">
        <f t="shared" si="26"/>
        <v>0</v>
      </c>
      <c r="R107" s="320">
        <v>0</v>
      </c>
      <c r="S107" s="353">
        <f t="shared" si="29"/>
        <v>0</v>
      </c>
      <c r="T107" s="18">
        <v>40</v>
      </c>
      <c r="U107" s="20">
        <f t="shared" si="30"/>
        <v>0</v>
      </c>
      <c r="V107" s="52">
        <f t="shared" si="20"/>
        <v>0</v>
      </c>
      <c r="W107" s="18">
        <v>40</v>
      </c>
    </row>
    <row r="108" spans="1:23" ht="26.25" hidden="1" customHeight="1" x14ac:dyDescent="0.25">
      <c r="B108" s="15"/>
      <c r="C108" s="6" t="s">
        <v>18</v>
      </c>
      <c r="D108" s="23" t="s">
        <v>9</v>
      </c>
      <c r="E108" s="237" t="s">
        <v>872</v>
      </c>
      <c r="F108" s="527">
        <v>1496</v>
      </c>
      <c r="G108" s="48" t="s">
        <v>0</v>
      </c>
      <c r="H108" s="39"/>
      <c r="I108" s="360">
        <v>0</v>
      </c>
      <c r="J108" s="39">
        <f t="shared" si="21"/>
        <v>0</v>
      </c>
      <c r="K108" s="309">
        <f>Q108*0.8</f>
        <v>4.8</v>
      </c>
      <c r="L108" s="534"/>
      <c r="M108" s="279"/>
      <c r="N108" s="39"/>
      <c r="O108" s="360">
        <f t="shared" si="28"/>
        <v>0</v>
      </c>
      <c r="P108" s="403" t="str">
        <f t="shared" si="15"/>
        <v>П70х15х8</v>
      </c>
      <c r="Q108" s="306">
        <f t="shared" si="26"/>
        <v>6</v>
      </c>
      <c r="R108" s="320">
        <v>5</v>
      </c>
      <c r="S108" s="353">
        <f t="shared" si="29"/>
        <v>0</v>
      </c>
      <c r="T108" s="430"/>
      <c r="U108" s="20">
        <f t="shared" si="30"/>
        <v>0</v>
      </c>
      <c r="V108" s="52">
        <f t="shared" si="20"/>
        <v>0</v>
      </c>
      <c r="W108" s="18"/>
    </row>
    <row r="109" spans="1:23" ht="26.25" customHeight="1" x14ac:dyDescent="0.25">
      <c r="B109" s="15">
        <v>39</v>
      </c>
      <c r="C109" s="6" t="s">
        <v>18</v>
      </c>
      <c r="D109" s="23" t="s">
        <v>9</v>
      </c>
      <c r="E109" s="212" t="s">
        <v>161</v>
      </c>
      <c r="F109" s="208" t="s">
        <v>221</v>
      </c>
      <c r="G109" s="12" t="s">
        <v>0</v>
      </c>
      <c r="H109" s="39"/>
      <c r="I109" s="360">
        <v>0</v>
      </c>
      <c r="J109" s="39">
        <f t="shared" si="21"/>
        <v>100</v>
      </c>
      <c r="K109" s="309">
        <f>Q109*0.8</f>
        <v>2.5</v>
      </c>
      <c r="L109" s="194"/>
      <c r="M109" s="279">
        <v>100</v>
      </c>
      <c r="N109" s="39"/>
      <c r="O109" s="309">
        <f t="shared" si="28"/>
        <v>0</v>
      </c>
      <c r="P109" s="235" t="str">
        <f t="shared" si="15"/>
        <v>П84х64х14</v>
      </c>
      <c r="Q109" s="306">
        <f t="shared" si="26"/>
        <v>3.12</v>
      </c>
      <c r="R109" s="332">
        <v>2.6</v>
      </c>
      <c r="S109" s="353">
        <f t="shared" si="29"/>
        <v>260</v>
      </c>
      <c r="T109" s="18"/>
      <c r="U109" s="20">
        <f t="shared" si="30"/>
        <v>100</v>
      </c>
      <c r="V109" s="52">
        <f t="shared" si="20"/>
        <v>100</v>
      </c>
      <c r="W109" s="18"/>
    </row>
    <row r="110" spans="1:23" ht="26.25" hidden="1" customHeight="1" x14ac:dyDescent="0.25">
      <c r="B110" s="15"/>
      <c r="C110" s="6" t="s">
        <v>18</v>
      </c>
      <c r="D110" s="23" t="s">
        <v>458</v>
      </c>
      <c r="E110" s="87" t="s">
        <v>161</v>
      </c>
      <c r="F110" s="211" t="s">
        <v>374</v>
      </c>
      <c r="G110" s="48"/>
      <c r="H110" s="39"/>
      <c r="I110" s="309">
        <v>0</v>
      </c>
      <c r="J110" s="39">
        <f t="shared" si="21"/>
        <v>0</v>
      </c>
      <c r="K110" s="309">
        <f>Q110*0.8</f>
        <v>2.21</v>
      </c>
      <c r="L110" s="155"/>
      <c r="M110" s="140"/>
      <c r="N110" s="39"/>
      <c r="O110" s="490">
        <f t="shared" si="28"/>
        <v>0</v>
      </c>
      <c r="P110" s="264" t="str">
        <f t="shared" si="15"/>
        <v>П84х64х14</v>
      </c>
      <c r="Q110" s="377">
        <f t="shared" si="26"/>
        <v>2.76</v>
      </c>
      <c r="R110" s="332">
        <v>2.2999999999999998</v>
      </c>
      <c r="S110" s="353">
        <f t="shared" si="29"/>
        <v>0</v>
      </c>
      <c r="T110" s="20"/>
      <c r="U110" s="20">
        <f t="shared" si="30"/>
        <v>0</v>
      </c>
      <c r="V110" s="52">
        <f t="shared" si="20"/>
        <v>2430</v>
      </c>
      <c r="W110" s="444">
        <f>81*30</f>
        <v>2430</v>
      </c>
    </row>
    <row r="111" spans="1:23" ht="26.25" hidden="1" customHeight="1" x14ac:dyDescent="0.25">
      <c r="B111" s="15"/>
      <c r="C111" s="6" t="s">
        <v>18</v>
      </c>
      <c r="D111" s="23" t="s">
        <v>9</v>
      </c>
      <c r="E111" s="87" t="s">
        <v>658</v>
      </c>
      <c r="F111" s="211"/>
      <c r="G111" s="48"/>
      <c r="H111" s="39"/>
      <c r="I111" s="360"/>
      <c r="J111" s="39">
        <f t="shared" si="21"/>
        <v>0</v>
      </c>
      <c r="K111" s="309"/>
      <c r="L111" s="155"/>
      <c r="M111" s="140"/>
      <c r="N111" s="39"/>
      <c r="O111" s="360"/>
      <c r="P111" s="264" t="str">
        <f t="shared" si="15"/>
        <v>П84*64*20</v>
      </c>
      <c r="Q111" s="306"/>
      <c r="R111" s="332"/>
      <c r="S111" s="353">
        <f t="shared" si="29"/>
        <v>0</v>
      </c>
      <c r="T111" s="20">
        <v>500</v>
      </c>
      <c r="U111" s="20">
        <f t="shared" si="30"/>
        <v>0</v>
      </c>
      <c r="V111" s="52"/>
      <c r="W111" s="20">
        <v>500</v>
      </c>
    </row>
    <row r="112" spans="1:23" ht="26.25" hidden="1" customHeight="1" x14ac:dyDescent="0.25">
      <c r="B112" s="15"/>
      <c r="C112" s="6" t="s">
        <v>18</v>
      </c>
      <c r="D112" s="23" t="s">
        <v>9</v>
      </c>
      <c r="E112" s="286" t="s">
        <v>551</v>
      </c>
      <c r="F112" s="211" t="s">
        <v>558</v>
      </c>
      <c r="G112" s="48"/>
      <c r="H112" s="39"/>
      <c r="I112" s="360">
        <v>0</v>
      </c>
      <c r="J112" s="39">
        <f t="shared" si="21"/>
        <v>0</v>
      </c>
      <c r="K112" s="309">
        <f>Q112*0.8</f>
        <v>9.98</v>
      </c>
      <c r="L112" s="91"/>
      <c r="M112" s="279"/>
      <c r="N112" s="39"/>
      <c r="O112" s="360">
        <f t="shared" ref="O112:O132" si="31">K112*N112</f>
        <v>0</v>
      </c>
      <c r="P112" s="51" t="str">
        <f t="shared" si="15"/>
        <v>П98х32х42</v>
      </c>
      <c r="Q112" s="306">
        <f t="shared" ref="Q112:Q143" si="32">R112*1.2</f>
        <v>12.48</v>
      </c>
      <c r="R112" s="332">
        <v>10.4</v>
      </c>
      <c r="S112" s="353">
        <f t="shared" si="29"/>
        <v>0</v>
      </c>
      <c r="T112" s="20"/>
      <c r="U112" s="20">
        <f t="shared" si="30"/>
        <v>0</v>
      </c>
      <c r="V112" s="52">
        <f t="shared" ref="V112:V143" si="33">W112-T112+U112</f>
        <v>0</v>
      </c>
      <c r="W112" s="20"/>
    </row>
    <row r="113" spans="1:40" ht="26.25" hidden="1" customHeight="1" x14ac:dyDescent="0.25">
      <c r="B113" s="14"/>
      <c r="C113" s="6" t="s">
        <v>18</v>
      </c>
      <c r="D113" s="23" t="s">
        <v>9</v>
      </c>
      <c r="E113" s="286" t="s">
        <v>195</v>
      </c>
      <c r="F113" s="211" t="s">
        <v>559</v>
      </c>
      <c r="G113" s="48"/>
      <c r="H113" s="39"/>
      <c r="I113" s="360">
        <v>0</v>
      </c>
      <c r="J113" s="39">
        <f t="shared" si="21"/>
        <v>0</v>
      </c>
      <c r="K113" s="309">
        <f>Q113*0.8</f>
        <v>9.98</v>
      </c>
      <c r="L113" s="203"/>
      <c r="M113" s="279"/>
      <c r="N113" s="39"/>
      <c r="O113" s="360">
        <f t="shared" si="31"/>
        <v>0</v>
      </c>
      <c r="P113" s="51" t="str">
        <f t="shared" si="15"/>
        <v>П98х42х32</v>
      </c>
      <c r="Q113" s="306">
        <f t="shared" si="32"/>
        <v>12.48</v>
      </c>
      <c r="R113" s="332">
        <v>10.4</v>
      </c>
      <c r="S113" s="353">
        <f t="shared" si="29"/>
        <v>0</v>
      </c>
      <c r="T113" s="20"/>
      <c r="U113" s="20">
        <f t="shared" si="30"/>
        <v>0</v>
      </c>
      <c r="V113" s="52">
        <f t="shared" si="33"/>
        <v>0</v>
      </c>
      <c r="W113" s="20"/>
    </row>
    <row r="114" spans="1:40" ht="29.25" customHeight="1" x14ac:dyDescent="0.25">
      <c r="B114" s="14">
        <v>40</v>
      </c>
      <c r="C114" s="6" t="s">
        <v>18</v>
      </c>
      <c r="D114" s="23" t="s">
        <v>9</v>
      </c>
      <c r="E114" s="212" t="s">
        <v>459</v>
      </c>
      <c r="F114" s="208">
        <v>1244</v>
      </c>
      <c r="G114" s="12" t="s">
        <v>0</v>
      </c>
      <c r="H114" s="39">
        <v>3000</v>
      </c>
      <c r="I114" s="309">
        <v>6030</v>
      </c>
      <c r="J114" s="39">
        <f t="shared" si="21"/>
        <v>0</v>
      </c>
      <c r="K114" s="309">
        <f>Q114*0.8</f>
        <v>2.0099999999999998</v>
      </c>
      <c r="L114" s="194"/>
      <c r="M114" s="279"/>
      <c r="N114" s="39">
        <v>3000</v>
      </c>
      <c r="O114" s="309">
        <f t="shared" si="31"/>
        <v>6030</v>
      </c>
      <c r="P114" s="264" t="str">
        <f t="shared" si="15"/>
        <v>ЕАЖИ 757.155.066 (пластина)</v>
      </c>
      <c r="Q114" s="306">
        <f t="shared" si="32"/>
        <v>2.5099999999999998</v>
      </c>
      <c r="R114" s="332">
        <f>63.4*0.033</f>
        <v>2.09</v>
      </c>
      <c r="S114" s="353">
        <f t="shared" si="29"/>
        <v>0</v>
      </c>
      <c r="T114" s="148">
        <v>1500</v>
      </c>
      <c r="U114" s="20">
        <f t="shared" si="30"/>
        <v>0</v>
      </c>
      <c r="V114" s="52">
        <f t="shared" si="33"/>
        <v>-1500</v>
      </c>
      <c r="W114" s="20"/>
    </row>
    <row r="115" spans="1:40" ht="33" customHeight="1" x14ac:dyDescent="0.25">
      <c r="B115" s="15">
        <v>41</v>
      </c>
      <c r="C115" s="6" t="s">
        <v>18</v>
      </c>
      <c r="D115" s="23" t="s">
        <v>9</v>
      </c>
      <c r="E115" s="212" t="s">
        <v>460</v>
      </c>
      <c r="F115" s="208" t="s">
        <v>498</v>
      </c>
      <c r="G115" s="12" t="s">
        <v>0</v>
      </c>
      <c r="H115" s="39">
        <v>3000</v>
      </c>
      <c r="I115" s="360">
        <v>6030</v>
      </c>
      <c r="J115" s="39">
        <f t="shared" si="21"/>
        <v>0</v>
      </c>
      <c r="K115" s="309">
        <f>Q115*0.8</f>
        <v>2.0099999999999998</v>
      </c>
      <c r="L115" s="154"/>
      <c r="M115" s="279"/>
      <c r="N115" s="503">
        <v>3000</v>
      </c>
      <c r="O115" s="309">
        <f t="shared" si="31"/>
        <v>6030</v>
      </c>
      <c r="P115" s="235" t="str">
        <f t="shared" si="15"/>
        <v>ЕАЖИ 757.156.066 (замыкающая)</v>
      </c>
      <c r="Q115" s="306">
        <f t="shared" si="32"/>
        <v>2.5099999999999998</v>
      </c>
      <c r="R115" s="332">
        <f>63.4*0.033</f>
        <v>2.09</v>
      </c>
      <c r="S115" s="353">
        <f t="shared" si="29"/>
        <v>0</v>
      </c>
      <c r="T115" s="148">
        <f>52*30</f>
        <v>1560</v>
      </c>
      <c r="U115" s="20">
        <f t="shared" si="30"/>
        <v>0</v>
      </c>
      <c r="V115" s="52">
        <f t="shared" si="33"/>
        <v>2370</v>
      </c>
      <c r="W115" s="444">
        <f>131*30</f>
        <v>3930</v>
      </c>
    </row>
    <row r="116" spans="1:40" ht="26.25" hidden="1" customHeight="1" x14ac:dyDescent="0.25">
      <c r="B116" s="14"/>
      <c r="C116" s="6" t="s">
        <v>18</v>
      </c>
      <c r="D116" s="23" t="s">
        <v>9</v>
      </c>
      <c r="E116" s="212" t="s">
        <v>317</v>
      </c>
      <c r="F116" s="211"/>
      <c r="G116" s="48"/>
      <c r="H116" s="39"/>
      <c r="I116" s="309">
        <v>0</v>
      </c>
      <c r="J116" s="39">
        <f t="shared" si="21"/>
        <v>0</v>
      </c>
      <c r="K116" s="309"/>
      <c r="L116" s="64"/>
      <c r="M116" s="279"/>
      <c r="N116" s="39"/>
      <c r="O116" s="490">
        <f t="shared" si="31"/>
        <v>0</v>
      </c>
      <c r="P116" s="264" t="str">
        <f t="shared" si="15"/>
        <v>П98х23х30</v>
      </c>
      <c r="Q116" s="306">
        <f t="shared" si="32"/>
        <v>0</v>
      </c>
      <c r="R116" s="332">
        <v>0</v>
      </c>
      <c r="S116" s="353">
        <f t="shared" si="29"/>
        <v>0</v>
      </c>
      <c r="T116" s="20">
        <v>300</v>
      </c>
      <c r="U116" s="20">
        <f t="shared" si="30"/>
        <v>0</v>
      </c>
      <c r="V116" s="52">
        <f t="shared" si="33"/>
        <v>38</v>
      </c>
      <c r="W116" s="444">
        <v>338</v>
      </c>
    </row>
    <row r="117" spans="1:40" s="4" customFormat="1" ht="26.25" hidden="1" customHeight="1" x14ac:dyDescent="0.25">
      <c r="A117" s="10"/>
      <c r="B117" s="11"/>
      <c r="C117" s="6" t="s">
        <v>18</v>
      </c>
      <c r="D117" s="23" t="s">
        <v>9</v>
      </c>
      <c r="E117" s="212"/>
      <c r="F117" s="387"/>
      <c r="G117" s="12" t="s">
        <v>0</v>
      </c>
      <c r="H117" s="39"/>
      <c r="I117" s="360">
        <v>0</v>
      </c>
      <c r="J117" s="39">
        <f t="shared" si="21"/>
        <v>0</v>
      </c>
      <c r="K117" s="309">
        <f>Q117*0.8</f>
        <v>5.52</v>
      </c>
      <c r="L117" s="91"/>
      <c r="M117" s="279"/>
      <c r="N117" s="39"/>
      <c r="O117" s="360">
        <f t="shared" si="31"/>
        <v>0</v>
      </c>
      <c r="P117" s="442">
        <f t="shared" si="15"/>
        <v>0</v>
      </c>
      <c r="Q117" s="306">
        <f t="shared" si="32"/>
        <v>6.9</v>
      </c>
      <c r="R117" s="320">
        <v>5.75</v>
      </c>
      <c r="S117" s="353">
        <f t="shared" si="29"/>
        <v>0</v>
      </c>
      <c r="T117" s="20"/>
      <c r="U117" s="20">
        <f t="shared" si="30"/>
        <v>0</v>
      </c>
      <c r="V117" s="52">
        <f t="shared" si="33"/>
        <v>0</v>
      </c>
      <c r="W117" s="20"/>
    </row>
    <row r="118" spans="1:40" ht="26.25" customHeight="1" x14ac:dyDescent="0.25">
      <c r="B118" s="15">
        <v>42</v>
      </c>
      <c r="C118" s="6" t="s">
        <v>18</v>
      </c>
      <c r="D118" s="23" t="s">
        <v>9</v>
      </c>
      <c r="E118" s="43" t="s">
        <v>443</v>
      </c>
      <c r="F118" s="210">
        <v>1062</v>
      </c>
      <c r="G118" s="12" t="s">
        <v>0</v>
      </c>
      <c r="H118" s="39">
        <v>790</v>
      </c>
      <c r="I118" s="360">
        <v>3586.6</v>
      </c>
      <c r="J118" s="39">
        <f t="shared" si="21"/>
        <v>0</v>
      </c>
      <c r="K118" s="309">
        <v>4.54</v>
      </c>
      <c r="L118" s="854"/>
      <c r="M118" s="279"/>
      <c r="N118" s="39">
        <v>790</v>
      </c>
      <c r="O118" s="309">
        <f t="shared" si="31"/>
        <v>3586.6</v>
      </c>
      <c r="P118" s="235" t="str">
        <f t="shared" ref="P118:P181" si="34">E118</f>
        <v>П98х64х14</v>
      </c>
      <c r="Q118" s="306">
        <f t="shared" si="32"/>
        <v>7.08</v>
      </c>
      <c r="R118" s="321">
        <v>5.9</v>
      </c>
      <c r="S118" s="353">
        <f t="shared" si="29"/>
        <v>0</v>
      </c>
      <c r="T118" s="18"/>
      <c r="U118" s="20">
        <f t="shared" si="30"/>
        <v>0</v>
      </c>
      <c r="V118" s="52">
        <f t="shared" si="33"/>
        <v>0</v>
      </c>
      <c r="W118" s="18"/>
    </row>
    <row r="119" spans="1:40" ht="26.25" customHeight="1" x14ac:dyDescent="0.25">
      <c r="B119" s="15">
        <v>43</v>
      </c>
      <c r="C119" s="6" t="s">
        <v>18</v>
      </c>
      <c r="D119" s="23" t="s">
        <v>142</v>
      </c>
      <c r="E119" s="104" t="s">
        <v>1</v>
      </c>
      <c r="F119" s="208" t="s">
        <v>64</v>
      </c>
      <c r="G119" s="12" t="s">
        <v>0</v>
      </c>
      <c r="H119" s="39">
        <v>6000</v>
      </c>
      <c r="I119" s="360">
        <v>1380</v>
      </c>
      <c r="J119" s="39">
        <f t="shared" si="21"/>
        <v>6000</v>
      </c>
      <c r="K119" s="309">
        <f>Q119*0.8</f>
        <v>0.23</v>
      </c>
      <c r="L119" s="154"/>
      <c r="M119" s="140">
        <v>6000</v>
      </c>
      <c r="N119" s="39">
        <v>6000</v>
      </c>
      <c r="O119" s="309">
        <f t="shared" si="31"/>
        <v>1380</v>
      </c>
      <c r="P119" s="235" t="str">
        <f t="shared" si="34"/>
        <v>ОТИБ 757.151.001</v>
      </c>
      <c r="Q119" s="377">
        <f t="shared" si="32"/>
        <v>0.28999999999999998</v>
      </c>
      <c r="R119" s="319">
        <v>0.24</v>
      </c>
      <c r="S119" s="353">
        <f t="shared" si="29"/>
        <v>1440</v>
      </c>
      <c r="T119" s="147">
        <f>3*600</f>
        <v>1800</v>
      </c>
      <c r="U119" s="20">
        <f t="shared" si="30"/>
        <v>6000</v>
      </c>
      <c r="V119" s="52">
        <f t="shared" si="33"/>
        <v>8400</v>
      </c>
      <c r="W119" s="848">
        <f>7*600</f>
        <v>4200</v>
      </c>
      <c r="X119" s="16"/>
    </row>
    <row r="120" spans="1:40" ht="26.25" customHeight="1" x14ac:dyDescent="0.25">
      <c r="B120" s="11">
        <v>44</v>
      </c>
      <c r="C120" s="6" t="s">
        <v>18</v>
      </c>
      <c r="D120" s="23" t="s">
        <v>142</v>
      </c>
      <c r="E120" s="104" t="s">
        <v>2</v>
      </c>
      <c r="F120" s="208" t="s">
        <v>63</v>
      </c>
      <c r="G120" s="12" t="s">
        <v>0</v>
      </c>
      <c r="H120" s="39">
        <v>6000</v>
      </c>
      <c r="I120" s="360">
        <v>2280</v>
      </c>
      <c r="J120" s="39">
        <f t="shared" si="21"/>
        <v>6000</v>
      </c>
      <c r="K120" s="309">
        <f>Q120*0.8</f>
        <v>0.38</v>
      </c>
      <c r="L120" s="194"/>
      <c r="M120" s="140">
        <v>6000</v>
      </c>
      <c r="N120" s="39">
        <v>6000</v>
      </c>
      <c r="O120" s="309">
        <f t="shared" si="31"/>
        <v>2280</v>
      </c>
      <c r="P120" s="235" t="str">
        <f t="shared" si="34"/>
        <v>ОТИБ 757.152.001</v>
      </c>
      <c r="Q120" s="377">
        <f t="shared" si="32"/>
        <v>0.48</v>
      </c>
      <c r="R120" s="319">
        <v>0.4</v>
      </c>
      <c r="S120" s="353">
        <f t="shared" si="29"/>
        <v>2400</v>
      </c>
      <c r="T120" s="147">
        <f>3*600</f>
        <v>1800</v>
      </c>
      <c r="U120" s="20">
        <f t="shared" si="30"/>
        <v>6000</v>
      </c>
      <c r="V120" s="52">
        <f t="shared" si="33"/>
        <v>8400</v>
      </c>
      <c r="W120" s="848">
        <f>7*600</f>
        <v>4200</v>
      </c>
      <c r="X120" s="16">
        <f>3*600+3000+4*600</f>
        <v>7200</v>
      </c>
    </row>
    <row r="121" spans="1:40" ht="26.25" customHeight="1" x14ac:dyDescent="0.25">
      <c r="B121" s="11">
        <v>45</v>
      </c>
      <c r="C121" s="6" t="s">
        <v>18</v>
      </c>
      <c r="D121" s="23" t="s">
        <v>142</v>
      </c>
      <c r="E121" s="104" t="s">
        <v>35</v>
      </c>
      <c r="F121" s="208" t="s">
        <v>51</v>
      </c>
      <c r="G121" s="12" t="s">
        <v>0</v>
      </c>
      <c r="H121" s="39">
        <v>600</v>
      </c>
      <c r="I121" s="360">
        <v>384</v>
      </c>
      <c r="J121" s="39">
        <f t="shared" si="21"/>
        <v>1000</v>
      </c>
      <c r="K121" s="309">
        <v>0.64</v>
      </c>
      <c r="L121" s="196"/>
      <c r="M121" s="142"/>
      <c r="N121" s="39">
        <v>1600</v>
      </c>
      <c r="O121" s="309">
        <f t="shared" si="31"/>
        <v>1024</v>
      </c>
      <c r="P121" s="235" t="str">
        <f t="shared" si="34"/>
        <v>КЦИР 757.125.001-04</v>
      </c>
      <c r="Q121" s="306">
        <f t="shared" si="32"/>
        <v>1.21</v>
      </c>
      <c r="R121" s="319">
        <v>1.01</v>
      </c>
      <c r="S121" s="353">
        <f t="shared" si="29"/>
        <v>1010</v>
      </c>
      <c r="T121" s="148">
        <f>100*10</f>
        <v>1000</v>
      </c>
      <c r="U121" s="20">
        <f t="shared" si="30"/>
        <v>0</v>
      </c>
      <c r="V121" s="52">
        <f t="shared" si="33"/>
        <v>600</v>
      </c>
      <c r="W121" s="444">
        <v>1600</v>
      </c>
    </row>
    <row r="122" spans="1:40" s="4" customFormat="1" ht="26.25" hidden="1" customHeight="1" x14ac:dyDescent="0.25">
      <c r="A122" s="10"/>
      <c r="B122" s="11"/>
      <c r="C122" s="6" t="s">
        <v>18</v>
      </c>
      <c r="D122" s="23" t="s">
        <v>142</v>
      </c>
      <c r="E122" s="1" t="s">
        <v>372</v>
      </c>
      <c r="F122" s="387" t="s">
        <v>375</v>
      </c>
      <c r="G122" s="48" t="s">
        <v>0</v>
      </c>
      <c r="H122" s="39">
        <v>0</v>
      </c>
      <c r="I122" s="309">
        <v>0</v>
      </c>
      <c r="J122" s="39">
        <f t="shared" si="21"/>
        <v>0</v>
      </c>
      <c r="K122" s="309">
        <f>Q122/1.4</f>
        <v>0.34</v>
      </c>
      <c r="L122" s="89"/>
      <c r="M122" s="140"/>
      <c r="N122" s="39">
        <v>0</v>
      </c>
      <c r="O122" s="507">
        <f t="shared" si="31"/>
        <v>0</v>
      </c>
      <c r="P122" s="264" t="str">
        <f t="shared" si="34"/>
        <v>К19,5х10,2х3,2</v>
      </c>
      <c r="Q122" s="377">
        <f t="shared" si="32"/>
        <v>0.48</v>
      </c>
      <c r="R122" s="322">
        <v>0.4</v>
      </c>
      <c r="S122" s="353">
        <f t="shared" si="29"/>
        <v>0</v>
      </c>
      <c r="T122" s="18">
        <v>0</v>
      </c>
      <c r="U122" s="20">
        <f t="shared" si="30"/>
        <v>0</v>
      </c>
      <c r="V122" s="52">
        <f t="shared" si="33"/>
        <v>0</v>
      </c>
      <c r="W122" s="18">
        <v>0</v>
      </c>
    </row>
    <row r="123" spans="1:40" ht="26.25" customHeight="1" x14ac:dyDescent="0.25">
      <c r="B123" s="11">
        <v>46</v>
      </c>
      <c r="C123" s="6" t="s">
        <v>18</v>
      </c>
      <c r="D123" s="23" t="s">
        <v>142</v>
      </c>
      <c r="E123" s="104" t="s">
        <v>28</v>
      </c>
      <c r="F123" s="208" t="s">
        <v>50</v>
      </c>
      <c r="G123" s="12" t="s">
        <v>0</v>
      </c>
      <c r="H123" s="39">
        <v>16800</v>
      </c>
      <c r="I123" s="360">
        <v>2688</v>
      </c>
      <c r="J123" s="39">
        <f t="shared" si="21"/>
        <v>3840</v>
      </c>
      <c r="K123" s="309">
        <f>Q123/1.4</f>
        <v>0.16</v>
      </c>
      <c r="L123" s="194"/>
      <c r="M123" s="142">
        <v>3840</v>
      </c>
      <c r="N123" s="39">
        <v>16800</v>
      </c>
      <c r="O123" s="309">
        <f t="shared" si="31"/>
        <v>2688</v>
      </c>
      <c r="P123" s="235" t="str">
        <f t="shared" si="34"/>
        <v>П10х20х33</v>
      </c>
      <c r="Q123" s="306">
        <f t="shared" si="32"/>
        <v>0.23</v>
      </c>
      <c r="R123" s="319">
        <v>0.19</v>
      </c>
      <c r="S123" s="353">
        <f t="shared" si="29"/>
        <v>729.6</v>
      </c>
      <c r="T123" s="148">
        <f>6720+2*480</f>
        <v>7680</v>
      </c>
      <c r="U123" s="20">
        <f t="shared" si="30"/>
        <v>3840</v>
      </c>
      <c r="V123" s="52">
        <f t="shared" si="33"/>
        <v>14400</v>
      </c>
      <c r="W123" s="444">
        <f>21*480+17*480</f>
        <v>18240</v>
      </c>
    </row>
    <row r="124" spans="1:40" s="4" customFormat="1" ht="26.25" hidden="1" customHeight="1" x14ac:dyDescent="0.25">
      <c r="A124" s="10"/>
      <c r="B124" s="11"/>
      <c r="C124" s="6" t="s">
        <v>18</v>
      </c>
      <c r="D124" s="23" t="s">
        <v>142</v>
      </c>
      <c r="E124" s="104" t="s">
        <v>165</v>
      </c>
      <c r="F124" s="210" t="s">
        <v>164</v>
      </c>
      <c r="G124" s="48" t="s">
        <v>0</v>
      </c>
      <c r="H124" s="39"/>
      <c r="I124" s="360">
        <v>0</v>
      </c>
      <c r="J124" s="39">
        <f t="shared" si="21"/>
        <v>0</v>
      </c>
      <c r="K124" s="309">
        <f>Q124/1.4</f>
        <v>0.19</v>
      </c>
      <c r="L124" s="205"/>
      <c r="M124" s="140"/>
      <c r="N124" s="503"/>
      <c r="O124" s="309">
        <f t="shared" si="31"/>
        <v>0</v>
      </c>
      <c r="P124" s="235" t="str">
        <f t="shared" si="34"/>
        <v>П10х20х33-Литопласт</v>
      </c>
      <c r="Q124" s="306">
        <f t="shared" si="32"/>
        <v>0.26</v>
      </c>
      <c r="R124" s="336">
        <v>0.22</v>
      </c>
      <c r="S124" s="353">
        <f t="shared" si="29"/>
        <v>0</v>
      </c>
      <c r="T124" s="20"/>
      <c r="U124" s="20">
        <f t="shared" si="30"/>
        <v>0</v>
      </c>
      <c r="V124" s="52">
        <f t="shared" si="33"/>
        <v>0</v>
      </c>
      <c r="W124" s="2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1:40" ht="26.25" customHeight="1" x14ac:dyDescent="0.25">
      <c r="B125" s="11">
        <v>47</v>
      </c>
      <c r="C125" s="6" t="s">
        <v>18</v>
      </c>
      <c r="D125" s="23" t="s">
        <v>142</v>
      </c>
      <c r="E125" s="104" t="s">
        <v>531</v>
      </c>
      <c r="F125" s="208" t="s">
        <v>49</v>
      </c>
      <c r="G125" s="12" t="s">
        <v>0</v>
      </c>
      <c r="H125" s="39">
        <v>2326</v>
      </c>
      <c r="I125" s="360">
        <v>907.14</v>
      </c>
      <c r="J125" s="39">
        <f t="shared" si="21"/>
        <v>0</v>
      </c>
      <c r="K125" s="309">
        <f>Q125/1.4</f>
        <v>0.39</v>
      </c>
      <c r="L125" s="205"/>
      <c r="M125" s="140"/>
      <c r="N125" s="39">
        <f>3186-260-100-500</f>
        <v>2326</v>
      </c>
      <c r="O125" s="309">
        <f t="shared" si="31"/>
        <v>907.14</v>
      </c>
      <c r="P125" s="235" t="str">
        <f t="shared" si="34"/>
        <v>К22,4х8,9х10 ЭПГ110.138</v>
      </c>
      <c r="Q125" s="306">
        <f t="shared" si="32"/>
        <v>0.55000000000000004</v>
      </c>
      <c r="R125" s="319">
        <v>0.46</v>
      </c>
      <c r="S125" s="353">
        <f t="shared" si="29"/>
        <v>0</v>
      </c>
      <c r="T125" s="20"/>
      <c r="U125" s="20">
        <f t="shared" si="30"/>
        <v>0</v>
      </c>
      <c r="V125" s="52">
        <f t="shared" si="33"/>
        <v>0</v>
      </c>
      <c r="W125" s="20"/>
    </row>
    <row r="126" spans="1:40" ht="26.25" customHeight="1" x14ac:dyDescent="0.25">
      <c r="B126" s="11">
        <v>48</v>
      </c>
      <c r="C126" s="6" t="s">
        <v>18</v>
      </c>
      <c r="D126" s="23" t="s">
        <v>142</v>
      </c>
      <c r="E126" s="104" t="s">
        <v>952</v>
      </c>
      <c r="F126" s="383">
        <v>1520</v>
      </c>
      <c r="G126" s="48"/>
      <c r="H126" s="39"/>
      <c r="I126" s="309">
        <v>0</v>
      </c>
      <c r="J126" s="39">
        <f t="shared" si="21"/>
        <v>3000</v>
      </c>
      <c r="K126" s="309">
        <f>Q126/1.4</f>
        <v>0.43</v>
      </c>
      <c r="L126" s="89"/>
      <c r="M126" s="142">
        <v>1000</v>
      </c>
      <c r="N126" s="39">
        <v>2000</v>
      </c>
      <c r="O126" s="490">
        <f t="shared" si="31"/>
        <v>860</v>
      </c>
      <c r="P126" s="262" t="str">
        <f t="shared" si="34"/>
        <v>К12х3х11,5</v>
      </c>
      <c r="Q126" s="377">
        <f t="shared" si="32"/>
        <v>0.6</v>
      </c>
      <c r="R126" s="322">
        <v>0.5</v>
      </c>
      <c r="S126" s="353">
        <f t="shared" si="29"/>
        <v>1500</v>
      </c>
      <c r="T126" s="20"/>
      <c r="U126" s="20">
        <f t="shared" si="30"/>
        <v>1000</v>
      </c>
      <c r="V126" s="52">
        <f t="shared" si="33"/>
        <v>1000</v>
      </c>
      <c r="W126" s="20"/>
    </row>
    <row r="127" spans="1:40" ht="26.25" hidden="1" customHeight="1" x14ac:dyDescent="0.25">
      <c r="B127" s="15"/>
      <c r="C127" s="6" t="s">
        <v>129</v>
      </c>
      <c r="D127" s="23" t="s">
        <v>142</v>
      </c>
      <c r="E127" s="104" t="s">
        <v>130</v>
      </c>
      <c r="F127" s="391" t="s">
        <v>198</v>
      </c>
      <c r="G127" s="19" t="s">
        <v>0</v>
      </c>
      <c r="H127" s="39">
        <v>0</v>
      </c>
      <c r="I127" s="309">
        <v>0</v>
      </c>
      <c r="J127" s="39">
        <f t="shared" si="21"/>
        <v>0</v>
      </c>
      <c r="K127" s="309">
        <f t="shared" ref="K127:K132" si="35">Q127/1.4</f>
        <v>1.59</v>
      </c>
      <c r="L127" s="42"/>
      <c r="M127" s="140"/>
      <c r="N127" s="39">
        <v>0</v>
      </c>
      <c r="O127" s="497">
        <f t="shared" si="31"/>
        <v>0</v>
      </c>
      <c r="P127" s="263" t="str">
        <f t="shared" si="34"/>
        <v>К21,5х15х2 (8ПМ610.033)</v>
      </c>
      <c r="Q127" s="377">
        <f t="shared" si="32"/>
        <v>2.2200000000000002</v>
      </c>
      <c r="R127" s="320">
        <v>1.85</v>
      </c>
      <c r="S127" s="353">
        <f t="shared" si="29"/>
        <v>0</v>
      </c>
      <c r="T127" s="18"/>
      <c r="U127" s="20">
        <f t="shared" si="30"/>
        <v>0</v>
      </c>
      <c r="V127" s="52">
        <f t="shared" si="33"/>
        <v>0</v>
      </c>
      <c r="W127" s="18"/>
    </row>
    <row r="128" spans="1:40" ht="26.25" hidden="1" customHeight="1" x14ac:dyDescent="0.25">
      <c r="B128" s="11"/>
      <c r="C128" s="6" t="s">
        <v>18</v>
      </c>
      <c r="D128" s="23" t="s">
        <v>142</v>
      </c>
      <c r="E128" s="104" t="s">
        <v>817</v>
      </c>
      <c r="F128" s="210">
        <v>1289</v>
      </c>
      <c r="G128" s="48" t="s">
        <v>0</v>
      </c>
      <c r="H128" s="39"/>
      <c r="I128" s="360">
        <v>0</v>
      </c>
      <c r="J128" s="39">
        <f t="shared" si="21"/>
        <v>0</v>
      </c>
      <c r="K128" s="309">
        <f t="shared" si="35"/>
        <v>0.04</v>
      </c>
      <c r="L128" s="88"/>
      <c r="M128" s="140"/>
      <c r="N128" s="39"/>
      <c r="O128" s="309">
        <f t="shared" si="31"/>
        <v>0</v>
      </c>
      <c r="P128" s="51" t="str">
        <f t="shared" si="34"/>
        <v>Д13,5х2</v>
      </c>
      <c r="Q128" s="377">
        <f t="shared" si="32"/>
        <v>0.06</v>
      </c>
      <c r="R128" s="337">
        <v>0.05</v>
      </c>
      <c r="S128" s="353">
        <f t="shared" si="29"/>
        <v>0</v>
      </c>
      <c r="T128" s="20"/>
      <c r="U128" s="20">
        <f t="shared" si="30"/>
        <v>0</v>
      </c>
      <c r="V128" s="52">
        <f t="shared" si="33"/>
        <v>0</v>
      </c>
      <c r="W128" s="20"/>
    </row>
    <row r="129" spans="1:207" s="5" customFormat="1" ht="26.25" customHeight="1" thickBot="1" x14ac:dyDescent="0.3">
      <c r="B129" s="14">
        <v>49</v>
      </c>
      <c r="C129" s="6" t="s">
        <v>18</v>
      </c>
      <c r="D129" s="23" t="s">
        <v>142</v>
      </c>
      <c r="E129" s="104" t="s">
        <v>502</v>
      </c>
      <c r="F129" s="390">
        <v>761</v>
      </c>
      <c r="G129" s="12" t="s">
        <v>0</v>
      </c>
      <c r="H129" s="39"/>
      <c r="I129" s="309">
        <v>0</v>
      </c>
      <c r="J129" s="39">
        <f t="shared" si="21"/>
        <v>0</v>
      </c>
      <c r="K129" s="309">
        <f t="shared" si="35"/>
        <v>1.03</v>
      </c>
      <c r="L129" s="42"/>
      <c r="M129" s="140"/>
      <c r="N129" s="39"/>
      <c r="O129" s="490">
        <f t="shared" si="31"/>
        <v>0</v>
      </c>
      <c r="P129" s="256" t="str">
        <f t="shared" si="34"/>
        <v>Д15х7х5</v>
      </c>
      <c r="Q129" s="306">
        <f t="shared" si="32"/>
        <v>1.44</v>
      </c>
      <c r="R129" s="319">
        <v>1.2</v>
      </c>
      <c r="S129" s="353">
        <f t="shared" si="29"/>
        <v>0</v>
      </c>
      <c r="T129" s="18"/>
      <c r="U129" s="20">
        <f t="shared" si="30"/>
        <v>0</v>
      </c>
      <c r="V129" s="52">
        <f t="shared" si="33"/>
        <v>0</v>
      </c>
      <c r="W129" s="18"/>
    </row>
    <row r="130" spans="1:207" ht="26.25" hidden="1" customHeight="1" x14ac:dyDescent="0.25">
      <c r="B130" s="15"/>
      <c r="C130" s="6" t="s">
        <v>18</v>
      </c>
      <c r="D130" s="23" t="s">
        <v>142</v>
      </c>
      <c r="E130" s="106" t="s">
        <v>185</v>
      </c>
      <c r="F130" s="386">
        <v>879</v>
      </c>
      <c r="G130" s="19" t="s">
        <v>0</v>
      </c>
      <c r="H130" s="39"/>
      <c r="I130" s="309">
        <v>0</v>
      </c>
      <c r="J130" s="39">
        <f t="shared" si="21"/>
        <v>0</v>
      </c>
      <c r="K130" s="309">
        <f t="shared" si="35"/>
        <v>0.39</v>
      </c>
      <c r="L130" s="42" t="s">
        <v>155</v>
      </c>
      <c r="M130" s="140"/>
      <c r="N130" s="39"/>
      <c r="O130" s="309">
        <f t="shared" si="31"/>
        <v>0</v>
      </c>
      <c r="P130" s="262" t="str">
        <f t="shared" si="34"/>
        <v>К9,7х4,5х12,5</v>
      </c>
      <c r="Q130" s="377">
        <f t="shared" si="32"/>
        <v>0.54</v>
      </c>
      <c r="R130" s="320">
        <v>0.45</v>
      </c>
      <c r="S130" s="353">
        <f t="shared" si="29"/>
        <v>0</v>
      </c>
      <c r="T130" s="18">
        <v>0</v>
      </c>
      <c r="U130" s="20">
        <f t="shared" si="30"/>
        <v>0</v>
      </c>
      <c r="V130" s="52">
        <f t="shared" si="33"/>
        <v>0</v>
      </c>
      <c r="W130" s="18">
        <v>0</v>
      </c>
    </row>
    <row r="131" spans="1:207" s="21" customFormat="1" ht="26.25" customHeight="1" x14ac:dyDescent="0.25">
      <c r="B131" s="15">
        <v>50</v>
      </c>
      <c r="C131" s="6" t="s">
        <v>18</v>
      </c>
      <c r="D131" s="23" t="s">
        <v>142</v>
      </c>
      <c r="E131" s="104" t="s">
        <v>515</v>
      </c>
      <c r="F131" s="526" t="s">
        <v>585</v>
      </c>
      <c r="G131" s="19" t="s">
        <v>0</v>
      </c>
      <c r="H131" s="39">
        <v>287000</v>
      </c>
      <c r="I131" s="309">
        <v>8610</v>
      </c>
      <c r="J131" s="39">
        <f t="shared" si="21"/>
        <v>0</v>
      </c>
      <c r="K131" s="309">
        <f t="shared" si="35"/>
        <v>0.03</v>
      </c>
      <c r="L131" s="271"/>
      <c r="M131" s="140">
        <v>189000</v>
      </c>
      <c r="N131" s="39">
        <f>41*7000-189000</f>
        <v>98000</v>
      </c>
      <c r="O131" s="309">
        <f t="shared" si="31"/>
        <v>2940</v>
      </c>
      <c r="P131" s="263" t="str">
        <f t="shared" si="34"/>
        <v>П10х5х5</v>
      </c>
      <c r="Q131" s="377">
        <f t="shared" si="32"/>
        <v>0.04</v>
      </c>
      <c r="R131" s="320">
        <v>0.03</v>
      </c>
      <c r="S131" s="353">
        <f t="shared" si="29"/>
        <v>0</v>
      </c>
      <c r="T131" s="147">
        <f>48*7000+2*7000</f>
        <v>350000</v>
      </c>
      <c r="U131" s="20">
        <f t="shared" si="30"/>
        <v>189000</v>
      </c>
      <c r="V131" s="52">
        <f t="shared" si="33"/>
        <v>28000</v>
      </c>
      <c r="W131" s="848">
        <f>27*7000</f>
        <v>189000</v>
      </c>
      <c r="X131" s="21">
        <f>40*7000</f>
        <v>280000</v>
      </c>
    </row>
    <row r="132" spans="1:207" s="3" customFormat="1" ht="26.25" customHeight="1" x14ac:dyDescent="0.25">
      <c r="B132" s="11">
        <v>51</v>
      </c>
      <c r="C132" s="6" t="s">
        <v>18</v>
      </c>
      <c r="D132" s="23" t="s">
        <v>142</v>
      </c>
      <c r="E132" s="104" t="s">
        <v>134</v>
      </c>
      <c r="F132" s="526" t="s">
        <v>236</v>
      </c>
      <c r="G132" s="12" t="s">
        <v>0</v>
      </c>
      <c r="H132" s="39">
        <v>1060</v>
      </c>
      <c r="I132" s="360">
        <v>922.2</v>
      </c>
      <c r="J132" s="39">
        <f t="shared" si="21"/>
        <v>0</v>
      </c>
      <c r="K132" s="309">
        <f t="shared" si="35"/>
        <v>0.87</v>
      </c>
      <c r="L132" s="89"/>
      <c r="M132" s="140"/>
      <c r="N132" s="503">
        <f>320*3+100</f>
        <v>1060</v>
      </c>
      <c r="O132" s="309">
        <f t="shared" si="31"/>
        <v>922.2</v>
      </c>
      <c r="P132" s="235" t="str">
        <f t="shared" si="34"/>
        <v>ЭПГ110.084</v>
      </c>
      <c r="Q132" s="377">
        <f t="shared" si="32"/>
        <v>1.22</v>
      </c>
      <c r="R132" s="321">
        <v>1.02</v>
      </c>
      <c r="S132" s="353">
        <f t="shared" si="29"/>
        <v>0</v>
      </c>
      <c r="T132" s="147">
        <f>320*3+272</f>
        <v>1232</v>
      </c>
      <c r="U132" s="20">
        <f t="shared" si="30"/>
        <v>0</v>
      </c>
      <c r="V132" s="52">
        <f t="shared" si="33"/>
        <v>-100</v>
      </c>
      <c r="W132" s="848">
        <f>320*3+272-100</f>
        <v>1132</v>
      </c>
    </row>
    <row r="133" spans="1:207" ht="26.25" customHeight="1" x14ac:dyDescent="0.25">
      <c r="B133" s="11">
        <v>52</v>
      </c>
      <c r="C133" s="6" t="s">
        <v>18</v>
      </c>
      <c r="D133" s="23" t="s">
        <v>142</v>
      </c>
      <c r="E133" s="104" t="s">
        <v>429</v>
      </c>
      <c r="F133" s="208" t="s">
        <v>68</v>
      </c>
      <c r="G133" s="12" t="s">
        <v>0</v>
      </c>
      <c r="H133" s="39">
        <v>115</v>
      </c>
      <c r="I133" s="360">
        <v>23.95</v>
      </c>
      <c r="J133" s="39">
        <f t="shared" si="21"/>
        <v>0</v>
      </c>
      <c r="K133" s="309">
        <v>0.21</v>
      </c>
      <c r="L133" s="92"/>
      <c r="M133" s="140"/>
      <c r="N133" s="39">
        <v>115</v>
      </c>
      <c r="O133" s="309">
        <v>23.95</v>
      </c>
      <c r="P133" s="235" t="str">
        <f t="shared" si="34"/>
        <v>ЭПГ 110.139 (К18х10х6)</v>
      </c>
      <c r="Q133" s="377">
        <f t="shared" si="32"/>
        <v>0.28999999999999998</v>
      </c>
      <c r="R133" s="338">
        <v>0.24299999999999999</v>
      </c>
      <c r="S133" s="353">
        <f t="shared" si="29"/>
        <v>0</v>
      </c>
      <c r="T133" s="18">
        <v>500</v>
      </c>
      <c r="U133" s="20">
        <f t="shared" si="30"/>
        <v>0</v>
      </c>
      <c r="V133" s="52">
        <f t="shared" si="33"/>
        <v>0</v>
      </c>
      <c r="W133" s="848">
        <v>500</v>
      </c>
    </row>
    <row r="134" spans="1:207" s="4" customFormat="1" ht="26.25" customHeight="1" x14ac:dyDescent="0.25">
      <c r="A134" s="10"/>
      <c r="B134" s="11">
        <v>53</v>
      </c>
      <c r="C134" s="6" t="s">
        <v>18</v>
      </c>
      <c r="D134" s="23" t="s">
        <v>142</v>
      </c>
      <c r="E134" s="87" t="s">
        <v>338</v>
      </c>
      <c r="F134" s="526" t="s">
        <v>534</v>
      </c>
      <c r="G134" s="12" t="s">
        <v>0</v>
      </c>
      <c r="H134" s="39">
        <v>180</v>
      </c>
      <c r="I134" s="360">
        <v>307.8</v>
      </c>
      <c r="J134" s="39">
        <f t="shared" ref="J134:J197" si="36">M134+N134-H134</f>
        <v>0</v>
      </c>
      <c r="K134" s="309">
        <f t="shared" ref="K134:K139" si="37">Q134/1.4</f>
        <v>1.71</v>
      </c>
      <c r="L134" s="205"/>
      <c r="M134" s="140"/>
      <c r="N134" s="39">
        <v>180</v>
      </c>
      <c r="O134" s="309">
        <f t="shared" ref="O134:O139" si="38">K134*N134</f>
        <v>307.8</v>
      </c>
      <c r="P134" s="235" t="str">
        <f t="shared" si="34"/>
        <v>Д12х5,5</v>
      </c>
      <c r="Q134" s="306">
        <f t="shared" si="32"/>
        <v>2.4</v>
      </c>
      <c r="R134" s="326">
        <v>2</v>
      </c>
      <c r="S134" s="353">
        <f t="shared" si="29"/>
        <v>0</v>
      </c>
      <c r="T134" s="18">
        <v>0</v>
      </c>
      <c r="U134" s="20">
        <f t="shared" ref="U134:U165" si="39">M134</f>
        <v>0</v>
      </c>
      <c r="V134" s="52">
        <f t="shared" si="33"/>
        <v>0</v>
      </c>
      <c r="W134" s="18">
        <v>0</v>
      </c>
    </row>
    <row r="135" spans="1:207" s="4" customFormat="1" ht="26.25" customHeight="1" x14ac:dyDescent="0.25">
      <c r="A135" s="10"/>
      <c r="B135" s="11">
        <v>54</v>
      </c>
      <c r="C135" s="6" t="s">
        <v>18</v>
      </c>
      <c r="D135" s="23" t="s">
        <v>142</v>
      </c>
      <c r="E135" s="87" t="s">
        <v>450</v>
      </c>
      <c r="F135" s="526" t="s">
        <v>457</v>
      </c>
      <c r="G135" s="12" t="s">
        <v>0</v>
      </c>
      <c r="H135" s="39">
        <v>600</v>
      </c>
      <c r="I135" s="360">
        <v>66</v>
      </c>
      <c r="J135" s="39">
        <f t="shared" si="36"/>
        <v>0</v>
      </c>
      <c r="K135" s="309">
        <f t="shared" si="37"/>
        <v>0.11</v>
      </c>
      <c r="L135" s="42"/>
      <c r="M135" s="140"/>
      <c r="N135" s="39">
        <v>600</v>
      </c>
      <c r="O135" s="309">
        <f t="shared" si="38"/>
        <v>66</v>
      </c>
      <c r="P135" s="235" t="str">
        <f t="shared" si="34"/>
        <v>п33х20х2,5</v>
      </c>
      <c r="Q135" s="377">
        <f t="shared" si="32"/>
        <v>0.16</v>
      </c>
      <c r="R135" s="319">
        <v>0.13</v>
      </c>
      <c r="S135" s="353">
        <f t="shared" si="29"/>
        <v>0</v>
      </c>
      <c r="T135" s="18">
        <v>0</v>
      </c>
      <c r="U135" s="20">
        <f t="shared" si="39"/>
        <v>0</v>
      </c>
      <c r="V135" s="52">
        <f t="shared" si="33"/>
        <v>0</v>
      </c>
      <c r="W135" s="18">
        <v>0</v>
      </c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1:207" s="4" customFormat="1" ht="26.25" hidden="1" customHeight="1" x14ac:dyDescent="0.25">
      <c r="A136" s="10"/>
      <c r="B136" s="11"/>
      <c r="C136" s="6" t="s">
        <v>18</v>
      </c>
      <c r="D136" s="23" t="s">
        <v>142</v>
      </c>
      <c r="E136" s="87" t="s">
        <v>818</v>
      </c>
      <c r="F136" s="387" t="s">
        <v>822</v>
      </c>
      <c r="G136" s="14" t="s">
        <v>0</v>
      </c>
      <c r="H136" s="39"/>
      <c r="I136" s="309">
        <v>0</v>
      </c>
      <c r="J136" s="39">
        <f t="shared" si="36"/>
        <v>0</v>
      </c>
      <c r="K136" s="309">
        <f t="shared" si="37"/>
        <v>49.71</v>
      </c>
      <c r="L136" s="89"/>
      <c r="M136" s="140"/>
      <c r="N136" s="39"/>
      <c r="O136" s="467">
        <f t="shared" si="38"/>
        <v>0</v>
      </c>
      <c r="P136" s="262" t="str">
        <f t="shared" si="34"/>
        <v>К34х26х3</v>
      </c>
      <c r="Q136" s="377">
        <f t="shared" si="32"/>
        <v>69.599999999999994</v>
      </c>
      <c r="R136" s="326">
        <v>58</v>
      </c>
      <c r="S136" s="353">
        <f t="shared" ref="S136:S165" si="40">R136*J136</f>
        <v>0</v>
      </c>
      <c r="T136" s="20"/>
      <c r="U136" s="20">
        <f t="shared" si="39"/>
        <v>0</v>
      </c>
      <c r="V136" s="52">
        <f t="shared" si="33"/>
        <v>0</v>
      </c>
      <c r="W136" s="20"/>
    </row>
    <row r="137" spans="1:207" ht="26.25" hidden="1" customHeight="1" x14ac:dyDescent="0.25">
      <c r="B137" s="11"/>
      <c r="C137" s="6" t="s">
        <v>18</v>
      </c>
      <c r="D137" s="23" t="s">
        <v>142</v>
      </c>
      <c r="E137" s="107" t="s">
        <v>114</v>
      </c>
      <c r="F137" s="210" t="s">
        <v>117</v>
      </c>
      <c r="G137" s="48" t="s">
        <v>0</v>
      </c>
      <c r="H137" s="39"/>
      <c r="I137" s="309">
        <v>0</v>
      </c>
      <c r="J137" s="39">
        <f t="shared" si="36"/>
        <v>0</v>
      </c>
      <c r="K137" s="309">
        <f t="shared" si="37"/>
        <v>0.01</v>
      </c>
      <c r="L137" s="82"/>
      <c r="M137" s="140"/>
      <c r="N137" s="39"/>
      <c r="O137" s="309">
        <f t="shared" si="38"/>
        <v>0</v>
      </c>
      <c r="P137" s="235" t="str">
        <f t="shared" si="34"/>
        <v>ЖЕ7.074.896   (К14,2*9,5*4,6)</v>
      </c>
      <c r="Q137" s="377">
        <f t="shared" si="32"/>
        <v>0.02</v>
      </c>
      <c r="R137" s="339">
        <v>2.0400000000000001E-2</v>
      </c>
      <c r="S137" s="353">
        <f t="shared" si="40"/>
        <v>0</v>
      </c>
      <c r="T137" s="20">
        <f>4*3000</f>
        <v>12000</v>
      </c>
      <c r="U137" s="20">
        <f t="shared" si="39"/>
        <v>0</v>
      </c>
      <c r="V137" s="52">
        <f t="shared" si="33"/>
        <v>0</v>
      </c>
      <c r="W137" s="20">
        <f>4*3000</f>
        <v>12000</v>
      </c>
    </row>
    <row r="138" spans="1:207" ht="26.25" hidden="1" customHeight="1" x14ac:dyDescent="0.25">
      <c r="B138" s="11"/>
      <c r="C138" s="6" t="s">
        <v>18</v>
      </c>
      <c r="D138" s="23" t="s">
        <v>142</v>
      </c>
      <c r="E138" s="107" t="s">
        <v>173</v>
      </c>
      <c r="F138" s="208" t="s">
        <v>118</v>
      </c>
      <c r="G138" s="48" t="s">
        <v>0</v>
      </c>
      <c r="H138" s="39"/>
      <c r="I138" s="309">
        <v>0</v>
      </c>
      <c r="J138" s="39">
        <f t="shared" si="36"/>
        <v>0</v>
      </c>
      <c r="K138" s="309">
        <f t="shared" si="37"/>
        <v>0.01</v>
      </c>
      <c r="L138" s="204"/>
      <c r="M138" s="140"/>
      <c r="N138" s="39"/>
      <c r="O138" s="309">
        <f t="shared" si="38"/>
        <v>0</v>
      </c>
      <c r="P138" s="235" t="str">
        <f t="shared" si="34"/>
        <v>ЖЕ7.074.978   (Д14)</v>
      </c>
      <c r="Q138" s="377">
        <f t="shared" si="32"/>
        <v>0.02</v>
      </c>
      <c r="R138" s="319">
        <v>1.5599999999999999E-2</v>
      </c>
      <c r="S138" s="353">
        <f t="shared" si="40"/>
        <v>0</v>
      </c>
      <c r="T138" s="18"/>
      <c r="U138" s="20">
        <f t="shared" si="39"/>
        <v>0</v>
      </c>
      <c r="V138" s="52">
        <f t="shared" si="33"/>
        <v>0</v>
      </c>
      <c r="W138" s="18"/>
    </row>
    <row r="139" spans="1:207" s="4" customFormat="1" ht="26.25" hidden="1" customHeight="1" x14ac:dyDescent="0.25">
      <c r="A139" s="10"/>
      <c r="B139" s="11"/>
      <c r="C139" s="6" t="s">
        <v>18</v>
      </c>
      <c r="D139" s="23" t="s">
        <v>142</v>
      </c>
      <c r="E139" s="87" t="s">
        <v>532</v>
      </c>
      <c r="F139" s="375">
        <v>1329</v>
      </c>
      <c r="G139" s="14" t="s">
        <v>0</v>
      </c>
      <c r="H139" s="39"/>
      <c r="I139" s="360">
        <v>0</v>
      </c>
      <c r="J139" s="39">
        <f t="shared" si="36"/>
        <v>0</v>
      </c>
      <c r="K139" s="309">
        <f t="shared" si="37"/>
        <v>8.57</v>
      </c>
      <c r="L139" s="205" t="s">
        <v>536</v>
      </c>
      <c r="M139" s="140"/>
      <c r="N139" s="39"/>
      <c r="O139" s="309">
        <f t="shared" si="38"/>
        <v>0</v>
      </c>
      <c r="P139" s="263" t="str">
        <f t="shared" si="34"/>
        <v>магнитопл П250х25х1</v>
      </c>
      <c r="Q139" s="306">
        <f t="shared" si="32"/>
        <v>12</v>
      </c>
      <c r="R139" s="322">
        <v>10</v>
      </c>
      <c r="S139" s="353">
        <f t="shared" si="40"/>
        <v>0</v>
      </c>
      <c r="T139" s="18"/>
      <c r="U139" s="20">
        <f t="shared" si="39"/>
        <v>0</v>
      </c>
      <c r="V139" s="52">
        <f t="shared" si="33"/>
        <v>0</v>
      </c>
      <c r="W139" s="18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</row>
    <row r="140" spans="1:207" ht="26.25" customHeight="1" x14ac:dyDescent="0.25">
      <c r="B140" s="11">
        <v>55</v>
      </c>
      <c r="C140" s="6" t="s">
        <v>18</v>
      </c>
      <c r="D140" s="23" t="s">
        <v>142</v>
      </c>
      <c r="E140" s="107" t="s">
        <v>122</v>
      </c>
      <c r="F140" s="208" t="s">
        <v>125</v>
      </c>
      <c r="G140" s="12" t="s">
        <v>0</v>
      </c>
      <c r="H140" s="39">
        <v>1300</v>
      </c>
      <c r="I140" s="360">
        <v>149.76</v>
      </c>
      <c r="J140" s="39">
        <f t="shared" si="36"/>
        <v>0</v>
      </c>
      <c r="K140" s="309">
        <v>0.12</v>
      </c>
      <c r="L140" s="92"/>
      <c r="M140" s="140"/>
      <c r="N140" s="39">
        <v>1300</v>
      </c>
      <c r="O140" s="309">
        <v>149.76</v>
      </c>
      <c r="P140" s="235" t="str">
        <f t="shared" si="34"/>
        <v>ЖЕ7.074.975   (К23,6*9,5*21)</v>
      </c>
      <c r="Q140" s="377">
        <f t="shared" si="32"/>
        <v>0.16</v>
      </c>
      <c r="R140" s="319">
        <v>0.13439999999999999</v>
      </c>
      <c r="S140" s="353">
        <f t="shared" si="40"/>
        <v>0</v>
      </c>
      <c r="T140" s="20"/>
      <c r="U140" s="20">
        <f t="shared" si="39"/>
        <v>0</v>
      </c>
      <c r="V140" s="52">
        <f t="shared" si="33"/>
        <v>0</v>
      </c>
      <c r="W140" s="20"/>
    </row>
    <row r="141" spans="1:207" ht="32.25" customHeight="1" x14ac:dyDescent="0.25">
      <c r="B141" s="11">
        <v>56</v>
      </c>
      <c r="C141" s="6" t="s">
        <v>18</v>
      </c>
      <c r="D141" s="23" t="s">
        <v>142</v>
      </c>
      <c r="E141" s="106" t="s">
        <v>248</v>
      </c>
      <c r="F141" s="526" t="s">
        <v>235</v>
      </c>
      <c r="G141" s="12" t="s">
        <v>0</v>
      </c>
      <c r="H141" s="39">
        <v>16000</v>
      </c>
      <c r="I141" s="360">
        <v>640</v>
      </c>
      <c r="J141" s="39">
        <f t="shared" si="36"/>
        <v>0</v>
      </c>
      <c r="K141" s="309">
        <f>Q141/1.4</f>
        <v>0.04</v>
      </c>
      <c r="L141" s="460"/>
      <c r="M141" s="140"/>
      <c r="N141" s="39">
        <v>16000</v>
      </c>
      <c r="O141" s="309">
        <f>K141*N141</f>
        <v>640</v>
      </c>
      <c r="P141" s="235" t="str">
        <f t="shared" si="34"/>
        <v>К14,5х10х3,3 ЭПГ110.173</v>
      </c>
      <c r="Q141" s="306">
        <f t="shared" si="32"/>
        <v>0.06</v>
      </c>
      <c r="R141" s="322">
        <f>1.52*0.034</f>
        <v>0.05</v>
      </c>
      <c r="S141" s="353">
        <f t="shared" si="40"/>
        <v>0</v>
      </c>
      <c r="T141" s="147">
        <v>4000</v>
      </c>
      <c r="U141" s="20">
        <f t="shared" si="39"/>
        <v>0</v>
      </c>
      <c r="V141" s="52">
        <f t="shared" si="33"/>
        <v>56000</v>
      </c>
      <c r="W141" s="848">
        <f>4000*15</f>
        <v>60000</v>
      </c>
    </row>
    <row r="142" spans="1:207" ht="26.25" customHeight="1" x14ac:dyDescent="0.25">
      <c r="B142" s="11">
        <v>57</v>
      </c>
      <c r="C142" s="6" t="s">
        <v>18</v>
      </c>
      <c r="D142" s="23" t="s">
        <v>142</v>
      </c>
      <c r="E142" s="104" t="s">
        <v>612</v>
      </c>
      <c r="F142" s="208" t="s">
        <v>174</v>
      </c>
      <c r="G142" s="12" t="s">
        <v>0</v>
      </c>
      <c r="H142" s="39">
        <v>3950</v>
      </c>
      <c r="I142" s="360">
        <v>158</v>
      </c>
      <c r="J142" s="39">
        <f t="shared" si="36"/>
        <v>0</v>
      </c>
      <c r="K142" s="309">
        <f>Q142/1.4</f>
        <v>0.04</v>
      </c>
      <c r="L142" s="42"/>
      <c r="M142" s="140"/>
      <c r="N142" s="39">
        <v>3950</v>
      </c>
      <c r="O142" s="309">
        <f>K142*N142</f>
        <v>158</v>
      </c>
      <c r="P142" s="235" t="str">
        <f t="shared" si="34"/>
        <v xml:space="preserve">Д13.5х2,5 </v>
      </c>
      <c r="Q142" s="377">
        <f t="shared" si="32"/>
        <v>0.06</v>
      </c>
      <c r="R142" s="320">
        <v>0.05</v>
      </c>
      <c r="S142" s="353">
        <f t="shared" si="40"/>
        <v>0</v>
      </c>
      <c r="T142" s="20">
        <f>2*5000</f>
        <v>10000</v>
      </c>
      <c r="U142" s="20">
        <f t="shared" si="39"/>
        <v>0</v>
      </c>
      <c r="V142" s="52">
        <f t="shared" si="33"/>
        <v>0</v>
      </c>
      <c r="W142" s="20">
        <f>2*5000</f>
        <v>10000</v>
      </c>
    </row>
    <row r="143" spans="1:207" ht="26.25" customHeight="1" x14ac:dyDescent="0.25">
      <c r="B143" s="11">
        <v>58</v>
      </c>
      <c r="C143" s="6" t="s">
        <v>18</v>
      </c>
      <c r="D143" s="23" t="s">
        <v>142</v>
      </c>
      <c r="E143" s="104" t="s">
        <v>153</v>
      </c>
      <c r="F143" s="208" t="s">
        <v>175</v>
      </c>
      <c r="G143" s="12" t="s">
        <v>0</v>
      </c>
      <c r="H143" s="39">
        <v>1640</v>
      </c>
      <c r="I143" s="360">
        <v>8.36</v>
      </c>
      <c r="J143" s="39">
        <f t="shared" si="36"/>
        <v>0</v>
      </c>
      <c r="K143" s="309">
        <v>0.01</v>
      </c>
      <c r="L143" s="42"/>
      <c r="M143" s="140"/>
      <c r="N143" s="39">
        <f>2000-360</f>
        <v>1640</v>
      </c>
      <c r="O143" s="309">
        <v>8.36</v>
      </c>
      <c r="P143" s="235" t="str">
        <f t="shared" si="34"/>
        <v>Д13.5х4,5 (ненамаг)</v>
      </c>
      <c r="Q143" s="377">
        <f t="shared" si="32"/>
        <v>0.01</v>
      </c>
      <c r="R143" s="320">
        <v>6.0000000000000001E-3</v>
      </c>
      <c r="S143" s="353">
        <f t="shared" si="40"/>
        <v>0</v>
      </c>
      <c r="T143" s="20"/>
      <c r="U143" s="20">
        <f t="shared" si="39"/>
        <v>0</v>
      </c>
      <c r="V143" s="52">
        <f t="shared" si="33"/>
        <v>0</v>
      </c>
      <c r="W143" s="20"/>
    </row>
    <row r="144" spans="1:207" ht="26.25" customHeight="1" x14ac:dyDescent="0.25">
      <c r="B144" s="11">
        <v>59</v>
      </c>
      <c r="C144" s="6" t="s">
        <v>18</v>
      </c>
      <c r="D144" s="23" t="s">
        <v>142</v>
      </c>
      <c r="E144" s="104" t="s">
        <v>32</v>
      </c>
      <c r="F144" s="208" t="s">
        <v>53</v>
      </c>
      <c r="G144" s="12" t="s">
        <v>0</v>
      </c>
      <c r="H144" s="39">
        <v>5000</v>
      </c>
      <c r="I144" s="360">
        <v>43</v>
      </c>
      <c r="J144" s="39">
        <f t="shared" si="36"/>
        <v>0</v>
      </c>
      <c r="K144" s="309">
        <v>0.01</v>
      </c>
      <c r="L144" s="89"/>
      <c r="M144" s="140"/>
      <c r="N144" s="39">
        <v>5000</v>
      </c>
      <c r="O144" s="309">
        <v>43</v>
      </c>
      <c r="P144" s="235" t="str">
        <f t="shared" si="34"/>
        <v>Д 8,2х6,4</v>
      </c>
      <c r="Q144" s="377">
        <f t="shared" ref="Q144:Q175" si="41">R144*1.2</f>
        <v>0.01</v>
      </c>
      <c r="R144" s="319">
        <v>0.01</v>
      </c>
      <c r="S144" s="353">
        <f t="shared" si="40"/>
        <v>0</v>
      </c>
      <c r="T144" s="20">
        <f>5000*6+4950</f>
        <v>34950</v>
      </c>
      <c r="U144" s="20">
        <f t="shared" si="39"/>
        <v>0</v>
      </c>
      <c r="V144" s="52">
        <f t="shared" ref="V144:V165" si="42">W144-T144+U144</f>
        <v>0</v>
      </c>
      <c r="W144" s="444">
        <f>5000*6+4950</f>
        <v>34950</v>
      </c>
    </row>
    <row r="145" spans="1:40" ht="26.25" customHeight="1" x14ac:dyDescent="0.25">
      <c r="B145" s="11">
        <v>60</v>
      </c>
      <c r="C145" s="6" t="s">
        <v>18</v>
      </c>
      <c r="D145" s="23" t="s">
        <v>142</v>
      </c>
      <c r="E145" s="105" t="s">
        <v>86</v>
      </c>
      <c r="F145" s="392">
        <v>503</v>
      </c>
      <c r="G145" s="12" t="s">
        <v>0</v>
      </c>
      <c r="H145" s="39">
        <v>2200</v>
      </c>
      <c r="I145" s="360">
        <v>277.2</v>
      </c>
      <c r="J145" s="39">
        <f t="shared" si="36"/>
        <v>0</v>
      </c>
      <c r="K145" s="309">
        <v>0.13</v>
      </c>
      <c r="L145" s="42"/>
      <c r="M145" s="140"/>
      <c r="N145" s="39">
        <v>2200</v>
      </c>
      <c r="O145" s="309">
        <v>277.2</v>
      </c>
      <c r="P145" s="235" t="str">
        <f t="shared" si="34"/>
        <v>Д16х4</v>
      </c>
      <c r="Q145" s="377">
        <f t="shared" si="41"/>
        <v>0.18</v>
      </c>
      <c r="R145" s="319">
        <v>0.14699999999999999</v>
      </c>
      <c r="S145" s="353">
        <f t="shared" si="40"/>
        <v>0</v>
      </c>
      <c r="T145" s="20">
        <f>3*3000</f>
        <v>9000</v>
      </c>
      <c r="U145" s="20">
        <f t="shared" si="39"/>
        <v>0</v>
      </c>
      <c r="V145" s="52">
        <f t="shared" si="42"/>
        <v>0</v>
      </c>
      <c r="W145" s="444">
        <f>3*3000</f>
        <v>9000</v>
      </c>
    </row>
    <row r="146" spans="1:40" ht="26.25" customHeight="1" x14ac:dyDescent="0.25">
      <c r="B146" s="11">
        <v>61</v>
      </c>
      <c r="C146" s="6" t="s">
        <v>18</v>
      </c>
      <c r="D146" s="23" t="s">
        <v>142</v>
      </c>
      <c r="E146" s="86" t="s">
        <v>83</v>
      </c>
      <c r="F146" s="392" t="s">
        <v>52</v>
      </c>
      <c r="G146" s="12" t="s">
        <v>0</v>
      </c>
      <c r="H146" s="39">
        <v>2430</v>
      </c>
      <c r="I146" s="360">
        <v>16669.8</v>
      </c>
      <c r="J146" s="39">
        <f t="shared" si="36"/>
        <v>0</v>
      </c>
      <c r="K146" s="309">
        <f>Q146/1.4</f>
        <v>6.86</v>
      </c>
      <c r="L146" s="196"/>
      <c r="M146" s="140">
        <v>1740</v>
      </c>
      <c r="N146" s="39">
        <f>(24*4+21*3+3)*15-1740</f>
        <v>690</v>
      </c>
      <c r="O146" s="309">
        <f t="shared" ref="O146:O165" si="43">K146*N146</f>
        <v>4733.3999999999996</v>
      </c>
      <c r="P146" s="235" t="str">
        <f t="shared" si="34"/>
        <v>Якорь магн.однор.(200 шт в к-те)</v>
      </c>
      <c r="Q146" s="306">
        <f t="shared" si="41"/>
        <v>9.6</v>
      </c>
      <c r="R146" s="319">
        <v>8</v>
      </c>
      <c r="S146" s="353">
        <f t="shared" si="40"/>
        <v>0</v>
      </c>
      <c r="T146" s="148">
        <f>114*15</f>
        <v>1710</v>
      </c>
      <c r="U146" s="20">
        <f t="shared" si="39"/>
        <v>1740</v>
      </c>
      <c r="V146" s="52">
        <f t="shared" si="42"/>
        <v>1725</v>
      </c>
      <c r="W146" s="444">
        <f>113*15</f>
        <v>1695</v>
      </c>
    </row>
    <row r="147" spans="1:40" s="4" customFormat="1" ht="26.25" customHeight="1" x14ac:dyDescent="0.25">
      <c r="A147" s="10"/>
      <c r="B147" s="11">
        <v>62</v>
      </c>
      <c r="C147" s="6" t="s">
        <v>18</v>
      </c>
      <c r="D147" s="23" t="s">
        <v>142</v>
      </c>
      <c r="E147" s="104" t="s">
        <v>225</v>
      </c>
      <c r="F147" s="383">
        <v>1177</v>
      </c>
      <c r="G147" s="12" t="s">
        <v>0</v>
      </c>
      <c r="H147" s="39">
        <v>1000</v>
      </c>
      <c r="I147" s="360">
        <v>90</v>
      </c>
      <c r="J147" s="39">
        <f t="shared" si="36"/>
        <v>0</v>
      </c>
      <c r="K147" s="309">
        <v>0.09</v>
      </c>
      <c r="L147" s="42"/>
      <c r="M147" s="140"/>
      <c r="N147" s="39">
        <v>1000</v>
      </c>
      <c r="O147" s="309">
        <f t="shared" si="43"/>
        <v>90</v>
      </c>
      <c r="P147" s="235" t="str">
        <f t="shared" si="34"/>
        <v>Д18х3</v>
      </c>
      <c r="Q147" s="377">
        <f t="shared" si="41"/>
        <v>0.1</v>
      </c>
      <c r="R147" s="326">
        <v>0.08</v>
      </c>
      <c r="S147" s="353">
        <f t="shared" si="40"/>
        <v>0</v>
      </c>
      <c r="T147" s="18"/>
      <c r="U147" s="20">
        <f t="shared" si="39"/>
        <v>0</v>
      </c>
      <c r="V147" s="52">
        <f t="shared" si="42"/>
        <v>0</v>
      </c>
      <c r="W147" s="18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1:40" s="4" customFormat="1" ht="26.25" hidden="1" customHeight="1" x14ac:dyDescent="0.25">
      <c r="A148" s="10"/>
      <c r="B148" s="11"/>
      <c r="C148" s="6" t="s">
        <v>18</v>
      </c>
      <c r="D148" s="23" t="s">
        <v>142</v>
      </c>
      <c r="E148" s="86" t="s">
        <v>574</v>
      </c>
      <c r="F148" s="384">
        <v>1372</v>
      </c>
      <c r="G148" s="12" t="s">
        <v>0</v>
      </c>
      <c r="H148" s="39"/>
      <c r="I148" s="360">
        <v>0</v>
      </c>
      <c r="J148" s="39">
        <f t="shared" si="36"/>
        <v>0</v>
      </c>
      <c r="K148" s="309">
        <f t="shared" ref="K148:K179" si="44">Q148/1.4</f>
        <v>0.14000000000000001</v>
      </c>
      <c r="L148" s="42"/>
      <c r="M148" s="140"/>
      <c r="N148" s="39"/>
      <c r="O148" s="309">
        <f t="shared" si="43"/>
        <v>0</v>
      </c>
      <c r="P148" s="404" t="str">
        <f t="shared" si="34"/>
        <v>Круглый магнит аурикулярный Д2,5</v>
      </c>
      <c r="Q148" s="377">
        <f t="shared" si="41"/>
        <v>0.19</v>
      </c>
      <c r="R148" s="326">
        <f>5.28*0.03</f>
        <v>0.16</v>
      </c>
      <c r="S148" s="353">
        <f t="shared" si="40"/>
        <v>0</v>
      </c>
      <c r="T148" s="20"/>
      <c r="U148" s="20">
        <f t="shared" si="39"/>
        <v>0</v>
      </c>
      <c r="V148" s="52">
        <f t="shared" si="42"/>
        <v>0</v>
      </c>
      <c r="W148" s="2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1:40" s="4" customFormat="1" ht="26.25" hidden="1" customHeight="1" x14ac:dyDescent="0.25">
      <c r="A149" s="10"/>
      <c r="B149" s="11"/>
      <c r="C149" s="6" t="s">
        <v>18</v>
      </c>
      <c r="D149" s="23" t="s">
        <v>142</v>
      </c>
      <c r="E149" s="86" t="s">
        <v>575</v>
      </c>
      <c r="F149" s="384">
        <v>1373</v>
      </c>
      <c r="G149" s="12" t="s">
        <v>0</v>
      </c>
      <c r="H149" s="39"/>
      <c r="I149" s="360">
        <v>0</v>
      </c>
      <c r="J149" s="39">
        <f t="shared" si="36"/>
        <v>0</v>
      </c>
      <c r="K149" s="309">
        <f t="shared" si="44"/>
        <v>0.14000000000000001</v>
      </c>
      <c r="L149" s="42"/>
      <c r="M149" s="140"/>
      <c r="N149" s="39"/>
      <c r="O149" s="309">
        <f t="shared" si="43"/>
        <v>0</v>
      </c>
      <c r="P149" s="260" t="str">
        <f t="shared" si="34"/>
        <v>Круглый магнит малый Д3,5</v>
      </c>
      <c r="Q149" s="377">
        <f t="shared" si="41"/>
        <v>0.19</v>
      </c>
      <c r="R149" s="326">
        <f>5.28*0.03</f>
        <v>0.16</v>
      </c>
      <c r="S149" s="353">
        <f t="shared" si="40"/>
        <v>0</v>
      </c>
      <c r="T149" s="20"/>
      <c r="U149" s="20">
        <f t="shared" si="39"/>
        <v>0</v>
      </c>
      <c r="V149" s="52">
        <f t="shared" si="42"/>
        <v>0</v>
      </c>
      <c r="W149" s="2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1:40" s="4" customFormat="1" ht="26.25" hidden="1" customHeight="1" x14ac:dyDescent="0.25">
      <c r="A150" s="10"/>
      <c r="B150" s="11"/>
      <c r="C150" s="6" t="s">
        <v>18</v>
      </c>
      <c r="D150" s="23" t="s">
        <v>142</v>
      </c>
      <c r="E150" s="86" t="s">
        <v>576</v>
      </c>
      <c r="F150" s="384">
        <v>1374</v>
      </c>
      <c r="G150" s="12" t="s">
        <v>0</v>
      </c>
      <c r="H150" s="39"/>
      <c r="I150" s="360">
        <v>0</v>
      </c>
      <c r="J150" s="39">
        <f t="shared" si="36"/>
        <v>0</v>
      </c>
      <c r="K150" s="309">
        <f t="shared" si="44"/>
        <v>0.14000000000000001</v>
      </c>
      <c r="L150" s="42"/>
      <c r="M150" s="140"/>
      <c r="N150" s="39"/>
      <c r="O150" s="309">
        <f t="shared" si="43"/>
        <v>0</v>
      </c>
      <c r="P150" s="260" t="str">
        <f t="shared" si="34"/>
        <v>Круглый магнит большой Д5</v>
      </c>
      <c r="Q150" s="377">
        <f t="shared" si="41"/>
        <v>0.19</v>
      </c>
      <c r="R150" s="326">
        <f>5.28*0.03</f>
        <v>0.16</v>
      </c>
      <c r="S150" s="353">
        <f t="shared" si="40"/>
        <v>0</v>
      </c>
      <c r="T150" s="20"/>
      <c r="U150" s="20">
        <f t="shared" si="39"/>
        <v>0</v>
      </c>
      <c r="V150" s="52">
        <f t="shared" si="42"/>
        <v>0</v>
      </c>
      <c r="W150" s="2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1:40" s="4" customFormat="1" ht="26.25" hidden="1" customHeight="1" x14ac:dyDescent="0.25">
      <c r="A151" s="10"/>
      <c r="B151" s="11"/>
      <c r="C151" s="6" t="s">
        <v>18</v>
      </c>
      <c r="D151" s="23" t="s">
        <v>142</v>
      </c>
      <c r="E151" s="1" t="s">
        <v>570</v>
      </c>
      <c r="F151" s="386">
        <v>1309</v>
      </c>
      <c r="G151" s="12" t="s">
        <v>0</v>
      </c>
      <c r="H151" s="39"/>
      <c r="I151" s="360">
        <v>0</v>
      </c>
      <c r="J151" s="39">
        <f t="shared" si="36"/>
        <v>0</v>
      </c>
      <c r="K151" s="309">
        <f t="shared" si="44"/>
        <v>0.22</v>
      </c>
      <c r="L151" s="42"/>
      <c r="M151" s="413"/>
      <c r="N151" s="39"/>
      <c r="O151" s="309">
        <f t="shared" si="43"/>
        <v>0</v>
      </c>
      <c r="P151" s="260" t="str">
        <f t="shared" si="34"/>
        <v>Плоский магнит "стрелка"</v>
      </c>
      <c r="Q151" s="377">
        <f t="shared" si="41"/>
        <v>0.31</v>
      </c>
      <c r="R151" s="379">
        <f>8.7*0.03</f>
        <v>0.26</v>
      </c>
      <c r="S151" s="353">
        <f t="shared" si="40"/>
        <v>0</v>
      </c>
      <c r="T151" s="20"/>
      <c r="U151" s="20">
        <f t="shared" si="39"/>
        <v>0</v>
      </c>
      <c r="V151" s="52">
        <f t="shared" si="42"/>
        <v>0</v>
      </c>
      <c r="W151" s="2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1:40" s="4" customFormat="1" ht="38.25" hidden="1" customHeight="1" x14ac:dyDescent="0.25">
      <c r="A152" s="10"/>
      <c r="B152" s="11"/>
      <c r="C152" s="6" t="s">
        <v>18</v>
      </c>
      <c r="D152" s="23" t="s">
        <v>142</v>
      </c>
      <c r="E152" s="1" t="s">
        <v>573</v>
      </c>
      <c r="F152" s="386">
        <v>1375</v>
      </c>
      <c r="G152" s="12" t="s">
        <v>0</v>
      </c>
      <c r="H152" s="39"/>
      <c r="I152" s="360">
        <v>0</v>
      </c>
      <c r="J152" s="39">
        <f t="shared" si="36"/>
        <v>0</v>
      </c>
      <c r="K152" s="309">
        <f t="shared" si="44"/>
        <v>0.89</v>
      </c>
      <c r="L152" s="42"/>
      <c r="M152" s="413"/>
      <c r="N152" s="39"/>
      <c r="O152" s="309">
        <f t="shared" si="43"/>
        <v>0</v>
      </c>
      <c r="P152" s="51" t="str">
        <f t="shared" si="34"/>
        <v>Кольцевой магнит большой усиленной намагниченности</v>
      </c>
      <c r="Q152" s="377">
        <f t="shared" si="41"/>
        <v>1.25</v>
      </c>
      <c r="R152" s="379">
        <f>34.8*0.03</f>
        <v>1.04</v>
      </c>
      <c r="S152" s="353">
        <f t="shared" si="40"/>
        <v>0</v>
      </c>
      <c r="T152" s="20"/>
      <c r="U152" s="20">
        <f t="shared" si="39"/>
        <v>0</v>
      </c>
      <c r="V152" s="52">
        <f t="shared" si="42"/>
        <v>0</v>
      </c>
      <c r="W152" s="2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spans="1:40" s="4" customFormat="1" ht="43.5" hidden="1" customHeight="1" x14ac:dyDescent="0.25">
      <c r="A153" s="10"/>
      <c r="B153" s="11"/>
      <c r="C153" s="6" t="s">
        <v>18</v>
      </c>
      <c r="D153" s="23" t="s">
        <v>142</v>
      </c>
      <c r="E153" s="1" t="s">
        <v>571</v>
      </c>
      <c r="F153" s="386">
        <v>1310</v>
      </c>
      <c r="G153" s="12" t="s">
        <v>0</v>
      </c>
      <c r="H153" s="39"/>
      <c r="I153" s="360">
        <v>0</v>
      </c>
      <c r="J153" s="39">
        <f t="shared" si="36"/>
        <v>0</v>
      </c>
      <c r="K153" s="309">
        <f t="shared" si="44"/>
        <v>0.56000000000000005</v>
      </c>
      <c r="L153" s="42"/>
      <c r="M153" s="413"/>
      <c r="N153" s="39"/>
      <c r="O153" s="309">
        <f t="shared" si="43"/>
        <v>0</v>
      </c>
      <c r="P153" s="51" t="str">
        <f t="shared" si="34"/>
        <v>Кольцевой магнит большой Д17 со вставкой(110.045)</v>
      </c>
      <c r="Q153" s="377">
        <f t="shared" si="41"/>
        <v>0.78</v>
      </c>
      <c r="R153" s="379">
        <f>21.75*0.03</f>
        <v>0.65</v>
      </c>
      <c r="S153" s="353">
        <f t="shared" si="40"/>
        <v>0</v>
      </c>
      <c r="T153" s="20"/>
      <c r="U153" s="20">
        <f t="shared" si="39"/>
        <v>0</v>
      </c>
      <c r="V153" s="52">
        <f t="shared" si="42"/>
        <v>0</v>
      </c>
      <c r="W153" s="2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1:40" s="4" customFormat="1" ht="26.25" hidden="1" customHeight="1" x14ac:dyDescent="0.25">
      <c r="A154" s="10"/>
      <c r="B154" s="11"/>
      <c r="C154" s="6" t="s">
        <v>18</v>
      </c>
      <c r="D154" s="23" t="s">
        <v>142</v>
      </c>
      <c r="E154" s="1" t="s">
        <v>577</v>
      </c>
      <c r="F154" s="386">
        <v>1311</v>
      </c>
      <c r="G154" s="12" t="s">
        <v>0</v>
      </c>
      <c r="H154" s="39"/>
      <c r="I154" s="360">
        <v>0</v>
      </c>
      <c r="J154" s="39">
        <f t="shared" si="36"/>
        <v>0</v>
      </c>
      <c r="K154" s="309">
        <f t="shared" si="44"/>
        <v>0.31</v>
      </c>
      <c r="L154" s="42"/>
      <c r="M154" s="413"/>
      <c r="N154" s="39"/>
      <c r="O154" s="309">
        <f t="shared" si="43"/>
        <v>0</v>
      </c>
      <c r="P154" s="51" t="str">
        <f t="shared" si="34"/>
        <v>Кольцевой магнит малый Д11 со вставкой (110.044)</v>
      </c>
      <c r="Q154" s="377">
        <f t="shared" si="41"/>
        <v>0.44</v>
      </c>
      <c r="R154" s="379">
        <f>12.43*0.03</f>
        <v>0.37</v>
      </c>
      <c r="S154" s="353">
        <f t="shared" si="40"/>
        <v>0</v>
      </c>
      <c r="T154" s="20"/>
      <c r="U154" s="20">
        <f t="shared" si="39"/>
        <v>0</v>
      </c>
      <c r="V154" s="52">
        <f t="shared" si="42"/>
        <v>0</v>
      </c>
      <c r="W154" s="2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1:40" s="4" customFormat="1" ht="26.25" hidden="1" customHeight="1" x14ac:dyDescent="0.25">
      <c r="A155" s="10"/>
      <c r="B155" s="11"/>
      <c r="C155" s="6" t="s">
        <v>18</v>
      </c>
      <c r="D155" s="23" t="s">
        <v>142</v>
      </c>
      <c r="E155" s="1" t="s">
        <v>578</v>
      </c>
      <c r="F155" s="386">
        <v>1312</v>
      </c>
      <c r="G155" s="12" t="s">
        <v>0</v>
      </c>
      <c r="H155" s="39"/>
      <c r="I155" s="360">
        <v>0</v>
      </c>
      <c r="J155" s="39">
        <f t="shared" si="36"/>
        <v>0</v>
      </c>
      <c r="K155" s="309">
        <f t="shared" si="44"/>
        <v>1.44</v>
      </c>
      <c r="L155" s="42"/>
      <c r="M155" s="413"/>
      <c r="N155" s="39"/>
      <c r="O155" s="309">
        <f t="shared" si="43"/>
        <v>0</v>
      </c>
      <c r="P155" s="51" t="str">
        <f t="shared" si="34"/>
        <v>4х кольцевой магнит</v>
      </c>
      <c r="Q155" s="377">
        <f t="shared" si="41"/>
        <v>2.02</v>
      </c>
      <c r="R155" s="379">
        <f>55.94*0.03</f>
        <v>1.68</v>
      </c>
      <c r="S155" s="353">
        <f t="shared" si="40"/>
        <v>0</v>
      </c>
      <c r="T155" s="20"/>
      <c r="U155" s="20">
        <f t="shared" si="39"/>
        <v>0</v>
      </c>
      <c r="V155" s="52">
        <f t="shared" si="42"/>
        <v>0</v>
      </c>
      <c r="W155" s="2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1:40" s="4" customFormat="1" ht="26.25" hidden="1" customHeight="1" x14ac:dyDescent="0.25">
      <c r="A156" s="10"/>
      <c r="B156" s="11"/>
      <c r="C156" s="6" t="s">
        <v>18</v>
      </c>
      <c r="D156" s="23" t="s">
        <v>142</v>
      </c>
      <c r="E156" s="1" t="s">
        <v>582</v>
      </c>
      <c r="F156" s="386">
        <v>1376</v>
      </c>
      <c r="G156" s="12" t="s">
        <v>0</v>
      </c>
      <c r="H156" s="39"/>
      <c r="I156" s="360">
        <v>0</v>
      </c>
      <c r="J156" s="39">
        <f t="shared" si="36"/>
        <v>0</v>
      </c>
      <c r="K156" s="309">
        <f t="shared" si="44"/>
        <v>0.11</v>
      </c>
      <c r="L156" s="42"/>
      <c r="M156" s="413"/>
      <c r="N156" s="39"/>
      <c r="O156" s="309">
        <f t="shared" si="43"/>
        <v>0</v>
      </c>
      <c r="P156" s="51" t="str">
        <f t="shared" si="34"/>
        <v xml:space="preserve"> Большой Д7 со звездочкой (110.015)</v>
      </c>
      <c r="Q156" s="377">
        <f t="shared" si="41"/>
        <v>0.16</v>
      </c>
      <c r="R156" s="379">
        <f>4.35*0.03</f>
        <v>0.13</v>
      </c>
      <c r="S156" s="353">
        <f t="shared" si="40"/>
        <v>0</v>
      </c>
      <c r="T156" s="20"/>
      <c r="U156" s="20">
        <f t="shared" si="39"/>
        <v>0</v>
      </c>
      <c r="V156" s="52">
        <f t="shared" si="42"/>
        <v>0</v>
      </c>
      <c r="W156" s="2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1:40" s="4" customFormat="1" ht="26.25" hidden="1" customHeight="1" x14ac:dyDescent="0.25">
      <c r="A157" s="10"/>
      <c r="B157" s="11"/>
      <c r="C157" s="6" t="s">
        <v>18</v>
      </c>
      <c r="D157" s="23" t="s">
        <v>142</v>
      </c>
      <c r="E157" s="1" t="s">
        <v>572</v>
      </c>
      <c r="F157" s="386">
        <v>1314</v>
      </c>
      <c r="G157" s="12" t="s">
        <v>0</v>
      </c>
      <c r="H157" s="39"/>
      <c r="I157" s="360">
        <v>0</v>
      </c>
      <c r="J157" s="39">
        <f t="shared" si="36"/>
        <v>0</v>
      </c>
      <c r="K157" s="309">
        <f t="shared" si="44"/>
        <v>0.11</v>
      </c>
      <c r="L157" s="42"/>
      <c r="M157" s="413"/>
      <c r="N157" s="39"/>
      <c r="O157" s="309">
        <f t="shared" si="43"/>
        <v>0</v>
      </c>
      <c r="P157" s="51" t="str">
        <f t="shared" si="34"/>
        <v xml:space="preserve"> Малый Д5 со звездочкой (110.015)</v>
      </c>
      <c r="Q157" s="377">
        <f t="shared" si="41"/>
        <v>0.16</v>
      </c>
      <c r="R157" s="379">
        <f>4.35*0.03</f>
        <v>0.13</v>
      </c>
      <c r="S157" s="353">
        <f t="shared" si="40"/>
        <v>0</v>
      </c>
      <c r="T157" s="20"/>
      <c r="U157" s="20">
        <f t="shared" si="39"/>
        <v>0</v>
      </c>
      <c r="V157" s="52">
        <f t="shared" si="42"/>
        <v>0</v>
      </c>
      <c r="W157" s="2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1:40" s="4" customFormat="1" ht="26.25" hidden="1" customHeight="1" x14ac:dyDescent="0.25">
      <c r="A158" s="10"/>
      <c r="B158" s="11"/>
      <c r="C158" s="6" t="s">
        <v>18</v>
      </c>
      <c r="D158" s="23" t="s">
        <v>142</v>
      </c>
      <c r="E158" s="1" t="s">
        <v>617</v>
      </c>
      <c r="F158" s="386">
        <v>1313</v>
      </c>
      <c r="G158" s="12" t="s">
        <v>0</v>
      </c>
      <c r="H158" s="39"/>
      <c r="I158" s="360">
        <v>0</v>
      </c>
      <c r="J158" s="39">
        <f t="shared" si="36"/>
        <v>0</v>
      </c>
      <c r="K158" s="309">
        <f t="shared" si="44"/>
        <v>2.88</v>
      </c>
      <c r="L158" s="42"/>
      <c r="M158" s="413"/>
      <c r="N158" s="39"/>
      <c r="O158" s="309">
        <f t="shared" si="43"/>
        <v>0</v>
      </c>
      <c r="P158" s="51" t="str">
        <f t="shared" si="34"/>
        <v>6ти кольцевой</v>
      </c>
      <c r="Q158" s="377">
        <f t="shared" si="41"/>
        <v>4.03</v>
      </c>
      <c r="R158" s="379">
        <f>111.87*0.03</f>
        <v>3.36</v>
      </c>
      <c r="S158" s="353">
        <f t="shared" si="40"/>
        <v>0</v>
      </c>
      <c r="T158" s="20"/>
      <c r="U158" s="20">
        <f t="shared" si="39"/>
        <v>0</v>
      </c>
      <c r="V158" s="52">
        <f t="shared" si="42"/>
        <v>0</v>
      </c>
      <c r="W158" s="2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1:40" s="4" customFormat="1" ht="26.25" hidden="1" customHeight="1" x14ac:dyDescent="0.25">
      <c r="A159" s="10"/>
      <c r="B159" s="11"/>
      <c r="C159" s="6" t="s">
        <v>18</v>
      </c>
      <c r="D159" s="23" t="s">
        <v>142</v>
      </c>
      <c r="E159" s="1" t="s">
        <v>581</v>
      </c>
      <c r="F159" s="386">
        <v>1378</v>
      </c>
      <c r="G159" s="12" t="s">
        <v>0</v>
      </c>
      <c r="H159" s="39"/>
      <c r="I159" s="360">
        <v>0</v>
      </c>
      <c r="J159" s="39">
        <f t="shared" si="36"/>
        <v>0</v>
      </c>
      <c r="K159" s="309">
        <f t="shared" si="44"/>
        <v>0.09</v>
      </c>
      <c r="L159" s="42"/>
      <c r="M159" s="413"/>
      <c r="N159" s="39"/>
      <c r="O159" s="309">
        <f t="shared" si="43"/>
        <v>0</v>
      </c>
      <c r="P159" s="51" t="str">
        <f t="shared" si="34"/>
        <v xml:space="preserve"> Односторонний под наклейку  Д7</v>
      </c>
      <c r="Q159" s="377">
        <f t="shared" si="41"/>
        <v>0.13</v>
      </c>
      <c r="R159" s="379">
        <f>3.73*0.03</f>
        <v>0.11</v>
      </c>
      <c r="S159" s="353">
        <f t="shared" si="40"/>
        <v>0</v>
      </c>
      <c r="T159" s="20"/>
      <c r="U159" s="20">
        <f t="shared" si="39"/>
        <v>0</v>
      </c>
      <c r="V159" s="52">
        <f t="shared" si="42"/>
        <v>0</v>
      </c>
      <c r="W159" s="2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1:40" s="4" customFormat="1" ht="26.25" customHeight="1" x14ac:dyDescent="0.25">
      <c r="A160" s="10"/>
      <c r="B160" s="11">
        <v>63</v>
      </c>
      <c r="C160" s="6" t="s">
        <v>18</v>
      </c>
      <c r="D160" s="23" t="s">
        <v>142</v>
      </c>
      <c r="E160" s="463" t="s">
        <v>666</v>
      </c>
      <c r="F160" s="387" t="s">
        <v>605</v>
      </c>
      <c r="G160" s="12" t="s">
        <v>0</v>
      </c>
      <c r="H160" s="39"/>
      <c r="I160" s="360">
        <v>0</v>
      </c>
      <c r="J160" s="39">
        <f t="shared" si="36"/>
        <v>0</v>
      </c>
      <c r="K160" s="309">
        <f t="shared" si="44"/>
        <v>0.22</v>
      </c>
      <c r="L160" s="42"/>
      <c r="M160" s="413"/>
      <c r="N160" s="39"/>
      <c r="O160" s="309">
        <f t="shared" si="43"/>
        <v>0</v>
      </c>
      <c r="P160" s="51" t="str">
        <f t="shared" si="34"/>
        <v>ЭПГ110.014</v>
      </c>
      <c r="Q160" s="377">
        <f t="shared" si="41"/>
        <v>0.31</v>
      </c>
      <c r="R160" s="850">
        <v>0.26</v>
      </c>
      <c r="S160" s="353">
        <f t="shared" si="40"/>
        <v>0</v>
      </c>
      <c r="T160" s="20"/>
      <c r="U160" s="20">
        <f t="shared" si="39"/>
        <v>0</v>
      </c>
      <c r="V160" s="52">
        <f t="shared" si="42"/>
        <v>0</v>
      </c>
      <c r="W160" s="2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1:23" ht="26.25" customHeight="1" x14ac:dyDescent="0.25">
      <c r="B161" s="11">
        <v>64</v>
      </c>
      <c r="C161" s="6" t="s">
        <v>18</v>
      </c>
      <c r="D161" s="23" t="s">
        <v>142</v>
      </c>
      <c r="E161" s="463" t="s">
        <v>854</v>
      </c>
      <c r="F161" s="387" t="s">
        <v>54</v>
      </c>
      <c r="G161" s="346" t="s">
        <v>0</v>
      </c>
      <c r="H161" s="39"/>
      <c r="I161" s="360">
        <v>0</v>
      </c>
      <c r="J161" s="39">
        <f t="shared" si="36"/>
        <v>0</v>
      </c>
      <c r="K161" s="309">
        <f t="shared" si="44"/>
        <v>0.26</v>
      </c>
      <c r="L161" s="205"/>
      <c r="M161" s="140"/>
      <c r="N161" s="39"/>
      <c r="O161" s="309">
        <f t="shared" si="43"/>
        <v>0</v>
      </c>
      <c r="P161" s="51" t="str">
        <f t="shared" si="34"/>
        <v>ЭПГ110.032</v>
      </c>
      <c r="Q161" s="377">
        <f t="shared" si="41"/>
        <v>0.36</v>
      </c>
      <c r="R161" s="850">
        <v>0.3</v>
      </c>
      <c r="S161" s="353">
        <f t="shared" si="40"/>
        <v>0</v>
      </c>
      <c r="T161" s="20"/>
      <c r="U161" s="20">
        <f t="shared" si="39"/>
        <v>0</v>
      </c>
      <c r="V161" s="52">
        <f t="shared" si="42"/>
        <v>0</v>
      </c>
      <c r="W161" s="20"/>
    </row>
    <row r="162" spans="1:23" s="4" customFormat="1" ht="26.25" customHeight="1" x14ac:dyDescent="0.25">
      <c r="A162" s="10"/>
      <c r="B162" s="11">
        <v>65</v>
      </c>
      <c r="C162" s="6" t="s">
        <v>18</v>
      </c>
      <c r="D162" s="23" t="s">
        <v>142</v>
      </c>
      <c r="E162" s="463" t="s">
        <v>667</v>
      </c>
      <c r="F162" s="387" t="s">
        <v>472</v>
      </c>
      <c r="G162" s="12" t="s">
        <v>0</v>
      </c>
      <c r="H162" s="39"/>
      <c r="I162" s="360">
        <v>0</v>
      </c>
      <c r="J162" s="39">
        <f t="shared" si="36"/>
        <v>0</v>
      </c>
      <c r="K162" s="309">
        <f t="shared" si="44"/>
        <v>0.37</v>
      </c>
      <c r="L162" s="195"/>
      <c r="M162" s="140"/>
      <c r="N162" s="503"/>
      <c r="O162" s="309">
        <f t="shared" si="43"/>
        <v>0</v>
      </c>
      <c r="P162" s="235" t="str">
        <f t="shared" si="34"/>
        <v>ЭПГ110.044</v>
      </c>
      <c r="Q162" s="377">
        <f t="shared" si="41"/>
        <v>0.52</v>
      </c>
      <c r="R162" s="850">
        <v>0.43</v>
      </c>
      <c r="S162" s="353">
        <f t="shared" si="40"/>
        <v>0</v>
      </c>
      <c r="T162" s="18">
        <v>0</v>
      </c>
      <c r="U162" s="20">
        <f t="shared" si="39"/>
        <v>0</v>
      </c>
      <c r="V162" s="52">
        <f t="shared" si="42"/>
        <v>0</v>
      </c>
      <c r="W162" s="18">
        <v>0</v>
      </c>
    </row>
    <row r="163" spans="1:23" s="4" customFormat="1" ht="26.25" customHeight="1" x14ac:dyDescent="0.25">
      <c r="A163" s="10"/>
      <c r="B163" s="11">
        <v>66</v>
      </c>
      <c r="C163" s="6" t="s">
        <v>18</v>
      </c>
      <c r="D163" s="23" t="s">
        <v>142</v>
      </c>
      <c r="E163" s="463" t="s">
        <v>916</v>
      </c>
      <c r="F163" s="387" t="s">
        <v>917</v>
      </c>
      <c r="G163" s="12" t="s">
        <v>0</v>
      </c>
      <c r="H163" s="39"/>
      <c r="I163" s="360">
        <v>0</v>
      </c>
      <c r="J163" s="39">
        <f t="shared" si="36"/>
        <v>0</v>
      </c>
      <c r="K163" s="309">
        <f t="shared" si="44"/>
        <v>0.64</v>
      </c>
      <c r="L163" s="194"/>
      <c r="M163" s="140"/>
      <c r="N163" s="503"/>
      <c r="O163" s="309">
        <f t="shared" si="43"/>
        <v>0</v>
      </c>
      <c r="P163" s="235" t="str">
        <f t="shared" si="34"/>
        <v>ЭПГ110.045</v>
      </c>
      <c r="Q163" s="377">
        <f t="shared" si="41"/>
        <v>0.9</v>
      </c>
      <c r="R163" s="850">
        <v>0.75</v>
      </c>
      <c r="S163" s="353">
        <f t="shared" si="40"/>
        <v>0</v>
      </c>
      <c r="T163" s="18">
        <v>0</v>
      </c>
      <c r="U163" s="20">
        <f t="shared" si="39"/>
        <v>0</v>
      </c>
      <c r="V163" s="52">
        <f t="shared" si="42"/>
        <v>0</v>
      </c>
      <c r="W163" s="18">
        <v>0</v>
      </c>
    </row>
    <row r="164" spans="1:23" ht="26.25" customHeight="1" x14ac:dyDescent="0.25">
      <c r="B164" s="14">
        <v>67</v>
      </c>
      <c r="C164" s="6" t="s">
        <v>129</v>
      </c>
      <c r="D164" s="23" t="s">
        <v>142</v>
      </c>
      <c r="E164" s="459" t="s">
        <v>671</v>
      </c>
      <c r="F164" s="386">
        <v>629</v>
      </c>
      <c r="G164" s="12" t="s">
        <v>0</v>
      </c>
      <c r="H164" s="39"/>
      <c r="I164" s="309">
        <v>0</v>
      </c>
      <c r="J164" s="39">
        <f t="shared" si="36"/>
        <v>0</v>
      </c>
      <c r="K164" s="309">
        <f t="shared" si="44"/>
        <v>1.59</v>
      </c>
      <c r="L164" s="457"/>
      <c r="M164" s="140"/>
      <c r="N164" s="503"/>
      <c r="O164" s="309">
        <f t="shared" si="43"/>
        <v>0</v>
      </c>
      <c r="P164" s="235" t="str">
        <f t="shared" si="34"/>
        <v xml:space="preserve">8ПМ.610.033    МП-1  </v>
      </c>
      <c r="Q164" s="377">
        <f t="shared" si="41"/>
        <v>2.2200000000000002</v>
      </c>
      <c r="R164" s="319">
        <v>1.85</v>
      </c>
      <c r="S164" s="353">
        <f t="shared" si="40"/>
        <v>0</v>
      </c>
      <c r="T164" s="20"/>
      <c r="U164" s="20">
        <f t="shared" si="39"/>
        <v>0</v>
      </c>
      <c r="V164" s="52">
        <f t="shared" si="42"/>
        <v>0</v>
      </c>
      <c r="W164" s="20"/>
    </row>
    <row r="165" spans="1:23" ht="26.25" hidden="1" customHeight="1" x14ac:dyDescent="0.25">
      <c r="B165" s="11"/>
      <c r="C165" s="6" t="s">
        <v>19</v>
      </c>
      <c r="D165" s="23" t="s">
        <v>140</v>
      </c>
      <c r="E165" s="105" t="s">
        <v>160</v>
      </c>
      <c r="F165" s="391"/>
      <c r="G165" s="14" t="s">
        <v>36</v>
      </c>
      <c r="H165" s="39"/>
      <c r="I165" s="309">
        <v>0</v>
      </c>
      <c r="J165" s="39">
        <f t="shared" si="36"/>
        <v>0</v>
      </c>
      <c r="K165" s="309">
        <f t="shared" si="44"/>
        <v>0</v>
      </c>
      <c r="L165" s="42"/>
      <c r="M165" s="140"/>
      <c r="N165" s="39"/>
      <c r="O165" s="490">
        <f t="shared" si="43"/>
        <v>0</v>
      </c>
      <c r="P165" s="51" t="str">
        <f t="shared" si="34"/>
        <v>к10</v>
      </c>
      <c r="Q165" s="377">
        <f t="shared" si="41"/>
        <v>0</v>
      </c>
      <c r="R165" s="319">
        <v>0</v>
      </c>
      <c r="S165" s="353">
        <f t="shared" si="40"/>
        <v>0</v>
      </c>
      <c r="T165" s="18"/>
      <c r="U165" s="20">
        <f t="shared" si="39"/>
        <v>0</v>
      </c>
      <c r="V165" s="52">
        <f t="shared" si="42"/>
        <v>16000</v>
      </c>
      <c r="W165" s="848">
        <f>8000*2</f>
        <v>16000</v>
      </c>
    </row>
    <row r="166" spans="1:23" ht="26.25" hidden="1" customHeight="1" x14ac:dyDescent="0.25">
      <c r="B166" s="11"/>
      <c r="C166" s="6" t="s">
        <v>19</v>
      </c>
      <c r="D166" s="23" t="s">
        <v>140</v>
      </c>
      <c r="E166" s="87" t="s">
        <v>815</v>
      </c>
      <c r="F166" s="391" t="s">
        <v>823</v>
      </c>
      <c r="G166" s="14"/>
      <c r="H166" s="39"/>
      <c r="I166" s="360"/>
      <c r="J166" s="39">
        <f t="shared" si="36"/>
        <v>0</v>
      </c>
      <c r="K166" s="309">
        <f t="shared" si="44"/>
        <v>1.63</v>
      </c>
      <c r="L166" s="42"/>
      <c r="M166" s="140"/>
      <c r="N166" s="39"/>
      <c r="O166" s="490"/>
      <c r="P166" s="51" t="str">
        <f t="shared" si="34"/>
        <v>23х6,4х12,5</v>
      </c>
      <c r="Q166" s="377">
        <f t="shared" si="41"/>
        <v>2.2799999999999998</v>
      </c>
      <c r="R166" s="319">
        <v>1.9</v>
      </c>
      <c r="S166" s="353"/>
      <c r="T166" s="18"/>
      <c r="U166" s="20"/>
      <c r="V166" s="52"/>
      <c r="W166" s="18"/>
    </row>
    <row r="167" spans="1:23" ht="26.25" hidden="1" customHeight="1" x14ac:dyDescent="0.25">
      <c r="B167" s="11"/>
      <c r="C167" s="6" t="s">
        <v>19</v>
      </c>
      <c r="D167" s="23" t="s">
        <v>140</v>
      </c>
      <c r="E167" s="459" t="s">
        <v>816</v>
      </c>
      <c r="F167" s="384">
        <v>1487</v>
      </c>
      <c r="G167" s="12" t="s">
        <v>0</v>
      </c>
      <c r="H167" s="39"/>
      <c r="I167" s="360">
        <v>0</v>
      </c>
      <c r="J167" s="39">
        <f t="shared" si="36"/>
        <v>0</v>
      </c>
      <c r="K167" s="309">
        <f t="shared" si="44"/>
        <v>1.61</v>
      </c>
      <c r="L167" s="92"/>
      <c r="M167" s="140"/>
      <c r="N167" s="39"/>
      <c r="O167" s="309">
        <f t="shared" ref="O167:O179" si="45">K167*N167</f>
        <v>0</v>
      </c>
      <c r="P167" s="51" t="str">
        <f t="shared" si="34"/>
        <v>К6х4х3</v>
      </c>
      <c r="Q167" s="377">
        <f t="shared" si="41"/>
        <v>2.2599999999999998</v>
      </c>
      <c r="R167" s="319">
        <v>1.88</v>
      </c>
      <c r="S167" s="353">
        <f t="shared" ref="S167:S230" si="46">R167*J167</f>
        <v>0</v>
      </c>
      <c r="T167" s="18"/>
      <c r="U167" s="20">
        <f t="shared" ref="U167:U198" si="47">M167</f>
        <v>0</v>
      </c>
      <c r="V167" s="52">
        <f t="shared" ref="V167:V198" si="48">W167-T167+U167</f>
        <v>0</v>
      </c>
      <c r="W167" s="18"/>
    </row>
    <row r="168" spans="1:23" ht="26.25" hidden="1" customHeight="1" x14ac:dyDescent="0.25">
      <c r="B168" s="14"/>
      <c r="C168" s="6" t="s">
        <v>19</v>
      </c>
      <c r="D168" s="23" t="s">
        <v>140</v>
      </c>
      <c r="E168" s="104" t="s">
        <v>30</v>
      </c>
      <c r="F168" s="387" t="s">
        <v>224</v>
      </c>
      <c r="G168" s="14" t="s">
        <v>0</v>
      </c>
      <c r="H168" s="39"/>
      <c r="I168" s="309">
        <v>0</v>
      </c>
      <c r="J168" s="39">
        <f t="shared" si="36"/>
        <v>0</v>
      </c>
      <c r="K168" s="309">
        <f t="shared" si="44"/>
        <v>0.01</v>
      </c>
      <c r="L168" s="42"/>
      <c r="M168" s="140"/>
      <c r="N168" s="39"/>
      <c r="O168" s="309">
        <f t="shared" si="45"/>
        <v>0</v>
      </c>
      <c r="P168" s="51" t="str">
        <f t="shared" si="34"/>
        <v xml:space="preserve"> СпГ210-004 Пг 2,8х2,3х3,5</v>
      </c>
      <c r="Q168" s="377">
        <f t="shared" si="41"/>
        <v>0.02</v>
      </c>
      <c r="R168" s="319">
        <v>0.02</v>
      </c>
      <c r="S168" s="353">
        <f t="shared" si="46"/>
        <v>0</v>
      </c>
      <c r="T168" s="18">
        <v>14345</v>
      </c>
      <c r="U168" s="20">
        <f t="shared" si="47"/>
        <v>0</v>
      </c>
      <c r="V168" s="52">
        <f t="shared" si="48"/>
        <v>0</v>
      </c>
      <c r="W168" s="18">
        <v>14345</v>
      </c>
    </row>
    <row r="169" spans="1:23" ht="26.25" hidden="1" customHeight="1" x14ac:dyDescent="0.25">
      <c r="B169" s="14"/>
      <c r="C169" s="6" t="s">
        <v>19</v>
      </c>
      <c r="D169" s="23" t="s">
        <v>140</v>
      </c>
      <c r="E169" s="104" t="s">
        <v>555</v>
      </c>
      <c r="F169" s="386">
        <v>1347</v>
      </c>
      <c r="G169" s="48" t="s">
        <v>0</v>
      </c>
      <c r="H169" s="39"/>
      <c r="I169" s="360">
        <v>0</v>
      </c>
      <c r="J169" s="39">
        <f t="shared" si="36"/>
        <v>0</v>
      </c>
      <c r="K169" s="309">
        <f t="shared" si="44"/>
        <v>0.34</v>
      </c>
      <c r="L169" s="89"/>
      <c r="M169" s="140"/>
      <c r="N169" s="39"/>
      <c r="O169" s="497">
        <f t="shared" si="45"/>
        <v>0</v>
      </c>
      <c r="P169" s="51" t="str">
        <f t="shared" si="34"/>
        <v>C4х32</v>
      </c>
      <c r="Q169" s="377">
        <f t="shared" si="41"/>
        <v>0.48</v>
      </c>
      <c r="R169" s="330">
        <v>0.4</v>
      </c>
      <c r="S169" s="353">
        <f t="shared" si="46"/>
        <v>0</v>
      </c>
      <c r="T169" s="20"/>
      <c r="U169" s="20">
        <f t="shared" si="47"/>
        <v>0</v>
      </c>
      <c r="V169" s="52">
        <f t="shared" si="48"/>
        <v>0</v>
      </c>
      <c r="W169" s="20"/>
    </row>
    <row r="170" spans="1:23" ht="26.25" hidden="1" customHeight="1" x14ac:dyDescent="0.25">
      <c r="B170" s="19"/>
      <c r="C170" s="6" t="s">
        <v>19</v>
      </c>
      <c r="D170" s="23" t="s">
        <v>140</v>
      </c>
      <c r="E170" s="104" t="s">
        <v>23</v>
      </c>
      <c r="F170" s="208" t="s">
        <v>56</v>
      </c>
      <c r="G170" s="12" t="s">
        <v>0</v>
      </c>
      <c r="H170" s="39"/>
      <c r="I170" s="360">
        <v>0</v>
      </c>
      <c r="J170" s="39">
        <f t="shared" si="36"/>
        <v>0</v>
      </c>
      <c r="K170" s="309">
        <f t="shared" si="44"/>
        <v>0.04</v>
      </c>
      <c r="L170" s="460"/>
      <c r="M170" s="140"/>
      <c r="N170" s="503"/>
      <c r="O170" s="309">
        <f t="shared" si="45"/>
        <v>0</v>
      </c>
      <c r="P170" s="235" t="str">
        <f t="shared" si="34"/>
        <v xml:space="preserve"> СГ 210-001 Г5,5х3х7,4</v>
      </c>
      <c r="Q170" s="306">
        <f t="shared" si="41"/>
        <v>0.06</v>
      </c>
      <c r="R170" s="339">
        <v>0.05</v>
      </c>
      <c r="S170" s="353">
        <f t="shared" si="46"/>
        <v>0</v>
      </c>
      <c r="T170" s="20"/>
      <c r="U170" s="20">
        <f t="shared" si="47"/>
        <v>0</v>
      </c>
      <c r="V170" s="52">
        <f t="shared" si="48"/>
        <v>0</v>
      </c>
      <c r="W170" s="20"/>
    </row>
    <row r="171" spans="1:23" ht="26.25" hidden="1" customHeight="1" x14ac:dyDescent="0.25">
      <c r="B171" s="19"/>
      <c r="C171" s="6" t="s">
        <v>19</v>
      </c>
      <c r="D171" s="23" t="s">
        <v>140</v>
      </c>
      <c r="E171" s="107" t="s">
        <v>93</v>
      </c>
      <c r="F171" s="385" t="s">
        <v>306</v>
      </c>
      <c r="G171" s="48" t="s">
        <v>0</v>
      </c>
      <c r="H171" s="39"/>
      <c r="I171" s="309">
        <v>0</v>
      </c>
      <c r="J171" s="39">
        <f t="shared" si="36"/>
        <v>0</v>
      </c>
      <c r="K171" s="309">
        <f t="shared" si="44"/>
        <v>0.01</v>
      </c>
      <c r="L171" s="89"/>
      <c r="M171" s="140"/>
      <c r="N171" s="39"/>
      <c r="O171" s="490">
        <f t="shared" si="45"/>
        <v>0</v>
      </c>
      <c r="P171" s="51" t="str">
        <f t="shared" si="34"/>
        <v>серд СТ210-005(Т3,5х1,2х10)</v>
      </c>
      <c r="Q171" s="377">
        <f t="shared" si="41"/>
        <v>0.02</v>
      </c>
      <c r="R171" s="319">
        <v>0.02</v>
      </c>
      <c r="S171" s="353">
        <f t="shared" si="46"/>
        <v>0</v>
      </c>
      <c r="T171" s="18">
        <v>9950</v>
      </c>
      <c r="U171" s="20">
        <f t="shared" si="47"/>
        <v>0</v>
      </c>
      <c r="V171" s="52">
        <f t="shared" si="48"/>
        <v>0</v>
      </c>
      <c r="W171" s="18">
        <v>9950</v>
      </c>
    </row>
    <row r="172" spans="1:23" ht="26.25" hidden="1" customHeight="1" x14ac:dyDescent="0.25">
      <c r="B172" s="14"/>
      <c r="C172" s="6" t="s">
        <v>19</v>
      </c>
      <c r="D172" s="23" t="s">
        <v>140</v>
      </c>
      <c r="E172" s="107" t="s">
        <v>721</v>
      </c>
      <c r="F172" s="208">
        <v>393</v>
      </c>
      <c r="G172" s="13" t="s">
        <v>0</v>
      </c>
      <c r="H172" s="39"/>
      <c r="I172" s="309">
        <v>0</v>
      </c>
      <c r="J172" s="39">
        <f t="shared" si="36"/>
        <v>0</v>
      </c>
      <c r="K172" s="309">
        <f t="shared" si="44"/>
        <v>3</v>
      </c>
      <c r="L172" s="92"/>
      <c r="M172" s="140"/>
      <c r="N172" s="39"/>
      <c r="O172" s="309">
        <f t="shared" si="45"/>
        <v>0</v>
      </c>
      <c r="P172" s="51" t="str">
        <f t="shared" si="34"/>
        <v>ИБЯД.04.00.001</v>
      </c>
      <c r="Q172" s="377">
        <f t="shared" si="41"/>
        <v>4.2</v>
      </c>
      <c r="R172" s="319">
        <v>3.5</v>
      </c>
      <c r="S172" s="353">
        <f t="shared" si="46"/>
        <v>0</v>
      </c>
      <c r="T172" s="18">
        <v>0</v>
      </c>
      <c r="U172" s="20">
        <f t="shared" si="47"/>
        <v>0</v>
      </c>
      <c r="V172" s="52">
        <f t="shared" si="48"/>
        <v>0</v>
      </c>
      <c r="W172" s="18">
        <v>0</v>
      </c>
    </row>
    <row r="173" spans="1:23" ht="26.25" hidden="1" customHeight="1" x14ac:dyDescent="0.25">
      <c r="B173" s="11"/>
      <c r="C173" s="6" t="s">
        <v>19</v>
      </c>
      <c r="D173" s="23" t="s">
        <v>140</v>
      </c>
      <c r="E173" s="107" t="s">
        <v>238</v>
      </c>
      <c r="F173" s="390">
        <v>1089</v>
      </c>
      <c r="G173" s="14" t="s">
        <v>0</v>
      </c>
      <c r="H173" s="39"/>
      <c r="I173" s="309">
        <v>0</v>
      </c>
      <c r="J173" s="39">
        <f t="shared" si="36"/>
        <v>0</v>
      </c>
      <c r="K173" s="309">
        <f t="shared" si="44"/>
        <v>0.04</v>
      </c>
      <c r="L173" s="42"/>
      <c r="M173" s="140"/>
      <c r="N173" s="39"/>
      <c r="O173" s="309">
        <f t="shared" si="45"/>
        <v>0</v>
      </c>
      <c r="P173" s="51" t="str">
        <f t="shared" si="34"/>
        <v>Ч14</v>
      </c>
      <c r="Q173" s="377">
        <f t="shared" si="41"/>
        <v>0.05</v>
      </c>
      <c r="R173" s="319">
        <v>0.04</v>
      </c>
      <c r="S173" s="353">
        <f t="shared" si="46"/>
        <v>0</v>
      </c>
      <c r="T173" s="18">
        <v>150000</v>
      </c>
      <c r="U173" s="20">
        <f t="shared" si="47"/>
        <v>0</v>
      </c>
      <c r="V173" s="52">
        <f t="shared" si="48"/>
        <v>0</v>
      </c>
      <c r="W173" s="18">
        <v>150000</v>
      </c>
    </row>
    <row r="174" spans="1:23" ht="26.25" hidden="1" customHeight="1" x14ac:dyDescent="0.25">
      <c r="B174" s="14"/>
      <c r="C174" s="6" t="s">
        <v>19</v>
      </c>
      <c r="D174" s="23" t="s">
        <v>140</v>
      </c>
      <c r="E174" s="104" t="s">
        <v>131</v>
      </c>
      <c r="F174" s="386">
        <v>72</v>
      </c>
      <c r="G174" s="14" t="s">
        <v>0</v>
      </c>
      <c r="H174" s="39">
        <v>0</v>
      </c>
      <c r="I174" s="309">
        <v>0</v>
      </c>
      <c r="J174" s="39">
        <f t="shared" si="36"/>
        <v>0</v>
      </c>
      <c r="K174" s="309">
        <f t="shared" si="44"/>
        <v>1.06</v>
      </c>
      <c r="L174" s="88"/>
      <c r="M174" s="140"/>
      <c r="N174" s="39">
        <v>0</v>
      </c>
      <c r="O174" s="497">
        <f t="shared" si="45"/>
        <v>0</v>
      </c>
      <c r="P174" s="51" t="str">
        <f t="shared" si="34"/>
        <v>ПП30*15*10</v>
      </c>
      <c r="Q174" s="377">
        <f t="shared" si="41"/>
        <v>1.49</v>
      </c>
      <c r="R174" s="319">
        <v>1.24</v>
      </c>
      <c r="S174" s="353">
        <f t="shared" si="46"/>
        <v>0</v>
      </c>
      <c r="T174" s="18">
        <v>0</v>
      </c>
      <c r="U174" s="20">
        <f t="shared" si="47"/>
        <v>0</v>
      </c>
      <c r="V174" s="52">
        <f t="shared" si="48"/>
        <v>0</v>
      </c>
      <c r="W174" s="18">
        <v>0</v>
      </c>
    </row>
    <row r="175" spans="1:23" ht="26.25" customHeight="1" x14ac:dyDescent="0.25">
      <c r="B175" s="11">
        <v>68</v>
      </c>
      <c r="C175" s="6" t="s">
        <v>19</v>
      </c>
      <c r="D175" s="23" t="s">
        <v>140</v>
      </c>
      <c r="E175" s="104" t="s">
        <v>545</v>
      </c>
      <c r="F175" s="383">
        <v>1340</v>
      </c>
      <c r="G175" s="12" t="s">
        <v>0</v>
      </c>
      <c r="H175" s="39">
        <v>4800</v>
      </c>
      <c r="I175" s="360">
        <v>2832</v>
      </c>
      <c r="J175" s="39">
        <f t="shared" si="36"/>
        <v>0</v>
      </c>
      <c r="K175" s="309">
        <f t="shared" si="44"/>
        <v>0.59</v>
      </c>
      <c r="L175" s="62"/>
      <c r="M175" s="140"/>
      <c r="N175" s="39">
        <v>4800</v>
      </c>
      <c r="O175" s="309">
        <f t="shared" si="45"/>
        <v>2832</v>
      </c>
      <c r="P175" s="235" t="str">
        <f t="shared" si="34"/>
        <v>К38х24х7</v>
      </c>
      <c r="Q175" s="377">
        <f t="shared" si="41"/>
        <v>0.83</v>
      </c>
      <c r="R175" s="322">
        <f>20.21*0.034</f>
        <v>0.69</v>
      </c>
      <c r="S175" s="353">
        <f t="shared" si="46"/>
        <v>0</v>
      </c>
      <c r="T175" s="148">
        <f>300*33+180</f>
        <v>10080</v>
      </c>
      <c r="U175" s="20">
        <f t="shared" si="47"/>
        <v>0</v>
      </c>
      <c r="V175" s="52">
        <f t="shared" si="48"/>
        <v>0</v>
      </c>
      <c r="W175" s="444">
        <f>300*33+180</f>
        <v>10080</v>
      </c>
    </row>
    <row r="176" spans="1:23" ht="26.25" customHeight="1" x14ac:dyDescent="0.25">
      <c r="B176" s="11">
        <v>69</v>
      </c>
      <c r="C176" s="6" t="s">
        <v>19</v>
      </c>
      <c r="D176" s="23" t="s">
        <v>147</v>
      </c>
      <c r="E176" s="104" t="s">
        <v>546</v>
      </c>
      <c r="F176" s="383">
        <v>1348</v>
      </c>
      <c r="G176" s="12" t="s">
        <v>0</v>
      </c>
      <c r="H176" s="39">
        <v>4800</v>
      </c>
      <c r="I176" s="360">
        <v>1872</v>
      </c>
      <c r="J176" s="39">
        <f t="shared" si="36"/>
        <v>0</v>
      </c>
      <c r="K176" s="309">
        <f t="shared" si="44"/>
        <v>0.39</v>
      </c>
      <c r="L176" s="42"/>
      <c r="M176" s="140"/>
      <c r="N176" s="39">
        <v>4800</v>
      </c>
      <c r="O176" s="309">
        <f t="shared" si="45"/>
        <v>1872</v>
      </c>
      <c r="P176" s="235" t="str">
        <f t="shared" si="34"/>
        <v>К23х10х7</v>
      </c>
      <c r="Q176" s="377">
        <f t="shared" ref="Q176:Q207" si="49">R176*1.2</f>
        <v>0.54</v>
      </c>
      <c r="R176" s="338">
        <f>13.17*0.034</f>
        <v>0.45</v>
      </c>
      <c r="S176" s="353">
        <f t="shared" si="46"/>
        <v>0</v>
      </c>
      <c r="T176" s="147">
        <v>8650</v>
      </c>
      <c r="U176" s="20">
        <f t="shared" si="47"/>
        <v>0</v>
      </c>
      <c r="V176" s="52">
        <f t="shared" si="48"/>
        <v>0</v>
      </c>
      <c r="W176" s="848">
        <v>8650</v>
      </c>
    </row>
    <row r="177" spans="1:40" ht="26.25" hidden="1" customHeight="1" x14ac:dyDescent="0.25">
      <c r="B177" s="11"/>
      <c r="C177" s="6" t="s">
        <v>19</v>
      </c>
      <c r="D177" s="23" t="s">
        <v>140</v>
      </c>
      <c r="E177" s="104" t="s">
        <v>80</v>
      </c>
      <c r="F177" s="388">
        <v>92</v>
      </c>
      <c r="G177" s="12" t="s">
        <v>0</v>
      </c>
      <c r="H177" s="39"/>
      <c r="I177" s="309">
        <v>0</v>
      </c>
      <c r="J177" s="39">
        <f t="shared" si="36"/>
        <v>0</v>
      </c>
      <c r="K177" s="309">
        <f t="shared" si="44"/>
        <v>1.2</v>
      </c>
      <c r="L177" s="93"/>
      <c r="M177" s="140"/>
      <c r="N177" s="39"/>
      <c r="O177" s="490">
        <f t="shared" si="45"/>
        <v>0</v>
      </c>
      <c r="P177" s="51" t="str">
        <f t="shared" si="34"/>
        <v>СП210-028</v>
      </c>
      <c r="Q177" s="377">
        <f t="shared" si="49"/>
        <v>1.68</v>
      </c>
      <c r="R177" s="319">
        <v>1.4</v>
      </c>
      <c r="S177" s="353">
        <f t="shared" si="46"/>
        <v>0</v>
      </c>
      <c r="T177" s="18">
        <v>60</v>
      </c>
      <c r="U177" s="20">
        <f t="shared" si="47"/>
        <v>0</v>
      </c>
      <c r="V177" s="52">
        <f t="shared" si="48"/>
        <v>0</v>
      </c>
      <c r="W177" s="18">
        <v>60</v>
      </c>
    </row>
    <row r="178" spans="1:40" ht="26.25" hidden="1" customHeight="1" x14ac:dyDescent="0.25">
      <c r="B178" s="19"/>
      <c r="C178" s="6" t="s">
        <v>19</v>
      </c>
      <c r="D178" s="23" t="s">
        <v>140</v>
      </c>
      <c r="E178" s="87" t="s">
        <v>696</v>
      </c>
      <c r="F178" s="387" t="s">
        <v>699</v>
      </c>
      <c r="G178" s="12" t="s">
        <v>0</v>
      </c>
      <c r="H178" s="39"/>
      <c r="I178" s="309">
        <v>0</v>
      </c>
      <c r="J178" s="39">
        <f t="shared" si="36"/>
        <v>0</v>
      </c>
      <c r="K178" s="309">
        <f t="shared" si="44"/>
        <v>0.25</v>
      </c>
      <c r="L178" s="204"/>
      <c r="M178" s="140"/>
      <c r="N178" s="39"/>
      <c r="O178" s="309">
        <f t="shared" si="45"/>
        <v>0</v>
      </c>
      <c r="P178" s="51" t="str">
        <f t="shared" si="34"/>
        <v>С8х30</v>
      </c>
      <c r="Q178" s="377">
        <f t="shared" si="49"/>
        <v>0.35</v>
      </c>
      <c r="R178" s="339">
        <v>0.28999999999999998</v>
      </c>
      <c r="S178" s="353">
        <f t="shared" si="46"/>
        <v>0</v>
      </c>
      <c r="T178" s="18"/>
      <c r="U178" s="20">
        <f t="shared" si="47"/>
        <v>0</v>
      </c>
      <c r="V178" s="52">
        <f t="shared" si="48"/>
        <v>0</v>
      </c>
      <c r="W178" s="18"/>
    </row>
    <row r="179" spans="1:40" ht="26.25" customHeight="1" x14ac:dyDescent="0.25">
      <c r="B179" s="11">
        <v>70</v>
      </c>
      <c r="C179" s="6" t="s">
        <v>19</v>
      </c>
      <c r="D179" s="23" t="s">
        <v>140</v>
      </c>
      <c r="E179" s="104" t="s">
        <v>75</v>
      </c>
      <c r="F179" s="208">
        <v>437</v>
      </c>
      <c r="G179" s="12" t="s">
        <v>0</v>
      </c>
      <c r="H179" s="39">
        <v>2800</v>
      </c>
      <c r="I179" s="360">
        <v>1092</v>
      </c>
      <c r="J179" s="39">
        <f t="shared" si="36"/>
        <v>0</v>
      </c>
      <c r="K179" s="309">
        <f t="shared" si="44"/>
        <v>0.39</v>
      </c>
      <c r="L179" s="196"/>
      <c r="M179" s="140"/>
      <c r="N179" s="39">
        <f>4*700</f>
        <v>2800</v>
      </c>
      <c r="O179" s="309">
        <f t="shared" si="45"/>
        <v>1092</v>
      </c>
      <c r="P179" s="235" t="str">
        <f t="shared" si="34"/>
        <v>С10х40</v>
      </c>
      <c r="Q179" s="306">
        <f t="shared" si="49"/>
        <v>0.54</v>
      </c>
      <c r="R179" s="319">
        <v>0.45</v>
      </c>
      <c r="S179" s="353">
        <f t="shared" si="46"/>
        <v>0</v>
      </c>
      <c r="T179" s="70">
        <v>500</v>
      </c>
      <c r="U179" s="20">
        <f t="shared" si="47"/>
        <v>0</v>
      </c>
      <c r="V179" s="52">
        <f t="shared" si="48"/>
        <v>2300</v>
      </c>
      <c r="W179" s="444">
        <f>4*700</f>
        <v>2800</v>
      </c>
    </row>
    <row r="180" spans="1:40" ht="26.25" customHeight="1" x14ac:dyDescent="0.25">
      <c r="B180" s="11">
        <v>71</v>
      </c>
      <c r="C180" s="6" t="s">
        <v>19</v>
      </c>
      <c r="D180" s="23" t="s">
        <v>140</v>
      </c>
      <c r="E180" s="104" t="s">
        <v>78</v>
      </c>
      <c r="F180" s="208">
        <v>391</v>
      </c>
      <c r="G180" s="12" t="s">
        <v>0</v>
      </c>
      <c r="H180" s="39">
        <v>1800</v>
      </c>
      <c r="I180" s="360">
        <v>21.24</v>
      </c>
      <c r="J180" s="39">
        <f t="shared" si="36"/>
        <v>0</v>
      </c>
      <c r="K180" s="309">
        <v>0.01</v>
      </c>
      <c r="L180" s="42"/>
      <c r="M180" s="140"/>
      <c r="N180" s="39">
        <v>1800</v>
      </c>
      <c r="O180" s="309">
        <f>I180</f>
        <v>21.24</v>
      </c>
      <c r="P180" s="235" t="str">
        <f t="shared" si="34"/>
        <v>С10х26</v>
      </c>
      <c r="Q180" s="377">
        <f t="shared" si="49"/>
        <v>0.36</v>
      </c>
      <c r="R180" s="320">
        <v>0.3</v>
      </c>
      <c r="S180" s="353">
        <f t="shared" si="46"/>
        <v>0</v>
      </c>
      <c r="T180" s="148">
        <v>1800</v>
      </c>
      <c r="U180" s="20">
        <f t="shared" si="47"/>
        <v>0</v>
      </c>
      <c r="V180" s="52">
        <f t="shared" si="48"/>
        <v>0</v>
      </c>
      <c r="W180" s="444">
        <v>1800</v>
      </c>
    </row>
    <row r="181" spans="1:40" ht="26.25" customHeight="1" x14ac:dyDescent="0.25">
      <c r="B181" s="11">
        <v>72</v>
      </c>
      <c r="C181" s="6" t="s">
        <v>19</v>
      </c>
      <c r="D181" s="23" t="s">
        <v>147</v>
      </c>
      <c r="E181" s="104" t="s">
        <v>209</v>
      </c>
      <c r="F181" s="386">
        <v>373</v>
      </c>
      <c r="G181" s="48" t="s">
        <v>0</v>
      </c>
      <c r="H181" s="39"/>
      <c r="I181" s="360">
        <v>0</v>
      </c>
      <c r="J181" s="39">
        <f t="shared" si="36"/>
        <v>0</v>
      </c>
      <c r="K181" s="309">
        <f>Q181/1.4</f>
        <v>4.37</v>
      </c>
      <c r="L181" s="296" t="s">
        <v>927</v>
      </c>
      <c r="M181" s="140"/>
      <c r="N181" s="503"/>
      <c r="O181" s="309">
        <f t="shared" ref="O181:O190" si="50">K181*N181</f>
        <v>0</v>
      </c>
      <c r="P181" s="235" t="str">
        <f t="shared" si="34"/>
        <v>С8х160 М400НН</v>
      </c>
      <c r="Q181" s="377">
        <f t="shared" si="49"/>
        <v>6.12</v>
      </c>
      <c r="R181" s="326">
        <v>5.0999999999999996</v>
      </c>
      <c r="S181" s="353">
        <f t="shared" si="46"/>
        <v>0</v>
      </c>
      <c r="T181" s="147">
        <f>15*14+12</f>
        <v>222</v>
      </c>
      <c r="U181" s="20">
        <f t="shared" si="47"/>
        <v>0</v>
      </c>
      <c r="V181" s="52">
        <f t="shared" si="48"/>
        <v>0</v>
      </c>
      <c r="W181" s="18">
        <f>15*14+12</f>
        <v>222</v>
      </c>
    </row>
    <row r="182" spans="1:40" s="22" customFormat="1" ht="26.25" hidden="1" customHeight="1" x14ac:dyDescent="0.25">
      <c r="A182" s="10"/>
      <c r="B182" s="11"/>
      <c r="C182" s="6" t="s">
        <v>19</v>
      </c>
      <c r="D182" s="23" t="s">
        <v>147</v>
      </c>
      <c r="E182" s="104" t="s">
        <v>146</v>
      </c>
      <c r="F182" s="385" t="s">
        <v>244</v>
      </c>
      <c r="G182" s="14" t="s">
        <v>0</v>
      </c>
      <c r="H182" s="39">
        <v>0</v>
      </c>
      <c r="I182" s="309">
        <v>0</v>
      </c>
      <c r="J182" s="39">
        <f t="shared" si="36"/>
        <v>0</v>
      </c>
      <c r="K182" s="309">
        <f>Q182/1.4</f>
        <v>5.57</v>
      </c>
      <c r="L182" s="249" t="s">
        <v>678</v>
      </c>
      <c r="M182" s="140"/>
      <c r="N182" s="503">
        <v>0</v>
      </c>
      <c r="O182" s="309">
        <f t="shared" si="50"/>
        <v>0</v>
      </c>
      <c r="P182" s="235" t="str">
        <f t="shared" ref="P182:P245" si="51">E182</f>
        <v>С10х200 М400НН</v>
      </c>
      <c r="Q182" s="377">
        <f t="shared" si="49"/>
        <v>7.8</v>
      </c>
      <c r="R182" s="319">
        <v>6.5</v>
      </c>
      <c r="S182" s="353">
        <f t="shared" si="46"/>
        <v>0</v>
      </c>
      <c r="T182" s="147">
        <v>55</v>
      </c>
      <c r="U182" s="20">
        <f t="shared" si="47"/>
        <v>0</v>
      </c>
      <c r="V182" s="52">
        <f t="shared" si="48"/>
        <v>0</v>
      </c>
      <c r="W182" s="18">
        <v>55</v>
      </c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1:40" ht="26.25" hidden="1" customHeight="1" x14ac:dyDescent="0.25">
      <c r="B183" s="14"/>
      <c r="C183" s="6" t="s">
        <v>19</v>
      </c>
      <c r="D183" s="23" t="s">
        <v>15</v>
      </c>
      <c r="E183" s="107" t="s">
        <v>154</v>
      </c>
      <c r="F183" s="390">
        <v>589</v>
      </c>
      <c r="G183" s="13" t="s">
        <v>0</v>
      </c>
      <c r="H183" s="39">
        <v>0</v>
      </c>
      <c r="I183" s="309">
        <v>0</v>
      </c>
      <c r="J183" s="39">
        <f t="shared" si="36"/>
        <v>0</v>
      </c>
      <c r="K183" s="309">
        <f>Q183/1.4</f>
        <v>0.43</v>
      </c>
      <c r="L183" s="90"/>
      <c r="M183" s="140"/>
      <c r="N183" s="39">
        <v>0</v>
      </c>
      <c r="O183" s="490">
        <f t="shared" si="50"/>
        <v>0</v>
      </c>
      <c r="P183" s="51" t="str">
        <f t="shared" si="51"/>
        <v>С6х30</v>
      </c>
      <c r="Q183" s="377">
        <f t="shared" si="49"/>
        <v>0.6</v>
      </c>
      <c r="R183" s="319">
        <v>0.5</v>
      </c>
      <c r="S183" s="353">
        <f t="shared" si="46"/>
        <v>0</v>
      </c>
      <c r="T183" s="18">
        <v>0</v>
      </c>
      <c r="U183" s="20">
        <f t="shared" si="47"/>
        <v>0</v>
      </c>
      <c r="V183" s="52">
        <f t="shared" si="48"/>
        <v>0</v>
      </c>
      <c r="W183" s="18">
        <v>0</v>
      </c>
    </row>
    <row r="184" spans="1:40" s="21" customFormat="1" ht="26.25" hidden="1" customHeight="1" x14ac:dyDescent="0.25">
      <c r="B184" s="15"/>
      <c r="C184" s="6" t="s">
        <v>19</v>
      </c>
      <c r="D184" s="23" t="s">
        <v>15</v>
      </c>
      <c r="E184" s="104" t="s">
        <v>208</v>
      </c>
      <c r="F184" s="386">
        <v>944</v>
      </c>
      <c r="G184" s="19" t="s">
        <v>0</v>
      </c>
      <c r="H184" s="39"/>
      <c r="I184" s="309">
        <v>0</v>
      </c>
      <c r="J184" s="39">
        <f t="shared" si="36"/>
        <v>0</v>
      </c>
      <c r="K184" s="309">
        <f>Q184/1.4</f>
        <v>0.27</v>
      </c>
      <c r="L184" s="116" t="s">
        <v>212</v>
      </c>
      <c r="M184" s="140"/>
      <c r="N184" s="39"/>
      <c r="O184" s="309">
        <f t="shared" si="50"/>
        <v>0</v>
      </c>
      <c r="P184" s="51" t="str">
        <f t="shared" si="51"/>
        <v>ПС6х25</v>
      </c>
      <c r="Q184" s="377">
        <f t="shared" si="49"/>
        <v>0.38</v>
      </c>
      <c r="R184" s="320">
        <v>0.32</v>
      </c>
      <c r="S184" s="353">
        <f t="shared" si="46"/>
        <v>0</v>
      </c>
      <c r="T184" s="18">
        <v>0</v>
      </c>
      <c r="U184" s="20">
        <f t="shared" si="47"/>
        <v>0</v>
      </c>
      <c r="V184" s="52">
        <f t="shared" si="48"/>
        <v>0</v>
      </c>
      <c r="W184" s="18">
        <v>0</v>
      </c>
    </row>
    <row r="185" spans="1:40" ht="26.25" hidden="1" customHeight="1" x14ac:dyDescent="0.25">
      <c r="B185" s="11"/>
      <c r="C185" s="6" t="s">
        <v>19</v>
      </c>
      <c r="D185" s="23" t="s">
        <v>15</v>
      </c>
      <c r="E185" s="104" t="s">
        <v>284</v>
      </c>
      <c r="F185" s="209"/>
      <c r="G185" s="48" t="s">
        <v>0</v>
      </c>
      <c r="H185" s="39"/>
      <c r="I185" s="309">
        <v>0</v>
      </c>
      <c r="J185" s="39">
        <f t="shared" si="36"/>
        <v>0</v>
      </c>
      <c r="K185" s="309">
        <f>Q185/1.4</f>
        <v>0</v>
      </c>
      <c r="L185" s="99" t="s">
        <v>263</v>
      </c>
      <c r="M185" s="140"/>
      <c r="N185" s="39"/>
      <c r="O185" s="309">
        <f t="shared" si="50"/>
        <v>0</v>
      </c>
      <c r="P185" s="51" t="str">
        <f t="shared" si="51"/>
        <v>С10х100</v>
      </c>
      <c r="Q185" s="377">
        <f t="shared" si="49"/>
        <v>0</v>
      </c>
      <c r="R185" s="319">
        <v>0</v>
      </c>
      <c r="S185" s="353">
        <f t="shared" si="46"/>
        <v>0</v>
      </c>
      <c r="T185" s="20"/>
      <c r="U185" s="20">
        <f t="shared" si="47"/>
        <v>0</v>
      </c>
      <c r="V185" s="52">
        <f t="shared" si="48"/>
        <v>0</v>
      </c>
      <c r="W185" s="20"/>
    </row>
    <row r="186" spans="1:40" ht="26.25" hidden="1" customHeight="1" x14ac:dyDescent="0.25">
      <c r="B186" s="11"/>
      <c r="C186" s="6" t="s">
        <v>19</v>
      </c>
      <c r="D186" s="23" t="s">
        <v>15</v>
      </c>
      <c r="E186" s="104"/>
      <c r="F186" s="209"/>
      <c r="G186" s="48"/>
      <c r="H186" s="39"/>
      <c r="I186" s="309">
        <v>0</v>
      </c>
      <c r="J186" s="39">
        <f t="shared" si="36"/>
        <v>0</v>
      </c>
      <c r="K186" s="309"/>
      <c r="L186" s="99"/>
      <c r="M186" s="140"/>
      <c r="N186" s="39"/>
      <c r="O186" s="309">
        <f t="shared" si="50"/>
        <v>0</v>
      </c>
      <c r="P186" s="51">
        <f t="shared" si="51"/>
        <v>0</v>
      </c>
      <c r="Q186" s="377">
        <f t="shared" si="49"/>
        <v>0</v>
      </c>
      <c r="R186" s="339">
        <v>0</v>
      </c>
      <c r="S186" s="353">
        <f t="shared" si="46"/>
        <v>0</v>
      </c>
      <c r="T186" s="20"/>
      <c r="U186" s="20">
        <f t="shared" si="47"/>
        <v>0</v>
      </c>
      <c r="V186" s="52">
        <f t="shared" si="48"/>
        <v>0</v>
      </c>
      <c r="W186" s="20"/>
    </row>
    <row r="187" spans="1:40" ht="26.25" hidden="1" customHeight="1" x14ac:dyDescent="0.25">
      <c r="B187" s="11"/>
      <c r="C187" s="6" t="s">
        <v>19</v>
      </c>
      <c r="D187" s="23" t="s">
        <v>15</v>
      </c>
      <c r="E187" s="1" t="s">
        <v>329</v>
      </c>
      <c r="F187" s="209"/>
      <c r="G187" s="48"/>
      <c r="H187" s="39"/>
      <c r="I187" s="309">
        <v>0</v>
      </c>
      <c r="J187" s="39">
        <f t="shared" si="36"/>
        <v>0</v>
      </c>
      <c r="K187" s="309">
        <f>Q187/1.4</f>
        <v>0.09</v>
      </c>
      <c r="L187" s="99" t="s">
        <v>332</v>
      </c>
      <c r="M187" s="140"/>
      <c r="N187" s="39"/>
      <c r="O187" s="309">
        <f t="shared" si="50"/>
        <v>0</v>
      </c>
      <c r="P187" s="51" t="str">
        <f t="shared" si="51"/>
        <v>К7х4х2</v>
      </c>
      <c r="Q187" s="377">
        <f t="shared" si="49"/>
        <v>0.12</v>
      </c>
      <c r="R187" s="319">
        <v>0.1</v>
      </c>
      <c r="S187" s="353">
        <f t="shared" si="46"/>
        <v>0</v>
      </c>
      <c r="T187" s="20"/>
      <c r="U187" s="20">
        <f t="shared" si="47"/>
        <v>0</v>
      </c>
      <c r="V187" s="52">
        <f t="shared" si="48"/>
        <v>0</v>
      </c>
      <c r="W187" s="20"/>
    </row>
    <row r="188" spans="1:40" ht="26.25" hidden="1" customHeight="1" x14ac:dyDescent="0.25">
      <c r="B188" s="11"/>
      <c r="C188" s="6" t="s">
        <v>19</v>
      </c>
      <c r="D188" s="23" t="s">
        <v>15</v>
      </c>
      <c r="E188" s="1" t="s">
        <v>366</v>
      </c>
      <c r="F188" s="209">
        <v>1142</v>
      </c>
      <c r="G188" s="48"/>
      <c r="H188" s="39"/>
      <c r="I188" s="309">
        <v>0</v>
      </c>
      <c r="J188" s="39">
        <f t="shared" si="36"/>
        <v>0</v>
      </c>
      <c r="K188" s="309">
        <f>Q188/1.4</f>
        <v>0.11</v>
      </c>
      <c r="L188" s="99" t="s">
        <v>371</v>
      </c>
      <c r="M188" s="140"/>
      <c r="N188" s="39"/>
      <c r="O188" s="309">
        <f t="shared" si="50"/>
        <v>0</v>
      </c>
      <c r="P188" s="51" t="str">
        <f t="shared" si="51"/>
        <v>К17х8,2х5</v>
      </c>
      <c r="Q188" s="377">
        <f t="shared" si="49"/>
        <v>0.16</v>
      </c>
      <c r="R188" s="319">
        <v>0.13</v>
      </c>
      <c r="S188" s="353">
        <f t="shared" si="46"/>
        <v>0</v>
      </c>
      <c r="T188" s="20"/>
      <c r="U188" s="20">
        <f t="shared" si="47"/>
        <v>0</v>
      </c>
      <c r="V188" s="52">
        <f t="shared" si="48"/>
        <v>0</v>
      </c>
      <c r="W188" s="20"/>
    </row>
    <row r="189" spans="1:40" s="4" customFormat="1" ht="26.25" hidden="1" customHeight="1" x14ac:dyDescent="0.25">
      <c r="A189" s="10"/>
      <c r="B189" s="14"/>
      <c r="C189" s="6" t="s">
        <v>19</v>
      </c>
      <c r="D189" s="23" t="s">
        <v>15</v>
      </c>
      <c r="E189" s="107" t="s">
        <v>172</v>
      </c>
      <c r="F189" s="210">
        <v>1204</v>
      </c>
      <c r="G189" s="48" t="s">
        <v>0</v>
      </c>
      <c r="H189" s="39"/>
      <c r="I189" s="360">
        <v>0</v>
      </c>
      <c r="J189" s="39">
        <f t="shared" si="36"/>
        <v>0</v>
      </c>
      <c r="K189" s="309">
        <f>Q189/1.4</f>
        <v>1.37</v>
      </c>
      <c r="L189" s="367"/>
      <c r="M189" s="140"/>
      <c r="N189" s="39"/>
      <c r="O189" s="309">
        <f t="shared" si="50"/>
        <v>0</v>
      </c>
      <c r="P189" s="51" t="str">
        <f t="shared" si="51"/>
        <v>К10х6х3</v>
      </c>
      <c r="Q189" s="377">
        <f t="shared" si="49"/>
        <v>1.92</v>
      </c>
      <c r="R189" s="322">
        <v>1.6</v>
      </c>
      <c r="S189" s="353">
        <f t="shared" si="46"/>
        <v>0</v>
      </c>
      <c r="T189" s="18">
        <v>0</v>
      </c>
      <c r="U189" s="20">
        <f t="shared" si="47"/>
        <v>0</v>
      </c>
      <c r="V189" s="52">
        <f t="shared" si="48"/>
        <v>0</v>
      </c>
      <c r="W189" s="18">
        <v>0</v>
      </c>
    </row>
    <row r="190" spans="1:40" ht="26.25" customHeight="1" x14ac:dyDescent="0.25">
      <c r="B190" s="11">
        <v>73</v>
      </c>
      <c r="C190" s="6" t="s">
        <v>19</v>
      </c>
      <c r="D190" s="23" t="s">
        <v>15</v>
      </c>
      <c r="E190" s="104" t="s">
        <v>21</v>
      </c>
      <c r="F190" s="383" t="s">
        <v>127</v>
      </c>
      <c r="G190" s="12" t="s">
        <v>0</v>
      </c>
      <c r="H190" s="39">
        <v>1761</v>
      </c>
      <c r="I190" s="360">
        <v>1127.04</v>
      </c>
      <c r="J190" s="39">
        <f t="shared" si="36"/>
        <v>0</v>
      </c>
      <c r="K190" s="381">
        <f>Q190/1.4</f>
        <v>0.64</v>
      </c>
      <c r="L190" s="363"/>
      <c r="M190" s="140"/>
      <c r="N190" s="39">
        <f>3000-239-500-500</f>
        <v>1761</v>
      </c>
      <c r="O190" s="309">
        <f t="shared" si="50"/>
        <v>1127.04</v>
      </c>
      <c r="P190" s="235" t="str">
        <f t="shared" si="51"/>
        <v>К10х6х4,5</v>
      </c>
      <c r="Q190" s="377">
        <f t="shared" si="49"/>
        <v>0.9</v>
      </c>
      <c r="R190" s="319">
        <v>0.75</v>
      </c>
      <c r="S190" s="353">
        <f t="shared" si="46"/>
        <v>0</v>
      </c>
      <c r="T190" s="148">
        <v>10000</v>
      </c>
      <c r="U190" s="20">
        <f t="shared" si="47"/>
        <v>0</v>
      </c>
      <c r="V190" s="52">
        <f t="shared" si="48"/>
        <v>0</v>
      </c>
      <c r="W190" s="20">
        <v>10000</v>
      </c>
    </row>
    <row r="191" spans="1:40" ht="26.25" customHeight="1" x14ac:dyDescent="0.25">
      <c r="B191" s="11">
        <v>74</v>
      </c>
      <c r="C191" s="6" t="s">
        <v>19</v>
      </c>
      <c r="D191" s="23" t="s">
        <v>15</v>
      </c>
      <c r="E191" s="104" t="s">
        <v>111</v>
      </c>
      <c r="F191" s="208" t="s">
        <v>81</v>
      </c>
      <c r="G191" s="12" t="s">
        <v>0</v>
      </c>
      <c r="H191" s="39">
        <v>5000</v>
      </c>
      <c r="I191" s="360">
        <v>1285.5</v>
      </c>
      <c r="J191" s="39">
        <f t="shared" si="36"/>
        <v>0</v>
      </c>
      <c r="K191" s="309">
        <v>0.26</v>
      </c>
      <c r="L191" s="94"/>
      <c r="M191" s="140"/>
      <c r="N191" s="39">
        <v>5000</v>
      </c>
      <c r="O191" s="309">
        <f>I191</f>
        <v>1285.5</v>
      </c>
      <c r="P191" s="235" t="str">
        <f t="shared" si="51"/>
        <v>К10х6х4,5 с п/п</v>
      </c>
      <c r="Q191" s="377">
        <f t="shared" si="49"/>
        <v>0.36</v>
      </c>
      <c r="R191" s="320">
        <v>0.3</v>
      </c>
      <c r="S191" s="353">
        <f t="shared" si="46"/>
        <v>0</v>
      </c>
      <c r="T191" s="20"/>
      <c r="U191" s="20">
        <f t="shared" si="47"/>
        <v>0</v>
      </c>
      <c r="V191" s="52">
        <f t="shared" si="48"/>
        <v>0</v>
      </c>
      <c r="W191" s="20"/>
    </row>
    <row r="192" spans="1:40" ht="26.25" customHeight="1" x14ac:dyDescent="0.25">
      <c r="B192" s="11">
        <v>75</v>
      </c>
      <c r="C192" s="6" t="s">
        <v>19</v>
      </c>
      <c r="D192" s="23" t="s">
        <v>15</v>
      </c>
      <c r="E192" s="104" t="s">
        <v>550</v>
      </c>
      <c r="F192" s="208">
        <v>374</v>
      </c>
      <c r="G192" s="12" t="s">
        <v>0</v>
      </c>
      <c r="H192" s="39">
        <v>52000</v>
      </c>
      <c r="I192" s="360">
        <v>10920</v>
      </c>
      <c r="J192" s="39">
        <f t="shared" si="36"/>
        <v>0</v>
      </c>
      <c r="K192" s="309">
        <f>Q192/1.4</f>
        <v>0.7</v>
      </c>
      <c r="L192" s="300" t="s">
        <v>928</v>
      </c>
      <c r="M192" s="140">
        <v>1000</v>
      </c>
      <c r="N192" s="39">
        <v>51000</v>
      </c>
      <c r="O192" s="309">
        <f t="shared" ref="O192:O202" si="52">K192*N192</f>
        <v>35700</v>
      </c>
      <c r="P192" s="235" t="str">
        <f t="shared" si="51"/>
        <v>К16х10х4,5</v>
      </c>
      <c r="Q192" s="377">
        <f t="shared" si="49"/>
        <v>0.98</v>
      </c>
      <c r="R192" s="319">
        <v>0.82</v>
      </c>
      <c r="S192" s="353">
        <f t="shared" si="46"/>
        <v>0</v>
      </c>
      <c r="T192" s="148">
        <f>161200-515-520</f>
        <v>160165</v>
      </c>
      <c r="U192" s="20">
        <f t="shared" si="47"/>
        <v>1000</v>
      </c>
      <c r="V192" s="52">
        <f t="shared" si="48"/>
        <v>1000</v>
      </c>
      <c r="W192" s="20">
        <f>161200-515-520</f>
        <v>160165</v>
      </c>
    </row>
    <row r="193" spans="2:23" ht="26.25" hidden="1" customHeight="1" x14ac:dyDescent="0.25">
      <c r="B193" s="14"/>
      <c r="C193" s="6" t="s">
        <v>19</v>
      </c>
      <c r="D193" s="23" t="s">
        <v>193</v>
      </c>
      <c r="E193" s="104" t="s">
        <v>197</v>
      </c>
      <c r="F193" s="386">
        <v>1071</v>
      </c>
      <c r="G193" s="14" t="s">
        <v>0</v>
      </c>
      <c r="H193" s="39"/>
      <c r="I193" s="309">
        <v>0</v>
      </c>
      <c r="J193" s="39">
        <f t="shared" si="36"/>
        <v>0</v>
      </c>
      <c r="K193" s="309">
        <f>Q193/1.4</f>
        <v>0.26</v>
      </c>
      <c r="L193" s="82" t="s">
        <v>276</v>
      </c>
      <c r="M193" s="140"/>
      <c r="N193" s="39"/>
      <c r="O193" s="490">
        <f t="shared" si="52"/>
        <v>0</v>
      </c>
      <c r="P193" s="51" t="str">
        <f t="shared" si="51"/>
        <v>К16 х  10  х 4,5 c  п/п</v>
      </c>
      <c r="Q193" s="377">
        <f t="shared" si="49"/>
        <v>0.36</v>
      </c>
      <c r="R193" s="322">
        <v>0.3</v>
      </c>
      <c r="S193" s="353">
        <f t="shared" si="46"/>
        <v>0</v>
      </c>
      <c r="T193" s="147">
        <f>11*1500</f>
        <v>16500</v>
      </c>
      <c r="U193" s="20">
        <f t="shared" si="47"/>
        <v>0</v>
      </c>
      <c r="V193" s="52">
        <f t="shared" si="48"/>
        <v>0</v>
      </c>
      <c r="W193" s="18">
        <f>11*1500</f>
        <v>16500</v>
      </c>
    </row>
    <row r="194" spans="2:23" s="21" customFormat="1" ht="26.25" customHeight="1" x14ac:dyDescent="0.25">
      <c r="B194" s="11">
        <v>76</v>
      </c>
      <c r="C194" s="6" t="s">
        <v>19</v>
      </c>
      <c r="D194" s="23" t="s">
        <v>15</v>
      </c>
      <c r="E194" s="104" t="s">
        <v>33</v>
      </c>
      <c r="F194" s="208" t="s">
        <v>62</v>
      </c>
      <c r="G194" s="12" t="s">
        <v>0</v>
      </c>
      <c r="H194" s="39">
        <v>674</v>
      </c>
      <c r="I194" s="360">
        <v>141.54</v>
      </c>
      <c r="J194" s="39">
        <f t="shared" si="36"/>
        <v>0</v>
      </c>
      <c r="K194" s="309">
        <v>0.21</v>
      </c>
      <c r="L194" s="365"/>
      <c r="M194" s="140"/>
      <c r="N194" s="39">
        <v>674</v>
      </c>
      <c r="O194" s="309">
        <f t="shared" si="52"/>
        <v>141.54</v>
      </c>
      <c r="P194" s="235" t="str">
        <f t="shared" si="51"/>
        <v>К20х10х5</v>
      </c>
      <c r="Q194" s="377">
        <f t="shared" si="49"/>
        <v>0.3</v>
      </c>
      <c r="R194" s="320">
        <v>0.25</v>
      </c>
      <c r="S194" s="353">
        <f t="shared" si="46"/>
        <v>0</v>
      </c>
      <c r="T194" s="20">
        <v>685</v>
      </c>
      <c r="U194" s="20">
        <f t="shared" si="47"/>
        <v>0</v>
      </c>
      <c r="V194" s="52">
        <f t="shared" si="48"/>
        <v>0</v>
      </c>
      <c r="W194" s="444">
        <v>685</v>
      </c>
    </row>
    <row r="195" spans="2:23" s="21" customFormat="1" ht="26.25" hidden="1" customHeight="1" x14ac:dyDescent="0.25">
      <c r="B195" s="15"/>
      <c r="C195" s="6" t="s">
        <v>19</v>
      </c>
      <c r="D195" s="23" t="s">
        <v>15</v>
      </c>
      <c r="E195" s="104" t="s">
        <v>102</v>
      </c>
      <c r="F195" s="387" t="s">
        <v>271</v>
      </c>
      <c r="G195" s="12" t="s">
        <v>0</v>
      </c>
      <c r="H195" s="39"/>
      <c r="I195" s="309">
        <v>0</v>
      </c>
      <c r="J195" s="39">
        <f t="shared" si="36"/>
        <v>0</v>
      </c>
      <c r="K195" s="309">
        <f>Q195/1.4</f>
        <v>0.47</v>
      </c>
      <c r="L195" s="855" t="s">
        <v>804</v>
      </c>
      <c r="M195" s="140"/>
      <c r="N195" s="39"/>
      <c r="O195" s="507">
        <f t="shared" si="52"/>
        <v>0</v>
      </c>
      <c r="P195" s="51" t="str">
        <f t="shared" si="51"/>
        <v>К20х12х6 с п/п</v>
      </c>
      <c r="Q195" s="377">
        <f t="shared" si="49"/>
        <v>0.66</v>
      </c>
      <c r="R195" s="337">
        <v>0.55000000000000004</v>
      </c>
      <c r="S195" s="353">
        <f t="shared" si="46"/>
        <v>0</v>
      </c>
      <c r="T195" s="18">
        <f>4600-50-300</f>
        <v>4250</v>
      </c>
      <c r="U195" s="20">
        <f t="shared" si="47"/>
        <v>0</v>
      </c>
      <c r="V195" s="52">
        <f t="shared" si="48"/>
        <v>0</v>
      </c>
      <c r="W195" s="848">
        <f>4600-50-300</f>
        <v>4250</v>
      </c>
    </row>
    <row r="196" spans="2:23" ht="26.25" customHeight="1" x14ac:dyDescent="0.25">
      <c r="B196" s="11">
        <v>77</v>
      </c>
      <c r="C196" s="6" t="s">
        <v>19</v>
      </c>
      <c r="D196" s="23" t="s">
        <v>15</v>
      </c>
      <c r="E196" s="104" t="s">
        <v>143</v>
      </c>
      <c r="F196" s="208" t="s">
        <v>201</v>
      </c>
      <c r="G196" s="12" t="s">
        <v>0</v>
      </c>
      <c r="H196" s="39">
        <v>727</v>
      </c>
      <c r="I196" s="360">
        <v>479.82</v>
      </c>
      <c r="J196" s="39">
        <f t="shared" si="36"/>
        <v>0</v>
      </c>
      <c r="K196" s="309">
        <v>0.66</v>
      </c>
      <c r="L196" s="363" t="s">
        <v>651</v>
      </c>
      <c r="M196" s="140">
        <v>100</v>
      </c>
      <c r="N196" s="39">
        <v>627</v>
      </c>
      <c r="O196" s="309">
        <f t="shared" si="52"/>
        <v>413.82</v>
      </c>
      <c r="P196" s="235" t="str">
        <f t="shared" si="51"/>
        <v>К 20х12х6</v>
      </c>
      <c r="Q196" s="377">
        <f t="shared" si="49"/>
        <v>0.95</v>
      </c>
      <c r="R196" s="319">
        <v>0.79</v>
      </c>
      <c r="S196" s="353">
        <f t="shared" si="46"/>
        <v>0</v>
      </c>
      <c r="T196" s="20">
        <f>10869-2250-100-25-47</f>
        <v>8447</v>
      </c>
      <c r="U196" s="20">
        <f t="shared" si="47"/>
        <v>100</v>
      </c>
      <c r="V196" s="52">
        <f t="shared" si="48"/>
        <v>100</v>
      </c>
      <c r="W196" s="444">
        <f>10869-2250-100-25-47</f>
        <v>8447</v>
      </c>
    </row>
    <row r="197" spans="2:23" ht="26.25" customHeight="1" x14ac:dyDescent="0.25">
      <c r="B197" s="11">
        <v>78</v>
      </c>
      <c r="C197" s="6" t="s">
        <v>19</v>
      </c>
      <c r="D197" s="79" t="s">
        <v>193</v>
      </c>
      <c r="E197" s="104" t="s">
        <v>102</v>
      </c>
      <c r="F197" s="208">
        <v>596</v>
      </c>
      <c r="G197" s="12" t="s">
        <v>0</v>
      </c>
      <c r="H197" s="39">
        <v>435</v>
      </c>
      <c r="I197" s="360">
        <v>204.45</v>
      </c>
      <c r="J197" s="39">
        <f t="shared" si="36"/>
        <v>0</v>
      </c>
      <c r="K197" s="309">
        <f>Q197/1.4</f>
        <v>0.47</v>
      </c>
      <c r="L197" s="364"/>
      <c r="M197" s="140"/>
      <c r="N197" s="39">
        <v>435</v>
      </c>
      <c r="O197" s="309">
        <f t="shared" si="52"/>
        <v>204.45</v>
      </c>
      <c r="P197" s="235" t="str">
        <f t="shared" si="51"/>
        <v>К20х12х6 с п/п</v>
      </c>
      <c r="Q197" s="377">
        <f t="shared" si="49"/>
        <v>0.66</v>
      </c>
      <c r="R197" s="319">
        <v>0.55000000000000004</v>
      </c>
      <c r="S197" s="353">
        <f t="shared" si="46"/>
        <v>0</v>
      </c>
      <c r="T197" s="20">
        <f>700-15</f>
        <v>685</v>
      </c>
      <c r="U197" s="20">
        <f t="shared" si="47"/>
        <v>0</v>
      </c>
      <c r="V197" s="52">
        <f t="shared" si="48"/>
        <v>0</v>
      </c>
      <c r="W197" s="20">
        <f>700-15</f>
        <v>685</v>
      </c>
    </row>
    <row r="198" spans="2:23" s="21" customFormat="1" ht="26.25" customHeight="1" x14ac:dyDescent="0.25">
      <c r="B198" s="11">
        <v>79</v>
      </c>
      <c r="C198" s="6" t="s">
        <v>19</v>
      </c>
      <c r="D198" s="23" t="s">
        <v>15</v>
      </c>
      <c r="E198" s="104" t="s">
        <v>123</v>
      </c>
      <c r="F198" s="526">
        <v>620</v>
      </c>
      <c r="G198" s="12" t="s">
        <v>0</v>
      </c>
      <c r="H198" s="39">
        <v>1084</v>
      </c>
      <c r="I198" s="360">
        <v>682.92</v>
      </c>
      <c r="J198" s="39">
        <f t="shared" ref="J198:J261" si="53">M198+N198-H198</f>
        <v>0</v>
      </c>
      <c r="K198" s="309">
        <v>0.63</v>
      </c>
      <c r="L198" s="370"/>
      <c r="M198" s="140"/>
      <c r="N198" s="39">
        <v>1084</v>
      </c>
      <c r="O198" s="309">
        <f t="shared" si="52"/>
        <v>682.92</v>
      </c>
      <c r="P198" s="235" t="str">
        <f t="shared" si="51"/>
        <v xml:space="preserve">К28х16х9 </v>
      </c>
      <c r="Q198" s="377">
        <f t="shared" si="49"/>
        <v>0.89</v>
      </c>
      <c r="R198" s="320">
        <v>0.74</v>
      </c>
      <c r="S198" s="353">
        <f t="shared" si="46"/>
        <v>0</v>
      </c>
      <c r="T198" s="148">
        <f>1200*2+600+2890-5-5</f>
        <v>5880</v>
      </c>
      <c r="U198" s="20">
        <f t="shared" si="47"/>
        <v>0</v>
      </c>
      <c r="V198" s="52">
        <f t="shared" si="48"/>
        <v>0</v>
      </c>
      <c r="W198" s="444">
        <f>1200*2+600+2890-5-5</f>
        <v>5880</v>
      </c>
    </row>
    <row r="199" spans="2:23" s="21" customFormat="1" ht="26.25" hidden="1" customHeight="1" x14ac:dyDescent="0.25">
      <c r="B199" s="15"/>
      <c r="C199" s="6" t="s">
        <v>19</v>
      </c>
      <c r="D199" s="23" t="s">
        <v>15</v>
      </c>
      <c r="E199" s="104" t="s">
        <v>208</v>
      </c>
      <c r="F199" s="386">
        <v>944</v>
      </c>
      <c r="G199" s="19" t="s">
        <v>0</v>
      </c>
      <c r="H199" s="39"/>
      <c r="I199" s="309">
        <v>0</v>
      </c>
      <c r="J199" s="39">
        <f t="shared" si="53"/>
        <v>0</v>
      </c>
      <c r="K199" s="309">
        <f>Q199/1.4</f>
        <v>0.27</v>
      </c>
      <c r="L199" s="116" t="s">
        <v>212</v>
      </c>
      <c r="M199" s="140"/>
      <c r="N199" s="39"/>
      <c r="O199" s="490">
        <f t="shared" si="52"/>
        <v>0</v>
      </c>
      <c r="P199" s="262" t="str">
        <f t="shared" si="51"/>
        <v>ПС6х25</v>
      </c>
      <c r="Q199" s="377">
        <f t="shared" si="49"/>
        <v>0.38</v>
      </c>
      <c r="R199" s="333">
        <v>0.32</v>
      </c>
      <c r="S199" s="353">
        <f t="shared" si="46"/>
        <v>0</v>
      </c>
      <c r="T199" s="18">
        <v>0</v>
      </c>
      <c r="U199" s="20">
        <f t="shared" ref="U199:U230" si="54">M199</f>
        <v>0</v>
      </c>
      <c r="V199" s="52">
        <f t="shared" ref="V199:V230" si="55">W199-T199+U199</f>
        <v>0</v>
      </c>
      <c r="W199" s="18">
        <v>0</v>
      </c>
    </row>
    <row r="200" spans="2:23" s="21" customFormat="1" ht="26.25" hidden="1" customHeight="1" x14ac:dyDescent="0.25">
      <c r="B200" s="15"/>
      <c r="C200" s="6" t="s">
        <v>19</v>
      </c>
      <c r="D200" s="23" t="s">
        <v>15</v>
      </c>
      <c r="E200" s="104" t="s">
        <v>148</v>
      </c>
      <c r="F200" s="388">
        <v>426</v>
      </c>
      <c r="G200" s="12" t="s">
        <v>0</v>
      </c>
      <c r="H200" s="39"/>
      <c r="I200" s="309">
        <v>0</v>
      </c>
      <c r="J200" s="39">
        <f t="shared" si="53"/>
        <v>0</v>
      </c>
      <c r="K200" s="309">
        <f>Q200/1.4</f>
        <v>0.39</v>
      </c>
      <c r="L200" s="272" t="s">
        <v>152</v>
      </c>
      <c r="M200" s="140"/>
      <c r="N200" s="39"/>
      <c r="O200" s="309">
        <f t="shared" si="52"/>
        <v>0</v>
      </c>
      <c r="P200" s="263" t="str">
        <f t="shared" si="51"/>
        <v>К38х19х9 п/п</v>
      </c>
      <c r="Q200" s="377">
        <f t="shared" si="49"/>
        <v>0.55000000000000004</v>
      </c>
      <c r="R200" s="339">
        <v>0.46</v>
      </c>
      <c r="S200" s="353">
        <f t="shared" si="46"/>
        <v>0</v>
      </c>
      <c r="T200" s="18"/>
      <c r="U200" s="20">
        <f t="shared" si="54"/>
        <v>0</v>
      </c>
      <c r="V200" s="52">
        <f t="shared" si="55"/>
        <v>0</v>
      </c>
      <c r="W200" s="18"/>
    </row>
    <row r="201" spans="2:23" s="21" customFormat="1" ht="26.25" customHeight="1" x14ac:dyDescent="0.3">
      <c r="B201" s="11">
        <v>80</v>
      </c>
      <c r="C201" s="6" t="s">
        <v>19</v>
      </c>
      <c r="D201" s="23" t="s">
        <v>15</v>
      </c>
      <c r="E201" s="104" t="s">
        <v>61</v>
      </c>
      <c r="F201" s="208">
        <v>208</v>
      </c>
      <c r="G201" s="12" t="s">
        <v>0</v>
      </c>
      <c r="H201" s="39">
        <v>343</v>
      </c>
      <c r="I201" s="360">
        <v>411.6</v>
      </c>
      <c r="J201" s="39">
        <f t="shared" si="53"/>
        <v>2058</v>
      </c>
      <c r="K201" s="309">
        <f>Q201/1.4</f>
        <v>1.2</v>
      </c>
      <c r="L201" s="300" t="s">
        <v>926</v>
      </c>
      <c r="M201" s="140">
        <v>686</v>
      </c>
      <c r="N201" s="39">
        <v>1715</v>
      </c>
      <c r="O201" s="309">
        <f t="shared" si="52"/>
        <v>2058</v>
      </c>
      <c r="P201" s="235" t="str">
        <f t="shared" si="51"/>
        <v>К38х19х9</v>
      </c>
      <c r="Q201" s="377">
        <f t="shared" si="49"/>
        <v>1.68</v>
      </c>
      <c r="R201" s="319">
        <v>1.4</v>
      </c>
      <c r="S201" s="353">
        <f t="shared" si="46"/>
        <v>2881.2</v>
      </c>
      <c r="T201" s="74">
        <f>343*2+225</f>
        <v>911</v>
      </c>
      <c r="U201" s="20">
        <f t="shared" si="54"/>
        <v>686</v>
      </c>
      <c r="V201" s="52">
        <f t="shared" si="55"/>
        <v>9722</v>
      </c>
      <c r="W201" s="856">
        <f>343*3+26*343</f>
        <v>9947</v>
      </c>
    </row>
    <row r="202" spans="2:23" ht="26.25" customHeight="1" x14ac:dyDescent="0.25">
      <c r="B202" s="11">
        <v>81</v>
      </c>
      <c r="C202" s="6" t="s">
        <v>19</v>
      </c>
      <c r="D202" s="23" t="s">
        <v>15</v>
      </c>
      <c r="E202" s="104" t="s">
        <v>87</v>
      </c>
      <c r="F202" s="383">
        <v>506</v>
      </c>
      <c r="G202" s="12" t="s">
        <v>0</v>
      </c>
      <c r="H202" s="39">
        <v>800</v>
      </c>
      <c r="I202" s="360">
        <v>1648</v>
      </c>
      <c r="J202" s="39">
        <f t="shared" si="53"/>
        <v>0</v>
      </c>
      <c r="K202" s="309">
        <f>Q202/1.4</f>
        <v>2.31</v>
      </c>
      <c r="L202" s="72" t="s">
        <v>886</v>
      </c>
      <c r="M202" s="140">
        <v>400</v>
      </c>
      <c r="N202" s="39">
        <v>400</v>
      </c>
      <c r="O202" s="309">
        <f t="shared" si="52"/>
        <v>924</v>
      </c>
      <c r="P202" s="235" t="str">
        <f t="shared" si="51"/>
        <v>К45х28х8</v>
      </c>
      <c r="Q202" s="377">
        <f t="shared" si="49"/>
        <v>3.24</v>
      </c>
      <c r="R202" s="319">
        <v>2.7</v>
      </c>
      <c r="S202" s="353">
        <f t="shared" si="46"/>
        <v>0</v>
      </c>
      <c r="T202" s="148">
        <f>5*360</f>
        <v>1800</v>
      </c>
      <c r="U202" s="20">
        <f t="shared" si="54"/>
        <v>400</v>
      </c>
      <c r="V202" s="52">
        <f t="shared" si="55"/>
        <v>600</v>
      </c>
      <c r="W202" s="444">
        <f>1280+360*2</f>
        <v>2000</v>
      </c>
    </row>
    <row r="203" spans="2:23" ht="26.25" customHeight="1" x14ac:dyDescent="0.25">
      <c r="B203" s="11">
        <v>82</v>
      </c>
      <c r="C203" s="6" t="s">
        <v>19</v>
      </c>
      <c r="D203" s="23" t="s">
        <v>15</v>
      </c>
      <c r="E203" s="104" t="s">
        <v>144</v>
      </c>
      <c r="F203" s="208">
        <v>590</v>
      </c>
      <c r="G203" s="12" t="s">
        <v>0</v>
      </c>
      <c r="H203" s="39">
        <v>454</v>
      </c>
      <c r="I203" s="360">
        <v>894.38</v>
      </c>
      <c r="J203" s="39">
        <f t="shared" si="53"/>
        <v>0</v>
      </c>
      <c r="K203" s="309">
        <v>1.97</v>
      </c>
      <c r="L203" s="363"/>
      <c r="M203" s="140"/>
      <c r="N203" s="39">
        <f>510-46-2-8</f>
        <v>454</v>
      </c>
      <c r="O203" s="309">
        <f>N203*K203</f>
        <v>894.38</v>
      </c>
      <c r="P203" s="235" t="str">
        <f t="shared" si="51"/>
        <v>К45х28х12</v>
      </c>
      <c r="Q203" s="377">
        <f t="shared" si="49"/>
        <v>6.24</v>
      </c>
      <c r="R203" s="319">
        <v>5.2</v>
      </c>
      <c r="S203" s="353">
        <f t="shared" si="46"/>
        <v>0</v>
      </c>
      <c r="T203" s="148">
        <f>13*120+240*7</f>
        <v>3240</v>
      </c>
      <c r="U203" s="20">
        <f t="shared" si="54"/>
        <v>0</v>
      </c>
      <c r="V203" s="52">
        <f t="shared" si="55"/>
        <v>0</v>
      </c>
      <c r="W203" s="444">
        <f>13*120+240*7</f>
        <v>3240</v>
      </c>
    </row>
    <row r="204" spans="2:23" ht="26.25" customHeight="1" x14ac:dyDescent="0.25">
      <c r="B204" s="11">
        <v>83</v>
      </c>
      <c r="C204" s="6" t="s">
        <v>19</v>
      </c>
      <c r="D204" s="23" t="s">
        <v>15</v>
      </c>
      <c r="E204" s="104" t="s">
        <v>22</v>
      </c>
      <c r="F204" s="208" t="s">
        <v>57</v>
      </c>
      <c r="G204" s="12" t="s">
        <v>0</v>
      </c>
      <c r="H204" s="39">
        <v>1670</v>
      </c>
      <c r="I204" s="360">
        <v>501</v>
      </c>
      <c r="J204" s="39">
        <f t="shared" si="53"/>
        <v>0</v>
      </c>
      <c r="K204" s="309">
        <f t="shared" ref="K204:K228" si="56">Q204/1.4</f>
        <v>0.3</v>
      </c>
      <c r="L204" s="364"/>
      <c r="M204" s="140"/>
      <c r="N204" s="39">
        <v>1670</v>
      </c>
      <c r="O204" s="309">
        <f t="shared" ref="O204:O240" si="57">K204*N204</f>
        <v>501</v>
      </c>
      <c r="P204" s="235" t="str">
        <f t="shared" si="51"/>
        <v xml:space="preserve"> Ч22 </v>
      </c>
      <c r="Q204" s="377">
        <f t="shared" si="49"/>
        <v>0.42</v>
      </c>
      <c r="R204" s="319">
        <v>0.35</v>
      </c>
      <c r="S204" s="353">
        <f t="shared" si="46"/>
        <v>0</v>
      </c>
      <c r="T204" s="148">
        <f>100+1105+213+158-100-20</f>
        <v>1456</v>
      </c>
      <c r="U204" s="20">
        <f t="shared" si="54"/>
        <v>0</v>
      </c>
      <c r="V204" s="52">
        <f t="shared" si="55"/>
        <v>0</v>
      </c>
      <c r="W204" s="444">
        <f>100+1105+213+158-100-20</f>
        <v>1456</v>
      </c>
    </row>
    <row r="205" spans="2:23" ht="26.25" hidden="1" customHeight="1" x14ac:dyDescent="0.25">
      <c r="B205" s="11"/>
      <c r="C205" s="6" t="s">
        <v>19</v>
      </c>
      <c r="D205" s="23" t="s">
        <v>15</v>
      </c>
      <c r="E205" s="104" t="s">
        <v>113</v>
      </c>
      <c r="F205" s="374">
        <v>605</v>
      </c>
      <c r="G205" s="12" t="s">
        <v>0</v>
      </c>
      <c r="H205" s="39"/>
      <c r="I205" s="360">
        <v>0</v>
      </c>
      <c r="J205" s="39">
        <f t="shared" si="53"/>
        <v>0</v>
      </c>
      <c r="K205" s="309">
        <f t="shared" si="56"/>
        <v>1.7</v>
      </c>
      <c r="L205" s="250" t="s">
        <v>537</v>
      </c>
      <c r="M205" s="140"/>
      <c r="N205" s="39"/>
      <c r="O205" s="467">
        <f t="shared" si="57"/>
        <v>0</v>
      </c>
      <c r="P205" s="51" t="str">
        <f t="shared" si="51"/>
        <v>Ч36</v>
      </c>
      <c r="Q205" s="306">
        <f t="shared" si="49"/>
        <v>2.38</v>
      </c>
      <c r="R205" s="319">
        <v>1.98</v>
      </c>
      <c r="S205" s="353">
        <f t="shared" si="46"/>
        <v>0</v>
      </c>
      <c r="T205" s="148">
        <v>506</v>
      </c>
      <c r="U205" s="20">
        <f t="shared" si="54"/>
        <v>0</v>
      </c>
      <c r="V205" s="52">
        <f t="shared" si="55"/>
        <v>0</v>
      </c>
      <c r="W205" s="444">
        <v>506</v>
      </c>
    </row>
    <row r="206" spans="2:23" ht="26.25" customHeight="1" x14ac:dyDescent="0.25">
      <c r="B206" s="14">
        <v>84</v>
      </c>
      <c r="C206" s="6" t="s">
        <v>19</v>
      </c>
      <c r="D206" s="23" t="s">
        <v>15</v>
      </c>
      <c r="E206" s="104" t="s">
        <v>74</v>
      </c>
      <c r="F206" s="208">
        <v>339</v>
      </c>
      <c r="G206" s="48" t="s">
        <v>0</v>
      </c>
      <c r="H206" s="39"/>
      <c r="I206" s="309">
        <v>0</v>
      </c>
      <c r="J206" s="39">
        <f t="shared" si="53"/>
        <v>450</v>
      </c>
      <c r="K206" s="309">
        <f t="shared" si="56"/>
        <v>1.46</v>
      </c>
      <c r="L206" s="146" t="s">
        <v>439</v>
      </c>
      <c r="M206" s="140">
        <v>450</v>
      </c>
      <c r="N206" s="39"/>
      <c r="O206" s="309">
        <f t="shared" si="57"/>
        <v>0</v>
      </c>
      <c r="P206" s="264" t="str">
        <f t="shared" si="51"/>
        <v>Ч30</v>
      </c>
      <c r="Q206" s="377">
        <f t="shared" si="49"/>
        <v>2.04</v>
      </c>
      <c r="R206" s="338">
        <v>1.7</v>
      </c>
      <c r="S206" s="353">
        <f t="shared" si="46"/>
        <v>765</v>
      </c>
      <c r="T206" s="148">
        <f>155+108</f>
        <v>263</v>
      </c>
      <c r="U206" s="20">
        <f t="shared" si="54"/>
        <v>450</v>
      </c>
      <c r="V206" s="52">
        <f t="shared" si="55"/>
        <v>294</v>
      </c>
      <c r="W206" s="444">
        <v>107</v>
      </c>
    </row>
    <row r="207" spans="2:23" ht="26.25" customHeight="1" x14ac:dyDescent="0.25">
      <c r="B207" s="11">
        <v>85</v>
      </c>
      <c r="C207" s="6" t="s">
        <v>19</v>
      </c>
      <c r="D207" s="23" t="s">
        <v>15</v>
      </c>
      <c r="E207" s="104" t="s">
        <v>453</v>
      </c>
      <c r="F207" s="387" t="s">
        <v>606</v>
      </c>
      <c r="G207" s="12" t="s">
        <v>0</v>
      </c>
      <c r="H207" s="39"/>
      <c r="I207" s="309">
        <v>0</v>
      </c>
      <c r="J207" s="39">
        <f t="shared" si="53"/>
        <v>2660</v>
      </c>
      <c r="K207" s="309">
        <f t="shared" si="56"/>
        <v>0.12</v>
      </c>
      <c r="L207" s="458" t="s">
        <v>929</v>
      </c>
      <c r="M207" s="140">
        <v>2660</v>
      </c>
      <c r="N207" s="39"/>
      <c r="O207" s="309">
        <f t="shared" si="57"/>
        <v>0</v>
      </c>
      <c r="P207" s="51" t="str">
        <f t="shared" si="51"/>
        <v>Ш  4х4 М2000НМ</v>
      </c>
      <c r="Q207" s="377">
        <f t="shared" si="49"/>
        <v>0.17</v>
      </c>
      <c r="R207" s="340">
        <v>0.14000000000000001</v>
      </c>
      <c r="S207" s="353">
        <f t="shared" si="46"/>
        <v>372.4</v>
      </c>
      <c r="T207" s="147">
        <f>12000-1234-3000+12000-510-234</f>
        <v>19022</v>
      </c>
      <c r="U207" s="20">
        <f t="shared" si="54"/>
        <v>2660</v>
      </c>
      <c r="V207" s="52">
        <f t="shared" si="55"/>
        <v>2660</v>
      </c>
      <c r="W207" s="18">
        <f>12000-1234-3000+12000-510-234</f>
        <v>19022</v>
      </c>
    </row>
    <row r="208" spans="2:23" ht="26.25" hidden="1" customHeight="1" thickBot="1" x14ac:dyDescent="0.35">
      <c r="B208" s="11"/>
      <c r="C208" s="6" t="s">
        <v>19</v>
      </c>
      <c r="D208" s="23" t="s">
        <v>15</v>
      </c>
      <c r="E208" s="104" t="s">
        <v>139</v>
      </c>
      <c r="F208" s="208" t="s">
        <v>55</v>
      </c>
      <c r="G208" s="48" t="s">
        <v>0</v>
      </c>
      <c r="H208" s="39"/>
      <c r="I208" s="309">
        <v>0</v>
      </c>
      <c r="J208" s="39">
        <f t="shared" si="53"/>
        <v>0</v>
      </c>
      <c r="K208" s="309">
        <f t="shared" si="56"/>
        <v>0.09</v>
      </c>
      <c r="L208" s="233" t="s">
        <v>474</v>
      </c>
      <c r="M208" s="140"/>
      <c r="N208" s="39"/>
      <c r="O208" s="309">
        <f t="shared" si="57"/>
        <v>0</v>
      </c>
      <c r="P208" s="264" t="str">
        <f t="shared" si="51"/>
        <v>Ш6х6 М2000НМ1</v>
      </c>
      <c r="Q208" s="377">
        <f t="shared" ref="Q208:Q239" si="58">R208*1.2</f>
        <v>0.13</v>
      </c>
      <c r="R208" s="320">
        <v>0.105</v>
      </c>
      <c r="S208" s="353">
        <f t="shared" si="46"/>
        <v>0</v>
      </c>
      <c r="T208" s="257">
        <v>81790</v>
      </c>
      <c r="U208" s="20">
        <f t="shared" si="54"/>
        <v>0</v>
      </c>
      <c r="V208" s="52">
        <f t="shared" si="55"/>
        <v>0</v>
      </c>
      <c r="W208" s="856">
        <v>81790</v>
      </c>
    </row>
    <row r="209" spans="2:23" ht="26.25" hidden="1" customHeight="1" thickBot="1" x14ac:dyDescent="0.3">
      <c r="B209" s="11"/>
      <c r="C209" s="6" t="s">
        <v>19</v>
      </c>
      <c r="D209" s="23" t="s">
        <v>193</v>
      </c>
      <c r="E209" s="104" t="s">
        <v>188</v>
      </c>
      <c r="F209" s="385" t="s">
        <v>190</v>
      </c>
      <c r="G209" s="19" t="s">
        <v>0</v>
      </c>
      <c r="H209" s="39"/>
      <c r="I209" s="309">
        <v>0</v>
      </c>
      <c r="J209" s="39">
        <f t="shared" si="53"/>
        <v>0</v>
      </c>
      <c r="K209" s="309">
        <f t="shared" si="56"/>
        <v>7.0000000000000007E-2</v>
      </c>
      <c r="L209" s="146" t="s">
        <v>379</v>
      </c>
      <c r="M209" s="140"/>
      <c r="N209" s="39"/>
      <c r="O209" s="309">
        <f t="shared" si="57"/>
        <v>0</v>
      </c>
      <c r="P209" s="265" t="str">
        <f t="shared" si="51"/>
        <v>Ш6х6 М2500НМ</v>
      </c>
      <c r="Q209" s="377">
        <f t="shared" si="58"/>
        <v>0.1</v>
      </c>
      <c r="R209" s="320">
        <v>8.5000000000000006E-2</v>
      </c>
      <c r="S209" s="353">
        <f t="shared" si="46"/>
        <v>0</v>
      </c>
      <c r="T209" s="18"/>
      <c r="U209" s="20">
        <f t="shared" si="54"/>
        <v>0</v>
      </c>
      <c r="V209" s="52">
        <f t="shared" si="55"/>
        <v>0</v>
      </c>
      <c r="W209" s="18"/>
    </row>
    <row r="210" spans="2:23" ht="26.25" hidden="1" customHeight="1" x14ac:dyDescent="0.25">
      <c r="B210" s="15"/>
      <c r="C210" s="6" t="s">
        <v>19</v>
      </c>
      <c r="D210" s="23" t="s">
        <v>203</v>
      </c>
      <c r="E210" s="104" t="s">
        <v>204</v>
      </c>
      <c r="F210" s="387" t="s">
        <v>194</v>
      </c>
      <c r="G210" s="19" t="s">
        <v>0</v>
      </c>
      <c r="H210" s="39"/>
      <c r="I210" s="309">
        <v>0</v>
      </c>
      <c r="J210" s="39">
        <f t="shared" si="53"/>
        <v>0</v>
      </c>
      <c r="K210" s="309">
        <f t="shared" si="56"/>
        <v>0.06</v>
      </c>
      <c r="L210" s="64" t="s">
        <v>205</v>
      </c>
      <c r="M210" s="140"/>
      <c r="N210" s="39"/>
      <c r="O210" s="309">
        <f t="shared" si="57"/>
        <v>0</v>
      </c>
      <c r="P210" s="262" t="str">
        <f t="shared" si="51"/>
        <v>Ш6х6 М6000НМ</v>
      </c>
      <c r="Q210" s="377">
        <f t="shared" si="58"/>
        <v>0.08</v>
      </c>
      <c r="R210" s="333">
        <v>6.93E-2</v>
      </c>
      <c r="S210" s="353">
        <f t="shared" si="46"/>
        <v>0</v>
      </c>
      <c r="T210" s="18"/>
      <c r="U210" s="20">
        <f t="shared" si="54"/>
        <v>0</v>
      </c>
      <c r="V210" s="52">
        <f t="shared" si="55"/>
        <v>0</v>
      </c>
      <c r="W210" s="18"/>
    </row>
    <row r="211" spans="2:23" ht="26.25" customHeight="1" x14ac:dyDescent="0.25">
      <c r="B211" s="14">
        <v>86</v>
      </c>
      <c r="C211" s="6" t="s">
        <v>20</v>
      </c>
      <c r="D211" s="23" t="s">
        <v>15</v>
      </c>
      <c r="E211" s="104" t="s">
        <v>96</v>
      </c>
      <c r="F211" s="386">
        <v>103</v>
      </c>
      <c r="G211" s="825" t="s">
        <v>0</v>
      </c>
      <c r="H211" s="509">
        <v>3000</v>
      </c>
      <c r="I211" s="414">
        <v>480</v>
      </c>
      <c r="J211" s="39">
        <f t="shared" si="53"/>
        <v>0</v>
      </c>
      <c r="K211" s="309">
        <f t="shared" si="56"/>
        <v>0.16</v>
      </c>
      <c r="L211" s="157" t="s">
        <v>888</v>
      </c>
      <c r="M211" s="140"/>
      <c r="N211" s="39">
        <v>3000</v>
      </c>
      <c r="O211" s="309">
        <f t="shared" si="57"/>
        <v>480</v>
      </c>
      <c r="P211" s="235" t="str">
        <f t="shared" si="51"/>
        <v>Ш7х7 М2000НМ</v>
      </c>
      <c r="Q211" s="377">
        <f t="shared" si="58"/>
        <v>0.22</v>
      </c>
      <c r="R211" s="319">
        <v>0.18</v>
      </c>
      <c r="S211" s="353">
        <f t="shared" si="46"/>
        <v>0</v>
      </c>
      <c r="T211" s="18"/>
      <c r="U211" s="20">
        <f t="shared" si="54"/>
        <v>0</v>
      </c>
      <c r="V211" s="52">
        <f t="shared" si="55"/>
        <v>0</v>
      </c>
      <c r="W211" s="18"/>
    </row>
    <row r="212" spans="2:23" s="21" customFormat="1" ht="26.25" hidden="1" customHeight="1" x14ac:dyDescent="0.25">
      <c r="B212" s="15"/>
      <c r="C212" s="6" t="s">
        <v>19</v>
      </c>
      <c r="D212" s="23" t="s">
        <v>193</v>
      </c>
      <c r="E212" s="104" t="s">
        <v>367</v>
      </c>
      <c r="F212" s="387" t="s">
        <v>220</v>
      </c>
      <c r="G212" s="12" t="s">
        <v>0</v>
      </c>
      <c r="H212" s="39"/>
      <c r="I212" s="309">
        <v>0</v>
      </c>
      <c r="J212" s="39">
        <f t="shared" si="53"/>
        <v>0</v>
      </c>
      <c r="K212" s="309">
        <f t="shared" si="56"/>
        <v>0.16</v>
      </c>
      <c r="L212" s="157" t="s">
        <v>832</v>
      </c>
      <c r="M212" s="140"/>
      <c r="N212" s="39"/>
      <c r="O212" s="309">
        <f t="shared" si="57"/>
        <v>0</v>
      </c>
      <c r="P212" s="263" t="str">
        <f t="shared" si="51"/>
        <v xml:space="preserve">Ш7х7 </v>
      </c>
      <c r="Q212" s="377">
        <f t="shared" si="58"/>
        <v>0.22</v>
      </c>
      <c r="R212" s="339">
        <v>0.18</v>
      </c>
      <c r="S212" s="353">
        <f t="shared" si="46"/>
        <v>0</v>
      </c>
      <c r="T212" s="147">
        <f>20900-20-150-450-300</f>
        <v>19980</v>
      </c>
      <c r="U212" s="20">
        <f t="shared" si="54"/>
        <v>0</v>
      </c>
      <c r="V212" s="52">
        <f t="shared" si="55"/>
        <v>0</v>
      </c>
      <c r="W212" s="18">
        <f>20900-20-150-450-300</f>
        <v>19980</v>
      </c>
    </row>
    <row r="213" spans="2:23" ht="26.25" hidden="1" customHeight="1" x14ac:dyDescent="0.25">
      <c r="B213" s="11"/>
      <c r="C213" s="6" t="s">
        <v>19</v>
      </c>
      <c r="D213" s="23" t="s">
        <v>15</v>
      </c>
      <c r="E213" s="104" t="s">
        <v>110</v>
      </c>
      <c r="F213" s="208" t="s">
        <v>112</v>
      </c>
      <c r="G213" s="19" t="s">
        <v>0</v>
      </c>
      <c r="H213" s="39"/>
      <c r="I213" s="360">
        <v>0</v>
      </c>
      <c r="J213" s="39">
        <f t="shared" si="53"/>
        <v>0</v>
      </c>
      <c r="K213" s="309">
        <f t="shared" si="56"/>
        <v>0.69</v>
      </c>
      <c r="L213" s="64"/>
      <c r="M213" s="140"/>
      <c r="N213" s="503"/>
      <c r="O213" s="309">
        <f t="shared" si="57"/>
        <v>0</v>
      </c>
      <c r="P213" s="235" t="str">
        <f t="shared" si="51"/>
        <v>Ш 10х10</v>
      </c>
      <c r="Q213" s="377">
        <f t="shared" si="58"/>
        <v>0.97</v>
      </c>
      <c r="R213" s="319">
        <v>0.81</v>
      </c>
      <c r="S213" s="353">
        <f t="shared" si="46"/>
        <v>0</v>
      </c>
      <c r="T213" s="147">
        <f>260+700</f>
        <v>960</v>
      </c>
      <c r="U213" s="20">
        <f t="shared" si="54"/>
        <v>0</v>
      </c>
      <c r="V213" s="52">
        <f t="shared" si="55"/>
        <v>0</v>
      </c>
      <c r="W213" s="18">
        <f>260+700</f>
        <v>960</v>
      </c>
    </row>
    <row r="214" spans="2:23" ht="26.25" hidden="1" customHeight="1" x14ac:dyDescent="0.25">
      <c r="B214" s="11"/>
      <c r="C214" s="6" t="s">
        <v>19</v>
      </c>
      <c r="D214" s="23" t="s">
        <v>15</v>
      </c>
      <c r="E214" s="104" t="s">
        <v>101</v>
      </c>
      <c r="F214" s="387"/>
      <c r="G214" s="14" t="s">
        <v>0</v>
      </c>
      <c r="H214" s="39"/>
      <c r="I214" s="309">
        <v>0</v>
      </c>
      <c r="J214" s="39">
        <f t="shared" si="53"/>
        <v>0</v>
      </c>
      <c r="K214" s="309">
        <f t="shared" si="56"/>
        <v>0.46</v>
      </c>
      <c r="L214" s="90" t="s">
        <v>121</v>
      </c>
      <c r="M214" s="140"/>
      <c r="N214" s="39"/>
      <c r="O214" s="490">
        <f t="shared" si="57"/>
        <v>0</v>
      </c>
      <c r="P214" s="264" t="str">
        <f t="shared" si="51"/>
        <v>Ш12х15</v>
      </c>
      <c r="Q214" s="377">
        <f t="shared" si="58"/>
        <v>0.65</v>
      </c>
      <c r="R214" s="322">
        <v>0.54</v>
      </c>
      <c r="S214" s="353">
        <f t="shared" si="46"/>
        <v>0</v>
      </c>
      <c r="T214" s="147">
        <v>5600</v>
      </c>
      <c r="U214" s="20">
        <f t="shared" si="54"/>
        <v>0</v>
      </c>
      <c r="V214" s="52">
        <f t="shared" si="55"/>
        <v>0</v>
      </c>
      <c r="W214" s="18">
        <v>5600</v>
      </c>
    </row>
    <row r="215" spans="2:23" ht="26.25" customHeight="1" x14ac:dyDescent="0.25">
      <c r="B215" s="11">
        <v>87</v>
      </c>
      <c r="C215" s="6" t="s">
        <v>20</v>
      </c>
      <c r="D215" s="23" t="s">
        <v>15</v>
      </c>
      <c r="E215" s="104" t="s">
        <v>163</v>
      </c>
      <c r="F215" s="208">
        <v>433</v>
      </c>
      <c r="G215" s="12" t="s">
        <v>0</v>
      </c>
      <c r="H215" s="39">
        <v>192</v>
      </c>
      <c r="I215" s="360">
        <v>971.52</v>
      </c>
      <c r="J215" s="39">
        <f t="shared" si="53"/>
        <v>0</v>
      </c>
      <c r="K215" s="309">
        <f t="shared" si="56"/>
        <v>5.0599999999999996</v>
      </c>
      <c r="L215" s="365"/>
      <c r="M215" s="140"/>
      <c r="N215" s="39">
        <v>192</v>
      </c>
      <c r="O215" s="309">
        <f t="shared" si="57"/>
        <v>971.52</v>
      </c>
      <c r="P215" s="235" t="str">
        <f t="shared" si="51"/>
        <v xml:space="preserve">Ш20х28 </v>
      </c>
      <c r="Q215" s="377">
        <f t="shared" si="58"/>
        <v>7.08</v>
      </c>
      <c r="R215" s="319">
        <v>5.9</v>
      </c>
      <c r="S215" s="353">
        <f t="shared" si="46"/>
        <v>0</v>
      </c>
      <c r="T215" s="147">
        <v>4000</v>
      </c>
      <c r="U215" s="20">
        <f t="shared" si="54"/>
        <v>0</v>
      </c>
      <c r="V215" s="52">
        <f t="shared" si="55"/>
        <v>0</v>
      </c>
      <c r="W215" s="848">
        <v>4000</v>
      </c>
    </row>
    <row r="216" spans="2:23" ht="26.25" hidden="1" customHeight="1" x14ac:dyDescent="0.25">
      <c r="B216" s="11"/>
      <c r="C216" s="6" t="s">
        <v>19</v>
      </c>
      <c r="D216" s="23" t="s">
        <v>15</v>
      </c>
      <c r="E216" s="104" t="s">
        <v>156</v>
      </c>
      <c r="F216" s="387" t="s">
        <v>119</v>
      </c>
      <c r="G216" s="14" t="s">
        <v>0</v>
      </c>
      <c r="H216" s="39"/>
      <c r="I216" s="309">
        <v>0</v>
      </c>
      <c r="J216" s="39">
        <f t="shared" si="53"/>
        <v>0</v>
      </c>
      <c r="K216" s="309">
        <f t="shared" si="56"/>
        <v>0.34</v>
      </c>
      <c r="L216" s="90" t="s">
        <v>120</v>
      </c>
      <c r="M216" s="140"/>
      <c r="N216" s="39"/>
      <c r="O216" s="490">
        <f t="shared" si="57"/>
        <v>0</v>
      </c>
      <c r="P216" s="262" t="str">
        <f t="shared" si="51"/>
        <v>Ш42х21х13</v>
      </c>
      <c r="Q216" s="377">
        <f t="shared" si="58"/>
        <v>0.48</v>
      </c>
      <c r="R216" s="326">
        <v>0.4</v>
      </c>
      <c r="S216" s="353">
        <f t="shared" si="46"/>
        <v>0</v>
      </c>
      <c r="T216" s="148">
        <f>400+44+2000</f>
        <v>2444</v>
      </c>
      <c r="U216" s="20">
        <f t="shared" si="54"/>
        <v>0</v>
      </c>
      <c r="V216" s="52">
        <f t="shared" si="55"/>
        <v>0</v>
      </c>
      <c r="W216" s="444">
        <f>400+44+2000</f>
        <v>2444</v>
      </c>
    </row>
    <row r="217" spans="2:23" ht="26.25" customHeight="1" x14ac:dyDescent="0.25">
      <c r="B217" s="11">
        <v>88</v>
      </c>
      <c r="C217" s="6" t="s">
        <v>19</v>
      </c>
      <c r="D217" s="849" t="s">
        <v>203</v>
      </c>
      <c r="E217" s="459" t="s">
        <v>905</v>
      </c>
      <c r="F217" s="393" t="s">
        <v>910</v>
      </c>
      <c r="G217" s="48" t="s">
        <v>0</v>
      </c>
      <c r="H217" s="39"/>
      <c r="I217" s="309">
        <v>0</v>
      </c>
      <c r="J217" s="39">
        <f t="shared" si="53"/>
        <v>0</v>
      </c>
      <c r="K217" s="309">
        <f t="shared" si="56"/>
        <v>0.85</v>
      </c>
      <c r="L217" s="458" t="s">
        <v>930</v>
      </c>
      <c r="M217" s="141"/>
      <c r="N217" s="503"/>
      <c r="O217" s="309">
        <f t="shared" si="57"/>
        <v>0</v>
      </c>
      <c r="P217" s="51" t="str">
        <f t="shared" si="51"/>
        <v>к21х12х7</v>
      </c>
      <c r="Q217" s="306">
        <f t="shared" si="58"/>
        <v>1.19</v>
      </c>
      <c r="R217" s="850">
        <f>29.15*0.034</f>
        <v>0.99</v>
      </c>
      <c r="S217" s="353">
        <f t="shared" si="46"/>
        <v>0</v>
      </c>
      <c r="T217" s="20"/>
      <c r="U217" s="20">
        <f t="shared" si="54"/>
        <v>0</v>
      </c>
      <c r="V217" s="52">
        <f t="shared" si="55"/>
        <v>0</v>
      </c>
      <c r="W217" s="20"/>
    </row>
    <row r="218" spans="2:23" ht="26.25" customHeight="1" x14ac:dyDescent="0.25">
      <c r="B218" s="11">
        <v>89</v>
      </c>
      <c r="C218" s="6" t="s">
        <v>19</v>
      </c>
      <c r="D218" s="849" t="s">
        <v>907</v>
      </c>
      <c r="E218" s="459" t="s">
        <v>905</v>
      </c>
      <c r="F218" s="393" t="s">
        <v>911</v>
      </c>
      <c r="G218" s="48" t="s">
        <v>0</v>
      </c>
      <c r="H218" s="39"/>
      <c r="I218" s="309">
        <v>0</v>
      </c>
      <c r="J218" s="39">
        <f t="shared" si="53"/>
        <v>0</v>
      </c>
      <c r="K218" s="309">
        <f t="shared" si="56"/>
        <v>0.95</v>
      </c>
      <c r="L218" s="458" t="s">
        <v>931</v>
      </c>
      <c r="M218" s="141"/>
      <c r="N218" s="503"/>
      <c r="O218" s="309">
        <f t="shared" si="57"/>
        <v>0</v>
      </c>
      <c r="P218" s="51" t="str">
        <f t="shared" si="51"/>
        <v>к21х12х7</v>
      </c>
      <c r="Q218" s="306">
        <f t="shared" si="58"/>
        <v>1.33</v>
      </c>
      <c r="R218" s="850">
        <f>32.6*0.034</f>
        <v>1.1100000000000001</v>
      </c>
      <c r="S218" s="353">
        <f t="shared" si="46"/>
        <v>0</v>
      </c>
      <c r="T218" s="20"/>
      <c r="U218" s="20">
        <f t="shared" si="54"/>
        <v>0</v>
      </c>
      <c r="V218" s="52">
        <f t="shared" si="55"/>
        <v>0</v>
      </c>
      <c r="W218" s="20"/>
    </row>
    <row r="219" spans="2:23" ht="26.25" customHeight="1" x14ac:dyDescent="0.25">
      <c r="B219" s="11">
        <v>90</v>
      </c>
      <c r="C219" s="6" t="s">
        <v>19</v>
      </c>
      <c r="D219" s="849" t="s">
        <v>908</v>
      </c>
      <c r="E219" s="459" t="s">
        <v>905</v>
      </c>
      <c r="F219" s="393" t="s">
        <v>912</v>
      </c>
      <c r="G219" s="48" t="s">
        <v>0</v>
      </c>
      <c r="H219" s="39"/>
      <c r="I219" s="309">
        <v>0</v>
      </c>
      <c r="J219" s="39">
        <f t="shared" si="53"/>
        <v>0</v>
      </c>
      <c r="K219" s="309">
        <f t="shared" si="56"/>
        <v>1.02</v>
      </c>
      <c r="L219" s="458" t="s">
        <v>932</v>
      </c>
      <c r="M219" s="141"/>
      <c r="N219" s="503"/>
      <c r="O219" s="309">
        <f t="shared" si="57"/>
        <v>0</v>
      </c>
      <c r="P219" s="51" t="str">
        <f t="shared" si="51"/>
        <v>к21х12х7</v>
      </c>
      <c r="Q219" s="306">
        <f t="shared" si="58"/>
        <v>1.43</v>
      </c>
      <c r="R219" s="850">
        <f>34.9*0.034</f>
        <v>1.19</v>
      </c>
      <c r="S219" s="353">
        <f t="shared" si="46"/>
        <v>0</v>
      </c>
      <c r="T219" s="20"/>
      <c r="U219" s="20">
        <f t="shared" si="54"/>
        <v>0</v>
      </c>
      <c r="V219" s="52">
        <f t="shared" si="55"/>
        <v>0</v>
      </c>
      <c r="W219" s="20"/>
    </row>
    <row r="220" spans="2:23" ht="26.25" customHeight="1" x14ac:dyDescent="0.25">
      <c r="B220" s="11">
        <v>91</v>
      </c>
      <c r="C220" s="6" t="s">
        <v>19</v>
      </c>
      <c r="D220" s="849" t="s">
        <v>203</v>
      </c>
      <c r="E220" s="459" t="s">
        <v>906</v>
      </c>
      <c r="F220" s="393" t="s">
        <v>913</v>
      </c>
      <c r="G220" s="48" t="s">
        <v>0</v>
      </c>
      <c r="H220" s="39"/>
      <c r="I220" s="309">
        <v>0</v>
      </c>
      <c r="J220" s="39">
        <f t="shared" si="53"/>
        <v>0</v>
      </c>
      <c r="K220" s="309">
        <f t="shared" si="56"/>
        <v>1.19</v>
      </c>
      <c r="L220" s="458" t="s">
        <v>933</v>
      </c>
      <c r="M220" s="141"/>
      <c r="N220" s="503"/>
      <c r="O220" s="309">
        <f t="shared" si="57"/>
        <v>0</v>
      </c>
      <c r="P220" s="51" t="str">
        <f t="shared" si="51"/>
        <v>к38х22х7</v>
      </c>
      <c r="Q220" s="306">
        <f t="shared" si="58"/>
        <v>1.66</v>
      </c>
      <c r="R220" s="850">
        <f>40.65*0.034</f>
        <v>1.38</v>
      </c>
      <c r="S220" s="353">
        <f t="shared" si="46"/>
        <v>0</v>
      </c>
      <c r="T220" s="20"/>
      <c r="U220" s="20">
        <f t="shared" si="54"/>
        <v>0</v>
      </c>
      <c r="V220" s="52">
        <f t="shared" si="55"/>
        <v>0</v>
      </c>
      <c r="W220" s="20"/>
    </row>
    <row r="221" spans="2:23" ht="26.25" customHeight="1" x14ac:dyDescent="0.25">
      <c r="B221" s="11">
        <v>92</v>
      </c>
      <c r="C221" s="6" t="s">
        <v>19</v>
      </c>
      <c r="D221" s="849" t="s">
        <v>907</v>
      </c>
      <c r="E221" s="459" t="s">
        <v>906</v>
      </c>
      <c r="F221" s="393" t="s">
        <v>914</v>
      </c>
      <c r="G221" s="48" t="s">
        <v>0</v>
      </c>
      <c r="H221" s="39"/>
      <c r="I221" s="309">
        <v>0</v>
      </c>
      <c r="J221" s="39">
        <f t="shared" si="53"/>
        <v>0</v>
      </c>
      <c r="K221" s="309">
        <f t="shared" si="56"/>
        <v>1.27</v>
      </c>
      <c r="L221" s="458" t="s">
        <v>934</v>
      </c>
      <c r="M221" s="141"/>
      <c r="N221" s="503"/>
      <c r="O221" s="309">
        <f t="shared" si="57"/>
        <v>0</v>
      </c>
      <c r="P221" s="51" t="str">
        <f t="shared" si="51"/>
        <v>к38х22х7</v>
      </c>
      <c r="Q221" s="306">
        <f t="shared" si="58"/>
        <v>1.78</v>
      </c>
      <c r="R221" s="850">
        <f>43.5*0.034</f>
        <v>1.48</v>
      </c>
      <c r="S221" s="353">
        <f t="shared" si="46"/>
        <v>0</v>
      </c>
      <c r="T221" s="20"/>
      <c r="U221" s="20">
        <f t="shared" si="54"/>
        <v>0</v>
      </c>
      <c r="V221" s="52">
        <f t="shared" si="55"/>
        <v>0</v>
      </c>
      <c r="W221" s="20"/>
    </row>
    <row r="222" spans="2:23" ht="26.25" customHeight="1" x14ac:dyDescent="0.25">
      <c r="B222" s="11">
        <v>93</v>
      </c>
      <c r="C222" s="6" t="s">
        <v>19</v>
      </c>
      <c r="D222" s="849" t="s">
        <v>908</v>
      </c>
      <c r="E222" s="459" t="s">
        <v>906</v>
      </c>
      <c r="F222" s="393" t="s">
        <v>915</v>
      </c>
      <c r="G222" s="48" t="s">
        <v>0</v>
      </c>
      <c r="H222" s="39"/>
      <c r="I222" s="309">
        <v>0</v>
      </c>
      <c r="J222" s="39">
        <f t="shared" si="53"/>
        <v>0</v>
      </c>
      <c r="K222" s="309">
        <f t="shared" si="56"/>
        <v>1.32</v>
      </c>
      <c r="L222" s="458" t="s">
        <v>935</v>
      </c>
      <c r="M222" s="141"/>
      <c r="N222" s="503"/>
      <c r="O222" s="309">
        <f t="shared" si="57"/>
        <v>0</v>
      </c>
      <c r="P222" s="51" t="str">
        <f t="shared" si="51"/>
        <v>к38х22х7</v>
      </c>
      <c r="Q222" s="306">
        <f t="shared" si="58"/>
        <v>1.85</v>
      </c>
      <c r="R222" s="850">
        <f>45.4*0.034</f>
        <v>1.54</v>
      </c>
      <c r="S222" s="353">
        <f t="shared" si="46"/>
        <v>0</v>
      </c>
      <c r="T222" s="20"/>
      <c r="U222" s="20">
        <f t="shared" si="54"/>
        <v>0</v>
      </c>
      <c r="V222" s="52">
        <f t="shared" si="55"/>
        <v>0</v>
      </c>
      <c r="W222" s="20"/>
    </row>
    <row r="223" spans="2:23" ht="26.25" hidden="1" customHeight="1" x14ac:dyDescent="0.25">
      <c r="B223" s="19"/>
      <c r="C223" s="6" t="s">
        <v>19</v>
      </c>
      <c r="D223" s="23" t="s">
        <v>141</v>
      </c>
      <c r="E223" s="104" t="s">
        <v>88</v>
      </c>
      <c r="F223" s="385" t="s">
        <v>267</v>
      </c>
      <c r="G223" s="12" t="s">
        <v>0</v>
      </c>
      <c r="H223" s="39"/>
      <c r="I223" s="309">
        <v>0</v>
      </c>
      <c r="J223" s="39">
        <f t="shared" si="53"/>
        <v>0</v>
      </c>
      <c r="K223" s="309">
        <f t="shared" si="56"/>
        <v>7.0000000000000007E-2</v>
      </c>
      <c r="L223" s="214" t="s">
        <v>506</v>
      </c>
      <c r="M223" s="140"/>
      <c r="N223" s="39"/>
      <c r="O223" s="309">
        <f t="shared" si="57"/>
        <v>0</v>
      </c>
      <c r="P223" s="235" t="str">
        <f t="shared" si="51"/>
        <v xml:space="preserve"> СК210-23 К14х9х 5</v>
      </c>
      <c r="Q223" s="377">
        <f t="shared" si="58"/>
        <v>0.1</v>
      </c>
      <c r="R223" s="341">
        <v>8.3000000000000004E-2</v>
      </c>
      <c r="S223" s="353">
        <f t="shared" si="46"/>
        <v>0</v>
      </c>
      <c r="T223" s="148">
        <v>139300</v>
      </c>
      <c r="U223" s="20">
        <f t="shared" si="54"/>
        <v>0</v>
      </c>
      <c r="V223" s="52">
        <f t="shared" si="55"/>
        <v>0</v>
      </c>
      <c r="W223" s="20">
        <v>139300</v>
      </c>
    </row>
    <row r="224" spans="2:23" ht="26.25" hidden="1" customHeight="1" x14ac:dyDescent="0.25">
      <c r="B224" s="11"/>
      <c r="C224" s="6" t="s">
        <v>18</v>
      </c>
      <c r="D224" s="23" t="s">
        <v>40</v>
      </c>
      <c r="E224" s="104" t="s">
        <v>211</v>
      </c>
      <c r="F224" s="375">
        <v>642</v>
      </c>
      <c r="G224" s="48" t="s">
        <v>0</v>
      </c>
      <c r="H224" s="39"/>
      <c r="I224" s="360">
        <v>0</v>
      </c>
      <c r="J224" s="39">
        <f t="shared" si="53"/>
        <v>0</v>
      </c>
      <c r="K224" s="309">
        <f t="shared" si="56"/>
        <v>0.51</v>
      </c>
      <c r="L224" s="250" t="s">
        <v>833</v>
      </c>
      <c r="M224" s="140"/>
      <c r="N224" s="39"/>
      <c r="O224" s="360">
        <f t="shared" si="57"/>
        <v>0</v>
      </c>
      <c r="P224" s="235" t="str">
        <f t="shared" si="51"/>
        <v>Д3х2</v>
      </c>
      <c r="Q224" s="306">
        <f t="shared" si="58"/>
        <v>0.72</v>
      </c>
      <c r="R224" s="319">
        <v>0.6</v>
      </c>
      <c r="S224" s="353">
        <f t="shared" si="46"/>
        <v>0</v>
      </c>
      <c r="T224" s="147">
        <v>9780</v>
      </c>
      <c r="U224" s="20">
        <f t="shared" si="54"/>
        <v>0</v>
      </c>
      <c r="V224" s="52">
        <f t="shared" si="55"/>
        <v>0</v>
      </c>
      <c r="W224" s="848">
        <v>9780</v>
      </c>
    </row>
    <row r="225" spans="1:39" ht="26.25" customHeight="1" x14ac:dyDescent="0.25">
      <c r="B225" s="11">
        <v>94</v>
      </c>
      <c r="C225" s="6" t="s">
        <v>18</v>
      </c>
      <c r="D225" s="23" t="s">
        <v>40</v>
      </c>
      <c r="E225" s="104" t="s">
        <v>226</v>
      </c>
      <c r="F225" s="208">
        <v>966</v>
      </c>
      <c r="G225" s="48"/>
      <c r="H225" s="39"/>
      <c r="I225" s="309">
        <v>0</v>
      </c>
      <c r="J225" s="39">
        <f t="shared" si="53"/>
        <v>0</v>
      </c>
      <c r="K225" s="309">
        <f t="shared" si="56"/>
        <v>0.17</v>
      </c>
      <c r="L225" s="216" t="s">
        <v>889</v>
      </c>
      <c r="M225" s="140"/>
      <c r="N225" s="39"/>
      <c r="O225" s="309">
        <f t="shared" si="57"/>
        <v>0</v>
      </c>
      <c r="P225" s="235" t="str">
        <f t="shared" si="51"/>
        <v>Д3х3</v>
      </c>
      <c r="Q225" s="377">
        <f t="shared" si="58"/>
        <v>0.24</v>
      </c>
      <c r="R225" s="319">
        <v>0.2</v>
      </c>
      <c r="S225" s="353">
        <f t="shared" si="46"/>
        <v>0</v>
      </c>
      <c r="T225" s="147">
        <f>7873+800</f>
        <v>8673</v>
      </c>
      <c r="U225" s="20">
        <f t="shared" si="54"/>
        <v>0</v>
      </c>
      <c r="V225" s="52">
        <f t="shared" si="55"/>
        <v>-2400</v>
      </c>
      <c r="W225" s="848">
        <f>7873+800-2300-100</f>
        <v>6273</v>
      </c>
    </row>
    <row r="226" spans="1:39" ht="26.25" hidden="1" customHeight="1" x14ac:dyDescent="0.25">
      <c r="B226" s="11"/>
      <c r="C226" s="6" t="s">
        <v>18</v>
      </c>
      <c r="D226" s="23" t="s">
        <v>40</v>
      </c>
      <c r="E226" s="104" t="s">
        <v>227</v>
      </c>
      <c r="F226" s="394">
        <v>496</v>
      </c>
      <c r="G226" s="48"/>
      <c r="H226" s="39"/>
      <c r="I226" s="309">
        <v>0</v>
      </c>
      <c r="J226" s="39">
        <f t="shared" si="53"/>
        <v>0</v>
      </c>
      <c r="K226" s="309">
        <f t="shared" si="56"/>
        <v>0.43</v>
      </c>
      <c r="L226" s="215" t="s">
        <v>232</v>
      </c>
      <c r="M226" s="140"/>
      <c r="N226" s="39"/>
      <c r="O226" s="309">
        <f t="shared" si="57"/>
        <v>0</v>
      </c>
      <c r="P226" s="235" t="str">
        <f t="shared" si="51"/>
        <v>Д3х4</v>
      </c>
      <c r="Q226" s="377">
        <f t="shared" si="58"/>
        <v>0.6</v>
      </c>
      <c r="R226" s="319">
        <v>0.5</v>
      </c>
      <c r="S226" s="353">
        <f t="shared" si="46"/>
        <v>0</v>
      </c>
      <c r="T226" s="147">
        <f>1676+891</f>
        <v>2567</v>
      </c>
      <c r="U226" s="20">
        <f t="shared" si="54"/>
        <v>0</v>
      </c>
      <c r="V226" s="52">
        <f t="shared" si="55"/>
        <v>0</v>
      </c>
      <c r="W226" s="848">
        <f>1676+891</f>
        <v>2567</v>
      </c>
    </row>
    <row r="227" spans="1:39" ht="26.25" hidden="1" customHeight="1" x14ac:dyDescent="0.25">
      <c r="B227" s="11"/>
      <c r="C227" s="6" t="s">
        <v>18</v>
      </c>
      <c r="D227" s="23" t="s">
        <v>40</v>
      </c>
      <c r="E227" s="104" t="s">
        <v>245</v>
      </c>
      <c r="F227" s="210"/>
      <c r="G227" s="48"/>
      <c r="H227" s="39"/>
      <c r="I227" s="309">
        <v>0</v>
      </c>
      <c r="J227" s="39">
        <f t="shared" si="53"/>
        <v>0</v>
      </c>
      <c r="K227" s="309">
        <f t="shared" si="56"/>
        <v>1.8</v>
      </c>
      <c r="L227" s="95" t="s">
        <v>241</v>
      </c>
      <c r="M227" s="140"/>
      <c r="N227" s="39"/>
      <c r="O227" s="309">
        <f t="shared" si="57"/>
        <v>0</v>
      </c>
      <c r="P227" s="235" t="str">
        <f t="shared" si="51"/>
        <v>Д3,5х2 с цн.пок.</v>
      </c>
      <c r="Q227" s="377">
        <f t="shared" si="58"/>
        <v>2.52</v>
      </c>
      <c r="R227" s="339">
        <v>2.1</v>
      </c>
      <c r="S227" s="353">
        <f t="shared" si="46"/>
        <v>0</v>
      </c>
      <c r="T227" s="148">
        <v>1847</v>
      </c>
      <c r="U227" s="20">
        <f t="shared" si="54"/>
        <v>0</v>
      </c>
      <c r="V227" s="52">
        <f t="shared" si="55"/>
        <v>0</v>
      </c>
      <c r="W227" s="444">
        <v>1847</v>
      </c>
    </row>
    <row r="228" spans="1:39" ht="26.25" customHeight="1" x14ac:dyDescent="0.25">
      <c r="B228" s="11">
        <v>95</v>
      </c>
      <c r="C228" s="6" t="s">
        <v>18</v>
      </c>
      <c r="D228" s="23" t="s">
        <v>40</v>
      </c>
      <c r="E228" s="104" t="s">
        <v>246</v>
      </c>
      <c r="F228" s="270">
        <v>663</v>
      </c>
      <c r="G228" s="13" t="s">
        <v>0</v>
      </c>
      <c r="H228" s="39"/>
      <c r="I228" s="360">
        <v>0</v>
      </c>
      <c r="J228" s="39">
        <f t="shared" si="53"/>
        <v>0</v>
      </c>
      <c r="K228" s="309">
        <f t="shared" si="56"/>
        <v>1.29</v>
      </c>
      <c r="L228" s="216" t="s">
        <v>924</v>
      </c>
      <c r="M228" s="140"/>
      <c r="N228" s="39"/>
      <c r="O228" s="360">
        <f t="shared" si="57"/>
        <v>0</v>
      </c>
      <c r="P228" s="263" t="str">
        <f t="shared" si="51"/>
        <v xml:space="preserve">Д3,5х2 </v>
      </c>
      <c r="Q228" s="377">
        <f t="shared" si="58"/>
        <v>1.8</v>
      </c>
      <c r="R228" s="319">
        <v>1.5</v>
      </c>
      <c r="S228" s="353">
        <f t="shared" si="46"/>
        <v>0</v>
      </c>
      <c r="T228" s="148">
        <f>760+3904</f>
        <v>4664</v>
      </c>
      <c r="U228" s="20">
        <f t="shared" si="54"/>
        <v>0</v>
      </c>
      <c r="V228" s="52">
        <f t="shared" si="55"/>
        <v>-100</v>
      </c>
      <c r="W228" s="444">
        <f>760+3904-100</f>
        <v>4564</v>
      </c>
    </row>
    <row r="229" spans="1:39" ht="26.25" hidden="1" customHeight="1" x14ac:dyDescent="0.25">
      <c r="B229" s="11"/>
      <c r="C229" s="6" t="s">
        <v>18</v>
      </c>
      <c r="D229" s="23" t="s">
        <v>40</v>
      </c>
      <c r="E229" s="104" t="s">
        <v>228</v>
      </c>
      <c r="F229" s="210">
        <v>515</v>
      </c>
      <c r="G229" s="48"/>
      <c r="H229" s="39"/>
      <c r="I229" s="360">
        <v>0</v>
      </c>
      <c r="J229" s="39">
        <f t="shared" si="53"/>
        <v>0</v>
      </c>
      <c r="K229" s="309">
        <v>0.63</v>
      </c>
      <c r="L229" s="250" t="s">
        <v>834</v>
      </c>
      <c r="M229" s="140"/>
      <c r="N229" s="503"/>
      <c r="O229" s="309">
        <f t="shared" si="57"/>
        <v>0</v>
      </c>
      <c r="P229" s="263" t="str">
        <f t="shared" si="51"/>
        <v>Д3,5х3</v>
      </c>
      <c r="Q229" s="377">
        <f t="shared" si="58"/>
        <v>1.1399999999999999</v>
      </c>
      <c r="R229" s="326">
        <v>0.95</v>
      </c>
      <c r="S229" s="353">
        <f t="shared" si="46"/>
        <v>0</v>
      </c>
      <c r="T229" s="147">
        <v>3062</v>
      </c>
      <c r="U229" s="20">
        <f t="shared" si="54"/>
        <v>0</v>
      </c>
      <c r="V229" s="52">
        <f t="shared" si="55"/>
        <v>-100</v>
      </c>
      <c r="W229" s="848">
        <v>2962</v>
      </c>
    </row>
    <row r="230" spans="1:39" ht="26.25" hidden="1" customHeight="1" x14ac:dyDescent="0.25">
      <c r="B230" s="11"/>
      <c r="C230" s="6" t="s">
        <v>18</v>
      </c>
      <c r="D230" s="23" t="s">
        <v>40</v>
      </c>
      <c r="E230" s="106" t="s">
        <v>186</v>
      </c>
      <c r="F230" s="210">
        <v>586</v>
      </c>
      <c r="G230" s="13" t="s">
        <v>0</v>
      </c>
      <c r="H230" s="39"/>
      <c r="I230" s="309">
        <v>0</v>
      </c>
      <c r="J230" s="39">
        <f t="shared" si="53"/>
        <v>0</v>
      </c>
      <c r="K230" s="309">
        <f>Q230/1.4</f>
        <v>1.71</v>
      </c>
      <c r="L230" s="215" t="s">
        <v>707</v>
      </c>
      <c r="M230" s="140"/>
      <c r="N230" s="39"/>
      <c r="O230" s="490">
        <f t="shared" si="57"/>
        <v>0</v>
      </c>
      <c r="P230" s="51" t="str">
        <f t="shared" si="51"/>
        <v>Д3х6</v>
      </c>
      <c r="Q230" s="377">
        <f t="shared" si="58"/>
        <v>2.4</v>
      </c>
      <c r="R230" s="319">
        <v>2</v>
      </c>
      <c r="S230" s="353">
        <f t="shared" si="46"/>
        <v>0</v>
      </c>
      <c r="T230" s="147">
        <v>476</v>
      </c>
      <c r="U230" s="20">
        <f t="shared" si="54"/>
        <v>0</v>
      </c>
      <c r="V230" s="52">
        <f t="shared" si="55"/>
        <v>0</v>
      </c>
      <c r="W230" s="848">
        <v>476</v>
      </c>
    </row>
    <row r="231" spans="1:39" ht="26.25" customHeight="1" x14ac:dyDescent="0.25">
      <c r="B231" s="11">
        <v>96</v>
      </c>
      <c r="C231" s="6" t="s">
        <v>18</v>
      </c>
      <c r="D231" s="23" t="s">
        <v>40</v>
      </c>
      <c r="E231" s="106" t="s">
        <v>285</v>
      </c>
      <c r="F231" s="383">
        <v>1224</v>
      </c>
      <c r="G231" s="12" t="s">
        <v>0</v>
      </c>
      <c r="H231" s="39">
        <v>1440</v>
      </c>
      <c r="I231" s="360">
        <v>244.8</v>
      </c>
      <c r="J231" s="39">
        <f t="shared" si="53"/>
        <v>0</v>
      </c>
      <c r="K231" s="309">
        <f>Q231/1.4</f>
        <v>0.17</v>
      </c>
      <c r="L231" s="250" t="s">
        <v>538</v>
      </c>
      <c r="M231" s="140"/>
      <c r="N231" s="39">
        <v>1440</v>
      </c>
      <c r="O231" s="497">
        <f t="shared" si="57"/>
        <v>244.8</v>
      </c>
      <c r="P231" s="263" t="str">
        <f t="shared" si="51"/>
        <v>Д4х2</v>
      </c>
      <c r="Q231" s="306">
        <f t="shared" si="58"/>
        <v>0.24</v>
      </c>
      <c r="R231" s="342">
        <v>0.2</v>
      </c>
      <c r="S231" s="353">
        <f>R231*J231</f>
        <v>0</v>
      </c>
      <c r="T231" s="148">
        <v>50</v>
      </c>
      <c r="U231" s="20">
        <f t="shared" ref="U231:U262" si="59">M231</f>
        <v>0</v>
      </c>
      <c r="V231" s="52">
        <f t="shared" ref="V231:V242" si="60">W231-T231+U231</f>
        <v>0</v>
      </c>
      <c r="W231" s="444">
        <v>50</v>
      </c>
    </row>
    <row r="232" spans="1:39" ht="26.25" customHeight="1" x14ac:dyDescent="0.25">
      <c r="B232" s="11">
        <v>97</v>
      </c>
      <c r="C232" s="6" t="s">
        <v>18</v>
      </c>
      <c r="D232" s="23" t="s">
        <v>40</v>
      </c>
      <c r="E232" s="104" t="s">
        <v>229</v>
      </c>
      <c r="F232" s="384">
        <v>452</v>
      </c>
      <c r="G232" s="48"/>
      <c r="H232" s="39">
        <v>40</v>
      </c>
      <c r="I232" s="360">
        <v>20.399999999999999</v>
      </c>
      <c r="J232" s="39">
        <f t="shared" si="53"/>
        <v>0</v>
      </c>
      <c r="K232" s="309">
        <f>Q232/1.4</f>
        <v>0.51</v>
      </c>
      <c r="L232" s="369" t="s">
        <v>922</v>
      </c>
      <c r="M232" s="140">
        <v>40</v>
      </c>
      <c r="N232" s="39"/>
      <c r="O232" s="309">
        <f t="shared" si="57"/>
        <v>0</v>
      </c>
      <c r="P232" s="51" t="str">
        <f t="shared" si="51"/>
        <v>Д4,5х3</v>
      </c>
      <c r="Q232" s="377">
        <f t="shared" si="58"/>
        <v>0.72</v>
      </c>
      <c r="R232" s="339">
        <v>0.6</v>
      </c>
      <c r="S232" s="353">
        <f>R232*J232</f>
        <v>0</v>
      </c>
      <c r="T232" s="147">
        <f>4286+1699+1100</f>
        <v>7085</v>
      </c>
      <c r="U232" s="20">
        <f t="shared" si="59"/>
        <v>40</v>
      </c>
      <c r="V232" s="52">
        <f t="shared" si="60"/>
        <v>0</v>
      </c>
      <c r="W232" s="848">
        <f>4286+1699+1100-40</f>
        <v>7045</v>
      </c>
    </row>
    <row r="233" spans="1:39" s="4" customFormat="1" ht="26.25" hidden="1" customHeight="1" x14ac:dyDescent="0.25">
      <c r="A233" s="10"/>
      <c r="B233" s="11"/>
      <c r="C233" s="6" t="s">
        <v>18</v>
      </c>
      <c r="D233" s="23" t="s">
        <v>40</v>
      </c>
      <c r="E233" s="104" t="s">
        <v>868</v>
      </c>
      <c r="F233" s="375">
        <v>1304</v>
      </c>
      <c r="G233" s="48"/>
      <c r="H233" s="39"/>
      <c r="I233" s="360">
        <v>0</v>
      </c>
      <c r="J233" s="39">
        <f t="shared" si="53"/>
        <v>0</v>
      </c>
      <c r="K233" s="309">
        <f>Q233/1.4</f>
        <v>5.14</v>
      </c>
      <c r="L233" s="250" t="s">
        <v>539</v>
      </c>
      <c r="M233" s="140"/>
      <c r="N233" s="39"/>
      <c r="O233" s="467">
        <f t="shared" si="57"/>
        <v>0</v>
      </c>
      <c r="P233" s="264" t="str">
        <f t="shared" si="51"/>
        <v>Д5х3 N42H</v>
      </c>
      <c r="Q233" s="306">
        <f t="shared" si="58"/>
        <v>7.2</v>
      </c>
      <c r="R233" s="339">
        <v>6</v>
      </c>
      <c r="S233" s="353">
        <f t="shared" ref="S233:S294" si="61">R233*J233</f>
        <v>0</v>
      </c>
      <c r="T233" s="148">
        <v>20</v>
      </c>
      <c r="U233" s="20">
        <f t="shared" si="59"/>
        <v>0</v>
      </c>
      <c r="V233" s="52">
        <f t="shared" si="60"/>
        <v>0</v>
      </c>
      <c r="W233" s="444">
        <v>20</v>
      </c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</row>
    <row r="234" spans="1:39" ht="26.25" customHeight="1" x14ac:dyDescent="0.25">
      <c r="B234" s="11">
        <v>98</v>
      </c>
      <c r="C234" s="6" t="s">
        <v>18</v>
      </c>
      <c r="D234" s="23" t="s">
        <v>40</v>
      </c>
      <c r="E234" s="104" t="s">
        <v>158</v>
      </c>
      <c r="F234" s="208">
        <v>808</v>
      </c>
      <c r="G234" s="12" t="s">
        <v>0</v>
      </c>
      <c r="H234" s="39">
        <v>1280</v>
      </c>
      <c r="I234" s="360">
        <v>332.8</v>
      </c>
      <c r="J234" s="39">
        <f t="shared" si="53"/>
        <v>0</v>
      </c>
      <c r="K234" s="309">
        <v>0.26</v>
      </c>
      <c r="L234" s="215" t="s">
        <v>803</v>
      </c>
      <c r="M234" s="140"/>
      <c r="N234" s="39">
        <v>1280</v>
      </c>
      <c r="O234" s="309">
        <f t="shared" si="57"/>
        <v>332.8</v>
      </c>
      <c r="P234" s="235" t="str">
        <f t="shared" si="51"/>
        <v>Д5х2</v>
      </c>
      <c r="Q234" s="377">
        <f t="shared" si="58"/>
        <v>0.36</v>
      </c>
      <c r="R234" s="319">
        <v>0.3</v>
      </c>
      <c r="S234" s="353">
        <f t="shared" si="61"/>
        <v>0</v>
      </c>
      <c r="T234" s="70">
        <f>9365+1500-800</f>
        <v>10065</v>
      </c>
      <c r="U234" s="20">
        <f t="shared" si="59"/>
        <v>0</v>
      </c>
      <c r="V234" s="52">
        <f t="shared" si="60"/>
        <v>0</v>
      </c>
      <c r="W234" s="444">
        <f>9365+1500-800</f>
        <v>10065</v>
      </c>
    </row>
    <row r="235" spans="1:39" ht="26.25" hidden="1" customHeight="1" x14ac:dyDescent="0.25">
      <c r="B235" s="11"/>
      <c r="C235" s="6" t="s">
        <v>18</v>
      </c>
      <c r="D235" s="23" t="s">
        <v>40</v>
      </c>
      <c r="E235" s="104" t="s">
        <v>642</v>
      </c>
      <c r="F235" s="208">
        <v>1401</v>
      </c>
      <c r="G235" s="48"/>
      <c r="H235" s="39"/>
      <c r="I235" s="309">
        <v>0</v>
      </c>
      <c r="J235" s="39">
        <f t="shared" si="53"/>
        <v>0</v>
      </c>
      <c r="K235" s="309">
        <f>Q235/1.4</f>
        <v>2.14</v>
      </c>
      <c r="L235" s="158" t="s">
        <v>628</v>
      </c>
      <c r="M235" s="140"/>
      <c r="N235" s="39"/>
      <c r="O235" s="490">
        <f t="shared" si="57"/>
        <v>0</v>
      </c>
      <c r="P235" s="262" t="str">
        <f t="shared" si="51"/>
        <v>Д5х2 с ник.покр.</v>
      </c>
      <c r="Q235" s="377">
        <f t="shared" si="58"/>
        <v>3</v>
      </c>
      <c r="R235" s="330">
        <v>2.5</v>
      </c>
      <c r="S235" s="353">
        <f t="shared" si="61"/>
        <v>0</v>
      </c>
      <c r="T235" s="70">
        <f>10285+5715</f>
        <v>16000</v>
      </c>
      <c r="U235" s="20">
        <f t="shared" si="59"/>
        <v>0</v>
      </c>
      <c r="V235" s="52">
        <f t="shared" si="60"/>
        <v>0</v>
      </c>
      <c r="W235" s="444">
        <f>10285+5715</f>
        <v>16000</v>
      </c>
    </row>
    <row r="236" spans="1:39" ht="26.25" hidden="1" customHeight="1" x14ac:dyDescent="0.25">
      <c r="B236" s="19"/>
      <c r="C236" s="6" t="s">
        <v>18</v>
      </c>
      <c r="D236" s="23" t="s">
        <v>40</v>
      </c>
      <c r="E236" s="104" t="s">
        <v>360</v>
      </c>
      <c r="F236" s="208"/>
      <c r="G236" s="48"/>
      <c r="H236" s="39"/>
      <c r="I236" s="309">
        <v>0</v>
      </c>
      <c r="J236" s="39">
        <f t="shared" si="53"/>
        <v>0</v>
      </c>
      <c r="K236" s="309"/>
      <c r="L236" s="90"/>
      <c r="M236" s="140"/>
      <c r="N236" s="39"/>
      <c r="O236" s="497">
        <f t="shared" si="57"/>
        <v>0</v>
      </c>
      <c r="P236" s="263" t="str">
        <f t="shared" si="51"/>
        <v>Д5х3 С  ЦН.ПОК.</v>
      </c>
      <c r="Q236" s="377">
        <f t="shared" si="58"/>
        <v>0</v>
      </c>
      <c r="R236" s="319">
        <v>0</v>
      </c>
      <c r="S236" s="353">
        <f t="shared" si="61"/>
        <v>0</v>
      </c>
      <c r="T236" s="148">
        <v>422</v>
      </c>
      <c r="U236" s="20">
        <f t="shared" si="59"/>
        <v>0</v>
      </c>
      <c r="V236" s="52">
        <f t="shared" si="60"/>
        <v>0</v>
      </c>
      <c r="W236" s="444">
        <v>422</v>
      </c>
    </row>
    <row r="237" spans="1:39" ht="26.25" hidden="1" customHeight="1" x14ac:dyDescent="0.25">
      <c r="B237" s="11"/>
      <c r="C237" s="6" t="s">
        <v>18</v>
      </c>
      <c r="D237" s="23" t="s">
        <v>40</v>
      </c>
      <c r="E237" s="104" t="s">
        <v>124</v>
      </c>
      <c r="F237" s="383" t="s">
        <v>183</v>
      </c>
      <c r="G237" s="12" t="s">
        <v>0</v>
      </c>
      <c r="H237" s="39"/>
      <c r="I237" s="360">
        <v>0</v>
      </c>
      <c r="J237" s="39">
        <f t="shared" si="53"/>
        <v>0</v>
      </c>
      <c r="K237" s="309">
        <f t="shared" ref="K237:K249" si="62">Q237/1.4</f>
        <v>0.46</v>
      </c>
      <c r="L237" s="364" t="s">
        <v>519</v>
      </c>
      <c r="M237" s="140"/>
      <c r="N237" s="39"/>
      <c r="O237" s="309">
        <f t="shared" si="57"/>
        <v>0</v>
      </c>
      <c r="P237" s="51" t="str">
        <f t="shared" si="51"/>
        <v>Д5х3</v>
      </c>
      <c r="Q237" s="377">
        <f t="shared" si="58"/>
        <v>0.65</v>
      </c>
      <c r="R237" s="330">
        <v>0.54</v>
      </c>
      <c r="S237" s="353">
        <f t="shared" si="61"/>
        <v>0</v>
      </c>
      <c r="T237" s="148">
        <v>1649</v>
      </c>
      <c r="U237" s="20">
        <f t="shared" si="59"/>
        <v>0</v>
      </c>
      <c r="V237" s="52">
        <f t="shared" si="60"/>
        <v>0</v>
      </c>
      <c r="W237" s="444">
        <v>1649</v>
      </c>
    </row>
    <row r="238" spans="1:39" ht="26.25" customHeight="1" x14ac:dyDescent="0.25">
      <c r="B238" s="11">
        <v>99</v>
      </c>
      <c r="C238" s="6" t="s">
        <v>18</v>
      </c>
      <c r="D238" s="23" t="s">
        <v>40</v>
      </c>
      <c r="E238" s="87" t="s">
        <v>286</v>
      </c>
      <c r="F238" s="208">
        <v>1072</v>
      </c>
      <c r="G238" s="12" t="s">
        <v>0</v>
      </c>
      <c r="H238" s="39">
        <v>4880</v>
      </c>
      <c r="I238" s="360">
        <v>7124.8</v>
      </c>
      <c r="J238" s="39">
        <f t="shared" si="53"/>
        <v>0</v>
      </c>
      <c r="K238" s="309">
        <f t="shared" si="62"/>
        <v>1.46</v>
      </c>
      <c r="L238" s="399"/>
      <c r="M238" s="143"/>
      <c r="N238" s="39">
        <f>5000-120</f>
        <v>4880</v>
      </c>
      <c r="O238" s="490">
        <f t="shared" si="57"/>
        <v>7124.8</v>
      </c>
      <c r="P238" s="262" t="str">
        <f t="shared" si="51"/>
        <v xml:space="preserve">Д5х5 </v>
      </c>
      <c r="Q238" s="377">
        <f t="shared" si="58"/>
        <v>2.04</v>
      </c>
      <c r="R238" s="339">
        <v>1.7</v>
      </c>
      <c r="S238" s="353">
        <f t="shared" si="61"/>
        <v>0</v>
      </c>
      <c r="T238" s="430">
        <f>4110*3+1150-120</f>
        <v>13360</v>
      </c>
      <c r="U238" s="20">
        <f t="shared" si="59"/>
        <v>0</v>
      </c>
      <c r="V238" s="52">
        <f t="shared" si="60"/>
        <v>0</v>
      </c>
      <c r="W238" s="18">
        <f>4110*3+1150-120</f>
        <v>13360</v>
      </c>
      <c r="X238" s="10">
        <v>1</v>
      </c>
    </row>
    <row r="239" spans="1:39" ht="32.25" customHeight="1" x14ac:dyDescent="0.25">
      <c r="B239" s="11">
        <v>100</v>
      </c>
      <c r="C239" s="6" t="s">
        <v>18</v>
      </c>
      <c r="D239" s="23" t="s">
        <v>40</v>
      </c>
      <c r="E239" s="87" t="s">
        <v>269</v>
      </c>
      <c r="F239" s="208">
        <v>481</v>
      </c>
      <c r="G239" s="825" t="s">
        <v>0</v>
      </c>
      <c r="H239" s="509">
        <v>4682</v>
      </c>
      <c r="I239" s="544">
        <v>6039.78</v>
      </c>
      <c r="J239" s="39">
        <f t="shared" si="53"/>
        <v>1318</v>
      </c>
      <c r="K239" s="309">
        <f t="shared" si="62"/>
        <v>0.22</v>
      </c>
      <c r="L239" s="250" t="s">
        <v>540</v>
      </c>
      <c r="M239" s="140">
        <v>3000</v>
      </c>
      <c r="N239" s="39">
        <v>3000</v>
      </c>
      <c r="O239" s="309">
        <f t="shared" si="57"/>
        <v>660</v>
      </c>
      <c r="P239" s="235" t="str">
        <f t="shared" si="51"/>
        <v>Д5х6 ЭПГ111.035</v>
      </c>
      <c r="Q239" s="377">
        <f t="shared" si="58"/>
        <v>0.31</v>
      </c>
      <c r="R239" s="319">
        <v>0.26</v>
      </c>
      <c r="S239" s="353">
        <f t="shared" si="61"/>
        <v>342.68</v>
      </c>
      <c r="T239" s="18">
        <f>3168*6+3366*7+1571+565-200</f>
        <v>44506</v>
      </c>
      <c r="U239" s="20">
        <f t="shared" si="59"/>
        <v>3000</v>
      </c>
      <c r="V239" s="52">
        <f t="shared" si="60"/>
        <v>0</v>
      </c>
      <c r="W239" s="18">
        <f>3168*6+3366*7+1571+565-200-3000</f>
        <v>41506</v>
      </c>
      <c r="X239" s="10">
        <v>1</v>
      </c>
    </row>
    <row r="240" spans="1:39" ht="26.25" hidden="1" customHeight="1" x14ac:dyDescent="0.25">
      <c r="B240" s="11"/>
      <c r="C240" s="6" t="s">
        <v>18</v>
      </c>
      <c r="D240" s="23" t="s">
        <v>40</v>
      </c>
      <c r="E240" s="87" t="s">
        <v>389</v>
      </c>
      <c r="F240" s="208">
        <v>1170</v>
      </c>
      <c r="G240" s="48" t="s">
        <v>0</v>
      </c>
      <c r="H240" s="39"/>
      <c r="I240" s="309">
        <v>0</v>
      </c>
      <c r="J240" s="39">
        <f t="shared" si="53"/>
        <v>0</v>
      </c>
      <c r="K240" s="309">
        <f t="shared" si="62"/>
        <v>0.53</v>
      </c>
      <c r="L240" s="156" t="s">
        <v>409</v>
      </c>
      <c r="M240" s="143"/>
      <c r="N240" s="39"/>
      <c r="O240" s="490">
        <f t="shared" si="57"/>
        <v>0</v>
      </c>
      <c r="P240" s="264" t="str">
        <f t="shared" si="51"/>
        <v>Д5х6 нжб1400</v>
      </c>
      <c r="Q240" s="377">
        <f t="shared" ref="Q240:Q271" si="63">R240*1.2</f>
        <v>0.74</v>
      </c>
      <c r="R240" s="319">
        <v>0.61799999999999999</v>
      </c>
      <c r="S240" s="353">
        <f t="shared" si="61"/>
        <v>0</v>
      </c>
      <c r="T240" s="70">
        <f>2706+1000</f>
        <v>3706</v>
      </c>
      <c r="U240" s="20">
        <f t="shared" si="59"/>
        <v>0</v>
      </c>
      <c r="V240" s="52">
        <f t="shared" si="60"/>
        <v>0</v>
      </c>
      <c r="W240" s="20">
        <f>2706+1000</f>
        <v>3706</v>
      </c>
      <c r="X240" s="10">
        <v>1</v>
      </c>
    </row>
    <row r="241" spans="2:24" ht="26.25" customHeight="1" x14ac:dyDescent="0.25">
      <c r="B241" s="11">
        <v>101</v>
      </c>
      <c r="C241" s="6" t="s">
        <v>18</v>
      </c>
      <c r="D241" s="23" t="s">
        <v>40</v>
      </c>
      <c r="E241" s="104" t="s">
        <v>71</v>
      </c>
      <c r="F241" s="208" t="s">
        <v>76</v>
      </c>
      <c r="G241" s="12" t="s">
        <v>0</v>
      </c>
      <c r="H241" s="39">
        <v>5000</v>
      </c>
      <c r="I241" s="360">
        <v>1250</v>
      </c>
      <c r="J241" s="39">
        <f t="shared" si="53"/>
        <v>0</v>
      </c>
      <c r="K241" s="309">
        <f t="shared" si="62"/>
        <v>0.25</v>
      </c>
      <c r="L241" s="369" t="s">
        <v>923</v>
      </c>
      <c r="M241" s="140">
        <v>40</v>
      </c>
      <c r="N241" s="39">
        <v>4960</v>
      </c>
      <c r="O241" s="309">
        <f>N241*K241</f>
        <v>1240</v>
      </c>
      <c r="P241" s="235" t="str">
        <f t="shared" si="51"/>
        <v>Д5х10</v>
      </c>
      <c r="Q241" s="377">
        <f t="shared" si="63"/>
        <v>0.35</v>
      </c>
      <c r="R241" s="319">
        <v>0.28999999999999998</v>
      </c>
      <c r="S241" s="353">
        <f t="shared" si="61"/>
        <v>0</v>
      </c>
      <c r="T241" s="70">
        <f>44775-1716</f>
        <v>43059</v>
      </c>
      <c r="U241" s="20">
        <f t="shared" si="59"/>
        <v>40</v>
      </c>
      <c r="V241" s="52">
        <f t="shared" si="60"/>
        <v>0</v>
      </c>
      <c r="W241" s="20">
        <f>44775-1716-40</f>
        <v>43019</v>
      </c>
      <c r="X241" s="10">
        <v>1</v>
      </c>
    </row>
    <row r="242" spans="2:24" ht="26.25" hidden="1" customHeight="1" x14ac:dyDescent="0.25">
      <c r="B242" s="11"/>
      <c r="C242" s="6" t="s">
        <v>18</v>
      </c>
      <c r="D242" s="23" t="s">
        <v>40</v>
      </c>
      <c r="E242" s="87" t="s">
        <v>920</v>
      </c>
      <c r="F242" s="393" t="s">
        <v>625</v>
      </c>
      <c r="G242" s="48" t="s">
        <v>0</v>
      </c>
      <c r="H242" s="39"/>
      <c r="I242" s="309">
        <v>0</v>
      </c>
      <c r="J242" s="39">
        <f t="shared" si="53"/>
        <v>0</v>
      </c>
      <c r="K242" s="309">
        <f t="shared" si="62"/>
        <v>1.46</v>
      </c>
      <c r="L242" s="158" t="s">
        <v>653</v>
      </c>
      <c r="M242" s="141"/>
      <c r="N242" s="503"/>
      <c r="O242" s="309">
        <f t="shared" ref="O242:O252" si="64">K242*N242</f>
        <v>0</v>
      </c>
      <c r="P242" s="264" t="str">
        <f t="shared" si="51"/>
        <v>Д5х16</v>
      </c>
      <c r="Q242" s="377">
        <f t="shared" si="63"/>
        <v>2.04</v>
      </c>
      <c r="R242" s="322">
        <v>1.7</v>
      </c>
      <c r="S242" s="353">
        <f t="shared" si="61"/>
        <v>0</v>
      </c>
      <c r="T242" s="20"/>
      <c r="U242" s="20">
        <f t="shared" si="59"/>
        <v>0</v>
      </c>
      <c r="V242" s="52">
        <f t="shared" si="60"/>
        <v>880</v>
      </c>
      <c r="W242" s="444">
        <v>880</v>
      </c>
    </row>
    <row r="243" spans="2:24" ht="26.25" hidden="1" customHeight="1" x14ac:dyDescent="0.25">
      <c r="B243" s="11"/>
      <c r="C243" s="6" t="s">
        <v>18</v>
      </c>
      <c r="D243" s="23" t="s">
        <v>40</v>
      </c>
      <c r="E243" s="106" t="s">
        <v>703</v>
      </c>
      <c r="F243" s="209" t="s">
        <v>700</v>
      </c>
      <c r="G243" s="48" t="s">
        <v>0</v>
      </c>
      <c r="H243" s="39"/>
      <c r="I243" s="360">
        <v>0</v>
      </c>
      <c r="J243" s="39">
        <f t="shared" si="53"/>
        <v>0</v>
      </c>
      <c r="K243" s="309">
        <f t="shared" si="62"/>
        <v>2.66</v>
      </c>
      <c r="L243" s="215" t="s">
        <v>708</v>
      </c>
      <c r="M243" s="141"/>
      <c r="N243" s="503"/>
      <c r="O243" s="309">
        <f t="shared" si="64"/>
        <v>0</v>
      </c>
      <c r="P243" s="51" t="str">
        <f t="shared" si="51"/>
        <v>Д6х1 НЖБ1400</v>
      </c>
      <c r="Q243" s="377">
        <f t="shared" si="63"/>
        <v>3.72</v>
      </c>
      <c r="R243" s="322">
        <v>3.1</v>
      </c>
      <c r="S243" s="353">
        <f t="shared" si="61"/>
        <v>0</v>
      </c>
      <c r="T243" s="70">
        <v>900</v>
      </c>
      <c r="U243" s="20">
        <f t="shared" si="59"/>
        <v>0</v>
      </c>
      <c r="V243" s="52"/>
      <c r="W243" s="20">
        <v>900</v>
      </c>
      <c r="X243" s="10">
        <v>1</v>
      </c>
    </row>
    <row r="244" spans="2:24" ht="26.25" hidden="1" customHeight="1" x14ac:dyDescent="0.25">
      <c r="B244" s="15"/>
      <c r="C244" s="6" t="s">
        <v>18</v>
      </c>
      <c r="D244" s="23" t="s">
        <v>40</v>
      </c>
      <c r="E244" s="106" t="s">
        <v>702</v>
      </c>
      <c r="F244" s="209" t="s">
        <v>701</v>
      </c>
      <c r="G244" s="48"/>
      <c r="H244" s="39"/>
      <c r="I244" s="360">
        <v>0</v>
      </c>
      <c r="J244" s="39">
        <f t="shared" si="53"/>
        <v>0</v>
      </c>
      <c r="K244" s="309">
        <f t="shared" si="62"/>
        <v>4.63</v>
      </c>
      <c r="L244" s="215" t="s">
        <v>709</v>
      </c>
      <c r="M244" s="141"/>
      <c r="N244" s="503"/>
      <c r="O244" s="309">
        <f t="shared" si="64"/>
        <v>0</v>
      </c>
      <c r="P244" s="51" t="str">
        <f t="shared" si="51"/>
        <v>Д6х2 НЖБ1400</v>
      </c>
      <c r="Q244" s="377">
        <f t="shared" si="63"/>
        <v>6.48</v>
      </c>
      <c r="R244" s="322">
        <v>5.4</v>
      </c>
      <c r="S244" s="353">
        <f t="shared" si="61"/>
        <v>0</v>
      </c>
      <c r="T244" s="70">
        <v>900</v>
      </c>
      <c r="U244" s="20">
        <f t="shared" si="59"/>
        <v>0</v>
      </c>
      <c r="V244" s="52"/>
      <c r="W244" s="20">
        <v>800</v>
      </c>
      <c r="X244" s="10">
        <v>1</v>
      </c>
    </row>
    <row r="245" spans="2:24" ht="26.25" hidden="1" customHeight="1" x14ac:dyDescent="0.25">
      <c r="B245" s="15"/>
      <c r="C245" s="6" t="s">
        <v>18</v>
      </c>
      <c r="D245" s="23" t="s">
        <v>40</v>
      </c>
      <c r="E245" s="106" t="s">
        <v>216</v>
      </c>
      <c r="F245" s="208">
        <v>1191</v>
      </c>
      <c r="G245" s="48" t="s">
        <v>0</v>
      </c>
      <c r="H245" s="39"/>
      <c r="I245" s="360">
        <v>0</v>
      </c>
      <c r="J245" s="39">
        <f t="shared" si="53"/>
        <v>0</v>
      </c>
      <c r="K245" s="309">
        <f t="shared" si="62"/>
        <v>0.6</v>
      </c>
      <c r="L245" s="215" t="s">
        <v>710</v>
      </c>
      <c r="M245" s="140"/>
      <c r="N245" s="39"/>
      <c r="O245" s="309">
        <f t="shared" si="64"/>
        <v>0</v>
      </c>
      <c r="P245" s="51" t="str">
        <f t="shared" si="51"/>
        <v>Д6х2</v>
      </c>
      <c r="Q245" s="377">
        <f t="shared" si="63"/>
        <v>0.84</v>
      </c>
      <c r="R245" s="339">
        <v>0.7</v>
      </c>
      <c r="S245" s="353">
        <f t="shared" si="61"/>
        <v>0</v>
      </c>
      <c r="T245" s="147">
        <v>800</v>
      </c>
      <c r="U245" s="20">
        <f t="shared" si="59"/>
        <v>0</v>
      </c>
      <c r="V245" s="52">
        <f t="shared" ref="V245:V252" si="65">W245-T245+U245</f>
        <v>0</v>
      </c>
      <c r="W245" s="848">
        <v>800</v>
      </c>
    </row>
    <row r="246" spans="2:24" ht="26.25" hidden="1" customHeight="1" x14ac:dyDescent="0.25">
      <c r="B246" s="15"/>
      <c r="C246" s="6" t="s">
        <v>18</v>
      </c>
      <c r="D246" s="23" t="s">
        <v>40</v>
      </c>
      <c r="E246" s="106" t="s">
        <v>637</v>
      </c>
      <c r="F246" s="211" t="s">
        <v>199</v>
      </c>
      <c r="G246" s="48" t="s">
        <v>0</v>
      </c>
      <c r="H246" s="39"/>
      <c r="I246" s="309">
        <v>0</v>
      </c>
      <c r="J246" s="39">
        <f t="shared" si="53"/>
        <v>0</v>
      </c>
      <c r="K246" s="309">
        <f t="shared" si="62"/>
        <v>0.75</v>
      </c>
      <c r="L246" s="214" t="s">
        <v>240</v>
      </c>
      <c r="M246" s="140"/>
      <c r="N246" s="39"/>
      <c r="O246" s="309">
        <f t="shared" si="64"/>
        <v>0</v>
      </c>
      <c r="P246" s="264" t="str">
        <f t="shared" ref="P246:P309" si="66">E246</f>
        <v>Д6х2-Днамаг N48H</v>
      </c>
      <c r="Q246" s="377">
        <f t="shared" si="63"/>
        <v>1.05</v>
      </c>
      <c r="R246" s="319">
        <v>0.875</v>
      </c>
      <c r="S246" s="353">
        <f t="shared" si="61"/>
        <v>0</v>
      </c>
      <c r="T246" s="148">
        <v>20</v>
      </c>
      <c r="U246" s="20">
        <f t="shared" si="59"/>
        <v>0</v>
      </c>
      <c r="V246" s="52">
        <f t="shared" si="65"/>
        <v>0</v>
      </c>
      <c r="W246" s="20">
        <v>20</v>
      </c>
      <c r="X246" s="10">
        <v>1</v>
      </c>
    </row>
    <row r="247" spans="2:24" ht="26.25" customHeight="1" x14ac:dyDescent="0.25">
      <c r="B247" s="11">
        <v>102</v>
      </c>
      <c r="C247" s="6" t="s">
        <v>18</v>
      </c>
      <c r="D247" s="23" t="s">
        <v>40</v>
      </c>
      <c r="E247" s="106" t="s">
        <v>462</v>
      </c>
      <c r="F247" s="208" t="s">
        <v>447</v>
      </c>
      <c r="G247" s="12" t="s">
        <v>0</v>
      </c>
      <c r="H247" s="39">
        <v>4500</v>
      </c>
      <c r="I247" s="360">
        <v>2385</v>
      </c>
      <c r="J247" s="39">
        <f t="shared" si="53"/>
        <v>3700</v>
      </c>
      <c r="K247" s="309">
        <f t="shared" si="62"/>
        <v>0.53</v>
      </c>
      <c r="L247" s="369" t="s">
        <v>925</v>
      </c>
      <c r="M247" s="140">
        <v>3700</v>
      </c>
      <c r="N247" s="39">
        <v>4500</v>
      </c>
      <c r="O247" s="309">
        <f t="shared" si="64"/>
        <v>2385</v>
      </c>
      <c r="P247" s="235" t="str">
        <f t="shared" si="66"/>
        <v>С6х3 НЖБ1400-100 град</v>
      </c>
      <c r="Q247" s="377">
        <f t="shared" si="63"/>
        <v>0.74</v>
      </c>
      <c r="R247" s="319">
        <v>0.62</v>
      </c>
      <c r="S247" s="353">
        <f t="shared" si="61"/>
        <v>2294</v>
      </c>
      <c r="T247" s="70">
        <v>13934</v>
      </c>
      <c r="U247" s="20">
        <f t="shared" si="59"/>
        <v>3700</v>
      </c>
      <c r="V247" s="52">
        <f t="shared" si="65"/>
        <v>0</v>
      </c>
      <c r="W247" s="20">
        <f>13934-3700</f>
        <v>10234</v>
      </c>
      <c r="X247" s="10">
        <v>1</v>
      </c>
    </row>
    <row r="248" spans="2:24" ht="34.5" hidden="1" customHeight="1" x14ac:dyDescent="0.25">
      <c r="B248" s="15"/>
      <c r="C248" s="6" t="s">
        <v>18</v>
      </c>
      <c r="D248" s="23" t="s">
        <v>40</v>
      </c>
      <c r="E248" s="106" t="s">
        <v>873</v>
      </c>
      <c r="F248" s="382">
        <v>510</v>
      </c>
      <c r="G248" s="48"/>
      <c r="H248" s="39"/>
      <c r="I248" s="360">
        <v>0</v>
      </c>
      <c r="J248" s="39">
        <f t="shared" si="53"/>
        <v>0</v>
      </c>
      <c r="K248" s="309">
        <f t="shared" si="62"/>
        <v>0.98</v>
      </c>
      <c r="L248" s="250" t="s">
        <v>891</v>
      </c>
      <c r="M248" s="140"/>
      <c r="N248" s="39"/>
      <c r="O248" s="467">
        <f t="shared" si="64"/>
        <v>0</v>
      </c>
      <c r="P248" s="262" t="str">
        <f t="shared" si="66"/>
        <v>С6х3</v>
      </c>
      <c r="Q248" s="306">
        <f t="shared" si="63"/>
        <v>1.37</v>
      </c>
      <c r="R248" s="319">
        <v>1.1399999999999999</v>
      </c>
      <c r="S248" s="353">
        <f t="shared" si="61"/>
        <v>0</v>
      </c>
      <c r="T248" s="148">
        <v>20</v>
      </c>
      <c r="U248" s="20">
        <f t="shared" si="59"/>
        <v>0</v>
      </c>
      <c r="V248" s="52">
        <f t="shared" si="65"/>
        <v>0</v>
      </c>
      <c r="W248" s="20">
        <v>20</v>
      </c>
      <c r="X248" s="10">
        <v>1</v>
      </c>
    </row>
    <row r="249" spans="2:24" ht="26.25" hidden="1" customHeight="1" x14ac:dyDescent="0.25">
      <c r="B249" s="11"/>
      <c r="C249" s="6" t="s">
        <v>18</v>
      </c>
      <c r="D249" s="23" t="s">
        <v>40</v>
      </c>
      <c r="E249" s="106" t="s">
        <v>444</v>
      </c>
      <c r="F249" s="386">
        <v>1196</v>
      </c>
      <c r="G249" s="48" t="s">
        <v>0</v>
      </c>
      <c r="H249" s="39"/>
      <c r="I249" s="309">
        <v>0</v>
      </c>
      <c r="J249" s="39">
        <f t="shared" si="53"/>
        <v>0</v>
      </c>
      <c r="K249" s="309">
        <f t="shared" si="62"/>
        <v>1.3</v>
      </c>
      <c r="L249" s="94" t="s">
        <v>170</v>
      </c>
      <c r="M249" s="140"/>
      <c r="N249" s="39"/>
      <c r="O249" s="309">
        <f t="shared" si="64"/>
        <v>0</v>
      </c>
      <c r="P249" s="235" t="str">
        <f t="shared" si="66"/>
        <v>Д6х30</v>
      </c>
      <c r="Q249" s="377">
        <f t="shared" si="63"/>
        <v>1.82</v>
      </c>
      <c r="R249" s="319">
        <v>1.5149999999999999</v>
      </c>
      <c r="S249" s="353">
        <f t="shared" si="61"/>
        <v>0</v>
      </c>
      <c r="T249" s="148">
        <f>350+286</f>
        <v>636</v>
      </c>
      <c r="U249" s="20">
        <f t="shared" si="59"/>
        <v>0</v>
      </c>
      <c r="V249" s="52">
        <f t="shared" si="65"/>
        <v>0</v>
      </c>
      <c r="W249" s="444">
        <f>350+286</f>
        <v>636</v>
      </c>
    </row>
    <row r="250" spans="2:24" ht="26.25" hidden="1" customHeight="1" x14ac:dyDescent="0.25">
      <c r="B250" s="11"/>
      <c r="C250" s="6" t="s">
        <v>18</v>
      </c>
      <c r="D250" s="23" t="s">
        <v>40</v>
      </c>
      <c r="E250" s="106" t="s">
        <v>309</v>
      </c>
      <c r="F250" s="386"/>
      <c r="G250" s="48"/>
      <c r="H250" s="39"/>
      <c r="I250" s="309">
        <v>0</v>
      </c>
      <c r="J250" s="39">
        <f t="shared" si="53"/>
        <v>0</v>
      </c>
      <c r="K250" s="309"/>
      <c r="L250" s="94"/>
      <c r="M250" s="140"/>
      <c r="N250" s="39"/>
      <c r="O250" s="309">
        <f t="shared" si="64"/>
        <v>0</v>
      </c>
      <c r="P250" s="235" t="str">
        <f t="shared" si="66"/>
        <v>Д7х10 без покр.</v>
      </c>
      <c r="Q250" s="377">
        <f t="shared" si="63"/>
        <v>0</v>
      </c>
      <c r="R250" s="319">
        <v>0</v>
      </c>
      <c r="S250" s="353">
        <f t="shared" si="61"/>
        <v>0</v>
      </c>
      <c r="T250" s="148">
        <v>2965</v>
      </c>
      <c r="U250" s="20">
        <f t="shared" si="59"/>
        <v>0</v>
      </c>
      <c r="V250" s="52">
        <f t="shared" si="65"/>
        <v>0</v>
      </c>
      <c r="W250" s="444">
        <v>2965</v>
      </c>
    </row>
    <row r="251" spans="2:24" ht="26.25" hidden="1" customHeight="1" x14ac:dyDescent="0.25">
      <c r="B251" s="11"/>
      <c r="C251" s="6" t="s">
        <v>18</v>
      </c>
      <c r="D251" s="23" t="s">
        <v>40</v>
      </c>
      <c r="E251" s="106" t="s">
        <v>465</v>
      </c>
      <c r="F251" s="388">
        <v>773</v>
      </c>
      <c r="G251" s="13" t="s">
        <v>0</v>
      </c>
      <c r="H251" s="39"/>
      <c r="I251" s="309">
        <v>0</v>
      </c>
      <c r="J251" s="39">
        <f t="shared" si="53"/>
        <v>0</v>
      </c>
      <c r="K251" s="309">
        <f>Q251/1.4</f>
        <v>0.09</v>
      </c>
      <c r="L251" s="95" t="s">
        <v>242</v>
      </c>
      <c r="M251" s="140"/>
      <c r="N251" s="39"/>
      <c r="O251" s="309">
        <f t="shared" si="64"/>
        <v>0</v>
      </c>
      <c r="P251" s="263" t="str">
        <f t="shared" si="66"/>
        <v>Д 8х15</v>
      </c>
      <c r="Q251" s="377">
        <f t="shared" si="63"/>
        <v>0.12</v>
      </c>
      <c r="R251" s="323">
        <v>0.1</v>
      </c>
      <c r="S251" s="353">
        <f t="shared" si="61"/>
        <v>0</v>
      </c>
      <c r="T251" s="70">
        <v>11</v>
      </c>
      <c r="U251" s="20">
        <f t="shared" si="59"/>
        <v>0</v>
      </c>
      <c r="V251" s="52">
        <f t="shared" si="65"/>
        <v>0</v>
      </c>
      <c r="W251" s="20">
        <v>11</v>
      </c>
      <c r="X251" s="10">
        <v>1</v>
      </c>
    </row>
    <row r="252" spans="2:24" ht="26.25" customHeight="1" x14ac:dyDescent="0.25">
      <c r="B252" s="11">
        <v>103</v>
      </c>
      <c r="C252" s="6" t="s">
        <v>18</v>
      </c>
      <c r="D252" s="23" t="s">
        <v>40</v>
      </c>
      <c r="E252" s="104" t="s">
        <v>533</v>
      </c>
      <c r="F252" s="208">
        <v>86</v>
      </c>
      <c r="G252" s="12" t="s">
        <v>0</v>
      </c>
      <c r="H252" s="39">
        <v>818</v>
      </c>
      <c r="I252" s="360">
        <v>1112.48</v>
      </c>
      <c r="J252" s="39">
        <f t="shared" si="53"/>
        <v>0</v>
      </c>
      <c r="K252" s="309">
        <v>1.36</v>
      </c>
      <c r="L252" s="250" t="s">
        <v>541</v>
      </c>
      <c r="M252" s="140"/>
      <c r="N252" s="39">
        <f>1018-200</f>
        <v>818</v>
      </c>
      <c r="O252" s="309">
        <f t="shared" si="64"/>
        <v>1112.48</v>
      </c>
      <c r="P252" s="51" t="str">
        <f t="shared" si="66"/>
        <v>Д8х4 ЭПГ111.011</v>
      </c>
      <c r="Q252" s="306">
        <f t="shared" si="63"/>
        <v>2.3199999999999998</v>
      </c>
      <c r="R252" s="319">
        <v>1.93</v>
      </c>
      <c r="S252" s="353">
        <f t="shared" si="61"/>
        <v>0</v>
      </c>
      <c r="T252" s="70">
        <v>76244</v>
      </c>
      <c r="U252" s="20">
        <f t="shared" si="59"/>
        <v>0</v>
      </c>
      <c r="V252" s="52">
        <f t="shared" si="65"/>
        <v>0</v>
      </c>
      <c r="W252" s="20">
        <v>76244</v>
      </c>
      <c r="X252" s="10">
        <v>1</v>
      </c>
    </row>
    <row r="253" spans="2:24" ht="26.25" hidden="1" customHeight="1" x14ac:dyDescent="0.25">
      <c r="B253" s="11"/>
      <c r="C253" s="6" t="s">
        <v>18</v>
      </c>
      <c r="D253" s="23" t="s">
        <v>40</v>
      </c>
      <c r="E253" s="104" t="s">
        <v>645</v>
      </c>
      <c r="F253" s="208">
        <v>1275</v>
      </c>
      <c r="G253" s="48" t="s">
        <v>0</v>
      </c>
      <c r="H253" s="39"/>
      <c r="I253" s="360"/>
      <c r="J253" s="39">
        <f t="shared" si="53"/>
        <v>0</v>
      </c>
      <c r="K253" s="309">
        <f>Q253/1.4</f>
        <v>3.44</v>
      </c>
      <c r="L253" s="158" t="s">
        <v>744</v>
      </c>
      <c r="M253" s="41"/>
      <c r="N253" s="503"/>
      <c r="O253" s="309"/>
      <c r="P253" s="51" t="str">
        <f t="shared" si="66"/>
        <v>Д8х4 ЭПГ111.011МЗКТ</v>
      </c>
      <c r="Q253" s="306">
        <f t="shared" si="63"/>
        <v>4.8099999999999996</v>
      </c>
      <c r="R253" s="319">
        <v>4.01</v>
      </c>
      <c r="S253" s="353">
        <f t="shared" si="61"/>
        <v>0</v>
      </c>
      <c r="T253" s="20"/>
      <c r="U253" s="20">
        <f t="shared" si="59"/>
        <v>0</v>
      </c>
      <c r="V253" s="52"/>
      <c r="W253" s="20"/>
    </row>
    <row r="254" spans="2:24" ht="26.25" hidden="1" customHeight="1" x14ac:dyDescent="0.25">
      <c r="B254" s="11"/>
      <c r="C254" s="6" t="s">
        <v>18</v>
      </c>
      <c r="D254" s="23" t="s">
        <v>40</v>
      </c>
      <c r="E254" s="1" t="s">
        <v>495</v>
      </c>
      <c r="F254" s="208">
        <v>1435</v>
      </c>
      <c r="G254" s="12" t="s">
        <v>0</v>
      </c>
      <c r="H254" s="39"/>
      <c r="I254" s="360">
        <v>0</v>
      </c>
      <c r="J254" s="39">
        <f t="shared" si="53"/>
        <v>0</v>
      </c>
      <c r="K254" s="309">
        <f>Q254/1.4</f>
        <v>1.8</v>
      </c>
      <c r="L254" s="250" t="s">
        <v>892</v>
      </c>
      <c r="M254" s="140"/>
      <c r="N254" s="39"/>
      <c r="O254" s="309">
        <f>K254*N254</f>
        <v>0</v>
      </c>
      <c r="P254" s="51" t="str">
        <f t="shared" si="66"/>
        <v>Д8х10</v>
      </c>
      <c r="Q254" s="377">
        <f t="shared" si="63"/>
        <v>2.52</v>
      </c>
      <c r="R254" s="319">
        <v>2.1</v>
      </c>
      <c r="S254" s="353">
        <f t="shared" si="61"/>
        <v>0</v>
      </c>
      <c r="T254" s="20"/>
      <c r="U254" s="20">
        <f t="shared" si="59"/>
        <v>0</v>
      </c>
      <c r="V254" s="52">
        <f t="shared" ref="V254:V270" si="67">W254-T254+U254</f>
        <v>0</v>
      </c>
      <c r="W254" s="20"/>
    </row>
    <row r="255" spans="2:24" ht="26.25" hidden="1" customHeight="1" x14ac:dyDescent="0.25">
      <c r="B255" s="11"/>
      <c r="C255" s="6" t="s">
        <v>18</v>
      </c>
      <c r="D255" s="23" t="s">
        <v>40</v>
      </c>
      <c r="E255" s="104" t="s">
        <v>921</v>
      </c>
      <c r="F255" s="208"/>
      <c r="G255" s="48"/>
      <c r="H255" s="39"/>
      <c r="I255" s="309">
        <v>0</v>
      </c>
      <c r="J255" s="39">
        <f t="shared" si="53"/>
        <v>0</v>
      </c>
      <c r="K255" s="309"/>
      <c r="L255" s="62"/>
      <c r="M255" s="140"/>
      <c r="N255" s="39"/>
      <c r="O255" s="490">
        <f>K255*N255</f>
        <v>0</v>
      </c>
      <c r="P255" s="262" t="str">
        <f t="shared" si="66"/>
        <v xml:space="preserve">Д7,9х10 </v>
      </c>
      <c r="Q255" s="377">
        <f t="shared" si="63"/>
        <v>0</v>
      </c>
      <c r="R255" s="319">
        <v>0</v>
      </c>
      <c r="S255" s="353">
        <f t="shared" si="61"/>
        <v>0</v>
      </c>
      <c r="T255" s="70">
        <v>33</v>
      </c>
      <c r="U255" s="20">
        <f t="shared" si="59"/>
        <v>0</v>
      </c>
      <c r="V255" s="52">
        <f t="shared" si="67"/>
        <v>0</v>
      </c>
      <c r="W255" s="444">
        <v>33</v>
      </c>
    </row>
    <row r="256" spans="2:24" s="21" customFormat="1" ht="26.25" customHeight="1" x14ac:dyDescent="0.25">
      <c r="B256" s="11">
        <v>104</v>
      </c>
      <c r="C256" s="6" t="s">
        <v>18</v>
      </c>
      <c r="D256" s="23" t="s">
        <v>40</v>
      </c>
      <c r="E256" s="104" t="s">
        <v>478</v>
      </c>
      <c r="F256" s="208" t="s">
        <v>70</v>
      </c>
      <c r="G256" s="12" t="s">
        <v>0</v>
      </c>
      <c r="H256" s="40"/>
      <c r="I256" s="309">
        <v>0</v>
      </c>
      <c r="J256" s="39">
        <f t="shared" si="53"/>
        <v>20000</v>
      </c>
      <c r="K256" s="309">
        <f>Q256/1.4</f>
        <v>0.51</v>
      </c>
      <c r="L256" s="277" t="s">
        <v>946</v>
      </c>
      <c r="M256" s="140">
        <v>10000</v>
      </c>
      <c r="N256" s="40">
        <v>10000</v>
      </c>
      <c r="O256" s="309">
        <f>K256*N256</f>
        <v>5100</v>
      </c>
      <c r="P256" s="235" t="str">
        <f t="shared" si="66"/>
        <v>Д7,9х10</v>
      </c>
      <c r="Q256" s="377">
        <f t="shared" si="63"/>
        <v>0.71</v>
      </c>
      <c r="R256" s="319">
        <v>0.59</v>
      </c>
      <c r="S256" s="353">
        <f t="shared" si="61"/>
        <v>11800</v>
      </c>
      <c r="T256" s="70"/>
      <c r="U256" s="20">
        <f t="shared" si="59"/>
        <v>10000</v>
      </c>
      <c r="V256" s="52">
        <f t="shared" si="67"/>
        <v>10000</v>
      </c>
      <c r="W256" s="20"/>
    </row>
    <row r="257" spans="2:24" ht="26.25" hidden="1" customHeight="1" x14ac:dyDescent="0.25">
      <c r="B257" s="15"/>
      <c r="C257" s="6" t="s">
        <v>18</v>
      </c>
      <c r="D257" s="23" t="s">
        <v>40</v>
      </c>
      <c r="E257" s="106" t="s">
        <v>318</v>
      </c>
      <c r="F257" s="387" t="s">
        <v>437</v>
      </c>
      <c r="G257" s="48" t="s">
        <v>0</v>
      </c>
      <c r="H257" s="39"/>
      <c r="I257" s="309">
        <v>0</v>
      </c>
      <c r="J257" s="39">
        <f t="shared" si="53"/>
        <v>0</v>
      </c>
      <c r="K257" s="309">
        <f>Q257/1.4</f>
        <v>3.09</v>
      </c>
      <c r="L257" s="213" t="s">
        <v>440</v>
      </c>
      <c r="M257" s="140"/>
      <c r="N257" s="39"/>
      <c r="O257" s="309">
        <f>K257*N257</f>
        <v>0</v>
      </c>
      <c r="P257" s="235" t="str">
        <f t="shared" si="66"/>
        <v>С8,2х24 ЭПГ110.001</v>
      </c>
      <c r="Q257" s="377">
        <f t="shared" si="63"/>
        <v>4.32</v>
      </c>
      <c r="R257" s="326">
        <v>3.6</v>
      </c>
      <c r="S257" s="353">
        <f t="shared" si="61"/>
        <v>0</v>
      </c>
      <c r="T257" s="430">
        <f>4615+4800</f>
        <v>9415</v>
      </c>
      <c r="U257" s="20">
        <f t="shared" si="59"/>
        <v>0</v>
      </c>
      <c r="V257" s="52">
        <f t="shared" si="67"/>
        <v>0</v>
      </c>
      <c r="W257" s="18">
        <f>4615+4800</f>
        <v>9415</v>
      </c>
      <c r="X257" s="10">
        <v>1</v>
      </c>
    </row>
    <row r="258" spans="2:24" ht="26.25" hidden="1" customHeight="1" x14ac:dyDescent="0.25">
      <c r="B258" s="15"/>
      <c r="C258" s="6" t="s">
        <v>18</v>
      </c>
      <c r="D258" s="23" t="s">
        <v>40</v>
      </c>
      <c r="E258" s="106" t="s">
        <v>438</v>
      </c>
      <c r="F258" s="385" t="s">
        <v>58</v>
      </c>
      <c r="G258" s="13" t="s">
        <v>0</v>
      </c>
      <c r="H258" s="39"/>
      <c r="I258" s="309">
        <v>0</v>
      </c>
      <c r="J258" s="39">
        <f t="shared" si="53"/>
        <v>0</v>
      </c>
      <c r="K258" s="309">
        <f>Q258/1.4</f>
        <v>3.09</v>
      </c>
      <c r="L258" s="146" t="s">
        <v>333</v>
      </c>
      <c r="M258" s="140"/>
      <c r="N258" s="39"/>
      <c r="O258" s="309">
        <f>K258*N258</f>
        <v>0</v>
      </c>
      <c r="P258" s="263" t="str">
        <f t="shared" si="66"/>
        <v>Д8х24</v>
      </c>
      <c r="Q258" s="377">
        <f t="shared" si="63"/>
        <v>4.32</v>
      </c>
      <c r="R258" s="319">
        <v>3.6</v>
      </c>
      <c r="S258" s="353">
        <f t="shared" si="61"/>
        <v>0</v>
      </c>
      <c r="T258" s="430">
        <v>735</v>
      </c>
      <c r="U258" s="20">
        <f t="shared" si="59"/>
        <v>0</v>
      </c>
      <c r="V258" s="52">
        <f t="shared" si="67"/>
        <v>0</v>
      </c>
      <c r="W258" s="18">
        <v>735</v>
      </c>
      <c r="X258" s="10">
        <v>1</v>
      </c>
    </row>
    <row r="259" spans="2:24" ht="26.25" customHeight="1" x14ac:dyDescent="0.25">
      <c r="B259" s="11">
        <v>105</v>
      </c>
      <c r="C259" s="6" t="s">
        <v>18</v>
      </c>
      <c r="D259" s="23" t="s">
        <v>40</v>
      </c>
      <c r="E259" s="106" t="s">
        <v>288</v>
      </c>
      <c r="F259" s="383" t="s">
        <v>434</v>
      </c>
      <c r="G259" s="12" t="s">
        <v>0</v>
      </c>
      <c r="H259" s="39">
        <v>1440</v>
      </c>
      <c r="I259" s="360">
        <v>246.82</v>
      </c>
      <c r="J259" s="39">
        <f t="shared" si="53"/>
        <v>0</v>
      </c>
      <c r="K259" s="309">
        <v>0.17</v>
      </c>
      <c r="L259" s="370" t="s">
        <v>520</v>
      </c>
      <c r="M259" s="141"/>
      <c r="N259" s="39">
        <v>1440</v>
      </c>
      <c r="O259" s="309">
        <f>I259</f>
        <v>246.82</v>
      </c>
      <c r="P259" s="51" t="str">
        <f t="shared" si="66"/>
        <v>Д8х2</v>
      </c>
      <c r="Q259" s="377">
        <f t="shared" si="63"/>
        <v>0.24</v>
      </c>
      <c r="R259" s="319">
        <v>0.2</v>
      </c>
      <c r="S259" s="353">
        <f t="shared" si="61"/>
        <v>0</v>
      </c>
      <c r="T259" s="70">
        <v>6</v>
      </c>
      <c r="U259" s="20">
        <f t="shared" si="59"/>
        <v>0</v>
      </c>
      <c r="V259" s="52">
        <f t="shared" si="67"/>
        <v>0</v>
      </c>
      <c r="W259" s="444">
        <v>6</v>
      </c>
    </row>
    <row r="260" spans="2:24" ht="26.25" hidden="1" customHeight="1" x14ac:dyDescent="0.25">
      <c r="B260" s="19"/>
      <c r="C260" s="6" t="s">
        <v>18</v>
      </c>
      <c r="D260" s="23" t="s">
        <v>40</v>
      </c>
      <c r="E260" s="106" t="s">
        <v>384</v>
      </c>
      <c r="F260" s="385"/>
      <c r="G260" s="48"/>
      <c r="H260" s="39"/>
      <c r="I260" s="309">
        <v>0</v>
      </c>
      <c r="J260" s="39">
        <f t="shared" si="53"/>
        <v>0</v>
      </c>
      <c r="K260" s="309">
        <f t="shared" ref="K260:K274" si="68">Q260/1.4</f>
        <v>0</v>
      </c>
      <c r="L260" s="72"/>
      <c r="M260" s="141"/>
      <c r="N260" s="39"/>
      <c r="O260" s="490">
        <f>K260*N260</f>
        <v>0</v>
      </c>
      <c r="P260" s="262" t="str">
        <f t="shared" si="66"/>
        <v>Д8х2,5</v>
      </c>
      <c r="Q260" s="377">
        <f t="shared" si="63"/>
        <v>0</v>
      </c>
      <c r="R260" s="319">
        <v>0</v>
      </c>
      <c r="S260" s="353">
        <f t="shared" si="61"/>
        <v>0</v>
      </c>
      <c r="T260" s="70">
        <v>5</v>
      </c>
      <c r="U260" s="20">
        <f t="shared" si="59"/>
        <v>0</v>
      </c>
      <c r="V260" s="52">
        <f t="shared" si="67"/>
        <v>0</v>
      </c>
      <c r="W260" s="444">
        <v>5</v>
      </c>
    </row>
    <row r="261" spans="2:24" ht="26.25" hidden="1" customHeight="1" x14ac:dyDescent="0.25">
      <c r="B261" s="19"/>
      <c r="C261" s="6" t="s">
        <v>18</v>
      </c>
      <c r="D261" s="23" t="s">
        <v>40</v>
      </c>
      <c r="E261" s="106" t="s">
        <v>289</v>
      </c>
      <c r="F261" s="385" t="s">
        <v>376</v>
      </c>
      <c r="G261" s="48"/>
      <c r="H261" s="39"/>
      <c r="I261" s="309">
        <v>0</v>
      </c>
      <c r="J261" s="39">
        <f t="shared" si="53"/>
        <v>0</v>
      </c>
      <c r="K261" s="309">
        <f t="shared" si="68"/>
        <v>1.29</v>
      </c>
      <c r="L261" s="146" t="s">
        <v>499</v>
      </c>
      <c r="M261" s="141"/>
      <c r="N261" s="39"/>
      <c r="O261" s="309">
        <f>K261*N261</f>
        <v>0</v>
      </c>
      <c r="P261" s="235" t="str">
        <f t="shared" si="66"/>
        <v>Д8х3</v>
      </c>
      <c r="Q261" s="377">
        <f t="shared" si="63"/>
        <v>1.8</v>
      </c>
      <c r="R261" s="319">
        <v>1.5</v>
      </c>
      <c r="S261" s="353">
        <f t="shared" si="61"/>
        <v>0</v>
      </c>
      <c r="T261" s="70">
        <v>1655</v>
      </c>
      <c r="U261" s="20">
        <f t="shared" si="59"/>
        <v>0</v>
      </c>
      <c r="V261" s="52">
        <f t="shared" si="67"/>
        <v>0</v>
      </c>
      <c r="W261" s="444">
        <v>1655</v>
      </c>
    </row>
    <row r="262" spans="2:24" ht="26.25" hidden="1" customHeight="1" x14ac:dyDescent="0.25">
      <c r="B262" s="19"/>
      <c r="C262" s="6" t="s">
        <v>18</v>
      </c>
      <c r="D262" s="23" t="s">
        <v>40</v>
      </c>
      <c r="E262" s="106" t="s">
        <v>308</v>
      </c>
      <c r="F262" s="385"/>
      <c r="G262" s="48"/>
      <c r="H262" s="39"/>
      <c r="I262" s="309">
        <v>0</v>
      </c>
      <c r="J262" s="39">
        <f t="shared" ref="J262:J270" si="69">M262+N262-H262</f>
        <v>0</v>
      </c>
      <c r="K262" s="309">
        <f t="shared" si="68"/>
        <v>0</v>
      </c>
      <c r="L262" s="72"/>
      <c r="M262" s="141"/>
      <c r="N262" s="39"/>
      <c r="O262" s="309">
        <f>K262*N262</f>
        <v>0</v>
      </c>
      <c r="P262" s="235" t="str">
        <f t="shared" si="66"/>
        <v>Д8,2х3</v>
      </c>
      <c r="Q262" s="377">
        <f t="shared" si="63"/>
        <v>0</v>
      </c>
      <c r="R262" s="339">
        <v>0</v>
      </c>
      <c r="S262" s="353">
        <f t="shared" si="61"/>
        <v>0</v>
      </c>
      <c r="T262" s="70">
        <v>1659</v>
      </c>
      <c r="U262" s="20">
        <f t="shared" si="59"/>
        <v>0</v>
      </c>
      <c r="V262" s="52">
        <f t="shared" si="67"/>
        <v>0</v>
      </c>
      <c r="W262" s="444">
        <v>1659</v>
      </c>
    </row>
    <row r="263" spans="2:24" ht="26.25" hidden="1" customHeight="1" x14ac:dyDescent="0.25">
      <c r="B263" s="19"/>
      <c r="C263" s="6" t="s">
        <v>18</v>
      </c>
      <c r="D263" s="23" t="s">
        <v>40</v>
      </c>
      <c r="E263" s="106" t="s">
        <v>819</v>
      </c>
      <c r="F263" s="385" t="s">
        <v>824</v>
      </c>
      <c r="G263" s="48"/>
      <c r="H263" s="39"/>
      <c r="I263" s="309">
        <v>0</v>
      </c>
      <c r="J263" s="39">
        <f t="shared" si="69"/>
        <v>0</v>
      </c>
      <c r="K263" s="309">
        <f t="shared" si="68"/>
        <v>14.14</v>
      </c>
      <c r="L263" s="72" t="s">
        <v>836</v>
      </c>
      <c r="M263" s="141"/>
      <c r="N263" s="39"/>
      <c r="O263" s="309">
        <f>K263*N263</f>
        <v>0</v>
      </c>
      <c r="P263" s="51" t="str">
        <f t="shared" si="66"/>
        <v>Д8,5х2,5 Магнитопласт</v>
      </c>
      <c r="Q263" s="377">
        <f t="shared" si="63"/>
        <v>19.8</v>
      </c>
      <c r="R263" s="339">
        <v>16.5</v>
      </c>
      <c r="S263" s="353">
        <f t="shared" si="61"/>
        <v>0</v>
      </c>
      <c r="T263" s="20"/>
      <c r="U263" s="20">
        <f t="shared" ref="U263:U270" si="70">M263</f>
        <v>0</v>
      </c>
      <c r="V263" s="52">
        <f t="shared" si="67"/>
        <v>0</v>
      </c>
      <c r="W263" s="20"/>
    </row>
    <row r="264" spans="2:24" ht="26.25" customHeight="1" x14ac:dyDescent="0.25">
      <c r="B264" s="11">
        <v>106</v>
      </c>
      <c r="C264" s="6" t="s">
        <v>18</v>
      </c>
      <c r="D264" s="23" t="s">
        <v>40</v>
      </c>
      <c r="E264" s="107" t="s">
        <v>182</v>
      </c>
      <c r="F264" s="208" t="s">
        <v>181</v>
      </c>
      <c r="G264" s="12" t="s">
        <v>0</v>
      </c>
      <c r="H264" s="39">
        <v>348</v>
      </c>
      <c r="I264" s="360">
        <v>44.75</v>
      </c>
      <c r="J264" s="39">
        <f t="shared" si="69"/>
        <v>0</v>
      </c>
      <c r="K264" s="309">
        <f t="shared" si="68"/>
        <v>0.13</v>
      </c>
      <c r="L264" s="367"/>
      <c r="M264" s="140"/>
      <c r="N264" s="39">
        <v>348</v>
      </c>
      <c r="O264" s="309">
        <f>I264</f>
        <v>44.75</v>
      </c>
      <c r="P264" s="51" t="str">
        <f t="shared" si="66"/>
        <v xml:space="preserve">Д9х3 </v>
      </c>
      <c r="Q264" s="377">
        <f t="shared" si="63"/>
        <v>0.18</v>
      </c>
      <c r="R264" s="319">
        <v>0.15</v>
      </c>
      <c r="S264" s="353">
        <f t="shared" si="61"/>
        <v>0</v>
      </c>
      <c r="T264" s="70">
        <f>3398-52</f>
        <v>3346</v>
      </c>
      <c r="U264" s="20">
        <f t="shared" si="70"/>
        <v>0</v>
      </c>
      <c r="V264" s="52">
        <f t="shared" si="67"/>
        <v>0</v>
      </c>
      <c r="W264" s="444">
        <f>3398-52</f>
        <v>3346</v>
      </c>
    </row>
    <row r="265" spans="2:24" ht="26.25" customHeight="1" x14ac:dyDescent="0.25">
      <c r="B265" s="11">
        <v>107</v>
      </c>
      <c r="C265" s="6" t="s">
        <v>18</v>
      </c>
      <c r="D265" s="23" t="s">
        <v>40</v>
      </c>
      <c r="E265" s="107" t="s">
        <v>694</v>
      </c>
      <c r="F265" s="208">
        <v>1446</v>
      </c>
      <c r="G265" s="48"/>
      <c r="H265" s="39"/>
      <c r="I265" s="309">
        <v>0</v>
      </c>
      <c r="J265" s="39">
        <f t="shared" si="69"/>
        <v>0</v>
      </c>
      <c r="K265" s="309">
        <f t="shared" si="68"/>
        <v>1.71</v>
      </c>
      <c r="L265" s="219" t="s">
        <v>945</v>
      </c>
      <c r="M265" s="140"/>
      <c r="N265" s="39"/>
      <c r="O265" s="309">
        <f t="shared" ref="O265:O273" si="71">K265*N265</f>
        <v>0</v>
      </c>
      <c r="P265" s="262" t="str">
        <f t="shared" si="66"/>
        <v>Д9х7</v>
      </c>
      <c r="Q265" s="377">
        <f t="shared" si="63"/>
        <v>2.4</v>
      </c>
      <c r="R265" s="322">
        <v>2</v>
      </c>
      <c r="S265" s="353">
        <f t="shared" si="61"/>
        <v>0</v>
      </c>
      <c r="T265" s="70">
        <v>30</v>
      </c>
      <c r="U265" s="20">
        <f t="shared" si="70"/>
        <v>0</v>
      </c>
      <c r="V265" s="52">
        <f t="shared" si="67"/>
        <v>-30</v>
      </c>
      <c r="W265" s="20"/>
    </row>
    <row r="266" spans="2:24" ht="26.25" hidden="1" customHeight="1" x14ac:dyDescent="0.25">
      <c r="B266" s="19"/>
      <c r="C266" s="6" t="s">
        <v>18</v>
      </c>
      <c r="D266" s="23" t="s">
        <v>40</v>
      </c>
      <c r="E266" s="87" t="s">
        <v>230</v>
      </c>
      <c r="F266" s="393" t="s">
        <v>257</v>
      </c>
      <c r="G266" s="48" t="s">
        <v>0</v>
      </c>
      <c r="H266" s="39"/>
      <c r="I266" s="309">
        <v>0</v>
      </c>
      <c r="J266" s="39">
        <f t="shared" si="69"/>
        <v>0</v>
      </c>
      <c r="K266" s="309">
        <f t="shared" si="68"/>
        <v>2.44</v>
      </c>
      <c r="L266" s="72" t="s">
        <v>260</v>
      </c>
      <c r="M266" s="141"/>
      <c r="N266" s="513"/>
      <c r="O266" s="497">
        <f t="shared" si="71"/>
        <v>0</v>
      </c>
      <c r="P266" s="263" t="str">
        <f t="shared" si="66"/>
        <v>Д10х0,5</v>
      </c>
      <c r="Q266" s="377">
        <f t="shared" si="63"/>
        <v>3.42</v>
      </c>
      <c r="R266" s="322">
        <v>2.85</v>
      </c>
      <c r="S266" s="353">
        <f t="shared" si="61"/>
        <v>0</v>
      </c>
      <c r="T266" s="148">
        <v>1800</v>
      </c>
      <c r="U266" s="20">
        <f t="shared" si="70"/>
        <v>0</v>
      </c>
      <c r="V266" s="52">
        <f t="shared" si="67"/>
        <v>0</v>
      </c>
      <c r="W266" s="20">
        <v>1800</v>
      </c>
      <c r="X266" s="10">
        <v>1</v>
      </c>
    </row>
    <row r="267" spans="2:24" ht="26.25" customHeight="1" x14ac:dyDescent="0.25">
      <c r="B267" s="19">
        <v>108</v>
      </c>
      <c r="C267" s="6" t="s">
        <v>18</v>
      </c>
      <c r="D267" s="23" t="s">
        <v>40</v>
      </c>
      <c r="E267" s="87" t="s">
        <v>231</v>
      </c>
      <c r="F267" s="385" t="s">
        <v>516</v>
      </c>
      <c r="G267" s="48" t="s">
        <v>0</v>
      </c>
      <c r="H267" s="39"/>
      <c r="I267" s="360">
        <v>0</v>
      </c>
      <c r="J267" s="39">
        <f t="shared" si="69"/>
        <v>100</v>
      </c>
      <c r="K267" s="309">
        <f t="shared" si="68"/>
        <v>0.16</v>
      </c>
      <c r="L267" s="94" t="s">
        <v>745</v>
      </c>
      <c r="M267" s="141">
        <v>100</v>
      </c>
      <c r="N267" s="39"/>
      <c r="O267" s="309">
        <f t="shared" si="71"/>
        <v>0</v>
      </c>
      <c r="P267" s="51" t="str">
        <f t="shared" si="66"/>
        <v>Д10х1</v>
      </c>
      <c r="Q267" s="377">
        <f t="shared" si="63"/>
        <v>0.22</v>
      </c>
      <c r="R267" s="319">
        <v>0.18</v>
      </c>
      <c r="S267" s="353">
        <f t="shared" si="61"/>
        <v>18</v>
      </c>
      <c r="T267" s="148">
        <f>2470-210</f>
        <v>2260</v>
      </c>
      <c r="U267" s="20">
        <f t="shared" si="70"/>
        <v>100</v>
      </c>
      <c r="V267" s="52">
        <f t="shared" si="67"/>
        <v>0</v>
      </c>
      <c r="W267" s="20">
        <f>2470-210-100</f>
        <v>2160</v>
      </c>
      <c r="X267" s="10">
        <v>1</v>
      </c>
    </row>
    <row r="268" spans="2:24" ht="26.25" customHeight="1" x14ac:dyDescent="0.25">
      <c r="B268" s="19">
        <v>109</v>
      </c>
      <c r="C268" s="6" t="s">
        <v>18</v>
      </c>
      <c r="D268" s="23" t="s">
        <v>40</v>
      </c>
      <c r="E268" s="87" t="s">
        <v>287</v>
      </c>
      <c r="F268" s="383" t="s">
        <v>378</v>
      </c>
      <c r="G268" s="12" t="s">
        <v>0</v>
      </c>
      <c r="H268" s="39"/>
      <c r="I268" s="309">
        <v>0</v>
      </c>
      <c r="J268" s="39">
        <f t="shared" si="69"/>
        <v>1270</v>
      </c>
      <c r="K268" s="309">
        <f t="shared" si="68"/>
        <v>0.21</v>
      </c>
      <c r="L268" s="215" t="s">
        <v>894</v>
      </c>
      <c r="M268" s="141">
        <v>1270</v>
      </c>
      <c r="N268" s="39"/>
      <c r="O268" s="309">
        <f t="shared" si="71"/>
        <v>0</v>
      </c>
      <c r="P268" s="51" t="str">
        <f t="shared" si="66"/>
        <v>Д10х2</v>
      </c>
      <c r="Q268" s="377">
        <f t="shared" si="63"/>
        <v>0.3</v>
      </c>
      <c r="R268" s="319">
        <v>0.25</v>
      </c>
      <c r="S268" s="353">
        <f t="shared" si="61"/>
        <v>317.5</v>
      </c>
      <c r="T268" s="148">
        <f>2090*4+1570</f>
        <v>9930</v>
      </c>
      <c r="U268" s="20">
        <f t="shared" si="70"/>
        <v>1270</v>
      </c>
      <c r="V268" s="52">
        <f t="shared" si="67"/>
        <v>0</v>
      </c>
      <c r="W268" s="20">
        <f>2090*4+1570-1270</f>
        <v>8660</v>
      </c>
      <c r="X268" s="10">
        <v>1</v>
      </c>
    </row>
    <row r="269" spans="2:24" ht="26.25" customHeight="1" x14ac:dyDescent="0.25">
      <c r="B269" s="14">
        <v>110</v>
      </c>
      <c r="C269" s="6" t="s">
        <v>18</v>
      </c>
      <c r="D269" s="23" t="s">
        <v>40</v>
      </c>
      <c r="E269" s="106" t="s">
        <v>151</v>
      </c>
      <c r="F269" s="526">
        <v>606</v>
      </c>
      <c r="G269" s="48" t="s">
        <v>0</v>
      </c>
      <c r="H269" s="39"/>
      <c r="I269" s="360">
        <v>0</v>
      </c>
      <c r="J269" s="39">
        <f t="shared" si="69"/>
        <v>100</v>
      </c>
      <c r="K269" s="309">
        <f t="shared" si="68"/>
        <v>1.8</v>
      </c>
      <c r="L269" s="250" t="s">
        <v>895</v>
      </c>
      <c r="M269" s="140">
        <v>100</v>
      </c>
      <c r="N269" s="39"/>
      <c r="O269" s="309">
        <f t="shared" si="71"/>
        <v>0</v>
      </c>
      <c r="P269" s="51" t="str">
        <f t="shared" si="66"/>
        <v>Д10х3</v>
      </c>
      <c r="Q269" s="306">
        <f t="shared" si="63"/>
        <v>2.52</v>
      </c>
      <c r="R269" s="339">
        <v>2.1</v>
      </c>
      <c r="S269" s="353">
        <f t="shared" si="61"/>
        <v>210</v>
      </c>
      <c r="T269" s="70">
        <f>5864-10-240-100-100</f>
        <v>5414</v>
      </c>
      <c r="U269" s="20">
        <f t="shared" si="70"/>
        <v>100</v>
      </c>
      <c r="V269" s="52">
        <f t="shared" si="67"/>
        <v>0</v>
      </c>
      <c r="W269" s="20">
        <f>5864-10-240-100-100-100</f>
        <v>5314</v>
      </c>
      <c r="X269" s="10">
        <v>1</v>
      </c>
    </row>
    <row r="270" spans="2:24" ht="26.25" hidden="1" customHeight="1" x14ac:dyDescent="0.25">
      <c r="B270" s="14"/>
      <c r="C270" s="6" t="s">
        <v>18</v>
      </c>
      <c r="D270" s="23" t="s">
        <v>40</v>
      </c>
      <c r="E270" s="106" t="s">
        <v>524</v>
      </c>
      <c r="F270" s="386">
        <v>1181</v>
      </c>
      <c r="G270" s="48"/>
      <c r="H270" s="39"/>
      <c r="I270" s="309">
        <v>0</v>
      </c>
      <c r="J270" s="39">
        <f t="shared" si="69"/>
        <v>0</v>
      </c>
      <c r="K270" s="309">
        <f t="shared" si="68"/>
        <v>4.29</v>
      </c>
      <c r="L270" s="250" t="s">
        <v>615</v>
      </c>
      <c r="M270" s="140"/>
      <c r="N270" s="489"/>
      <c r="O270" s="490">
        <f t="shared" si="71"/>
        <v>0</v>
      </c>
      <c r="P270" s="441" t="str">
        <f t="shared" si="66"/>
        <v>Д10*12</v>
      </c>
      <c r="Q270" s="377">
        <f t="shared" si="63"/>
        <v>6</v>
      </c>
      <c r="R270" s="339">
        <v>5</v>
      </c>
      <c r="S270" s="353">
        <f t="shared" si="61"/>
        <v>0</v>
      </c>
      <c r="T270" s="70">
        <v>22</v>
      </c>
      <c r="U270" s="20">
        <f t="shared" si="70"/>
        <v>0</v>
      </c>
      <c r="V270" s="52">
        <f t="shared" si="67"/>
        <v>0</v>
      </c>
      <c r="W270" s="20">
        <v>22</v>
      </c>
      <c r="X270" s="10">
        <v>1</v>
      </c>
    </row>
    <row r="271" spans="2:24" ht="26.25" hidden="1" customHeight="1" x14ac:dyDescent="0.25">
      <c r="B271" s="14"/>
      <c r="C271" s="6" t="s">
        <v>18</v>
      </c>
      <c r="D271" s="23" t="s">
        <v>40</v>
      </c>
      <c r="E271" s="106" t="s">
        <v>855</v>
      </c>
      <c r="F271" s="386">
        <v>1333</v>
      </c>
      <c r="G271" s="12" t="s">
        <v>0</v>
      </c>
      <c r="H271" s="39"/>
      <c r="I271" s="309">
        <v>0</v>
      </c>
      <c r="J271" s="39"/>
      <c r="K271" s="309">
        <f t="shared" si="68"/>
        <v>5.14</v>
      </c>
      <c r="L271" s="250"/>
      <c r="M271" s="140"/>
      <c r="N271" s="39"/>
      <c r="O271" s="309">
        <f t="shared" si="71"/>
        <v>0</v>
      </c>
      <c r="P271" s="51" t="str">
        <f t="shared" si="66"/>
        <v>Д10х14,5</v>
      </c>
      <c r="Q271" s="377">
        <f t="shared" si="63"/>
        <v>7.2</v>
      </c>
      <c r="R271" s="339">
        <v>6</v>
      </c>
      <c r="S271" s="353">
        <f t="shared" si="61"/>
        <v>0</v>
      </c>
      <c r="T271" s="70">
        <v>10</v>
      </c>
      <c r="U271" s="20"/>
      <c r="V271" s="52"/>
      <c r="W271" s="20">
        <v>10</v>
      </c>
      <c r="X271" s="10">
        <v>1</v>
      </c>
    </row>
    <row r="272" spans="2:24" ht="26.25" hidden="1" customHeight="1" x14ac:dyDescent="0.25">
      <c r="B272" s="14"/>
      <c r="C272" s="6" t="s">
        <v>18</v>
      </c>
      <c r="D272" s="23" t="s">
        <v>40</v>
      </c>
      <c r="E272" s="1" t="s">
        <v>643</v>
      </c>
      <c r="F272" s="386">
        <v>893</v>
      </c>
      <c r="G272" s="48"/>
      <c r="H272" s="39"/>
      <c r="I272" s="309">
        <v>0</v>
      </c>
      <c r="J272" s="39">
        <f t="shared" ref="J272:J296" si="72">M272+N272-H272</f>
        <v>0</v>
      </c>
      <c r="K272" s="309">
        <f t="shared" si="68"/>
        <v>5.4</v>
      </c>
      <c r="L272" s="99" t="s">
        <v>410</v>
      </c>
      <c r="M272" s="140"/>
      <c r="N272" s="39"/>
      <c r="O272" s="467">
        <f t="shared" si="71"/>
        <v>0</v>
      </c>
      <c r="P272" s="404" t="str">
        <f t="shared" si="66"/>
        <v>Д11х12</v>
      </c>
      <c r="Q272" s="377">
        <f>R272*1.2</f>
        <v>7.56</v>
      </c>
      <c r="R272" s="319">
        <v>6.3</v>
      </c>
      <c r="S272" s="353">
        <f t="shared" si="61"/>
        <v>0</v>
      </c>
      <c r="T272" s="70">
        <v>11</v>
      </c>
      <c r="U272" s="20">
        <f t="shared" ref="U272:U296" si="73">M272</f>
        <v>0</v>
      </c>
      <c r="V272" s="52">
        <f>W272-T272+U272</f>
        <v>0</v>
      </c>
      <c r="W272" s="444">
        <v>11</v>
      </c>
    </row>
    <row r="273" spans="1:24" ht="26.25" hidden="1" customHeight="1" x14ac:dyDescent="0.25">
      <c r="B273" s="14"/>
      <c r="C273" s="6" t="s">
        <v>18</v>
      </c>
      <c r="D273" s="23" t="s">
        <v>40</v>
      </c>
      <c r="E273" s="87" t="s">
        <v>514</v>
      </c>
      <c r="F273" s="386">
        <v>1126</v>
      </c>
      <c r="G273" s="48"/>
      <c r="H273" s="39"/>
      <c r="I273" s="309">
        <v>0</v>
      </c>
      <c r="J273" s="39">
        <f t="shared" si="72"/>
        <v>0</v>
      </c>
      <c r="K273" s="309">
        <f t="shared" si="68"/>
        <v>42</v>
      </c>
      <c r="L273" s="215"/>
      <c r="M273" s="140"/>
      <c r="N273" s="39"/>
      <c r="O273" s="309">
        <f t="shared" si="71"/>
        <v>0</v>
      </c>
      <c r="P273" s="263" t="str">
        <f t="shared" si="66"/>
        <v>Д12х2</v>
      </c>
      <c r="Q273" s="377">
        <f>R273*1.2</f>
        <v>58.8</v>
      </c>
      <c r="R273" s="322">
        <v>49</v>
      </c>
      <c r="S273" s="353">
        <f t="shared" si="61"/>
        <v>0</v>
      </c>
      <c r="T273" s="70">
        <v>100</v>
      </c>
      <c r="U273" s="20">
        <f t="shared" si="73"/>
        <v>0</v>
      </c>
      <c r="V273" s="52">
        <f>W273-T273+U273</f>
        <v>0</v>
      </c>
      <c r="W273" s="444">
        <v>100</v>
      </c>
    </row>
    <row r="274" spans="1:24" ht="26.25" hidden="1" customHeight="1" x14ac:dyDescent="0.25">
      <c r="B274" s="11"/>
      <c r="C274" s="6" t="s">
        <v>18</v>
      </c>
      <c r="D274" s="23" t="s">
        <v>40</v>
      </c>
      <c r="E274" s="104" t="s">
        <v>214</v>
      </c>
      <c r="F274" s="210">
        <v>735</v>
      </c>
      <c r="G274" s="48" t="s">
        <v>0</v>
      </c>
      <c r="H274" s="39"/>
      <c r="I274" s="360"/>
      <c r="J274" s="39">
        <f t="shared" si="72"/>
        <v>0</v>
      </c>
      <c r="K274" s="309">
        <f t="shared" si="68"/>
        <v>2.14</v>
      </c>
      <c r="L274" s="215" t="s">
        <v>627</v>
      </c>
      <c r="M274" s="140"/>
      <c r="N274" s="39"/>
      <c r="O274" s="360"/>
      <c r="P274" s="51" t="str">
        <f t="shared" si="66"/>
        <v>Д11х5</v>
      </c>
      <c r="Q274" s="377">
        <f>R274*1.2</f>
        <v>3</v>
      </c>
      <c r="R274" s="319">
        <v>2.5</v>
      </c>
      <c r="S274" s="353">
        <f t="shared" si="61"/>
        <v>0</v>
      </c>
      <c r="T274" s="70">
        <f>532*17+80+40+109+3588</f>
        <v>12861</v>
      </c>
      <c r="U274" s="20">
        <f t="shared" si="73"/>
        <v>0</v>
      </c>
      <c r="V274" s="52">
        <f>W274-T274+U274</f>
        <v>0</v>
      </c>
      <c r="W274" s="20">
        <f>532*17+80+40+109+3588</f>
        <v>12861</v>
      </c>
      <c r="X274" s="10">
        <v>1</v>
      </c>
    </row>
    <row r="275" spans="1:24" ht="26.25" hidden="1" customHeight="1" x14ac:dyDescent="0.25">
      <c r="B275" s="11"/>
      <c r="C275" s="6" t="s">
        <v>18</v>
      </c>
      <c r="D275" s="23" t="s">
        <v>40</v>
      </c>
      <c r="E275" s="87" t="s">
        <v>663</v>
      </c>
      <c r="F275" s="210"/>
      <c r="G275" s="48"/>
      <c r="H275" s="39"/>
      <c r="I275" s="360"/>
      <c r="J275" s="39">
        <f t="shared" si="72"/>
        <v>0</v>
      </c>
      <c r="K275" s="309"/>
      <c r="L275" s="215"/>
      <c r="M275" s="140"/>
      <c r="N275" s="39"/>
      <c r="O275" s="468"/>
      <c r="P275" s="442" t="str">
        <f t="shared" si="66"/>
        <v>Д11,9х3,3</v>
      </c>
      <c r="Q275" s="377"/>
      <c r="R275" s="326"/>
      <c r="S275" s="353">
        <f t="shared" si="61"/>
        <v>0</v>
      </c>
      <c r="T275" s="70">
        <v>6</v>
      </c>
      <c r="U275" s="20">
        <f t="shared" si="73"/>
        <v>0</v>
      </c>
      <c r="V275" s="52"/>
      <c r="W275" s="444">
        <v>6</v>
      </c>
    </row>
    <row r="276" spans="1:24" ht="26.25" hidden="1" customHeight="1" x14ac:dyDescent="0.25">
      <c r="B276" s="19"/>
      <c r="C276" s="6" t="s">
        <v>18</v>
      </c>
      <c r="D276" s="23" t="s">
        <v>40</v>
      </c>
      <c r="E276" s="87" t="s">
        <v>290</v>
      </c>
      <c r="F276" s="385" t="s">
        <v>369</v>
      </c>
      <c r="G276" s="48"/>
      <c r="H276" s="39"/>
      <c r="I276" s="360">
        <v>0</v>
      </c>
      <c r="J276" s="39">
        <f t="shared" si="72"/>
        <v>0</v>
      </c>
      <c r="K276" s="309">
        <f t="shared" ref="K276:K286" si="74">Q276/1.4</f>
        <v>2.23</v>
      </c>
      <c r="L276" s="215" t="s">
        <v>746</v>
      </c>
      <c r="M276" s="141"/>
      <c r="N276" s="39"/>
      <c r="O276" s="309">
        <f>K276*N276</f>
        <v>0</v>
      </c>
      <c r="P276" s="51" t="str">
        <f t="shared" si="66"/>
        <v>Д12х3</v>
      </c>
      <c r="Q276" s="377">
        <f t="shared" ref="Q276:Q293" si="75">R276*1.2</f>
        <v>3.12</v>
      </c>
      <c r="R276" s="326">
        <v>2.6</v>
      </c>
      <c r="S276" s="353">
        <f t="shared" si="61"/>
        <v>0</v>
      </c>
      <c r="T276" s="70">
        <v>235</v>
      </c>
      <c r="U276" s="20">
        <f t="shared" si="73"/>
        <v>0</v>
      </c>
      <c r="V276" s="52">
        <f t="shared" ref="V276:V292" si="76">W276-T276+U276</f>
        <v>-15</v>
      </c>
      <c r="W276" s="444">
        <v>220</v>
      </c>
    </row>
    <row r="277" spans="1:24" ht="26.25" hidden="1" customHeight="1" x14ac:dyDescent="0.25">
      <c r="B277" s="19"/>
      <c r="C277" s="6" t="s">
        <v>18</v>
      </c>
      <c r="D277" s="23" t="s">
        <v>40</v>
      </c>
      <c r="E277" s="1" t="s">
        <v>513</v>
      </c>
      <c r="F277" s="385" t="s">
        <v>517</v>
      </c>
      <c r="G277" s="48" t="s">
        <v>0</v>
      </c>
      <c r="H277" s="39"/>
      <c r="I277" s="360">
        <v>0</v>
      </c>
      <c r="J277" s="39">
        <f t="shared" si="72"/>
        <v>0</v>
      </c>
      <c r="K277" s="309">
        <f t="shared" si="74"/>
        <v>7.59</v>
      </c>
      <c r="L277" s="370" t="s">
        <v>521</v>
      </c>
      <c r="M277" s="141"/>
      <c r="N277" s="39"/>
      <c r="O277" s="467">
        <f>K277*N277</f>
        <v>0</v>
      </c>
      <c r="P277" s="262" t="str">
        <f t="shared" si="66"/>
        <v>д12х4 нжб1200-150</v>
      </c>
      <c r="Q277" s="377">
        <f t="shared" si="75"/>
        <v>10.62</v>
      </c>
      <c r="R277" s="322">
        <v>8.85</v>
      </c>
      <c r="S277" s="353">
        <f t="shared" si="61"/>
        <v>0</v>
      </c>
      <c r="T277" s="70">
        <v>4</v>
      </c>
      <c r="U277" s="20">
        <f t="shared" si="73"/>
        <v>0</v>
      </c>
      <c r="V277" s="52">
        <f t="shared" si="76"/>
        <v>0</v>
      </c>
      <c r="W277" s="444">
        <v>4</v>
      </c>
    </row>
    <row r="278" spans="1:24" ht="26.25" hidden="1" customHeight="1" x14ac:dyDescent="0.25">
      <c r="B278" s="19"/>
      <c r="C278" s="6" t="s">
        <v>18</v>
      </c>
      <c r="D278" s="23" t="s">
        <v>40</v>
      </c>
      <c r="E278" s="1" t="s">
        <v>766</v>
      </c>
      <c r="F278" s="385"/>
      <c r="G278" s="48"/>
      <c r="H278" s="39"/>
      <c r="I278" s="360"/>
      <c r="J278" s="39">
        <f t="shared" si="72"/>
        <v>0</v>
      </c>
      <c r="K278" s="309">
        <f t="shared" si="74"/>
        <v>0</v>
      </c>
      <c r="L278" s="370"/>
      <c r="M278" s="141"/>
      <c r="N278" s="39"/>
      <c r="O278" s="360"/>
      <c r="P278" s="262" t="str">
        <f t="shared" si="66"/>
        <v>Д12х12</v>
      </c>
      <c r="Q278" s="377">
        <f t="shared" si="75"/>
        <v>0</v>
      </c>
      <c r="R278" s="322"/>
      <c r="S278" s="353">
        <f t="shared" si="61"/>
        <v>0</v>
      </c>
      <c r="T278" s="70">
        <v>111</v>
      </c>
      <c r="U278" s="20">
        <f t="shared" si="73"/>
        <v>0</v>
      </c>
      <c r="V278" s="52">
        <f t="shared" si="76"/>
        <v>0</v>
      </c>
      <c r="W278" s="444">
        <v>111</v>
      </c>
    </row>
    <row r="279" spans="1:24" ht="26.25" hidden="1" customHeight="1" x14ac:dyDescent="0.25">
      <c r="B279" s="19"/>
      <c r="C279" s="6" t="s">
        <v>18</v>
      </c>
      <c r="D279" s="23" t="s">
        <v>40</v>
      </c>
      <c r="E279" s="1" t="s">
        <v>561</v>
      </c>
      <c r="F279" s="385"/>
      <c r="G279" s="48"/>
      <c r="H279" s="39"/>
      <c r="I279" s="360"/>
      <c r="J279" s="39">
        <f t="shared" si="72"/>
        <v>0</v>
      </c>
      <c r="K279" s="309">
        <f t="shared" si="74"/>
        <v>0</v>
      </c>
      <c r="L279" s="370"/>
      <c r="M279" s="141"/>
      <c r="N279" s="39"/>
      <c r="O279" s="360"/>
      <c r="P279" s="262" t="str">
        <f t="shared" si="66"/>
        <v>Д12х5</v>
      </c>
      <c r="Q279" s="377">
        <f t="shared" si="75"/>
        <v>0</v>
      </c>
      <c r="R279" s="322"/>
      <c r="S279" s="353">
        <f t="shared" si="61"/>
        <v>0</v>
      </c>
      <c r="T279" s="70">
        <v>1</v>
      </c>
      <c r="U279" s="20">
        <f t="shared" si="73"/>
        <v>0</v>
      </c>
      <c r="V279" s="52">
        <f t="shared" si="76"/>
        <v>0</v>
      </c>
      <c r="W279" s="20">
        <v>1</v>
      </c>
      <c r="X279" s="10">
        <v>1</v>
      </c>
    </row>
    <row r="280" spans="1:24" ht="26.25" hidden="1" customHeight="1" x14ac:dyDescent="0.25">
      <c r="B280" s="19"/>
      <c r="C280" s="6" t="s">
        <v>18</v>
      </c>
      <c r="D280" s="23" t="s">
        <v>40</v>
      </c>
      <c r="E280" s="1" t="s">
        <v>562</v>
      </c>
      <c r="F280" s="385"/>
      <c r="G280" s="48"/>
      <c r="H280" s="39"/>
      <c r="I280" s="360"/>
      <c r="J280" s="39">
        <f t="shared" si="72"/>
        <v>0</v>
      </c>
      <c r="K280" s="309">
        <f t="shared" si="74"/>
        <v>0</v>
      </c>
      <c r="L280" s="370"/>
      <c r="M280" s="141"/>
      <c r="N280" s="39"/>
      <c r="O280" s="468"/>
      <c r="P280" s="264" t="str">
        <f t="shared" si="66"/>
        <v>Д12х25</v>
      </c>
      <c r="Q280" s="377">
        <f t="shared" si="75"/>
        <v>0</v>
      </c>
      <c r="R280" s="322"/>
      <c r="S280" s="353">
        <f t="shared" si="61"/>
        <v>0</v>
      </c>
      <c r="T280" s="70">
        <v>10</v>
      </c>
      <c r="U280" s="20">
        <f t="shared" si="73"/>
        <v>0</v>
      </c>
      <c r="V280" s="52">
        <f t="shared" si="76"/>
        <v>0</v>
      </c>
      <c r="W280" s="20">
        <v>10</v>
      </c>
      <c r="X280" s="10">
        <v>1</v>
      </c>
    </row>
    <row r="281" spans="1:24" ht="26.25" hidden="1" customHeight="1" x14ac:dyDescent="0.25">
      <c r="B281" s="19"/>
      <c r="C281" s="6" t="s">
        <v>18</v>
      </c>
      <c r="D281" s="23" t="s">
        <v>40</v>
      </c>
      <c r="E281" s="1" t="s">
        <v>729</v>
      </c>
      <c r="F281" s="385" t="s">
        <v>733</v>
      </c>
      <c r="G281" s="48"/>
      <c r="H281" s="39"/>
      <c r="I281" s="360"/>
      <c r="J281" s="39">
        <f t="shared" si="72"/>
        <v>0</v>
      </c>
      <c r="K281" s="309">
        <f t="shared" si="74"/>
        <v>5.57</v>
      </c>
      <c r="L281" s="215" t="s">
        <v>747</v>
      </c>
      <c r="M281" s="141"/>
      <c r="N281" s="39"/>
      <c r="O281" s="309"/>
      <c r="P281" s="51" t="str">
        <f t="shared" si="66"/>
        <v>Д13,5х4 б/п</v>
      </c>
      <c r="Q281" s="377">
        <f t="shared" si="75"/>
        <v>7.8</v>
      </c>
      <c r="R281" s="322">
        <v>6.5</v>
      </c>
      <c r="S281" s="353">
        <f t="shared" si="61"/>
        <v>0</v>
      </c>
      <c r="T281" s="70">
        <v>8</v>
      </c>
      <c r="U281" s="20">
        <f t="shared" si="73"/>
        <v>0</v>
      </c>
      <c r="V281" s="52">
        <f t="shared" si="76"/>
        <v>0</v>
      </c>
      <c r="W281" s="20">
        <v>8</v>
      </c>
      <c r="X281" s="10">
        <v>1</v>
      </c>
    </row>
    <row r="282" spans="1:24" s="4" customFormat="1" ht="33" hidden="1" customHeight="1" x14ac:dyDescent="0.25">
      <c r="A282" s="10"/>
      <c r="B282" s="19"/>
      <c r="C282" s="6" t="s">
        <v>18</v>
      </c>
      <c r="D282" s="23" t="s">
        <v>40</v>
      </c>
      <c r="E282" s="87" t="s">
        <v>765</v>
      </c>
      <c r="F282" s="385"/>
      <c r="G282" s="48"/>
      <c r="H282" s="39"/>
      <c r="I282" s="309">
        <v>0</v>
      </c>
      <c r="J282" s="39">
        <f t="shared" si="72"/>
        <v>0</v>
      </c>
      <c r="K282" s="309">
        <f t="shared" si="74"/>
        <v>4.84</v>
      </c>
      <c r="L282" s="250" t="s">
        <v>681</v>
      </c>
      <c r="M282" s="141"/>
      <c r="N282" s="503"/>
      <c r="O282" s="490">
        <f>K282*N282</f>
        <v>0</v>
      </c>
      <c r="P282" s="262" t="str">
        <f t="shared" si="66"/>
        <v>Д14,5х4(Химволокно)</v>
      </c>
      <c r="Q282" s="377">
        <f t="shared" si="75"/>
        <v>6.78</v>
      </c>
      <c r="R282" s="319">
        <v>5.65</v>
      </c>
      <c r="S282" s="353">
        <f t="shared" si="61"/>
        <v>0</v>
      </c>
      <c r="T282" s="70">
        <v>42</v>
      </c>
      <c r="U282" s="20">
        <f t="shared" si="73"/>
        <v>0</v>
      </c>
      <c r="V282" s="52">
        <f t="shared" si="76"/>
        <v>0</v>
      </c>
      <c r="W282" s="20">
        <v>42</v>
      </c>
      <c r="X282" s="4">
        <v>1</v>
      </c>
    </row>
    <row r="283" spans="1:24" s="4" customFormat="1" ht="26.25" hidden="1" customHeight="1" x14ac:dyDescent="0.25">
      <c r="A283" s="10"/>
      <c r="B283" s="19"/>
      <c r="C283" s="6" t="s">
        <v>18</v>
      </c>
      <c r="D283" s="23" t="s">
        <v>40</v>
      </c>
      <c r="E283" s="463" t="s">
        <v>373</v>
      </c>
      <c r="F283" s="398">
        <v>945</v>
      </c>
      <c r="G283" s="48"/>
      <c r="H283" s="39"/>
      <c r="I283" s="360">
        <v>0</v>
      </c>
      <c r="J283" s="39">
        <f t="shared" si="72"/>
        <v>0</v>
      </c>
      <c r="K283" s="309">
        <f t="shared" si="74"/>
        <v>4.54</v>
      </c>
      <c r="L283" s="155" t="s">
        <v>896</v>
      </c>
      <c r="M283" s="141"/>
      <c r="N283" s="547"/>
      <c r="O283" s="497">
        <f>K283*N283</f>
        <v>0</v>
      </c>
      <c r="P283" s="263" t="str">
        <f t="shared" si="66"/>
        <v>Д20х6</v>
      </c>
      <c r="Q283" s="306">
        <f t="shared" si="75"/>
        <v>6.36</v>
      </c>
      <c r="R283" s="319">
        <v>5.3</v>
      </c>
      <c r="S283" s="353">
        <f t="shared" si="61"/>
        <v>0</v>
      </c>
      <c r="T283" s="20"/>
      <c r="U283" s="20">
        <f t="shared" si="73"/>
        <v>0</v>
      </c>
      <c r="V283" s="52">
        <f t="shared" si="76"/>
        <v>0</v>
      </c>
      <c r="W283" s="20"/>
    </row>
    <row r="284" spans="1:24" ht="32.25" hidden="1" customHeight="1" x14ac:dyDescent="0.25">
      <c r="B284" s="19"/>
      <c r="C284" s="6" t="s">
        <v>18</v>
      </c>
      <c r="D284" s="23" t="s">
        <v>40</v>
      </c>
      <c r="E284" s="87" t="s">
        <v>901</v>
      </c>
      <c r="F284" s="398"/>
      <c r="G284" s="48"/>
      <c r="H284" s="39"/>
      <c r="I284" s="360"/>
      <c r="J284" s="39">
        <f t="shared" si="72"/>
        <v>0</v>
      </c>
      <c r="K284" s="309">
        <f t="shared" si="74"/>
        <v>8.14</v>
      </c>
      <c r="L284" s="250" t="s">
        <v>683</v>
      </c>
      <c r="M284" s="141"/>
      <c r="N284" s="39"/>
      <c r="O284" s="309"/>
      <c r="P284" s="51" t="str">
        <f t="shared" si="66"/>
        <v>Д2Ох5</v>
      </c>
      <c r="Q284" s="306">
        <f t="shared" si="75"/>
        <v>11.4</v>
      </c>
      <c r="R284" s="326">
        <v>9.5</v>
      </c>
      <c r="S284" s="353">
        <f t="shared" si="61"/>
        <v>0</v>
      </c>
      <c r="T284" s="20"/>
      <c r="U284" s="20">
        <f t="shared" si="73"/>
        <v>0</v>
      </c>
      <c r="V284" s="52">
        <f t="shared" si="76"/>
        <v>256</v>
      </c>
      <c r="W284" s="20">
        <v>256</v>
      </c>
      <c r="X284" s="10">
        <v>1</v>
      </c>
    </row>
    <row r="285" spans="1:24" ht="26.25" hidden="1" customHeight="1" x14ac:dyDescent="0.25">
      <c r="B285" s="15"/>
      <c r="C285" s="6" t="s">
        <v>18</v>
      </c>
      <c r="D285" s="23" t="s">
        <v>40</v>
      </c>
      <c r="E285" s="87" t="s">
        <v>869</v>
      </c>
      <c r="F285" s="386">
        <v>1253</v>
      </c>
      <c r="G285" s="12" t="s">
        <v>0</v>
      </c>
      <c r="H285" s="39">
        <v>0</v>
      </c>
      <c r="I285" s="309">
        <v>0</v>
      </c>
      <c r="J285" s="39">
        <f t="shared" si="72"/>
        <v>0</v>
      </c>
      <c r="K285" s="309">
        <f t="shared" si="74"/>
        <v>2.31</v>
      </c>
      <c r="L285" s="99" t="s">
        <v>171</v>
      </c>
      <c r="M285" s="140"/>
      <c r="N285" s="489">
        <v>0</v>
      </c>
      <c r="O285" s="490">
        <f t="shared" ref="O285:O291" si="77">K285*N285</f>
        <v>0</v>
      </c>
      <c r="P285" s="264" t="str">
        <f t="shared" si="66"/>
        <v>Д20х10</v>
      </c>
      <c r="Q285" s="377">
        <f t="shared" si="75"/>
        <v>3.23</v>
      </c>
      <c r="R285" s="326">
        <v>2.69</v>
      </c>
      <c r="S285" s="353">
        <f t="shared" si="61"/>
        <v>0</v>
      </c>
      <c r="T285" s="147">
        <v>37</v>
      </c>
      <c r="U285" s="20">
        <f t="shared" si="73"/>
        <v>0</v>
      </c>
      <c r="V285" s="52">
        <f t="shared" si="76"/>
        <v>0</v>
      </c>
      <c r="W285" s="18">
        <v>37</v>
      </c>
      <c r="X285" s="10">
        <v>1</v>
      </c>
    </row>
    <row r="286" spans="1:24" ht="26.25" hidden="1" customHeight="1" x14ac:dyDescent="0.25">
      <c r="B286" s="11"/>
      <c r="C286" s="6" t="s">
        <v>18</v>
      </c>
      <c r="D286" s="23" t="s">
        <v>40</v>
      </c>
      <c r="E286" s="107" t="s">
        <v>583</v>
      </c>
      <c r="F286" s="210">
        <v>1359</v>
      </c>
      <c r="G286" s="14" t="s">
        <v>0</v>
      </c>
      <c r="H286" s="39"/>
      <c r="I286" s="360">
        <v>0</v>
      </c>
      <c r="J286" s="39">
        <f t="shared" si="72"/>
        <v>0</v>
      </c>
      <c r="K286" s="309">
        <f t="shared" si="74"/>
        <v>6.77</v>
      </c>
      <c r="L286" s="94" t="s">
        <v>608</v>
      </c>
      <c r="M286" s="140"/>
      <c r="N286" s="39"/>
      <c r="O286" s="360">
        <f t="shared" si="77"/>
        <v>0</v>
      </c>
      <c r="P286" s="51" t="str">
        <f t="shared" si="66"/>
        <v>30М.14.2990.011(Д19,8х6)</v>
      </c>
      <c r="Q286" s="377">
        <f t="shared" si="75"/>
        <v>9.48</v>
      </c>
      <c r="R286" s="324">
        <v>7.9</v>
      </c>
      <c r="S286" s="353">
        <f t="shared" si="61"/>
        <v>0</v>
      </c>
      <c r="T286" s="430">
        <v>49</v>
      </c>
      <c r="U286" s="20">
        <f t="shared" si="73"/>
        <v>0</v>
      </c>
      <c r="V286" s="52">
        <f t="shared" si="76"/>
        <v>0</v>
      </c>
      <c r="W286" s="18">
        <v>49</v>
      </c>
      <c r="X286" s="10">
        <v>1</v>
      </c>
    </row>
    <row r="287" spans="1:24" ht="26.25" hidden="1" customHeight="1" x14ac:dyDescent="0.25">
      <c r="B287" s="11"/>
      <c r="C287" s="6" t="s">
        <v>18</v>
      </c>
      <c r="D287" s="23" t="s">
        <v>40</v>
      </c>
      <c r="E287" s="107" t="s">
        <v>315</v>
      </c>
      <c r="F287" s="210"/>
      <c r="G287" s="14"/>
      <c r="H287" s="39"/>
      <c r="I287" s="309">
        <v>0</v>
      </c>
      <c r="J287" s="39">
        <f t="shared" si="72"/>
        <v>0</v>
      </c>
      <c r="K287" s="309"/>
      <c r="L287" s="94"/>
      <c r="M287" s="140"/>
      <c r="N287" s="513"/>
      <c r="O287" s="497">
        <f t="shared" si="77"/>
        <v>0</v>
      </c>
      <c r="P287" s="264" t="str">
        <f t="shared" si="66"/>
        <v>Д20х3</v>
      </c>
      <c r="Q287" s="377">
        <f t="shared" si="75"/>
        <v>0</v>
      </c>
      <c r="R287" s="324">
        <v>0</v>
      </c>
      <c r="S287" s="353">
        <f t="shared" si="61"/>
        <v>0</v>
      </c>
      <c r="T287" s="70">
        <v>10</v>
      </c>
      <c r="U287" s="20">
        <f t="shared" si="73"/>
        <v>0</v>
      </c>
      <c r="V287" s="52">
        <f t="shared" si="76"/>
        <v>0</v>
      </c>
      <c r="W287" s="20">
        <v>10</v>
      </c>
      <c r="X287" s="10">
        <v>1</v>
      </c>
    </row>
    <row r="288" spans="1:24" ht="26.25" hidden="1" customHeight="1" x14ac:dyDescent="0.25">
      <c r="B288" s="11"/>
      <c r="C288" s="6" t="s">
        <v>18</v>
      </c>
      <c r="D288" s="23" t="s">
        <v>40</v>
      </c>
      <c r="E288" s="1" t="s">
        <v>776</v>
      </c>
      <c r="F288" s="210">
        <v>1126</v>
      </c>
      <c r="G288" s="12" t="s">
        <v>0</v>
      </c>
      <c r="H288" s="39"/>
      <c r="I288" s="360">
        <v>0</v>
      </c>
      <c r="J288" s="39">
        <f t="shared" si="72"/>
        <v>0</v>
      </c>
      <c r="K288" s="309">
        <v>4</v>
      </c>
      <c r="L288" s="363"/>
      <c r="M288" s="140"/>
      <c r="N288" s="39"/>
      <c r="O288" s="309">
        <f t="shared" si="77"/>
        <v>0</v>
      </c>
      <c r="P288" s="51" t="str">
        <f t="shared" si="66"/>
        <v>0861-8569.05 (Д20х25 с резьбой)</v>
      </c>
      <c r="Q288" s="377">
        <f t="shared" si="75"/>
        <v>71.760000000000005</v>
      </c>
      <c r="R288" s="331">
        <v>59.8</v>
      </c>
      <c r="S288" s="353">
        <f t="shared" si="61"/>
        <v>0</v>
      </c>
      <c r="T288" s="148"/>
      <c r="U288" s="20">
        <f t="shared" si="73"/>
        <v>0</v>
      </c>
      <c r="V288" s="52">
        <f t="shared" si="76"/>
        <v>0</v>
      </c>
      <c r="W288" s="20"/>
    </row>
    <row r="289" spans="2:24" ht="31.5" hidden="1" customHeight="1" x14ac:dyDescent="0.25">
      <c r="B289" s="11"/>
      <c r="C289" s="6" t="s">
        <v>18</v>
      </c>
      <c r="D289" s="23" t="s">
        <v>40</v>
      </c>
      <c r="E289" s="107" t="s">
        <v>586</v>
      </c>
      <c r="F289" s="210"/>
      <c r="G289" s="13"/>
      <c r="H289" s="39"/>
      <c r="I289" s="309">
        <v>0</v>
      </c>
      <c r="J289" s="39">
        <f t="shared" si="72"/>
        <v>0</v>
      </c>
      <c r="K289" s="309">
        <f t="shared" ref="K289:K294" si="78">Q289/1.4</f>
        <v>4.16</v>
      </c>
      <c r="L289" s="94"/>
      <c r="M289" s="140"/>
      <c r="N289" s="489"/>
      <c r="O289" s="490">
        <f t="shared" si="77"/>
        <v>0</v>
      </c>
      <c r="P289" s="262" t="str">
        <f t="shared" si="66"/>
        <v>Д22х25((сост.из 3 штук)</v>
      </c>
      <c r="Q289" s="377">
        <f t="shared" si="75"/>
        <v>5.82</v>
      </c>
      <c r="R289" s="323">
        <v>4.8499999999999996</v>
      </c>
      <c r="S289" s="353">
        <f t="shared" si="61"/>
        <v>0</v>
      </c>
      <c r="T289" s="70">
        <v>12</v>
      </c>
      <c r="U289" s="20">
        <f t="shared" si="73"/>
        <v>0</v>
      </c>
      <c r="V289" s="52">
        <f t="shared" si="76"/>
        <v>0</v>
      </c>
      <c r="W289" s="20">
        <v>12</v>
      </c>
      <c r="X289" s="10">
        <v>1</v>
      </c>
    </row>
    <row r="290" spans="2:24" ht="34.5" hidden="1" customHeight="1" x14ac:dyDescent="0.25">
      <c r="B290" s="11"/>
      <c r="C290" s="6" t="s">
        <v>18</v>
      </c>
      <c r="D290" s="23" t="s">
        <v>40</v>
      </c>
      <c r="E290" s="107" t="s">
        <v>659</v>
      </c>
      <c r="F290" s="210"/>
      <c r="G290" s="13"/>
      <c r="H290" s="39"/>
      <c r="I290" s="309">
        <v>0</v>
      </c>
      <c r="J290" s="39">
        <f t="shared" si="72"/>
        <v>0</v>
      </c>
      <c r="K290" s="309">
        <f t="shared" si="78"/>
        <v>3.17</v>
      </c>
      <c r="L290" s="156" t="s">
        <v>477</v>
      </c>
      <c r="M290" s="140"/>
      <c r="N290" s="39"/>
      <c r="O290" s="360">
        <f t="shared" si="77"/>
        <v>0</v>
      </c>
      <c r="P290" s="260" t="str">
        <f t="shared" si="66"/>
        <v>П50х23х52 (ИНТЕГРАЛ)</v>
      </c>
      <c r="Q290" s="377">
        <f t="shared" si="75"/>
        <v>4.4400000000000004</v>
      </c>
      <c r="R290" s="323">
        <v>3.7</v>
      </c>
      <c r="S290" s="353">
        <f t="shared" si="61"/>
        <v>0</v>
      </c>
      <c r="T290" s="70">
        <v>6</v>
      </c>
      <c r="U290" s="20">
        <f t="shared" si="73"/>
        <v>0</v>
      </c>
      <c r="V290" s="52">
        <f t="shared" si="76"/>
        <v>0</v>
      </c>
      <c r="W290" s="20">
        <v>6</v>
      </c>
      <c r="X290" s="10">
        <v>1</v>
      </c>
    </row>
    <row r="291" spans="2:24" ht="26.25" hidden="1" customHeight="1" x14ac:dyDescent="0.25">
      <c r="B291" s="11"/>
      <c r="C291" s="6" t="s">
        <v>18</v>
      </c>
      <c r="D291" s="23" t="s">
        <v>40</v>
      </c>
      <c r="E291" s="107" t="s">
        <v>441</v>
      </c>
      <c r="F291" s="210"/>
      <c r="G291" s="13"/>
      <c r="H291" s="39"/>
      <c r="I291" s="309">
        <v>0</v>
      </c>
      <c r="J291" s="39">
        <f t="shared" si="72"/>
        <v>0</v>
      </c>
      <c r="K291" s="309">
        <f t="shared" si="78"/>
        <v>0</v>
      </c>
      <c r="L291" s="94"/>
      <c r="M291" s="140"/>
      <c r="N291" s="39"/>
      <c r="O291" s="309">
        <f t="shared" si="77"/>
        <v>0</v>
      </c>
      <c r="P291" s="235" t="str">
        <f t="shared" si="66"/>
        <v>Д25х15</v>
      </c>
      <c r="Q291" s="377">
        <f t="shared" si="75"/>
        <v>0</v>
      </c>
      <c r="R291" s="331">
        <v>0</v>
      </c>
      <c r="S291" s="353">
        <f t="shared" si="61"/>
        <v>0</v>
      </c>
      <c r="T291" s="70">
        <v>3</v>
      </c>
      <c r="U291" s="20">
        <f t="shared" si="73"/>
        <v>0</v>
      </c>
      <c r="V291" s="52">
        <f t="shared" si="76"/>
        <v>0</v>
      </c>
      <c r="W291" s="20">
        <v>3</v>
      </c>
      <c r="X291" s="10">
        <v>1</v>
      </c>
    </row>
    <row r="292" spans="2:24" ht="26.25" hidden="1" customHeight="1" x14ac:dyDescent="0.25">
      <c r="B292" s="11"/>
      <c r="C292" s="6" t="s">
        <v>18</v>
      </c>
      <c r="D292" s="23" t="s">
        <v>40</v>
      </c>
      <c r="E292" s="107" t="s">
        <v>636</v>
      </c>
      <c r="F292" s="210"/>
      <c r="G292" s="13"/>
      <c r="H292" s="39"/>
      <c r="I292" s="309"/>
      <c r="J292" s="39">
        <f t="shared" si="72"/>
        <v>0</v>
      </c>
      <c r="K292" s="309">
        <f t="shared" si="78"/>
        <v>0</v>
      </c>
      <c r="L292" s="94"/>
      <c r="M292" s="140"/>
      <c r="N292" s="39"/>
      <c r="O292" s="309"/>
      <c r="P292" s="235" t="str">
        <f t="shared" si="66"/>
        <v>Д25х5</v>
      </c>
      <c r="Q292" s="377">
        <f t="shared" si="75"/>
        <v>0</v>
      </c>
      <c r="R292" s="331"/>
      <c r="S292" s="353">
        <f t="shared" si="61"/>
        <v>0</v>
      </c>
      <c r="T292" s="70">
        <v>20</v>
      </c>
      <c r="U292" s="20">
        <f t="shared" si="73"/>
        <v>0</v>
      </c>
      <c r="V292" s="52">
        <f t="shared" si="76"/>
        <v>0</v>
      </c>
      <c r="W292" s="444">
        <v>20</v>
      </c>
    </row>
    <row r="293" spans="2:24" ht="31.5" customHeight="1" x14ac:dyDescent="0.25">
      <c r="B293" s="11">
        <v>111</v>
      </c>
      <c r="C293" s="6" t="s">
        <v>18</v>
      </c>
      <c r="D293" s="23" t="s">
        <v>40</v>
      </c>
      <c r="E293" s="107" t="s">
        <v>960</v>
      </c>
      <c r="F293" s="210">
        <v>1515</v>
      </c>
      <c r="G293" s="13"/>
      <c r="H293" s="39"/>
      <c r="I293" s="309"/>
      <c r="J293" s="39">
        <f t="shared" si="72"/>
        <v>5</v>
      </c>
      <c r="K293" s="309">
        <f t="shared" si="78"/>
        <v>38.57</v>
      </c>
      <c r="L293" s="94"/>
      <c r="M293" s="140">
        <v>5</v>
      </c>
      <c r="N293" s="39"/>
      <c r="O293" s="309"/>
      <c r="P293" s="235" t="str">
        <f t="shared" si="66"/>
        <v>Д45х15</v>
      </c>
      <c r="Q293" s="377">
        <f t="shared" si="75"/>
        <v>54</v>
      </c>
      <c r="R293" s="331">
        <v>45</v>
      </c>
      <c r="S293" s="353">
        <f t="shared" si="61"/>
        <v>225</v>
      </c>
      <c r="T293" s="70"/>
      <c r="U293" s="20">
        <f t="shared" si="73"/>
        <v>5</v>
      </c>
      <c r="V293" s="52"/>
      <c r="W293" s="20"/>
    </row>
    <row r="294" spans="2:24" ht="26.25" hidden="1" customHeight="1" x14ac:dyDescent="0.25">
      <c r="B294" s="15"/>
      <c r="C294" s="6" t="s">
        <v>18</v>
      </c>
      <c r="D294" s="23" t="s">
        <v>40</v>
      </c>
      <c r="E294" s="104" t="s">
        <v>455</v>
      </c>
      <c r="F294" s="393" t="s">
        <v>189</v>
      </c>
      <c r="G294" s="19" t="s">
        <v>0</v>
      </c>
      <c r="H294" s="39"/>
      <c r="I294" s="309">
        <v>0</v>
      </c>
      <c r="J294" s="39">
        <f t="shared" si="72"/>
        <v>0</v>
      </c>
      <c r="K294" s="309">
        <f t="shared" si="78"/>
        <v>12.86</v>
      </c>
      <c r="L294" s="117" t="s">
        <v>262</v>
      </c>
      <c r="M294" s="140"/>
      <c r="N294" s="39"/>
      <c r="O294" s="309">
        <f>K294*N294</f>
        <v>0</v>
      </c>
      <c r="P294" s="235" t="str">
        <f t="shared" si="66"/>
        <v>Д30х10</v>
      </c>
      <c r="Q294" s="377">
        <f>R294*1.2</f>
        <v>18</v>
      </c>
      <c r="R294" s="339">
        <v>15</v>
      </c>
      <c r="S294" s="353">
        <f t="shared" si="61"/>
        <v>0</v>
      </c>
      <c r="T294" s="147">
        <f>36*4+45</f>
        <v>189</v>
      </c>
      <c r="U294" s="20">
        <f t="shared" si="73"/>
        <v>0</v>
      </c>
      <c r="V294" s="52">
        <f>W294-T294+U294</f>
        <v>411</v>
      </c>
      <c r="W294" s="848">
        <v>600</v>
      </c>
    </row>
    <row r="295" spans="2:24" ht="26.25" hidden="1" customHeight="1" x14ac:dyDescent="0.25">
      <c r="B295" s="15"/>
      <c r="C295" s="6" t="s">
        <v>18</v>
      </c>
      <c r="D295" s="23" t="s">
        <v>40</v>
      </c>
      <c r="E295" s="104" t="s">
        <v>730</v>
      </c>
      <c r="F295" s="393"/>
      <c r="G295" s="19"/>
      <c r="H295" s="39"/>
      <c r="I295" s="309"/>
      <c r="J295" s="39">
        <f t="shared" si="72"/>
        <v>0</v>
      </c>
      <c r="K295" s="309"/>
      <c r="L295" s="117"/>
      <c r="M295" s="140"/>
      <c r="N295" s="39"/>
      <c r="O295" s="309"/>
      <c r="P295" s="263" t="str">
        <f t="shared" si="66"/>
        <v>Д20х20</v>
      </c>
      <c r="Q295" s="377"/>
      <c r="R295" s="339"/>
      <c r="S295" s="353">
        <f t="shared" ref="S295:S358" si="79">R295*J295</f>
        <v>0</v>
      </c>
      <c r="T295" s="70">
        <v>50</v>
      </c>
      <c r="U295" s="20">
        <f t="shared" si="73"/>
        <v>0</v>
      </c>
      <c r="V295" s="52">
        <f>W295-T295+U295</f>
        <v>0</v>
      </c>
      <c r="W295" s="20">
        <v>50</v>
      </c>
      <c r="X295" s="10">
        <v>1</v>
      </c>
    </row>
    <row r="296" spans="2:24" ht="26.25" hidden="1" customHeight="1" x14ac:dyDescent="0.25">
      <c r="B296" s="15"/>
      <c r="C296" s="6" t="s">
        <v>18</v>
      </c>
      <c r="D296" s="23" t="s">
        <v>40</v>
      </c>
      <c r="E296" s="104" t="s">
        <v>525</v>
      </c>
      <c r="F296" s="393"/>
      <c r="G296" s="19"/>
      <c r="H296" s="39"/>
      <c r="I296" s="309">
        <v>0</v>
      </c>
      <c r="J296" s="39">
        <f t="shared" si="72"/>
        <v>0</v>
      </c>
      <c r="K296" s="309"/>
      <c r="L296" s="117"/>
      <c r="M296" s="140"/>
      <c r="N296" s="39"/>
      <c r="O296" s="309">
        <f>K296*N296</f>
        <v>0</v>
      </c>
      <c r="P296" s="263" t="str">
        <f t="shared" si="66"/>
        <v>Д40х5</v>
      </c>
      <c r="Q296" s="377">
        <f>R296*1.2</f>
        <v>0</v>
      </c>
      <c r="R296" s="339">
        <v>0</v>
      </c>
      <c r="S296" s="353">
        <f t="shared" si="79"/>
        <v>0</v>
      </c>
      <c r="T296" s="70">
        <v>3</v>
      </c>
      <c r="U296" s="20">
        <f t="shared" si="73"/>
        <v>0</v>
      </c>
      <c r="V296" s="52">
        <f>W296-T296+U296</f>
        <v>0</v>
      </c>
      <c r="W296" s="20">
        <v>3</v>
      </c>
      <c r="X296" s="10">
        <v>1</v>
      </c>
    </row>
    <row r="297" spans="2:24" ht="26.25" hidden="1" customHeight="1" x14ac:dyDescent="0.25">
      <c r="B297" s="15"/>
      <c r="C297" s="6" t="s">
        <v>18</v>
      </c>
      <c r="D297" s="23" t="s">
        <v>40</v>
      </c>
      <c r="E297" s="104" t="s">
        <v>298</v>
      </c>
      <c r="F297" s="393"/>
      <c r="G297" s="19"/>
      <c r="H297" s="39"/>
      <c r="I297" s="360"/>
      <c r="J297" s="39"/>
      <c r="K297" s="309"/>
      <c r="L297" s="117"/>
      <c r="M297" s="140"/>
      <c r="N297" s="39"/>
      <c r="O297" s="360"/>
      <c r="P297" s="287" t="str">
        <f t="shared" si="66"/>
        <v>Д40х10</v>
      </c>
      <c r="Q297" s="377"/>
      <c r="R297" s="339"/>
      <c r="S297" s="353">
        <f t="shared" si="79"/>
        <v>0</v>
      </c>
      <c r="T297" s="70">
        <v>3</v>
      </c>
      <c r="U297" s="20"/>
      <c r="V297" s="52"/>
      <c r="W297" s="20">
        <v>3</v>
      </c>
      <c r="X297" s="10">
        <v>1</v>
      </c>
    </row>
    <row r="298" spans="2:24" ht="26.25" customHeight="1" x14ac:dyDescent="0.25">
      <c r="B298" s="15">
        <v>112</v>
      </c>
      <c r="C298" s="6" t="s">
        <v>18</v>
      </c>
      <c r="D298" s="23" t="s">
        <v>40</v>
      </c>
      <c r="E298" s="104" t="s">
        <v>673</v>
      </c>
      <c r="F298" s="393" t="s">
        <v>875</v>
      </c>
      <c r="G298" s="826"/>
      <c r="H298" s="509">
        <v>200</v>
      </c>
      <c r="I298" s="544">
        <v>514</v>
      </c>
      <c r="J298" s="39">
        <f t="shared" ref="J298:J329" si="80">M298+N298-H298</f>
        <v>0</v>
      </c>
      <c r="K298" s="309">
        <f>Q298/1.4</f>
        <v>2.57</v>
      </c>
      <c r="L298" s="155" t="s">
        <v>897</v>
      </c>
      <c r="M298" s="140"/>
      <c r="N298" s="39">
        <v>200</v>
      </c>
      <c r="O298" s="309">
        <f t="shared" ref="O298:O309" si="81">K298*N298</f>
        <v>514</v>
      </c>
      <c r="P298" s="287" t="str">
        <f t="shared" si="66"/>
        <v>П15х4,5х4</v>
      </c>
      <c r="Q298" s="377">
        <f>1.2*R298</f>
        <v>3.6</v>
      </c>
      <c r="R298" s="339">
        <v>3</v>
      </c>
      <c r="S298" s="353">
        <f t="shared" si="79"/>
        <v>0</v>
      </c>
      <c r="T298" s="20">
        <f>85+300</f>
        <v>385</v>
      </c>
      <c r="U298" s="20"/>
      <c r="V298" s="52"/>
      <c r="W298" s="20">
        <f>85</f>
        <v>85</v>
      </c>
      <c r="X298" s="10">
        <v>1</v>
      </c>
    </row>
    <row r="299" spans="2:24" ht="26.25" hidden="1" customHeight="1" x14ac:dyDescent="0.25">
      <c r="B299" s="15"/>
      <c r="C299" s="6" t="s">
        <v>18</v>
      </c>
      <c r="D299" s="23" t="s">
        <v>40</v>
      </c>
      <c r="E299" s="104" t="s">
        <v>587</v>
      </c>
      <c r="F299" s="208">
        <v>1384</v>
      </c>
      <c r="G299" s="48" t="s">
        <v>0</v>
      </c>
      <c r="H299" s="39"/>
      <c r="I299" s="360">
        <v>0</v>
      </c>
      <c r="J299" s="39">
        <f t="shared" si="80"/>
        <v>0</v>
      </c>
      <c r="K299" s="309">
        <f>Q299/1.4</f>
        <v>18.86</v>
      </c>
      <c r="L299" s="94" t="s">
        <v>590</v>
      </c>
      <c r="M299" s="140"/>
      <c r="N299" s="39"/>
      <c r="O299" s="360">
        <f t="shared" si="81"/>
        <v>0</v>
      </c>
      <c r="P299" s="259" t="str">
        <f t="shared" si="66"/>
        <v>Д27х5</v>
      </c>
      <c r="Q299" s="377">
        <f t="shared" ref="Q299:Q309" si="82">R299*1.2</f>
        <v>26.4</v>
      </c>
      <c r="R299" s="319">
        <v>22</v>
      </c>
      <c r="S299" s="353">
        <f t="shared" si="79"/>
        <v>0</v>
      </c>
      <c r="T299" s="70">
        <v>13</v>
      </c>
      <c r="U299" s="20">
        <f t="shared" ref="U299:U330" si="83">M299</f>
        <v>0</v>
      </c>
      <c r="V299" s="52">
        <f t="shared" ref="V299:V330" si="84">W299-T299+U299</f>
        <v>0</v>
      </c>
      <c r="W299" s="20">
        <v>13</v>
      </c>
      <c r="X299" s="10">
        <v>1</v>
      </c>
    </row>
    <row r="300" spans="2:24" ht="26.25" hidden="1" customHeight="1" x14ac:dyDescent="0.25">
      <c r="B300" s="15"/>
      <c r="C300" s="6" t="s">
        <v>18</v>
      </c>
      <c r="D300" s="23" t="s">
        <v>40</v>
      </c>
      <c r="E300" s="104" t="s">
        <v>563</v>
      </c>
      <c r="F300" s="208"/>
      <c r="G300" s="48"/>
      <c r="H300" s="39"/>
      <c r="I300" s="360">
        <v>0</v>
      </c>
      <c r="J300" s="39">
        <f t="shared" si="80"/>
        <v>0</v>
      </c>
      <c r="K300" s="309"/>
      <c r="L300" s="94"/>
      <c r="M300" s="140"/>
      <c r="N300" s="39"/>
      <c r="O300" s="468">
        <f t="shared" si="81"/>
        <v>0</v>
      </c>
      <c r="P300" s="266" t="str">
        <f t="shared" si="66"/>
        <v>Д8х3(5)х2</v>
      </c>
      <c r="Q300" s="377">
        <f t="shared" si="82"/>
        <v>0.32</v>
      </c>
      <c r="R300" s="326">
        <v>0.27</v>
      </c>
      <c r="S300" s="353">
        <f t="shared" si="79"/>
        <v>0</v>
      </c>
      <c r="T300" s="70">
        <v>280</v>
      </c>
      <c r="U300" s="20">
        <f t="shared" si="83"/>
        <v>0</v>
      </c>
      <c r="V300" s="52">
        <f t="shared" si="84"/>
        <v>-108</v>
      </c>
      <c r="W300" s="444">
        <v>172</v>
      </c>
    </row>
    <row r="301" spans="2:24" ht="26.25" hidden="1" customHeight="1" x14ac:dyDescent="0.25">
      <c r="B301" s="11"/>
      <c r="C301" s="6" t="s">
        <v>18</v>
      </c>
      <c r="D301" s="23" t="s">
        <v>40</v>
      </c>
      <c r="E301" s="286" t="s">
        <v>633</v>
      </c>
      <c r="F301" s="208">
        <v>1415</v>
      </c>
      <c r="G301" s="48"/>
      <c r="H301" s="39"/>
      <c r="I301" s="360">
        <v>0</v>
      </c>
      <c r="J301" s="39">
        <f t="shared" si="80"/>
        <v>0</v>
      </c>
      <c r="K301" s="309">
        <f t="shared" ref="K301:K309" si="85">Q301/1.4</f>
        <v>3.43</v>
      </c>
      <c r="L301" s="215" t="s">
        <v>654</v>
      </c>
      <c r="M301" s="140"/>
      <c r="N301" s="503"/>
      <c r="O301" s="309">
        <f t="shared" si="81"/>
        <v>0</v>
      </c>
      <c r="P301" s="235" t="str">
        <f t="shared" si="66"/>
        <v>П25х8х6</v>
      </c>
      <c r="Q301" s="377">
        <f t="shared" si="82"/>
        <v>4.8</v>
      </c>
      <c r="R301" s="326">
        <v>4</v>
      </c>
      <c r="S301" s="353">
        <f t="shared" si="79"/>
        <v>0</v>
      </c>
      <c r="T301" s="20"/>
      <c r="U301" s="20">
        <f t="shared" si="83"/>
        <v>0</v>
      </c>
      <c r="V301" s="52">
        <f t="shared" si="84"/>
        <v>0</v>
      </c>
      <c r="W301" s="20"/>
    </row>
    <row r="302" spans="2:24" ht="26.25" hidden="1" customHeight="1" x14ac:dyDescent="0.25">
      <c r="B302" s="11"/>
      <c r="C302" s="6" t="s">
        <v>18</v>
      </c>
      <c r="D302" s="23" t="s">
        <v>40</v>
      </c>
      <c r="E302" s="87" t="s">
        <v>618</v>
      </c>
      <c r="F302" s="208">
        <v>1397</v>
      </c>
      <c r="G302" s="48"/>
      <c r="H302" s="39"/>
      <c r="I302" s="360">
        <v>0</v>
      </c>
      <c r="J302" s="39">
        <f t="shared" si="80"/>
        <v>0</v>
      </c>
      <c r="K302" s="309">
        <f t="shared" si="85"/>
        <v>1.49</v>
      </c>
      <c r="L302" s="215" t="s">
        <v>629</v>
      </c>
      <c r="M302" s="140"/>
      <c r="N302" s="39"/>
      <c r="O302" s="467">
        <f t="shared" si="81"/>
        <v>0</v>
      </c>
      <c r="P302" s="51" t="str">
        <f t="shared" si="66"/>
        <v>П5х5х6</v>
      </c>
      <c r="Q302" s="377">
        <f t="shared" si="82"/>
        <v>2.09</v>
      </c>
      <c r="R302" s="326">
        <v>1.74</v>
      </c>
      <c r="S302" s="353">
        <f t="shared" si="79"/>
        <v>0</v>
      </c>
      <c r="T302" s="20"/>
      <c r="U302" s="20">
        <f t="shared" si="83"/>
        <v>0</v>
      </c>
      <c r="V302" s="52">
        <f t="shared" si="84"/>
        <v>0</v>
      </c>
      <c r="W302" s="20"/>
    </row>
    <row r="303" spans="2:24" ht="26.25" hidden="1" customHeight="1" x14ac:dyDescent="0.25">
      <c r="B303" s="11"/>
      <c r="C303" s="6" t="s">
        <v>18</v>
      </c>
      <c r="D303" s="23" t="s">
        <v>40</v>
      </c>
      <c r="E303" s="87" t="s">
        <v>790</v>
      </c>
      <c r="F303" s="208">
        <v>1406</v>
      </c>
      <c r="G303" s="48"/>
      <c r="H303" s="39"/>
      <c r="I303" s="360">
        <v>0</v>
      </c>
      <c r="J303" s="39">
        <f t="shared" si="80"/>
        <v>0</v>
      </c>
      <c r="K303" s="309">
        <f t="shared" si="85"/>
        <v>1.71</v>
      </c>
      <c r="L303" s="215" t="s">
        <v>630</v>
      </c>
      <c r="M303" s="140"/>
      <c r="N303" s="513"/>
      <c r="O303" s="468">
        <f t="shared" si="81"/>
        <v>0</v>
      </c>
      <c r="P303" s="442" t="str">
        <f t="shared" si="66"/>
        <v>ПС30х16х3</v>
      </c>
      <c r="Q303" s="377">
        <f t="shared" si="82"/>
        <v>2.4</v>
      </c>
      <c r="R303" s="326">
        <v>2</v>
      </c>
      <c r="S303" s="353">
        <f t="shared" si="79"/>
        <v>0</v>
      </c>
      <c r="T303" s="70">
        <v>160</v>
      </c>
      <c r="U303" s="20">
        <f t="shared" si="83"/>
        <v>0</v>
      </c>
      <c r="V303" s="52">
        <f t="shared" si="84"/>
        <v>0</v>
      </c>
      <c r="W303" s="20">
        <v>160</v>
      </c>
      <c r="X303" s="10">
        <v>1</v>
      </c>
    </row>
    <row r="304" spans="2:24" ht="44.25" customHeight="1" x14ac:dyDescent="0.25">
      <c r="B304" s="11">
        <v>113</v>
      </c>
      <c r="C304" s="6" t="s">
        <v>18</v>
      </c>
      <c r="D304" s="23" t="s">
        <v>40</v>
      </c>
      <c r="E304" s="1" t="s">
        <v>497</v>
      </c>
      <c r="F304" s="383" t="s">
        <v>435</v>
      </c>
      <c r="G304" s="12" t="s">
        <v>0</v>
      </c>
      <c r="H304" s="39"/>
      <c r="I304" s="360">
        <v>0</v>
      </c>
      <c r="J304" s="39">
        <f t="shared" si="80"/>
        <v>1400</v>
      </c>
      <c r="K304" s="309">
        <f t="shared" si="85"/>
        <v>1.63</v>
      </c>
      <c r="L304" s="218" t="s">
        <v>944</v>
      </c>
      <c r="M304" s="141">
        <v>700</v>
      </c>
      <c r="N304" s="39">
        <v>700</v>
      </c>
      <c r="O304" s="309">
        <f t="shared" si="81"/>
        <v>1141</v>
      </c>
      <c r="P304" s="51" t="str">
        <f t="shared" si="66"/>
        <v>К11,2х7х15</v>
      </c>
      <c r="Q304" s="306">
        <f t="shared" si="82"/>
        <v>2.2799999999999998</v>
      </c>
      <c r="R304" s="326">
        <v>1.9</v>
      </c>
      <c r="S304" s="353">
        <f t="shared" si="79"/>
        <v>2660</v>
      </c>
      <c r="T304" s="148">
        <f>13*210+203</f>
        <v>2933</v>
      </c>
      <c r="U304" s="20">
        <f t="shared" si="83"/>
        <v>700</v>
      </c>
      <c r="V304" s="52">
        <f t="shared" si="84"/>
        <v>0</v>
      </c>
      <c r="W304" s="444">
        <f>10*210+133</f>
        <v>2233</v>
      </c>
    </row>
    <row r="305" spans="1:40" ht="26.25" hidden="1" customHeight="1" x14ac:dyDescent="0.25">
      <c r="B305" s="15"/>
      <c r="C305" s="6" t="s">
        <v>18</v>
      </c>
      <c r="D305" s="23" t="s">
        <v>40</v>
      </c>
      <c r="E305" s="104" t="s">
        <v>634</v>
      </c>
      <c r="F305" s="208">
        <v>380</v>
      </c>
      <c r="G305" s="48" t="s">
        <v>0</v>
      </c>
      <c r="H305" s="39">
        <v>0</v>
      </c>
      <c r="I305" s="309">
        <v>0</v>
      </c>
      <c r="J305" s="39">
        <f t="shared" si="80"/>
        <v>0</v>
      </c>
      <c r="K305" s="309">
        <f t="shared" si="85"/>
        <v>24.86</v>
      </c>
      <c r="L305" s="156" t="s">
        <v>655</v>
      </c>
      <c r="M305" s="140"/>
      <c r="N305" s="556">
        <v>0</v>
      </c>
      <c r="O305" s="490">
        <f t="shared" si="81"/>
        <v>0</v>
      </c>
      <c r="P305" s="264" t="str">
        <f t="shared" si="66"/>
        <v>Д11х7х62</v>
      </c>
      <c r="Q305" s="377">
        <f t="shared" si="82"/>
        <v>34.799999999999997</v>
      </c>
      <c r="R305" s="319">
        <v>29</v>
      </c>
      <c r="S305" s="353">
        <f t="shared" si="79"/>
        <v>0</v>
      </c>
      <c r="T305" s="20"/>
      <c r="U305" s="20">
        <f t="shared" si="83"/>
        <v>0</v>
      </c>
      <c r="V305" s="52">
        <f t="shared" si="84"/>
        <v>0</v>
      </c>
      <c r="W305" s="20"/>
    </row>
    <row r="306" spans="1:40" ht="26.25" hidden="1" customHeight="1" x14ac:dyDescent="0.25">
      <c r="B306" s="19"/>
      <c r="C306" s="6" t="s">
        <v>18</v>
      </c>
      <c r="D306" s="23" t="s">
        <v>40</v>
      </c>
      <c r="E306" s="106" t="s">
        <v>157</v>
      </c>
      <c r="F306" s="385" t="s">
        <v>218</v>
      </c>
      <c r="G306" s="48" t="s">
        <v>0</v>
      </c>
      <c r="H306" s="39"/>
      <c r="I306" s="309">
        <v>0</v>
      </c>
      <c r="J306" s="39">
        <f t="shared" si="80"/>
        <v>0</v>
      </c>
      <c r="K306" s="309">
        <f t="shared" si="85"/>
        <v>7.29</v>
      </c>
      <c r="L306" s="146" t="s">
        <v>609</v>
      </c>
      <c r="M306" s="141"/>
      <c r="N306" s="39"/>
      <c r="O306" s="507">
        <f t="shared" si="81"/>
        <v>0</v>
      </c>
      <c r="P306" s="442" t="str">
        <f t="shared" si="66"/>
        <v>К12х3х4,5</v>
      </c>
      <c r="Q306" s="377">
        <f t="shared" si="82"/>
        <v>10.199999999999999</v>
      </c>
      <c r="R306" s="326">
        <v>8.5</v>
      </c>
      <c r="S306" s="353">
        <f t="shared" si="79"/>
        <v>0</v>
      </c>
      <c r="T306" s="430">
        <f>551-14</f>
        <v>537</v>
      </c>
      <c r="U306" s="20">
        <f t="shared" si="83"/>
        <v>0</v>
      </c>
      <c r="V306" s="52">
        <f t="shared" si="84"/>
        <v>0</v>
      </c>
      <c r="W306" s="18">
        <f>551-14</f>
        <v>537</v>
      </c>
      <c r="X306" s="10">
        <v>1</v>
      </c>
    </row>
    <row r="307" spans="1:40" ht="26.25" hidden="1" customHeight="1" x14ac:dyDescent="0.25">
      <c r="B307" s="19"/>
      <c r="C307" s="6" t="s">
        <v>18</v>
      </c>
      <c r="D307" s="23" t="s">
        <v>40</v>
      </c>
      <c r="E307" s="106" t="s">
        <v>299</v>
      </c>
      <c r="F307" s="384">
        <v>876</v>
      </c>
      <c r="G307" s="48"/>
      <c r="H307" s="39"/>
      <c r="I307" s="360">
        <v>0</v>
      </c>
      <c r="J307" s="39">
        <f t="shared" si="80"/>
        <v>0</v>
      </c>
      <c r="K307" s="309">
        <f t="shared" si="85"/>
        <v>27</v>
      </c>
      <c r="L307" s="203" t="s">
        <v>748</v>
      </c>
      <c r="M307" s="141"/>
      <c r="N307" s="39"/>
      <c r="O307" s="309">
        <f t="shared" si="81"/>
        <v>0</v>
      </c>
      <c r="P307" s="51" t="str">
        <f t="shared" si="66"/>
        <v>К12,5х5,2х7</v>
      </c>
      <c r="Q307" s="377">
        <f t="shared" si="82"/>
        <v>37.799999999999997</v>
      </c>
      <c r="R307" s="319">
        <v>31.5</v>
      </c>
      <c r="S307" s="353">
        <f t="shared" si="79"/>
        <v>0</v>
      </c>
      <c r="T307" s="70">
        <v>24</v>
      </c>
      <c r="U307" s="20">
        <f t="shared" si="83"/>
        <v>0</v>
      </c>
      <c r="V307" s="52">
        <f t="shared" si="84"/>
        <v>0</v>
      </c>
      <c r="W307" s="20">
        <v>24</v>
      </c>
      <c r="X307" s="10">
        <v>1</v>
      </c>
    </row>
    <row r="308" spans="1:40" s="4" customFormat="1" ht="26.25" hidden="1" customHeight="1" x14ac:dyDescent="0.25">
      <c r="A308" s="10"/>
      <c r="B308" s="15"/>
      <c r="C308" s="6" t="s">
        <v>18</v>
      </c>
      <c r="D308" s="23" t="s">
        <v>40</v>
      </c>
      <c r="E308" s="106" t="s">
        <v>291</v>
      </c>
      <c r="F308" s="395">
        <v>1307</v>
      </c>
      <c r="G308" s="48" t="s">
        <v>0</v>
      </c>
      <c r="H308" s="39">
        <v>0</v>
      </c>
      <c r="I308" s="360">
        <v>0</v>
      </c>
      <c r="J308" s="39">
        <f t="shared" si="80"/>
        <v>0</v>
      </c>
      <c r="K308" s="309">
        <f t="shared" si="85"/>
        <v>1.71</v>
      </c>
      <c r="L308" s="215" t="s">
        <v>529</v>
      </c>
      <c r="M308" s="140"/>
      <c r="N308" s="513">
        <v>0</v>
      </c>
      <c r="O308" s="469">
        <f t="shared" si="81"/>
        <v>0</v>
      </c>
      <c r="P308" s="264" t="str">
        <f t="shared" si="66"/>
        <v>К15х5х5</v>
      </c>
      <c r="Q308" s="377">
        <f t="shared" si="82"/>
        <v>2.4</v>
      </c>
      <c r="R308" s="330">
        <v>2</v>
      </c>
      <c r="S308" s="353">
        <f t="shared" si="79"/>
        <v>0</v>
      </c>
      <c r="T308" s="70">
        <v>452</v>
      </c>
      <c r="U308" s="20">
        <f t="shared" si="83"/>
        <v>0</v>
      </c>
      <c r="V308" s="52">
        <f t="shared" si="84"/>
        <v>0</v>
      </c>
      <c r="W308" s="444">
        <v>452</v>
      </c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</row>
    <row r="309" spans="1:40" ht="26.25" customHeight="1" x14ac:dyDescent="0.25">
      <c r="B309" s="11">
        <v>114</v>
      </c>
      <c r="C309" s="6" t="s">
        <v>18</v>
      </c>
      <c r="D309" s="23" t="s">
        <v>40</v>
      </c>
      <c r="E309" s="106" t="s">
        <v>762</v>
      </c>
      <c r="F309" s="383" t="s">
        <v>560</v>
      </c>
      <c r="G309" s="48"/>
      <c r="H309" s="39"/>
      <c r="I309" s="360">
        <v>0</v>
      </c>
      <c r="J309" s="39">
        <f t="shared" si="80"/>
        <v>0</v>
      </c>
      <c r="K309" s="309">
        <f t="shared" si="85"/>
        <v>1.86</v>
      </c>
      <c r="L309" s="297" t="s">
        <v>940</v>
      </c>
      <c r="M309" s="141"/>
      <c r="N309" s="39"/>
      <c r="O309" s="309">
        <f t="shared" si="81"/>
        <v>0</v>
      </c>
      <c r="P309" s="51" t="str">
        <f t="shared" si="66"/>
        <v>К15х5х5с зенк</v>
      </c>
      <c r="Q309" s="377">
        <f t="shared" si="82"/>
        <v>2.6</v>
      </c>
      <c r="R309" s="319">
        <v>2.17</v>
      </c>
      <c r="S309" s="353">
        <f t="shared" si="79"/>
        <v>0</v>
      </c>
      <c r="T309" s="70"/>
      <c r="U309" s="20">
        <f t="shared" si="83"/>
        <v>0</v>
      </c>
      <c r="V309" s="52">
        <f t="shared" si="84"/>
        <v>143</v>
      </c>
      <c r="W309" s="444">
        <v>143</v>
      </c>
    </row>
    <row r="310" spans="1:40" ht="26.25" hidden="1" customHeight="1" x14ac:dyDescent="0.3">
      <c r="B310" s="19"/>
      <c r="C310" s="6"/>
      <c r="D310" s="23"/>
      <c r="E310" s="106"/>
      <c r="F310" s="385"/>
      <c r="G310" s="48"/>
      <c r="H310" s="39"/>
      <c r="I310" s="360"/>
      <c r="J310" s="39">
        <f t="shared" si="80"/>
        <v>0</v>
      </c>
      <c r="K310" s="309"/>
      <c r="L310" s="274"/>
      <c r="M310" s="141"/>
      <c r="N310" s="489"/>
      <c r="O310" s="467"/>
      <c r="P310" s="441">
        <f t="shared" ref="P310:P373" si="86">E310</f>
        <v>0</v>
      </c>
      <c r="Q310" s="377"/>
      <c r="S310" s="353">
        <f t="shared" si="79"/>
        <v>0</v>
      </c>
      <c r="T310" s="20"/>
      <c r="U310" s="20">
        <f t="shared" si="83"/>
        <v>0</v>
      </c>
      <c r="V310" s="52">
        <f t="shared" si="84"/>
        <v>0</v>
      </c>
      <c r="W310" s="20"/>
    </row>
    <row r="311" spans="1:40" ht="26.25" hidden="1" customHeight="1" x14ac:dyDescent="0.25">
      <c r="B311" s="19"/>
      <c r="C311" s="6" t="s">
        <v>18</v>
      </c>
      <c r="D311" s="23" t="s">
        <v>40</v>
      </c>
      <c r="E311" s="106" t="s">
        <v>33</v>
      </c>
      <c r="F311" s="385" t="s">
        <v>377</v>
      </c>
      <c r="G311" s="48"/>
      <c r="H311" s="39"/>
      <c r="I311" s="309">
        <v>0</v>
      </c>
      <c r="J311" s="39">
        <f t="shared" si="80"/>
        <v>0</v>
      </c>
      <c r="K311" s="309">
        <f>Q311/1.4</f>
        <v>3</v>
      </c>
      <c r="L311" s="94" t="s">
        <v>591</v>
      </c>
      <c r="M311" s="141"/>
      <c r="N311" s="513"/>
      <c r="O311" s="497">
        <f t="shared" ref="O311:O327" si="87">K311*N311</f>
        <v>0</v>
      </c>
      <c r="P311" s="264" t="str">
        <f t="shared" si="86"/>
        <v>К20х10х5</v>
      </c>
      <c r="Q311" s="377">
        <f t="shared" ref="Q311:Q342" si="88">R311*1.2</f>
        <v>4.2</v>
      </c>
      <c r="R311" s="319">
        <v>3.5</v>
      </c>
      <c r="S311" s="353">
        <f t="shared" si="79"/>
        <v>0</v>
      </c>
      <c r="T311" s="20">
        <v>20</v>
      </c>
      <c r="U311" s="20">
        <f t="shared" si="83"/>
        <v>0</v>
      </c>
      <c r="V311" s="52">
        <f t="shared" si="84"/>
        <v>0</v>
      </c>
      <c r="W311" s="20">
        <v>20</v>
      </c>
      <c r="X311" s="10">
        <v>1</v>
      </c>
    </row>
    <row r="312" spans="1:40" ht="26.25" customHeight="1" x14ac:dyDescent="0.25">
      <c r="B312" s="11">
        <v>115</v>
      </c>
      <c r="C312" s="6" t="s">
        <v>18</v>
      </c>
      <c r="D312" s="23" t="s">
        <v>40</v>
      </c>
      <c r="E312" s="1" t="s">
        <v>337</v>
      </c>
      <c r="F312" s="383" t="s">
        <v>436</v>
      </c>
      <c r="G312" s="12" t="s">
        <v>0</v>
      </c>
      <c r="H312" s="39"/>
      <c r="I312" s="360">
        <v>0</v>
      </c>
      <c r="J312" s="39">
        <f t="shared" si="80"/>
        <v>96</v>
      </c>
      <c r="K312" s="309">
        <v>25.71</v>
      </c>
      <c r="L312" s="250" t="s">
        <v>898</v>
      </c>
      <c r="M312" s="141">
        <v>96</v>
      </c>
      <c r="N312" s="39"/>
      <c r="O312" s="309">
        <f t="shared" si="87"/>
        <v>0</v>
      </c>
      <c r="P312" s="51" t="str">
        <f t="shared" si="86"/>
        <v>К20х8х5</v>
      </c>
      <c r="Q312" s="377">
        <f t="shared" si="88"/>
        <v>36</v>
      </c>
      <c r="R312" s="319">
        <v>30</v>
      </c>
      <c r="S312" s="353">
        <f t="shared" si="79"/>
        <v>2880</v>
      </c>
      <c r="T312" s="20"/>
      <c r="U312" s="20">
        <f t="shared" si="83"/>
        <v>96</v>
      </c>
      <c r="V312" s="52">
        <f t="shared" si="84"/>
        <v>96</v>
      </c>
      <c r="W312" s="20"/>
    </row>
    <row r="313" spans="1:40" ht="26.25" customHeight="1" x14ac:dyDescent="0.25">
      <c r="B313" s="11">
        <v>116</v>
      </c>
      <c r="C313" s="6" t="s">
        <v>18</v>
      </c>
      <c r="D313" s="23" t="s">
        <v>40</v>
      </c>
      <c r="E313" s="402" t="s">
        <v>967</v>
      </c>
      <c r="F313" s="383">
        <v>1333</v>
      </c>
      <c r="G313" s="12" t="s">
        <v>0</v>
      </c>
      <c r="H313" s="39">
        <v>12</v>
      </c>
      <c r="I313" s="360">
        <v>843.48</v>
      </c>
      <c r="J313" s="39">
        <f t="shared" si="80"/>
        <v>0</v>
      </c>
      <c r="K313" s="309">
        <f t="shared" ref="K313:K327" si="89">Q313/1.4</f>
        <v>4.93</v>
      </c>
      <c r="L313" s="64" t="s">
        <v>567</v>
      </c>
      <c r="M313" s="141">
        <v>4</v>
      </c>
      <c r="N313" s="39">
        <v>8</v>
      </c>
      <c r="O313" s="309">
        <f t="shared" si="87"/>
        <v>39.44</v>
      </c>
      <c r="P313" s="51" t="str">
        <f t="shared" si="86"/>
        <v>Образцы К14,5х6х22, К29х6х22</v>
      </c>
      <c r="Q313" s="377">
        <f t="shared" si="88"/>
        <v>6.9</v>
      </c>
      <c r="R313" s="339">
        <v>5.75</v>
      </c>
      <c r="S313" s="353">
        <f t="shared" si="79"/>
        <v>0</v>
      </c>
      <c r="T313" s="20"/>
      <c r="U313" s="20">
        <f t="shared" si="83"/>
        <v>4</v>
      </c>
      <c r="V313" s="52">
        <f t="shared" si="84"/>
        <v>4</v>
      </c>
      <c r="W313" s="20"/>
    </row>
    <row r="314" spans="1:40" s="4" customFormat="1" ht="33" hidden="1" customHeight="1" x14ac:dyDescent="0.25">
      <c r="A314" s="10"/>
      <c r="B314" s="19"/>
      <c r="C314" s="6" t="s">
        <v>18</v>
      </c>
      <c r="D314" s="23" t="s">
        <v>40</v>
      </c>
      <c r="E314" s="402" t="s">
        <v>639</v>
      </c>
      <c r="F314" s="384">
        <v>1086</v>
      </c>
      <c r="G314" s="48" t="s">
        <v>0</v>
      </c>
      <c r="H314" s="39"/>
      <c r="I314" s="360">
        <v>0</v>
      </c>
      <c r="J314" s="39">
        <f t="shared" si="80"/>
        <v>0</v>
      </c>
      <c r="K314" s="309">
        <f t="shared" si="89"/>
        <v>3.43</v>
      </c>
      <c r="L314" s="64" t="s">
        <v>548</v>
      </c>
      <c r="M314" s="141"/>
      <c r="N314" s="555"/>
      <c r="O314" s="469">
        <f t="shared" si="87"/>
        <v>0</v>
      </c>
      <c r="P314" s="443" t="str">
        <f t="shared" si="86"/>
        <v>K20х5(8)х5</v>
      </c>
      <c r="Q314" s="306">
        <f t="shared" si="88"/>
        <v>4.8</v>
      </c>
      <c r="R314" s="339">
        <v>4</v>
      </c>
      <c r="S314" s="353">
        <f t="shared" si="79"/>
        <v>0</v>
      </c>
      <c r="T314" s="70">
        <v>7</v>
      </c>
      <c r="U314" s="20">
        <f t="shared" si="83"/>
        <v>0</v>
      </c>
      <c r="V314" s="52">
        <f t="shared" si="84"/>
        <v>0</v>
      </c>
      <c r="W314" s="444">
        <v>7</v>
      </c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1:40" s="21" customFormat="1" ht="26.25" customHeight="1" x14ac:dyDescent="0.25">
      <c r="B315" s="11">
        <v>117</v>
      </c>
      <c r="C315" s="6" t="s">
        <v>136</v>
      </c>
      <c r="D315" s="23" t="s">
        <v>40</v>
      </c>
      <c r="E315" s="112" t="s">
        <v>363</v>
      </c>
      <c r="F315" s="208">
        <v>595</v>
      </c>
      <c r="G315" s="12" t="s">
        <v>0</v>
      </c>
      <c r="H315" s="39">
        <v>5</v>
      </c>
      <c r="I315" s="360">
        <v>26.15</v>
      </c>
      <c r="J315" s="39">
        <f t="shared" si="80"/>
        <v>0</v>
      </c>
      <c r="K315" s="309">
        <f t="shared" si="89"/>
        <v>5.23</v>
      </c>
      <c r="L315" s="94" t="s">
        <v>592</v>
      </c>
      <c r="M315" s="140"/>
      <c r="N315" s="39">
        <v>5</v>
      </c>
      <c r="O315" s="309">
        <f t="shared" si="87"/>
        <v>26.15</v>
      </c>
      <c r="P315" s="51" t="str">
        <f t="shared" si="86"/>
        <v>К22х6,2х3,2(ПМ-36Б-200)</v>
      </c>
      <c r="Q315" s="306">
        <f t="shared" si="88"/>
        <v>7.32</v>
      </c>
      <c r="R315" s="319">
        <v>6.1</v>
      </c>
      <c r="S315" s="353">
        <f t="shared" si="79"/>
        <v>0</v>
      </c>
      <c r="T315" s="70">
        <f>281-12-5</f>
        <v>264</v>
      </c>
      <c r="U315" s="20">
        <f t="shared" si="83"/>
        <v>0</v>
      </c>
      <c r="V315" s="52">
        <f t="shared" si="84"/>
        <v>0</v>
      </c>
      <c r="W315" s="20">
        <f>281-12-5</f>
        <v>264</v>
      </c>
      <c r="X315" s="21">
        <v>1</v>
      </c>
    </row>
    <row r="316" spans="1:40" ht="26.25" hidden="1" customHeight="1" x14ac:dyDescent="0.25">
      <c r="B316" s="11"/>
      <c r="C316" s="6" t="s">
        <v>18</v>
      </c>
      <c r="D316" s="23" t="s">
        <v>40</v>
      </c>
      <c r="E316" s="107" t="s">
        <v>467</v>
      </c>
      <c r="F316" s="386">
        <v>830</v>
      </c>
      <c r="G316" s="14" t="s">
        <v>0</v>
      </c>
      <c r="H316" s="39"/>
      <c r="I316" s="309">
        <v>0</v>
      </c>
      <c r="J316" s="39">
        <f t="shared" si="80"/>
        <v>0</v>
      </c>
      <c r="K316" s="309">
        <f t="shared" si="89"/>
        <v>17.23</v>
      </c>
      <c r="L316" s="64" t="s">
        <v>839</v>
      </c>
      <c r="M316" s="140"/>
      <c r="N316" s="39"/>
      <c r="O316" s="309">
        <f t="shared" si="87"/>
        <v>0</v>
      </c>
      <c r="P316" s="51" t="str">
        <f t="shared" si="86"/>
        <v>К22,8х8,2х8,9</v>
      </c>
      <c r="Q316" s="377">
        <f t="shared" si="88"/>
        <v>24.12</v>
      </c>
      <c r="R316" s="326">
        <v>20.100000000000001</v>
      </c>
      <c r="S316" s="353">
        <f t="shared" si="79"/>
        <v>0</v>
      </c>
      <c r="T316" s="430">
        <f>60+38-6</f>
        <v>92</v>
      </c>
      <c r="U316" s="20">
        <f t="shared" si="83"/>
        <v>0</v>
      </c>
      <c r="V316" s="52">
        <f t="shared" si="84"/>
        <v>0</v>
      </c>
      <c r="W316" s="18">
        <f>60+38-6</f>
        <v>92</v>
      </c>
      <c r="X316" s="10">
        <v>1</v>
      </c>
    </row>
    <row r="317" spans="1:40" ht="26.25" hidden="1" customHeight="1" x14ac:dyDescent="0.25">
      <c r="B317" s="11"/>
      <c r="C317" s="6" t="s">
        <v>18</v>
      </c>
      <c r="D317" s="23" t="s">
        <v>40</v>
      </c>
      <c r="E317" s="112" t="s">
        <v>319</v>
      </c>
      <c r="F317" s="386">
        <v>1069</v>
      </c>
      <c r="G317" s="13" t="s">
        <v>0</v>
      </c>
      <c r="H317" s="39"/>
      <c r="I317" s="309">
        <v>0</v>
      </c>
      <c r="J317" s="39">
        <f t="shared" si="80"/>
        <v>0</v>
      </c>
      <c r="K317" s="309">
        <f t="shared" si="89"/>
        <v>21.43</v>
      </c>
      <c r="L317" s="90"/>
      <c r="M317" s="140"/>
      <c r="N317" s="489"/>
      <c r="O317" s="490">
        <f t="shared" si="87"/>
        <v>0</v>
      </c>
      <c r="P317" s="262" t="str">
        <f t="shared" si="86"/>
        <v>К26,6х11х0,7</v>
      </c>
      <c r="Q317" s="377">
        <f t="shared" si="88"/>
        <v>30</v>
      </c>
      <c r="R317" s="322">
        <v>25</v>
      </c>
      <c r="S317" s="353">
        <f t="shared" si="79"/>
        <v>0</v>
      </c>
      <c r="T317" s="430">
        <v>30</v>
      </c>
      <c r="U317" s="20">
        <f t="shared" si="83"/>
        <v>0</v>
      </c>
      <c r="V317" s="52">
        <f t="shared" si="84"/>
        <v>0</v>
      </c>
      <c r="W317" s="18">
        <v>30</v>
      </c>
      <c r="X317" s="10">
        <v>1</v>
      </c>
    </row>
    <row r="318" spans="1:40" ht="26.25" hidden="1" customHeight="1" x14ac:dyDescent="0.25">
      <c r="B318" s="11"/>
      <c r="C318" s="6" t="s">
        <v>18</v>
      </c>
      <c r="D318" s="23" t="s">
        <v>40</v>
      </c>
      <c r="E318" s="112" t="s">
        <v>902</v>
      </c>
      <c r="F318" s="386"/>
      <c r="G318" s="13"/>
      <c r="H318" s="39"/>
      <c r="I318" s="309">
        <v>0</v>
      </c>
      <c r="J318" s="39">
        <f t="shared" si="80"/>
        <v>0</v>
      </c>
      <c r="K318" s="309">
        <f t="shared" si="89"/>
        <v>10.39</v>
      </c>
      <c r="L318" s="90"/>
      <c r="M318" s="140"/>
      <c r="N318" s="39"/>
      <c r="O318" s="309">
        <f t="shared" si="87"/>
        <v>0</v>
      </c>
      <c r="P318" s="235" t="str">
        <f t="shared" si="86"/>
        <v>К32х12х5 нам.D</v>
      </c>
      <c r="Q318" s="377">
        <f t="shared" si="88"/>
        <v>14.54</v>
      </c>
      <c r="R318" s="319">
        <v>12.12</v>
      </c>
      <c r="S318" s="353">
        <f t="shared" si="79"/>
        <v>0</v>
      </c>
      <c r="T318" s="848">
        <v>5</v>
      </c>
      <c r="U318" s="20">
        <f t="shared" si="83"/>
        <v>0</v>
      </c>
      <c r="V318" s="52">
        <f t="shared" si="84"/>
        <v>0</v>
      </c>
      <c r="W318" s="848">
        <v>5</v>
      </c>
    </row>
    <row r="319" spans="1:40" ht="26.25" hidden="1" customHeight="1" x14ac:dyDescent="0.25">
      <c r="B319" s="11"/>
      <c r="C319" s="6" t="s">
        <v>18</v>
      </c>
      <c r="D319" s="23" t="s">
        <v>40</v>
      </c>
      <c r="E319" s="276" t="s">
        <v>640</v>
      </c>
      <c r="F319" s="386"/>
      <c r="G319" s="13"/>
      <c r="H319" s="39"/>
      <c r="I319" s="309">
        <v>0</v>
      </c>
      <c r="J319" s="39">
        <f t="shared" si="80"/>
        <v>0</v>
      </c>
      <c r="K319" s="309">
        <f t="shared" si="89"/>
        <v>0</v>
      </c>
      <c r="L319" s="90"/>
      <c r="M319" s="140"/>
      <c r="N319" s="39"/>
      <c r="O319" s="309">
        <f t="shared" si="87"/>
        <v>0</v>
      </c>
      <c r="P319" s="235" t="str">
        <f t="shared" si="86"/>
        <v>К25х5,5(10)х3</v>
      </c>
      <c r="Q319" s="377">
        <f t="shared" si="88"/>
        <v>0</v>
      </c>
      <c r="R319" s="326">
        <v>0</v>
      </c>
      <c r="S319" s="353">
        <f t="shared" si="79"/>
        <v>0</v>
      </c>
      <c r="T319" s="430">
        <v>10</v>
      </c>
      <c r="U319" s="20">
        <f t="shared" si="83"/>
        <v>0</v>
      </c>
      <c r="V319" s="52">
        <f t="shared" si="84"/>
        <v>0</v>
      </c>
      <c r="W319" s="848">
        <v>10</v>
      </c>
    </row>
    <row r="320" spans="1:40" ht="26.25" hidden="1" customHeight="1" x14ac:dyDescent="0.25">
      <c r="B320" s="11"/>
      <c r="C320" s="6" t="s">
        <v>18</v>
      </c>
      <c r="D320" s="23" t="s">
        <v>40</v>
      </c>
      <c r="E320" s="276" t="s">
        <v>641</v>
      </c>
      <c r="F320" s="387"/>
      <c r="G320" s="12"/>
      <c r="H320" s="39"/>
      <c r="I320" s="309">
        <v>0</v>
      </c>
      <c r="J320" s="39">
        <f t="shared" si="80"/>
        <v>0</v>
      </c>
      <c r="K320" s="309">
        <f t="shared" si="89"/>
        <v>0</v>
      </c>
      <c r="L320" s="90" t="s">
        <v>150</v>
      </c>
      <c r="M320" s="140"/>
      <c r="N320" s="39"/>
      <c r="O320" s="309">
        <f t="shared" si="87"/>
        <v>0</v>
      </c>
      <c r="P320" s="235" t="str">
        <f t="shared" si="86"/>
        <v>К31х12х22</v>
      </c>
      <c r="Q320" s="377">
        <f t="shared" si="88"/>
        <v>0</v>
      </c>
      <c r="R320" s="319">
        <v>0</v>
      </c>
      <c r="S320" s="353">
        <f t="shared" si="79"/>
        <v>0</v>
      </c>
      <c r="T320" s="430">
        <v>9</v>
      </c>
      <c r="U320" s="20">
        <f t="shared" si="83"/>
        <v>0</v>
      </c>
      <c r="V320" s="52">
        <f t="shared" si="84"/>
        <v>0</v>
      </c>
      <c r="W320" s="18">
        <v>9</v>
      </c>
      <c r="X320" s="10">
        <v>1</v>
      </c>
    </row>
    <row r="321" spans="2:24" ht="26.25" hidden="1" customHeight="1" x14ac:dyDescent="0.25">
      <c r="B321" s="11"/>
      <c r="C321" s="6" t="s">
        <v>18</v>
      </c>
      <c r="D321" s="23" t="s">
        <v>40</v>
      </c>
      <c r="E321" s="463" t="s">
        <v>725</v>
      </c>
      <c r="F321" s="386">
        <v>1492</v>
      </c>
      <c r="G321" s="14"/>
      <c r="H321" s="39"/>
      <c r="I321" s="309">
        <v>0</v>
      </c>
      <c r="J321" s="39">
        <f t="shared" si="80"/>
        <v>0</v>
      </c>
      <c r="K321" s="309">
        <f t="shared" si="89"/>
        <v>152.57</v>
      </c>
      <c r="L321" s="456" t="s">
        <v>805</v>
      </c>
      <c r="M321" s="140"/>
      <c r="N321" s="39"/>
      <c r="O321" s="309">
        <f t="shared" si="87"/>
        <v>0</v>
      </c>
      <c r="P321" s="235" t="str">
        <f t="shared" si="86"/>
        <v>К59х44х4</v>
      </c>
      <c r="Q321" s="377">
        <f t="shared" si="88"/>
        <v>213.6</v>
      </c>
      <c r="R321" s="326">
        <v>178</v>
      </c>
      <c r="S321" s="353">
        <f t="shared" si="79"/>
        <v>0</v>
      </c>
      <c r="T321" s="20"/>
      <c r="U321" s="20">
        <f t="shared" si="83"/>
        <v>0</v>
      </c>
      <c r="V321" s="52">
        <f t="shared" si="84"/>
        <v>0</v>
      </c>
      <c r="W321" s="20"/>
    </row>
    <row r="322" spans="2:24" ht="26.25" hidden="1" customHeight="1" x14ac:dyDescent="0.25">
      <c r="B322" s="11"/>
      <c r="C322" s="6" t="s">
        <v>18</v>
      </c>
      <c r="D322" s="23" t="s">
        <v>40</v>
      </c>
      <c r="E322" s="112" t="s">
        <v>494</v>
      </c>
      <c r="F322" s="526">
        <v>1332</v>
      </c>
      <c r="G322" s="12" t="s">
        <v>0</v>
      </c>
      <c r="H322" s="39"/>
      <c r="I322" s="360">
        <v>0</v>
      </c>
      <c r="J322" s="39">
        <f t="shared" si="80"/>
        <v>0</v>
      </c>
      <c r="K322" s="309">
        <f t="shared" si="89"/>
        <v>8.14</v>
      </c>
      <c r="L322" s="250" t="s">
        <v>714</v>
      </c>
      <c r="M322" s="140"/>
      <c r="N322" s="503"/>
      <c r="O322" s="309">
        <f t="shared" si="87"/>
        <v>0</v>
      </c>
      <c r="P322" s="235" t="str">
        <f t="shared" si="86"/>
        <v>К25х5,5(10)х5</v>
      </c>
      <c r="Q322" s="377">
        <f t="shared" si="88"/>
        <v>11.4</v>
      </c>
      <c r="R322" s="326">
        <v>9.5</v>
      </c>
      <c r="S322" s="353">
        <f t="shared" si="79"/>
        <v>0</v>
      </c>
      <c r="T322" s="18"/>
      <c r="U322" s="20">
        <f t="shared" si="83"/>
        <v>0</v>
      </c>
      <c r="V322" s="52">
        <f t="shared" si="84"/>
        <v>0</v>
      </c>
      <c r="W322" s="18"/>
    </row>
    <row r="323" spans="2:24" ht="26.25" hidden="1" customHeight="1" x14ac:dyDescent="0.25">
      <c r="B323" s="11"/>
      <c r="C323" s="6" t="s">
        <v>18</v>
      </c>
      <c r="D323" s="23" t="s">
        <v>40</v>
      </c>
      <c r="E323" s="106" t="s">
        <v>660</v>
      </c>
      <c r="F323" s="387" t="s">
        <v>192</v>
      </c>
      <c r="G323" s="12" t="s">
        <v>0</v>
      </c>
      <c r="H323" s="39"/>
      <c r="I323" s="309">
        <v>0</v>
      </c>
      <c r="J323" s="39">
        <f t="shared" si="80"/>
        <v>0</v>
      </c>
      <c r="K323" s="309">
        <f t="shared" si="89"/>
        <v>83.14</v>
      </c>
      <c r="L323" s="90" t="s">
        <v>150</v>
      </c>
      <c r="M323" s="140"/>
      <c r="N323" s="39"/>
      <c r="O323" s="490">
        <f t="shared" si="87"/>
        <v>0</v>
      </c>
      <c r="P323" s="235" t="str">
        <f t="shared" si="86"/>
        <v>К47х8(12)х14,5</v>
      </c>
      <c r="Q323" s="377">
        <f t="shared" si="88"/>
        <v>116.4</v>
      </c>
      <c r="R323" s="319">
        <v>97</v>
      </c>
      <c r="S323" s="353">
        <f t="shared" si="79"/>
        <v>0</v>
      </c>
      <c r="T323" s="147">
        <v>15</v>
      </c>
      <c r="U323" s="20">
        <f t="shared" si="83"/>
        <v>0</v>
      </c>
      <c r="V323" s="52">
        <f t="shared" si="84"/>
        <v>0</v>
      </c>
      <c r="W323" s="18">
        <v>15</v>
      </c>
      <c r="X323" s="10">
        <v>1</v>
      </c>
    </row>
    <row r="324" spans="2:24" ht="26.25" hidden="1" customHeight="1" x14ac:dyDescent="0.25">
      <c r="B324" s="11"/>
      <c r="C324" s="6" t="s">
        <v>18</v>
      </c>
      <c r="D324" s="23" t="s">
        <v>40</v>
      </c>
      <c r="E324" s="107" t="s">
        <v>311</v>
      </c>
      <c r="F324" s="386"/>
      <c r="G324" s="12" t="s">
        <v>0</v>
      </c>
      <c r="H324" s="39"/>
      <c r="I324" s="309">
        <v>0</v>
      </c>
      <c r="J324" s="39">
        <f t="shared" si="80"/>
        <v>0</v>
      </c>
      <c r="K324" s="309">
        <f t="shared" si="89"/>
        <v>0</v>
      </c>
      <c r="L324" s="90"/>
      <c r="M324" s="140"/>
      <c r="N324" s="39"/>
      <c r="O324" s="309">
        <f t="shared" si="87"/>
        <v>0</v>
      </c>
      <c r="P324" s="235" t="str">
        <f t="shared" si="86"/>
        <v>К47х20х15</v>
      </c>
      <c r="Q324" s="377">
        <f t="shared" si="88"/>
        <v>0</v>
      </c>
      <c r="R324" s="319">
        <v>0</v>
      </c>
      <c r="S324" s="353">
        <f t="shared" si="79"/>
        <v>0</v>
      </c>
      <c r="T324" s="70">
        <v>10</v>
      </c>
      <c r="U324" s="20">
        <f t="shared" si="83"/>
        <v>0</v>
      </c>
      <c r="V324" s="52">
        <f t="shared" si="84"/>
        <v>0</v>
      </c>
      <c r="W324" s="20">
        <v>10</v>
      </c>
      <c r="X324" s="10">
        <v>1</v>
      </c>
    </row>
    <row r="325" spans="2:24" ht="26.25" hidden="1" customHeight="1" x14ac:dyDescent="0.25">
      <c r="B325" s="11"/>
      <c r="C325" s="6" t="s">
        <v>18</v>
      </c>
      <c r="D325" s="23" t="s">
        <v>40</v>
      </c>
      <c r="E325" s="107" t="s">
        <v>778</v>
      </c>
      <c r="F325" s="386">
        <v>384</v>
      </c>
      <c r="G325" s="12" t="s">
        <v>0</v>
      </c>
      <c r="H325" s="39"/>
      <c r="I325" s="309">
        <v>0</v>
      </c>
      <c r="J325" s="39">
        <f t="shared" si="80"/>
        <v>0</v>
      </c>
      <c r="K325" s="309">
        <f t="shared" si="89"/>
        <v>75.430000000000007</v>
      </c>
      <c r="L325" s="64"/>
      <c r="M325" s="140"/>
      <c r="N325" s="39"/>
      <c r="O325" s="309">
        <f t="shared" si="87"/>
        <v>0</v>
      </c>
      <c r="P325" s="235" t="str">
        <f t="shared" si="86"/>
        <v>К53х23х15</v>
      </c>
      <c r="Q325" s="377">
        <f t="shared" si="88"/>
        <v>105.6</v>
      </c>
      <c r="R325" s="319">
        <v>88</v>
      </c>
      <c r="S325" s="353">
        <f t="shared" si="79"/>
        <v>0</v>
      </c>
      <c r="T325" s="70">
        <v>1</v>
      </c>
      <c r="U325" s="20">
        <f t="shared" si="83"/>
        <v>0</v>
      </c>
      <c r="V325" s="52">
        <f t="shared" si="84"/>
        <v>0</v>
      </c>
      <c r="W325" s="20">
        <v>1</v>
      </c>
      <c r="X325" s="10">
        <v>1</v>
      </c>
    </row>
    <row r="326" spans="2:24" ht="26.25" hidden="1" customHeight="1" x14ac:dyDescent="0.25">
      <c r="B326" s="11"/>
      <c r="C326" s="6" t="s">
        <v>18</v>
      </c>
      <c r="D326" s="23" t="s">
        <v>40</v>
      </c>
      <c r="E326" s="107" t="s">
        <v>393</v>
      </c>
      <c r="F326" s="386"/>
      <c r="G326" s="12" t="s">
        <v>0</v>
      </c>
      <c r="H326" s="39"/>
      <c r="I326" s="309">
        <v>0</v>
      </c>
      <c r="J326" s="39">
        <f t="shared" si="80"/>
        <v>0</v>
      </c>
      <c r="K326" s="309">
        <f t="shared" si="89"/>
        <v>0</v>
      </c>
      <c r="L326" s="64"/>
      <c r="M326" s="140"/>
      <c r="N326" s="39"/>
      <c r="O326" s="309">
        <f t="shared" si="87"/>
        <v>0</v>
      </c>
      <c r="P326" s="235" t="str">
        <f t="shared" si="86"/>
        <v>К60х36х20</v>
      </c>
      <c r="Q326" s="377">
        <f t="shared" si="88"/>
        <v>0</v>
      </c>
      <c r="R326" s="319">
        <v>0</v>
      </c>
      <c r="S326" s="353">
        <f t="shared" si="79"/>
        <v>0</v>
      </c>
      <c r="T326" s="148">
        <v>13</v>
      </c>
      <c r="U326" s="20">
        <f t="shared" si="83"/>
        <v>0</v>
      </c>
      <c r="V326" s="52">
        <f t="shared" si="84"/>
        <v>0</v>
      </c>
      <c r="W326" s="20">
        <v>13</v>
      </c>
      <c r="X326" s="10">
        <v>1</v>
      </c>
    </row>
    <row r="327" spans="2:24" ht="26.25" hidden="1" customHeight="1" x14ac:dyDescent="0.25">
      <c r="B327" s="11"/>
      <c r="C327" s="6" t="s">
        <v>18</v>
      </c>
      <c r="D327" s="23" t="s">
        <v>40</v>
      </c>
      <c r="E327" s="107" t="s">
        <v>392</v>
      </c>
      <c r="F327" s="386"/>
      <c r="G327" s="12" t="s">
        <v>0</v>
      </c>
      <c r="H327" s="39"/>
      <c r="I327" s="309">
        <v>0</v>
      </c>
      <c r="J327" s="39">
        <f t="shared" si="80"/>
        <v>0</v>
      </c>
      <c r="K327" s="309">
        <f t="shared" si="89"/>
        <v>0</v>
      </c>
      <c r="L327" s="64"/>
      <c r="M327" s="140"/>
      <c r="N327" s="513"/>
      <c r="O327" s="497">
        <f t="shared" si="87"/>
        <v>0</v>
      </c>
      <c r="P327" s="263" t="str">
        <f t="shared" si="86"/>
        <v>К80х10х10</v>
      </c>
      <c r="Q327" s="377">
        <f t="shared" si="88"/>
        <v>0</v>
      </c>
      <c r="R327" s="319">
        <v>0</v>
      </c>
      <c r="S327" s="353">
        <f t="shared" si="79"/>
        <v>0</v>
      </c>
      <c r="T327" s="70">
        <v>6</v>
      </c>
      <c r="U327" s="20">
        <f t="shared" si="83"/>
        <v>0</v>
      </c>
      <c r="V327" s="52">
        <f t="shared" si="84"/>
        <v>0</v>
      </c>
      <c r="W327" s="20">
        <v>6</v>
      </c>
      <c r="X327" s="10">
        <v>1</v>
      </c>
    </row>
    <row r="328" spans="2:24" ht="26.25" customHeight="1" x14ac:dyDescent="0.25">
      <c r="B328" s="11">
        <v>118</v>
      </c>
      <c r="C328" s="6" t="s">
        <v>18</v>
      </c>
      <c r="D328" s="23" t="s">
        <v>40</v>
      </c>
      <c r="E328" s="107" t="s">
        <v>138</v>
      </c>
      <c r="F328" s="396" t="s">
        <v>59</v>
      </c>
      <c r="G328" s="12" t="s">
        <v>0</v>
      </c>
      <c r="H328" s="39">
        <v>1000</v>
      </c>
      <c r="I328" s="360">
        <v>219.4</v>
      </c>
      <c r="J328" s="39">
        <f t="shared" si="80"/>
        <v>0</v>
      </c>
      <c r="K328" s="309">
        <v>0.22</v>
      </c>
      <c r="L328" s="249"/>
      <c r="M328" s="141"/>
      <c r="N328" s="39">
        <v>1000</v>
      </c>
      <c r="O328" s="309">
        <v>219.4</v>
      </c>
      <c r="P328" s="51" t="str">
        <f t="shared" si="86"/>
        <v>П2,5х2,5х2</v>
      </c>
      <c r="Q328" s="377">
        <f t="shared" si="88"/>
        <v>0.31</v>
      </c>
      <c r="R328" s="319">
        <v>0.25600000000000001</v>
      </c>
      <c r="S328" s="353">
        <f t="shared" si="79"/>
        <v>0</v>
      </c>
      <c r="T328" s="70">
        <f>3000-2</f>
        <v>2998</v>
      </c>
      <c r="U328" s="20">
        <f t="shared" si="83"/>
        <v>0</v>
      </c>
      <c r="V328" s="52">
        <f t="shared" si="84"/>
        <v>0</v>
      </c>
      <c r="W328" s="20">
        <f>3000-2</f>
        <v>2998</v>
      </c>
      <c r="X328" s="10">
        <v>1</v>
      </c>
    </row>
    <row r="329" spans="2:24" ht="26.25" customHeight="1" thickBot="1" x14ac:dyDescent="0.3">
      <c r="B329" s="11">
        <v>119</v>
      </c>
      <c r="C329" s="6" t="s">
        <v>18</v>
      </c>
      <c r="D329" s="23" t="s">
        <v>40</v>
      </c>
      <c r="E329" s="104" t="s">
        <v>128</v>
      </c>
      <c r="F329" s="208">
        <v>480</v>
      </c>
      <c r="G329" s="12" t="s">
        <v>0</v>
      </c>
      <c r="H329" s="39">
        <v>2000</v>
      </c>
      <c r="I329" s="360">
        <v>1400</v>
      </c>
      <c r="J329" s="39">
        <f t="shared" si="80"/>
        <v>1000</v>
      </c>
      <c r="K329" s="309">
        <f t="shared" ref="K329:K341" si="90">Q329/1.4</f>
        <v>0.7</v>
      </c>
      <c r="L329" s="154" t="s">
        <v>941</v>
      </c>
      <c r="M329" s="140">
        <v>1000</v>
      </c>
      <c r="N329" s="39">
        <v>2000</v>
      </c>
      <c r="O329" s="309">
        <f t="shared" ref="O329:O341" si="91">K329*N329</f>
        <v>1400</v>
      </c>
      <c r="P329" s="51" t="str">
        <f t="shared" si="86"/>
        <v>П3х3х4 (ЭПГ 111.022)</v>
      </c>
      <c r="Q329" s="306">
        <f t="shared" si="88"/>
        <v>0.98</v>
      </c>
      <c r="R329" s="319">
        <v>0.82</v>
      </c>
      <c r="S329" s="353">
        <f t="shared" si="79"/>
        <v>820</v>
      </c>
      <c r="T329" s="70">
        <f>15650-1000</f>
        <v>14650</v>
      </c>
      <c r="U329" s="20">
        <f t="shared" si="83"/>
        <v>1000</v>
      </c>
      <c r="V329" s="52">
        <f t="shared" si="84"/>
        <v>0</v>
      </c>
      <c r="W329" s="20">
        <f>15650-1000-800-200</f>
        <v>13650</v>
      </c>
      <c r="X329" s="10">
        <v>1</v>
      </c>
    </row>
    <row r="330" spans="2:24" ht="26.25" hidden="1" customHeight="1" thickBot="1" x14ac:dyDescent="0.3">
      <c r="B330" s="15"/>
      <c r="C330" s="6" t="s">
        <v>18</v>
      </c>
      <c r="D330" s="23" t="s">
        <v>40</v>
      </c>
      <c r="E330" s="286" t="s">
        <v>564</v>
      </c>
      <c r="F330" s="208">
        <v>1300</v>
      </c>
      <c r="G330" s="48" t="s">
        <v>0</v>
      </c>
      <c r="H330" s="39"/>
      <c r="I330" s="360">
        <v>0</v>
      </c>
      <c r="J330" s="39">
        <f t="shared" ref="J330:J361" si="92">M330+N330-H330</f>
        <v>0</v>
      </c>
      <c r="K330" s="309">
        <f t="shared" si="90"/>
        <v>4.29</v>
      </c>
      <c r="L330" s="158" t="s">
        <v>522</v>
      </c>
      <c r="M330" s="140"/>
      <c r="N330" s="489"/>
      <c r="O330" s="467">
        <f t="shared" si="91"/>
        <v>0</v>
      </c>
      <c r="P330" s="256" t="str">
        <f t="shared" si="86"/>
        <v>П4х4х3 б/п</v>
      </c>
      <c r="Q330" s="377">
        <f t="shared" si="88"/>
        <v>6</v>
      </c>
      <c r="R330" s="326">
        <v>5</v>
      </c>
      <c r="S330" s="353">
        <f t="shared" si="79"/>
        <v>0</v>
      </c>
      <c r="T330" s="70">
        <v>4</v>
      </c>
      <c r="U330" s="20">
        <f t="shared" si="83"/>
        <v>0</v>
      </c>
      <c r="V330" s="52">
        <f t="shared" si="84"/>
        <v>0</v>
      </c>
      <c r="W330" s="20">
        <v>4</v>
      </c>
      <c r="X330" s="10">
        <v>1</v>
      </c>
    </row>
    <row r="331" spans="2:24" ht="26.25" hidden="1" customHeight="1" x14ac:dyDescent="0.25">
      <c r="B331" s="15"/>
      <c r="C331" s="6" t="s">
        <v>18</v>
      </c>
      <c r="D331" s="23" t="s">
        <v>40</v>
      </c>
      <c r="E331" s="286" t="s">
        <v>526</v>
      </c>
      <c r="F331" s="208">
        <v>1301</v>
      </c>
      <c r="G331" s="48" t="s">
        <v>0</v>
      </c>
      <c r="H331" s="39"/>
      <c r="I331" s="309">
        <v>0</v>
      </c>
      <c r="J331" s="39">
        <f t="shared" si="92"/>
        <v>0</v>
      </c>
      <c r="K331" s="309">
        <f t="shared" si="90"/>
        <v>4.29</v>
      </c>
      <c r="L331" s="158" t="s">
        <v>522</v>
      </c>
      <c r="M331" s="140"/>
      <c r="N331" s="39"/>
      <c r="O331" s="497">
        <f t="shared" si="91"/>
        <v>0</v>
      </c>
      <c r="P331" s="258" t="str">
        <f t="shared" si="86"/>
        <v>П7х6х2,5</v>
      </c>
      <c r="Q331" s="377">
        <f t="shared" si="88"/>
        <v>6</v>
      </c>
      <c r="R331" s="326">
        <v>5</v>
      </c>
      <c r="S331" s="353">
        <f t="shared" si="79"/>
        <v>0</v>
      </c>
      <c r="T331" s="70">
        <v>41</v>
      </c>
      <c r="U331" s="20">
        <f t="shared" ref="U331:U362" si="93">M331</f>
        <v>0</v>
      </c>
      <c r="V331" s="52">
        <f t="shared" ref="V331:V362" si="94">W331-T331+U331</f>
        <v>0</v>
      </c>
      <c r="W331" s="20">
        <v>41</v>
      </c>
      <c r="X331" s="10">
        <v>1</v>
      </c>
    </row>
    <row r="332" spans="2:24" ht="26.25" hidden="1" customHeight="1" x14ac:dyDescent="0.25">
      <c r="B332" s="11"/>
      <c r="C332" s="6" t="s">
        <v>18</v>
      </c>
      <c r="D332" s="23" t="s">
        <v>40</v>
      </c>
      <c r="E332" s="104" t="s">
        <v>390</v>
      </c>
      <c r="F332" s="208">
        <v>951</v>
      </c>
      <c r="G332" s="12" t="s">
        <v>0</v>
      </c>
      <c r="H332" s="39"/>
      <c r="I332" s="309">
        <v>0</v>
      </c>
      <c r="J332" s="39">
        <f t="shared" si="92"/>
        <v>0</v>
      </c>
      <c r="K332" s="309">
        <f t="shared" si="90"/>
        <v>0.94</v>
      </c>
      <c r="L332" s="155" t="s">
        <v>715</v>
      </c>
      <c r="M332" s="140"/>
      <c r="N332" s="39"/>
      <c r="O332" s="309">
        <f t="shared" si="91"/>
        <v>0</v>
      </c>
      <c r="P332" s="51" t="str">
        <f t="shared" si="86"/>
        <v xml:space="preserve">П3,5х2х4 </v>
      </c>
      <c r="Q332" s="377">
        <f t="shared" si="88"/>
        <v>1.32</v>
      </c>
      <c r="R332" s="326">
        <v>1.1000000000000001</v>
      </c>
      <c r="S332" s="353">
        <f t="shared" si="79"/>
        <v>0</v>
      </c>
      <c r="T332" s="70">
        <v>715</v>
      </c>
      <c r="U332" s="20">
        <f t="shared" si="93"/>
        <v>0</v>
      </c>
      <c r="V332" s="52">
        <f t="shared" si="94"/>
        <v>0</v>
      </c>
      <c r="W332" s="20">
        <v>715</v>
      </c>
      <c r="X332" s="10">
        <v>1</v>
      </c>
    </row>
    <row r="333" spans="2:24" ht="26.25" hidden="1" customHeight="1" x14ac:dyDescent="0.25">
      <c r="B333" s="11"/>
      <c r="C333" s="6" t="s">
        <v>18</v>
      </c>
      <c r="D333" s="23" t="s">
        <v>40</v>
      </c>
      <c r="E333" s="104" t="s">
        <v>97</v>
      </c>
      <c r="F333" s="208"/>
      <c r="G333" s="12" t="s">
        <v>0</v>
      </c>
      <c r="H333" s="39"/>
      <c r="I333" s="309">
        <v>0</v>
      </c>
      <c r="J333" s="39">
        <f t="shared" si="92"/>
        <v>0</v>
      </c>
      <c r="K333" s="309">
        <f t="shared" si="90"/>
        <v>0</v>
      </c>
      <c r="L333" s="158"/>
      <c r="M333" s="140"/>
      <c r="N333" s="39"/>
      <c r="O333" s="507">
        <f t="shared" si="91"/>
        <v>0</v>
      </c>
      <c r="P333" s="264" t="str">
        <f t="shared" si="86"/>
        <v>П3х6х7</v>
      </c>
      <c r="Q333" s="377">
        <f t="shared" si="88"/>
        <v>0</v>
      </c>
      <c r="R333" s="330">
        <v>0</v>
      </c>
      <c r="S333" s="353">
        <f t="shared" si="79"/>
        <v>0</v>
      </c>
      <c r="T333" s="70">
        <v>100</v>
      </c>
      <c r="U333" s="20">
        <f t="shared" si="93"/>
        <v>0</v>
      </c>
      <c r="V333" s="52">
        <f t="shared" si="94"/>
        <v>0</v>
      </c>
      <c r="W333" s="20">
        <v>100</v>
      </c>
      <c r="X333" s="10">
        <v>1</v>
      </c>
    </row>
    <row r="334" spans="2:24" ht="26.25" hidden="1" customHeight="1" x14ac:dyDescent="0.25">
      <c r="B334" s="11"/>
      <c r="C334" s="6" t="s">
        <v>18</v>
      </c>
      <c r="D334" s="23" t="s">
        <v>40</v>
      </c>
      <c r="E334" s="106" t="s">
        <v>273</v>
      </c>
      <c r="F334" s="526">
        <v>758</v>
      </c>
      <c r="G334" s="12" t="s">
        <v>0</v>
      </c>
      <c r="H334" s="39"/>
      <c r="I334" s="360">
        <v>0</v>
      </c>
      <c r="J334" s="39">
        <f t="shared" si="92"/>
        <v>0</v>
      </c>
      <c r="K334" s="309">
        <f t="shared" si="90"/>
        <v>7.31</v>
      </c>
      <c r="L334" s="155" t="s">
        <v>749</v>
      </c>
      <c r="M334" s="140"/>
      <c r="N334" s="513"/>
      <c r="O334" s="497">
        <f t="shared" si="91"/>
        <v>0</v>
      </c>
      <c r="P334" s="442" t="str">
        <f t="shared" si="86"/>
        <v>П7х7х2,5</v>
      </c>
      <c r="Q334" s="306">
        <f t="shared" si="88"/>
        <v>10.24</v>
      </c>
      <c r="R334" s="330">
        <v>8.5299999999999994</v>
      </c>
      <c r="S334" s="353">
        <f t="shared" si="79"/>
        <v>0</v>
      </c>
      <c r="T334" s="70">
        <v>24</v>
      </c>
      <c r="U334" s="20">
        <f t="shared" si="93"/>
        <v>0</v>
      </c>
      <c r="V334" s="52">
        <f t="shared" si="94"/>
        <v>0</v>
      </c>
      <c r="W334" s="20">
        <v>24</v>
      </c>
      <c r="X334" s="10">
        <v>1</v>
      </c>
    </row>
    <row r="335" spans="2:24" ht="26.25" hidden="1" customHeight="1" x14ac:dyDescent="0.25">
      <c r="B335" s="11"/>
      <c r="C335" s="6" t="s">
        <v>18</v>
      </c>
      <c r="D335" s="23" t="s">
        <v>40</v>
      </c>
      <c r="E335" s="106" t="s">
        <v>767</v>
      </c>
      <c r="F335" s="526">
        <v>1437</v>
      </c>
      <c r="G335" s="12" t="s">
        <v>0</v>
      </c>
      <c r="H335" s="39"/>
      <c r="I335" s="309">
        <v>0</v>
      </c>
      <c r="J335" s="39">
        <f t="shared" si="92"/>
        <v>0</v>
      </c>
      <c r="K335" s="309">
        <f t="shared" si="90"/>
        <v>2.57</v>
      </c>
      <c r="L335" s="234" t="s">
        <v>684</v>
      </c>
      <c r="M335" s="41"/>
      <c r="N335" s="39"/>
      <c r="O335" s="309">
        <f t="shared" si="91"/>
        <v>0</v>
      </c>
      <c r="P335" s="51" t="str">
        <f t="shared" si="86"/>
        <v>П14х7х2</v>
      </c>
      <c r="Q335" s="377">
        <f t="shared" si="88"/>
        <v>3.6</v>
      </c>
      <c r="R335" s="330">
        <v>3</v>
      </c>
      <c r="S335" s="353">
        <f t="shared" si="79"/>
        <v>0</v>
      </c>
      <c r="T335" s="70">
        <v>20</v>
      </c>
      <c r="U335" s="20">
        <f t="shared" si="93"/>
        <v>0</v>
      </c>
      <c r="V335" s="52">
        <f t="shared" si="94"/>
        <v>0</v>
      </c>
      <c r="W335" s="20">
        <v>20</v>
      </c>
      <c r="X335" s="10">
        <v>1</v>
      </c>
    </row>
    <row r="336" spans="2:24" ht="26.25" hidden="1" customHeight="1" x14ac:dyDescent="0.25">
      <c r="B336" s="11"/>
      <c r="C336" s="6" t="s">
        <v>18</v>
      </c>
      <c r="D336" s="23" t="s">
        <v>40</v>
      </c>
      <c r="E336" s="106" t="s">
        <v>380</v>
      </c>
      <c r="F336" s="210">
        <v>1169</v>
      </c>
      <c r="G336" s="12" t="s">
        <v>0</v>
      </c>
      <c r="H336" s="39"/>
      <c r="I336" s="309">
        <v>0</v>
      </c>
      <c r="J336" s="39">
        <f t="shared" si="92"/>
        <v>0</v>
      </c>
      <c r="K336" s="309">
        <f t="shared" si="90"/>
        <v>0.04</v>
      </c>
      <c r="L336" s="97" t="s">
        <v>388</v>
      </c>
      <c r="M336" s="41"/>
      <c r="N336" s="489"/>
      <c r="O336" s="490">
        <f t="shared" si="91"/>
        <v>0</v>
      </c>
      <c r="P336" s="262" t="str">
        <f t="shared" si="86"/>
        <v>П8х3х0,7</v>
      </c>
      <c r="Q336" s="377">
        <f t="shared" si="88"/>
        <v>0.05</v>
      </c>
      <c r="R336" s="339">
        <v>0.04</v>
      </c>
      <c r="S336" s="353">
        <f t="shared" si="79"/>
        <v>0</v>
      </c>
      <c r="T336" s="430">
        <f>46500-1000</f>
        <v>45500</v>
      </c>
      <c r="U336" s="20">
        <f t="shared" si="93"/>
        <v>0</v>
      </c>
      <c r="V336" s="52">
        <f t="shared" si="94"/>
        <v>0</v>
      </c>
      <c r="W336" s="430">
        <f>46500-1000</f>
        <v>45500</v>
      </c>
      <c r="X336" s="10">
        <v>1</v>
      </c>
    </row>
    <row r="337" spans="1:39" ht="26.25" hidden="1" customHeight="1" thickBot="1" x14ac:dyDescent="0.3">
      <c r="B337" s="19"/>
      <c r="C337" s="6" t="s">
        <v>18</v>
      </c>
      <c r="D337" s="23" t="s">
        <v>40</v>
      </c>
      <c r="E337" s="106" t="s">
        <v>196</v>
      </c>
      <c r="F337" s="387" t="s">
        <v>359</v>
      </c>
      <c r="G337" s="12" t="s">
        <v>0</v>
      </c>
      <c r="H337" s="39"/>
      <c r="I337" s="309">
        <v>0</v>
      </c>
      <c r="J337" s="39">
        <f t="shared" si="92"/>
        <v>0</v>
      </c>
      <c r="K337" s="309">
        <f t="shared" si="90"/>
        <v>4.24</v>
      </c>
      <c r="L337" s="99" t="s">
        <v>334</v>
      </c>
      <c r="M337" s="140"/>
      <c r="N337" s="39"/>
      <c r="O337" s="497">
        <f t="shared" si="91"/>
        <v>0</v>
      </c>
      <c r="P337" s="263" t="str">
        <f t="shared" si="86"/>
        <v>П8,5х8,5х13</v>
      </c>
      <c r="Q337" s="377">
        <f t="shared" si="88"/>
        <v>5.94</v>
      </c>
      <c r="R337" s="319">
        <v>4.95</v>
      </c>
      <c r="S337" s="353">
        <f t="shared" si="79"/>
        <v>0</v>
      </c>
      <c r="T337" s="70">
        <f>3*420+74-20-1</f>
        <v>1313</v>
      </c>
      <c r="U337" s="20">
        <f t="shared" si="93"/>
        <v>0</v>
      </c>
      <c r="V337" s="52">
        <f t="shared" si="94"/>
        <v>0</v>
      </c>
      <c r="W337" s="444">
        <f>3*420+74-20-1</f>
        <v>1313</v>
      </c>
    </row>
    <row r="338" spans="1:39" ht="26.25" customHeight="1" thickBot="1" x14ac:dyDescent="0.3">
      <c r="B338" s="19">
        <v>120</v>
      </c>
      <c r="C338" s="6" t="s">
        <v>18</v>
      </c>
      <c r="D338" s="23" t="s">
        <v>40</v>
      </c>
      <c r="E338" s="104" t="s">
        <v>77</v>
      </c>
      <c r="F338" s="208">
        <v>474</v>
      </c>
      <c r="G338" s="12" t="s">
        <v>0</v>
      </c>
      <c r="H338" s="39"/>
      <c r="I338" s="360">
        <v>0</v>
      </c>
      <c r="J338" s="39">
        <f t="shared" si="92"/>
        <v>0</v>
      </c>
      <c r="K338" s="309">
        <f t="shared" si="90"/>
        <v>4.24</v>
      </c>
      <c r="L338" s="154" t="s">
        <v>942</v>
      </c>
      <c r="M338" s="140"/>
      <c r="N338" s="503"/>
      <c r="O338" s="309">
        <f t="shared" si="91"/>
        <v>0</v>
      </c>
      <c r="P338" s="265" t="str">
        <f t="shared" si="86"/>
        <v>П8,5х13х8,5</v>
      </c>
      <c r="Q338" s="306">
        <f t="shared" si="88"/>
        <v>5.94</v>
      </c>
      <c r="R338" s="326">
        <v>4.95</v>
      </c>
      <c r="S338" s="353">
        <f t="shared" si="79"/>
        <v>0</v>
      </c>
      <c r="T338" s="148">
        <v>1014</v>
      </c>
      <c r="U338" s="20">
        <f t="shared" si="93"/>
        <v>0</v>
      </c>
      <c r="V338" s="52">
        <f t="shared" si="94"/>
        <v>-150</v>
      </c>
      <c r="W338" s="444">
        <f>1014-150</f>
        <v>864</v>
      </c>
    </row>
    <row r="339" spans="1:39" ht="26.25" hidden="1" customHeight="1" x14ac:dyDescent="0.25">
      <c r="B339" s="19"/>
      <c r="C339" s="6" t="s">
        <v>18</v>
      </c>
      <c r="D339" s="23" t="s">
        <v>40</v>
      </c>
      <c r="E339" s="104" t="s">
        <v>313</v>
      </c>
      <c r="F339" s="208">
        <v>1108</v>
      </c>
      <c r="G339" s="48"/>
      <c r="H339" s="39"/>
      <c r="I339" s="309">
        <v>0</v>
      </c>
      <c r="J339" s="39">
        <f t="shared" si="92"/>
        <v>0</v>
      </c>
      <c r="K339" s="309">
        <f t="shared" si="90"/>
        <v>0.09</v>
      </c>
      <c r="L339" s="116"/>
      <c r="M339" s="140"/>
      <c r="N339" s="39"/>
      <c r="O339" s="490">
        <f t="shared" si="91"/>
        <v>0</v>
      </c>
      <c r="P339" s="262" t="str">
        <f t="shared" si="86"/>
        <v>П10х4х1</v>
      </c>
      <c r="Q339" s="377">
        <f t="shared" si="88"/>
        <v>0.12</v>
      </c>
      <c r="R339" s="319">
        <v>0.1</v>
      </c>
      <c r="S339" s="353">
        <f t="shared" si="79"/>
        <v>0</v>
      </c>
      <c r="T339" s="70">
        <f>7500-60</f>
        <v>7440</v>
      </c>
      <c r="U339" s="20">
        <f t="shared" si="93"/>
        <v>0</v>
      </c>
      <c r="V339" s="52">
        <f t="shared" si="94"/>
        <v>0</v>
      </c>
      <c r="W339" s="70">
        <f>7500-60</f>
        <v>7440</v>
      </c>
      <c r="X339" s="10">
        <v>1</v>
      </c>
    </row>
    <row r="340" spans="1:39" ht="26.25" hidden="1" customHeight="1" x14ac:dyDescent="0.25">
      <c r="B340" s="19"/>
      <c r="C340" s="6" t="s">
        <v>18</v>
      </c>
      <c r="D340" s="23" t="s">
        <v>40</v>
      </c>
      <c r="E340" s="104" t="s">
        <v>385</v>
      </c>
      <c r="F340" s="208"/>
      <c r="G340" s="48"/>
      <c r="H340" s="39"/>
      <c r="I340" s="309">
        <v>0</v>
      </c>
      <c r="J340" s="39">
        <f t="shared" si="92"/>
        <v>0</v>
      </c>
      <c r="K340" s="309">
        <f t="shared" si="90"/>
        <v>0</v>
      </c>
      <c r="L340" s="116"/>
      <c r="M340" s="140"/>
      <c r="N340" s="39"/>
      <c r="O340" s="309">
        <f t="shared" si="91"/>
        <v>0</v>
      </c>
      <c r="P340" s="235" t="str">
        <f t="shared" si="86"/>
        <v>П10х10х0,5</v>
      </c>
      <c r="Q340" s="377">
        <f t="shared" si="88"/>
        <v>0</v>
      </c>
      <c r="R340" s="319">
        <v>0</v>
      </c>
      <c r="S340" s="353">
        <f t="shared" si="79"/>
        <v>0</v>
      </c>
      <c r="T340" s="20">
        <v>192</v>
      </c>
      <c r="U340" s="20">
        <f t="shared" si="93"/>
        <v>0</v>
      </c>
      <c r="V340" s="52">
        <f t="shared" si="94"/>
        <v>0</v>
      </c>
      <c r="W340" s="20">
        <v>192</v>
      </c>
      <c r="X340" s="10">
        <v>1</v>
      </c>
    </row>
    <row r="341" spans="1:39" ht="26.25" hidden="1" customHeight="1" x14ac:dyDescent="0.25">
      <c r="B341" s="15"/>
      <c r="C341" s="6" t="s">
        <v>18</v>
      </c>
      <c r="D341" s="23" t="s">
        <v>40</v>
      </c>
      <c r="E341" s="107" t="s">
        <v>100</v>
      </c>
      <c r="F341" s="208">
        <v>588</v>
      </c>
      <c r="G341" s="48"/>
      <c r="H341" s="39"/>
      <c r="I341" s="360">
        <v>0</v>
      </c>
      <c r="J341" s="39">
        <f t="shared" si="92"/>
        <v>0</v>
      </c>
      <c r="K341" s="309">
        <f t="shared" si="90"/>
        <v>2.61</v>
      </c>
      <c r="L341" s="363" t="s">
        <v>469</v>
      </c>
      <c r="M341" s="140"/>
      <c r="N341" s="513"/>
      <c r="O341" s="468">
        <f t="shared" si="91"/>
        <v>0</v>
      </c>
      <c r="P341" s="263" t="str">
        <f t="shared" si="86"/>
        <v>П10х10х7</v>
      </c>
      <c r="Q341" s="377">
        <f t="shared" si="88"/>
        <v>3.66</v>
      </c>
      <c r="R341" s="339">
        <v>3.05</v>
      </c>
      <c r="S341" s="353">
        <f t="shared" si="79"/>
        <v>0</v>
      </c>
      <c r="T341" s="70">
        <v>10</v>
      </c>
      <c r="U341" s="20">
        <f t="shared" si="93"/>
        <v>0</v>
      </c>
      <c r="V341" s="52">
        <f t="shared" si="94"/>
        <v>0</v>
      </c>
      <c r="W341" s="20">
        <v>10</v>
      </c>
      <c r="X341" s="10">
        <v>1</v>
      </c>
    </row>
    <row r="342" spans="1:39" ht="26.25" hidden="1" customHeight="1" x14ac:dyDescent="0.25">
      <c r="B342" s="19"/>
      <c r="C342" s="6" t="s">
        <v>18</v>
      </c>
      <c r="D342" s="23" t="s">
        <v>40</v>
      </c>
      <c r="E342" s="107" t="s">
        <v>364</v>
      </c>
      <c r="F342" s="208">
        <v>567</v>
      </c>
      <c r="G342" s="48"/>
      <c r="H342" s="39"/>
      <c r="I342" s="360"/>
      <c r="J342" s="39">
        <f t="shared" si="92"/>
        <v>0</v>
      </c>
      <c r="K342" s="309">
        <v>1.53</v>
      </c>
      <c r="L342" s="155" t="s">
        <v>841</v>
      </c>
      <c r="M342" s="140"/>
      <c r="N342" s="39"/>
      <c r="O342" s="309"/>
      <c r="P342" s="51" t="str">
        <f t="shared" si="86"/>
        <v>П14х7х2,5 для Рифтека</v>
      </c>
      <c r="Q342" s="377">
        <f t="shared" si="88"/>
        <v>2.2799999999999998</v>
      </c>
      <c r="R342" s="319">
        <v>1.9</v>
      </c>
      <c r="S342" s="353">
        <f t="shared" si="79"/>
        <v>0</v>
      </c>
      <c r="T342" s="70">
        <f>852-200+1000</f>
        <v>1652</v>
      </c>
      <c r="U342" s="20">
        <f t="shared" si="93"/>
        <v>0</v>
      </c>
      <c r="V342" s="52">
        <f t="shared" si="94"/>
        <v>0</v>
      </c>
      <c r="W342" s="20">
        <f>852-200+1000</f>
        <v>1652</v>
      </c>
      <c r="X342" s="10">
        <v>1</v>
      </c>
    </row>
    <row r="343" spans="1:39" ht="26.25" customHeight="1" x14ac:dyDescent="0.25">
      <c r="B343" s="11">
        <v>121</v>
      </c>
      <c r="C343" s="6" t="s">
        <v>18</v>
      </c>
      <c r="D343" s="23" t="s">
        <v>40</v>
      </c>
      <c r="E343" s="107" t="s">
        <v>484</v>
      </c>
      <c r="F343" s="208">
        <v>588</v>
      </c>
      <c r="G343" s="12" t="s">
        <v>0</v>
      </c>
      <c r="H343" s="39">
        <v>1000</v>
      </c>
      <c r="I343" s="360">
        <v>1630</v>
      </c>
      <c r="J343" s="39">
        <f t="shared" si="92"/>
        <v>0</v>
      </c>
      <c r="K343" s="309">
        <f t="shared" ref="K343:K367" si="95">Q343/1.4</f>
        <v>1.63</v>
      </c>
      <c r="L343" s="154" t="s">
        <v>943</v>
      </c>
      <c r="M343" s="141">
        <v>1000</v>
      </c>
      <c r="N343" s="39"/>
      <c r="O343" s="490">
        <f t="shared" ref="O343:O376" si="96">K343*N343</f>
        <v>0</v>
      </c>
      <c r="P343" s="262" t="str">
        <f t="shared" si="86"/>
        <v>П14х7х2,4</v>
      </c>
      <c r="Q343" s="377">
        <f t="shared" ref="Q343:Q374" si="97">R343*1.2</f>
        <v>2.2799999999999998</v>
      </c>
      <c r="R343" s="326">
        <v>1.9</v>
      </c>
      <c r="S343" s="353">
        <f t="shared" si="79"/>
        <v>0</v>
      </c>
      <c r="T343" s="430">
        <v>808</v>
      </c>
      <c r="U343" s="20">
        <f t="shared" si="93"/>
        <v>1000</v>
      </c>
      <c r="V343" s="52">
        <f t="shared" si="94"/>
        <v>1000</v>
      </c>
      <c r="W343" s="18">
        <v>808</v>
      </c>
      <c r="X343" s="10">
        <v>1</v>
      </c>
    </row>
    <row r="344" spans="1:39" ht="26.25" hidden="1" customHeight="1" thickBot="1" x14ac:dyDescent="0.3">
      <c r="B344" s="19"/>
      <c r="C344" s="6" t="s">
        <v>18</v>
      </c>
      <c r="D344" s="23" t="s">
        <v>40</v>
      </c>
      <c r="E344" s="107" t="s">
        <v>764</v>
      </c>
      <c r="F344" s="208">
        <v>1437</v>
      </c>
      <c r="G344" s="48" t="s">
        <v>0</v>
      </c>
      <c r="H344" s="39"/>
      <c r="I344" s="360">
        <v>0</v>
      </c>
      <c r="J344" s="39">
        <f t="shared" si="92"/>
        <v>0</v>
      </c>
      <c r="K344" s="309">
        <f t="shared" si="95"/>
        <v>2.57</v>
      </c>
      <c r="L344" s="155" t="s">
        <v>716</v>
      </c>
      <c r="M344" s="141"/>
      <c r="N344" s="39"/>
      <c r="O344" s="467">
        <f t="shared" si="96"/>
        <v>0</v>
      </c>
      <c r="P344" s="256" t="str">
        <f t="shared" si="86"/>
        <v>П20х8х3</v>
      </c>
      <c r="Q344" s="377">
        <f t="shared" si="97"/>
        <v>3.6</v>
      </c>
      <c r="R344" s="326">
        <v>3</v>
      </c>
      <c r="S344" s="353">
        <f t="shared" si="79"/>
        <v>0</v>
      </c>
      <c r="T344" s="147">
        <v>100</v>
      </c>
      <c r="U344" s="20">
        <f t="shared" si="93"/>
        <v>0</v>
      </c>
      <c r="V344" s="52">
        <f t="shared" si="94"/>
        <v>0</v>
      </c>
      <c r="W344" s="848">
        <v>100</v>
      </c>
    </row>
    <row r="345" spans="1:39" s="4" customFormat="1" ht="26.25" hidden="1" customHeight="1" x14ac:dyDescent="0.25">
      <c r="A345" s="10"/>
      <c r="B345" s="14"/>
      <c r="C345" s="6" t="s">
        <v>18</v>
      </c>
      <c r="D345" s="23" t="s">
        <v>40</v>
      </c>
      <c r="E345" s="107" t="s">
        <v>672</v>
      </c>
      <c r="F345" s="208">
        <v>892</v>
      </c>
      <c r="G345" s="14" t="s">
        <v>0</v>
      </c>
      <c r="H345" s="39"/>
      <c r="I345" s="309">
        <v>0</v>
      </c>
      <c r="J345" s="39">
        <f t="shared" si="92"/>
        <v>0</v>
      </c>
      <c r="K345" s="309">
        <f t="shared" si="95"/>
        <v>1.03</v>
      </c>
      <c r="L345" s="72" t="s">
        <v>261</v>
      </c>
      <c r="M345" s="140"/>
      <c r="N345" s="39"/>
      <c r="O345" s="309">
        <f t="shared" si="96"/>
        <v>0</v>
      </c>
      <c r="P345" s="262" t="str">
        <f t="shared" si="86"/>
        <v>П20х20х5</v>
      </c>
      <c r="Q345" s="377">
        <f t="shared" si="97"/>
        <v>1.44</v>
      </c>
      <c r="R345" s="326">
        <v>1.2</v>
      </c>
      <c r="S345" s="353">
        <f t="shared" si="79"/>
        <v>0</v>
      </c>
      <c r="T345" s="430">
        <v>25</v>
      </c>
      <c r="U345" s="20">
        <f t="shared" si="93"/>
        <v>0</v>
      </c>
      <c r="V345" s="52">
        <f t="shared" si="94"/>
        <v>0</v>
      </c>
      <c r="W345" s="18">
        <v>25</v>
      </c>
      <c r="X345" s="10">
        <v>1</v>
      </c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</row>
    <row r="346" spans="1:39" ht="26.25" hidden="1" customHeight="1" x14ac:dyDescent="0.25">
      <c r="B346" s="15"/>
      <c r="C346" s="6" t="s">
        <v>18</v>
      </c>
      <c r="D346" s="23" t="s">
        <v>40</v>
      </c>
      <c r="E346" s="104" t="s">
        <v>149</v>
      </c>
      <c r="F346" s="387"/>
      <c r="G346" s="19"/>
      <c r="H346" s="39"/>
      <c r="I346" s="309">
        <v>0</v>
      </c>
      <c r="J346" s="39">
        <f t="shared" si="92"/>
        <v>0</v>
      </c>
      <c r="K346" s="309">
        <f t="shared" si="95"/>
        <v>0</v>
      </c>
      <c r="L346" s="90"/>
      <c r="M346" s="140"/>
      <c r="N346" s="39"/>
      <c r="O346" s="309">
        <f t="shared" si="96"/>
        <v>0</v>
      </c>
      <c r="P346" s="235" t="str">
        <f t="shared" si="86"/>
        <v>П17х6х2</v>
      </c>
      <c r="Q346" s="377">
        <f t="shared" si="97"/>
        <v>0</v>
      </c>
      <c r="R346" s="321">
        <v>0</v>
      </c>
      <c r="S346" s="353">
        <f t="shared" si="79"/>
        <v>0</v>
      </c>
      <c r="T346" s="430">
        <v>880</v>
      </c>
      <c r="U346" s="20">
        <f t="shared" si="93"/>
        <v>0</v>
      </c>
      <c r="V346" s="52">
        <f t="shared" si="94"/>
        <v>0</v>
      </c>
      <c r="W346" s="18">
        <v>880</v>
      </c>
      <c r="X346" s="10">
        <v>1</v>
      </c>
    </row>
    <row r="347" spans="1:39" ht="26.25" hidden="1" customHeight="1" x14ac:dyDescent="0.25">
      <c r="B347" s="15"/>
      <c r="C347" s="6" t="s">
        <v>18</v>
      </c>
      <c r="D347" s="23" t="s">
        <v>40</v>
      </c>
      <c r="E347" s="104" t="s">
        <v>445</v>
      </c>
      <c r="F347" s="387" t="s">
        <v>448</v>
      </c>
      <c r="G347" s="19"/>
      <c r="H347" s="39"/>
      <c r="I347" s="309">
        <v>0</v>
      </c>
      <c r="J347" s="39">
        <f t="shared" si="92"/>
        <v>0</v>
      </c>
      <c r="K347" s="309">
        <f t="shared" si="95"/>
        <v>1.04</v>
      </c>
      <c r="L347" s="90"/>
      <c r="M347" s="140"/>
      <c r="N347" s="39"/>
      <c r="O347" s="309">
        <f t="shared" si="96"/>
        <v>0</v>
      </c>
      <c r="P347" s="235" t="str">
        <f t="shared" si="86"/>
        <v>П20х5х2</v>
      </c>
      <c r="Q347" s="377">
        <f t="shared" si="97"/>
        <v>1.45</v>
      </c>
      <c r="R347" s="320">
        <v>1.21</v>
      </c>
      <c r="S347" s="353">
        <f t="shared" si="79"/>
        <v>0</v>
      </c>
      <c r="T347" s="430">
        <v>24</v>
      </c>
      <c r="U347" s="20">
        <f t="shared" si="93"/>
        <v>0</v>
      </c>
      <c r="V347" s="52">
        <f t="shared" si="94"/>
        <v>0</v>
      </c>
      <c r="W347" s="18">
        <v>24</v>
      </c>
      <c r="X347" s="10">
        <v>1</v>
      </c>
    </row>
    <row r="348" spans="1:39" ht="26.25" hidden="1" customHeight="1" thickBot="1" x14ac:dyDescent="0.3">
      <c r="B348" s="15"/>
      <c r="C348" s="6" t="s">
        <v>18</v>
      </c>
      <c r="D348" s="23" t="s">
        <v>40</v>
      </c>
      <c r="E348" s="104" t="s">
        <v>763</v>
      </c>
      <c r="F348" s="387" t="s">
        <v>449</v>
      </c>
      <c r="G348" s="19"/>
      <c r="H348" s="39"/>
      <c r="I348" s="309">
        <v>0</v>
      </c>
      <c r="J348" s="39">
        <f t="shared" si="92"/>
        <v>0</v>
      </c>
      <c r="K348" s="309">
        <f t="shared" si="95"/>
        <v>1.56</v>
      </c>
      <c r="L348" s="90"/>
      <c r="M348" s="140"/>
      <c r="N348" s="39"/>
      <c r="O348" s="309">
        <f t="shared" si="96"/>
        <v>0</v>
      </c>
      <c r="P348" s="263" t="str">
        <f t="shared" si="86"/>
        <v>П26х15х4 б/п</v>
      </c>
      <c r="Q348" s="377">
        <f t="shared" si="97"/>
        <v>2.19</v>
      </c>
      <c r="R348" s="320">
        <v>1.825</v>
      </c>
      <c r="S348" s="353">
        <f t="shared" si="79"/>
        <v>0</v>
      </c>
      <c r="T348" s="430">
        <v>5</v>
      </c>
      <c r="U348" s="20">
        <f t="shared" si="93"/>
        <v>0</v>
      </c>
      <c r="V348" s="52">
        <f t="shared" si="94"/>
        <v>0</v>
      </c>
      <c r="W348" s="848">
        <v>5</v>
      </c>
    </row>
    <row r="349" spans="1:39" ht="26.25" hidden="1" customHeight="1" x14ac:dyDescent="0.25">
      <c r="B349" s="15"/>
      <c r="C349" s="6" t="s">
        <v>18</v>
      </c>
      <c r="D349" s="23" t="s">
        <v>40</v>
      </c>
      <c r="E349" s="107" t="s">
        <v>249</v>
      </c>
      <c r="F349" s="208">
        <v>541</v>
      </c>
      <c r="G349" s="12" t="s">
        <v>0</v>
      </c>
      <c r="H349" s="39"/>
      <c r="I349" s="309">
        <v>0</v>
      </c>
      <c r="J349" s="39">
        <f t="shared" si="92"/>
        <v>0</v>
      </c>
      <c r="K349" s="309">
        <f t="shared" si="95"/>
        <v>5.14</v>
      </c>
      <c r="L349" s="158" t="s">
        <v>503</v>
      </c>
      <c r="M349" s="140"/>
      <c r="N349" s="39"/>
      <c r="O349" s="309">
        <f t="shared" si="96"/>
        <v>0</v>
      </c>
      <c r="P349" s="403" t="str">
        <f t="shared" si="86"/>
        <v>П20х10х7,5</v>
      </c>
      <c r="Q349" s="377">
        <f t="shared" si="97"/>
        <v>7.2</v>
      </c>
      <c r="R349" s="326">
        <v>6</v>
      </c>
      <c r="S349" s="353">
        <f t="shared" si="79"/>
        <v>0</v>
      </c>
      <c r="T349" s="430">
        <f>240+55</f>
        <v>295</v>
      </c>
      <c r="U349" s="20">
        <f t="shared" si="93"/>
        <v>0</v>
      </c>
      <c r="V349" s="52">
        <f t="shared" si="94"/>
        <v>0</v>
      </c>
      <c r="W349" s="18">
        <f>240+55</f>
        <v>295</v>
      </c>
      <c r="X349" s="10">
        <v>1</v>
      </c>
    </row>
    <row r="350" spans="1:39" ht="26.25" customHeight="1" x14ac:dyDescent="0.25">
      <c r="B350" s="14">
        <v>122</v>
      </c>
      <c r="C350" s="6" t="s">
        <v>18</v>
      </c>
      <c r="D350" s="23" t="s">
        <v>40</v>
      </c>
      <c r="E350" s="107" t="s">
        <v>387</v>
      </c>
      <c r="F350" s="208">
        <v>1123</v>
      </c>
      <c r="G350" s="12" t="s">
        <v>0</v>
      </c>
      <c r="H350" s="39">
        <v>50</v>
      </c>
      <c r="I350" s="360">
        <v>253</v>
      </c>
      <c r="J350" s="39">
        <f t="shared" si="92"/>
        <v>0</v>
      </c>
      <c r="K350" s="309">
        <f t="shared" si="95"/>
        <v>5.0599999999999996</v>
      </c>
      <c r="L350" s="64" t="s">
        <v>842</v>
      </c>
      <c r="M350" s="140"/>
      <c r="N350" s="39">
        <v>50</v>
      </c>
      <c r="O350" s="360">
        <f t="shared" si="96"/>
        <v>253</v>
      </c>
      <c r="P350" s="51" t="str">
        <f t="shared" si="86"/>
        <v>П20х10х5</v>
      </c>
      <c r="Q350" s="377">
        <f t="shared" si="97"/>
        <v>7.08</v>
      </c>
      <c r="R350" s="319">
        <v>5.9</v>
      </c>
      <c r="S350" s="353">
        <f t="shared" si="79"/>
        <v>0</v>
      </c>
      <c r="T350" s="70">
        <v>80</v>
      </c>
      <c r="U350" s="20">
        <f t="shared" si="93"/>
        <v>0</v>
      </c>
      <c r="V350" s="52">
        <f t="shared" si="94"/>
        <v>0</v>
      </c>
      <c r="W350" s="20">
        <v>80</v>
      </c>
      <c r="X350" s="10">
        <v>1</v>
      </c>
    </row>
    <row r="351" spans="1:39" ht="26.25" hidden="1" customHeight="1" x14ac:dyDescent="0.25">
      <c r="B351" s="14"/>
      <c r="C351" s="6" t="s">
        <v>18</v>
      </c>
      <c r="D351" s="23" t="s">
        <v>40</v>
      </c>
      <c r="E351" s="107" t="s">
        <v>312</v>
      </c>
      <c r="F351" s="208"/>
      <c r="G351" s="14"/>
      <c r="H351" s="39"/>
      <c r="I351" s="309">
        <v>0</v>
      </c>
      <c r="J351" s="39">
        <f t="shared" si="92"/>
        <v>0</v>
      </c>
      <c r="K351" s="309">
        <f t="shared" si="95"/>
        <v>0</v>
      </c>
      <c r="L351" s="273"/>
      <c r="M351" s="140"/>
      <c r="N351" s="39"/>
      <c r="O351" s="309">
        <f t="shared" si="96"/>
        <v>0</v>
      </c>
      <c r="P351" s="262" t="str">
        <f t="shared" si="86"/>
        <v>П18х18х3</v>
      </c>
      <c r="Q351" s="377">
        <f t="shared" si="97"/>
        <v>0</v>
      </c>
      <c r="R351" s="319">
        <v>0</v>
      </c>
      <c r="S351" s="353">
        <f t="shared" si="79"/>
        <v>0</v>
      </c>
      <c r="T351" s="70">
        <v>50</v>
      </c>
      <c r="U351" s="20">
        <f t="shared" si="93"/>
        <v>0</v>
      </c>
      <c r="V351" s="52">
        <f t="shared" si="94"/>
        <v>0</v>
      </c>
      <c r="W351" s="20">
        <v>50</v>
      </c>
      <c r="X351" s="10">
        <v>1</v>
      </c>
    </row>
    <row r="352" spans="1:39" ht="26.25" hidden="1" customHeight="1" x14ac:dyDescent="0.25">
      <c r="B352" s="14"/>
      <c r="C352" s="6" t="s">
        <v>18</v>
      </c>
      <c r="D352" s="23" t="s">
        <v>40</v>
      </c>
      <c r="E352" s="107" t="s">
        <v>254</v>
      </c>
      <c r="F352" s="208">
        <v>757</v>
      </c>
      <c r="G352" s="48" t="s">
        <v>0</v>
      </c>
      <c r="H352" s="39"/>
      <c r="I352" s="309">
        <v>0</v>
      </c>
      <c r="J352" s="39">
        <f t="shared" si="92"/>
        <v>0</v>
      </c>
      <c r="K352" s="309">
        <f t="shared" si="95"/>
        <v>4.63</v>
      </c>
      <c r="L352" s="94" t="s">
        <v>718</v>
      </c>
      <c r="M352" s="140"/>
      <c r="N352" s="39"/>
      <c r="O352" s="309">
        <f t="shared" si="96"/>
        <v>0</v>
      </c>
      <c r="P352" s="263" t="str">
        <f t="shared" si="86"/>
        <v>П26х19х3</v>
      </c>
      <c r="Q352" s="377">
        <f t="shared" si="97"/>
        <v>6.48</v>
      </c>
      <c r="R352" s="319">
        <v>5.4</v>
      </c>
      <c r="S352" s="353">
        <f t="shared" si="79"/>
        <v>0</v>
      </c>
      <c r="T352" s="70">
        <v>2</v>
      </c>
      <c r="U352" s="20">
        <f t="shared" si="93"/>
        <v>0</v>
      </c>
      <c r="V352" s="52">
        <f t="shared" si="94"/>
        <v>0</v>
      </c>
      <c r="W352" s="20">
        <v>2</v>
      </c>
      <c r="X352" s="10">
        <v>1</v>
      </c>
    </row>
    <row r="353" spans="1:39" ht="26.25" hidden="1" customHeight="1" x14ac:dyDescent="0.25">
      <c r="B353" s="14"/>
      <c r="C353" s="6" t="s">
        <v>18</v>
      </c>
      <c r="D353" s="23" t="s">
        <v>40</v>
      </c>
      <c r="E353" s="107" t="s">
        <v>722</v>
      </c>
      <c r="F353" s="208">
        <v>1398</v>
      </c>
      <c r="G353" s="48"/>
      <c r="H353" s="39"/>
      <c r="I353" s="360">
        <v>0</v>
      </c>
      <c r="J353" s="39">
        <f t="shared" si="92"/>
        <v>0</v>
      </c>
      <c r="K353" s="309">
        <f t="shared" si="95"/>
        <v>38.57</v>
      </c>
      <c r="L353" s="94" t="s">
        <v>806</v>
      </c>
      <c r="M353" s="140"/>
      <c r="N353" s="39"/>
      <c r="O353" s="360">
        <f t="shared" si="96"/>
        <v>0</v>
      </c>
      <c r="P353" s="260" t="str">
        <f t="shared" si="86"/>
        <v>П31х35х8</v>
      </c>
      <c r="Q353" s="377">
        <f t="shared" si="97"/>
        <v>54</v>
      </c>
      <c r="R353" s="319">
        <v>45</v>
      </c>
      <c r="S353" s="353">
        <f t="shared" si="79"/>
        <v>0</v>
      </c>
      <c r="T353" s="70"/>
      <c r="U353" s="20">
        <f t="shared" si="93"/>
        <v>0</v>
      </c>
      <c r="V353" s="52">
        <f t="shared" si="94"/>
        <v>0</v>
      </c>
      <c r="W353" s="20"/>
    </row>
    <row r="354" spans="1:39" ht="26.25" hidden="1" customHeight="1" x14ac:dyDescent="0.25">
      <c r="B354" s="14"/>
      <c r="C354" s="6" t="s">
        <v>18</v>
      </c>
      <c r="D354" s="23" t="s">
        <v>40</v>
      </c>
      <c r="E354" s="87" t="s">
        <v>758</v>
      </c>
      <c r="F354" s="208">
        <v>1332</v>
      </c>
      <c r="G354" s="48"/>
      <c r="H354" s="39"/>
      <c r="I354" s="360">
        <v>0</v>
      </c>
      <c r="J354" s="39">
        <f t="shared" si="92"/>
        <v>0</v>
      </c>
      <c r="K354" s="309">
        <f t="shared" si="95"/>
        <v>8.14</v>
      </c>
      <c r="L354" s="94" t="s">
        <v>807</v>
      </c>
      <c r="M354" s="140"/>
      <c r="N354" s="39"/>
      <c r="O354" s="360">
        <f t="shared" si="96"/>
        <v>0</v>
      </c>
      <c r="P354" s="51" t="str">
        <f t="shared" si="86"/>
        <v>К25х5(10)х5</v>
      </c>
      <c r="Q354" s="377">
        <f t="shared" si="97"/>
        <v>11.4</v>
      </c>
      <c r="R354" s="319">
        <v>9.5</v>
      </c>
      <c r="S354" s="353">
        <f t="shared" si="79"/>
        <v>0</v>
      </c>
      <c r="T354" s="70">
        <v>3</v>
      </c>
      <c r="U354" s="20">
        <f t="shared" si="93"/>
        <v>0</v>
      </c>
      <c r="V354" s="52">
        <f t="shared" si="94"/>
        <v>0</v>
      </c>
      <c r="W354" s="20">
        <v>3</v>
      </c>
      <c r="X354" s="10">
        <v>1</v>
      </c>
    </row>
    <row r="355" spans="1:39" ht="26.25" hidden="1" customHeight="1" x14ac:dyDescent="0.25">
      <c r="B355" s="14"/>
      <c r="C355" s="6" t="s">
        <v>18</v>
      </c>
      <c r="D355" s="23" t="s">
        <v>40</v>
      </c>
      <c r="E355" s="107" t="s">
        <v>381</v>
      </c>
      <c r="F355" s="208"/>
      <c r="G355" s="14"/>
      <c r="H355" s="39"/>
      <c r="I355" s="309">
        <v>0</v>
      </c>
      <c r="J355" s="39">
        <f t="shared" si="92"/>
        <v>0</v>
      </c>
      <c r="K355" s="309">
        <f t="shared" si="95"/>
        <v>0</v>
      </c>
      <c r="L355" s="273"/>
      <c r="M355" s="140"/>
      <c r="N355" s="39"/>
      <c r="O355" s="309">
        <f t="shared" si="96"/>
        <v>0</v>
      </c>
      <c r="P355" s="262" t="str">
        <f t="shared" si="86"/>
        <v xml:space="preserve">п30х16х3 R50 </v>
      </c>
      <c r="Q355" s="377">
        <f t="shared" si="97"/>
        <v>0</v>
      </c>
      <c r="R355" s="319">
        <v>0</v>
      </c>
      <c r="S355" s="353">
        <f t="shared" si="79"/>
        <v>0</v>
      </c>
      <c r="T355" s="70">
        <v>160</v>
      </c>
      <c r="U355" s="20">
        <f t="shared" si="93"/>
        <v>0</v>
      </c>
      <c r="V355" s="52">
        <f t="shared" si="94"/>
        <v>0</v>
      </c>
      <c r="W355" s="20">
        <v>160</v>
      </c>
      <c r="X355" s="10">
        <v>1</v>
      </c>
    </row>
    <row r="356" spans="1:39" ht="26.25" hidden="1" customHeight="1" x14ac:dyDescent="0.25">
      <c r="B356" s="14"/>
      <c r="C356" s="6" t="s">
        <v>18</v>
      </c>
      <c r="D356" s="23" t="s">
        <v>40</v>
      </c>
      <c r="E356" s="107" t="s">
        <v>446</v>
      </c>
      <c r="F356" s="208"/>
      <c r="G356" s="14"/>
      <c r="H356" s="39"/>
      <c r="I356" s="309">
        <v>0</v>
      </c>
      <c r="J356" s="39">
        <f t="shared" si="92"/>
        <v>0</v>
      </c>
      <c r="K356" s="309">
        <f t="shared" si="95"/>
        <v>0</v>
      </c>
      <c r="L356" s="273"/>
      <c r="M356" s="140"/>
      <c r="N356" s="39"/>
      <c r="O356" s="309">
        <f t="shared" si="96"/>
        <v>0</v>
      </c>
      <c r="P356" s="235" t="str">
        <f t="shared" si="86"/>
        <v>П5х2х20</v>
      </c>
      <c r="Q356" s="377">
        <f t="shared" si="97"/>
        <v>0</v>
      </c>
      <c r="R356" s="339">
        <v>0</v>
      </c>
      <c r="S356" s="353">
        <f t="shared" si="79"/>
        <v>0</v>
      </c>
      <c r="T356" s="70">
        <v>10</v>
      </c>
      <c r="U356" s="20">
        <f t="shared" si="93"/>
        <v>0</v>
      </c>
      <c r="V356" s="52">
        <f t="shared" si="94"/>
        <v>0</v>
      </c>
      <c r="W356" s="20">
        <v>10</v>
      </c>
      <c r="X356" s="10">
        <v>1</v>
      </c>
    </row>
    <row r="357" spans="1:39" ht="26.25" hidden="1" customHeight="1" x14ac:dyDescent="0.25">
      <c r="B357" s="14"/>
      <c r="C357" s="6" t="s">
        <v>18</v>
      </c>
      <c r="D357" s="23" t="s">
        <v>40</v>
      </c>
      <c r="E357" s="1" t="s">
        <v>613</v>
      </c>
      <c r="F357" s="208">
        <v>1207</v>
      </c>
      <c r="G357" s="14"/>
      <c r="H357" s="39"/>
      <c r="I357" s="309">
        <v>0</v>
      </c>
      <c r="J357" s="39">
        <f t="shared" si="92"/>
        <v>0</v>
      </c>
      <c r="K357" s="309">
        <f t="shared" si="95"/>
        <v>34.29</v>
      </c>
      <c r="L357" s="273"/>
      <c r="M357" s="140"/>
      <c r="N357" s="39"/>
      <c r="O357" s="309">
        <f t="shared" si="96"/>
        <v>0</v>
      </c>
      <c r="P357" s="235" t="str">
        <f t="shared" si="86"/>
        <v>П30х10х4</v>
      </c>
      <c r="Q357" s="377">
        <f t="shared" si="97"/>
        <v>48</v>
      </c>
      <c r="R357" s="319">
        <v>40</v>
      </c>
      <c r="S357" s="353">
        <f t="shared" si="79"/>
        <v>0</v>
      </c>
      <c r="T357" s="70">
        <v>73</v>
      </c>
      <c r="U357" s="20">
        <f t="shared" si="93"/>
        <v>0</v>
      </c>
      <c r="V357" s="52">
        <f t="shared" si="94"/>
        <v>0</v>
      </c>
      <c r="W357" s="20">
        <v>73</v>
      </c>
      <c r="X357" s="10">
        <v>1</v>
      </c>
    </row>
    <row r="358" spans="1:39" ht="26.25" hidden="1" customHeight="1" x14ac:dyDescent="0.25">
      <c r="B358" s="14"/>
      <c r="C358" s="6" t="s">
        <v>18</v>
      </c>
      <c r="D358" s="23" t="s">
        <v>40</v>
      </c>
      <c r="E358" s="107" t="s">
        <v>690</v>
      </c>
      <c r="F358" s="208">
        <v>1194</v>
      </c>
      <c r="G358" s="14"/>
      <c r="H358" s="39"/>
      <c r="I358" s="309">
        <v>0</v>
      </c>
      <c r="J358" s="39">
        <f t="shared" si="92"/>
        <v>0</v>
      </c>
      <c r="K358" s="309">
        <f t="shared" si="95"/>
        <v>3.13</v>
      </c>
      <c r="L358" s="273"/>
      <c r="M358" s="140"/>
      <c r="N358" s="39"/>
      <c r="O358" s="309">
        <f t="shared" si="96"/>
        <v>0</v>
      </c>
      <c r="P358" s="235" t="str">
        <f t="shared" si="86"/>
        <v>П30х16х10</v>
      </c>
      <c r="Q358" s="377">
        <f t="shared" si="97"/>
        <v>4.38</v>
      </c>
      <c r="R358" s="319">
        <v>3.65</v>
      </c>
      <c r="S358" s="353">
        <f t="shared" si="79"/>
        <v>0</v>
      </c>
      <c r="T358" s="70">
        <v>9</v>
      </c>
      <c r="U358" s="20">
        <f t="shared" si="93"/>
        <v>0</v>
      </c>
      <c r="V358" s="52">
        <f t="shared" si="94"/>
        <v>0</v>
      </c>
      <c r="W358" s="20">
        <v>9</v>
      </c>
      <c r="X358" s="10">
        <v>1</v>
      </c>
    </row>
    <row r="359" spans="1:39" ht="26.25" hidden="1" customHeight="1" x14ac:dyDescent="0.25">
      <c r="B359" s="14"/>
      <c r="C359" s="6" t="s">
        <v>18</v>
      </c>
      <c r="D359" s="23" t="s">
        <v>40</v>
      </c>
      <c r="E359" s="107" t="s">
        <v>584</v>
      </c>
      <c r="F359" s="208">
        <v>1345</v>
      </c>
      <c r="G359" s="14"/>
      <c r="H359" s="39"/>
      <c r="I359" s="309">
        <v>0</v>
      </c>
      <c r="J359" s="39">
        <f t="shared" si="92"/>
        <v>0</v>
      </c>
      <c r="K359" s="309">
        <f t="shared" si="95"/>
        <v>3</v>
      </c>
      <c r="L359" s="155" t="s">
        <v>593</v>
      </c>
      <c r="M359" s="140"/>
      <c r="N359" s="39"/>
      <c r="O359" s="309">
        <f t="shared" si="96"/>
        <v>0</v>
      </c>
      <c r="P359" s="235" t="str">
        <f t="shared" si="86"/>
        <v>П25х14х7</v>
      </c>
      <c r="Q359" s="377">
        <f t="shared" si="97"/>
        <v>4.2</v>
      </c>
      <c r="R359" s="319">
        <v>3.5</v>
      </c>
      <c r="S359" s="353">
        <f t="shared" ref="S359:S422" si="98">R359*J359</f>
        <v>0</v>
      </c>
      <c r="T359" s="70">
        <f>126*6+29</f>
        <v>785</v>
      </c>
      <c r="U359" s="20">
        <f t="shared" si="93"/>
        <v>0</v>
      </c>
      <c r="V359" s="52">
        <f t="shared" si="94"/>
        <v>0</v>
      </c>
      <c r="W359" s="20">
        <f>126*6+29</f>
        <v>785</v>
      </c>
      <c r="X359" s="10">
        <v>1</v>
      </c>
    </row>
    <row r="360" spans="1:39" ht="26.25" hidden="1" customHeight="1" x14ac:dyDescent="0.25">
      <c r="B360" s="14"/>
      <c r="C360" s="6" t="s">
        <v>18</v>
      </c>
      <c r="D360" s="23" t="s">
        <v>40</v>
      </c>
      <c r="E360" s="107" t="s">
        <v>222</v>
      </c>
      <c r="F360" s="208"/>
      <c r="G360" s="14"/>
      <c r="H360" s="39"/>
      <c r="I360" s="309">
        <v>0</v>
      </c>
      <c r="J360" s="39">
        <f t="shared" si="92"/>
        <v>0</v>
      </c>
      <c r="K360" s="309">
        <f t="shared" si="95"/>
        <v>0</v>
      </c>
      <c r="L360" s="273"/>
      <c r="M360" s="140"/>
      <c r="N360" s="39"/>
      <c r="O360" s="309">
        <f t="shared" si="96"/>
        <v>0</v>
      </c>
      <c r="P360" s="235" t="str">
        <f t="shared" si="86"/>
        <v>П40х20х10</v>
      </c>
      <c r="Q360" s="377">
        <f t="shared" si="97"/>
        <v>0</v>
      </c>
      <c r="R360" s="326">
        <v>0</v>
      </c>
      <c r="S360" s="353">
        <f t="shared" si="98"/>
        <v>0</v>
      </c>
      <c r="T360" s="70">
        <v>60</v>
      </c>
      <c r="U360" s="20">
        <f t="shared" si="93"/>
        <v>0</v>
      </c>
      <c r="V360" s="52">
        <f t="shared" si="94"/>
        <v>0</v>
      </c>
      <c r="W360" s="20">
        <v>60</v>
      </c>
      <c r="X360" s="10">
        <v>1</v>
      </c>
    </row>
    <row r="361" spans="1:39" s="4" customFormat="1" ht="26.25" hidden="1" customHeight="1" x14ac:dyDescent="0.25">
      <c r="A361" s="10"/>
      <c r="B361" s="14"/>
      <c r="C361" s="6" t="s">
        <v>18</v>
      </c>
      <c r="D361" s="23" t="s">
        <v>40</v>
      </c>
      <c r="E361" s="107" t="s">
        <v>633</v>
      </c>
      <c r="F361" s="208"/>
      <c r="G361" s="14"/>
      <c r="H361" s="39"/>
      <c r="I361" s="309">
        <v>0</v>
      </c>
      <c r="J361" s="39">
        <f t="shared" si="92"/>
        <v>0</v>
      </c>
      <c r="K361" s="309">
        <f t="shared" si="95"/>
        <v>0</v>
      </c>
      <c r="L361" s="273"/>
      <c r="M361" s="140"/>
      <c r="N361" s="39"/>
      <c r="O361" s="309">
        <f t="shared" si="96"/>
        <v>0</v>
      </c>
      <c r="P361" s="235" t="str">
        <f t="shared" si="86"/>
        <v>П25х8х6</v>
      </c>
      <c r="Q361" s="377">
        <f t="shared" si="97"/>
        <v>0</v>
      </c>
      <c r="R361" s="319">
        <v>0</v>
      </c>
      <c r="S361" s="353">
        <f t="shared" si="98"/>
        <v>0</v>
      </c>
      <c r="T361" s="70">
        <v>2</v>
      </c>
      <c r="U361" s="20">
        <f t="shared" si="93"/>
        <v>0</v>
      </c>
      <c r="V361" s="52">
        <f t="shared" si="94"/>
        <v>0</v>
      </c>
      <c r="W361" s="20">
        <v>2</v>
      </c>
      <c r="X361" s="10">
        <v>1</v>
      </c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</row>
    <row r="362" spans="1:39" ht="26.25" hidden="1" customHeight="1" x14ac:dyDescent="0.25">
      <c r="B362" s="14"/>
      <c r="C362" s="6" t="s">
        <v>18</v>
      </c>
      <c r="D362" s="23" t="s">
        <v>40</v>
      </c>
      <c r="E362" s="112" t="s">
        <v>320</v>
      </c>
      <c r="F362" s="208">
        <v>912</v>
      </c>
      <c r="G362" s="13" t="s">
        <v>0</v>
      </c>
      <c r="H362" s="39"/>
      <c r="I362" s="309">
        <v>0</v>
      </c>
      <c r="J362" s="39">
        <f t="shared" ref="J362:J379" si="99">M362+N362-H362</f>
        <v>0</v>
      </c>
      <c r="K362" s="309">
        <f t="shared" si="95"/>
        <v>10.29</v>
      </c>
      <c r="L362" s="273"/>
      <c r="M362" s="140"/>
      <c r="N362" s="39"/>
      <c r="O362" s="309">
        <f t="shared" si="96"/>
        <v>0</v>
      </c>
      <c r="P362" s="235" t="str">
        <f t="shared" si="86"/>
        <v>П31х26х4</v>
      </c>
      <c r="Q362" s="377">
        <f t="shared" si="97"/>
        <v>14.4</v>
      </c>
      <c r="R362" s="319">
        <v>12</v>
      </c>
      <c r="S362" s="353">
        <f t="shared" si="98"/>
        <v>0</v>
      </c>
      <c r="T362" s="70">
        <v>18</v>
      </c>
      <c r="U362" s="20">
        <f t="shared" si="93"/>
        <v>0</v>
      </c>
      <c r="V362" s="52">
        <f t="shared" si="94"/>
        <v>0</v>
      </c>
      <c r="W362" s="20">
        <v>18</v>
      </c>
      <c r="X362" s="10">
        <v>1</v>
      </c>
    </row>
    <row r="363" spans="1:39" ht="26.25" hidden="1" customHeight="1" x14ac:dyDescent="0.25">
      <c r="B363" s="14"/>
      <c r="C363" s="6" t="s">
        <v>18</v>
      </c>
      <c r="D363" s="23" t="s">
        <v>40</v>
      </c>
      <c r="E363" s="107" t="s">
        <v>305</v>
      </c>
      <c r="F363" s="208">
        <v>860</v>
      </c>
      <c r="G363" s="14"/>
      <c r="H363" s="39"/>
      <c r="I363" s="309">
        <v>0</v>
      </c>
      <c r="J363" s="39">
        <f t="shared" si="99"/>
        <v>0</v>
      </c>
      <c r="K363" s="309">
        <f t="shared" si="95"/>
        <v>2.83</v>
      </c>
      <c r="L363" s="273"/>
      <c r="M363" s="140"/>
      <c r="N363" s="39"/>
      <c r="O363" s="309">
        <f t="shared" si="96"/>
        <v>0</v>
      </c>
      <c r="P363" s="235" t="str">
        <f t="shared" si="86"/>
        <v>П41,5х23х1,5</v>
      </c>
      <c r="Q363" s="377">
        <f t="shared" si="97"/>
        <v>3.96</v>
      </c>
      <c r="R363" s="319">
        <v>3.3</v>
      </c>
      <c r="S363" s="353">
        <f t="shared" si="98"/>
        <v>0</v>
      </c>
      <c r="T363" s="70">
        <v>270</v>
      </c>
      <c r="U363" s="20">
        <f t="shared" ref="U363:U379" si="100">M363</f>
        <v>0</v>
      </c>
      <c r="V363" s="52">
        <f t="shared" ref="V363:V374" si="101">W363-T363+U363</f>
        <v>0</v>
      </c>
      <c r="W363" s="20">
        <v>270</v>
      </c>
      <c r="X363" s="10">
        <v>1</v>
      </c>
    </row>
    <row r="364" spans="1:39" ht="26.25" hidden="1" customHeight="1" x14ac:dyDescent="0.25">
      <c r="B364" s="14"/>
      <c r="C364" s="6" t="s">
        <v>18</v>
      </c>
      <c r="D364" s="23" t="s">
        <v>40</v>
      </c>
      <c r="E364" s="107" t="s">
        <v>382</v>
      </c>
      <c r="F364" s="208"/>
      <c r="G364" s="14"/>
      <c r="H364" s="39"/>
      <c r="I364" s="309">
        <v>0</v>
      </c>
      <c r="J364" s="39">
        <f t="shared" si="99"/>
        <v>0</v>
      </c>
      <c r="K364" s="309">
        <f t="shared" si="95"/>
        <v>0</v>
      </c>
      <c r="L364" s="273"/>
      <c r="M364" s="140"/>
      <c r="N364" s="39"/>
      <c r="O364" s="309">
        <f t="shared" si="96"/>
        <v>0</v>
      </c>
      <c r="P364" s="235" t="str">
        <f t="shared" si="86"/>
        <v>П40х40х2</v>
      </c>
      <c r="Q364" s="377">
        <f t="shared" si="97"/>
        <v>0</v>
      </c>
      <c r="R364" s="319">
        <v>0</v>
      </c>
      <c r="S364" s="353">
        <f t="shared" si="98"/>
        <v>0</v>
      </c>
      <c r="T364" s="70">
        <v>110</v>
      </c>
      <c r="U364" s="20">
        <f t="shared" si="100"/>
        <v>0</v>
      </c>
      <c r="V364" s="52">
        <f t="shared" si="101"/>
        <v>0</v>
      </c>
      <c r="W364" s="20">
        <v>110</v>
      </c>
      <c r="X364" s="10">
        <v>1</v>
      </c>
    </row>
    <row r="365" spans="1:39" ht="26.25" hidden="1" customHeight="1" thickBot="1" x14ac:dyDescent="0.3">
      <c r="B365" s="14"/>
      <c r="C365" s="6" t="s">
        <v>18</v>
      </c>
      <c r="D365" s="23" t="s">
        <v>40</v>
      </c>
      <c r="E365" s="107" t="s">
        <v>314</v>
      </c>
      <c r="F365" s="208">
        <v>1393</v>
      </c>
      <c r="G365" s="14"/>
      <c r="H365" s="39"/>
      <c r="I365" s="309">
        <v>0</v>
      </c>
      <c r="J365" s="39">
        <f t="shared" si="99"/>
        <v>0</v>
      </c>
      <c r="K365" s="309">
        <f t="shared" si="95"/>
        <v>6.43</v>
      </c>
      <c r="L365" s="155" t="s">
        <v>717</v>
      </c>
      <c r="M365" s="140"/>
      <c r="N365" s="39"/>
      <c r="O365" s="309">
        <f t="shared" si="96"/>
        <v>0</v>
      </c>
      <c r="P365" s="263" t="str">
        <f t="shared" si="86"/>
        <v>П30х20х10</v>
      </c>
      <c r="Q365" s="377">
        <f t="shared" si="97"/>
        <v>9</v>
      </c>
      <c r="R365" s="319">
        <v>7.5</v>
      </c>
      <c r="S365" s="353">
        <f t="shared" si="98"/>
        <v>0</v>
      </c>
      <c r="T365" s="70">
        <v>29</v>
      </c>
      <c r="U365" s="20">
        <f t="shared" si="100"/>
        <v>0</v>
      </c>
      <c r="V365" s="52">
        <f t="shared" si="101"/>
        <v>0</v>
      </c>
      <c r="W365" s="20">
        <v>29</v>
      </c>
      <c r="X365" s="10">
        <v>1</v>
      </c>
    </row>
    <row r="366" spans="1:39" ht="26.25" hidden="1" customHeight="1" thickBot="1" x14ac:dyDescent="0.3">
      <c r="B366" s="14"/>
      <c r="C366" s="6" t="s">
        <v>18</v>
      </c>
      <c r="D366" s="23" t="s">
        <v>40</v>
      </c>
      <c r="E366" s="107" t="s">
        <v>386</v>
      </c>
      <c r="F366" s="208">
        <v>1257</v>
      </c>
      <c r="G366" s="12" t="s">
        <v>0</v>
      </c>
      <c r="H366" s="39"/>
      <c r="I366" s="309">
        <v>0</v>
      </c>
      <c r="J366" s="39">
        <f t="shared" si="99"/>
        <v>0</v>
      </c>
      <c r="K366" s="309">
        <f t="shared" si="95"/>
        <v>11.06</v>
      </c>
      <c r="L366" s="158" t="s">
        <v>504</v>
      </c>
      <c r="M366" s="140"/>
      <c r="N366" s="39"/>
      <c r="O366" s="309">
        <f t="shared" si="96"/>
        <v>0</v>
      </c>
      <c r="P366" s="265" t="str">
        <f t="shared" si="86"/>
        <v>П40х10х10</v>
      </c>
      <c r="Q366" s="377">
        <f t="shared" si="97"/>
        <v>15.49</v>
      </c>
      <c r="R366" s="319">
        <v>12.912000000000001</v>
      </c>
      <c r="S366" s="353">
        <f t="shared" si="98"/>
        <v>0</v>
      </c>
      <c r="T366" s="70">
        <v>9</v>
      </c>
      <c r="U366" s="20">
        <f t="shared" si="100"/>
        <v>0</v>
      </c>
      <c r="V366" s="52">
        <f t="shared" si="101"/>
        <v>0</v>
      </c>
      <c r="W366" s="20">
        <v>9</v>
      </c>
      <c r="X366" s="10">
        <v>1</v>
      </c>
    </row>
    <row r="367" spans="1:39" ht="26.25" hidden="1" customHeight="1" x14ac:dyDescent="0.3">
      <c r="B367" s="14"/>
      <c r="C367" s="6" t="s">
        <v>18</v>
      </c>
      <c r="D367" s="23" t="s">
        <v>40</v>
      </c>
      <c r="E367" s="106" t="s">
        <v>370</v>
      </c>
      <c r="F367" s="208">
        <v>1488</v>
      </c>
      <c r="G367" s="14"/>
      <c r="H367" s="39"/>
      <c r="I367" s="309">
        <v>0</v>
      </c>
      <c r="J367" s="39">
        <f t="shared" si="99"/>
        <v>0</v>
      </c>
      <c r="K367" s="309">
        <f t="shared" si="95"/>
        <v>5.14</v>
      </c>
      <c r="L367" s="64" t="s">
        <v>843</v>
      </c>
      <c r="M367" s="140"/>
      <c r="N367" s="39"/>
      <c r="O367" s="309">
        <f t="shared" si="96"/>
        <v>0</v>
      </c>
      <c r="P367" s="262" t="str">
        <f t="shared" si="86"/>
        <v>П40х10х5</v>
      </c>
      <c r="Q367" s="377">
        <f t="shared" si="97"/>
        <v>7.2</v>
      </c>
      <c r="R367" s="319">
        <v>6</v>
      </c>
      <c r="S367" s="353">
        <f t="shared" si="98"/>
        <v>0</v>
      </c>
      <c r="T367" s="431"/>
      <c r="U367" s="20">
        <f t="shared" si="100"/>
        <v>0</v>
      </c>
      <c r="V367" s="52">
        <f t="shared" si="101"/>
        <v>0</v>
      </c>
      <c r="W367" s="74"/>
    </row>
    <row r="368" spans="1:39" ht="26.25" hidden="1" customHeight="1" x14ac:dyDescent="0.25">
      <c r="B368" s="19"/>
      <c r="C368" s="6" t="s">
        <v>18</v>
      </c>
      <c r="D368" s="23" t="s">
        <v>40</v>
      </c>
      <c r="E368" s="106" t="s">
        <v>202</v>
      </c>
      <c r="F368" s="385" t="s">
        <v>219</v>
      </c>
      <c r="G368" s="48" t="s">
        <v>0</v>
      </c>
      <c r="H368" s="39"/>
      <c r="I368" s="360">
        <v>0</v>
      </c>
      <c r="J368" s="39">
        <f t="shared" si="99"/>
        <v>0</v>
      </c>
      <c r="K368" s="309">
        <v>21.43</v>
      </c>
      <c r="L368" s="363" t="s">
        <v>518</v>
      </c>
      <c r="M368" s="141"/>
      <c r="N368" s="39"/>
      <c r="O368" s="360">
        <f t="shared" si="96"/>
        <v>0</v>
      </c>
      <c r="P368" s="235" t="str">
        <f t="shared" si="86"/>
        <v>П40х40х8</v>
      </c>
      <c r="Q368" s="377">
        <f t="shared" si="97"/>
        <v>30</v>
      </c>
      <c r="R368" s="319">
        <v>25</v>
      </c>
      <c r="S368" s="353">
        <f t="shared" si="98"/>
        <v>0</v>
      </c>
      <c r="T368" s="70">
        <v>7</v>
      </c>
      <c r="U368" s="20">
        <f t="shared" si="100"/>
        <v>0</v>
      </c>
      <c r="V368" s="52">
        <f t="shared" si="101"/>
        <v>0</v>
      </c>
      <c r="W368" s="20">
        <v>7</v>
      </c>
      <c r="X368" s="10">
        <v>1</v>
      </c>
    </row>
    <row r="369" spans="1:24" ht="36" hidden="1" customHeight="1" x14ac:dyDescent="0.25">
      <c r="B369" s="19"/>
      <c r="C369" s="6" t="s">
        <v>18</v>
      </c>
      <c r="D369" s="23" t="s">
        <v>40</v>
      </c>
      <c r="E369" s="84" t="s">
        <v>253</v>
      </c>
      <c r="F369" s="393" t="s">
        <v>258</v>
      </c>
      <c r="G369" s="48" t="s">
        <v>0</v>
      </c>
      <c r="H369" s="39"/>
      <c r="I369" s="309">
        <v>0</v>
      </c>
      <c r="J369" s="39">
        <f t="shared" si="99"/>
        <v>0</v>
      </c>
      <c r="K369" s="309">
        <f t="shared" ref="K369:K387" si="102">Q369/1.4</f>
        <v>25.71</v>
      </c>
      <c r="L369" s="117" t="s">
        <v>259</v>
      </c>
      <c r="M369" s="141"/>
      <c r="N369" s="39"/>
      <c r="O369" s="309">
        <f t="shared" si="96"/>
        <v>0</v>
      </c>
      <c r="P369" s="235" t="str">
        <f t="shared" si="86"/>
        <v>П40х40х10</v>
      </c>
      <c r="Q369" s="377">
        <f t="shared" si="97"/>
        <v>36</v>
      </c>
      <c r="R369" s="339">
        <v>30</v>
      </c>
      <c r="S369" s="353">
        <f t="shared" si="98"/>
        <v>0</v>
      </c>
      <c r="T369" s="70">
        <v>9</v>
      </c>
      <c r="U369" s="20">
        <f t="shared" si="100"/>
        <v>0</v>
      </c>
      <c r="V369" s="52">
        <f t="shared" si="101"/>
        <v>0</v>
      </c>
      <c r="W369" s="20">
        <v>9</v>
      </c>
      <c r="X369" s="10">
        <v>1</v>
      </c>
    </row>
    <row r="370" spans="1:24" s="4" customFormat="1" ht="26.25" hidden="1" customHeight="1" x14ac:dyDescent="0.25">
      <c r="A370" s="10"/>
      <c r="B370" s="19"/>
      <c r="C370" s="6" t="s">
        <v>18</v>
      </c>
      <c r="D370" s="23" t="s">
        <v>40</v>
      </c>
      <c r="E370" s="84" t="s">
        <v>202</v>
      </c>
      <c r="F370" s="393" t="s">
        <v>626</v>
      </c>
      <c r="G370" s="48" t="s">
        <v>0</v>
      </c>
      <c r="H370" s="39"/>
      <c r="I370" s="309">
        <v>0</v>
      </c>
      <c r="J370" s="39">
        <f t="shared" si="99"/>
        <v>0</v>
      </c>
      <c r="K370" s="309">
        <f t="shared" si="102"/>
        <v>43.71</v>
      </c>
      <c r="L370" s="155" t="s">
        <v>631</v>
      </c>
      <c r="M370" s="141"/>
      <c r="N370" s="39"/>
      <c r="O370" s="309">
        <f t="shared" si="96"/>
        <v>0</v>
      </c>
      <c r="P370" s="235" t="str">
        <f t="shared" si="86"/>
        <v>П40х40х8</v>
      </c>
      <c r="Q370" s="306">
        <f t="shared" si="97"/>
        <v>61.2</v>
      </c>
      <c r="R370" s="319">
        <v>51</v>
      </c>
      <c r="S370" s="353">
        <f t="shared" si="98"/>
        <v>0</v>
      </c>
      <c r="T370" s="70">
        <v>24</v>
      </c>
      <c r="U370" s="20">
        <f t="shared" si="100"/>
        <v>0</v>
      </c>
      <c r="V370" s="52">
        <f t="shared" si="101"/>
        <v>0</v>
      </c>
      <c r="W370" s="20">
        <v>24</v>
      </c>
      <c r="X370" s="4">
        <v>1</v>
      </c>
    </row>
    <row r="371" spans="1:24" ht="26.25" hidden="1" customHeight="1" x14ac:dyDescent="0.25">
      <c r="B371" s="19"/>
      <c r="C371" s="6" t="s">
        <v>18</v>
      </c>
      <c r="D371" s="23" t="s">
        <v>40</v>
      </c>
      <c r="E371" s="106" t="s">
        <v>662</v>
      </c>
      <c r="F371" s="385" t="s">
        <v>200</v>
      </c>
      <c r="G371" s="48" t="s">
        <v>0</v>
      </c>
      <c r="H371" s="39"/>
      <c r="I371" s="309">
        <v>0</v>
      </c>
      <c r="J371" s="39">
        <f t="shared" si="99"/>
        <v>0</v>
      </c>
      <c r="K371" s="309">
        <f t="shared" si="102"/>
        <v>45.43</v>
      </c>
      <c r="L371" s="72" t="s">
        <v>206</v>
      </c>
      <c r="M371" s="141"/>
      <c r="N371" s="39"/>
      <c r="O371" s="309">
        <f t="shared" si="96"/>
        <v>0</v>
      </c>
      <c r="P371" s="235" t="str">
        <f t="shared" si="86"/>
        <v>П40х20х20(ЭПГ111.039)с д3,5</v>
      </c>
      <c r="Q371" s="306">
        <f t="shared" si="97"/>
        <v>63.6</v>
      </c>
      <c r="R371" s="319">
        <v>53</v>
      </c>
      <c r="S371" s="353">
        <f t="shared" si="98"/>
        <v>0</v>
      </c>
      <c r="T371" s="70">
        <v>94</v>
      </c>
      <c r="U371" s="20">
        <f t="shared" si="100"/>
        <v>0</v>
      </c>
      <c r="V371" s="52">
        <f t="shared" si="101"/>
        <v>0</v>
      </c>
      <c r="W371" s="20">
        <v>94</v>
      </c>
      <c r="X371" s="10">
        <v>1</v>
      </c>
    </row>
    <row r="372" spans="1:24" ht="26.25" hidden="1" customHeight="1" x14ac:dyDescent="0.3">
      <c r="B372" s="19"/>
      <c r="C372" s="6" t="s">
        <v>18</v>
      </c>
      <c r="D372" s="23" t="s">
        <v>40</v>
      </c>
      <c r="E372" s="84" t="s">
        <v>304</v>
      </c>
      <c r="F372" s="385"/>
      <c r="G372" s="48"/>
      <c r="H372" s="39"/>
      <c r="I372" s="309">
        <v>0</v>
      </c>
      <c r="J372" s="39">
        <f t="shared" si="99"/>
        <v>0</v>
      </c>
      <c r="K372" s="309">
        <f t="shared" si="102"/>
        <v>0</v>
      </c>
      <c r="L372" s="72"/>
      <c r="M372" s="141"/>
      <c r="N372" s="39"/>
      <c r="O372" s="309">
        <f t="shared" si="96"/>
        <v>0</v>
      </c>
      <c r="P372" s="263" t="str">
        <f t="shared" si="86"/>
        <v>П50х30х5</v>
      </c>
      <c r="Q372" s="306">
        <f t="shared" si="97"/>
        <v>0</v>
      </c>
      <c r="R372" s="319">
        <v>0</v>
      </c>
      <c r="S372" s="353">
        <f t="shared" si="98"/>
        <v>0</v>
      </c>
      <c r="T372" s="431">
        <v>42</v>
      </c>
      <c r="U372" s="20">
        <f t="shared" si="100"/>
        <v>0</v>
      </c>
      <c r="V372" s="52">
        <f t="shared" si="101"/>
        <v>0</v>
      </c>
      <c r="W372" s="74">
        <v>42</v>
      </c>
      <c r="X372" s="10">
        <v>1</v>
      </c>
    </row>
    <row r="373" spans="1:24" ht="26.25" hidden="1" customHeight="1" x14ac:dyDescent="0.25">
      <c r="B373" s="11"/>
      <c r="C373" s="6" t="s">
        <v>18</v>
      </c>
      <c r="D373" s="23" t="s">
        <v>40</v>
      </c>
      <c r="E373" s="112" t="s">
        <v>321</v>
      </c>
      <c r="F373" s="383" t="s">
        <v>322</v>
      </c>
      <c r="G373" s="13" t="s">
        <v>0</v>
      </c>
      <c r="H373" s="39"/>
      <c r="I373" s="360">
        <v>0</v>
      </c>
      <c r="J373" s="39">
        <f t="shared" si="99"/>
        <v>0</v>
      </c>
      <c r="K373" s="309">
        <f t="shared" si="102"/>
        <v>30</v>
      </c>
      <c r="L373" s="155" t="s">
        <v>844</v>
      </c>
      <c r="M373" s="141"/>
      <c r="N373" s="503"/>
      <c r="O373" s="309">
        <f t="shared" si="96"/>
        <v>0</v>
      </c>
      <c r="P373" s="235" t="str">
        <f t="shared" si="86"/>
        <v>П50х43х12,5</v>
      </c>
      <c r="Q373" s="306">
        <f t="shared" si="97"/>
        <v>42</v>
      </c>
      <c r="R373" s="319">
        <v>35</v>
      </c>
      <c r="S373" s="353">
        <f t="shared" si="98"/>
        <v>0</v>
      </c>
      <c r="T373" s="70">
        <v>39</v>
      </c>
      <c r="U373" s="20">
        <f t="shared" si="100"/>
        <v>0</v>
      </c>
      <c r="V373" s="52">
        <f t="shared" si="101"/>
        <v>0</v>
      </c>
      <c r="W373" s="20">
        <v>39</v>
      </c>
      <c r="X373" s="10">
        <v>1</v>
      </c>
    </row>
    <row r="374" spans="1:24" ht="26.25" hidden="1" customHeight="1" x14ac:dyDescent="0.25">
      <c r="B374" s="11"/>
      <c r="C374" s="6" t="s">
        <v>18</v>
      </c>
      <c r="D374" s="23" t="s">
        <v>40</v>
      </c>
      <c r="E374" s="112" t="s">
        <v>691</v>
      </c>
      <c r="F374" s="385"/>
      <c r="G374" s="13"/>
      <c r="H374" s="39"/>
      <c r="I374" s="360">
        <v>0</v>
      </c>
      <c r="J374" s="39">
        <f t="shared" si="99"/>
        <v>0</v>
      </c>
      <c r="K374" s="309">
        <f t="shared" si="102"/>
        <v>0</v>
      </c>
      <c r="L374" s="366"/>
      <c r="M374" s="141"/>
      <c r="N374" s="503"/>
      <c r="O374" s="309">
        <f t="shared" si="96"/>
        <v>0</v>
      </c>
      <c r="P374" s="262" t="str">
        <f t="shared" ref="P374:P404" si="103">E374</f>
        <v>П55х16х25</v>
      </c>
      <c r="Q374" s="306">
        <f t="shared" si="97"/>
        <v>0</v>
      </c>
      <c r="S374" s="353">
        <f t="shared" si="98"/>
        <v>0</v>
      </c>
      <c r="T374" s="70">
        <v>1</v>
      </c>
      <c r="U374" s="20">
        <f t="shared" si="100"/>
        <v>0</v>
      </c>
      <c r="V374" s="52">
        <f t="shared" si="101"/>
        <v>0</v>
      </c>
      <c r="W374" s="20">
        <v>1</v>
      </c>
      <c r="X374" s="10">
        <v>1</v>
      </c>
    </row>
    <row r="375" spans="1:24" ht="26.25" hidden="1" customHeight="1" x14ac:dyDescent="0.25">
      <c r="B375" s="11"/>
      <c r="C375" s="6" t="s">
        <v>18</v>
      </c>
      <c r="D375" s="23" t="s">
        <v>40</v>
      </c>
      <c r="E375" s="112" t="s">
        <v>692</v>
      </c>
      <c r="F375" s="383" t="s">
        <v>704</v>
      </c>
      <c r="G375" s="13"/>
      <c r="H375" s="39"/>
      <c r="I375" s="360">
        <v>0</v>
      </c>
      <c r="J375" s="39">
        <f t="shared" si="99"/>
        <v>0</v>
      </c>
      <c r="K375" s="309">
        <f t="shared" si="102"/>
        <v>34.29</v>
      </c>
      <c r="L375" s="155" t="s">
        <v>719</v>
      </c>
      <c r="M375" s="141"/>
      <c r="N375" s="503"/>
      <c r="O375" s="309">
        <f t="shared" si="96"/>
        <v>0</v>
      </c>
      <c r="P375" s="262" t="str">
        <f t="shared" si="103"/>
        <v>П55х18х5</v>
      </c>
      <c r="Q375" s="306">
        <f t="shared" ref="Q375:Q406" si="104">R375*1.2</f>
        <v>48</v>
      </c>
      <c r="R375" s="319">
        <v>40</v>
      </c>
      <c r="S375" s="353">
        <f t="shared" si="98"/>
        <v>0</v>
      </c>
      <c r="T375" s="70">
        <v>4</v>
      </c>
      <c r="U375" s="20">
        <f t="shared" si="100"/>
        <v>0</v>
      </c>
      <c r="V375" s="52"/>
      <c r="W375" s="20">
        <v>4</v>
      </c>
      <c r="X375" s="10">
        <v>1</v>
      </c>
    </row>
    <row r="376" spans="1:24" ht="26.25" hidden="1" customHeight="1" x14ac:dyDescent="0.25">
      <c r="B376" s="19"/>
      <c r="C376" s="6" t="s">
        <v>18</v>
      </c>
      <c r="D376" s="23" t="s">
        <v>40</v>
      </c>
      <c r="E376" s="112" t="s">
        <v>761</v>
      </c>
      <c r="F376" s="385"/>
      <c r="G376" s="13"/>
      <c r="H376" s="39"/>
      <c r="I376" s="309">
        <v>0</v>
      </c>
      <c r="J376" s="39">
        <f t="shared" si="99"/>
        <v>0</v>
      </c>
      <c r="K376" s="309">
        <f t="shared" si="102"/>
        <v>0</v>
      </c>
      <c r="L376" s="72"/>
      <c r="M376" s="141"/>
      <c r="N376" s="39"/>
      <c r="O376" s="490">
        <f t="shared" si="96"/>
        <v>0</v>
      </c>
      <c r="P376" s="262" t="str">
        <f t="shared" si="103"/>
        <v>П50х50х24</v>
      </c>
      <c r="Q376" s="306">
        <f t="shared" si="104"/>
        <v>0</v>
      </c>
      <c r="R376" s="319">
        <v>0</v>
      </c>
      <c r="S376" s="353">
        <f t="shared" si="98"/>
        <v>0</v>
      </c>
      <c r="T376" s="70">
        <v>3</v>
      </c>
      <c r="U376" s="20">
        <f t="shared" si="100"/>
        <v>0</v>
      </c>
      <c r="V376" s="52">
        <f>W376-T376+U376</f>
        <v>0</v>
      </c>
      <c r="W376" s="20">
        <v>3</v>
      </c>
      <c r="X376" s="10">
        <v>1</v>
      </c>
    </row>
    <row r="377" spans="1:24" ht="26.25" hidden="1" customHeight="1" x14ac:dyDescent="0.25">
      <c r="B377" s="19"/>
      <c r="C377" s="6" t="s">
        <v>18</v>
      </c>
      <c r="D377" s="23" t="s">
        <v>40</v>
      </c>
      <c r="E377" s="112" t="s">
        <v>731</v>
      </c>
      <c r="F377" s="385"/>
      <c r="G377" s="13"/>
      <c r="H377" s="39"/>
      <c r="I377" s="309"/>
      <c r="J377" s="39">
        <f t="shared" si="99"/>
        <v>0</v>
      </c>
      <c r="K377" s="309">
        <f t="shared" si="102"/>
        <v>0</v>
      </c>
      <c r="L377" s="72"/>
      <c r="M377" s="141"/>
      <c r="N377" s="39"/>
      <c r="O377" s="309"/>
      <c r="P377" s="262" t="str">
        <f t="shared" si="103"/>
        <v>П80х40х20</v>
      </c>
      <c r="Q377" s="306">
        <f t="shared" si="104"/>
        <v>0</v>
      </c>
      <c r="S377" s="353">
        <f t="shared" si="98"/>
        <v>0</v>
      </c>
      <c r="T377" s="70">
        <v>9</v>
      </c>
      <c r="U377" s="20">
        <f t="shared" si="100"/>
        <v>0</v>
      </c>
      <c r="V377" s="52">
        <f>W377-T377+U377</f>
        <v>0</v>
      </c>
      <c r="W377" s="20">
        <v>9</v>
      </c>
      <c r="X377" s="10">
        <v>1</v>
      </c>
    </row>
    <row r="378" spans="1:24" ht="26.25" hidden="1" customHeight="1" x14ac:dyDescent="0.25">
      <c r="B378" s="19"/>
      <c r="C378" s="6" t="s">
        <v>18</v>
      </c>
      <c r="D378" s="23" t="s">
        <v>40</v>
      </c>
      <c r="E378" s="112" t="s">
        <v>588</v>
      </c>
      <c r="F378" s="385"/>
      <c r="G378" s="13"/>
      <c r="H378" s="39"/>
      <c r="I378" s="309"/>
      <c r="J378" s="39">
        <f t="shared" si="99"/>
        <v>0</v>
      </c>
      <c r="K378" s="309">
        <f t="shared" si="102"/>
        <v>0</v>
      </c>
      <c r="L378" s="72"/>
      <c r="M378" s="141"/>
      <c r="N378" s="39"/>
      <c r="O378" s="309"/>
      <c r="P378" s="262" t="str">
        <f t="shared" si="103"/>
        <v>П50х20х20</v>
      </c>
      <c r="Q378" s="306">
        <f t="shared" si="104"/>
        <v>0</v>
      </c>
      <c r="S378" s="353">
        <f t="shared" si="98"/>
        <v>0</v>
      </c>
      <c r="T378" s="70">
        <v>36</v>
      </c>
      <c r="U378" s="20">
        <f t="shared" si="100"/>
        <v>0</v>
      </c>
      <c r="V378" s="52">
        <f>W378-T378+U378</f>
        <v>-32</v>
      </c>
      <c r="W378" s="444">
        <v>4</v>
      </c>
    </row>
    <row r="379" spans="1:24" ht="26.25" hidden="1" customHeight="1" x14ac:dyDescent="0.25">
      <c r="B379" s="19"/>
      <c r="C379" s="6" t="s">
        <v>18</v>
      </c>
      <c r="D379" s="23" t="s">
        <v>40</v>
      </c>
      <c r="E379" s="112" t="s">
        <v>391</v>
      </c>
      <c r="F379" s="385"/>
      <c r="G379" s="13"/>
      <c r="H379" s="39"/>
      <c r="I379" s="309">
        <v>0</v>
      </c>
      <c r="J379" s="39">
        <f t="shared" si="99"/>
        <v>0</v>
      </c>
      <c r="K379" s="309">
        <f t="shared" si="102"/>
        <v>0</v>
      </c>
      <c r="L379" s="72"/>
      <c r="M379" s="141"/>
      <c r="N379" s="39"/>
      <c r="O379" s="309">
        <f>K379*N379</f>
        <v>0</v>
      </c>
      <c r="P379" s="235" t="str">
        <f t="shared" si="103"/>
        <v>П88х50х12,5</v>
      </c>
      <c r="Q379" s="306">
        <f t="shared" si="104"/>
        <v>0</v>
      </c>
      <c r="R379" s="319">
        <v>0</v>
      </c>
      <c r="S379" s="353">
        <f t="shared" si="98"/>
        <v>0</v>
      </c>
      <c r="T379" s="70">
        <v>1</v>
      </c>
      <c r="U379" s="20">
        <f t="shared" si="100"/>
        <v>0</v>
      </c>
      <c r="V379" s="52">
        <f>W379-T379+U379</f>
        <v>0</v>
      </c>
      <c r="W379" s="20">
        <v>1</v>
      </c>
      <c r="X379" s="10">
        <v>1</v>
      </c>
    </row>
    <row r="380" spans="1:24" ht="26.25" hidden="1" customHeight="1" x14ac:dyDescent="0.25">
      <c r="B380" s="19"/>
      <c r="C380" s="6" t="s">
        <v>18</v>
      </c>
      <c r="D380" s="23" t="s">
        <v>40</v>
      </c>
      <c r="E380" s="112" t="s">
        <v>768</v>
      </c>
      <c r="F380" s="385"/>
      <c r="G380" s="13"/>
      <c r="H380" s="39"/>
      <c r="I380" s="309"/>
      <c r="J380" s="39"/>
      <c r="K380" s="309">
        <f t="shared" si="102"/>
        <v>0</v>
      </c>
      <c r="L380" s="72"/>
      <c r="M380" s="141"/>
      <c r="N380" s="39"/>
      <c r="O380" s="309"/>
      <c r="P380" s="235" t="str">
        <f t="shared" si="103"/>
        <v>П70х4х11</v>
      </c>
      <c r="Q380" s="306">
        <f t="shared" si="104"/>
        <v>0</v>
      </c>
      <c r="S380" s="353">
        <f t="shared" si="98"/>
        <v>0</v>
      </c>
      <c r="T380" s="70">
        <v>30</v>
      </c>
      <c r="U380" s="20"/>
      <c r="V380" s="52"/>
      <c r="W380" s="20">
        <v>30</v>
      </c>
      <c r="X380" s="10">
        <v>1</v>
      </c>
    </row>
    <row r="381" spans="1:24" ht="26.25" hidden="1" customHeight="1" x14ac:dyDescent="0.25">
      <c r="B381" s="19"/>
      <c r="C381" s="6" t="s">
        <v>18</v>
      </c>
      <c r="D381" s="23" t="s">
        <v>40</v>
      </c>
      <c r="E381" s="112" t="s">
        <v>770</v>
      </c>
      <c r="F381" s="385"/>
      <c r="G381" s="13"/>
      <c r="H381" s="39"/>
      <c r="I381" s="309"/>
      <c r="J381" s="39"/>
      <c r="K381" s="309">
        <f t="shared" si="102"/>
        <v>0</v>
      </c>
      <c r="L381" s="72"/>
      <c r="M381" s="141"/>
      <c r="N381" s="39"/>
      <c r="O381" s="309"/>
      <c r="P381" s="235" t="str">
        <f t="shared" si="103"/>
        <v>П80х40х20 и П88х24х12,5</v>
      </c>
      <c r="Q381" s="306">
        <f t="shared" si="104"/>
        <v>0</v>
      </c>
      <c r="S381" s="353">
        <f t="shared" si="98"/>
        <v>0</v>
      </c>
      <c r="T381" s="70">
        <v>2</v>
      </c>
      <c r="U381" s="20"/>
      <c r="V381" s="52"/>
      <c r="W381" s="20">
        <v>2</v>
      </c>
      <c r="X381" s="10">
        <v>1</v>
      </c>
    </row>
    <row r="382" spans="1:24" ht="26.25" hidden="1" customHeight="1" x14ac:dyDescent="0.25">
      <c r="B382" s="19"/>
      <c r="C382" s="6" t="s">
        <v>18</v>
      </c>
      <c r="D382" s="23" t="s">
        <v>40</v>
      </c>
      <c r="E382" s="112"/>
      <c r="F382" s="385"/>
      <c r="G382" s="13"/>
      <c r="H382" s="39"/>
      <c r="I382" s="309"/>
      <c r="J382" s="39"/>
      <c r="K382" s="309">
        <f t="shared" si="102"/>
        <v>0</v>
      </c>
      <c r="L382" s="72"/>
      <c r="M382" s="141"/>
      <c r="N382" s="39"/>
      <c r="O382" s="309"/>
      <c r="P382" s="235">
        <f t="shared" si="103"/>
        <v>0</v>
      </c>
      <c r="Q382" s="306">
        <f t="shared" si="104"/>
        <v>0</v>
      </c>
      <c r="S382" s="353">
        <f t="shared" si="98"/>
        <v>0</v>
      </c>
      <c r="T382" s="70"/>
      <c r="U382" s="20"/>
      <c r="V382" s="52"/>
      <c r="W382" s="20"/>
    </row>
    <row r="383" spans="1:24" ht="26.25" hidden="1" customHeight="1" x14ac:dyDescent="0.3">
      <c r="B383" s="19"/>
      <c r="C383" s="6" t="s">
        <v>18</v>
      </c>
      <c r="D383" s="23" t="s">
        <v>40</v>
      </c>
      <c r="E383" s="106" t="s">
        <v>168</v>
      </c>
      <c r="F383" s="385"/>
      <c r="G383" s="48"/>
      <c r="H383" s="39"/>
      <c r="I383" s="309">
        <v>0</v>
      </c>
      <c r="J383" s="39">
        <f t="shared" ref="J383:J414" si="105">M383+N383-H383</f>
        <v>0</v>
      </c>
      <c r="K383" s="309">
        <f t="shared" si="102"/>
        <v>5.66</v>
      </c>
      <c r="L383" s="275" t="s">
        <v>169</v>
      </c>
      <c r="M383" s="141"/>
      <c r="N383" s="39"/>
      <c r="O383" s="309">
        <f t="shared" ref="O383:O391" si="106">K383*N383</f>
        <v>0</v>
      </c>
      <c r="P383" s="235" t="str">
        <f t="shared" si="103"/>
        <v>СК95х56х40х3,2</v>
      </c>
      <c r="Q383" s="306">
        <f t="shared" si="104"/>
        <v>7.92</v>
      </c>
      <c r="R383" s="319">
        <v>6.6</v>
      </c>
      <c r="S383" s="353">
        <f t="shared" si="98"/>
        <v>0</v>
      </c>
      <c r="T383" s="70">
        <f>5439+5000-88</f>
        <v>10351</v>
      </c>
      <c r="U383" s="20">
        <f t="shared" ref="U383:U428" si="107">M383</f>
        <v>0</v>
      </c>
      <c r="V383" s="52">
        <f t="shared" ref="V383:V389" si="108">W383-T383+U383</f>
        <v>0</v>
      </c>
      <c r="W383" s="20">
        <f>5439+5000-88</f>
        <v>10351</v>
      </c>
      <c r="X383" s="10">
        <v>1</v>
      </c>
    </row>
    <row r="384" spans="1:24" ht="26.25" hidden="1" customHeight="1" x14ac:dyDescent="0.25">
      <c r="B384" s="11"/>
      <c r="C384" s="6" t="s">
        <v>18</v>
      </c>
      <c r="D384" s="23" t="s">
        <v>25</v>
      </c>
      <c r="E384" s="104" t="s">
        <v>316</v>
      </c>
      <c r="F384" s="387"/>
      <c r="G384" s="14" t="s">
        <v>0</v>
      </c>
      <c r="H384" s="39"/>
      <c r="I384" s="309">
        <v>0</v>
      </c>
      <c r="J384" s="39">
        <f t="shared" si="105"/>
        <v>0</v>
      </c>
      <c r="K384" s="309">
        <f t="shared" si="102"/>
        <v>0</v>
      </c>
      <c r="L384" s="90" t="s">
        <v>132</v>
      </c>
      <c r="M384" s="140"/>
      <c r="N384" s="39"/>
      <c r="O384" s="309">
        <f t="shared" si="106"/>
        <v>0</v>
      </c>
      <c r="P384" s="235" t="str">
        <f t="shared" si="103"/>
        <v>Д9,5х4х40</v>
      </c>
      <c r="Q384" s="377">
        <f t="shared" si="104"/>
        <v>0</v>
      </c>
      <c r="R384" s="319">
        <v>0</v>
      </c>
      <c r="S384" s="353">
        <f t="shared" si="98"/>
        <v>0</v>
      </c>
      <c r="T384" s="430">
        <v>50</v>
      </c>
      <c r="U384" s="20">
        <f t="shared" si="107"/>
        <v>0</v>
      </c>
      <c r="V384" s="52">
        <f t="shared" si="108"/>
        <v>0</v>
      </c>
      <c r="W384" s="848">
        <v>50</v>
      </c>
    </row>
    <row r="385" spans="2:23" ht="26.25" hidden="1" customHeight="1" x14ac:dyDescent="0.25">
      <c r="B385" s="11"/>
      <c r="C385" s="6" t="s">
        <v>18</v>
      </c>
      <c r="D385" s="23" t="s">
        <v>25</v>
      </c>
      <c r="E385" s="104" t="s">
        <v>471</v>
      </c>
      <c r="F385" s="387" t="s">
        <v>473</v>
      </c>
      <c r="G385" s="14"/>
      <c r="H385" s="39"/>
      <c r="I385" s="309">
        <v>0</v>
      </c>
      <c r="J385" s="39">
        <f t="shared" si="105"/>
        <v>0</v>
      </c>
      <c r="K385" s="309">
        <f t="shared" si="102"/>
        <v>12.86</v>
      </c>
      <c r="L385" s="214" t="s">
        <v>476</v>
      </c>
      <c r="M385" s="140"/>
      <c r="N385" s="39"/>
      <c r="O385" s="309">
        <f t="shared" si="106"/>
        <v>0</v>
      </c>
      <c r="P385" s="263" t="str">
        <f t="shared" si="103"/>
        <v>П24х14х10</v>
      </c>
      <c r="Q385" s="306">
        <f t="shared" si="104"/>
        <v>18</v>
      </c>
      <c r="R385" s="319">
        <v>15</v>
      </c>
      <c r="S385" s="353">
        <f t="shared" si="98"/>
        <v>0</v>
      </c>
      <c r="T385" s="20"/>
      <c r="U385" s="20">
        <f t="shared" si="107"/>
        <v>0</v>
      </c>
      <c r="V385" s="52">
        <f t="shared" si="108"/>
        <v>0</v>
      </c>
      <c r="W385" s="20"/>
    </row>
    <row r="386" spans="2:23" ht="43.5" customHeight="1" x14ac:dyDescent="0.25">
      <c r="B386" s="19">
        <v>123</v>
      </c>
      <c r="C386" s="6" t="s">
        <v>18</v>
      </c>
      <c r="D386" s="23" t="s">
        <v>25</v>
      </c>
      <c r="E386" s="104" t="s">
        <v>24</v>
      </c>
      <c r="F386" s="208">
        <v>311</v>
      </c>
      <c r="G386" s="12" t="s">
        <v>0</v>
      </c>
      <c r="H386" s="39">
        <v>200</v>
      </c>
      <c r="I386" s="360">
        <v>566</v>
      </c>
      <c r="J386" s="39">
        <f t="shared" si="105"/>
        <v>0</v>
      </c>
      <c r="K386" s="309">
        <f t="shared" si="102"/>
        <v>2.83</v>
      </c>
      <c r="L386" s="470" t="s">
        <v>685</v>
      </c>
      <c r="M386" s="140"/>
      <c r="N386" s="39">
        <v>200</v>
      </c>
      <c r="O386" s="309">
        <f t="shared" si="106"/>
        <v>566</v>
      </c>
      <c r="P386" s="51" t="str">
        <f t="shared" si="103"/>
        <v>Д22,7хд8,2х8,9 ЭПГ 112.001</v>
      </c>
      <c r="Q386" s="306">
        <f t="shared" si="104"/>
        <v>3.96</v>
      </c>
      <c r="R386" s="320">
        <v>3.3</v>
      </c>
      <c r="S386" s="353">
        <f t="shared" si="98"/>
        <v>0</v>
      </c>
      <c r="T386" s="70">
        <v>2232</v>
      </c>
      <c r="U386" s="20">
        <f t="shared" si="107"/>
        <v>0</v>
      </c>
      <c r="V386" s="52">
        <f t="shared" si="108"/>
        <v>0</v>
      </c>
      <c r="W386" s="20">
        <v>2232</v>
      </c>
    </row>
    <row r="387" spans="2:23" ht="26.25" customHeight="1" x14ac:dyDescent="0.25">
      <c r="B387" s="11">
        <v>124</v>
      </c>
      <c r="C387" s="6" t="s">
        <v>18</v>
      </c>
      <c r="D387" s="23" t="s">
        <v>25</v>
      </c>
      <c r="E387" s="107" t="s">
        <v>137</v>
      </c>
      <c r="F387" s="210" t="s">
        <v>180</v>
      </c>
      <c r="G387" s="48" t="s">
        <v>0</v>
      </c>
      <c r="H387" s="39">
        <v>200</v>
      </c>
      <c r="I387" s="360">
        <v>1866</v>
      </c>
      <c r="J387" s="39">
        <f t="shared" si="105"/>
        <v>0</v>
      </c>
      <c r="K387" s="309">
        <f t="shared" si="102"/>
        <v>9.77</v>
      </c>
      <c r="L387" s="94" t="s">
        <v>845</v>
      </c>
      <c r="M387" s="140">
        <v>150</v>
      </c>
      <c r="N387" s="39">
        <v>50</v>
      </c>
      <c r="O387" s="309">
        <f t="shared" si="106"/>
        <v>488.5</v>
      </c>
      <c r="P387" s="235" t="str">
        <f t="shared" si="103"/>
        <v>К21х7х25</v>
      </c>
      <c r="Q387" s="306">
        <f t="shared" si="104"/>
        <v>13.68</v>
      </c>
      <c r="R387" s="319">
        <v>11.4</v>
      </c>
      <c r="S387" s="353">
        <f t="shared" si="98"/>
        <v>0</v>
      </c>
      <c r="T387" s="70">
        <v>430</v>
      </c>
      <c r="U387" s="20">
        <f t="shared" si="107"/>
        <v>150</v>
      </c>
      <c r="V387" s="52">
        <f t="shared" si="108"/>
        <v>150</v>
      </c>
      <c r="W387" s="20">
        <v>430</v>
      </c>
    </row>
    <row r="388" spans="2:23" ht="26.25" hidden="1" customHeight="1" x14ac:dyDescent="0.25">
      <c r="B388" s="11"/>
      <c r="C388" s="6" t="s">
        <v>18</v>
      </c>
      <c r="D388" s="23" t="s">
        <v>72</v>
      </c>
      <c r="E388" s="107" t="s">
        <v>211</v>
      </c>
      <c r="F388" s="210"/>
      <c r="G388" s="48"/>
      <c r="H388" s="39"/>
      <c r="I388" s="309">
        <v>0</v>
      </c>
      <c r="J388" s="39">
        <f t="shared" si="105"/>
        <v>0</v>
      </c>
      <c r="K388" s="309"/>
      <c r="L388" s="96"/>
      <c r="M388" s="140"/>
      <c r="N388" s="39"/>
      <c r="O388" s="490">
        <f t="shared" si="106"/>
        <v>0</v>
      </c>
      <c r="P388" s="262" t="str">
        <f t="shared" si="103"/>
        <v>Д3х2</v>
      </c>
      <c r="Q388" s="377">
        <f t="shared" si="104"/>
        <v>0</v>
      </c>
      <c r="R388" s="319">
        <v>0</v>
      </c>
      <c r="S388" s="353">
        <f t="shared" si="98"/>
        <v>0</v>
      </c>
      <c r="T388" s="20">
        <v>34</v>
      </c>
      <c r="U388" s="20">
        <f t="shared" si="107"/>
        <v>0</v>
      </c>
      <c r="V388" s="52">
        <f t="shared" si="108"/>
        <v>0</v>
      </c>
      <c r="W388" s="20">
        <v>34</v>
      </c>
    </row>
    <row r="389" spans="2:23" ht="26.25" hidden="1" customHeight="1" x14ac:dyDescent="0.25">
      <c r="B389" s="14"/>
      <c r="C389" s="6" t="s">
        <v>18</v>
      </c>
      <c r="D389" s="23" t="s">
        <v>72</v>
      </c>
      <c r="E389" s="104" t="s">
        <v>243</v>
      </c>
      <c r="F389" s="386"/>
      <c r="G389" s="48" t="s">
        <v>0</v>
      </c>
      <c r="H389" s="39"/>
      <c r="I389" s="309">
        <v>0</v>
      </c>
      <c r="J389" s="39">
        <f t="shared" si="105"/>
        <v>0</v>
      </c>
      <c r="K389" s="309">
        <f>Q389/1.4</f>
        <v>0.12</v>
      </c>
      <c r="L389" s="213" t="s">
        <v>162</v>
      </c>
      <c r="M389" s="140"/>
      <c r="N389" s="39"/>
      <c r="O389" s="309">
        <f t="shared" si="106"/>
        <v>0</v>
      </c>
      <c r="P389" s="263" t="str">
        <f t="shared" si="103"/>
        <v>Д3х5</v>
      </c>
      <c r="Q389" s="819">
        <f t="shared" si="104"/>
        <v>0.17</v>
      </c>
      <c r="R389" s="319">
        <v>0.14000000000000001</v>
      </c>
      <c r="S389" s="353">
        <f t="shared" si="98"/>
        <v>0</v>
      </c>
      <c r="T389" s="430">
        <v>800</v>
      </c>
      <c r="U389" s="20">
        <f t="shared" si="107"/>
        <v>0</v>
      </c>
      <c r="V389" s="52">
        <f t="shared" si="108"/>
        <v>0</v>
      </c>
      <c r="W389" s="18">
        <v>800</v>
      </c>
    </row>
    <row r="390" spans="2:23" ht="26.25" customHeight="1" x14ac:dyDescent="0.25">
      <c r="B390" s="14">
        <v>125</v>
      </c>
      <c r="C390" s="6" t="s">
        <v>18</v>
      </c>
      <c r="D390" s="23" t="s">
        <v>72</v>
      </c>
      <c r="E390" s="104" t="s">
        <v>216</v>
      </c>
      <c r="F390" s="526">
        <v>1510</v>
      </c>
      <c r="G390" s="48"/>
      <c r="H390" s="39"/>
      <c r="I390" s="360">
        <v>0</v>
      </c>
      <c r="J390" s="39">
        <f t="shared" si="105"/>
        <v>0</v>
      </c>
      <c r="K390" s="309">
        <f>Q390/1.4</f>
        <v>8.57</v>
      </c>
      <c r="L390" s="292" t="s">
        <v>947</v>
      </c>
      <c r="M390" s="140"/>
      <c r="N390" s="503"/>
      <c r="O390" s="309">
        <f t="shared" si="106"/>
        <v>0</v>
      </c>
      <c r="P390" s="263" t="str">
        <f t="shared" si="103"/>
        <v>Д6х2</v>
      </c>
      <c r="Q390" s="306">
        <f t="shared" si="104"/>
        <v>12</v>
      </c>
      <c r="R390" s="319">
        <v>10</v>
      </c>
      <c r="S390" s="353">
        <f t="shared" si="98"/>
        <v>0</v>
      </c>
      <c r="T390" s="20"/>
      <c r="U390" s="20">
        <f t="shared" si="107"/>
        <v>0</v>
      </c>
      <c r="V390" s="52"/>
      <c r="W390" s="20"/>
    </row>
    <row r="391" spans="2:23" ht="26.25" customHeight="1" x14ac:dyDescent="0.25">
      <c r="B391" s="11">
        <v>126</v>
      </c>
      <c r="C391" s="6" t="s">
        <v>18</v>
      </c>
      <c r="D391" s="23" t="s">
        <v>72</v>
      </c>
      <c r="E391" s="104" t="s">
        <v>289</v>
      </c>
      <c r="F391" s="208">
        <v>447</v>
      </c>
      <c r="G391" s="48" t="s">
        <v>0</v>
      </c>
      <c r="H391" s="39">
        <v>345</v>
      </c>
      <c r="I391" s="360">
        <v>234.6</v>
      </c>
      <c r="J391" s="39">
        <f t="shared" si="105"/>
        <v>0</v>
      </c>
      <c r="K391" s="309">
        <v>0.68</v>
      </c>
      <c r="L391" s="94"/>
      <c r="M391" s="140">
        <v>20</v>
      </c>
      <c r="N391" s="39">
        <f>345-20</f>
        <v>325</v>
      </c>
      <c r="O391" s="309">
        <f t="shared" si="106"/>
        <v>221</v>
      </c>
      <c r="P391" s="263" t="str">
        <f t="shared" si="103"/>
        <v>Д8х3</v>
      </c>
      <c r="Q391" s="819">
        <f t="shared" si="104"/>
        <v>5.4</v>
      </c>
      <c r="R391" s="319">
        <v>4.5</v>
      </c>
      <c r="S391" s="353">
        <f t="shared" si="98"/>
        <v>0</v>
      </c>
      <c r="T391" s="20">
        <v>270</v>
      </c>
      <c r="U391" s="20">
        <f t="shared" si="107"/>
        <v>20</v>
      </c>
      <c r="V391" s="52">
        <f>W391-T391+U391</f>
        <v>20</v>
      </c>
      <c r="W391" s="20">
        <v>270</v>
      </c>
    </row>
    <row r="392" spans="2:23" ht="26.25" hidden="1" customHeight="1" x14ac:dyDescent="0.25">
      <c r="B392" s="11"/>
      <c r="C392" s="6" t="s">
        <v>18</v>
      </c>
      <c r="D392" s="23" t="s">
        <v>72</v>
      </c>
      <c r="E392" s="104" t="s">
        <v>669</v>
      </c>
      <c r="F392" s="208">
        <v>1427</v>
      </c>
      <c r="G392" s="48"/>
      <c r="H392" s="39"/>
      <c r="I392" s="360"/>
      <c r="J392" s="39">
        <f t="shared" si="105"/>
        <v>0</v>
      </c>
      <c r="K392" s="309"/>
      <c r="L392" s="94"/>
      <c r="M392" s="140"/>
      <c r="N392" s="503"/>
      <c r="O392" s="309"/>
      <c r="P392" s="263" t="str">
        <f t="shared" si="103"/>
        <v>Д8х5</v>
      </c>
      <c r="Q392" s="819">
        <f t="shared" si="104"/>
        <v>8.4</v>
      </c>
      <c r="R392" s="319">
        <v>7</v>
      </c>
      <c r="S392" s="353">
        <f t="shared" si="98"/>
        <v>0</v>
      </c>
      <c r="T392" s="20"/>
      <c r="U392" s="20">
        <f t="shared" si="107"/>
        <v>0</v>
      </c>
      <c r="V392" s="52"/>
      <c r="W392" s="20"/>
    </row>
    <row r="393" spans="2:23" ht="26.25" hidden="1" customHeight="1" x14ac:dyDescent="0.25">
      <c r="B393" s="11"/>
      <c r="C393" s="6" t="s">
        <v>18</v>
      </c>
      <c r="D393" s="23" t="s">
        <v>72</v>
      </c>
      <c r="E393" s="104" t="s">
        <v>668</v>
      </c>
      <c r="F393" s="208">
        <v>1420</v>
      </c>
      <c r="G393" s="48"/>
      <c r="H393" s="39"/>
      <c r="I393" s="360"/>
      <c r="J393" s="39">
        <f t="shared" si="105"/>
        <v>0</v>
      </c>
      <c r="K393" s="309"/>
      <c r="L393" s="94"/>
      <c r="M393" s="140"/>
      <c r="N393" s="503"/>
      <c r="O393" s="309"/>
      <c r="P393" s="263" t="str">
        <f t="shared" si="103"/>
        <v>Д8х7</v>
      </c>
      <c r="Q393" s="819">
        <f t="shared" si="104"/>
        <v>8.4</v>
      </c>
      <c r="R393" s="319">
        <v>7</v>
      </c>
      <c r="S393" s="353">
        <f t="shared" si="98"/>
        <v>0</v>
      </c>
      <c r="T393" s="20"/>
      <c r="U393" s="20">
        <f t="shared" si="107"/>
        <v>0</v>
      </c>
      <c r="V393" s="52"/>
      <c r="W393" s="20"/>
    </row>
    <row r="394" spans="2:23" ht="26.25" hidden="1" customHeight="1" x14ac:dyDescent="0.25">
      <c r="B394" s="15"/>
      <c r="C394" s="6" t="s">
        <v>18</v>
      </c>
      <c r="D394" s="23" t="s">
        <v>72</v>
      </c>
      <c r="E394" s="106" t="s">
        <v>495</v>
      </c>
      <c r="F394" s="210"/>
      <c r="G394" s="13"/>
      <c r="H394" s="39"/>
      <c r="I394" s="309">
        <v>0</v>
      </c>
      <c r="J394" s="39">
        <f t="shared" si="105"/>
        <v>0</v>
      </c>
      <c r="K394" s="309">
        <f>Q394/1.4</f>
        <v>1.8</v>
      </c>
      <c r="L394" s="90"/>
      <c r="M394" s="140"/>
      <c r="N394" s="39"/>
      <c r="O394" s="490">
        <f t="shared" ref="O394:O411" si="109">K394*N394</f>
        <v>0</v>
      </c>
      <c r="P394" s="264" t="str">
        <f t="shared" si="103"/>
        <v>Д8х10</v>
      </c>
      <c r="Q394" s="819">
        <f t="shared" si="104"/>
        <v>2.52</v>
      </c>
      <c r="R394" s="319">
        <v>2.1</v>
      </c>
      <c r="S394" s="353">
        <f t="shared" si="98"/>
        <v>0</v>
      </c>
      <c r="T394" s="18">
        <v>87980</v>
      </c>
      <c r="U394" s="20">
        <f t="shared" si="107"/>
        <v>0</v>
      </c>
      <c r="V394" s="52">
        <f t="shared" ref="V394:V403" si="110">W394-T394+U394</f>
        <v>0</v>
      </c>
      <c r="W394" s="848">
        <v>87980</v>
      </c>
    </row>
    <row r="395" spans="2:23" ht="26.25" hidden="1" customHeight="1" x14ac:dyDescent="0.25">
      <c r="B395" s="15"/>
      <c r="C395" s="6" t="s">
        <v>18</v>
      </c>
      <c r="D395" s="23" t="s">
        <v>72</v>
      </c>
      <c r="E395" s="106" t="s">
        <v>527</v>
      </c>
      <c r="F395" s="210">
        <v>1419</v>
      </c>
      <c r="G395" s="13"/>
      <c r="H395" s="39"/>
      <c r="I395" s="309">
        <v>0</v>
      </c>
      <c r="J395" s="39">
        <f t="shared" si="105"/>
        <v>0</v>
      </c>
      <c r="K395" s="309">
        <f>Q395/1.4</f>
        <v>1.71</v>
      </c>
      <c r="L395" s="155" t="s">
        <v>686</v>
      </c>
      <c r="M395" s="140"/>
      <c r="N395" s="503"/>
      <c r="O395" s="309">
        <f t="shared" si="109"/>
        <v>0</v>
      </c>
      <c r="P395" s="51" t="str">
        <f t="shared" si="103"/>
        <v>Д5х2,5</v>
      </c>
      <c r="Q395" s="819">
        <f t="shared" si="104"/>
        <v>2.4</v>
      </c>
      <c r="R395" s="319">
        <v>2</v>
      </c>
      <c r="S395" s="353">
        <f t="shared" si="98"/>
        <v>0</v>
      </c>
      <c r="T395" s="20">
        <v>75</v>
      </c>
      <c r="U395" s="20">
        <f t="shared" si="107"/>
        <v>0</v>
      </c>
      <c r="V395" s="52">
        <f t="shared" si="110"/>
        <v>0</v>
      </c>
      <c r="W395" s="20">
        <v>75</v>
      </c>
    </row>
    <row r="396" spans="2:23" ht="26.25" hidden="1" customHeight="1" x14ac:dyDescent="0.25">
      <c r="B396" s="15"/>
      <c r="C396" s="6" t="s">
        <v>18</v>
      </c>
      <c r="D396" s="23" t="s">
        <v>72</v>
      </c>
      <c r="E396" s="106" t="s">
        <v>287</v>
      </c>
      <c r="F396" s="210">
        <v>1388</v>
      </c>
      <c r="G396" s="13"/>
      <c r="H396" s="39"/>
      <c r="I396" s="309">
        <v>0</v>
      </c>
      <c r="J396" s="39">
        <f t="shared" si="105"/>
        <v>0</v>
      </c>
      <c r="K396" s="309">
        <f>Q396/1.4</f>
        <v>3.43</v>
      </c>
      <c r="L396" s="215" t="s">
        <v>610</v>
      </c>
      <c r="M396" s="140"/>
      <c r="N396" s="39"/>
      <c r="O396" s="490">
        <f t="shared" si="109"/>
        <v>0</v>
      </c>
      <c r="P396" s="442" t="str">
        <f t="shared" si="103"/>
        <v>Д10х2</v>
      </c>
      <c r="Q396" s="819">
        <f t="shared" si="104"/>
        <v>4.8</v>
      </c>
      <c r="R396" s="319">
        <v>4</v>
      </c>
      <c r="S396" s="353">
        <f t="shared" si="98"/>
        <v>0</v>
      </c>
      <c r="T396" s="20">
        <v>4</v>
      </c>
      <c r="U396" s="20">
        <f t="shared" si="107"/>
        <v>0</v>
      </c>
      <c r="V396" s="52">
        <f t="shared" si="110"/>
        <v>0</v>
      </c>
      <c r="W396" s="20">
        <v>4</v>
      </c>
    </row>
    <row r="397" spans="2:23" ht="26.25" hidden="1" customHeight="1" x14ac:dyDescent="0.25">
      <c r="B397" s="15"/>
      <c r="C397" s="6" t="s">
        <v>18</v>
      </c>
      <c r="D397" s="23" t="s">
        <v>72</v>
      </c>
      <c r="E397" s="106" t="s">
        <v>565</v>
      </c>
      <c r="F397" s="210">
        <v>841</v>
      </c>
      <c r="G397" s="13"/>
      <c r="H397" s="39"/>
      <c r="I397" s="309">
        <v>0</v>
      </c>
      <c r="J397" s="39">
        <f t="shared" si="105"/>
        <v>0</v>
      </c>
      <c r="K397" s="309">
        <f>Q397/1.4</f>
        <v>12</v>
      </c>
      <c r="L397" s="155" t="s">
        <v>687</v>
      </c>
      <c r="M397" s="140"/>
      <c r="N397" s="503"/>
      <c r="O397" s="309">
        <f t="shared" si="109"/>
        <v>0</v>
      </c>
      <c r="P397" s="51" t="str">
        <f t="shared" si="103"/>
        <v>Д10х5</v>
      </c>
      <c r="Q397" s="819">
        <f t="shared" si="104"/>
        <v>16.8</v>
      </c>
      <c r="R397" s="319">
        <v>14</v>
      </c>
      <c r="S397" s="353">
        <f t="shared" si="98"/>
        <v>0</v>
      </c>
      <c r="T397" s="20">
        <v>4</v>
      </c>
      <c r="U397" s="20">
        <f t="shared" si="107"/>
        <v>0</v>
      </c>
      <c r="V397" s="52">
        <f t="shared" si="110"/>
        <v>0</v>
      </c>
      <c r="W397" s="20">
        <v>4</v>
      </c>
    </row>
    <row r="398" spans="2:23" ht="26.25" hidden="1" customHeight="1" x14ac:dyDescent="0.25">
      <c r="B398" s="15"/>
      <c r="C398" s="6" t="s">
        <v>18</v>
      </c>
      <c r="D398" s="23" t="s">
        <v>72</v>
      </c>
      <c r="E398" s="106" t="s">
        <v>486</v>
      </c>
      <c r="F398" s="210"/>
      <c r="G398" s="13"/>
      <c r="H398" s="39"/>
      <c r="I398" s="309">
        <v>0</v>
      </c>
      <c r="J398" s="39">
        <f t="shared" si="105"/>
        <v>0</v>
      </c>
      <c r="K398" s="309">
        <f>Q398/1.4</f>
        <v>0</v>
      </c>
      <c r="L398" s="90"/>
      <c r="M398" s="140"/>
      <c r="N398" s="39"/>
      <c r="O398" s="490">
        <f t="shared" si="109"/>
        <v>0</v>
      </c>
      <c r="P398" s="235" t="str">
        <f t="shared" si="103"/>
        <v>Д40х5х3</v>
      </c>
      <c r="Q398" s="377">
        <f t="shared" si="104"/>
        <v>0</v>
      </c>
      <c r="R398" s="319">
        <v>0</v>
      </c>
      <c r="S398" s="353">
        <f t="shared" si="98"/>
        <v>0</v>
      </c>
      <c r="T398" s="20">
        <v>5</v>
      </c>
      <c r="U398" s="20">
        <f t="shared" si="107"/>
        <v>0</v>
      </c>
      <c r="V398" s="52">
        <f t="shared" si="110"/>
        <v>0</v>
      </c>
      <c r="W398" s="20">
        <v>5</v>
      </c>
    </row>
    <row r="399" spans="2:23" ht="26.25" hidden="1" customHeight="1" x14ac:dyDescent="0.25">
      <c r="B399" s="15"/>
      <c r="C399" s="6" t="s">
        <v>18</v>
      </c>
      <c r="D399" s="23" t="s">
        <v>72</v>
      </c>
      <c r="E399" s="106" t="s">
        <v>487</v>
      </c>
      <c r="F399" s="210"/>
      <c r="G399" s="13"/>
      <c r="H399" s="39"/>
      <c r="I399" s="309">
        <v>0</v>
      </c>
      <c r="J399" s="39">
        <f t="shared" si="105"/>
        <v>0</v>
      </c>
      <c r="K399" s="309"/>
      <c r="L399" s="90"/>
      <c r="M399" s="140"/>
      <c r="N399" s="39"/>
      <c r="O399" s="309">
        <f t="shared" si="109"/>
        <v>0</v>
      </c>
      <c r="P399" s="235" t="str">
        <f t="shared" si="103"/>
        <v>Д40х5х2</v>
      </c>
      <c r="Q399" s="377">
        <f t="shared" si="104"/>
        <v>0</v>
      </c>
      <c r="R399" s="319">
        <v>0</v>
      </c>
      <c r="S399" s="353">
        <f t="shared" si="98"/>
        <v>0</v>
      </c>
      <c r="T399" s="20">
        <v>2</v>
      </c>
      <c r="U399" s="20">
        <f t="shared" si="107"/>
        <v>0</v>
      </c>
      <c r="V399" s="52">
        <f t="shared" si="110"/>
        <v>0</v>
      </c>
      <c r="W399" s="20">
        <v>2</v>
      </c>
    </row>
    <row r="400" spans="2:23" ht="26.25" customHeight="1" x14ac:dyDescent="0.25">
      <c r="B400" s="15">
        <v>127</v>
      </c>
      <c r="C400" s="6" t="s">
        <v>18</v>
      </c>
      <c r="D400" s="23" t="s">
        <v>72</v>
      </c>
      <c r="E400" s="104" t="s">
        <v>468</v>
      </c>
      <c r="F400" s="210">
        <v>1249</v>
      </c>
      <c r="G400" s="48" t="s">
        <v>0</v>
      </c>
      <c r="H400" s="39"/>
      <c r="I400" s="309">
        <v>0</v>
      </c>
      <c r="J400" s="39">
        <f t="shared" si="105"/>
        <v>600</v>
      </c>
      <c r="K400" s="309">
        <f t="shared" ref="K400:K409" si="111">Q400/1.4</f>
        <v>1.74</v>
      </c>
      <c r="L400" s="154" t="s">
        <v>948</v>
      </c>
      <c r="M400" s="140">
        <v>300</v>
      </c>
      <c r="N400" s="503">
        <v>300</v>
      </c>
      <c r="O400" s="309">
        <f t="shared" si="109"/>
        <v>522</v>
      </c>
      <c r="P400" s="235" t="str">
        <f t="shared" si="103"/>
        <v>П5х5х3</v>
      </c>
      <c r="Q400" s="306">
        <f t="shared" si="104"/>
        <v>2.44</v>
      </c>
      <c r="R400" s="319">
        <v>2.0299999999999998</v>
      </c>
      <c r="S400" s="353">
        <f t="shared" si="98"/>
        <v>1218</v>
      </c>
      <c r="T400" s="148">
        <f>124+60+42-140</f>
        <v>86</v>
      </c>
      <c r="U400" s="20">
        <f t="shared" si="107"/>
        <v>300</v>
      </c>
      <c r="V400" s="52">
        <f t="shared" si="110"/>
        <v>300</v>
      </c>
      <c r="W400" s="444">
        <f>124+60+42-140</f>
        <v>86</v>
      </c>
    </row>
    <row r="401" spans="2:23" ht="26.25" hidden="1" customHeight="1" x14ac:dyDescent="0.25">
      <c r="B401" s="15"/>
      <c r="C401" s="6" t="s">
        <v>18</v>
      </c>
      <c r="D401" s="23" t="s">
        <v>72</v>
      </c>
      <c r="E401" s="347" t="s">
        <v>481</v>
      </c>
      <c r="F401" s="210">
        <v>1235</v>
      </c>
      <c r="G401" s="13"/>
      <c r="H401" s="39"/>
      <c r="I401" s="309">
        <v>0</v>
      </c>
      <c r="J401" s="39">
        <f t="shared" si="105"/>
        <v>0</v>
      </c>
      <c r="K401" s="309">
        <f t="shared" si="111"/>
        <v>3.46</v>
      </c>
      <c r="L401" s="155" t="s">
        <v>464</v>
      </c>
      <c r="M401" s="140"/>
      <c r="N401" s="39"/>
      <c r="O401" s="490">
        <f t="shared" si="109"/>
        <v>0</v>
      </c>
      <c r="P401" s="263" t="str">
        <f t="shared" si="103"/>
        <v>Д16х3 ВМ-1950.5679.13.03.003</v>
      </c>
      <c r="Q401" s="377">
        <f t="shared" si="104"/>
        <v>4.84</v>
      </c>
      <c r="R401" s="319">
        <v>4.03</v>
      </c>
      <c r="S401" s="353">
        <f t="shared" si="98"/>
        <v>0</v>
      </c>
      <c r="T401" s="20">
        <v>100</v>
      </c>
      <c r="U401" s="20">
        <f t="shared" si="107"/>
        <v>0</v>
      </c>
      <c r="V401" s="52">
        <f t="shared" si="110"/>
        <v>0</v>
      </c>
      <c r="W401" s="444">
        <v>100</v>
      </c>
    </row>
    <row r="402" spans="2:23" ht="32.25" customHeight="1" x14ac:dyDescent="0.25">
      <c r="B402" s="11">
        <v>128</v>
      </c>
      <c r="C402" s="6" t="s">
        <v>18</v>
      </c>
      <c r="D402" s="23" t="s">
        <v>72</v>
      </c>
      <c r="E402" s="104" t="s">
        <v>97</v>
      </c>
      <c r="F402" s="208">
        <v>509</v>
      </c>
      <c r="G402" s="48" t="s">
        <v>0</v>
      </c>
      <c r="H402" s="39">
        <v>1550</v>
      </c>
      <c r="I402" s="360">
        <v>2588.5</v>
      </c>
      <c r="J402" s="39">
        <f t="shared" si="105"/>
        <v>0</v>
      </c>
      <c r="K402" s="309">
        <f t="shared" si="111"/>
        <v>1.67</v>
      </c>
      <c r="L402" s="233" t="s">
        <v>846</v>
      </c>
      <c r="M402" s="140">
        <v>400</v>
      </c>
      <c r="N402" s="39">
        <v>1150</v>
      </c>
      <c r="O402" s="309">
        <f t="shared" si="109"/>
        <v>1920.5</v>
      </c>
      <c r="P402" s="235" t="str">
        <f t="shared" si="103"/>
        <v>П3х6х7</v>
      </c>
      <c r="Q402" s="306">
        <f t="shared" si="104"/>
        <v>2.34</v>
      </c>
      <c r="R402" s="319">
        <v>1.95</v>
      </c>
      <c r="S402" s="353">
        <f t="shared" si="98"/>
        <v>0</v>
      </c>
      <c r="T402" s="148">
        <f>1920*2+100-800</f>
        <v>3140</v>
      </c>
      <c r="U402" s="20">
        <f t="shared" si="107"/>
        <v>400</v>
      </c>
      <c r="V402" s="52">
        <f t="shared" si="110"/>
        <v>-50</v>
      </c>
      <c r="W402" s="444">
        <f>1920*2+100-800-450</f>
        <v>2690</v>
      </c>
    </row>
    <row r="403" spans="2:23" ht="26.25" customHeight="1" x14ac:dyDescent="0.25">
      <c r="B403" s="19">
        <v>129</v>
      </c>
      <c r="C403" s="6" t="s">
        <v>18</v>
      </c>
      <c r="D403" s="23" t="s">
        <v>72</v>
      </c>
      <c r="E403" s="104" t="s">
        <v>92</v>
      </c>
      <c r="F403" s="208">
        <v>557</v>
      </c>
      <c r="G403" s="48" t="s">
        <v>0</v>
      </c>
      <c r="H403" s="39"/>
      <c r="I403" s="360">
        <v>0</v>
      </c>
      <c r="J403" s="39">
        <f t="shared" si="105"/>
        <v>400</v>
      </c>
      <c r="K403" s="309">
        <f t="shared" si="111"/>
        <v>1.68</v>
      </c>
      <c r="L403" s="154" t="s">
        <v>949</v>
      </c>
      <c r="M403" s="140">
        <v>200</v>
      </c>
      <c r="N403" s="503">
        <v>200</v>
      </c>
      <c r="O403" s="309">
        <f t="shared" si="109"/>
        <v>336</v>
      </c>
      <c r="P403" s="235" t="str">
        <f t="shared" si="103"/>
        <v>П5х5х2</v>
      </c>
      <c r="Q403" s="306">
        <f t="shared" si="104"/>
        <v>2.35</v>
      </c>
      <c r="R403" s="319">
        <v>1.96</v>
      </c>
      <c r="S403" s="353">
        <f t="shared" si="98"/>
        <v>784</v>
      </c>
      <c r="T403" s="148">
        <f>257+191+27+36+100+26-200</f>
        <v>437</v>
      </c>
      <c r="U403" s="20">
        <f t="shared" si="107"/>
        <v>200</v>
      </c>
      <c r="V403" s="52">
        <f t="shared" si="110"/>
        <v>-100</v>
      </c>
      <c r="W403" s="444">
        <f>257+191+27+36+100+26-200-300</f>
        <v>137</v>
      </c>
    </row>
    <row r="404" spans="2:23" ht="26.25" customHeight="1" x14ac:dyDescent="0.25">
      <c r="B404" s="11">
        <v>130</v>
      </c>
      <c r="C404" s="6" t="s">
        <v>18</v>
      </c>
      <c r="D404" s="23" t="s">
        <v>72</v>
      </c>
      <c r="E404" s="104" t="s">
        <v>957</v>
      </c>
      <c r="F404" s="208">
        <v>1316</v>
      </c>
      <c r="G404" s="48"/>
      <c r="H404" s="39"/>
      <c r="I404" s="360">
        <v>0</v>
      </c>
      <c r="J404" s="39">
        <f t="shared" si="105"/>
        <v>2</v>
      </c>
      <c r="K404" s="309">
        <f t="shared" si="111"/>
        <v>1.8</v>
      </c>
      <c r="L404" s="154" t="s">
        <v>950</v>
      </c>
      <c r="M404" s="851">
        <v>2</v>
      </c>
      <c r="N404" s="503"/>
      <c r="O404" s="309">
        <f t="shared" si="109"/>
        <v>0</v>
      </c>
      <c r="P404" s="235" t="str">
        <f t="shared" si="103"/>
        <v xml:space="preserve">П6х6х4 </v>
      </c>
      <c r="Q404" s="306">
        <f t="shared" si="104"/>
        <v>2.52</v>
      </c>
      <c r="R404" s="319">
        <v>2.1</v>
      </c>
      <c r="S404" s="353">
        <f t="shared" si="98"/>
        <v>4.2</v>
      </c>
      <c r="T404" s="52"/>
      <c r="U404" s="20">
        <f t="shared" si="107"/>
        <v>2</v>
      </c>
      <c r="V404" s="52"/>
      <c r="W404" s="20"/>
    </row>
    <row r="405" spans="2:23" ht="26.25" hidden="1" customHeight="1" x14ac:dyDescent="0.25">
      <c r="B405" s="19"/>
      <c r="C405" s="6" t="s">
        <v>18</v>
      </c>
      <c r="D405" s="23" t="s">
        <v>72</v>
      </c>
      <c r="E405" s="104" t="s">
        <v>670</v>
      </c>
      <c r="F405" s="208">
        <v>1416</v>
      </c>
      <c r="G405" s="48"/>
      <c r="H405" s="39"/>
      <c r="I405" s="360">
        <v>0</v>
      </c>
      <c r="J405" s="39">
        <f t="shared" si="105"/>
        <v>0</v>
      </c>
      <c r="K405" s="309">
        <f t="shared" si="111"/>
        <v>1.63</v>
      </c>
      <c r="L405" s="234" t="s">
        <v>689</v>
      </c>
      <c r="M405" s="140"/>
      <c r="N405" s="503"/>
      <c r="O405" s="309">
        <f t="shared" si="109"/>
        <v>0</v>
      </c>
      <c r="P405" s="235"/>
      <c r="Q405" s="306">
        <f t="shared" si="104"/>
        <v>2.2799999999999998</v>
      </c>
      <c r="R405" s="319">
        <v>1.9</v>
      </c>
      <c r="S405" s="353">
        <f t="shared" si="98"/>
        <v>0</v>
      </c>
      <c r="T405" s="70">
        <v>20</v>
      </c>
      <c r="U405" s="20">
        <f t="shared" si="107"/>
        <v>0</v>
      </c>
      <c r="V405" s="52"/>
      <c r="W405" s="20">
        <v>20</v>
      </c>
    </row>
    <row r="406" spans="2:23" ht="26.25" customHeight="1" x14ac:dyDescent="0.25">
      <c r="B406" s="11">
        <v>131</v>
      </c>
      <c r="C406" s="6" t="s">
        <v>18</v>
      </c>
      <c r="D406" s="23" t="s">
        <v>72</v>
      </c>
      <c r="E406" s="104" t="s">
        <v>145</v>
      </c>
      <c r="F406" s="208">
        <v>726</v>
      </c>
      <c r="G406" s="48" t="s">
        <v>0</v>
      </c>
      <c r="H406" s="40">
        <v>270</v>
      </c>
      <c r="I406" s="360">
        <v>1366.2</v>
      </c>
      <c r="J406" s="39">
        <f t="shared" si="105"/>
        <v>0</v>
      </c>
      <c r="K406" s="309">
        <f t="shared" si="111"/>
        <v>5.0599999999999996</v>
      </c>
      <c r="L406" s="367"/>
      <c r="M406" s="140"/>
      <c r="N406" s="40">
        <v>270</v>
      </c>
      <c r="O406" s="309">
        <f t="shared" si="109"/>
        <v>1366.2</v>
      </c>
      <c r="P406" s="235" t="str">
        <f t="shared" ref="P406:P411" si="112">E406</f>
        <v>П7х7х4,8</v>
      </c>
      <c r="Q406" s="377">
        <f t="shared" si="104"/>
        <v>7.08</v>
      </c>
      <c r="R406" s="343">
        <v>5.9</v>
      </c>
      <c r="S406" s="353">
        <f t="shared" si="98"/>
        <v>0</v>
      </c>
      <c r="T406" s="18">
        <f>350+407</f>
        <v>757</v>
      </c>
      <c r="U406" s="20">
        <f t="shared" si="107"/>
        <v>0</v>
      </c>
      <c r="V406" s="52">
        <f t="shared" ref="V406:V411" si="113">W406-T406+U406</f>
        <v>0</v>
      </c>
      <c r="W406" s="18">
        <f>350+407</f>
        <v>757</v>
      </c>
    </row>
    <row r="407" spans="2:23" ht="26.25" hidden="1" customHeight="1" x14ac:dyDescent="0.25">
      <c r="B407" s="11"/>
      <c r="C407" s="6" t="s">
        <v>18</v>
      </c>
      <c r="D407" s="23" t="s">
        <v>72</v>
      </c>
      <c r="E407" s="104" t="s">
        <v>273</v>
      </c>
      <c r="F407" s="208">
        <v>758</v>
      </c>
      <c r="G407" s="48" t="s">
        <v>0</v>
      </c>
      <c r="H407" s="40"/>
      <c r="I407" s="360">
        <v>0</v>
      </c>
      <c r="J407" s="39">
        <f t="shared" si="105"/>
        <v>0</v>
      </c>
      <c r="K407" s="309">
        <f t="shared" si="111"/>
        <v>7.31</v>
      </c>
      <c r="L407" s="366" t="s">
        <v>611</v>
      </c>
      <c r="M407" s="140"/>
      <c r="N407" s="40"/>
      <c r="O407" s="469">
        <f t="shared" si="109"/>
        <v>0</v>
      </c>
      <c r="P407" s="51" t="str">
        <f t="shared" si="112"/>
        <v>П7х7х2,5</v>
      </c>
      <c r="Q407" s="377">
        <f>R407*1.2</f>
        <v>10.24</v>
      </c>
      <c r="R407" s="343">
        <v>8.5299999999999994</v>
      </c>
      <c r="S407" s="353">
        <f t="shared" si="98"/>
        <v>0</v>
      </c>
      <c r="T407" s="18">
        <f>6-3</f>
        <v>3</v>
      </c>
      <c r="U407" s="20">
        <f t="shared" si="107"/>
        <v>0</v>
      </c>
      <c r="V407" s="52">
        <f t="shared" si="113"/>
        <v>0</v>
      </c>
      <c r="W407" s="18">
        <f>6-3</f>
        <v>3</v>
      </c>
    </row>
    <row r="408" spans="2:23" ht="26.25" hidden="1" customHeight="1" x14ac:dyDescent="0.25">
      <c r="B408" s="11"/>
      <c r="C408" s="6" t="s">
        <v>18</v>
      </c>
      <c r="D408" s="23" t="s">
        <v>72</v>
      </c>
      <c r="E408" s="104" t="s">
        <v>484</v>
      </c>
      <c r="F408" s="270">
        <v>494</v>
      </c>
      <c r="G408" s="48"/>
      <c r="H408" s="40"/>
      <c r="I408" s="309">
        <v>0</v>
      </c>
      <c r="J408" s="39">
        <f t="shared" si="105"/>
        <v>0</v>
      </c>
      <c r="K408" s="309">
        <f t="shared" si="111"/>
        <v>4.5</v>
      </c>
      <c r="L408" s="234" t="s">
        <v>657</v>
      </c>
      <c r="M408" s="140"/>
      <c r="N408" s="504"/>
      <c r="O408" s="309">
        <f t="shared" si="109"/>
        <v>0</v>
      </c>
      <c r="P408" s="262" t="str">
        <f t="shared" si="112"/>
        <v>П14х7х2,4</v>
      </c>
      <c r="Q408" s="377">
        <f>R408*1.2</f>
        <v>6.3</v>
      </c>
      <c r="R408" s="343">
        <v>5.25</v>
      </c>
      <c r="S408" s="353">
        <f t="shared" si="98"/>
        <v>0</v>
      </c>
      <c r="T408" s="18">
        <v>79</v>
      </c>
      <c r="U408" s="20">
        <f t="shared" si="107"/>
        <v>0</v>
      </c>
      <c r="V408" s="52">
        <f t="shared" si="113"/>
        <v>0</v>
      </c>
      <c r="W408" s="18">
        <v>79</v>
      </c>
    </row>
    <row r="409" spans="2:23" ht="26.25" hidden="1" customHeight="1" x14ac:dyDescent="0.25">
      <c r="B409" s="11"/>
      <c r="C409" s="6" t="s">
        <v>18</v>
      </c>
      <c r="D409" s="23" t="s">
        <v>72</v>
      </c>
      <c r="E409" s="104" t="s">
        <v>485</v>
      </c>
      <c r="F409" s="270"/>
      <c r="G409" s="48"/>
      <c r="H409" s="40"/>
      <c r="I409" s="309">
        <v>0</v>
      </c>
      <c r="J409" s="39">
        <f t="shared" si="105"/>
        <v>0</v>
      </c>
      <c r="K409" s="309">
        <f t="shared" si="111"/>
        <v>0</v>
      </c>
      <c r="L409" s="64"/>
      <c r="M409" s="140"/>
      <c r="N409" s="40"/>
      <c r="O409" s="490">
        <f t="shared" si="109"/>
        <v>0</v>
      </c>
      <c r="P409" s="263" t="str">
        <f t="shared" si="112"/>
        <v>П7х6х3</v>
      </c>
      <c r="Q409" s="377">
        <f>R409*1.2</f>
        <v>0</v>
      </c>
      <c r="R409" s="343">
        <v>0</v>
      </c>
      <c r="S409" s="353">
        <f t="shared" si="98"/>
        <v>0</v>
      </c>
      <c r="T409" s="18">
        <v>9</v>
      </c>
      <c r="U409" s="20">
        <f t="shared" si="107"/>
        <v>0</v>
      </c>
      <c r="V409" s="52">
        <f t="shared" si="113"/>
        <v>0</v>
      </c>
      <c r="W409" s="18">
        <v>9</v>
      </c>
    </row>
    <row r="410" spans="2:23" ht="26.25" customHeight="1" x14ac:dyDescent="0.25">
      <c r="B410" s="11">
        <v>132</v>
      </c>
      <c r="C410" s="6" t="s">
        <v>18</v>
      </c>
      <c r="D410" s="23" t="s">
        <v>72</v>
      </c>
      <c r="E410" s="107" t="s">
        <v>496</v>
      </c>
      <c r="F410" s="526">
        <v>1268</v>
      </c>
      <c r="G410" s="48" t="s">
        <v>0</v>
      </c>
      <c r="H410" s="40">
        <v>2</v>
      </c>
      <c r="I410" s="360">
        <v>12.26</v>
      </c>
      <c r="J410" s="39">
        <f t="shared" si="105"/>
        <v>0</v>
      </c>
      <c r="K410" s="309">
        <v>6.13</v>
      </c>
      <c r="L410" s="368"/>
      <c r="M410" s="140"/>
      <c r="N410" s="40">
        <v>2</v>
      </c>
      <c r="O410" s="309">
        <f t="shared" si="109"/>
        <v>12.26</v>
      </c>
      <c r="P410" s="235" t="str">
        <f t="shared" si="112"/>
        <v>П10х10х4</v>
      </c>
      <c r="Q410" s="377">
        <f>R410*1.2</f>
        <v>8.58</v>
      </c>
      <c r="R410" s="343">
        <v>7.15</v>
      </c>
      <c r="S410" s="353">
        <f t="shared" si="98"/>
        <v>0</v>
      </c>
      <c r="T410" s="18">
        <v>8</v>
      </c>
      <c r="U410" s="20">
        <f t="shared" si="107"/>
        <v>0</v>
      </c>
      <c r="V410" s="52">
        <f t="shared" si="113"/>
        <v>0</v>
      </c>
      <c r="W410" s="18">
        <v>8</v>
      </c>
    </row>
    <row r="411" spans="2:23" ht="26.25" hidden="1" customHeight="1" x14ac:dyDescent="0.25">
      <c r="B411" s="11"/>
      <c r="C411" s="6" t="s">
        <v>18</v>
      </c>
      <c r="D411" s="23" t="s">
        <v>72</v>
      </c>
      <c r="E411" s="107" t="s">
        <v>664</v>
      </c>
      <c r="F411" s="386">
        <v>1255</v>
      </c>
      <c r="G411" s="12"/>
      <c r="H411" s="40"/>
      <c r="I411" s="309">
        <v>0</v>
      </c>
      <c r="J411" s="39">
        <f t="shared" si="105"/>
        <v>0</v>
      </c>
      <c r="K411" s="309">
        <f>Q411/1.4</f>
        <v>12</v>
      </c>
      <c r="L411" s="96" t="s">
        <v>475</v>
      </c>
      <c r="M411" s="140"/>
      <c r="N411" s="40"/>
      <c r="O411" s="490">
        <f t="shared" si="109"/>
        <v>0</v>
      </c>
      <c r="P411" s="262" t="str">
        <f t="shared" si="112"/>
        <v>П12х10х20 (скл. Интеграл)</v>
      </c>
      <c r="Q411" s="377">
        <f>R411*1.2</f>
        <v>16.8</v>
      </c>
      <c r="R411" s="343">
        <v>14</v>
      </c>
      <c r="S411" s="353">
        <f t="shared" si="98"/>
        <v>0</v>
      </c>
      <c r="T411" s="18">
        <v>8</v>
      </c>
      <c r="U411" s="20">
        <f t="shared" si="107"/>
        <v>0</v>
      </c>
      <c r="V411" s="52">
        <f t="shared" si="113"/>
        <v>0</v>
      </c>
      <c r="W411" s="18">
        <v>8</v>
      </c>
    </row>
    <row r="412" spans="2:23" ht="26.25" hidden="1" customHeight="1" x14ac:dyDescent="0.25">
      <c r="B412" s="11"/>
      <c r="C412" s="6"/>
      <c r="D412" s="23"/>
      <c r="E412" s="1" t="s">
        <v>330</v>
      </c>
      <c r="F412" s="386"/>
      <c r="G412" s="12"/>
      <c r="H412" s="40"/>
      <c r="I412" s="309"/>
      <c r="J412" s="39">
        <f t="shared" si="105"/>
        <v>0</v>
      </c>
      <c r="K412" s="309"/>
      <c r="L412" s="96"/>
      <c r="M412" s="140"/>
      <c r="N412" s="40"/>
      <c r="O412" s="309"/>
      <c r="P412" s="262"/>
      <c r="Q412" s="377"/>
      <c r="R412" s="343"/>
      <c r="S412" s="353">
        <f t="shared" si="98"/>
        <v>0</v>
      </c>
      <c r="T412" s="18"/>
      <c r="U412" s="20">
        <f t="shared" si="107"/>
        <v>0</v>
      </c>
      <c r="V412" s="52"/>
      <c r="W412" s="18"/>
    </row>
    <row r="413" spans="2:23" ht="26.25" hidden="1" customHeight="1" x14ac:dyDescent="0.25">
      <c r="B413" s="11"/>
      <c r="C413" s="6" t="s">
        <v>18</v>
      </c>
      <c r="D413" s="23" t="s">
        <v>72</v>
      </c>
      <c r="E413" s="1" t="s">
        <v>249</v>
      </c>
      <c r="F413" s="386">
        <v>1222</v>
      </c>
      <c r="G413" s="12"/>
      <c r="H413" s="40"/>
      <c r="I413" s="309">
        <v>0</v>
      </c>
      <c r="J413" s="39">
        <f t="shared" si="105"/>
        <v>0</v>
      </c>
      <c r="K413" s="309">
        <f t="shared" ref="K413:K439" si="114">Q413/1.4</f>
        <v>7.97</v>
      </c>
      <c r="L413" s="96" t="s">
        <v>335</v>
      </c>
      <c r="M413" s="140"/>
      <c r="N413" s="40"/>
      <c r="O413" s="309">
        <f t="shared" ref="O413:O427" si="115">K413*N413</f>
        <v>0</v>
      </c>
      <c r="P413" s="235" t="str">
        <f t="shared" ref="P413:P439" si="116">E413</f>
        <v>П20х10х7,5</v>
      </c>
      <c r="Q413" s="377">
        <f t="shared" ref="Q413:Q439" si="117">R413*1.2</f>
        <v>11.16</v>
      </c>
      <c r="R413" s="343">
        <v>9.3000000000000007</v>
      </c>
      <c r="S413" s="353">
        <f t="shared" si="98"/>
        <v>0</v>
      </c>
      <c r="T413" s="18">
        <f>162*4+32</f>
        <v>680</v>
      </c>
      <c r="U413" s="20">
        <f t="shared" si="107"/>
        <v>0</v>
      </c>
      <c r="V413" s="52">
        <f t="shared" ref="V413:V428" si="118">W413-T413+U413</f>
        <v>0</v>
      </c>
      <c r="W413" s="18">
        <f>162*4+32</f>
        <v>680</v>
      </c>
    </row>
    <row r="414" spans="2:23" ht="26.25" hidden="1" customHeight="1" x14ac:dyDescent="0.25">
      <c r="B414" s="19"/>
      <c r="C414" s="6" t="s">
        <v>18</v>
      </c>
      <c r="D414" s="23" t="s">
        <v>72</v>
      </c>
      <c r="E414" s="106" t="s">
        <v>247</v>
      </c>
      <c r="F414" s="386"/>
      <c r="G414" s="13" t="s">
        <v>0</v>
      </c>
      <c r="H414" s="39"/>
      <c r="I414" s="309">
        <v>0</v>
      </c>
      <c r="J414" s="39">
        <f t="shared" si="105"/>
        <v>0</v>
      </c>
      <c r="K414" s="309">
        <f t="shared" si="114"/>
        <v>197.14</v>
      </c>
      <c r="L414" s="217" t="s">
        <v>279</v>
      </c>
      <c r="M414" s="140"/>
      <c r="N414" s="39"/>
      <c r="O414" s="309">
        <f t="shared" si="115"/>
        <v>0</v>
      </c>
      <c r="P414" s="235" t="str">
        <f t="shared" si="116"/>
        <v>П30х30х15</v>
      </c>
      <c r="Q414" s="377">
        <f t="shared" si="117"/>
        <v>276</v>
      </c>
      <c r="R414" s="319">
        <v>230</v>
      </c>
      <c r="S414" s="353">
        <f t="shared" si="98"/>
        <v>0</v>
      </c>
      <c r="T414" s="18">
        <v>2</v>
      </c>
      <c r="U414" s="20">
        <f t="shared" si="107"/>
        <v>0</v>
      </c>
      <c r="V414" s="52">
        <f t="shared" si="118"/>
        <v>0</v>
      </c>
      <c r="W414" s="18">
        <v>2</v>
      </c>
    </row>
    <row r="415" spans="2:23" ht="26.25" hidden="1" customHeight="1" x14ac:dyDescent="0.25">
      <c r="B415" s="19"/>
      <c r="C415" s="6" t="s">
        <v>18</v>
      </c>
      <c r="D415" s="23" t="s">
        <v>72</v>
      </c>
      <c r="E415" s="106" t="s">
        <v>483</v>
      </c>
      <c r="F415" s="386"/>
      <c r="G415" s="13"/>
      <c r="H415" s="39"/>
      <c r="I415" s="309">
        <v>0</v>
      </c>
      <c r="J415" s="39">
        <f t="shared" ref="J415:J439" si="119">M415+N415-H415</f>
        <v>0</v>
      </c>
      <c r="K415" s="309">
        <f t="shared" si="114"/>
        <v>14.66</v>
      </c>
      <c r="L415" s="90"/>
      <c r="M415" s="140"/>
      <c r="N415" s="39"/>
      <c r="O415" s="309">
        <f t="shared" si="115"/>
        <v>0</v>
      </c>
      <c r="P415" s="235" t="str">
        <f t="shared" si="116"/>
        <v>П55х24х3</v>
      </c>
      <c r="Q415" s="377">
        <f t="shared" si="117"/>
        <v>20.52</v>
      </c>
      <c r="R415" s="319">
        <v>17.100000000000001</v>
      </c>
      <c r="S415" s="353">
        <f t="shared" si="98"/>
        <v>0</v>
      </c>
      <c r="T415" s="18">
        <f>16*8+11</f>
        <v>139</v>
      </c>
      <c r="U415" s="20">
        <f t="shared" si="107"/>
        <v>0</v>
      </c>
      <c r="V415" s="52">
        <f t="shared" si="118"/>
        <v>0</v>
      </c>
      <c r="W415" s="18">
        <f>16*8+11</f>
        <v>139</v>
      </c>
    </row>
    <row r="416" spans="2:23" ht="26.25" hidden="1" customHeight="1" x14ac:dyDescent="0.25">
      <c r="B416" s="19"/>
      <c r="C416" s="6" t="s">
        <v>18</v>
      </c>
      <c r="D416" s="23" t="s">
        <v>72</v>
      </c>
      <c r="E416" s="106" t="s">
        <v>254</v>
      </c>
      <c r="F416" s="386"/>
      <c r="G416" s="13"/>
      <c r="H416" s="39"/>
      <c r="I416" s="309">
        <v>0</v>
      </c>
      <c r="J416" s="39">
        <f t="shared" si="119"/>
        <v>0</v>
      </c>
      <c r="K416" s="309">
        <f t="shared" si="114"/>
        <v>0</v>
      </c>
      <c r="L416" s="90"/>
      <c r="M416" s="140"/>
      <c r="N416" s="39"/>
      <c r="O416" s="309">
        <f t="shared" si="115"/>
        <v>0</v>
      </c>
      <c r="P416" s="235" t="str">
        <f t="shared" si="116"/>
        <v>П26х19х3</v>
      </c>
      <c r="Q416" s="377">
        <f t="shared" si="117"/>
        <v>0</v>
      </c>
      <c r="R416" s="319">
        <v>0</v>
      </c>
      <c r="S416" s="353">
        <f t="shared" si="98"/>
        <v>0</v>
      </c>
      <c r="T416" s="18">
        <v>4</v>
      </c>
      <c r="U416" s="20">
        <f t="shared" si="107"/>
        <v>0</v>
      </c>
      <c r="V416" s="52">
        <f t="shared" si="118"/>
        <v>0</v>
      </c>
      <c r="W416" s="18">
        <v>4</v>
      </c>
    </row>
    <row r="417" spans="1:23" ht="26.25" hidden="1" customHeight="1" x14ac:dyDescent="0.25">
      <c r="B417" s="19"/>
      <c r="C417" s="6" t="s">
        <v>18</v>
      </c>
      <c r="D417" s="23" t="s">
        <v>72</v>
      </c>
      <c r="E417" s="106" t="s">
        <v>387</v>
      </c>
      <c r="F417" s="386"/>
      <c r="G417" s="13"/>
      <c r="H417" s="39"/>
      <c r="I417" s="309">
        <v>0</v>
      </c>
      <c r="J417" s="39">
        <f t="shared" si="119"/>
        <v>0</v>
      </c>
      <c r="K417" s="309">
        <f t="shared" si="114"/>
        <v>0</v>
      </c>
      <c r="L417" s="90"/>
      <c r="M417" s="140"/>
      <c r="N417" s="39"/>
      <c r="O417" s="309">
        <f t="shared" si="115"/>
        <v>0</v>
      </c>
      <c r="P417" s="235" t="str">
        <f t="shared" si="116"/>
        <v>П20х10х5</v>
      </c>
      <c r="Q417" s="377">
        <f t="shared" si="117"/>
        <v>0</v>
      </c>
      <c r="R417" s="319">
        <v>0</v>
      </c>
      <c r="S417" s="353">
        <f t="shared" si="98"/>
        <v>0</v>
      </c>
      <c r="T417" s="18">
        <v>40</v>
      </c>
      <c r="U417" s="20">
        <f t="shared" si="107"/>
        <v>0</v>
      </c>
      <c r="V417" s="52">
        <f t="shared" si="118"/>
        <v>0</v>
      </c>
      <c r="W417" s="18">
        <v>40</v>
      </c>
    </row>
    <row r="418" spans="1:23" ht="26.25" hidden="1" customHeight="1" x14ac:dyDescent="0.25">
      <c r="B418" s="19"/>
      <c r="C418" s="6" t="s">
        <v>18</v>
      </c>
      <c r="D418" s="23" t="s">
        <v>72</v>
      </c>
      <c r="E418" s="106" t="s">
        <v>510</v>
      </c>
      <c r="F418" s="386">
        <v>1066</v>
      </c>
      <c r="G418" s="48" t="s">
        <v>0</v>
      </c>
      <c r="H418" s="39"/>
      <c r="I418" s="360">
        <v>0</v>
      </c>
      <c r="J418" s="39">
        <f t="shared" si="119"/>
        <v>0</v>
      </c>
      <c r="K418" s="309">
        <f t="shared" si="114"/>
        <v>54.43</v>
      </c>
      <c r="L418" s="91" t="s">
        <v>568</v>
      </c>
      <c r="M418" s="140"/>
      <c r="N418" s="39"/>
      <c r="O418" s="360">
        <f t="shared" si="115"/>
        <v>0</v>
      </c>
      <c r="P418" s="235" t="str">
        <f t="shared" si="116"/>
        <v>П50х8,5х2,7(БРАС757157.001-01)</v>
      </c>
      <c r="Q418" s="377">
        <f t="shared" si="117"/>
        <v>76.2</v>
      </c>
      <c r="R418" s="319">
        <v>63.5</v>
      </c>
      <c r="S418" s="353">
        <f t="shared" si="98"/>
        <v>0</v>
      </c>
      <c r="T418" s="462">
        <v>2</v>
      </c>
      <c r="U418" s="20">
        <f t="shared" si="107"/>
        <v>0</v>
      </c>
      <c r="V418" s="52">
        <f t="shared" si="118"/>
        <v>0</v>
      </c>
      <c r="W418" s="462">
        <v>2</v>
      </c>
    </row>
    <row r="419" spans="1:23" ht="26.25" hidden="1" customHeight="1" x14ac:dyDescent="0.25">
      <c r="B419" s="19"/>
      <c r="C419" s="6" t="s">
        <v>18</v>
      </c>
      <c r="D419" s="23" t="s">
        <v>72</v>
      </c>
      <c r="E419" s="106" t="s">
        <v>509</v>
      </c>
      <c r="F419" s="386">
        <v>1059</v>
      </c>
      <c r="G419" s="48" t="s">
        <v>0</v>
      </c>
      <c r="H419" s="39"/>
      <c r="I419" s="360">
        <v>0</v>
      </c>
      <c r="J419" s="39">
        <f t="shared" si="119"/>
        <v>0</v>
      </c>
      <c r="K419" s="309">
        <f t="shared" si="114"/>
        <v>54.43</v>
      </c>
      <c r="L419" s="91" t="s">
        <v>568</v>
      </c>
      <c r="M419" s="140"/>
      <c r="N419" s="39"/>
      <c r="O419" s="360">
        <f t="shared" si="115"/>
        <v>0</v>
      </c>
      <c r="P419" s="235" t="str">
        <f t="shared" si="116"/>
        <v>П50х8,5х2,7(БРАС757157.001)</v>
      </c>
      <c r="Q419" s="377">
        <f t="shared" si="117"/>
        <v>76.2</v>
      </c>
      <c r="R419" s="319">
        <v>63.5</v>
      </c>
      <c r="S419" s="353">
        <f t="shared" si="98"/>
        <v>0</v>
      </c>
      <c r="T419" s="462">
        <v>2</v>
      </c>
      <c r="U419" s="20">
        <f t="shared" si="107"/>
        <v>0</v>
      </c>
      <c r="V419" s="52">
        <f t="shared" si="118"/>
        <v>0</v>
      </c>
      <c r="W419" s="462">
        <v>2</v>
      </c>
    </row>
    <row r="420" spans="1:23" ht="26.25" hidden="1" customHeight="1" x14ac:dyDescent="0.25">
      <c r="B420" s="19"/>
      <c r="C420" s="6" t="s">
        <v>18</v>
      </c>
      <c r="D420" s="23" t="s">
        <v>72</v>
      </c>
      <c r="E420" s="106" t="s">
        <v>569</v>
      </c>
      <c r="F420" s="386"/>
      <c r="G420" s="13"/>
      <c r="H420" s="39"/>
      <c r="I420" s="309">
        <v>0</v>
      </c>
      <c r="J420" s="39">
        <f t="shared" si="119"/>
        <v>0</v>
      </c>
      <c r="K420" s="309">
        <f t="shared" si="114"/>
        <v>17.14</v>
      </c>
      <c r="L420" s="90"/>
      <c r="M420" s="140"/>
      <c r="N420" s="39"/>
      <c r="O420" s="309">
        <f t="shared" si="115"/>
        <v>0</v>
      </c>
      <c r="P420" s="235" t="str">
        <f t="shared" si="116"/>
        <v>П10х7х2,5</v>
      </c>
      <c r="Q420" s="377">
        <f t="shared" si="117"/>
        <v>24</v>
      </c>
      <c r="R420" s="319">
        <v>20</v>
      </c>
      <c r="S420" s="353">
        <f t="shared" si="98"/>
        <v>0</v>
      </c>
      <c r="T420" s="18">
        <f>30+49</f>
        <v>79</v>
      </c>
      <c r="U420" s="20">
        <f t="shared" si="107"/>
        <v>0</v>
      </c>
      <c r="V420" s="52">
        <f t="shared" si="118"/>
        <v>0</v>
      </c>
      <c r="W420" s="18">
        <f>30+49</f>
        <v>79</v>
      </c>
    </row>
    <row r="421" spans="1:23" ht="26.25" hidden="1" customHeight="1" x14ac:dyDescent="0.25">
      <c r="B421" s="19"/>
      <c r="C421" s="6" t="s">
        <v>18</v>
      </c>
      <c r="D421" s="23" t="s">
        <v>72</v>
      </c>
      <c r="E421" s="106" t="s">
        <v>482</v>
      </c>
      <c r="F421" s="386"/>
      <c r="G421" s="13" t="s">
        <v>0</v>
      </c>
      <c r="H421" s="39"/>
      <c r="I421" s="309">
        <v>0</v>
      </c>
      <c r="J421" s="39">
        <f t="shared" si="119"/>
        <v>0</v>
      </c>
      <c r="K421" s="309">
        <f t="shared" si="114"/>
        <v>0</v>
      </c>
      <c r="L421" s="64"/>
      <c r="M421" s="140"/>
      <c r="N421" s="39"/>
      <c r="O421" s="309">
        <f t="shared" si="115"/>
        <v>0</v>
      </c>
      <c r="P421" s="235" t="str">
        <f t="shared" si="116"/>
        <v>П55х40х3</v>
      </c>
      <c r="Q421" s="377">
        <f t="shared" si="117"/>
        <v>0</v>
      </c>
      <c r="R421" s="319">
        <v>0</v>
      </c>
      <c r="S421" s="353">
        <f t="shared" si="98"/>
        <v>0</v>
      </c>
      <c r="T421" s="18">
        <f>20*11+5</f>
        <v>225</v>
      </c>
      <c r="U421" s="20">
        <f t="shared" si="107"/>
        <v>0</v>
      </c>
      <c r="V421" s="52">
        <f t="shared" si="118"/>
        <v>0</v>
      </c>
      <c r="W421" s="18">
        <f>20*11+5</f>
        <v>225</v>
      </c>
    </row>
    <row r="422" spans="1:23" ht="26.25" hidden="1" customHeight="1" x14ac:dyDescent="0.25">
      <c r="B422" s="19"/>
      <c r="C422" s="6" t="s">
        <v>18</v>
      </c>
      <c r="D422" s="23" t="s">
        <v>72</v>
      </c>
      <c r="E422" s="106" t="s">
        <v>274</v>
      </c>
      <c r="F422" s="386"/>
      <c r="G422" s="13"/>
      <c r="H422" s="39"/>
      <c r="I422" s="309">
        <v>0</v>
      </c>
      <c r="J422" s="39">
        <f t="shared" si="119"/>
        <v>0</v>
      </c>
      <c r="K422" s="309">
        <f t="shared" si="114"/>
        <v>0</v>
      </c>
      <c r="L422" s="116"/>
      <c r="M422" s="140"/>
      <c r="N422" s="39"/>
      <c r="O422" s="497">
        <f t="shared" si="115"/>
        <v>0</v>
      </c>
      <c r="P422" s="235" t="str">
        <f t="shared" si="116"/>
        <v>П42х42х47</v>
      </c>
      <c r="Q422" s="377">
        <f t="shared" si="117"/>
        <v>0</v>
      </c>
      <c r="R422" s="319">
        <v>0</v>
      </c>
      <c r="S422" s="353">
        <f t="shared" si="98"/>
        <v>0</v>
      </c>
      <c r="T422" s="18"/>
      <c r="U422" s="20">
        <f t="shared" si="107"/>
        <v>0</v>
      </c>
      <c r="V422" s="52">
        <f t="shared" si="118"/>
        <v>0</v>
      </c>
      <c r="W422" s="18"/>
    </row>
    <row r="423" spans="1:23" s="4" customFormat="1" ht="26.25" hidden="1" customHeight="1" x14ac:dyDescent="0.25">
      <c r="A423" s="10"/>
      <c r="B423" s="19"/>
      <c r="C423" s="6" t="s">
        <v>18</v>
      </c>
      <c r="D423" s="23" t="s">
        <v>72</v>
      </c>
      <c r="E423" s="87" t="s">
        <v>635</v>
      </c>
      <c r="F423" s="397">
        <v>693</v>
      </c>
      <c r="G423" s="13"/>
      <c r="H423" s="39"/>
      <c r="I423" s="360">
        <v>0</v>
      </c>
      <c r="J423" s="39">
        <f t="shared" si="119"/>
        <v>0</v>
      </c>
      <c r="K423" s="309">
        <f t="shared" si="114"/>
        <v>3.51</v>
      </c>
      <c r="L423" s="234" t="s">
        <v>656</v>
      </c>
      <c r="M423" s="140"/>
      <c r="N423" s="503"/>
      <c r="O423" s="309">
        <f t="shared" si="115"/>
        <v>0</v>
      </c>
      <c r="P423" s="235" t="str">
        <f t="shared" si="116"/>
        <v>П10х7х2,4</v>
      </c>
      <c r="Q423" s="306">
        <f t="shared" si="117"/>
        <v>4.92</v>
      </c>
      <c r="R423" s="319">
        <v>4.0999999999999996</v>
      </c>
      <c r="S423" s="353">
        <f t="shared" ref="S423:S431" si="120">R423*J423</f>
        <v>0</v>
      </c>
      <c r="T423" s="18"/>
      <c r="U423" s="20">
        <f t="shared" si="107"/>
        <v>0</v>
      </c>
      <c r="V423" s="52">
        <f t="shared" si="118"/>
        <v>0</v>
      </c>
      <c r="W423" s="18"/>
    </row>
    <row r="424" spans="1:23" ht="26.25" hidden="1" customHeight="1" x14ac:dyDescent="0.25">
      <c r="B424" s="15"/>
      <c r="C424" s="6" t="s">
        <v>18</v>
      </c>
      <c r="D424" s="23" t="s">
        <v>72</v>
      </c>
      <c r="E424" s="1" t="s">
        <v>480</v>
      </c>
      <c r="F424" s="386">
        <v>1148</v>
      </c>
      <c r="G424" s="13"/>
      <c r="H424" s="39"/>
      <c r="I424" s="309">
        <v>0</v>
      </c>
      <c r="J424" s="39">
        <f t="shared" si="119"/>
        <v>0</v>
      </c>
      <c r="K424" s="309">
        <f t="shared" si="114"/>
        <v>6</v>
      </c>
      <c r="L424" s="217" t="s">
        <v>278</v>
      </c>
      <c r="M424" s="140"/>
      <c r="N424" s="39"/>
      <c r="O424" s="490">
        <f t="shared" si="115"/>
        <v>0</v>
      </c>
      <c r="P424" s="235" t="str">
        <f t="shared" si="116"/>
        <v>П50х40х5</v>
      </c>
      <c r="Q424" s="377">
        <f t="shared" si="117"/>
        <v>8.4</v>
      </c>
      <c r="R424" s="319">
        <v>7</v>
      </c>
      <c r="S424" s="353">
        <f t="shared" si="120"/>
        <v>0</v>
      </c>
      <c r="T424" s="18">
        <v>13</v>
      </c>
      <c r="U424" s="20">
        <f t="shared" si="107"/>
        <v>0</v>
      </c>
      <c r="V424" s="52">
        <f t="shared" si="118"/>
        <v>0</v>
      </c>
      <c r="W424" s="18">
        <v>13</v>
      </c>
    </row>
    <row r="425" spans="1:23" ht="26.25" hidden="1" customHeight="1" x14ac:dyDescent="0.25">
      <c r="B425" s="15"/>
      <c r="C425" s="6" t="s">
        <v>18</v>
      </c>
      <c r="D425" s="23" t="s">
        <v>72</v>
      </c>
      <c r="E425" s="1" t="s">
        <v>479</v>
      </c>
      <c r="F425" s="386">
        <v>1150</v>
      </c>
      <c r="G425" s="13"/>
      <c r="H425" s="39"/>
      <c r="I425" s="309">
        <v>0</v>
      </c>
      <c r="J425" s="39">
        <f t="shared" si="119"/>
        <v>0</v>
      </c>
      <c r="K425" s="309">
        <f t="shared" si="114"/>
        <v>21.43</v>
      </c>
      <c r="L425" s="217" t="s">
        <v>278</v>
      </c>
      <c r="M425" s="140"/>
      <c r="N425" s="39"/>
      <c r="O425" s="309">
        <f t="shared" si="115"/>
        <v>0</v>
      </c>
      <c r="P425" s="235" t="str">
        <f t="shared" si="116"/>
        <v>П50х40х10</v>
      </c>
      <c r="Q425" s="377">
        <f t="shared" si="117"/>
        <v>30</v>
      </c>
      <c r="R425" s="319">
        <v>25</v>
      </c>
      <c r="S425" s="353">
        <f t="shared" si="120"/>
        <v>0</v>
      </c>
      <c r="T425" s="18">
        <v>41</v>
      </c>
      <c r="U425" s="20">
        <f t="shared" si="107"/>
        <v>0</v>
      </c>
      <c r="V425" s="52">
        <f t="shared" si="118"/>
        <v>0</v>
      </c>
      <c r="W425" s="18">
        <v>41</v>
      </c>
    </row>
    <row r="426" spans="1:23" ht="26.25" hidden="1" customHeight="1" x14ac:dyDescent="0.25">
      <c r="B426" s="11"/>
      <c r="C426" s="6" t="s">
        <v>18</v>
      </c>
      <c r="D426" s="23" t="s">
        <v>72</v>
      </c>
      <c r="E426" s="112" t="s">
        <v>362</v>
      </c>
      <c r="F426" s="208">
        <v>1136</v>
      </c>
      <c r="G426" s="48" t="s">
        <v>0</v>
      </c>
      <c r="H426" s="39"/>
      <c r="I426" s="309">
        <v>0</v>
      </c>
      <c r="J426" s="39">
        <f t="shared" si="119"/>
        <v>0</v>
      </c>
      <c r="K426" s="309">
        <f t="shared" si="114"/>
        <v>3.46</v>
      </c>
      <c r="L426" s="93" t="s">
        <v>365</v>
      </c>
      <c r="M426" s="140"/>
      <c r="N426" s="39"/>
      <c r="O426" s="309">
        <f t="shared" si="115"/>
        <v>0</v>
      </c>
      <c r="P426" s="263" t="str">
        <f t="shared" si="116"/>
        <v>ВМ-1950.5679.13.03.003 (Д16х3)</v>
      </c>
      <c r="Q426" s="377">
        <f t="shared" si="117"/>
        <v>4.84</v>
      </c>
      <c r="R426" s="319">
        <v>4.03</v>
      </c>
      <c r="S426" s="353">
        <f t="shared" si="120"/>
        <v>0</v>
      </c>
      <c r="T426" s="20"/>
      <c r="U426" s="20">
        <f t="shared" si="107"/>
        <v>0</v>
      </c>
      <c r="V426" s="52">
        <f t="shared" si="118"/>
        <v>0</v>
      </c>
      <c r="W426" s="20"/>
    </row>
    <row r="427" spans="1:23" ht="26.25" customHeight="1" x14ac:dyDescent="0.25">
      <c r="B427" s="11">
        <v>133</v>
      </c>
      <c r="C427" s="6" t="s">
        <v>26</v>
      </c>
      <c r="D427" s="23" t="s">
        <v>40</v>
      </c>
      <c r="E427" s="105" t="s">
        <v>73</v>
      </c>
      <c r="F427" s="208" t="s">
        <v>60</v>
      </c>
      <c r="G427" s="48" t="s">
        <v>0</v>
      </c>
      <c r="H427" s="39">
        <v>30</v>
      </c>
      <c r="I427" s="360">
        <v>1782</v>
      </c>
      <c r="J427" s="39">
        <f t="shared" si="119"/>
        <v>0</v>
      </c>
      <c r="K427" s="309">
        <f t="shared" si="114"/>
        <v>59.4</v>
      </c>
      <c r="L427" s="203" t="s">
        <v>213</v>
      </c>
      <c r="M427" s="140"/>
      <c r="N427" s="39">
        <v>30</v>
      </c>
      <c r="O427" s="309">
        <f t="shared" si="115"/>
        <v>1782</v>
      </c>
      <c r="P427" s="235" t="str">
        <f t="shared" si="116"/>
        <v>Стержневой  СКЛ Д32-175</v>
      </c>
      <c r="Q427" s="306">
        <f t="shared" si="117"/>
        <v>83.16</v>
      </c>
      <c r="R427" s="319">
        <v>69.3</v>
      </c>
      <c r="S427" s="353">
        <f t="shared" si="120"/>
        <v>0</v>
      </c>
      <c r="T427" s="148">
        <f>16*10</f>
        <v>160</v>
      </c>
      <c r="U427" s="20">
        <f t="shared" si="107"/>
        <v>0</v>
      </c>
      <c r="V427" s="52">
        <f t="shared" si="118"/>
        <v>-30</v>
      </c>
      <c r="W427" s="444">
        <v>130</v>
      </c>
    </row>
    <row r="428" spans="1:23" ht="26.25" customHeight="1" x14ac:dyDescent="0.25">
      <c r="B428" s="11">
        <v>134</v>
      </c>
      <c r="C428" s="6" t="s">
        <v>26</v>
      </c>
      <c r="D428" s="23" t="s">
        <v>9</v>
      </c>
      <c r="E428" s="237" t="s">
        <v>133</v>
      </c>
      <c r="F428" s="208">
        <v>658</v>
      </c>
      <c r="G428" s="48" t="s">
        <v>0</v>
      </c>
      <c r="H428" s="39">
        <v>16</v>
      </c>
      <c r="I428" s="360">
        <v>71.66</v>
      </c>
      <c r="J428" s="39">
        <f t="shared" si="119"/>
        <v>0</v>
      </c>
      <c r="K428" s="309">
        <f t="shared" si="114"/>
        <v>4.47</v>
      </c>
      <c r="L428" s="94"/>
      <c r="M428" s="279"/>
      <c r="N428" s="39">
        <v>16</v>
      </c>
      <c r="O428" s="309">
        <v>71.66</v>
      </c>
      <c r="P428" s="235" t="str">
        <f t="shared" si="116"/>
        <v>СКЛ   Д22х90</v>
      </c>
      <c r="Q428" s="306">
        <f t="shared" si="117"/>
        <v>6.26</v>
      </c>
      <c r="R428" s="319">
        <v>5.22</v>
      </c>
      <c r="S428" s="353">
        <f t="shared" si="120"/>
        <v>0</v>
      </c>
      <c r="T428" s="20">
        <v>9</v>
      </c>
      <c r="U428" s="20">
        <f t="shared" si="107"/>
        <v>0</v>
      </c>
      <c r="V428" s="52">
        <f t="shared" si="118"/>
        <v>0</v>
      </c>
      <c r="W428" s="20">
        <v>9</v>
      </c>
    </row>
    <row r="429" spans="1:23" ht="26.25" customHeight="1" x14ac:dyDescent="0.25">
      <c r="B429" s="11">
        <v>135</v>
      </c>
      <c r="C429" s="6" t="s">
        <v>26</v>
      </c>
      <c r="D429" s="23" t="s">
        <v>9</v>
      </c>
      <c r="E429" s="463" t="s">
        <v>904</v>
      </c>
      <c r="F429" s="208">
        <v>1501</v>
      </c>
      <c r="G429" s="48"/>
      <c r="H429" s="39"/>
      <c r="I429" s="360">
        <v>0</v>
      </c>
      <c r="J429" s="39">
        <f t="shared" si="119"/>
        <v>0</v>
      </c>
      <c r="K429" s="309">
        <f t="shared" si="114"/>
        <v>728.57</v>
      </c>
      <c r="L429" s="197" t="s">
        <v>213</v>
      </c>
      <c r="M429" s="279"/>
      <c r="N429" s="503"/>
      <c r="O429" s="309">
        <f t="shared" ref="O429:O439" si="121">K429*N429</f>
        <v>0</v>
      </c>
      <c r="P429" s="235" t="str">
        <f t="shared" si="116"/>
        <v>СМП1 470х450х200</v>
      </c>
      <c r="Q429" s="306">
        <f t="shared" si="117"/>
        <v>1020</v>
      </c>
      <c r="R429" s="319">
        <v>850</v>
      </c>
      <c r="S429" s="353">
        <f t="shared" si="120"/>
        <v>0</v>
      </c>
      <c r="T429" s="20"/>
      <c r="U429" s="20"/>
      <c r="V429" s="52"/>
      <c r="W429" s="20"/>
    </row>
    <row r="430" spans="1:23" ht="26.25" customHeight="1" x14ac:dyDescent="0.25">
      <c r="B430" s="11">
        <v>136</v>
      </c>
      <c r="C430" s="6" t="s">
        <v>953</v>
      </c>
      <c r="D430" s="23" t="s">
        <v>9</v>
      </c>
      <c r="E430" s="237" t="s">
        <v>954</v>
      </c>
      <c r="F430" s="862"/>
      <c r="G430" s="48"/>
      <c r="H430" s="39"/>
      <c r="I430" s="360">
        <v>0</v>
      </c>
      <c r="J430" s="39">
        <f t="shared" si="119"/>
        <v>5000</v>
      </c>
      <c r="K430" s="309">
        <f t="shared" si="114"/>
        <v>2.59</v>
      </c>
      <c r="L430" s="94"/>
      <c r="M430" s="279">
        <v>5000</v>
      </c>
      <c r="N430" s="503"/>
      <c r="O430" s="309">
        <f t="shared" si="121"/>
        <v>0</v>
      </c>
      <c r="P430" s="235" t="str">
        <f t="shared" si="116"/>
        <v>Порошок 28СА250</v>
      </c>
      <c r="Q430" s="306">
        <f t="shared" si="117"/>
        <v>3.62</v>
      </c>
      <c r="R430" s="319">
        <f>86.2*0.035</f>
        <v>3.02</v>
      </c>
      <c r="S430" s="353">
        <f t="shared" si="120"/>
        <v>15100</v>
      </c>
      <c r="T430" s="20"/>
      <c r="U430" s="20"/>
      <c r="V430" s="52"/>
      <c r="W430" s="20"/>
    </row>
    <row r="431" spans="1:23" ht="26.25" customHeight="1" x14ac:dyDescent="0.25">
      <c r="B431" s="11">
        <v>137</v>
      </c>
      <c r="C431" s="6" t="s">
        <v>26</v>
      </c>
      <c r="D431" s="23" t="s">
        <v>9</v>
      </c>
      <c r="E431" s="459" t="s">
        <v>955</v>
      </c>
      <c r="F431" s="208">
        <v>1524</v>
      </c>
      <c r="G431" s="48"/>
      <c r="H431" s="39"/>
      <c r="I431" s="360">
        <v>0</v>
      </c>
      <c r="J431" s="39">
        <f t="shared" si="119"/>
        <v>1</v>
      </c>
      <c r="K431" s="309">
        <f t="shared" si="114"/>
        <v>137.13999999999999</v>
      </c>
      <c r="L431" s="94"/>
      <c r="M431" s="279">
        <v>1</v>
      </c>
      <c r="N431" s="503"/>
      <c r="O431" s="309">
        <f t="shared" si="121"/>
        <v>0</v>
      </c>
      <c r="P431" s="235" t="str">
        <f t="shared" si="116"/>
        <v>СМП400 подборщик</v>
      </c>
      <c r="Q431" s="306">
        <f t="shared" si="117"/>
        <v>192</v>
      </c>
      <c r="R431" s="319">
        <v>160</v>
      </c>
      <c r="S431" s="353">
        <f t="shared" si="120"/>
        <v>160</v>
      </c>
      <c r="T431" s="20"/>
      <c r="U431" s="20"/>
      <c r="V431" s="52"/>
      <c r="W431" s="20"/>
    </row>
    <row r="432" spans="1:23" ht="26.25" customHeight="1" x14ac:dyDescent="0.25">
      <c r="B432" s="11">
        <v>138</v>
      </c>
      <c r="C432" s="6" t="s">
        <v>431</v>
      </c>
      <c r="D432" s="23" t="s">
        <v>72</v>
      </c>
      <c r="E432" s="87" t="s">
        <v>432</v>
      </c>
      <c r="F432" s="526">
        <v>1190</v>
      </c>
      <c r="G432" s="48" t="s">
        <v>0</v>
      </c>
      <c r="H432" s="39">
        <v>50</v>
      </c>
      <c r="I432" s="360">
        <v>240</v>
      </c>
      <c r="J432" s="39">
        <f t="shared" si="119"/>
        <v>50</v>
      </c>
      <c r="K432" s="309">
        <f t="shared" si="114"/>
        <v>4.8</v>
      </c>
      <c r="L432" s="368"/>
      <c r="M432" s="140">
        <v>50</v>
      </c>
      <c r="N432" s="39">
        <v>50</v>
      </c>
      <c r="O432" s="309">
        <f t="shared" si="121"/>
        <v>240</v>
      </c>
      <c r="P432" s="235" t="str">
        <f t="shared" si="116"/>
        <v>ПМ-8</v>
      </c>
      <c r="Q432" s="377">
        <f t="shared" si="117"/>
        <v>6.72</v>
      </c>
      <c r="R432" s="319">
        <v>5.6</v>
      </c>
      <c r="S432" s="353">
        <f t="shared" ref="S432:S439" si="122">R432*J432</f>
        <v>280</v>
      </c>
      <c r="T432" s="147">
        <v>50</v>
      </c>
      <c r="U432" s="20">
        <f t="shared" ref="U432:U439" si="123">M432</f>
        <v>50</v>
      </c>
      <c r="V432" s="52">
        <f>W432-T432+U432</f>
        <v>50</v>
      </c>
      <c r="W432" s="848">
        <v>50</v>
      </c>
    </row>
    <row r="433" spans="2:207" ht="26.25" customHeight="1" x14ac:dyDescent="0.25">
      <c r="B433" s="11">
        <v>139</v>
      </c>
      <c r="C433" s="6" t="s">
        <v>26</v>
      </c>
      <c r="D433" s="23" t="s">
        <v>40</v>
      </c>
      <c r="E433" s="107" t="s">
        <v>251</v>
      </c>
      <c r="F433" s="208">
        <v>1056</v>
      </c>
      <c r="G433" s="48" t="s">
        <v>0</v>
      </c>
      <c r="H433" s="39">
        <v>180</v>
      </c>
      <c r="I433" s="360">
        <v>4318.2</v>
      </c>
      <c r="J433" s="39">
        <f t="shared" si="119"/>
        <v>200</v>
      </c>
      <c r="K433" s="309">
        <f t="shared" si="114"/>
        <v>23.99</v>
      </c>
      <c r="L433" s="197" t="s">
        <v>213</v>
      </c>
      <c r="M433" s="140">
        <v>380</v>
      </c>
      <c r="N433" s="39"/>
      <c r="O433" s="309">
        <f t="shared" si="121"/>
        <v>0</v>
      </c>
      <c r="P433" s="263" t="str">
        <f t="shared" si="116"/>
        <v>СМУ-СКЛ НЖБ- 22х120</v>
      </c>
      <c r="Q433" s="306">
        <f t="shared" si="117"/>
        <v>33.58</v>
      </c>
      <c r="R433" s="320">
        <v>27.98</v>
      </c>
      <c r="S433" s="353">
        <f t="shared" si="122"/>
        <v>5596</v>
      </c>
      <c r="T433" s="148">
        <v>20</v>
      </c>
      <c r="U433" s="20">
        <f t="shared" si="123"/>
        <v>380</v>
      </c>
      <c r="V433" s="52">
        <f>W433-T433+U433</f>
        <v>360</v>
      </c>
      <c r="W433" s="444"/>
    </row>
    <row r="434" spans="2:207" ht="26.25" hidden="1" customHeight="1" x14ac:dyDescent="0.25">
      <c r="B434" s="15"/>
      <c r="C434" s="6" t="s">
        <v>26</v>
      </c>
      <c r="D434" s="23" t="s">
        <v>40</v>
      </c>
      <c r="E434" s="463" t="s">
        <v>874</v>
      </c>
      <c r="F434" s="528">
        <v>435</v>
      </c>
      <c r="G434" s="9" t="s">
        <v>0</v>
      </c>
      <c r="H434" s="43"/>
      <c r="I434" s="360">
        <v>0</v>
      </c>
      <c r="J434" s="39">
        <f t="shared" si="119"/>
        <v>0</v>
      </c>
      <c r="K434" s="309">
        <f t="shared" si="114"/>
        <v>132.86000000000001</v>
      </c>
      <c r="L434" s="203" t="s">
        <v>213</v>
      </c>
      <c r="M434" s="283"/>
      <c r="N434" s="505"/>
      <c r="O434" s="309">
        <f t="shared" si="121"/>
        <v>0</v>
      </c>
      <c r="P434" s="51" t="str">
        <f t="shared" si="116"/>
        <v>уловитель НЖБ стерж 22х125</v>
      </c>
      <c r="Q434" s="306">
        <f t="shared" si="117"/>
        <v>186</v>
      </c>
      <c r="R434" s="320">
        <v>155</v>
      </c>
      <c r="S434" s="353">
        <f t="shared" si="122"/>
        <v>0</v>
      </c>
      <c r="T434" s="20"/>
      <c r="U434" s="20">
        <f t="shared" si="123"/>
        <v>0</v>
      </c>
      <c r="V434" s="52">
        <f>W434-T434+U434</f>
        <v>0</v>
      </c>
      <c r="W434" s="20"/>
    </row>
    <row r="435" spans="2:207" ht="26.25" hidden="1" customHeight="1" x14ac:dyDescent="0.25">
      <c r="B435" s="15"/>
      <c r="C435" s="6" t="s">
        <v>26</v>
      </c>
      <c r="D435" s="23" t="s">
        <v>40</v>
      </c>
      <c r="E435" s="558" t="s">
        <v>856</v>
      </c>
      <c r="F435" s="528">
        <v>1494</v>
      </c>
      <c r="G435" s="48" t="s">
        <v>0</v>
      </c>
      <c r="H435" s="43"/>
      <c r="I435" s="360">
        <v>0</v>
      </c>
      <c r="J435" s="39">
        <f t="shared" si="119"/>
        <v>0</v>
      </c>
      <c r="K435" s="309">
        <f t="shared" si="114"/>
        <v>1457.14</v>
      </c>
      <c r="L435" s="203" t="s">
        <v>213</v>
      </c>
      <c r="M435" s="283"/>
      <c r="N435" s="505"/>
      <c r="O435" s="309">
        <f t="shared" si="121"/>
        <v>0</v>
      </c>
      <c r="P435" s="51" t="str">
        <f t="shared" si="116"/>
        <v>СМР1 300х250/5 с корпусом</v>
      </c>
      <c r="Q435" s="306">
        <f t="shared" si="117"/>
        <v>2040</v>
      </c>
      <c r="R435" s="320">
        <v>1700</v>
      </c>
      <c r="S435" s="353">
        <f t="shared" si="122"/>
        <v>0</v>
      </c>
      <c r="T435" s="20"/>
      <c r="U435" s="20">
        <f t="shared" si="123"/>
        <v>0</v>
      </c>
      <c r="V435" s="52"/>
      <c r="W435" s="20"/>
    </row>
    <row r="436" spans="2:207" ht="26.25" hidden="1" customHeight="1" x14ac:dyDescent="0.25">
      <c r="B436" s="15"/>
      <c r="C436" s="6" t="s">
        <v>26</v>
      </c>
      <c r="D436" s="23" t="s">
        <v>40</v>
      </c>
      <c r="E436" s="463" t="s">
        <v>857</v>
      </c>
      <c r="F436" s="210">
        <v>1474</v>
      </c>
      <c r="G436" s="48" t="s">
        <v>0</v>
      </c>
      <c r="H436" s="39"/>
      <c r="I436" s="360">
        <v>0</v>
      </c>
      <c r="J436" s="39">
        <f t="shared" si="119"/>
        <v>0</v>
      </c>
      <c r="K436" s="309">
        <f t="shared" si="114"/>
        <v>5142.8599999999997</v>
      </c>
      <c r="L436" s="203" t="s">
        <v>213</v>
      </c>
      <c r="M436" s="279"/>
      <c r="N436" s="503"/>
      <c r="O436" s="309">
        <f t="shared" si="121"/>
        <v>0</v>
      </c>
      <c r="P436" s="51" t="str">
        <f t="shared" si="116"/>
        <v>СМБ1-305/400</v>
      </c>
      <c r="Q436" s="306">
        <f t="shared" si="117"/>
        <v>7200</v>
      </c>
      <c r="R436" s="320">
        <v>6000</v>
      </c>
      <c r="S436" s="353">
        <f t="shared" si="122"/>
        <v>0</v>
      </c>
      <c r="T436" s="20"/>
      <c r="U436" s="20">
        <f t="shared" si="123"/>
        <v>0</v>
      </c>
      <c r="V436" s="52">
        <f>W436-T436+U436</f>
        <v>0</v>
      </c>
      <c r="W436" s="20"/>
    </row>
    <row r="437" spans="2:207" ht="26.25" customHeight="1" x14ac:dyDescent="0.25">
      <c r="B437" s="11">
        <v>140</v>
      </c>
      <c r="C437" s="6" t="s">
        <v>26</v>
      </c>
      <c r="D437" s="23" t="s">
        <v>40</v>
      </c>
      <c r="E437" s="463" t="s">
        <v>723</v>
      </c>
      <c r="F437" s="388">
        <v>1465</v>
      </c>
      <c r="G437" s="48" t="s">
        <v>0</v>
      </c>
      <c r="H437" s="39"/>
      <c r="I437" s="360">
        <v>0</v>
      </c>
      <c r="J437" s="39">
        <f t="shared" si="119"/>
        <v>0</v>
      </c>
      <c r="K437" s="309">
        <f t="shared" si="114"/>
        <v>102.86</v>
      </c>
      <c r="L437" s="203" t="s">
        <v>213</v>
      </c>
      <c r="M437" s="279"/>
      <c r="N437" s="39"/>
      <c r="O437" s="309">
        <f t="shared" si="121"/>
        <v>0</v>
      </c>
      <c r="P437" s="51" t="str">
        <f t="shared" si="116"/>
        <v>Магнит Д90/2</v>
      </c>
      <c r="Q437" s="306">
        <f t="shared" si="117"/>
        <v>144</v>
      </c>
      <c r="R437" s="463">
        <v>120</v>
      </c>
      <c r="S437" s="353">
        <f t="shared" si="122"/>
        <v>0</v>
      </c>
      <c r="T437" s="18"/>
      <c r="U437" s="20">
        <f t="shared" si="123"/>
        <v>0</v>
      </c>
      <c r="V437" s="52">
        <f>W437-T437+U437</f>
        <v>0</v>
      </c>
      <c r="W437" s="18"/>
    </row>
    <row r="438" spans="2:207" ht="26.25" customHeight="1" x14ac:dyDescent="0.25">
      <c r="B438" s="15">
        <v>141</v>
      </c>
      <c r="C438" s="6" t="s">
        <v>26</v>
      </c>
      <c r="D438" s="23" t="s">
        <v>40</v>
      </c>
      <c r="E438" s="858" t="s">
        <v>959</v>
      </c>
      <c r="F438" s="388">
        <v>1513</v>
      </c>
      <c r="G438" s="48" t="s">
        <v>0</v>
      </c>
      <c r="H438" s="39"/>
      <c r="I438" s="360">
        <v>0</v>
      </c>
      <c r="J438" s="39">
        <f t="shared" si="119"/>
        <v>1</v>
      </c>
      <c r="K438" s="309">
        <f t="shared" si="114"/>
        <v>1800</v>
      </c>
      <c r="L438" s="203" t="s">
        <v>213</v>
      </c>
      <c r="M438" s="279">
        <v>1</v>
      </c>
      <c r="N438" s="503"/>
      <c r="O438" s="490">
        <f t="shared" si="121"/>
        <v>0</v>
      </c>
      <c r="P438" s="262" t="str">
        <f t="shared" si="116"/>
        <v>СМР1 д22х150/5 с/к</v>
      </c>
      <c r="Q438" s="306">
        <f t="shared" si="117"/>
        <v>2520</v>
      </c>
      <c r="R438" s="463">
        <v>2100</v>
      </c>
      <c r="S438" s="353">
        <f t="shared" si="122"/>
        <v>2100</v>
      </c>
      <c r="T438" s="18"/>
      <c r="U438" s="20">
        <f t="shared" si="123"/>
        <v>1</v>
      </c>
      <c r="V438" s="52">
        <f>W438-T438+U438</f>
        <v>1</v>
      </c>
      <c r="W438" s="18"/>
    </row>
    <row r="439" spans="2:207" ht="31.5" customHeight="1" thickBot="1" x14ac:dyDescent="0.3">
      <c r="B439" s="15">
        <v>142</v>
      </c>
      <c r="C439" s="6" t="s">
        <v>26</v>
      </c>
      <c r="D439" s="23" t="s">
        <v>40</v>
      </c>
      <c r="E439" s="857" t="s">
        <v>958</v>
      </c>
      <c r="F439" s="383">
        <v>1519</v>
      </c>
      <c r="G439" s="12" t="s">
        <v>0</v>
      </c>
      <c r="H439" s="39"/>
      <c r="I439" s="309">
        <v>0</v>
      </c>
      <c r="J439" s="39">
        <f t="shared" si="119"/>
        <v>1</v>
      </c>
      <c r="K439" s="309">
        <f t="shared" si="114"/>
        <v>840</v>
      </c>
      <c r="L439" s="203" t="s">
        <v>213</v>
      </c>
      <c r="M439" s="553">
        <v>1</v>
      </c>
      <c r="N439" s="39"/>
      <c r="O439" s="309">
        <f t="shared" si="121"/>
        <v>0</v>
      </c>
      <c r="P439" s="51" t="str">
        <f t="shared" si="116"/>
        <v>СМП2 500х500</v>
      </c>
      <c r="Q439" s="306">
        <f t="shared" si="117"/>
        <v>1176</v>
      </c>
      <c r="R439" s="320">
        <v>980</v>
      </c>
      <c r="S439" s="353">
        <f t="shared" si="122"/>
        <v>980</v>
      </c>
      <c r="T439" s="18">
        <v>0</v>
      </c>
      <c r="U439" s="20">
        <f t="shared" si="123"/>
        <v>1</v>
      </c>
      <c r="V439" s="52">
        <f>W439-T439+U439</f>
        <v>1</v>
      </c>
      <c r="W439" s="18">
        <v>0</v>
      </c>
    </row>
    <row r="440" spans="2:207" ht="26.25" customHeight="1" thickBot="1" x14ac:dyDescent="0.3">
      <c r="B440" s="548">
        <v>143</v>
      </c>
      <c r="C440" s="267"/>
      <c r="D440" s="252"/>
      <c r="E440" s="253" t="s">
        <v>3</v>
      </c>
      <c r="F440" s="549"/>
      <c r="G440" s="254"/>
      <c r="H440" s="551">
        <f>SUBTOTAL(9,H6:H439)</f>
        <v>546996</v>
      </c>
      <c r="I440" s="551">
        <f>SUBTOTAL(9,I6:I439)</f>
        <v>143540</v>
      </c>
      <c r="J440" s="552">
        <f>M136+N136-H136</f>
        <v>0</v>
      </c>
      <c r="K440" s="358"/>
      <c r="L440" s="400"/>
      <c r="M440" s="255">
        <f>SUBTOTAL(9,M6:M439)</f>
        <v>273853</v>
      </c>
      <c r="N440" s="506">
        <f>SUBTOTAL(9,N6:N439)</f>
        <v>384511</v>
      </c>
      <c r="O440" s="551">
        <f>SUBTOTAL(9,O6:O439)</f>
        <v>153512.64000000001</v>
      </c>
      <c r="P440" s="51"/>
      <c r="Q440" s="852">
        <v>350</v>
      </c>
      <c r="R440" s="344"/>
      <c r="S440" s="354">
        <f>SUBTOTAL(9,S6:S439)</f>
        <v>79302.28</v>
      </c>
      <c r="T440" s="73">
        <f>SUBTOTAL(9,T5:T439)</f>
        <v>1329988</v>
      </c>
      <c r="U440" s="20"/>
      <c r="V440" s="52"/>
      <c r="W440" s="73">
        <f>SUBTOTAL(9,W5:W439)</f>
        <v>1177058</v>
      </c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R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  <c r="CG440" s="24"/>
      <c r="CH440" s="24"/>
      <c r="CI440" s="24"/>
      <c r="CJ440" s="24"/>
      <c r="CK440" s="24"/>
      <c r="CL440" s="24"/>
      <c r="CM440" s="24"/>
      <c r="CN440" s="24"/>
      <c r="CO440" s="24"/>
      <c r="CP440" s="24"/>
      <c r="CQ440" s="24"/>
      <c r="CR440" s="24"/>
      <c r="CS440" s="24"/>
      <c r="CT440" s="24"/>
      <c r="CU440" s="24"/>
      <c r="CV440" s="24"/>
      <c r="CW440" s="24"/>
      <c r="CX440" s="24"/>
      <c r="CY440" s="24"/>
      <c r="CZ440" s="24"/>
      <c r="DA440" s="24"/>
      <c r="DB440" s="24"/>
      <c r="DC440" s="24"/>
      <c r="DD440" s="24"/>
      <c r="DE440" s="24"/>
      <c r="DF440" s="24"/>
      <c r="DG440" s="24"/>
      <c r="DH440" s="24"/>
      <c r="DI440" s="24"/>
      <c r="DJ440" s="24"/>
      <c r="DK440" s="24"/>
      <c r="DL440" s="24"/>
      <c r="DM440" s="24"/>
      <c r="DN440" s="24"/>
      <c r="DO440" s="24"/>
      <c r="DP440" s="24"/>
      <c r="DQ440" s="24"/>
      <c r="DR440" s="24"/>
      <c r="DS440" s="24"/>
      <c r="DT440" s="24"/>
      <c r="DU440" s="24"/>
      <c r="DV440" s="24"/>
      <c r="DW440" s="24"/>
      <c r="DX440" s="24"/>
      <c r="DY440" s="24"/>
      <c r="DZ440" s="24"/>
      <c r="EA440" s="24"/>
      <c r="EB440" s="24"/>
      <c r="EC440" s="24"/>
      <c r="ED440" s="24"/>
      <c r="EE440" s="24"/>
      <c r="EF440" s="24"/>
      <c r="EG440" s="24"/>
      <c r="EH440" s="24"/>
      <c r="EI440" s="24"/>
      <c r="EJ440" s="24"/>
      <c r="EK440" s="24"/>
      <c r="EL440" s="24"/>
      <c r="EM440" s="24"/>
      <c r="EN440" s="24"/>
      <c r="EO440" s="24"/>
      <c r="EP440" s="24"/>
      <c r="EQ440" s="24"/>
      <c r="ER440" s="24"/>
      <c r="ES440" s="24"/>
      <c r="ET440" s="24"/>
      <c r="EU440" s="24"/>
      <c r="EV440" s="24"/>
      <c r="EW440" s="24"/>
      <c r="EX440" s="24"/>
      <c r="EY440" s="24"/>
      <c r="EZ440" s="24"/>
      <c r="FA440" s="24"/>
      <c r="FB440" s="24"/>
      <c r="FC440" s="24"/>
      <c r="FD440" s="24"/>
      <c r="FE440" s="24"/>
      <c r="FF440" s="24"/>
      <c r="FG440" s="24"/>
      <c r="FH440" s="24"/>
      <c r="FI440" s="24"/>
      <c r="FJ440" s="24"/>
      <c r="FK440" s="24"/>
      <c r="FL440" s="24"/>
      <c r="FM440" s="24"/>
      <c r="FN440" s="24"/>
      <c r="FO440" s="24"/>
      <c r="FP440" s="24"/>
      <c r="FQ440" s="24"/>
      <c r="FR440" s="24"/>
      <c r="FS440" s="24"/>
      <c r="FT440" s="24"/>
      <c r="FU440" s="24"/>
      <c r="FV440" s="24"/>
      <c r="FW440" s="24"/>
      <c r="FX440" s="24"/>
      <c r="FY440" s="24"/>
      <c r="FZ440" s="24"/>
      <c r="GA440" s="24"/>
      <c r="GB440" s="24"/>
      <c r="GC440" s="24"/>
      <c r="GD440" s="24"/>
      <c r="GE440" s="24"/>
      <c r="GF440" s="24"/>
      <c r="GG440" s="24"/>
      <c r="GH440" s="24"/>
      <c r="GI440" s="24"/>
      <c r="GJ440" s="24"/>
      <c r="GK440" s="24"/>
      <c r="GL440" s="24"/>
      <c r="GM440" s="24"/>
      <c r="GN440" s="24"/>
      <c r="GO440" s="24"/>
      <c r="GP440" s="24"/>
      <c r="GQ440" s="24"/>
      <c r="GR440" s="24"/>
      <c r="GS440" s="24"/>
      <c r="GT440" s="24"/>
      <c r="GU440" s="24"/>
      <c r="GV440" s="24"/>
      <c r="GW440" s="24"/>
      <c r="GX440" s="24"/>
      <c r="GY440" s="24"/>
    </row>
    <row r="441" spans="2:207" s="26" customFormat="1" ht="26.25" customHeight="1" x14ac:dyDescent="0.3">
      <c r="B441" s="33">
        <v>144</v>
      </c>
      <c r="C441" s="26" t="s">
        <v>820</v>
      </c>
      <c r="D441" s="80"/>
      <c r="E441" s="108"/>
      <c r="F441" s="524"/>
      <c r="G441" s="49"/>
      <c r="H441" s="44"/>
      <c r="I441" s="311"/>
      <c r="J441" s="44">
        <f>M137+N137-H137</f>
        <v>0</v>
      </c>
      <c r="K441" s="310" t="s">
        <v>34</v>
      </c>
      <c r="L441" s="38"/>
      <c r="M441" s="144">
        <v>273853</v>
      </c>
      <c r="N441" s="61"/>
      <c r="O441" s="312"/>
      <c r="P441" s="251"/>
      <c r="Q441" s="293"/>
      <c r="R441" s="345"/>
      <c r="S441" s="355"/>
      <c r="T441" s="134"/>
      <c r="U441" s="153"/>
      <c r="V441" s="133"/>
      <c r="W441" s="134"/>
    </row>
    <row r="442" spans="2:207" s="28" customFormat="1" ht="20.25" x14ac:dyDescent="0.3">
      <c r="B442" s="824">
        <v>145</v>
      </c>
      <c r="D442" s="81"/>
      <c r="E442" s="108"/>
      <c r="F442" s="389"/>
      <c r="H442" s="44"/>
      <c r="I442" s="308"/>
      <c r="J442" s="44"/>
      <c r="K442" s="311"/>
      <c r="L442" s="71"/>
      <c r="M442" s="823">
        <f>M440-M441</f>
        <v>0</v>
      </c>
      <c r="N442" s="46"/>
      <c r="O442" s="312"/>
      <c r="P442" s="37"/>
      <c r="Q442" s="293"/>
      <c r="R442" s="345"/>
      <c r="S442" s="821"/>
      <c r="T442" s="134"/>
      <c r="U442" s="153"/>
      <c r="V442" s="133"/>
      <c r="W442" s="134"/>
    </row>
    <row r="443" spans="2:207" s="30" customFormat="1" ht="20.25" x14ac:dyDescent="0.3">
      <c r="B443" s="29">
        <v>1</v>
      </c>
      <c r="D443" s="81"/>
      <c r="E443" s="108"/>
      <c r="F443" s="389"/>
      <c r="G443" s="49"/>
      <c r="H443" s="44"/>
      <c r="I443" s="311"/>
      <c r="J443" s="44"/>
      <c r="K443" s="311"/>
      <c r="L443" s="71"/>
      <c r="M443" s="823"/>
      <c r="N443" s="46"/>
      <c r="O443" s="312"/>
      <c r="P443" s="37"/>
      <c r="Q443" s="293"/>
      <c r="R443" s="345"/>
      <c r="S443" s="355"/>
      <c r="T443" s="134"/>
      <c r="U443" s="153"/>
      <c r="V443" s="133"/>
      <c r="W443" s="134"/>
    </row>
    <row r="444" spans="2:207" s="30" customFormat="1" ht="20.25" x14ac:dyDescent="0.3">
      <c r="B444" s="29">
        <v>1</v>
      </c>
      <c r="D444" s="81"/>
      <c r="E444" s="108"/>
      <c r="F444" s="389"/>
      <c r="H444" s="44"/>
      <c r="I444" s="311"/>
      <c r="J444" s="44"/>
      <c r="K444" s="311"/>
      <c r="L444" s="71"/>
      <c r="M444" s="823"/>
      <c r="N444" s="46"/>
      <c r="O444" s="312"/>
      <c r="P444" s="37"/>
      <c r="Q444" s="293"/>
      <c r="R444" s="345"/>
      <c r="S444" s="355"/>
      <c r="T444" s="134"/>
      <c r="U444" s="153"/>
      <c r="V444" s="133"/>
      <c r="W444" s="134"/>
    </row>
    <row r="445" spans="2:207" s="30" customFormat="1" ht="20.25" x14ac:dyDescent="0.3">
      <c r="B445" s="31"/>
      <c r="C445" s="26"/>
      <c r="D445" s="81"/>
      <c r="E445" s="108"/>
      <c r="F445" s="389"/>
      <c r="G445" s="32"/>
      <c r="H445" s="44"/>
      <c r="I445" s="311"/>
      <c r="J445" s="44"/>
      <c r="K445" s="311"/>
      <c r="L445" s="71"/>
      <c r="M445" s="823"/>
      <c r="N445" s="46"/>
      <c r="O445" s="312"/>
      <c r="P445" s="37"/>
      <c r="Q445" s="293"/>
      <c r="R445" s="345"/>
      <c r="S445" s="355"/>
      <c r="T445" s="134"/>
      <c r="U445" s="153"/>
      <c r="V445" s="133"/>
      <c r="W445" s="134"/>
    </row>
    <row r="446" spans="2:207" s="30" customFormat="1" ht="20.25" x14ac:dyDescent="0.3">
      <c r="B446" s="31"/>
      <c r="D446" s="81"/>
      <c r="E446" s="45"/>
      <c r="F446" s="389"/>
      <c r="G446" s="49"/>
      <c r="H446" s="44"/>
      <c r="I446" s="311"/>
      <c r="J446" s="44"/>
      <c r="K446" s="311"/>
      <c r="L446" s="225"/>
      <c r="M446" s="823"/>
      <c r="N446" s="45"/>
      <c r="O446" s="405"/>
      <c r="P446" s="37"/>
      <c r="Q446" s="293"/>
      <c r="R446" s="345"/>
      <c r="S446" s="355"/>
      <c r="T446" s="134"/>
      <c r="U446" s="153"/>
      <c r="V446" s="133"/>
      <c r="W446" s="134"/>
    </row>
    <row r="447" spans="2:207" s="30" customFormat="1" ht="20.25" x14ac:dyDescent="0.3">
      <c r="B447" s="27"/>
      <c r="D447" s="81"/>
      <c r="E447" s="45"/>
      <c r="F447" s="389"/>
      <c r="G447" s="49"/>
      <c r="H447" s="44"/>
      <c r="I447" s="311"/>
      <c r="J447" s="44"/>
      <c r="K447" s="311"/>
      <c r="L447" s="225"/>
      <c r="M447" s="823"/>
      <c r="N447" s="45"/>
      <c r="O447" s="311"/>
      <c r="P447" s="149"/>
      <c r="Q447" s="293"/>
      <c r="R447" s="345"/>
      <c r="S447" s="355"/>
      <c r="T447" s="134"/>
      <c r="U447" s="153"/>
      <c r="V447" s="133"/>
      <c r="W447" s="134"/>
    </row>
    <row r="448" spans="2:207" s="30" customFormat="1" ht="20.25" x14ac:dyDescent="0.3">
      <c r="B448" s="27"/>
      <c r="D448" s="81"/>
      <c r="E448" s="45"/>
      <c r="F448" s="389"/>
      <c r="G448" s="49"/>
      <c r="H448" s="44"/>
      <c r="I448" s="311"/>
      <c r="J448" s="44"/>
      <c r="K448" s="311"/>
      <c r="L448" s="225"/>
      <c r="M448" s="823"/>
      <c r="N448" s="45"/>
      <c r="O448" s="311"/>
      <c r="P448" s="149"/>
      <c r="Q448" s="293"/>
      <c r="R448" s="345"/>
      <c r="S448" s="355"/>
      <c r="T448" s="134"/>
      <c r="U448" s="153"/>
      <c r="V448" s="133"/>
      <c r="W448" s="134"/>
    </row>
    <row r="449" spans="2:23" s="30" customFormat="1" ht="20.25" x14ac:dyDescent="0.3">
      <c r="B449" s="27"/>
      <c r="D449" s="81"/>
      <c r="E449" s="45"/>
      <c r="F449" s="389"/>
      <c r="G449" s="49"/>
      <c r="H449" s="44"/>
      <c r="I449" s="311"/>
      <c r="J449" s="44"/>
      <c r="K449" s="311"/>
      <c r="L449" s="225"/>
      <c r="M449" s="380"/>
      <c r="N449" s="45"/>
      <c r="O449" s="311"/>
      <c r="P449" s="149"/>
      <c r="Q449" s="293"/>
      <c r="R449" s="345"/>
      <c r="S449" s="355"/>
      <c r="T449" s="134"/>
      <c r="U449" s="153"/>
      <c r="V449" s="133"/>
      <c r="W449" s="134"/>
    </row>
    <row r="450" spans="2:23" s="30" customFormat="1" ht="20.25" x14ac:dyDescent="0.3">
      <c r="B450" s="27"/>
      <c r="D450" s="81"/>
      <c r="E450" s="45"/>
      <c r="F450" s="389"/>
      <c r="G450" s="49"/>
      <c r="H450" s="44"/>
      <c r="I450" s="311"/>
      <c r="J450" s="44"/>
      <c r="K450" s="311"/>
      <c r="L450" s="225"/>
      <c r="M450" s="380"/>
      <c r="N450" s="45"/>
      <c r="O450" s="311"/>
      <c r="P450" s="149"/>
      <c r="Q450" s="293"/>
      <c r="R450" s="345"/>
      <c r="S450" s="355"/>
      <c r="T450" s="134"/>
      <c r="U450" s="153"/>
      <c r="V450" s="133"/>
      <c r="W450" s="134"/>
    </row>
    <row r="451" spans="2:23" s="30" customFormat="1" ht="20.25" x14ac:dyDescent="0.3">
      <c r="B451" s="27"/>
      <c r="D451" s="81"/>
      <c r="E451" s="45"/>
      <c r="F451" s="389"/>
      <c r="G451" s="49"/>
      <c r="H451" s="44"/>
      <c r="I451" s="311"/>
      <c r="J451" s="44"/>
      <c r="K451" s="311"/>
      <c r="L451" s="225"/>
      <c r="M451" s="380"/>
      <c r="N451" s="45"/>
      <c r="O451" s="311"/>
      <c r="P451" s="149"/>
      <c r="Q451" s="293"/>
      <c r="R451" s="345"/>
      <c r="S451" s="355"/>
      <c r="T451" s="134"/>
      <c r="U451" s="153"/>
      <c r="V451" s="133"/>
      <c r="W451" s="134"/>
    </row>
    <row r="452" spans="2:23" s="30" customFormat="1" ht="20.25" x14ac:dyDescent="0.3">
      <c r="B452" s="27"/>
      <c r="D452" s="81"/>
      <c r="E452" s="45"/>
      <c r="F452" s="389"/>
      <c r="G452" s="49"/>
      <c r="H452" s="44"/>
      <c r="I452" s="311"/>
      <c r="J452" s="44"/>
      <c r="K452" s="311"/>
      <c r="L452" s="225"/>
      <c r="M452" s="380"/>
      <c r="N452" s="45"/>
      <c r="O452" s="311"/>
      <c r="P452" s="149"/>
      <c r="Q452" s="293"/>
      <c r="R452" s="345"/>
      <c r="S452" s="355"/>
      <c r="T452" s="134"/>
      <c r="U452" s="153"/>
      <c r="V452" s="133"/>
      <c r="W452" s="134"/>
    </row>
    <row r="453" spans="2:23" s="30" customFormat="1" ht="20.25" x14ac:dyDescent="0.3">
      <c r="B453" s="27"/>
      <c r="D453" s="81"/>
      <c r="E453" s="45"/>
      <c r="F453" s="389"/>
      <c r="G453" s="49"/>
      <c r="H453" s="44"/>
      <c r="I453" s="311"/>
      <c r="J453" s="44"/>
      <c r="K453" s="311"/>
      <c r="L453" s="225"/>
      <c r="M453" s="380"/>
      <c r="N453" s="45"/>
      <c r="O453" s="311"/>
      <c r="P453" s="149"/>
      <c r="Q453" s="293"/>
      <c r="R453" s="345"/>
      <c r="S453" s="355"/>
      <c r="T453" s="134"/>
      <c r="U453" s="153"/>
      <c r="V453" s="133"/>
      <c r="W453" s="134"/>
    </row>
    <row r="454" spans="2:23" s="30" customFormat="1" x14ac:dyDescent="0.25">
      <c r="B454" s="27"/>
      <c r="D454" s="81"/>
      <c r="E454" s="45"/>
      <c r="F454" s="389"/>
      <c r="G454" s="49"/>
      <c r="H454" s="44"/>
      <c r="I454" s="311"/>
      <c r="J454" s="44"/>
      <c r="K454" s="311"/>
      <c r="L454" s="225"/>
      <c r="M454" s="380"/>
      <c r="N454" s="45"/>
      <c r="O454" s="311"/>
      <c r="P454" s="149"/>
      <c r="Q454" s="293"/>
      <c r="R454" s="316"/>
      <c r="S454" s="349"/>
      <c r="T454" s="111"/>
      <c r="U454" s="111"/>
      <c r="W454" s="111"/>
    </row>
    <row r="455" spans="2:23" s="30" customFormat="1" x14ac:dyDescent="0.25">
      <c r="B455" s="27"/>
      <c r="D455" s="81"/>
      <c r="E455" s="45"/>
      <c r="F455" s="389"/>
      <c r="G455" s="49"/>
      <c r="H455" s="44"/>
      <c r="I455" s="311"/>
      <c r="J455" s="44"/>
      <c r="K455" s="311"/>
      <c r="L455" s="225"/>
      <c r="M455" s="380"/>
      <c r="N455" s="45"/>
      <c r="O455" s="311"/>
      <c r="P455" s="149"/>
      <c r="Q455" s="293"/>
      <c r="R455" s="316"/>
      <c r="S455" s="349"/>
      <c r="T455" s="111"/>
      <c r="U455" s="111"/>
      <c r="W455" s="111"/>
    </row>
    <row r="456" spans="2:23" s="30" customFormat="1" x14ac:dyDescent="0.25">
      <c r="B456" s="27"/>
      <c r="D456" s="81"/>
      <c r="E456" s="45"/>
      <c r="F456" s="389"/>
      <c r="G456" s="49"/>
      <c r="H456" s="44"/>
      <c r="I456" s="311"/>
      <c r="J456" s="44"/>
      <c r="K456" s="311"/>
      <c r="L456" s="225"/>
      <c r="M456" s="380"/>
      <c r="N456" s="45"/>
      <c r="O456" s="311"/>
      <c r="P456" s="149"/>
      <c r="Q456" s="293"/>
      <c r="R456" s="316"/>
      <c r="S456" s="355"/>
      <c r="T456" s="111"/>
      <c r="U456" s="111"/>
      <c r="W456" s="111"/>
    </row>
    <row r="457" spans="2:23" s="30" customFormat="1" x14ac:dyDescent="0.25">
      <c r="B457" s="27"/>
      <c r="D457" s="81"/>
      <c r="E457" s="45"/>
      <c r="F457" s="389"/>
      <c r="G457" s="49"/>
      <c r="H457" s="44"/>
      <c r="I457" s="311"/>
      <c r="J457" s="44"/>
      <c r="K457" s="311"/>
      <c r="L457" s="225"/>
      <c r="M457" s="380"/>
      <c r="N457" s="45"/>
      <c r="O457" s="311"/>
      <c r="P457" s="149"/>
      <c r="Q457" s="293"/>
      <c r="R457" s="316"/>
      <c r="S457" s="355"/>
      <c r="T457" s="111"/>
      <c r="U457" s="111"/>
      <c r="W457" s="111"/>
    </row>
    <row r="458" spans="2:23" s="30" customFormat="1" x14ac:dyDescent="0.25">
      <c r="B458" s="27"/>
      <c r="D458" s="81"/>
      <c r="E458" s="45"/>
      <c r="F458" s="389"/>
      <c r="G458" s="49"/>
      <c r="H458" s="44"/>
      <c r="I458" s="311"/>
      <c r="J458" s="44"/>
      <c r="K458" s="311"/>
      <c r="L458" s="225"/>
      <c r="M458" s="380"/>
      <c r="N458" s="45"/>
      <c r="O458" s="311"/>
      <c r="P458" s="149"/>
      <c r="Q458" s="293"/>
      <c r="R458" s="316"/>
      <c r="S458" s="355"/>
      <c r="T458" s="111"/>
      <c r="U458" s="111"/>
      <c r="W458" s="111"/>
    </row>
    <row r="459" spans="2:23" s="30" customFormat="1" x14ac:dyDescent="0.25">
      <c r="B459" s="27"/>
      <c r="D459" s="81"/>
      <c r="E459" s="45"/>
      <c r="F459" s="389"/>
      <c r="G459" s="49"/>
      <c r="H459" s="44"/>
      <c r="I459" s="311"/>
      <c r="J459" s="44"/>
      <c r="K459" s="311"/>
      <c r="L459" s="225"/>
      <c r="M459" s="380"/>
      <c r="N459" s="45"/>
      <c r="O459" s="311"/>
      <c r="P459" s="149"/>
      <c r="Q459" s="293"/>
      <c r="R459" s="316"/>
      <c r="S459" s="355"/>
      <c r="T459" s="111"/>
      <c r="U459" s="111"/>
      <c r="W459" s="111"/>
    </row>
    <row r="460" spans="2:23" s="30" customFormat="1" x14ac:dyDescent="0.25">
      <c r="B460" s="27"/>
      <c r="D460" s="81"/>
      <c r="E460" s="45"/>
      <c r="F460" s="389"/>
      <c r="G460" s="49"/>
      <c r="H460" s="44"/>
      <c r="I460" s="311"/>
      <c r="J460" s="44"/>
      <c r="K460" s="311"/>
      <c r="L460" s="225"/>
      <c r="M460" s="380"/>
      <c r="N460" s="45"/>
      <c r="O460" s="311"/>
      <c r="P460" s="149"/>
      <c r="Q460" s="293"/>
      <c r="R460" s="316"/>
      <c r="S460" s="355"/>
      <c r="T460" s="111"/>
      <c r="U460" s="111"/>
      <c r="W460" s="111"/>
    </row>
    <row r="461" spans="2:23" s="30" customFormat="1" x14ac:dyDescent="0.25">
      <c r="B461" s="27"/>
      <c r="D461" s="81"/>
      <c r="E461" s="45"/>
      <c r="F461" s="389"/>
      <c r="G461" s="49"/>
      <c r="H461" s="44"/>
      <c r="I461" s="311"/>
      <c r="J461" s="44"/>
      <c r="K461" s="311"/>
      <c r="L461" s="225"/>
      <c r="M461" s="380"/>
      <c r="N461" s="45"/>
      <c r="O461" s="311"/>
      <c r="P461" s="149"/>
      <c r="Q461" s="293"/>
      <c r="R461" s="316"/>
      <c r="S461" s="355"/>
      <c r="T461" s="111"/>
      <c r="U461" s="111"/>
      <c r="W461" s="111"/>
    </row>
    <row r="462" spans="2:23" s="30" customFormat="1" x14ac:dyDescent="0.25">
      <c r="B462" s="27"/>
      <c r="D462" s="81"/>
      <c r="E462" s="45"/>
      <c r="F462" s="389"/>
      <c r="G462" s="49"/>
      <c r="H462" s="44"/>
      <c r="I462" s="311"/>
      <c r="J462" s="44"/>
      <c r="K462" s="311"/>
      <c r="L462" s="225"/>
      <c r="M462" s="380"/>
      <c r="N462" s="45"/>
      <c r="O462" s="311"/>
      <c r="P462" s="149"/>
      <c r="Q462" s="293"/>
      <c r="R462" s="316"/>
      <c r="S462" s="355"/>
      <c r="T462" s="111"/>
      <c r="U462" s="111"/>
      <c r="W462" s="111"/>
    </row>
    <row r="463" spans="2:23" s="30" customFormat="1" x14ac:dyDescent="0.25">
      <c r="B463" s="27"/>
      <c r="D463" s="81"/>
      <c r="E463" s="45"/>
      <c r="F463" s="389"/>
      <c r="G463" s="49"/>
      <c r="H463" s="44"/>
      <c r="I463" s="311"/>
      <c r="J463" s="44"/>
      <c r="K463" s="311"/>
      <c r="L463" s="225"/>
      <c r="M463" s="380"/>
      <c r="N463" s="45"/>
      <c r="O463" s="311"/>
      <c r="P463" s="149"/>
      <c r="Q463" s="293"/>
      <c r="R463" s="316"/>
      <c r="S463" s="355"/>
      <c r="T463" s="111"/>
      <c r="U463" s="111"/>
      <c r="W463" s="111"/>
    </row>
    <row r="464" spans="2:23" s="30" customFormat="1" x14ac:dyDescent="0.25">
      <c r="B464" s="27"/>
      <c r="D464" s="81"/>
      <c r="E464" s="45"/>
      <c r="F464" s="389"/>
      <c r="G464" s="49"/>
      <c r="H464" s="44"/>
      <c r="I464" s="311"/>
      <c r="J464" s="44"/>
      <c r="K464" s="311"/>
      <c r="L464" s="225"/>
      <c r="M464" s="380"/>
      <c r="N464" s="45"/>
      <c r="O464" s="311"/>
      <c r="P464" s="149"/>
      <c r="Q464" s="293"/>
      <c r="R464" s="316"/>
      <c r="S464" s="355"/>
      <c r="T464" s="111"/>
      <c r="U464" s="111"/>
      <c r="W464" s="111"/>
    </row>
    <row r="465" spans="2:23" s="30" customFormat="1" x14ac:dyDescent="0.25">
      <c r="B465" s="27"/>
      <c r="D465" s="81"/>
      <c r="E465" s="45"/>
      <c r="F465" s="389"/>
      <c r="G465" s="49"/>
      <c r="H465" s="44"/>
      <c r="I465" s="311"/>
      <c r="J465" s="44"/>
      <c r="K465" s="311"/>
      <c r="L465" s="225"/>
      <c r="M465" s="380"/>
      <c r="N465" s="45"/>
      <c r="O465" s="311"/>
      <c r="P465" s="149"/>
      <c r="Q465" s="293"/>
      <c r="R465" s="316"/>
      <c r="S465" s="355"/>
      <c r="T465" s="111"/>
      <c r="U465" s="111"/>
      <c r="W465" s="111"/>
    </row>
    <row r="466" spans="2:23" s="30" customFormat="1" x14ac:dyDescent="0.25">
      <c r="B466" s="27"/>
      <c r="D466" s="81"/>
      <c r="E466" s="45"/>
      <c r="F466" s="389"/>
      <c r="G466" s="49"/>
      <c r="H466" s="44"/>
      <c r="I466" s="311"/>
      <c r="J466" s="44"/>
      <c r="K466" s="311"/>
      <c r="L466" s="225"/>
      <c r="M466" s="380"/>
      <c r="N466" s="45"/>
      <c r="O466" s="311"/>
      <c r="P466" s="149"/>
      <c r="Q466" s="293"/>
      <c r="R466" s="316"/>
      <c r="S466" s="355"/>
      <c r="T466" s="111"/>
      <c r="U466" s="111"/>
      <c r="W466" s="111"/>
    </row>
    <row r="467" spans="2:23" s="30" customFormat="1" x14ac:dyDescent="0.25">
      <c r="B467" s="27"/>
      <c r="D467" s="81"/>
      <c r="E467" s="45"/>
      <c r="F467" s="389"/>
      <c r="G467" s="49"/>
      <c r="H467" s="44"/>
      <c r="I467" s="311"/>
      <c r="J467" s="44"/>
      <c r="K467" s="311"/>
      <c r="L467" s="225"/>
      <c r="M467" s="380"/>
      <c r="N467" s="45"/>
      <c r="O467" s="311"/>
      <c r="P467" s="149"/>
      <c r="Q467" s="293"/>
      <c r="R467" s="316"/>
      <c r="S467" s="355"/>
      <c r="T467" s="111"/>
      <c r="U467" s="111"/>
      <c r="W467" s="111"/>
    </row>
    <row r="468" spans="2:23" s="30" customFormat="1" x14ac:dyDescent="0.25">
      <c r="B468" s="27"/>
      <c r="D468" s="81"/>
      <c r="E468" s="45"/>
      <c r="F468" s="389"/>
      <c r="G468" s="49"/>
      <c r="H468" s="44"/>
      <c r="I468" s="311"/>
      <c r="J468" s="44"/>
      <c r="K468" s="311"/>
      <c r="L468" s="225"/>
      <c r="M468" s="380"/>
      <c r="N468" s="45"/>
      <c r="O468" s="311"/>
      <c r="P468" s="149"/>
      <c r="Q468" s="293"/>
      <c r="R468" s="316"/>
      <c r="S468" s="355"/>
      <c r="T468" s="111"/>
      <c r="U468" s="111"/>
      <c r="W468" s="111"/>
    </row>
    <row r="469" spans="2:23" s="30" customFormat="1" x14ac:dyDescent="0.25">
      <c r="B469" s="27"/>
      <c r="D469" s="81"/>
      <c r="E469" s="45"/>
      <c r="F469" s="389"/>
      <c r="G469" s="49"/>
      <c r="H469" s="44"/>
      <c r="I469" s="311"/>
      <c r="J469" s="44"/>
      <c r="K469" s="311"/>
      <c r="L469" s="225"/>
      <c r="M469" s="380"/>
      <c r="N469" s="45"/>
      <c r="O469" s="311"/>
      <c r="P469" s="149"/>
      <c r="Q469" s="293"/>
      <c r="R469" s="316"/>
      <c r="S469" s="355"/>
      <c r="T469" s="111"/>
      <c r="U469" s="111"/>
      <c r="W469" s="111"/>
    </row>
    <row r="470" spans="2:23" s="30" customFormat="1" x14ac:dyDescent="0.25">
      <c r="B470" s="27"/>
      <c r="D470" s="81"/>
      <c r="E470" s="45"/>
      <c r="F470" s="389"/>
      <c r="G470" s="49"/>
      <c r="H470" s="44"/>
      <c r="I470" s="311"/>
      <c r="J470" s="44"/>
      <c r="K470" s="311"/>
      <c r="L470" s="225"/>
      <c r="M470" s="380"/>
      <c r="N470" s="45"/>
      <c r="O470" s="311"/>
      <c r="P470" s="149"/>
      <c r="Q470" s="293"/>
      <c r="R470" s="316"/>
      <c r="S470" s="355"/>
      <c r="T470" s="111"/>
      <c r="U470" s="111"/>
      <c r="W470" s="111"/>
    </row>
    <row r="471" spans="2:23" s="30" customFormat="1" x14ac:dyDescent="0.25">
      <c r="B471" s="27"/>
      <c r="D471" s="81"/>
      <c r="E471" s="45"/>
      <c r="F471" s="389"/>
      <c r="G471" s="49"/>
      <c r="H471" s="44"/>
      <c r="I471" s="311"/>
      <c r="J471" s="44"/>
      <c r="K471" s="311"/>
      <c r="L471" s="225"/>
      <c r="M471" s="380"/>
      <c r="N471" s="45"/>
      <c r="O471" s="311"/>
      <c r="P471" s="149"/>
      <c r="Q471" s="293"/>
      <c r="R471" s="316"/>
      <c r="S471" s="355"/>
      <c r="T471" s="111"/>
      <c r="U471" s="111"/>
      <c r="W471" s="111"/>
    </row>
    <row r="472" spans="2:23" s="30" customFormat="1" x14ac:dyDescent="0.25">
      <c r="B472" s="27"/>
      <c r="D472" s="81"/>
      <c r="E472" s="45"/>
      <c r="F472" s="389"/>
      <c r="G472" s="49"/>
      <c r="H472" s="44"/>
      <c r="I472" s="311"/>
      <c r="J472" s="44"/>
      <c r="K472" s="311"/>
      <c r="L472" s="225"/>
      <c r="M472" s="380"/>
      <c r="N472" s="45"/>
      <c r="O472" s="311"/>
      <c r="P472" s="149"/>
      <c r="Q472" s="293"/>
      <c r="R472" s="316"/>
      <c r="S472" s="355"/>
      <c r="T472" s="111"/>
      <c r="U472" s="111"/>
      <c r="W472" s="111"/>
    </row>
    <row r="473" spans="2:23" s="30" customFormat="1" x14ac:dyDescent="0.25">
      <c r="B473" s="27"/>
      <c r="D473" s="81"/>
      <c r="E473" s="45"/>
      <c r="F473" s="389"/>
      <c r="G473" s="49"/>
      <c r="H473" s="44"/>
      <c r="I473" s="311"/>
      <c r="J473" s="44"/>
      <c r="K473" s="311"/>
      <c r="L473" s="225"/>
      <c r="M473" s="380"/>
      <c r="N473" s="45"/>
      <c r="O473" s="311"/>
      <c r="P473" s="149"/>
      <c r="Q473" s="293"/>
      <c r="R473" s="316"/>
      <c r="S473" s="355"/>
      <c r="T473" s="111"/>
      <c r="U473" s="111"/>
      <c r="W473" s="111"/>
    </row>
    <row r="474" spans="2:23" s="30" customFormat="1" x14ac:dyDescent="0.25">
      <c r="B474" s="27"/>
      <c r="D474" s="81"/>
      <c r="E474" s="45"/>
      <c r="F474" s="389"/>
      <c r="G474" s="49"/>
      <c r="H474" s="44"/>
      <c r="I474" s="311"/>
      <c r="J474" s="44"/>
      <c r="K474" s="311"/>
      <c r="L474" s="225"/>
      <c r="M474" s="380"/>
      <c r="N474" s="45"/>
      <c r="O474" s="311"/>
      <c r="P474" s="149"/>
      <c r="Q474" s="293"/>
      <c r="R474" s="316"/>
      <c r="S474" s="355"/>
      <c r="T474" s="111"/>
      <c r="U474" s="111"/>
      <c r="W474" s="111"/>
    </row>
    <row r="475" spans="2:23" s="30" customFormat="1" x14ac:dyDescent="0.25">
      <c r="B475" s="27"/>
      <c r="D475" s="81"/>
      <c r="E475" s="45"/>
      <c r="F475" s="389"/>
      <c r="G475" s="49"/>
      <c r="H475" s="44"/>
      <c r="I475" s="311"/>
      <c r="J475" s="44"/>
      <c r="K475" s="311"/>
      <c r="L475" s="225"/>
      <c r="M475" s="380"/>
      <c r="N475" s="45"/>
      <c r="O475" s="311"/>
      <c r="P475" s="149"/>
      <c r="Q475" s="293"/>
      <c r="R475" s="316"/>
      <c r="S475" s="355"/>
      <c r="T475" s="111"/>
      <c r="U475" s="111"/>
      <c r="W475" s="111"/>
    </row>
    <row r="476" spans="2:23" s="30" customFormat="1" x14ac:dyDescent="0.25">
      <c r="B476" s="27"/>
      <c r="D476" s="81"/>
      <c r="E476" s="45"/>
      <c r="F476" s="389"/>
      <c r="G476" s="49"/>
      <c r="H476" s="44"/>
      <c r="I476" s="311"/>
      <c r="J476" s="44"/>
      <c r="K476" s="311"/>
      <c r="L476" s="225"/>
      <c r="M476" s="380"/>
      <c r="N476" s="45"/>
      <c r="O476" s="311"/>
      <c r="P476" s="149"/>
      <c r="Q476" s="293"/>
      <c r="R476" s="316"/>
      <c r="S476" s="355"/>
      <c r="T476" s="111"/>
      <c r="U476" s="111"/>
      <c r="W476" s="111"/>
    </row>
    <row r="477" spans="2:23" s="30" customFormat="1" x14ac:dyDescent="0.25">
      <c r="B477" s="27"/>
      <c r="D477" s="81"/>
      <c r="E477" s="45"/>
      <c r="F477" s="389"/>
      <c r="G477" s="49"/>
      <c r="H477" s="44"/>
      <c r="I477" s="311"/>
      <c r="J477" s="44"/>
      <c r="K477" s="311"/>
      <c r="L477" s="225"/>
      <c r="M477" s="380"/>
      <c r="N477" s="45"/>
      <c r="O477" s="311"/>
      <c r="P477" s="149"/>
      <c r="Q477" s="293"/>
      <c r="R477" s="316"/>
      <c r="S477" s="355"/>
      <c r="T477" s="111"/>
      <c r="U477" s="111"/>
      <c r="W477" s="111"/>
    </row>
    <row r="478" spans="2:23" s="30" customFormat="1" x14ac:dyDescent="0.25">
      <c r="B478" s="27"/>
      <c r="D478" s="81"/>
      <c r="E478" s="45"/>
      <c r="F478" s="389"/>
      <c r="G478" s="49"/>
      <c r="H478" s="44"/>
      <c r="I478" s="311"/>
      <c r="J478" s="44"/>
      <c r="K478" s="311"/>
      <c r="L478" s="225"/>
      <c r="M478" s="380"/>
      <c r="N478" s="45"/>
      <c r="O478" s="311"/>
      <c r="P478" s="149"/>
      <c r="Q478" s="293"/>
      <c r="R478" s="316"/>
      <c r="S478" s="355"/>
      <c r="T478" s="111"/>
      <c r="U478" s="111"/>
      <c r="W478" s="111"/>
    </row>
    <row r="479" spans="2:23" s="30" customFormat="1" x14ac:dyDescent="0.25">
      <c r="B479" s="27"/>
      <c r="D479" s="81"/>
      <c r="E479" s="45"/>
      <c r="F479" s="389"/>
      <c r="G479" s="49"/>
      <c r="H479" s="44"/>
      <c r="I479" s="311"/>
      <c r="J479" s="44"/>
      <c r="K479" s="311"/>
      <c r="L479" s="225"/>
      <c r="M479" s="380"/>
      <c r="N479" s="45"/>
      <c r="O479" s="311"/>
      <c r="P479" s="149"/>
      <c r="Q479" s="293"/>
      <c r="R479" s="316"/>
      <c r="S479" s="355"/>
      <c r="T479" s="111"/>
      <c r="U479" s="111"/>
      <c r="W479" s="111"/>
    </row>
    <row r="480" spans="2:23" s="30" customFormat="1" x14ac:dyDescent="0.25">
      <c r="B480" s="27"/>
      <c r="D480" s="81"/>
      <c r="E480" s="45"/>
      <c r="F480" s="389"/>
      <c r="G480" s="49"/>
      <c r="H480" s="44"/>
      <c r="I480" s="311"/>
      <c r="J480" s="44"/>
      <c r="K480" s="311"/>
      <c r="L480" s="225"/>
      <c r="M480" s="380"/>
      <c r="N480" s="45"/>
      <c r="O480" s="311"/>
      <c r="P480" s="149"/>
      <c r="Q480" s="293"/>
      <c r="R480" s="316"/>
      <c r="S480" s="355"/>
      <c r="T480" s="111"/>
      <c r="U480" s="111"/>
      <c r="W480" s="111"/>
    </row>
    <row r="481" spans="2:23" s="30" customFormat="1" x14ac:dyDescent="0.25">
      <c r="B481" s="27"/>
      <c r="D481" s="81"/>
      <c r="E481" s="45"/>
      <c r="F481" s="389"/>
      <c r="G481" s="49"/>
      <c r="H481" s="44"/>
      <c r="I481" s="311"/>
      <c r="J481" s="44"/>
      <c r="K481" s="311"/>
      <c r="L481" s="225"/>
      <c r="M481" s="380"/>
      <c r="N481" s="45"/>
      <c r="O481" s="311"/>
      <c r="P481" s="149"/>
      <c r="Q481" s="293"/>
      <c r="R481" s="316"/>
      <c r="S481" s="355"/>
      <c r="T481" s="111"/>
      <c r="U481" s="111"/>
      <c r="W481" s="111"/>
    </row>
    <row r="482" spans="2:23" s="30" customFormat="1" x14ac:dyDescent="0.25">
      <c r="B482" s="27"/>
      <c r="D482" s="81"/>
      <c r="E482" s="45"/>
      <c r="F482" s="389"/>
      <c r="G482" s="49"/>
      <c r="H482" s="44"/>
      <c r="I482" s="311"/>
      <c r="J482" s="44"/>
      <c r="K482" s="311"/>
      <c r="L482" s="225"/>
      <c r="M482" s="380"/>
      <c r="N482" s="45"/>
      <c r="O482" s="311"/>
      <c r="P482" s="149"/>
      <c r="Q482" s="293"/>
      <c r="R482" s="316"/>
      <c r="S482" s="355"/>
      <c r="T482" s="111"/>
      <c r="U482" s="111"/>
      <c r="W482" s="111"/>
    </row>
    <row r="483" spans="2:23" s="30" customFormat="1" x14ac:dyDescent="0.25">
      <c r="B483" s="27"/>
      <c r="D483" s="81"/>
      <c r="E483" s="45"/>
      <c r="F483" s="389"/>
      <c r="G483" s="49"/>
      <c r="H483" s="44"/>
      <c r="I483" s="311"/>
      <c r="J483" s="44"/>
      <c r="K483" s="311"/>
      <c r="L483" s="225"/>
      <c r="M483" s="380"/>
      <c r="N483" s="45"/>
      <c r="O483" s="311"/>
      <c r="P483" s="149"/>
      <c r="Q483" s="293"/>
      <c r="R483" s="316"/>
      <c r="S483" s="355"/>
      <c r="T483" s="111"/>
      <c r="U483" s="111"/>
      <c r="W483" s="111"/>
    </row>
    <row r="484" spans="2:23" s="30" customFormat="1" x14ac:dyDescent="0.25">
      <c r="B484" s="27"/>
      <c r="D484" s="81"/>
      <c r="E484" s="45"/>
      <c r="F484" s="389"/>
      <c r="G484" s="49"/>
      <c r="H484" s="44"/>
      <c r="I484" s="311"/>
      <c r="J484" s="44"/>
      <c r="K484" s="311"/>
      <c r="L484" s="225"/>
      <c r="M484" s="380"/>
      <c r="N484" s="45"/>
      <c r="O484" s="311"/>
      <c r="P484" s="149"/>
      <c r="Q484" s="293"/>
      <c r="R484" s="316"/>
      <c r="S484" s="355"/>
      <c r="T484" s="111"/>
      <c r="U484" s="111"/>
      <c r="W484" s="111"/>
    </row>
    <row r="485" spans="2:23" s="30" customFormat="1" x14ac:dyDescent="0.25">
      <c r="B485" s="27"/>
      <c r="D485" s="81"/>
      <c r="E485" s="45"/>
      <c r="F485" s="389"/>
      <c r="G485" s="49"/>
      <c r="H485" s="44"/>
      <c r="I485" s="311"/>
      <c r="J485" s="44"/>
      <c r="K485" s="311"/>
      <c r="L485" s="225"/>
      <c r="M485" s="380"/>
      <c r="N485" s="45"/>
      <c r="O485" s="311"/>
      <c r="P485" s="149"/>
      <c r="Q485" s="293"/>
      <c r="R485" s="316"/>
      <c r="S485" s="355"/>
      <c r="T485" s="111"/>
      <c r="U485" s="111"/>
      <c r="W485" s="111"/>
    </row>
    <row r="486" spans="2:23" s="30" customFormat="1" x14ac:dyDescent="0.25">
      <c r="B486" s="27"/>
      <c r="D486" s="81"/>
      <c r="E486" s="45"/>
      <c r="F486" s="389"/>
      <c r="G486" s="49"/>
      <c r="H486" s="44"/>
      <c r="I486" s="311"/>
      <c r="J486" s="44"/>
      <c r="K486" s="311"/>
      <c r="L486" s="225"/>
      <c r="M486" s="380"/>
      <c r="N486" s="45"/>
      <c r="O486" s="311"/>
      <c r="P486" s="149"/>
      <c r="Q486" s="293"/>
      <c r="R486" s="316"/>
      <c r="S486" s="355"/>
      <c r="T486" s="111"/>
      <c r="U486" s="111"/>
      <c r="W486" s="111"/>
    </row>
    <row r="487" spans="2:23" s="30" customFormat="1" x14ac:dyDescent="0.25">
      <c r="B487" s="27"/>
      <c r="D487" s="81"/>
      <c r="E487" s="45"/>
      <c r="F487" s="389"/>
      <c r="G487" s="49"/>
      <c r="H487" s="44"/>
      <c r="I487" s="311"/>
      <c r="J487" s="44"/>
      <c r="K487" s="311"/>
      <c r="L487" s="225"/>
      <c r="M487" s="380"/>
      <c r="N487" s="45"/>
      <c r="O487" s="311"/>
      <c r="P487" s="149"/>
      <c r="Q487" s="293"/>
      <c r="R487" s="316"/>
      <c r="S487" s="355"/>
      <c r="T487" s="111"/>
      <c r="U487" s="111"/>
      <c r="W487" s="111"/>
    </row>
    <row r="488" spans="2:23" s="30" customFormat="1" x14ac:dyDescent="0.25">
      <c r="B488" s="27"/>
      <c r="D488" s="81"/>
      <c r="E488" s="45"/>
      <c r="F488" s="389"/>
      <c r="G488" s="49"/>
      <c r="H488" s="44"/>
      <c r="I488" s="311"/>
      <c r="J488" s="44"/>
      <c r="K488" s="311"/>
      <c r="L488" s="225"/>
      <c r="M488" s="380"/>
      <c r="N488" s="45"/>
      <c r="O488" s="311"/>
      <c r="P488" s="149"/>
      <c r="Q488" s="293"/>
      <c r="R488" s="316"/>
      <c r="S488" s="355"/>
      <c r="T488" s="111"/>
      <c r="U488" s="111"/>
      <c r="W488" s="111"/>
    </row>
    <row r="489" spans="2:23" s="30" customFormat="1" x14ac:dyDescent="0.25">
      <c r="B489" s="27"/>
      <c r="D489" s="81"/>
      <c r="E489" s="45"/>
      <c r="F489" s="389"/>
      <c r="G489" s="49"/>
      <c r="H489" s="44"/>
      <c r="I489" s="311"/>
      <c r="J489" s="44"/>
      <c r="K489" s="311"/>
      <c r="L489" s="225"/>
      <c r="M489" s="380"/>
      <c r="N489" s="45"/>
      <c r="O489" s="311"/>
      <c r="P489" s="149"/>
      <c r="Q489" s="293"/>
      <c r="R489" s="316"/>
      <c r="S489" s="355"/>
      <c r="T489" s="111"/>
      <c r="U489" s="111"/>
      <c r="W489" s="111"/>
    </row>
    <row r="490" spans="2:23" s="30" customFormat="1" x14ac:dyDescent="0.25">
      <c r="B490" s="27"/>
      <c r="D490" s="81"/>
      <c r="E490" s="45"/>
      <c r="F490" s="389"/>
      <c r="G490" s="49"/>
      <c r="H490" s="44"/>
      <c r="I490" s="311"/>
      <c r="J490" s="44"/>
      <c r="K490" s="311"/>
      <c r="L490" s="225"/>
      <c r="M490" s="380"/>
      <c r="N490" s="45"/>
      <c r="O490" s="311"/>
      <c r="P490" s="149"/>
      <c r="Q490" s="293"/>
      <c r="R490" s="316"/>
      <c r="S490" s="355"/>
      <c r="T490" s="111"/>
      <c r="U490" s="111"/>
      <c r="W490" s="111"/>
    </row>
    <row r="491" spans="2:23" s="30" customFormat="1" x14ac:dyDescent="0.25">
      <c r="B491" s="27"/>
      <c r="D491" s="81"/>
      <c r="E491" s="45"/>
      <c r="F491" s="389"/>
      <c r="G491" s="49"/>
      <c r="H491" s="44"/>
      <c r="I491" s="311"/>
      <c r="J491" s="44"/>
      <c r="K491" s="311"/>
      <c r="L491" s="225"/>
      <c r="M491" s="380"/>
      <c r="N491" s="45"/>
      <c r="O491" s="311"/>
      <c r="P491" s="149"/>
      <c r="Q491" s="293"/>
      <c r="R491" s="316"/>
      <c r="S491" s="355"/>
      <c r="T491" s="111"/>
      <c r="U491" s="111"/>
      <c r="W491" s="111"/>
    </row>
    <row r="492" spans="2:23" s="30" customFormat="1" x14ac:dyDescent="0.25">
      <c r="B492" s="27"/>
      <c r="D492" s="81"/>
      <c r="E492" s="45"/>
      <c r="F492" s="389"/>
      <c r="G492" s="49"/>
      <c r="H492" s="44"/>
      <c r="I492" s="311"/>
      <c r="J492" s="44"/>
      <c r="K492" s="311"/>
      <c r="L492" s="225"/>
      <c r="M492" s="380"/>
      <c r="N492" s="45"/>
      <c r="O492" s="311"/>
      <c r="P492" s="149"/>
      <c r="Q492" s="293"/>
      <c r="R492" s="316"/>
      <c r="S492" s="355"/>
      <c r="T492" s="111"/>
      <c r="U492" s="111"/>
      <c r="W492" s="111"/>
    </row>
    <row r="493" spans="2:23" s="30" customFormat="1" x14ac:dyDescent="0.25">
      <c r="B493" s="27"/>
      <c r="D493" s="81"/>
      <c r="E493" s="45"/>
      <c r="F493" s="389"/>
      <c r="G493" s="49"/>
      <c r="H493" s="44"/>
      <c r="I493" s="311"/>
      <c r="J493" s="44"/>
      <c r="K493" s="311"/>
      <c r="L493" s="225"/>
      <c r="M493" s="380"/>
      <c r="N493" s="45"/>
      <c r="O493" s="311"/>
      <c r="P493" s="149"/>
      <c r="Q493" s="293"/>
      <c r="R493" s="316"/>
      <c r="S493" s="355"/>
      <c r="T493" s="111"/>
      <c r="U493" s="111"/>
      <c r="W493" s="111"/>
    </row>
    <row r="494" spans="2:23" s="30" customFormat="1" x14ac:dyDescent="0.25">
      <c r="B494" s="27"/>
      <c r="D494" s="81"/>
      <c r="E494" s="45"/>
      <c r="F494" s="389"/>
      <c r="G494" s="49"/>
      <c r="H494" s="44"/>
      <c r="I494" s="311"/>
      <c r="J494" s="44"/>
      <c r="K494" s="311"/>
      <c r="L494" s="225"/>
      <c r="M494" s="380"/>
      <c r="N494" s="45"/>
      <c r="O494" s="311"/>
      <c r="P494" s="149"/>
      <c r="Q494" s="293"/>
      <c r="R494" s="316"/>
      <c r="S494" s="355"/>
      <c r="T494" s="111"/>
      <c r="U494" s="111"/>
      <c r="W494" s="111"/>
    </row>
    <row r="495" spans="2:23" s="30" customFormat="1" x14ac:dyDescent="0.25">
      <c r="B495" s="27"/>
      <c r="D495" s="81"/>
      <c r="E495" s="45"/>
      <c r="F495" s="389"/>
      <c r="G495" s="49"/>
      <c r="H495" s="44"/>
      <c r="I495" s="311"/>
      <c r="J495" s="44"/>
      <c r="K495" s="311"/>
      <c r="L495" s="225"/>
      <c r="M495" s="380"/>
      <c r="N495" s="45"/>
      <c r="O495" s="311"/>
      <c r="P495" s="149"/>
      <c r="Q495" s="293"/>
      <c r="R495" s="316"/>
      <c r="S495" s="355"/>
      <c r="T495" s="111"/>
      <c r="U495" s="111"/>
      <c r="W495" s="111"/>
    </row>
    <row r="496" spans="2:23" s="30" customFormat="1" x14ac:dyDescent="0.25">
      <c r="B496" s="27"/>
      <c r="D496" s="81"/>
      <c r="E496" s="45"/>
      <c r="F496" s="389"/>
      <c r="G496" s="49"/>
      <c r="H496" s="44"/>
      <c r="I496" s="311"/>
      <c r="J496" s="44"/>
      <c r="K496" s="311"/>
      <c r="L496" s="225"/>
      <c r="M496" s="380"/>
      <c r="N496" s="45"/>
      <c r="O496" s="311"/>
      <c r="P496" s="149"/>
      <c r="Q496" s="293"/>
      <c r="R496" s="316"/>
      <c r="S496" s="355"/>
      <c r="T496" s="111"/>
      <c r="U496" s="111"/>
      <c r="W496" s="111"/>
    </row>
    <row r="497" spans="2:23" s="30" customFormat="1" x14ac:dyDescent="0.25">
      <c r="B497" s="27"/>
      <c r="D497" s="81"/>
      <c r="E497" s="45"/>
      <c r="F497" s="389"/>
      <c r="G497" s="49"/>
      <c r="H497" s="44"/>
      <c r="I497" s="311"/>
      <c r="J497" s="44"/>
      <c r="K497" s="311"/>
      <c r="L497" s="225"/>
      <c r="M497" s="380"/>
      <c r="N497" s="45"/>
      <c r="O497" s="311"/>
      <c r="P497" s="149"/>
      <c r="Q497" s="293"/>
      <c r="R497" s="316"/>
      <c r="S497" s="355"/>
      <c r="T497" s="111"/>
      <c r="U497" s="111"/>
      <c r="W497" s="111"/>
    </row>
    <row r="498" spans="2:23" s="30" customFormat="1" x14ac:dyDescent="0.25">
      <c r="B498" s="27"/>
      <c r="D498" s="81"/>
      <c r="E498" s="45"/>
      <c r="F498" s="389"/>
      <c r="G498" s="49"/>
      <c r="H498" s="44"/>
      <c r="I498" s="311"/>
      <c r="J498" s="44"/>
      <c r="K498" s="311"/>
      <c r="L498" s="225"/>
      <c r="M498" s="380"/>
      <c r="N498" s="45"/>
      <c r="O498" s="311"/>
      <c r="P498" s="149"/>
      <c r="Q498" s="293"/>
      <c r="R498" s="316"/>
      <c r="S498" s="355"/>
      <c r="T498" s="111"/>
      <c r="U498" s="111"/>
      <c r="W498" s="111"/>
    </row>
    <row r="499" spans="2:23" s="30" customFormat="1" x14ac:dyDescent="0.25">
      <c r="B499" s="27"/>
      <c r="D499" s="81"/>
      <c r="E499" s="45"/>
      <c r="F499" s="389"/>
      <c r="G499" s="49"/>
      <c r="H499" s="44"/>
      <c r="I499" s="311"/>
      <c r="J499" s="44"/>
      <c r="K499" s="311"/>
      <c r="L499" s="225"/>
      <c r="M499" s="380"/>
      <c r="N499" s="45"/>
      <c r="O499" s="311"/>
      <c r="P499" s="149"/>
      <c r="Q499" s="293"/>
      <c r="R499" s="316"/>
      <c r="S499" s="355"/>
      <c r="T499" s="111"/>
      <c r="U499" s="111"/>
      <c r="W499" s="111"/>
    </row>
    <row r="500" spans="2:23" s="30" customFormat="1" x14ac:dyDescent="0.25">
      <c r="B500" s="27"/>
      <c r="D500" s="81"/>
      <c r="E500" s="45"/>
      <c r="F500" s="389"/>
      <c r="G500" s="49"/>
      <c r="H500" s="44"/>
      <c r="I500" s="311"/>
      <c r="J500" s="44"/>
      <c r="K500" s="311"/>
      <c r="L500" s="225"/>
      <c r="M500" s="380"/>
      <c r="N500" s="45"/>
      <c r="O500" s="311"/>
      <c r="P500" s="149"/>
      <c r="Q500" s="293"/>
      <c r="R500" s="316"/>
      <c r="S500" s="355"/>
      <c r="T500" s="111"/>
      <c r="U500" s="111"/>
      <c r="W500" s="111"/>
    </row>
    <row r="501" spans="2:23" s="30" customFormat="1" x14ac:dyDescent="0.25">
      <c r="B501" s="27"/>
      <c r="D501" s="81"/>
      <c r="E501" s="45"/>
      <c r="F501" s="389"/>
      <c r="G501" s="49"/>
      <c r="H501" s="44"/>
      <c r="I501" s="311"/>
      <c r="J501" s="44"/>
      <c r="K501" s="311"/>
      <c r="L501" s="225"/>
      <c r="M501" s="380"/>
      <c r="N501" s="45"/>
      <c r="O501" s="311"/>
      <c r="P501" s="149"/>
      <c r="Q501" s="293"/>
      <c r="R501" s="316"/>
      <c r="S501" s="355"/>
      <c r="T501" s="111"/>
      <c r="U501" s="111"/>
      <c r="W501" s="111"/>
    </row>
    <row r="502" spans="2:23" s="30" customFormat="1" x14ac:dyDescent="0.25">
      <c r="B502" s="27"/>
      <c r="D502" s="81"/>
      <c r="E502" s="45"/>
      <c r="F502" s="389"/>
      <c r="G502" s="49"/>
      <c r="H502" s="44"/>
      <c r="I502" s="311"/>
      <c r="J502" s="44"/>
      <c r="K502" s="311"/>
      <c r="L502" s="225"/>
      <c r="M502" s="380"/>
      <c r="N502" s="45"/>
      <c r="O502" s="311"/>
      <c r="P502" s="149"/>
      <c r="Q502" s="293"/>
      <c r="R502" s="316"/>
      <c r="S502" s="355"/>
      <c r="T502" s="111"/>
      <c r="U502" s="111"/>
      <c r="W502" s="111"/>
    </row>
    <row r="503" spans="2:23" s="30" customFormat="1" x14ac:dyDescent="0.25">
      <c r="B503" s="27"/>
      <c r="D503" s="81"/>
      <c r="E503" s="45"/>
      <c r="F503" s="389"/>
      <c r="G503" s="49"/>
      <c r="H503" s="44"/>
      <c r="I503" s="311"/>
      <c r="J503" s="44"/>
      <c r="K503" s="311"/>
      <c r="L503" s="225"/>
      <c r="M503" s="380"/>
      <c r="N503" s="45"/>
      <c r="O503" s="311"/>
      <c r="P503" s="149"/>
      <c r="Q503" s="293"/>
      <c r="R503" s="316"/>
      <c r="S503" s="355"/>
      <c r="T503" s="111"/>
      <c r="U503" s="111"/>
      <c r="W503" s="111"/>
    </row>
    <row r="504" spans="2:23" s="30" customFormat="1" x14ac:dyDescent="0.25">
      <c r="B504" s="27"/>
      <c r="D504" s="81"/>
      <c r="E504" s="45"/>
      <c r="F504" s="389"/>
      <c r="G504" s="49"/>
      <c r="H504" s="44"/>
      <c r="I504" s="311"/>
      <c r="J504" s="44"/>
      <c r="K504" s="311"/>
      <c r="L504" s="225"/>
      <c r="M504" s="380"/>
      <c r="N504" s="45"/>
      <c r="O504" s="311"/>
      <c r="P504" s="149"/>
      <c r="Q504" s="293"/>
      <c r="R504" s="316"/>
      <c r="S504" s="355"/>
      <c r="T504" s="111"/>
      <c r="U504" s="111"/>
      <c r="W504" s="111"/>
    </row>
    <row r="505" spans="2:23" s="30" customFormat="1" x14ac:dyDescent="0.25">
      <c r="B505" s="27"/>
      <c r="D505" s="81"/>
      <c r="E505" s="45"/>
      <c r="F505" s="389"/>
      <c r="G505" s="49"/>
      <c r="H505" s="44"/>
      <c r="I505" s="311"/>
      <c r="J505" s="44"/>
      <c r="K505" s="311"/>
      <c r="L505" s="225"/>
      <c r="M505" s="380"/>
      <c r="N505" s="45"/>
      <c r="O505" s="311"/>
      <c r="P505" s="149"/>
      <c r="Q505" s="293"/>
      <c r="R505" s="316"/>
      <c r="S505" s="355"/>
      <c r="T505" s="111"/>
      <c r="U505" s="111"/>
      <c r="W505" s="111"/>
    </row>
    <row r="506" spans="2:23" s="30" customFormat="1" x14ac:dyDescent="0.25">
      <c r="B506" s="27"/>
      <c r="D506" s="81"/>
      <c r="E506" s="45"/>
      <c r="F506" s="389"/>
      <c r="G506" s="49"/>
      <c r="H506" s="44"/>
      <c r="I506" s="311"/>
      <c r="J506" s="44"/>
      <c r="K506" s="311"/>
      <c r="L506" s="225"/>
      <c r="M506" s="380"/>
      <c r="N506" s="45"/>
      <c r="O506" s="311"/>
      <c r="P506" s="149"/>
      <c r="Q506" s="293"/>
      <c r="R506" s="316"/>
      <c r="S506" s="355"/>
      <c r="T506" s="111"/>
      <c r="U506" s="111"/>
      <c r="W506" s="111"/>
    </row>
    <row r="507" spans="2:23" s="30" customFormat="1" x14ac:dyDescent="0.25">
      <c r="B507" s="27"/>
      <c r="D507" s="81"/>
      <c r="E507" s="45"/>
      <c r="F507" s="389"/>
      <c r="G507" s="49"/>
      <c r="H507" s="44"/>
      <c r="I507" s="311"/>
      <c r="J507" s="44"/>
      <c r="K507" s="311"/>
      <c r="L507" s="225"/>
      <c r="M507" s="380"/>
      <c r="N507" s="45"/>
      <c r="O507" s="311"/>
      <c r="P507" s="149"/>
      <c r="Q507" s="293"/>
      <c r="R507" s="316"/>
      <c r="S507" s="355"/>
      <c r="T507" s="111"/>
      <c r="U507" s="111"/>
      <c r="W507" s="111"/>
    </row>
    <row r="508" spans="2:23" s="30" customFormat="1" x14ac:dyDescent="0.25">
      <c r="B508" s="27"/>
      <c r="D508" s="81"/>
      <c r="E508" s="45"/>
      <c r="F508" s="389"/>
      <c r="G508" s="49"/>
      <c r="H508" s="44"/>
      <c r="I508" s="311"/>
      <c r="J508" s="44"/>
      <c r="K508" s="311"/>
      <c r="L508" s="225"/>
      <c r="M508" s="380"/>
      <c r="N508" s="45"/>
      <c r="O508" s="311"/>
      <c r="P508" s="149"/>
      <c r="Q508" s="293"/>
      <c r="R508" s="316"/>
      <c r="S508" s="355"/>
      <c r="T508" s="111"/>
      <c r="U508" s="111"/>
      <c r="W508" s="111"/>
    </row>
    <row r="509" spans="2:23" s="30" customFormat="1" x14ac:dyDescent="0.25">
      <c r="B509" s="27"/>
      <c r="D509" s="81"/>
      <c r="E509" s="45"/>
      <c r="F509" s="389"/>
      <c r="G509" s="49"/>
      <c r="H509" s="44"/>
      <c r="I509" s="311"/>
      <c r="J509" s="44"/>
      <c r="K509" s="311"/>
      <c r="L509" s="225"/>
      <c r="M509" s="380"/>
      <c r="N509" s="45"/>
      <c r="O509" s="311"/>
      <c r="P509" s="149"/>
      <c r="Q509" s="293"/>
      <c r="R509" s="316"/>
      <c r="S509" s="355"/>
      <c r="T509" s="111"/>
      <c r="U509" s="111"/>
      <c r="W509" s="111"/>
    </row>
    <row r="510" spans="2:23" s="30" customFormat="1" x14ac:dyDescent="0.25">
      <c r="B510" s="27"/>
      <c r="D510" s="81"/>
      <c r="E510" s="45"/>
      <c r="F510" s="389"/>
      <c r="G510" s="49"/>
      <c r="H510" s="44"/>
      <c r="I510" s="311"/>
      <c r="J510" s="44"/>
      <c r="K510" s="311"/>
      <c r="L510" s="225"/>
      <c r="M510" s="380"/>
      <c r="N510" s="45"/>
      <c r="O510" s="311"/>
      <c r="P510" s="149"/>
      <c r="Q510" s="293"/>
      <c r="R510" s="316"/>
      <c r="S510" s="355"/>
      <c r="T510" s="111"/>
      <c r="U510" s="111"/>
      <c r="W510" s="111"/>
    </row>
    <row r="511" spans="2:23" s="30" customFormat="1" x14ac:dyDescent="0.25">
      <c r="B511" s="27"/>
      <c r="D511" s="81"/>
      <c r="E511" s="45"/>
      <c r="F511" s="389"/>
      <c r="G511" s="49"/>
      <c r="H511" s="44"/>
      <c r="I511" s="311"/>
      <c r="J511" s="44"/>
      <c r="K511" s="311"/>
      <c r="L511" s="225"/>
      <c r="M511" s="380"/>
      <c r="N511" s="45"/>
      <c r="O511" s="311"/>
      <c r="P511" s="149"/>
      <c r="Q511" s="293"/>
      <c r="R511" s="316"/>
      <c r="S511" s="355"/>
      <c r="T511" s="111"/>
      <c r="U511" s="111"/>
      <c r="W511" s="111"/>
    </row>
    <row r="512" spans="2:23" s="30" customFormat="1" x14ac:dyDescent="0.25">
      <c r="B512" s="27"/>
      <c r="D512" s="81"/>
      <c r="E512" s="45"/>
      <c r="F512" s="389"/>
      <c r="G512" s="49"/>
      <c r="H512" s="44"/>
      <c r="I512" s="311"/>
      <c r="J512" s="44"/>
      <c r="K512" s="311"/>
      <c r="L512" s="225"/>
      <c r="M512" s="380"/>
      <c r="N512" s="45"/>
      <c r="O512" s="311"/>
      <c r="P512" s="149"/>
      <c r="Q512" s="293"/>
      <c r="R512" s="316"/>
      <c r="S512" s="355"/>
      <c r="T512" s="111"/>
      <c r="U512" s="111"/>
      <c r="W512" s="111"/>
    </row>
    <row r="513" spans="2:23" s="30" customFormat="1" x14ac:dyDescent="0.25">
      <c r="B513" s="27"/>
      <c r="D513" s="81"/>
      <c r="E513" s="45"/>
      <c r="F513" s="389"/>
      <c r="G513" s="49"/>
      <c r="H513" s="44"/>
      <c r="I513" s="311"/>
      <c r="J513" s="44"/>
      <c r="K513" s="311"/>
      <c r="L513" s="225"/>
      <c r="M513" s="380"/>
      <c r="N513" s="45"/>
      <c r="O513" s="311"/>
      <c r="P513" s="149"/>
      <c r="Q513" s="293"/>
      <c r="R513" s="316"/>
      <c r="S513" s="355"/>
      <c r="T513" s="111"/>
      <c r="U513" s="111"/>
      <c r="W513" s="111"/>
    </row>
    <row r="514" spans="2:23" s="30" customFormat="1" x14ac:dyDescent="0.25">
      <c r="B514" s="27"/>
      <c r="D514" s="81"/>
      <c r="E514" s="45"/>
      <c r="F514" s="524"/>
      <c r="G514" s="49"/>
      <c r="H514" s="45"/>
      <c r="I514" s="314"/>
      <c r="J514" s="44"/>
      <c r="K514" s="311"/>
      <c r="L514" s="225"/>
      <c r="M514" s="380"/>
      <c r="N514" s="45"/>
      <c r="O514" s="311"/>
      <c r="P514" s="149"/>
      <c r="Q514" s="293"/>
      <c r="R514" s="316"/>
      <c r="S514" s="355"/>
      <c r="U514" s="111"/>
    </row>
    <row r="515" spans="2:23" s="30" customFormat="1" x14ac:dyDescent="0.25">
      <c r="B515" s="27"/>
      <c r="D515" s="81"/>
      <c r="E515" s="45"/>
      <c r="F515" s="524"/>
      <c r="G515" s="49"/>
      <c r="H515" s="45"/>
      <c r="I515" s="314"/>
      <c r="J515" s="44"/>
      <c r="K515" s="311"/>
      <c r="L515" s="225"/>
      <c r="M515" s="380"/>
      <c r="N515" s="45"/>
      <c r="O515" s="311"/>
      <c r="P515" s="149"/>
      <c r="Q515" s="293"/>
      <c r="R515" s="316"/>
      <c r="S515" s="355"/>
      <c r="U515" s="111"/>
    </row>
    <row r="516" spans="2:23" s="30" customFormat="1" x14ac:dyDescent="0.25">
      <c r="B516" s="27"/>
      <c r="D516" s="81"/>
      <c r="E516" s="45"/>
      <c r="F516" s="524"/>
      <c r="G516" s="49"/>
      <c r="H516" s="45"/>
      <c r="I516" s="314"/>
      <c r="J516" s="44"/>
      <c r="K516" s="311"/>
      <c r="L516" s="225"/>
      <c r="M516" s="380"/>
      <c r="N516" s="45"/>
      <c r="O516" s="311"/>
      <c r="P516" s="149"/>
      <c r="Q516" s="293"/>
      <c r="R516" s="316"/>
      <c r="S516" s="355"/>
      <c r="U516" s="111"/>
    </row>
    <row r="517" spans="2:23" s="30" customFormat="1" x14ac:dyDescent="0.25">
      <c r="B517" s="27"/>
      <c r="D517" s="81"/>
      <c r="E517" s="45"/>
      <c r="F517" s="524"/>
      <c r="G517" s="49"/>
      <c r="H517" s="45"/>
      <c r="I517" s="314"/>
      <c r="J517" s="44"/>
      <c r="K517" s="311"/>
      <c r="L517" s="225"/>
      <c r="M517" s="380"/>
      <c r="N517" s="45"/>
      <c r="O517" s="311"/>
      <c r="P517" s="149"/>
      <c r="Q517" s="293"/>
      <c r="R517" s="316"/>
      <c r="S517" s="355"/>
      <c r="U517" s="111"/>
    </row>
    <row r="518" spans="2:23" s="30" customFormat="1" x14ac:dyDescent="0.25">
      <c r="B518" s="27"/>
      <c r="D518" s="81"/>
      <c r="E518" s="45"/>
      <c r="F518" s="524"/>
      <c r="G518" s="49"/>
      <c r="H518" s="45"/>
      <c r="I518" s="314"/>
      <c r="J518" s="44"/>
      <c r="K518" s="311"/>
      <c r="L518" s="225"/>
      <c r="M518" s="380"/>
      <c r="N518" s="45"/>
      <c r="O518" s="311"/>
      <c r="P518" s="149"/>
      <c r="Q518" s="293"/>
      <c r="R518" s="316"/>
      <c r="S518" s="355"/>
      <c r="U518" s="111"/>
    </row>
    <row r="519" spans="2:23" s="30" customFormat="1" x14ac:dyDescent="0.25">
      <c r="B519" s="27"/>
      <c r="D519" s="81"/>
      <c r="E519" s="45"/>
      <c r="F519" s="524"/>
      <c r="G519" s="49"/>
      <c r="H519" s="45"/>
      <c r="I519" s="314"/>
      <c r="J519" s="44"/>
      <c r="K519" s="311"/>
      <c r="L519" s="225"/>
      <c r="M519" s="380"/>
      <c r="N519" s="45"/>
      <c r="O519" s="311"/>
      <c r="P519" s="149"/>
      <c r="Q519" s="293"/>
      <c r="R519" s="316"/>
      <c r="S519" s="355"/>
      <c r="U519" s="111"/>
    </row>
    <row r="520" spans="2:23" s="30" customFormat="1" x14ac:dyDescent="0.25">
      <c r="B520" s="27"/>
      <c r="D520" s="81"/>
      <c r="E520" s="45"/>
      <c r="F520" s="524"/>
      <c r="G520" s="49"/>
      <c r="H520" s="45"/>
      <c r="I520" s="314"/>
      <c r="J520" s="44"/>
      <c r="K520" s="311"/>
      <c r="L520" s="225"/>
      <c r="M520" s="380"/>
      <c r="N520" s="45"/>
      <c r="O520" s="311"/>
      <c r="P520" s="149"/>
      <c r="Q520" s="293"/>
      <c r="R520" s="316"/>
      <c r="S520" s="355"/>
      <c r="U520" s="111"/>
    </row>
    <row r="521" spans="2:23" s="30" customFormat="1" x14ac:dyDescent="0.25">
      <c r="B521" s="27"/>
      <c r="D521" s="81"/>
      <c r="E521" s="45"/>
      <c r="F521" s="524"/>
      <c r="G521" s="49"/>
      <c r="H521" s="44"/>
      <c r="I521" s="314"/>
      <c r="J521" s="44"/>
      <c r="K521" s="311"/>
      <c r="L521" s="225"/>
      <c r="M521" s="380"/>
      <c r="N521" s="45"/>
      <c r="O521" s="311"/>
      <c r="P521" s="149"/>
      <c r="Q521" s="293"/>
      <c r="R521" s="316"/>
      <c r="S521" s="355"/>
      <c r="U521" s="111"/>
    </row>
    <row r="522" spans="2:23" s="30" customFormat="1" x14ac:dyDescent="0.25">
      <c r="B522" s="27"/>
      <c r="D522" s="81"/>
      <c r="E522" s="45"/>
      <c r="F522" s="524"/>
      <c r="G522" s="151"/>
      <c r="H522" s="44"/>
      <c r="I522" s="314"/>
      <c r="J522" s="44"/>
      <c r="K522" s="311"/>
      <c r="L522" s="225"/>
      <c r="M522" s="380"/>
      <c r="N522" s="45"/>
      <c r="O522" s="311"/>
      <c r="P522" s="149"/>
      <c r="Q522" s="293"/>
      <c r="R522" s="316"/>
      <c r="S522" s="355"/>
      <c r="U522" s="111"/>
    </row>
    <row r="523" spans="2:23" s="30" customFormat="1" x14ac:dyDescent="0.25">
      <c r="B523" s="27"/>
      <c r="D523" s="81"/>
      <c r="E523" s="45"/>
      <c r="F523" s="524"/>
      <c r="G523" s="151"/>
      <c r="H523" s="44"/>
      <c r="I523" s="314"/>
      <c r="J523" s="44"/>
      <c r="K523" s="311"/>
      <c r="L523" s="225"/>
      <c r="M523" s="380"/>
      <c r="N523" s="45"/>
      <c r="O523" s="311"/>
      <c r="P523" s="149"/>
      <c r="Q523" s="293"/>
      <c r="R523" s="316"/>
      <c r="S523" s="355"/>
      <c r="U523" s="111"/>
    </row>
    <row r="524" spans="2:23" s="30" customFormat="1" x14ac:dyDescent="0.25">
      <c r="B524" s="27"/>
      <c r="D524" s="81"/>
      <c r="E524" s="45"/>
      <c r="F524" s="524"/>
      <c r="G524" s="49"/>
      <c r="H524" s="44"/>
      <c r="I524" s="314"/>
      <c r="J524" s="44"/>
      <c r="K524" s="311"/>
      <c r="L524" s="225"/>
      <c r="M524" s="380"/>
      <c r="N524" s="45"/>
      <c r="O524" s="311"/>
      <c r="P524" s="149"/>
      <c r="Q524" s="293"/>
      <c r="R524" s="316"/>
      <c r="S524" s="355"/>
      <c r="U524" s="111"/>
    </row>
    <row r="525" spans="2:23" s="30" customFormat="1" x14ac:dyDescent="0.25">
      <c r="B525" s="27"/>
      <c r="D525" s="81"/>
      <c r="E525" s="45"/>
      <c r="F525" s="524"/>
      <c r="G525" s="151"/>
      <c r="H525" s="44"/>
      <c r="I525" s="314"/>
      <c r="J525" s="44"/>
      <c r="K525" s="311"/>
      <c r="L525" s="225"/>
      <c r="M525" s="380"/>
      <c r="N525" s="45"/>
      <c r="O525" s="311"/>
      <c r="P525" s="149"/>
      <c r="Q525" s="293"/>
      <c r="R525" s="316"/>
      <c r="S525" s="355"/>
      <c r="U525" s="111"/>
    </row>
    <row r="526" spans="2:23" s="30" customFormat="1" x14ac:dyDescent="0.25">
      <c r="B526" s="27"/>
      <c r="D526" s="81"/>
      <c r="E526" s="45"/>
      <c r="F526" s="524"/>
      <c r="G526" s="151"/>
      <c r="H526" s="44"/>
      <c r="I526" s="314"/>
      <c r="J526" s="44"/>
      <c r="K526" s="311"/>
      <c r="L526" s="225"/>
      <c r="M526" s="380"/>
      <c r="N526" s="45"/>
      <c r="O526" s="311"/>
      <c r="P526" s="149"/>
      <c r="Q526" s="293"/>
      <c r="R526" s="316"/>
      <c r="S526" s="355"/>
      <c r="U526" s="111"/>
    </row>
    <row r="527" spans="2:23" s="30" customFormat="1" x14ac:dyDescent="0.25">
      <c r="B527" s="27"/>
      <c r="D527" s="81"/>
      <c r="E527" s="45"/>
      <c r="F527" s="524"/>
      <c r="G527" s="49"/>
      <c r="H527" s="44"/>
      <c r="I527" s="314"/>
      <c r="J527" s="44"/>
      <c r="K527" s="311"/>
      <c r="L527" s="225"/>
      <c r="M527" s="380"/>
      <c r="N527" s="45"/>
      <c r="O527" s="311"/>
      <c r="P527" s="149"/>
      <c r="Q527" s="293"/>
      <c r="R527" s="316"/>
      <c r="S527" s="355"/>
      <c r="U527" s="111"/>
    </row>
    <row r="528" spans="2:23" s="30" customFormat="1" x14ac:dyDescent="0.25">
      <c r="B528" s="27"/>
      <c r="D528" s="81"/>
      <c r="E528" s="45"/>
      <c r="F528" s="524"/>
      <c r="G528" s="49"/>
      <c r="H528" s="44"/>
      <c r="I528" s="314"/>
      <c r="J528" s="44"/>
      <c r="K528" s="311"/>
      <c r="L528" s="225"/>
      <c r="M528" s="380"/>
      <c r="N528" s="45"/>
      <c r="O528" s="311"/>
      <c r="P528" s="149"/>
      <c r="Q528" s="293"/>
      <c r="R528" s="316"/>
      <c r="S528" s="355"/>
      <c r="U528" s="111"/>
    </row>
    <row r="529" spans="2:21" s="30" customFormat="1" x14ac:dyDescent="0.25">
      <c r="B529" s="27"/>
      <c r="D529" s="81"/>
      <c r="E529" s="45"/>
      <c r="F529" s="524"/>
      <c r="G529" s="49"/>
      <c r="H529" s="44"/>
      <c r="I529" s="314"/>
      <c r="J529" s="44"/>
      <c r="K529" s="311"/>
      <c r="L529" s="225"/>
      <c r="M529" s="380"/>
      <c r="N529" s="45"/>
      <c r="O529" s="311"/>
      <c r="P529" s="149"/>
      <c r="Q529" s="293"/>
      <c r="R529" s="316"/>
      <c r="S529" s="355"/>
      <c r="U529" s="111"/>
    </row>
    <row r="530" spans="2:21" s="30" customFormat="1" x14ac:dyDescent="0.25">
      <c r="B530" s="27"/>
      <c r="D530" s="81"/>
      <c r="E530" s="45"/>
      <c r="F530" s="524"/>
      <c r="G530" s="151"/>
      <c r="H530" s="44"/>
      <c r="I530" s="314"/>
      <c r="J530" s="44"/>
      <c r="K530" s="311"/>
      <c r="L530" s="225"/>
      <c r="M530" s="380"/>
      <c r="N530" s="45"/>
      <c r="O530" s="311"/>
      <c r="P530" s="149"/>
      <c r="Q530" s="293"/>
      <c r="R530" s="316"/>
      <c r="S530" s="355"/>
      <c r="U530" s="111"/>
    </row>
    <row r="531" spans="2:21" s="30" customFormat="1" x14ac:dyDescent="0.25">
      <c r="B531" s="27"/>
      <c r="D531" s="81"/>
      <c r="E531" s="45"/>
      <c r="F531" s="524"/>
      <c r="G531" s="151"/>
      <c r="H531" s="44"/>
      <c r="I531" s="314"/>
      <c r="J531" s="44"/>
      <c r="K531" s="311"/>
      <c r="L531" s="225"/>
      <c r="M531" s="380"/>
      <c r="N531" s="45"/>
      <c r="O531" s="311"/>
      <c r="P531" s="149"/>
      <c r="Q531" s="293"/>
      <c r="R531" s="316"/>
      <c r="S531" s="355"/>
      <c r="U531" s="111"/>
    </row>
    <row r="532" spans="2:21" s="30" customFormat="1" x14ac:dyDescent="0.25">
      <c r="B532" s="27"/>
      <c r="D532" s="81"/>
      <c r="E532" s="45"/>
      <c r="F532" s="524"/>
      <c r="G532" s="151"/>
      <c r="H532" s="44"/>
      <c r="I532" s="314"/>
      <c r="J532" s="44"/>
      <c r="K532" s="311"/>
      <c r="L532" s="225"/>
      <c r="M532" s="380"/>
      <c r="N532" s="45"/>
      <c r="O532" s="311"/>
      <c r="P532" s="149"/>
      <c r="Q532" s="293"/>
      <c r="R532" s="316"/>
      <c r="S532" s="355"/>
      <c r="U532" s="111"/>
    </row>
    <row r="533" spans="2:21" s="30" customFormat="1" x14ac:dyDescent="0.25">
      <c r="B533" s="27"/>
      <c r="D533" s="81"/>
      <c r="E533" s="45"/>
      <c r="F533" s="524"/>
      <c r="G533" s="49"/>
      <c r="H533" s="44"/>
      <c r="I533" s="314"/>
      <c r="J533" s="44"/>
      <c r="K533" s="311"/>
      <c r="L533" s="225"/>
      <c r="M533" s="380"/>
      <c r="N533" s="45"/>
      <c r="O533" s="311"/>
      <c r="P533" s="149"/>
      <c r="Q533" s="293"/>
      <c r="R533" s="316"/>
      <c r="S533" s="355"/>
      <c r="U533" s="111"/>
    </row>
    <row r="534" spans="2:21" s="30" customFormat="1" x14ac:dyDescent="0.25">
      <c r="B534" s="27"/>
      <c r="D534" s="81"/>
      <c r="E534" s="45"/>
      <c r="F534" s="524"/>
      <c r="G534" s="151"/>
      <c r="H534" s="44"/>
      <c r="I534" s="314"/>
      <c r="J534" s="44"/>
      <c r="K534" s="311"/>
      <c r="L534" s="225"/>
      <c r="M534" s="380"/>
      <c r="N534" s="45"/>
      <c r="O534" s="311"/>
      <c r="P534" s="149"/>
      <c r="Q534" s="293"/>
      <c r="R534" s="316"/>
      <c r="S534" s="355"/>
      <c r="U534" s="111"/>
    </row>
    <row r="535" spans="2:21" s="30" customFormat="1" x14ac:dyDescent="0.25">
      <c r="B535" s="27"/>
      <c r="D535" s="81"/>
      <c r="E535" s="45"/>
      <c r="F535" s="524"/>
      <c r="G535" s="49"/>
      <c r="H535" s="44"/>
      <c r="I535" s="314"/>
      <c r="J535" s="44"/>
      <c r="K535" s="311"/>
      <c r="L535" s="225"/>
      <c r="M535" s="380"/>
      <c r="N535" s="45"/>
      <c r="O535" s="311"/>
      <c r="P535" s="149"/>
      <c r="Q535" s="293"/>
      <c r="R535" s="316"/>
      <c r="S535" s="355"/>
      <c r="U535" s="111"/>
    </row>
    <row r="536" spans="2:21" s="30" customFormat="1" x14ac:dyDescent="0.25">
      <c r="B536" s="27"/>
      <c r="D536" s="81"/>
      <c r="E536" s="45"/>
      <c r="F536" s="524"/>
      <c r="G536" s="49"/>
      <c r="H536" s="44"/>
      <c r="I536" s="314"/>
      <c r="J536" s="44"/>
      <c r="K536" s="311"/>
      <c r="L536" s="225"/>
      <c r="M536" s="380"/>
      <c r="N536" s="45"/>
      <c r="O536" s="311"/>
      <c r="P536" s="149"/>
      <c r="Q536" s="293"/>
      <c r="R536" s="316"/>
      <c r="S536" s="355"/>
      <c r="U536" s="111"/>
    </row>
    <row r="537" spans="2:21" s="30" customFormat="1" x14ac:dyDescent="0.25">
      <c r="B537" s="27"/>
      <c r="D537" s="81"/>
      <c r="E537" s="45"/>
      <c r="F537" s="524"/>
      <c r="G537" s="151"/>
      <c r="H537" s="44"/>
      <c r="I537" s="314"/>
      <c r="J537" s="44"/>
      <c r="K537" s="311"/>
      <c r="L537" s="225"/>
      <c r="M537" s="380"/>
      <c r="N537" s="45"/>
      <c r="O537" s="311"/>
      <c r="P537" s="149"/>
      <c r="Q537" s="293"/>
      <c r="R537" s="316"/>
      <c r="S537" s="355"/>
      <c r="U537" s="111"/>
    </row>
    <row r="538" spans="2:21" s="30" customFormat="1" x14ac:dyDescent="0.25">
      <c r="B538" s="27"/>
      <c r="D538" s="81"/>
      <c r="E538" s="45"/>
      <c r="F538" s="524"/>
      <c r="G538" s="49"/>
      <c r="H538" s="44"/>
      <c r="I538" s="314"/>
      <c r="J538" s="44"/>
      <c r="K538" s="311"/>
      <c r="L538" s="225"/>
      <c r="M538" s="380"/>
      <c r="N538" s="45"/>
      <c r="O538" s="311"/>
      <c r="P538" s="149"/>
      <c r="Q538" s="293"/>
      <c r="R538" s="316"/>
      <c r="S538" s="355"/>
      <c r="U538" s="111"/>
    </row>
    <row r="539" spans="2:21" s="30" customFormat="1" x14ac:dyDescent="0.25">
      <c r="B539" s="27"/>
      <c r="D539" s="81"/>
      <c r="E539" s="45"/>
      <c r="F539" s="524"/>
      <c r="G539" s="49"/>
      <c r="H539" s="44"/>
      <c r="I539" s="314"/>
      <c r="J539" s="44"/>
      <c r="K539" s="311"/>
      <c r="L539" s="225"/>
      <c r="M539" s="380"/>
      <c r="N539" s="45"/>
      <c r="O539" s="311"/>
      <c r="P539" s="149"/>
      <c r="Q539" s="293"/>
      <c r="R539" s="316"/>
      <c r="S539" s="355"/>
      <c r="U539" s="111"/>
    </row>
    <row r="540" spans="2:21" s="30" customFormat="1" x14ac:dyDescent="0.25">
      <c r="B540" s="27"/>
      <c r="D540" s="81"/>
      <c r="E540" s="45"/>
      <c r="F540" s="524"/>
      <c r="G540" s="151"/>
      <c r="H540" s="44"/>
      <c r="I540" s="314"/>
      <c r="J540" s="44"/>
      <c r="K540" s="311"/>
      <c r="L540" s="225"/>
      <c r="M540" s="380"/>
      <c r="N540" s="45"/>
      <c r="O540" s="311"/>
      <c r="P540" s="149"/>
      <c r="Q540" s="293"/>
      <c r="R540" s="316"/>
      <c r="S540" s="355"/>
      <c r="U540" s="111"/>
    </row>
    <row r="541" spans="2:21" s="30" customFormat="1" x14ac:dyDescent="0.25">
      <c r="B541" s="27"/>
      <c r="D541" s="81"/>
      <c r="E541" s="45"/>
      <c r="F541" s="524"/>
      <c r="G541" s="151"/>
      <c r="H541" s="44"/>
      <c r="I541" s="314"/>
      <c r="J541" s="44"/>
      <c r="K541" s="311"/>
      <c r="L541" s="225"/>
      <c r="M541" s="380"/>
      <c r="N541" s="45"/>
      <c r="O541" s="311"/>
      <c r="P541" s="149"/>
      <c r="Q541" s="293"/>
      <c r="R541" s="316"/>
      <c r="S541" s="355"/>
      <c r="U541" s="111"/>
    </row>
    <row r="542" spans="2:21" s="30" customFormat="1" x14ac:dyDescent="0.25">
      <c r="B542" s="27"/>
      <c r="D542" s="81"/>
      <c r="E542" s="45"/>
      <c r="F542" s="524"/>
      <c r="G542" s="49"/>
      <c r="H542" s="44"/>
      <c r="I542" s="314"/>
      <c r="J542" s="44"/>
      <c r="K542" s="311"/>
      <c r="L542" s="225"/>
      <c r="M542" s="380"/>
      <c r="N542" s="45"/>
      <c r="O542" s="311"/>
      <c r="P542" s="149"/>
      <c r="Q542" s="293"/>
      <c r="R542" s="316"/>
      <c r="S542" s="355"/>
      <c r="U542" s="111"/>
    </row>
    <row r="543" spans="2:21" s="30" customFormat="1" x14ac:dyDescent="0.25">
      <c r="B543" s="27"/>
      <c r="D543" s="81"/>
      <c r="E543" s="45"/>
      <c r="F543" s="524"/>
      <c r="G543" s="151"/>
      <c r="H543" s="44"/>
      <c r="I543" s="314"/>
      <c r="J543" s="44"/>
      <c r="K543" s="311"/>
      <c r="L543" s="225"/>
      <c r="M543" s="380"/>
      <c r="N543" s="45"/>
      <c r="O543" s="311"/>
      <c r="P543" s="149"/>
      <c r="Q543" s="293"/>
      <c r="R543" s="316"/>
      <c r="S543" s="355"/>
      <c r="U543" s="111"/>
    </row>
    <row r="544" spans="2:21" s="30" customFormat="1" x14ac:dyDescent="0.25">
      <c r="B544" s="27"/>
      <c r="D544" s="81"/>
      <c r="E544" s="45"/>
      <c r="F544" s="524"/>
      <c r="G544" s="151"/>
      <c r="H544" s="44"/>
      <c r="I544" s="314"/>
      <c r="J544" s="44"/>
      <c r="K544" s="311"/>
      <c r="L544" s="225"/>
      <c r="M544" s="380"/>
      <c r="N544" s="45"/>
      <c r="O544" s="311"/>
      <c r="P544" s="149"/>
      <c r="Q544" s="293"/>
      <c r="R544" s="316"/>
      <c r="S544" s="355"/>
      <c r="U544" s="111"/>
    </row>
    <row r="545" spans="2:21" s="30" customFormat="1" x14ac:dyDescent="0.25">
      <c r="B545" s="27"/>
      <c r="D545" s="81"/>
      <c r="E545" s="45"/>
      <c r="F545" s="524"/>
      <c r="G545" s="151"/>
      <c r="H545" s="44"/>
      <c r="I545" s="314"/>
      <c r="J545" s="44"/>
      <c r="K545" s="311"/>
      <c r="L545" s="225"/>
      <c r="M545" s="380"/>
      <c r="N545" s="45"/>
      <c r="O545" s="311"/>
      <c r="P545" s="149"/>
      <c r="Q545" s="293"/>
      <c r="R545" s="316"/>
      <c r="S545" s="355"/>
      <c r="U545" s="111"/>
    </row>
    <row r="546" spans="2:21" s="30" customFormat="1" x14ac:dyDescent="0.25">
      <c r="B546" s="27"/>
      <c r="D546" s="81"/>
      <c r="E546" s="45"/>
      <c r="F546" s="524"/>
      <c r="G546" s="151"/>
      <c r="H546" s="44"/>
      <c r="I546" s="314"/>
      <c r="J546" s="44"/>
      <c r="K546" s="311"/>
      <c r="L546" s="225"/>
      <c r="M546" s="380"/>
      <c r="N546" s="45"/>
      <c r="O546" s="311"/>
      <c r="P546" s="149"/>
      <c r="Q546" s="293"/>
      <c r="R546" s="316"/>
      <c r="S546" s="355"/>
      <c r="U546" s="111"/>
    </row>
    <row r="547" spans="2:21" s="30" customFormat="1" x14ac:dyDescent="0.25">
      <c r="B547" s="27"/>
      <c r="D547" s="81"/>
      <c r="E547" s="45"/>
      <c r="F547" s="524"/>
      <c r="G547" s="151"/>
      <c r="H547" s="44"/>
      <c r="I547" s="314"/>
      <c r="J547" s="44"/>
      <c r="K547" s="311"/>
      <c r="L547" s="225"/>
      <c r="M547" s="380"/>
      <c r="N547" s="45"/>
      <c r="O547" s="311"/>
      <c r="P547" s="149"/>
      <c r="Q547" s="293"/>
      <c r="R547" s="316"/>
      <c r="S547" s="355"/>
      <c r="U547" s="111"/>
    </row>
    <row r="548" spans="2:21" s="30" customFormat="1" x14ac:dyDescent="0.25">
      <c r="B548" s="27"/>
      <c r="D548" s="81"/>
      <c r="E548" s="45"/>
      <c r="F548" s="524"/>
      <c r="G548" s="151"/>
      <c r="H548" s="44"/>
      <c r="I548" s="314"/>
      <c r="J548" s="44"/>
      <c r="K548" s="311"/>
      <c r="L548" s="225"/>
      <c r="M548" s="380"/>
      <c r="N548" s="45"/>
      <c r="O548" s="311"/>
      <c r="P548" s="149"/>
      <c r="Q548" s="293"/>
      <c r="R548" s="316"/>
      <c r="S548" s="355"/>
      <c r="U548" s="111"/>
    </row>
    <row r="549" spans="2:21" s="30" customFormat="1" x14ac:dyDescent="0.25">
      <c r="B549" s="27"/>
      <c r="D549" s="81"/>
      <c r="E549" s="45"/>
      <c r="F549" s="524"/>
      <c r="G549" s="151"/>
      <c r="H549" s="44"/>
      <c r="I549" s="314"/>
      <c r="J549" s="44"/>
      <c r="K549" s="311"/>
      <c r="L549" s="225"/>
      <c r="M549" s="380"/>
      <c r="N549" s="45"/>
      <c r="O549" s="311"/>
      <c r="P549" s="149"/>
      <c r="Q549" s="293"/>
      <c r="R549" s="316"/>
      <c r="S549" s="355"/>
      <c r="U549" s="111"/>
    </row>
    <row r="550" spans="2:21" s="30" customFormat="1" x14ac:dyDescent="0.25">
      <c r="B550" s="27"/>
      <c r="D550" s="81"/>
      <c r="E550" s="45"/>
      <c r="F550" s="524"/>
      <c r="G550" s="151"/>
      <c r="H550" s="44"/>
      <c r="I550" s="314"/>
      <c r="J550" s="44"/>
      <c r="K550" s="311"/>
      <c r="L550" s="225"/>
      <c r="M550" s="380"/>
      <c r="N550" s="45"/>
      <c r="O550" s="311"/>
      <c r="P550" s="149"/>
      <c r="Q550" s="293"/>
      <c r="R550" s="316"/>
      <c r="S550" s="355"/>
      <c r="U550" s="111"/>
    </row>
    <row r="551" spans="2:21" s="30" customFormat="1" x14ac:dyDescent="0.25">
      <c r="B551" s="27"/>
      <c r="D551" s="81"/>
      <c r="E551" s="45"/>
      <c r="F551" s="524"/>
      <c r="G551" s="151"/>
      <c r="H551" s="44"/>
      <c r="I551" s="314"/>
      <c r="J551" s="44"/>
      <c r="K551" s="311"/>
      <c r="L551" s="225"/>
      <c r="M551" s="380"/>
      <c r="N551" s="45"/>
      <c r="O551" s="311"/>
      <c r="P551" s="149"/>
      <c r="Q551" s="293"/>
      <c r="R551" s="316"/>
      <c r="S551" s="355"/>
      <c r="U551" s="111"/>
    </row>
    <row r="552" spans="2:21" s="30" customFormat="1" x14ac:dyDescent="0.25">
      <c r="B552" s="27"/>
      <c r="D552" s="81"/>
      <c r="E552" s="45"/>
      <c r="F552" s="524"/>
      <c r="G552" s="151"/>
      <c r="H552" s="44"/>
      <c r="I552" s="314"/>
      <c r="J552" s="44"/>
      <c r="K552" s="311"/>
      <c r="L552" s="225"/>
      <c r="M552" s="380"/>
      <c r="N552" s="45"/>
      <c r="O552" s="311"/>
      <c r="P552" s="149"/>
      <c r="Q552" s="293"/>
      <c r="R552" s="316"/>
      <c r="S552" s="355"/>
      <c r="U552" s="111"/>
    </row>
    <row r="553" spans="2:21" s="30" customFormat="1" x14ac:dyDescent="0.25">
      <c r="B553" s="27"/>
      <c r="D553" s="81"/>
      <c r="E553" s="45"/>
      <c r="F553" s="524"/>
      <c r="G553" s="151"/>
      <c r="H553" s="44"/>
      <c r="I553" s="314"/>
      <c r="J553" s="44"/>
      <c r="K553" s="311"/>
      <c r="L553" s="225"/>
      <c r="M553" s="380"/>
      <c r="N553" s="45"/>
      <c r="O553" s="311"/>
      <c r="P553" s="149"/>
      <c r="Q553" s="293"/>
      <c r="R553" s="316"/>
      <c r="S553" s="355"/>
      <c r="U553" s="111"/>
    </row>
    <row r="554" spans="2:21" s="30" customFormat="1" x14ac:dyDescent="0.25">
      <c r="B554" s="27"/>
      <c r="D554" s="81"/>
      <c r="E554" s="45"/>
      <c r="F554" s="524"/>
      <c r="G554" s="151"/>
      <c r="H554" s="44"/>
      <c r="I554" s="314"/>
      <c r="J554" s="44"/>
      <c r="K554" s="311"/>
      <c r="L554" s="225"/>
      <c r="M554" s="380"/>
      <c r="N554" s="45"/>
      <c r="O554" s="311"/>
      <c r="P554" s="149"/>
      <c r="Q554" s="293"/>
      <c r="R554" s="316"/>
      <c r="S554" s="355"/>
      <c r="U554" s="111"/>
    </row>
    <row r="555" spans="2:21" s="30" customFormat="1" x14ac:dyDescent="0.25">
      <c r="B555" s="27"/>
      <c r="D555" s="81"/>
      <c r="E555" s="45"/>
      <c r="F555" s="524"/>
      <c r="G555" s="151"/>
      <c r="H555" s="44"/>
      <c r="I555" s="314"/>
      <c r="J555" s="44"/>
      <c r="K555" s="311"/>
      <c r="L555" s="225"/>
      <c r="M555" s="380"/>
      <c r="N555" s="45"/>
      <c r="O555" s="311"/>
      <c r="P555" s="149"/>
      <c r="Q555" s="293"/>
      <c r="R555" s="316"/>
      <c r="S555" s="355"/>
      <c r="U555" s="111"/>
    </row>
    <row r="556" spans="2:21" s="30" customFormat="1" x14ac:dyDescent="0.25">
      <c r="B556" s="27"/>
      <c r="D556" s="81"/>
      <c r="E556" s="45"/>
      <c r="F556" s="524"/>
      <c r="G556" s="151"/>
      <c r="H556" s="44"/>
      <c r="I556" s="314"/>
      <c r="J556" s="44"/>
      <c r="K556" s="311"/>
      <c r="L556" s="225"/>
      <c r="M556" s="380"/>
      <c r="N556" s="45"/>
      <c r="O556" s="311"/>
      <c r="P556" s="149"/>
      <c r="Q556" s="293"/>
      <c r="R556" s="316"/>
      <c r="S556" s="355"/>
      <c r="U556" s="111"/>
    </row>
    <row r="557" spans="2:21" s="30" customFormat="1" x14ac:dyDescent="0.25">
      <c r="B557" s="27"/>
      <c r="D557" s="81"/>
      <c r="E557" s="45"/>
      <c r="F557" s="524"/>
      <c r="G557" s="151"/>
      <c r="H557" s="44"/>
      <c r="I557" s="314"/>
      <c r="J557" s="44"/>
      <c r="K557" s="311"/>
      <c r="L557" s="225"/>
      <c r="M557" s="380"/>
      <c r="N557" s="45"/>
      <c r="O557" s="311"/>
      <c r="P557" s="149"/>
      <c r="Q557" s="293"/>
      <c r="R557" s="316"/>
      <c r="S557" s="355"/>
      <c r="U557" s="111"/>
    </row>
    <row r="558" spans="2:21" s="30" customFormat="1" x14ac:dyDescent="0.25">
      <c r="B558" s="27"/>
      <c r="D558" s="81"/>
      <c r="E558" s="45"/>
      <c r="F558" s="524"/>
      <c r="G558" s="151"/>
      <c r="H558" s="44"/>
      <c r="I558" s="314"/>
      <c r="J558" s="44"/>
      <c r="K558" s="311"/>
      <c r="L558" s="225"/>
      <c r="M558" s="380"/>
      <c r="N558" s="45"/>
      <c r="O558" s="311"/>
      <c r="P558" s="149"/>
      <c r="Q558" s="293"/>
      <c r="R558" s="316"/>
      <c r="S558" s="355"/>
      <c r="U558" s="111"/>
    </row>
    <row r="559" spans="2:21" s="30" customFormat="1" x14ac:dyDescent="0.25">
      <c r="B559" s="27"/>
      <c r="D559" s="81"/>
      <c r="E559" s="45"/>
      <c r="F559" s="524"/>
      <c r="G559" s="151"/>
      <c r="H559" s="44"/>
      <c r="I559" s="314"/>
      <c r="J559" s="44"/>
      <c r="K559" s="311"/>
      <c r="L559" s="225"/>
      <c r="M559" s="380"/>
      <c r="N559" s="45"/>
      <c r="O559" s="311"/>
      <c r="P559" s="149"/>
      <c r="Q559" s="293"/>
      <c r="R559" s="316"/>
      <c r="S559" s="355"/>
      <c r="U559" s="111"/>
    </row>
    <row r="560" spans="2:21" s="30" customFormat="1" x14ac:dyDescent="0.25">
      <c r="B560" s="27"/>
      <c r="D560" s="81"/>
      <c r="E560" s="45"/>
      <c r="F560" s="524"/>
      <c r="G560" s="49"/>
      <c r="H560" s="44"/>
      <c r="I560" s="314"/>
      <c r="J560" s="44"/>
      <c r="K560" s="311"/>
      <c r="L560" s="225"/>
      <c r="M560" s="380"/>
      <c r="N560" s="45"/>
      <c r="O560" s="311"/>
      <c r="P560" s="149"/>
      <c r="Q560" s="293"/>
      <c r="R560" s="316"/>
      <c r="S560" s="355"/>
      <c r="U560" s="111"/>
    </row>
    <row r="561" spans="2:21" s="30" customFormat="1" x14ac:dyDescent="0.25">
      <c r="B561" s="27"/>
      <c r="D561" s="81"/>
      <c r="E561" s="45"/>
      <c r="F561" s="524"/>
      <c r="G561" s="49"/>
      <c r="H561" s="44"/>
      <c r="I561" s="314"/>
      <c r="J561" s="44"/>
      <c r="K561" s="311"/>
      <c r="L561" s="225"/>
      <c r="M561" s="380"/>
      <c r="N561" s="45"/>
      <c r="O561" s="311"/>
      <c r="P561" s="149"/>
      <c r="Q561" s="293"/>
      <c r="R561" s="316"/>
      <c r="S561" s="355"/>
      <c r="U561" s="111"/>
    </row>
    <row r="562" spans="2:21" s="30" customFormat="1" x14ac:dyDescent="0.25">
      <c r="B562" s="27"/>
      <c r="D562" s="81"/>
      <c r="E562" s="45"/>
      <c r="F562" s="524"/>
      <c r="G562" s="49"/>
      <c r="H562" s="45"/>
      <c r="I562" s="314"/>
      <c r="J562" s="44"/>
      <c r="K562" s="311"/>
      <c r="L562" s="225"/>
      <c r="M562" s="380"/>
      <c r="N562" s="45"/>
      <c r="O562" s="311"/>
      <c r="P562" s="149"/>
      <c r="Q562" s="293"/>
      <c r="R562" s="316"/>
      <c r="S562" s="355"/>
      <c r="U562" s="111"/>
    </row>
    <row r="563" spans="2:21" s="30" customFormat="1" x14ac:dyDescent="0.25">
      <c r="B563" s="27"/>
      <c r="D563" s="81"/>
      <c r="E563" s="45"/>
      <c r="F563" s="524"/>
      <c r="G563" s="49"/>
      <c r="H563" s="45"/>
      <c r="I563" s="314"/>
      <c r="J563" s="44"/>
      <c r="K563" s="311"/>
      <c r="L563" s="225"/>
      <c r="M563" s="380"/>
      <c r="N563" s="45"/>
      <c r="O563" s="311"/>
      <c r="P563" s="149"/>
      <c r="Q563" s="293"/>
      <c r="R563" s="316"/>
      <c r="S563" s="355"/>
      <c r="U563" s="111"/>
    </row>
    <row r="564" spans="2:21" s="30" customFormat="1" x14ac:dyDescent="0.25">
      <c r="B564" s="27"/>
      <c r="D564" s="81"/>
      <c r="E564" s="45"/>
      <c r="F564" s="524"/>
      <c r="G564" s="49"/>
      <c r="H564" s="45"/>
      <c r="I564" s="314"/>
      <c r="J564" s="44"/>
      <c r="K564" s="311"/>
      <c r="L564" s="225"/>
      <c r="M564" s="380"/>
      <c r="N564" s="45"/>
      <c r="O564" s="311"/>
      <c r="P564" s="149"/>
      <c r="Q564" s="293"/>
      <c r="R564" s="316"/>
      <c r="S564" s="355"/>
      <c r="U564" s="111"/>
    </row>
    <row r="565" spans="2:21" s="30" customFormat="1" x14ac:dyDescent="0.25">
      <c r="B565" s="27"/>
      <c r="D565" s="81"/>
      <c r="E565" s="45"/>
      <c r="F565" s="524"/>
      <c r="G565" s="49"/>
      <c r="H565" s="45"/>
      <c r="I565" s="314"/>
      <c r="J565" s="44"/>
      <c r="K565" s="311"/>
      <c r="L565" s="225"/>
      <c r="M565" s="380"/>
      <c r="N565" s="45"/>
      <c r="O565" s="311"/>
      <c r="P565" s="149"/>
      <c r="Q565" s="293"/>
      <c r="R565" s="316"/>
      <c r="S565" s="355"/>
      <c r="U565" s="111"/>
    </row>
    <row r="566" spans="2:21" s="30" customFormat="1" x14ac:dyDescent="0.25">
      <c r="B566" s="27"/>
      <c r="D566" s="81"/>
      <c r="E566" s="45"/>
      <c r="F566" s="524"/>
      <c r="G566" s="49"/>
      <c r="H566" s="45"/>
      <c r="I566" s="314"/>
      <c r="J566" s="44"/>
      <c r="K566" s="311"/>
      <c r="L566" s="225"/>
      <c r="M566" s="380"/>
      <c r="N566" s="45"/>
      <c r="O566" s="311"/>
      <c r="P566" s="149"/>
      <c r="Q566" s="293"/>
      <c r="R566" s="316"/>
      <c r="S566" s="355"/>
      <c r="U566" s="111"/>
    </row>
    <row r="567" spans="2:21" s="30" customFormat="1" x14ac:dyDescent="0.25">
      <c r="B567" s="27"/>
      <c r="D567" s="81"/>
      <c r="E567" s="45"/>
      <c r="F567" s="524"/>
      <c r="G567" s="49"/>
      <c r="H567" s="45"/>
      <c r="I567" s="314"/>
      <c r="J567" s="44"/>
      <c r="K567" s="311"/>
      <c r="L567" s="225"/>
      <c r="M567" s="380"/>
      <c r="N567" s="45"/>
      <c r="O567" s="311"/>
      <c r="P567" s="149"/>
      <c r="Q567" s="293"/>
      <c r="R567" s="316"/>
      <c r="S567" s="355"/>
      <c r="U567" s="111"/>
    </row>
    <row r="568" spans="2:21" s="30" customFormat="1" x14ac:dyDescent="0.25">
      <c r="B568" s="27"/>
      <c r="D568" s="81"/>
      <c r="E568" s="45"/>
      <c r="F568" s="524"/>
      <c r="G568" s="49"/>
      <c r="H568" s="45"/>
      <c r="I568" s="314"/>
      <c r="J568" s="44"/>
      <c r="K568" s="311"/>
      <c r="L568" s="225"/>
      <c r="M568" s="380"/>
      <c r="N568" s="45"/>
      <c r="O568" s="311"/>
      <c r="P568" s="149"/>
      <c r="Q568" s="293"/>
      <c r="R568" s="316"/>
      <c r="S568" s="355"/>
      <c r="U568" s="111"/>
    </row>
    <row r="569" spans="2:21" s="30" customFormat="1" x14ac:dyDescent="0.25">
      <c r="B569" s="27"/>
      <c r="D569" s="81"/>
      <c r="E569" s="45"/>
      <c r="F569" s="524"/>
      <c r="G569" s="49"/>
      <c r="H569" s="45"/>
      <c r="I569" s="314"/>
      <c r="J569" s="44"/>
      <c r="K569" s="311"/>
      <c r="L569" s="225"/>
      <c r="M569" s="380"/>
      <c r="N569" s="45"/>
      <c r="O569" s="311"/>
      <c r="P569" s="149"/>
      <c r="Q569" s="293"/>
      <c r="R569" s="316"/>
      <c r="S569" s="355"/>
      <c r="U569" s="111"/>
    </row>
    <row r="570" spans="2:21" s="30" customFormat="1" x14ac:dyDescent="0.25">
      <c r="B570" s="27"/>
      <c r="D570" s="81"/>
      <c r="E570" s="45"/>
      <c r="F570" s="524"/>
      <c r="G570" s="49"/>
      <c r="H570" s="45"/>
      <c r="I570" s="314"/>
      <c r="J570" s="44"/>
      <c r="K570" s="311"/>
      <c r="L570" s="225"/>
      <c r="M570" s="380"/>
      <c r="N570" s="45"/>
      <c r="O570" s="311"/>
      <c r="P570" s="149"/>
      <c r="Q570" s="293"/>
      <c r="R570" s="316"/>
      <c r="S570" s="355"/>
      <c r="U570" s="111"/>
    </row>
    <row r="571" spans="2:21" s="30" customFormat="1" x14ac:dyDescent="0.25">
      <c r="B571" s="27"/>
      <c r="D571" s="81"/>
      <c r="E571" s="45"/>
      <c r="F571" s="524"/>
      <c r="G571" s="49"/>
      <c r="H571" s="45"/>
      <c r="I571" s="314"/>
      <c r="J571" s="44"/>
      <c r="K571" s="311"/>
      <c r="L571" s="225"/>
      <c r="M571" s="380"/>
      <c r="N571" s="45"/>
      <c r="O571" s="311"/>
      <c r="P571" s="149"/>
      <c r="Q571" s="293"/>
      <c r="R571" s="316"/>
      <c r="S571" s="355"/>
      <c r="U571" s="111"/>
    </row>
    <row r="572" spans="2:21" s="30" customFormat="1" x14ac:dyDescent="0.25">
      <c r="B572" s="27"/>
      <c r="D572" s="81"/>
      <c r="E572" s="45"/>
      <c r="F572" s="524"/>
      <c r="G572" s="49"/>
      <c r="H572" s="45"/>
      <c r="I572" s="314"/>
      <c r="J572" s="44"/>
      <c r="K572" s="311"/>
      <c r="L572" s="225"/>
      <c r="M572" s="380"/>
      <c r="N572" s="45"/>
      <c r="O572" s="311"/>
      <c r="P572" s="149"/>
      <c r="Q572" s="293"/>
      <c r="R572" s="316"/>
      <c r="S572" s="355"/>
      <c r="U572" s="111"/>
    </row>
    <row r="573" spans="2:21" s="30" customFormat="1" x14ac:dyDescent="0.25">
      <c r="B573" s="27"/>
      <c r="D573" s="81"/>
      <c r="E573" s="45"/>
      <c r="F573" s="524"/>
      <c r="G573" s="49"/>
      <c r="H573" s="45"/>
      <c r="I573" s="314"/>
      <c r="J573" s="44"/>
      <c r="K573" s="311"/>
      <c r="L573" s="225"/>
      <c r="M573" s="380"/>
      <c r="N573" s="45"/>
      <c r="O573" s="311"/>
      <c r="P573" s="149"/>
      <c r="Q573" s="293"/>
      <c r="R573" s="316"/>
      <c r="S573" s="355"/>
      <c r="U573" s="111"/>
    </row>
    <row r="574" spans="2:21" s="30" customFormat="1" x14ac:dyDescent="0.25">
      <c r="B574" s="27"/>
      <c r="D574" s="81"/>
      <c r="E574" s="45"/>
      <c r="F574" s="524"/>
      <c r="G574" s="49"/>
      <c r="H574" s="45"/>
      <c r="I574" s="314"/>
      <c r="J574" s="44"/>
      <c r="K574" s="311"/>
      <c r="L574" s="225"/>
      <c r="M574" s="380"/>
      <c r="N574" s="45"/>
      <c r="O574" s="311"/>
      <c r="P574" s="149"/>
      <c r="Q574" s="293"/>
      <c r="R574" s="316"/>
      <c r="S574" s="355"/>
      <c r="U574" s="111"/>
    </row>
    <row r="575" spans="2:21" s="30" customFormat="1" x14ac:dyDescent="0.25">
      <c r="B575" s="27"/>
      <c r="D575" s="81"/>
      <c r="E575" s="45"/>
      <c r="F575" s="524"/>
      <c r="G575" s="49"/>
      <c r="H575" s="45"/>
      <c r="I575" s="314"/>
      <c r="J575" s="44"/>
      <c r="K575" s="311"/>
      <c r="L575" s="225"/>
      <c r="M575" s="380"/>
      <c r="N575" s="45"/>
      <c r="O575" s="311"/>
      <c r="P575" s="149"/>
      <c r="Q575" s="293"/>
      <c r="R575" s="316"/>
      <c r="S575" s="355"/>
      <c r="U575" s="111"/>
    </row>
    <row r="576" spans="2:21" s="30" customFormat="1" x14ac:dyDescent="0.25">
      <c r="B576" s="27"/>
      <c r="D576" s="81"/>
      <c r="E576" s="45"/>
      <c r="F576" s="524"/>
      <c r="G576" s="49"/>
      <c r="H576" s="45"/>
      <c r="I576" s="314"/>
      <c r="J576" s="44"/>
      <c r="K576" s="311"/>
      <c r="L576" s="225"/>
      <c r="M576" s="380"/>
      <c r="N576" s="45"/>
      <c r="O576" s="311"/>
      <c r="P576" s="149"/>
      <c r="Q576" s="293"/>
      <c r="R576" s="316"/>
      <c r="S576" s="355"/>
      <c r="U576" s="111"/>
    </row>
    <row r="577" spans="2:21" s="30" customFormat="1" x14ac:dyDescent="0.25">
      <c r="B577" s="27"/>
      <c r="D577" s="81"/>
      <c r="E577" s="45"/>
      <c r="F577" s="524"/>
      <c r="G577" s="49"/>
      <c r="H577" s="45"/>
      <c r="I577" s="314"/>
      <c r="J577" s="44"/>
      <c r="K577" s="311"/>
      <c r="L577" s="225"/>
      <c r="M577" s="380"/>
      <c r="N577" s="45"/>
      <c r="O577" s="311"/>
      <c r="P577" s="149"/>
      <c r="Q577" s="293"/>
      <c r="R577" s="316"/>
      <c r="S577" s="355"/>
      <c r="U577" s="111"/>
    </row>
    <row r="578" spans="2:21" s="30" customFormat="1" x14ac:dyDescent="0.25">
      <c r="B578" s="27"/>
      <c r="D578" s="81"/>
      <c r="E578" s="45"/>
      <c r="F578" s="524"/>
      <c r="G578" s="49"/>
      <c r="H578" s="45"/>
      <c r="I578" s="314"/>
      <c r="J578" s="44"/>
      <c r="K578" s="311"/>
      <c r="L578" s="225"/>
      <c r="M578" s="380"/>
      <c r="N578" s="45"/>
      <c r="O578" s="311"/>
      <c r="P578" s="149"/>
      <c r="Q578" s="293"/>
      <c r="R578" s="316"/>
      <c r="S578" s="355"/>
      <c r="U578" s="111"/>
    </row>
    <row r="579" spans="2:21" s="30" customFormat="1" x14ac:dyDescent="0.25">
      <c r="B579" s="27"/>
      <c r="D579" s="81"/>
      <c r="E579" s="45"/>
      <c r="F579" s="524"/>
      <c r="G579" s="49"/>
      <c r="H579" s="45"/>
      <c r="I579" s="314"/>
      <c r="J579" s="44"/>
      <c r="K579" s="311"/>
      <c r="L579" s="225"/>
      <c r="M579" s="380"/>
      <c r="N579" s="45"/>
      <c r="O579" s="311"/>
      <c r="P579" s="149"/>
      <c r="Q579" s="293"/>
      <c r="R579" s="316"/>
      <c r="S579" s="355"/>
      <c r="U579" s="111"/>
    </row>
    <row r="580" spans="2:21" s="30" customFormat="1" x14ac:dyDescent="0.25">
      <c r="B580" s="27"/>
      <c r="D580" s="81"/>
      <c r="E580" s="45"/>
      <c r="F580" s="524"/>
      <c r="G580" s="49"/>
      <c r="H580" s="45"/>
      <c r="I580" s="314"/>
      <c r="J580" s="44"/>
      <c r="K580" s="311"/>
      <c r="L580" s="225"/>
      <c r="M580" s="380"/>
      <c r="N580" s="45"/>
      <c r="O580" s="311"/>
      <c r="P580" s="149"/>
      <c r="Q580" s="293"/>
      <c r="R580" s="316"/>
      <c r="S580" s="355"/>
      <c r="U580" s="111"/>
    </row>
    <row r="581" spans="2:21" s="30" customFormat="1" x14ac:dyDescent="0.25">
      <c r="B581" s="27"/>
      <c r="D581" s="81"/>
      <c r="E581" s="45"/>
      <c r="F581" s="524"/>
      <c r="G581" s="49"/>
      <c r="H581" s="45"/>
      <c r="I581" s="314"/>
      <c r="J581" s="44"/>
      <c r="K581" s="311"/>
      <c r="L581" s="225"/>
      <c r="M581" s="380"/>
      <c r="N581" s="45"/>
      <c r="O581" s="311"/>
      <c r="P581" s="149"/>
      <c r="Q581" s="293"/>
      <c r="R581" s="316"/>
      <c r="S581" s="355"/>
      <c r="U581" s="111"/>
    </row>
    <row r="582" spans="2:21" s="30" customFormat="1" x14ac:dyDescent="0.25">
      <c r="B582" s="27"/>
      <c r="D582" s="81"/>
      <c r="E582" s="45"/>
      <c r="F582" s="524"/>
      <c r="G582" s="49"/>
      <c r="H582" s="45"/>
      <c r="I582" s="314"/>
      <c r="J582" s="44"/>
      <c r="K582" s="311"/>
      <c r="L582" s="225"/>
      <c r="M582" s="380"/>
      <c r="N582" s="45"/>
      <c r="O582" s="311"/>
      <c r="P582" s="149"/>
      <c r="Q582" s="293"/>
      <c r="R582" s="316"/>
      <c r="S582" s="355"/>
      <c r="U582" s="111"/>
    </row>
    <row r="583" spans="2:21" s="30" customFormat="1" x14ac:dyDescent="0.25">
      <c r="B583" s="27"/>
      <c r="D583" s="81"/>
      <c r="E583" s="45"/>
      <c r="F583" s="524"/>
      <c r="G583" s="49"/>
      <c r="H583" s="45"/>
      <c r="I583" s="314"/>
      <c r="J583" s="44"/>
      <c r="K583" s="311"/>
      <c r="L583" s="225"/>
      <c r="M583" s="380"/>
      <c r="N583" s="45"/>
      <c r="O583" s="311"/>
      <c r="P583" s="149"/>
      <c r="Q583" s="293"/>
      <c r="R583" s="316"/>
      <c r="S583" s="355"/>
      <c r="U583" s="111"/>
    </row>
    <row r="584" spans="2:21" s="30" customFormat="1" x14ac:dyDescent="0.25">
      <c r="B584" s="27"/>
      <c r="D584" s="81"/>
      <c r="E584" s="45"/>
      <c r="F584" s="524"/>
      <c r="G584" s="49"/>
      <c r="H584" s="45"/>
      <c r="I584" s="314"/>
      <c r="J584" s="44"/>
      <c r="K584" s="311"/>
      <c r="L584" s="225"/>
      <c r="M584" s="380"/>
      <c r="N584" s="45"/>
      <c r="O584" s="311"/>
      <c r="P584" s="149"/>
      <c r="Q584" s="293"/>
      <c r="R584" s="316"/>
      <c r="S584" s="355"/>
      <c r="U584" s="111"/>
    </row>
    <row r="585" spans="2:21" s="30" customFormat="1" x14ac:dyDescent="0.25">
      <c r="B585" s="27"/>
      <c r="D585" s="81"/>
      <c r="E585" s="45"/>
      <c r="F585" s="524"/>
      <c r="G585" s="49"/>
      <c r="H585" s="45"/>
      <c r="I585" s="314"/>
      <c r="J585" s="44"/>
      <c r="K585" s="311"/>
      <c r="L585" s="225"/>
      <c r="M585" s="380"/>
      <c r="N585" s="45"/>
      <c r="O585" s="311"/>
      <c r="P585" s="149"/>
      <c r="Q585" s="293"/>
      <c r="R585" s="316"/>
      <c r="S585" s="355"/>
      <c r="U585" s="111"/>
    </row>
    <row r="586" spans="2:21" s="30" customFormat="1" x14ac:dyDescent="0.25">
      <c r="B586" s="27"/>
      <c r="D586" s="81"/>
      <c r="E586" s="45"/>
      <c r="F586" s="524"/>
      <c r="G586" s="49"/>
      <c r="H586" s="45"/>
      <c r="I586" s="314"/>
      <c r="J586" s="44"/>
      <c r="K586" s="311"/>
      <c r="L586" s="225"/>
      <c r="M586" s="380"/>
      <c r="N586" s="45"/>
      <c r="O586" s="311"/>
      <c r="P586" s="149"/>
      <c r="Q586" s="293"/>
      <c r="R586" s="316"/>
      <c r="S586" s="355"/>
      <c r="U586" s="111"/>
    </row>
    <row r="587" spans="2:21" s="30" customFormat="1" x14ac:dyDescent="0.25">
      <c r="B587" s="27"/>
      <c r="D587" s="81"/>
      <c r="E587" s="45"/>
      <c r="F587" s="524"/>
      <c r="G587" s="49"/>
      <c r="H587" s="45"/>
      <c r="I587" s="314"/>
      <c r="J587" s="44"/>
      <c r="K587" s="311"/>
      <c r="L587" s="225"/>
      <c r="M587" s="380"/>
      <c r="N587" s="45"/>
      <c r="O587" s="311"/>
      <c r="P587" s="149"/>
      <c r="Q587" s="293"/>
      <c r="R587" s="316"/>
      <c r="S587" s="355"/>
      <c r="U587" s="111"/>
    </row>
    <row r="588" spans="2:21" s="30" customFormat="1" x14ac:dyDescent="0.25">
      <c r="B588" s="27"/>
      <c r="D588" s="81"/>
      <c r="E588" s="45"/>
      <c r="F588" s="524"/>
      <c r="G588" s="49"/>
      <c r="H588" s="45"/>
      <c r="I588" s="314"/>
      <c r="J588" s="44"/>
      <c r="K588" s="311"/>
      <c r="L588" s="225"/>
      <c r="M588" s="380"/>
      <c r="N588" s="45"/>
      <c r="O588" s="311"/>
      <c r="P588" s="149"/>
      <c r="Q588" s="293"/>
      <c r="R588" s="316"/>
      <c r="S588" s="355"/>
      <c r="U588" s="111"/>
    </row>
    <row r="589" spans="2:21" s="30" customFormat="1" x14ac:dyDescent="0.25">
      <c r="B589" s="27"/>
      <c r="D589" s="81"/>
      <c r="E589" s="45"/>
      <c r="F589" s="524"/>
      <c r="G589" s="49"/>
      <c r="H589" s="45"/>
      <c r="I589" s="314"/>
      <c r="J589" s="44"/>
      <c r="K589" s="311"/>
      <c r="L589" s="225"/>
      <c r="M589" s="380"/>
      <c r="N589" s="45"/>
      <c r="O589" s="311"/>
      <c r="P589" s="149"/>
      <c r="Q589" s="293"/>
      <c r="R589" s="316"/>
      <c r="S589" s="355"/>
      <c r="U589" s="111"/>
    </row>
    <row r="590" spans="2:21" s="30" customFormat="1" x14ac:dyDescent="0.25">
      <c r="B590" s="27"/>
      <c r="D590" s="81"/>
      <c r="E590" s="45"/>
      <c r="F590" s="524"/>
      <c r="G590" s="49"/>
      <c r="H590" s="45"/>
      <c r="I590" s="314"/>
      <c r="J590" s="44"/>
      <c r="K590" s="311"/>
      <c r="L590" s="225"/>
      <c r="M590" s="380"/>
      <c r="N590" s="45"/>
      <c r="O590" s="311"/>
      <c r="P590" s="149"/>
      <c r="Q590" s="293"/>
      <c r="R590" s="316"/>
      <c r="S590" s="355"/>
      <c r="U590" s="111"/>
    </row>
    <row r="591" spans="2:21" s="30" customFormat="1" x14ac:dyDescent="0.25">
      <c r="B591" s="27"/>
      <c r="D591" s="81"/>
      <c r="E591" s="45"/>
      <c r="F591" s="524"/>
      <c r="G591" s="49"/>
      <c r="H591" s="45"/>
      <c r="I591" s="314"/>
      <c r="J591" s="44"/>
      <c r="K591" s="311"/>
      <c r="L591" s="225"/>
      <c r="M591" s="380"/>
      <c r="N591" s="45"/>
      <c r="O591" s="311"/>
      <c r="P591" s="149"/>
      <c r="Q591" s="293"/>
      <c r="R591" s="316"/>
      <c r="S591" s="355"/>
      <c r="U591" s="111"/>
    </row>
    <row r="592" spans="2:21" s="30" customFormat="1" x14ac:dyDescent="0.25">
      <c r="B592" s="27"/>
      <c r="D592" s="81"/>
      <c r="E592" s="45"/>
      <c r="F592" s="524"/>
      <c r="G592" s="49"/>
      <c r="H592" s="45"/>
      <c r="I592" s="314"/>
      <c r="J592" s="44"/>
      <c r="K592" s="311"/>
      <c r="L592" s="225"/>
      <c r="M592" s="380"/>
      <c r="N592" s="45"/>
      <c r="O592" s="311"/>
      <c r="P592" s="149"/>
      <c r="Q592" s="293"/>
      <c r="R592" s="316"/>
      <c r="S592" s="355"/>
      <c r="U592" s="111"/>
    </row>
    <row r="593" spans="2:21" s="30" customFormat="1" x14ac:dyDescent="0.25">
      <c r="B593" s="27"/>
      <c r="D593" s="81"/>
      <c r="E593" s="45"/>
      <c r="F593" s="524"/>
      <c r="G593" s="49"/>
      <c r="H593" s="45"/>
      <c r="I593" s="314"/>
      <c r="J593" s="44"/>
      <c r="K593" s="311"/>
      <c r="L593" s="225"/>
      <c r="M593" s="380"/>
      <c r="N593" s="45"/>
      <c r="O593" s="311"/>
      <c r="P593" s="149"/>
      <c r="Q593" s="293"/>
      <c r="R593" s="316"/>
      <c r="S593" s="355"/>
      <c r="U593" s="111"/>
    </row>
    <row r="594" spans="2:21" s="30" customFormat="1" x14ac:dyDescent="0.25">
      <c r="B594" s="27"/>
      <c r="D594" s="81"/>
      <c r="E594" s="45"/>
      <c r="F594" s="524"/>
      <c r="G594" s="49"/>
      <c r="H594" s="45"/>
      <c r="I594" s="314"/>
      <c r="J594" s="44"/>
      <c r="K594" s="311"/>
      <c r="L594" s="225"/>
      <c r="M594" s="380"/>
      <c r="N594" s="45"/>
      <c r="O594" s="311"/>
      <c r="P594" s="149"/>
      <c r="Q594" s="293"/>
      <c r="R594" s="316"/>
      <c r="S594" s="355"/>
      <c r="U594" s="111"/>
    </row>
    <row r="595" spans="2:21" s="30" customFormat="1" x14ac:dyDescent="0.25">
      <c r="B595" s="27"/>
      <c r="D595" s="81"/>
      <c r="E595" s="45"/>
      <c r="F595" s="524"/>
      <c r="G595" s="49"/>
      <c r="H595" s="45"/>
      <c r="I595" s="314"/>
      <c r="J595" s="44"/>
      <c r="K595" s="311"/>
      <c r="L595" s="225"/>
      <c r="M595" s="380"/>
      <c r="N595" s="45"/>
      <c r="O595" s="311"/>
      <c r="P595" s="149"/>
      <c r="Q595" s="293"/>
      <c r="R595" s="316"/>
      <c r="S595" s="355"/>
      <c r="U595" s="111"/>
    </row>
    <row r="596" spans="2:21" s="30" customFormat="1" x14ac:dyDescent="0.25">
      <c r="B596" s="27"/>
      <c r="D596" s="81"/>
      <c r="E596" s="45"/>
      <c r="F596" s="524"/>
      <c r="G596" s="49"/>
      <c r="H596" s="45"/>
      <c r="I596" s="314"/>
      <c r="J596" s="44"/>
      <c r="K596" s="311"/>
      <c r="L596" s="225"/>
      <c r="M596" s="380"/>
      <c r="N596" s="45"/>
      <c r="O596" s="311"/>
      <c r="P596" s="149"/>
      <c r="Q596" s="293"/>
      <c r="R596" s="316"/>
      <c r="S596" s="355"/>
      <c r="U596" s="111"/>
    </row>
    <row r="597" spans="2:21" s="30" customFormat="1" x14ac:dyDescent="0.25">
      <c r="B597" s="27"/>
      <c r="D597" s="81"/>
      <c r="E597" s="45"/>
      <c r="F597" s="524"/>
      <c r="G597" s="49"/>
      <c r="H597" s="45"/>
      <c r="I597" s="314"/>
      <c r="J597" s="44"/>
      <c r="K597" s="311"/>
      <c r="L597" s="225"/>
      <c r="M597" s="380"/>
      <c r="N597" s="45"/>
      <c r="O597" s="311"/>
      <c r="P597" s="149"/>
      <c r="Q597" s="293"/>
      <c r="R597" s="316"/>
      <c r="S597" s="355"/>
      <c r="U597" s="111"/>
    </row>
    <row r="598" spans="2:21" s="30" customFormat="1" x14ac:dyDescent="0.25">
      <c r="B598" s="27"/>
      <c r="D598" s="81"/>
      <c r="E598" s="45"/>
      <c r="F598" s="524"/>
      <c r="G598" s="49"/>
      <c r="H598" s="45"/>
      <c r="I598" s="314"/>
      <c r="J598" s="44"/>
      <c r="K598" s="311"/>
      <c r="L598" s="225"/>
      <c r="M598" s="380"/>
      <c r="N598" s="45"/>
      <c r="O598" s="311"/>
      <c r="P598" s="149"/>
      <c r="Q598" s="293"/>
      <c r="R598" s="316"/>
      <c r="S598" s="355"/>
      <c r="U598" s="111"/>
    </row>
    <row r="599" spans="2:21" s="30" customFormat="1" x14ac:dyDescent="0.25">
      <c r="B599" s="27"/>
      <c r="D599" s="81"/>
      <c r="E599" s="45"/>
      <c r="F599" s="524"/>
      <c r="G599" s="49"/>
      <c r="H599" s="45"/>
      <c r="I599" s="314"/>
      <c r="J599" s="44"/>
      <c r="K599" s="311"/>
      <c r="L599" s="225"/>
      <c r="M599" s="380"/>
      <c r="N599" s="45"/>
      <c r="O599" s="311"/>
      <c r="P599" s="149"/>
      <c r="Q599" s="293"/>
      <c r="R599" s="316"/>
      <c r="S599" s="355"/>
      <c r="U599" s="111"/>
    </row>
    <row r="600" spans="2:21" s="30" customFormat="1" x14ac:dyDescent="0.25">
      <c r="B600" s="27"/>
      <c r="D600" s="81"/>
      <c r="E600" s="45"/>
      <c r="F600" s="524"/>
      <c r="G600" s="49"/>
      <c r="H600" s="45"/>
      <c r="I600" s="314"/>
      <c r="J600" s="44"/>
      <c r="K600" s="311"/>
      <c r="L600" s="225"/>
      <c r="M600" s="380"/>
      <c r="N600" s="45"/>
      <c r="O600" s="311"/>
      <c r="P600" s="149"/>
      <c r="Q600" s="293"/>
      <c r="R600" s="316"/>
      <c r="S600" s="355"/>
      <c r="U600" s="111"/>
    </row>
    <row r="601" spans="2:21" s="30" customFormat="1" x14ac:dyDescent="0.25">
      <c r="B601" s="27"/>
      <c r="D601" s="81"/>
      <c r="E601" s="45"/>
      <c r="F601" s="524"/>
      <c r="G601" s="49"/>
      <c r="H601" s="45"/>
      <c r="I601" s="314"/>
      <c r="J601" s="44"/>
      <c r="K601" s="311"/>
      <c r="L601" s="225"/>
      <c r="M601" s="380"/>
      <c r="N601" s="45"/>
      <c r="O601" s="311"/>
      <c r="P601" s="149"/>
      <c r="Q601" s="293"/>
      <c r="R601" s="316"/>
      <c r="S601" s="355"/>
      <c r="U601" s="111"/>
    </row>
    <row r="602" spans="2:21" s="30" customFormat="1" x14ac:dyDescent="0.25">
      <c r="B602" s="27"/>
      <c r="D602" s="81"/>
      <c r="E602" s="45"/>
      <c r="F602" s="524"/>
      <c r="G602" s="49"/>
      <c r="H602" s="45"/>
      <c r="I602" s="314"/>
      <c r="J602" s="44"/>
      <c r="K602" s="311"/>
      <c r="L602" s="225"/>
      <c r="M602" s="380"/>
      <c r="N602" s="45"/>
      <c r="O602" s="311"/>
      <c r="P602" s="149"/>
      <c r="Q602" s="293"/>
      <c r="R602" s="316"/>
      <c r="S602" s="355"/>
      <c r="U602" s="111"/>
    </row>
    <row r="603" spans="2:21" s="30" customFormat="1" x14ac:dyDescent="0.25">
      <c r="B603" s="27"/>
      <c r="D603" s="81"/>
      <c r="E603" s="45"/>
      <c r="F603" s="524"/>
      <c r="G603" s="49"/>
      <c r="H603" s="45"/>
      <c r="I603" s="314"/>
      <c r="J603" s="44"/>
      <c r="K603" s="311"/>
      <c r="L603" s="225"/>
      <c r="M603" s="380"/>
      <c r="N603" s="45"/>
      <c r="O603" s="311"/>
      <c r="P603" s="149"/>
      <c r="Q603" s="293"/>
      <c r="R603" s="316"/>
      <c r="S603" s="355"/>
      <c r="U603" s="111"/>
    </row>
    <row r="604" spans="2:21" s="30" customFormat="1" x14ac:dyDescent="0.25">
      <c r="B604" s="27"/>
      <c r="D604" s="81"/>
      <c r="E604" s="45"/>
      <c r="F604" s="524"/>
      <c r="G604" s="49"/>
      <c r="H604" s="45"/>
      <c r="I604" s="314"/>
      <c r="J604" s="44"/>
      <c r="K604" s="311"/>
      <c r="L604" s="225"/>
      <c r="M604" s="380"/>
      <c r="N604" s="45"/>
      <c r="O604" s="311"/>
      <c r="P604" s="149"/>
      <c r="Q604" s="293"/>
      <c r="R604" s="316"/>
      <c r="S604" s="355"/>
      <c r="U604" s="111"/>
    </row>
    <row r="605" spans="2:21" s="30" customFormat="1" x14ac:dyDescent="0.25">
      <c r="B605" s="27"/>
      <c r="D605" s="81"/>
      <c r="E605" s="45"/>
      <c r="F605" s="524"/>
      <c r="G605" s="49"/>
      <c r="H605" s="45"/>
      <c r="I605" s="314"/>
      <c r="J605" s="44"/>
      <c r="K605" s="311"/>
      <c r="L605" s="225"/>
      <c r="M605" s="380"/>
      <c r="N605" s="45"/>
      <c r="O605" s="311"/>
      <c r="P605" s="149"/>
      <c r="Q605" s="293"/>
      <c r="R605" s="316"/>
      <c r="S605" s="355"/>
      <c r="U605" s="111"/>
    </row>
    <row r="606" spans="2:21" s="30" customFormat="1" x14ac:dyDescent="0.25">
      <c r="B606" s="27"/>
      <c r="D606" s="81"/>
      <c r="E606" s="45"/>
      <c r="F606" s="524"/>
      <c r="G606" s="49"/>
      <c r="H606" s="45"/>
      <c r="I606" s="314"/>
      <c r="J606" s="44"/>
      <c r="K606" s="311"/>
      <c r="L606" s="225"/>
      <c r="M606" s="380"/>
      <c r="N606" s="45"/>
      <c r="O606" s="311"/>
      <c r="P606" s="149"/>
      <c r="Q606" s="293"/>
      <c r="R606" s="316"/>
      <c r="S606" s="355"/>
      <c r="U606" s="111"/>
    </row>
    <row r="607" spans="2:21" s="30" customFormat="1" x14ac:dyDescent="0.25">
      <c r="B607" s="27"/>
      <c r="D607" s="81"/>
      <c r="E607" s="45"/>
      <c r="F607" s="524"/>
      <c r="G607" s="49"/>
      <c r="H607" s="45"/>
      <c r="I607" s="314"/>
      <c r="J607" s="44"/>
      <c r="K607" s="311"/>
      <c r="L607" s="225"/>
      <c r="M607" s="380"/>
      <c r="N607" s="45"/>
      <c r="O607" s="311"/>
      <c r="P607" s="149"/>
      <c r="Q607" s="293"/>
      <c r="R607" s="316"/>
      <c r="S607" s="355"/>
      <c r="U607" s="111"/>
    </row>
    <row r="608" spans="2:21" s="30" customFormat="1" x14ac:dyDescent="0.25">
      <c r="B608" s="27"/>
      <c r="D608" s="81"/>
      <c r="E608" s="45"/>
      <c r="F608" s="524"/>
      <c r="G608" s="49"/>
      <c r="H608" s="45"/>
      <c r="I608" s="314"/>
      <c r="J608" s="44"/>
      <c r="K608" s="311"/>
      <c r="L608" s="225"/>
      <c r="M608" s="380"/>
      <c r="N608" s="45"/>
      <c r="O608" s="311"/>
      <c r="P608" s="149"/>
      <c r="Q608" s="293"/>
      <c r="R608" s="316"/>
      <c r="S608" s="355"/>
      <c r="U608" s="111"/>
    </row>
    <row r="609" spans="2:21" s="30" customFormat="1" x14ac:dyDescent="0.25">
      <c r="B609" s="27"/>
      <c r="D609" s="81"/>
      <c r="E609" s="45"/>
      <c r="F609" s="524"/>
      <c r="G609" s="49"/>
      <c r="H609" s="45"/>
      <c r="I609" s="314"/>
      <c r="J609" s="44"/>
      <c r="K609" s="311"/>
      <c r="L609" s="225"/>
      <c r="M609" s="380"/>
      <c r="N609" s="45"/>
      <c r="O609" s="311"/>
      <c r="P609" s="149"/>
      <c r="Q609" s="293"/>
      <c r="R609" s="316"/>
      <c r="S609" s="355"/>
      <c r="U609" s="111"/>
    </row>
    <row r="610" spans="2:21" s="30" customFormat="1" x14ac:dyDescent="0.25">
      <c r="B610" s="27"/>
      <c r="D610" s="81"/>
      <c r="E610" s="45"/>
      <c r="F610" s="524"/>
      <c r="G610" s="49"/>
      <c r="H610" s="45"/>
      <c r="I610" s="314"/>
      <c r="J610" s="44"/>
      <c r="K610" s="311"/>
      <c r="L610" s="225"/>
      <c r="M610" s="380"/>
      <c r="N610" s="45"/>
      <c r="O610" s="311"/>
      <c r="P610" s="149"/>
      <c r="Q610" s="293"/>
      <c r="R610" s="316"/>
      <c r="S610" s="355"/>
      <c r="U610" s="111"/>
    </row>
    <row r="611" spans="2:21" s="30" customFormat="1" x14ac:dyDescent="0.25">
      <c r="B611" s="27"/>
      <c r="D611" s="81"/>
      <c r="E611" s="45"/>
      <c r="F611" s="524"/>
      <c r="G611" s="49"/>
      <c r="H611" s="45"/>
      <c r="I611" s="314"/>
      <c r="J611" s="44"/>
      <c r="K611" s="311"/>
      <c r="L611" s="225"/>
      <c r="M611" s="380"/>
      <c r="N611" s="45"/>
      <c r="O611" s="311"/>
      <c r="P611" s="149"/>
      <c r="Q611" s="293"/>
      <c r="R611" s="316"/>
      <c r="S611" s="355"/>
      <c r="U611" s="111"/>
    </row>
    <row r="612" spans="2:21" s="30" customFormat="1" x14ac:dyDescent="0.25">
      <c r="B612" s="27"/>
      <c r="D612" s="81"/>
      <c r="E612" s="45"/>
      <c r="F612" s="524"/>
      <c r="G612" s="49"/>
      <c r="H612" s="45"/>
      <c r="I612" s="314"/>
      <c r="J612" s="44"/>
      <c r="K612" s="311"/>
      <c r="L612" s="225"/>
      <c r="M612" s="380"/>
      <c r="N612" s="45"/>
      <c r="O612" s="311"/>
      <c r="P612" s="149"/>
      <c r="Q612" s="293"/>
      <c r="R612" s="316"/>
      <c r="S612" s="355"/>
      <c r="U612" s="111"/>
    </row>
    <row r="613" spans="2:21" s="30" customFormat="1" x14ac:dyDescent="0.25">
      <c r="B613" s="27"/>
      <c r="D613" s="81"/>
      <c r="E613" s="45"/>
      <c r="F613" s="524"/>
      <c r="G613" s="49"/>
      <c r="H613" s="45"/>
      <c r="I613" s="314"/>
      <c r="J613" s="44"/>
      <c r="K613" s="311"/>
      <c r="L613" s="225"/>
      <c r="M613" s="380"/>
      <c r="N613" s="45"/>
      <c r="O613" s="311"/>
      <c r="P613" s="149"/>
      <c r="Q613" s="293"/>
      <c r="R613" s="316"/>
      <c r="S613" s="355"/>
      <c r="U613" s="111"/>
    </row>
    <row r="614" spans="2:21" s="30" customFormat="1" x14ac:dyDescent="0.25">
      <c r="B614" s="27"/>
      <c r="D614" s="81"/>
      <c r="E614" s="45"/>
      <c r="F614" s="524"/>
      <c r="G614" s="49"/>
      <c r="H614" s="45"/>
      <c r="I614" s="314"/>
      <c r="J614" s="44"/>
      <c r="K614" s="311"/>
      <c r="L614" s="225"/>
      <c r="M614" s="380"/>
      <c r="N614" s="45"/>
      <c r="O614" s="311"/>
      <c r="P614" s="149"/>
      <c r="Q614" s="293"/>
      <c r="R614" s="316"/>
      <c r="S614" s="355"/>
      <c r="U614" s="111"/>
    </row>
    <row r="615" spans="2:21" s="30" customFormat="1" x14ac:dyDescent="0.25">
      <c r="B615" s="27"/>
      <c r="D615" s="81"/>
      <c r="E615" s="45"/>
      <c r="F615" s="524"/>
      <c r="G615" s="49"/>
      <c r="H615" s="45"/>
      <c r="I615" s="314"/>
      <c r="J615" s="44"/>
      <c r="K615" s="311"/>
      <c r="L615" s="225"/>
      <c r="M615" s="380"/>
      <c r="N615" s="45"/>
      <c r="O615" s="311"/>
      <c r="P615" s="149"/>
      <c r="Q615" s="293"/>
      <c r="R615" s="316"/>
      <c r="S615" s="355"/>
      <c r="U615" s="111"/>
    </row>
    <row r="616" spans="2:21" s="30" customFormat="1" x14ac:dyDescent="0.25">
      <c r="B616" s="27"/>
      <c r="D616" s="81"/>
      <c r="E616" s="45"/>
      <c r="F616" s="524"/>
      <c r="G616" s="49"/>
      <c r="H616" s="45"/>
      <c r="I616" s="314"/>
      <c r="J616" s="44"/>
      <c r="K616" s="311"/>
      <c r="L616" s="225"/>
      <c r="M616" s="380"/>
      <c r="N616" s="45"/>
      <c r="O616" s="311"/>
      <c r="P616" s="149"/>
      <c r="Q616" s="293"/>
      <c r="R616" s="316"/>
      <c r="S616" s="355"/>
      <c r="U616" s="111"/>
    </row>
    <row r="617" spans="2:21" s="30" customFormat="1" x14ac:dyDescent="0.25">
      <c r="B617" s="27"/>
      <c r="D617" s="81"/>
      <c r="E617" s="45"/>
      <c r="F617" s="524"/>
      <c r="G617" s="49"/>
      <c r="H617" s="45"/>
      <c r="I617" s="314"/>
      <c r="J617" s="44"/>
      <c r="K617" s="311"/>
      <c r="L617" s="225"/>
      <c r="M617" s="380"/>
      <c r="N617" s="45"/>
      <c r="O617" s="311"/>
      <c r="P617" s="149"/>
      <c r="Q617" s="293"/>
      <c r="R617" s="316"/>
      <c r="S617" s="355"/>
      <c r="U617" s="111"/>
    </row>
    <row r="618" spans="2:21" s="30" customFormat="1" x14ac:dyDescent="0.25">
      <c r="B618" s="27"/>
      <c r="D618" s="81"/>
      <c r="E618" s="45"/>
      <c r="F618" s="524"/>
      <c r="G618" s="49"/>
      <c r="H618" s="45"/>
      <c r="I618" s="314"/>
      <c r="J618" s="44"/>
      <c r="K618" s="311"/>
      <c r="L618" s="225"/>
      <c r="M618" s="380"/>
      <c r="N618" s="45"/>
      <c r="O618" s="311"/>
      <c r="P618" s="149"/>
      <c r="Q618" s="293"/>
      <c r="R618" s="316"/>
      <c r="S618" s="355"/>
      <c r="U618" s="111"/>
    </row>
    <row r="619" spans="2:21" s="30" customFormat="1" x14ac:dyDescent="0.25">
      <c r="B619" s="27"/>
      <c r="D619" s="81"/>
      <c r="E619" s="45"/>
      <c r="F619" s="524"/>
      <c r="G619" s="49"/>
      <c r="H619" s="45"/>
      <c r="I619" s="314"/>
      <c r="J619" s="44"/>
      <c r="K619" s="311"/>
      <c r="L619" s="225"/>
      <c r="M619" s="380"/>
      <c r="N619" s="45"/>
      <c r="O619" s="311"/>
      <c r="P619" s="149"/>
      <c r="Q619" s="293"/>
      <c r="R619" s="316"/>
      <c r="S619" s="355"/>
      <c r="U619" s="111"/>
    </row>
    <row r="620" spans="2:21" s="30" customFormat="1" x14ac:dyDescent="0.25">
      <c r="B620" s="27"/>
      <c r="D620" s="81"/>
      <c r="E620" s="45"/>
      <c r="F620" s="524"/>
      <c r="G620" s="49"/>
      <c r="H620" s="45"/>
      <c r="I620" s="314"/>
      <c r="J620" s="44"/>
      <c r="K620" s="311"/>
      <c r="L620" s="225"/>
      <c r="M620" s="380"/>
      <c r="N620" s="45"/>
      <c r="O620" s="311"/>
      <c r="P620" s="149"/>
      <c r="Q620" s="293"/>
      <c r="R620" s="316"/>
      <c r="S620" s="355"/>
      <c r="U620" s="111"/>
    </row>
    <row r="621" spans="2:21" s="30" customFormat="1" x14ac:dyDescent="0.25">
      <c r="B621" s="27"/>
      <c r="D621" s="81"/>
      <c r="E621" s="45"/>
      <c r="F621" s="524"/>
      <c r="G621" s="49"/>
      <c r="H621" s="45"/>
      <c r="I621" s="314"/>
      <c r="J621" s="44"/>
      <c r="K621" s="311"/>
      <c r="L621" s="225"/>
      <c r="M621" s="380"/>
      <c r="N621" s="45"/>
      <c r="O621" s="311"/>
      <c r="P621" s="149"/>
      <c r="Q621" s="293"/>
      <c r="R621" s="316"/>
      <c r="S621" s="355"/>
      <c r="U621" s="111"/>
    </row>
    <row r="622" spans="2:21" s="30" customFormat="1" x14ac:dyDescent="0.25">
      <c r="B622" s="27"/>
      <c r="D622" s="81"/>
      <c r="E622" s="45"/>
      <c r="F622" s="524"/>
      <c r="G622" s="49"/>
      <c r="H622" s="45"/>
      <c r="I622" s="314"/>
      <c r="J622" s="44"/>
      <c r="K622" s="311"/>
      <c r="L622" s="225"/>
      <c r="M622" s="380"/>
      <c r="N622" s="45"/>
      <c r="O622" s="311"/>
      <c r="P622" s="149"/>
      <c r="Q622" s="293"/>
      <c r="R622" s="316"/>
      <c r="S622" s="355"/>
      <c r="U622" s="111"/>
    </row>
    <row r="623" spans="2:21" s="30" customFormat="1" x14ac:dyDescent="0.25">
      <c r="B623" s="27"/>
      <c r="D623" s="81"/>
      <c r="E623" s="45"/>
      <c r="F623" s="524"/>
      <c r="G623" s="49"/>
      <c r="H623" s="45"/>
      <c r="I623" s="314"/>
      <c r="J623" s="44"/>
      <c r="K623" s="311"/>
      <c r="L623" s="225"/>
      <c r="M623" s="380"/>
      <c r="N623" s="45"/>
      <c r="O623" s="311"/>
      <c r="P623" s="149"/>
      <c r="Q623" s="293"/>
      <c r="R623" s="316"/>
      <c r="S623" s="355"/>
      <c r="U623" s="111"/>
    </row>
    <row r="624" spans="2:21" s="30" customFormat="1" x14ac:dyDescent="0.25">
      <c r="B624" s="27"/>
      <c r="D624" s="81"/>
      <c r="E624" s="45"/>
      <c r="F624" s="524"/>
      <c r="G624" s="49"/>
      <c r="H624" s="45"/>
      <c r="I624" s="314"/>
      <c r="J624" s="44"/>
      <c r="K624" s="311"/>
      <c r="L624" s="225"/>
      <c r="M624" s="380"/>
      <c r="N624" s="45"/>
      <c r="O624" s="311"/>
      <c r="P624" s="149"/>
      <c r="Q624" s="293"/>
      <c r="R624" s="316"/>
      <c r="S624" s="355"/>
      <c r="U624" s="111"/>
    </row>
    <row r="625" spans="2:21" s="30" customFormat="1" x14ac:dyDescent="0.25">
      <c r="B625" s="27"/>
      <c r="D625" s="81"/>
      <c r="E625" s="45"/>
      <c r="F625" s="524"/>
      <c r="G625" s="49"/>
      <c r="H625" s="45"/>
      <c r="I625" s="314"/>
      <c r="J625" s="44"/>
      <c r="K625" s="311"/>
      <c r="L625" s="225"/>
      <c r="M625" s="380"/>
      <c r="N625" s="45"/>
      <c r="O625" s="311"/>
      <c r="P625" s="149"/>
      <c r="Q625" s="293"/>
      <c r="R625" s="316"/>
      <c r="S625" s="355"/>
      <c r="U625" s="111"/>
    </row>
    <row r="626" spans="2:21" s="30" customFormat="1" x14ac:dyDescent="0.25">
      <c r="B626" s="27"/>
      <c r="D626" s="81"/>
      <c r="E626" s="45"/>
      <c r="F626" s="524"/>
      <c r="G626" s="49"/>
      <c r="H626" s="45"/>
      <c r="I626" s="314"/>
      <c r="J626" s="44"/>
      <c r="K626" s="311"/>
      <c r="L626" s="225"/>
      <c r="M626" s="380"/>
      <c r="N626" s="45"/>
      <c r="O626" s="311"/>
      <c r="P626" s="149"/>
      <c r="Q626" s="293"/>
      <c r="R626" s="316"/>
      <c r="S626" s="355"/>
      <c r="U626" s="111"/>
    </row>
    <row r="627" spans="2:21" s="30" customFormat="1" x14ac:dyDescent="0.25">
      <c r="B627" s="27"/>
      <c r="D627" s="81"/>
      <c r="E627" s="45"/>
      <c r="F627" s="524"/>
      <c r="G627" s="49"/>
      <c r="H627" s="45"/>
      <c r="I627" s="314"/>
      <c r="J627" s="44"/>
      <c r="K627" s="311"/>
      <c r="L627" s="225"/>
      <c r="M627" s="380"/>
      <c r="N627" s="45"/>
      <c r="O627" s="311"/>
      <c r="P627" s="149"/>
      <c r="Q627" s="293"/>
      <c r="R627" s="316"/>
      <c r="S627" s="355"/>
      <c r="U627" s="111"/>
    </row>
    <row r="628" spans="2:21" s="30" customFormat="1" x14ac:dyDescent="0.25">
      <c r="B628" s="27"/>
      <c r="D628" s="81"/>
      <c r="E628" s="45"/>
      <c r="F628" s="524"/>
      <c r="G628" s="49"/>
      <c r="H628" s="45"/>
      <c r="I628" s="314"/>
      <c r="J628" s="44"/>
      <c r="K628" s="311"/>
      <c r="L628" s="225"/>
      <c r="M628" s="380"/>
      <c r="N628" s="45"/>
      <c r="O628" s="311"/>
      <c r="P628" s="149"/>
      <c r="Q628" s="293"/>
      <c r="R628" s="316"/>
      <c r="S628" s="355"/>
      <c r="U628" s="111"/>
    </row>
    <row r="629" spans="2:21" s="30" customFormat="1" x14ac:dyDescent="0.25">
      <c r="B629" s="27"/>
      <c r="D629" s="81"/>
      <c r="E629" s="45"/>
      <c r="F629" s="524"/>
      <c r="G629" s="49"/>
      <c r="H629" s="45"/>
      <c r="I629" s="314"/>
      <c r="J629" s="44"/>
      <c r="K629" s="311"/>
      <c r="L629" s="225"/>
      <c r="M629" s="380"/>
      <c r="N629" s="45"/>
      <c r="O629" s="311"/>
      <c r="P629" s="149"/>
      <c r="Q629" s="293"/>
      <c r="R629" s="316"/>
      <c r="S629" s="355"/>
      <c r="U629" s="111"/>
    </row>
    <row r="630" spans="2:21" s="30" customFormat="1" x14ac:dyDescent="0.25">
      <c r="B630" s="27"/>
      <c r="D630" s="81"/>
      <c r="E630" s="45"/>
      <c r="F630" s="524"/>
      <c r="G630" s="49"/>
      <c r="H630" s="45"/>
      <c r="I630" s="314"/>
      <c r="J630" s="44"/>
      <c r="K630" s="311"/>
      <c r="L630" s="225"/>
      <c r="M630" s="380"/>
      <c r="N630" s="45"/>
      <c r="O630" s="311"/>
      <c r="P630" s="149"/>
      <c r="Q630" s="293"/>
      <c r="R630" s="316"/>
      <c r="S630" s="355"/>
      <c r="U630" s="111"/>
    </row>
    <row r="631" spans="2:21" s="30" customFormat="1" x14ac:dyDescent="0.25">
      <c r="B631" s="27"/>
      <c r="D631" s="81"/>
      <c r="E631" s="45"/>
      <c r="F631" s="524"/>
      <c r="G631" s="49"/>
      <c r="H631" s="45"/>
      <c r="I631" s="314"/>
      <c r="J631" s="44"/>
      <c r="K631" s="311"/>
      <c r="L631" s="225"/>
      <c r="M631" s="380"/>
      <c r="N631" s="45"/>
      <c r="O631" s="311"/>
      <c r="P631" s="149"/>
      <c r="Q631" s="293"/>
      <c r="R631" s="316"/>
      <c r="S631" s="355"/>
      <c r="U631" s="111"/>
    </row>
    <row r="632" spans="2:21" s="30" customFormat="1" x14ac:dyDescent="0.25">
      <c r="B632" s="27"/>
      <c r="D632" s="81"/>
      <c r="E632" s="45"/>
      <c r="F632" s="524"/>
      <c r="G632" s="49"/>
      <c r="H632" s="45"/>
      <c r="I632" s="314"/>
      <c r="J632" s="44"/>
      <c r="K632" s="311"/>
      <c r="L632" s="225"/>
      <c r="M632" s="380"/>
      <c r="N632" s="45"/>
      <c r="O632" s="311"/>
      <c r="P632" s="149"/>
      <c r="Q632" s="293"/>
      <c r="R632" s="316"/>
      <c r="S632" s="355"/>
      <c r="U632" s="111"/>
    </row>
    <row r="633" spans="2:21" s="30" customFormat="1" x14ac:dyDescent="0.25">
      <c r="B633" s="27"/>
      <c r="D633" s="81"/>
      <c r="E633" s="45"/>
      <c r="F633" s="524"/>
      <c r="G633" s="49"/>
      <c r="H633" s="45"/>
      <c r="I633" s="314"/>
      <c r="J633" s="44"/>
      <c r="K633" s="311"/>
      <c r="L633" s="225"/>
      <c r="M633" s="380"/>
      <c r="N633" s="45"/>
      <c r="O633" s="311"/>
      <c r="P633" s="149"/>
      <c r="Q633" s="293"/>
      <c r="R633" s="316"/>
      <c r="S633" s="355"/>
      <c r="U633" s="111"/>
    </row>
    <row r="634" spans="2:21" s="30" customFormat="1" x14ac:dyDescent="0.25">
      <c r="B634" s="27"/>
      <c r="D634" s="81"/>
      <c r="E634" s="45"/>
      <c r="F634" s="524"/>
      <c r="G634" s="49"/>
      <c r="H634" s="45"/>
      <c r="I634" s="314"/>
      <c r="J634" s="44"/>
      <c r="K634" s="311"/>
      <c r="L634" s="225"/>
      <c r="M634" s="380"/>
      <c r="N634" s="45"/>
      <c r="O634" s="311"/>
      <c r="P634" s="149"/>
      <c r="Q634" s="293"/>
      <c r="R634" s="316"/>
      <c r="S634" s="355"/>
      <c r="U634" s="111"/>
    </row>
    <row r="635" spans="2:21" s="30" customFormat="1" x14ac:dyDescent="0.25">
      <c r="B635" s="27"/>
      <c r="D635" s="81"/>
      <c r="E635" s="45"/>
      <c r="F635" s="524"/>
      <c r="G635" s="49"/>
      <c r="H635" s="45"/>
      <c r="I635" s="314"/>
      <c r="J635" s="44"/>
      <c r="K635" s="311"/>
      <c r="L635" s="225"/>
      <c r="M635" s="380"/>
      <c r="N635" s="45"/>
      <c r="O635" s="311"/>
      <c r="P635" s="149"/>
      <c r="Q635" s="293"/>
      <c r="R635" s="316"/>
      <c r="S635" s="355"/>
      <c r="U635" s="111"/>
    </row>
    <row r="636" spans="2:21" s="30" customFormat="1" x14ac:dyDescent="0.25">
      <c r="B636" s="27"/>
      <c r="D636" s="81"/>
      <c r="E636" s="45"/>
      <c r="F636" s="524"/>
      <c r="G636" s="49"/>
      <c r="H636" s="45"/>
      <c r="I636" s="314"/>
      <c r="J636" s="44"/>
      <c r="K636" s="311"/>
      <c r="L636" s="225"/>
      <c r="M636" s="380"/>
      <c r="N636" s="45"/>
      <c r="O636" s="311"/>
      <c r="P636" s="149"/>
      <c r="Q636" s="293"/>
      <c r="R636" s="316"/>
      <c r="S636" s="355"/>
      <c r="U636" s="111"/>
    </row>
    <row r="637" spans="2:21" s="30" customFormat="1" x14ac:dyDescent="0.25">
      <c r="B637" s="27"/>
      <c r="D637" s="81"/>
      <c r="E637" s="45"/>
      <c r="F637" s="524"/>
      <c r="G637" s="49"/>
      <c r="H637" s="45"/>
      <c r="I637" s="314"/>
      <c r="J637" s="44"/>
      <c r="K637" s="311"/>
      <c r="L637" s="225"/>
      <c r="M637" s="380"/>
      <c r="N637" s="45"/>
      <c r="O637" s="311"/>
      <c r="P637" s="149"/>
      <c r="Q637" s="293"/>
      <c r="R637" s="316"/>
      <c r="S637" s="355"/>
      <c r="U637" s="111"/>
    </row>
    <row r="638" spans="2:21" s="30" customFormat="1" x14ac:dyDescent="0.25">
      <c r="B638" s="27"/>
      <c r="D638" s="81"/>
      <c r="E638" s="45"/>
      <c r="F638" s="524"/>
      <c r="G638" s="49"/>
      <c r="H638" s="45"/>
      <c r="I638" s="314"/>
      <c r="J638" s="44"/>
      <c r="K638" s="311"/>
      <c r="L638" s="225"/>
      <c r="M638" s="380"/>
      <c r="N638" s="45"/>
      <c r="O638" s="311"/>
      <c r="P638" s="149"/>
      <c r="Q638" s="293"/>
      <c r="R638" s="316"/>
      <c r="S638" s="355"/>
      <c r="U638" s="111"/>
    </row>
    <row r="639" spans="2:21" s="30" customFormat="1" x14ac:dyDescent="0.25">
      <c r="B639" s="27"/>
      <c r="D639" s="81"/>
      <c r="E639" s="45"/>
      <c r="F639" s="524"/>
      <c r="G639" s="49"/>
      <c r="H639" s="45"/>
      <c r="I639" s="314"/>
      <c r="J639" s="44"/>
      <c r="K639" s="311"/>
      <c r="L639" s="225"/>
      <c r="M639" s="380"/>
      <c r="N639" s="45"/>
      <c r="O639" s="311"/>
      <c r="P639" s="149"/>
      <c r="Q639" s="293"/>
      <c r="R639" s="316"/>
      <c r="S639" s="355"/>
      <c r="U639" s="111"/>
    </row>
    <row r="640" spans="2:21" s="30" customFormat="1" x14ac:dyDescent="0.25">
      <c r="B640" s="27"/>
      <c r="D640" s="81"/>
      <c r="E640" s="45"/>
      <c r="F640" s="524"/>
      <c r="G640" s="49"/>
      <c r="H640" s="45"/>
      <c r="I640" s="314"/>
      <c r="J640" s="44"/>
      <c r="K640" s="311"/>
      <c r="L640" s="225"/>
      <c r="M640" s="380"/>
      <c r="N640" s="45"/>
      <c r="O640" s="311"/>
      <c r="P640" s="149"/>
      <c r="Q640" s="293"/>
      <c r="R640" s="316"/>
      <c r="S640" s="355"/>
      <c r="U640" s="111"/>
    </row>
    <row r="641" spans="2:21" s="30" customFormat="1" x14ac:dyDescent="0.25">
      <c r="B641" s="27"/>
      <c r="D641" s="81"/>
      <c r="E641" s="45"/>
      <c r="F641" s="524"/>
      <c r="G641" s="49"/>
      <c r="H641" s="45"/>
      <c r="I641" s="314"/>
      <c r="J641" s="44"/>
      <c r="K641" s="311"/>
      <c r="L641" s="225"/>
      <c r="M641" s="380"/>
      <c r="N641" s="45"/>
      <c r="O641" s="311"/>
      <c r="P641" s="149"/>
      <c r="Q641" s="293"/>
      <c r="R641" s="316"/>
      <c r="S641" s="355"/>
      <c r="U641" s="111"/>
    </row>
    <row r="642" spans="2:21" s="30" customFormat="1" x14ac:dyDescent="0.25">
      <c r="B642" s="27"/>
      <c r="D642" s="81"/>
      <c r="E642" s="45"/>
      <c r="F642" s="524"/>
      <c r="G642" s="49"/>
      <c r="H642" s="45"/>
      <c r="I642" s="314"/>
      <c r="J642" s="44"/>
      <c r="K642" s="311"/>
      <c r="L642" s="225"/>
      <c r="M642" s="380"/>
      <c r="N642" s="45"/>
      <c r="O642" s="311"/>
      <c r="P642" s="149"/>
      <c r="Q642" s="293"/>
      <c r="R642" s="316"/>
      <c r="S642" s="355"/>
      <c r="U642" s="111"/>
    </row>
    <row r="643" spans="2:21" s="30" customFormat="1" x14ac:dyDescent="0.25">
      <c r="B643" s="27"/>
      <c r="D643" s="81"/>
      <c r="E643" s="45"/>
      <c r="F643" s="524"/>
      <c r="G643" s="49"/>
      <c r="H643" s="45"/>
      <c r="I643" s="314"/>
      <c r="J643" s="44"/>
      <c r="K643" s="311"/>
      <c r="L643" s="225"/>
      <c r="M643" s="380"/>
      <c r="N643" s="45"/>
      <c r="O643" s="311"/>
      <c r="P643" s="149"/>
      <c r="Q643" s="293"/>
      <c r="R643" s="316"/>
      <c r="S643" s="355"/>
      <c r="U643" s="111"/>
    </row>
    <row r="644" spans="2:21" s="30" customFormat="1" x14ac:dyDescent="0.25">
      <c r="B644" s="27"/>
      <c r="D644" s="81"/>
      <c r="E644" s="45"/>
      <c r="F644" s="524"/>
      <c r="G644" s="49"/>
      <c r="H644" s="45"/>
      <c r="I644" s="314"/>
      <c r="J644" s="44"/>
      <c r="K644" s="311"/>
      <c r="L644" s="225"/>
      <c r="M644" s="380"/>
      <c r="N644" s="45"/>
      <c r="O644" s="311"/>
      <c r="P644" s="149"/>
      <c r="Q644" s="293"/>
      <c r="R644" s="316"/>
      <c r="S644" s="355"/>
      <c r="U644" s="111"/>
    </row>
    <row r="645" spans="2:21" s="30" customFormat="1" x14ac:dyDescent="0.25">
      <c r="B645" s="27"/>
      <c r="D645" s="81"/>
      <c r="E645" s="45"/>
      <c r="F645" s="524"/>
      <c r="G645" s="49"/>
      <c r="H645" s="45"/>
      <c r="I645" s="314"/>
      <c r="J645" s="44"/>
      <c r="K645" s="311"/>
      <c r="L645" s="225"/>
      <c r="M645" s="380"/>
      <c r="N645" s="45"/>
      <c r="O645" s="311"/>
      <c r="P645" s="149"/>
      <c r="Q645" s="293"/>
      <c r="R645" s="316"/>
      <c r="S645" s="355"/>
      <c r="U645" s="111"/>
    </row>
    <row r="646" spans="2:21" s="30" customFormat="1" x14ac:dyDescent="0.25">
      <c r="B646" s="27"/>
      <c r="D646" s="81"/>
      <c r="E646" s="45"/>
      <c r="F646" s="524"/>
      <c r="G646" s="49"/>
      <c r="H646" s="45"/>
      <c r="I646" s="314"/>
      <c r="J646" s="44"/>
      <c r="K646" s="311"/>
      <c r="L646" s="225"/>
      <c r="M646" s="380"/>
      <c r="N646" s="45"/>
      <c r="O646" s="311"/>
      <c r="P646" s="149"/>
      <c r="Q646" s="293"/>
      <c r="R646" s="316"/>
      <c r="S646" s="355"/>
      <c r="U646" s="111"/>
    </row>
    <row r="647" spans="2:21" s="30" customFormat="1" x14ac:dyDescent="0.25">
      <c r="B647" s="27"/>
      <c r="D647" s="81"/>
      <c r="E647" s="45"/>
      <c r="F647" s="524"/>
      <c r="G647" s="49"/>
      <c r="H647" s="45"/>
      <c r="I647" s="314"/>
      <c r="J647" s="44"/>
      <c r="K647" s="311"/>
      <c r="L647" s="225"/>
      <c r="M647" s="380"/>
      <c r="N647" s="45"/>
      <c r="O647" s="311"/>
      <c r="P647" s="149"/>
      <c r="Q647" s="293"/>
      <c r="R647" s="316"/>
      <c r="S647" s="355"/>
      <c r="U647" s="111"/>
    </row>
    <row r="648" spans="2:21" s="30" customFormat="1" x14ac:dyDescent="0.25">
      <c r="B648" s="27"/>
      <c r="D648" s="81"/>
      <c r="E648" s="45"/>
      <c r="F648" s="524"/>
      <c r="G648" s="49"/>
      <c r="H648" s="45"/>
      <c r="I648" s="314"/>
      <c r="J648" s="44"/>
      <c r="K648" s="311"/>
      <c r="L648" s="225"/>
      <c r="M648" s="380"/>
      <c r="N648" s="45"/>
      <c r="O648" s="311"/>
      <c r="P648" s="149"/>
      <c r="Q648" s="293"/>
      <c r="R648" s="316"/>
      <c r="S648" s="355"/>
      <c r="U648" s="111"/>
    </row>
    <row r="649" spans="2:21" s="30" customFormat="1" x14ac:dyDescent="0.25">
      <c r="B649" s="27"/>
      <c r="D649" s="81"/>
      <c r="E649" s="45"/>
      <c r="F649" s="524"/>
      <c r="G649" s="49"/>
      <c r="H649" s="45"/>
      <c r="I649" s="314"/>
      <c r="J649" s="44"/>
      <c r="K649" s="311"/>
      <c r="L649" s="225"/>
      <c r="M649" s="380"/>
      <c r="N649" s="45"/>
      <c r="O649" s="311"/>
      <c r="P649" s="149"/>
      <c r="Q649" s="293"/>
      <c r="R649" s="316"/>
      <c r="S649" s="355"/>
      <c r="U649" s="111"/>
    </row>
    <row r="650" spans="2:21" s="30" customFormat="1" x14ac:dyDescent="0.25">
      <c r="B650" s="27"/>
      <c r="D650" s="81"/>
      <c r="E650" s="45"/>
      <c r="F650" s="524"/>
      <c r="G650" s="49"/>
      <c r="H650" s="45"/>
      <c r="I650" s="314"/>
      <c r="J650" s="44"/>
      <c r="K650" s="311"/>
      <c r="L650" s="225"/>
      <c r="M650" s="380"/>
      <c r="N650" s="45"/>
      <c r="O650" s="311"/>
      <c r="P650" s="149"/>
      <c r="Q650" s="293"/>
      <c r="R650" s="316"/>
      <c r="S650" s="355"/>
      <c r="U650" s="111"/>
    </row>
    <row r="651" spans="2:21" s="30" customFormat="1" x14ac:dyDescent="0.25">
      <c r="B651" s="27"/>
      <c r="D651" s="81"/>
      <c r="E651" s="45"/>
      <c r="F651" s="524"/>
      <c r="G651" s="49"/>
      <c r="H651" s="45"/>
      <c r="I651" s="314"/>
      <c r="J651" s="44"/>
      <c r="K651" s="311"/>
      <c r="L651" s="225"/>
      <c r="M651" s="380"/>
      <c r="N651" s="45"/>
      <c r="O651" s="311"/>
      <c r="P651" s="149"/>
      <c r="Q651" s="293"/>
      <c r="R651" s="316"/>
      <c r="S651" s="355"/>
      <c r="U651" s="111"/>
    </row>
    <row r="652" spans="2:21" s="30" customFormat="1" x14ac:dyDescent="0.25">
      <c r="B652" s="27"/>
      <c r="D652" s="81"/>
      <c r="E652" s="45"/>
      <c r="F652" s="524"/>
      <c r="G652" s="49"/>
      <c r="H652" s="45"/>
      <c r="I652" s="314"/>
      <c r="J652" s="44"/>
      <c r="K652" s="311"/>
      <c r="L652" s="225"/>
      <c r="M652" s="380"/>
      <c r="N652" s="45"/>
      <c r="O652" s="311"/>
      <c r="P652" s="149"/>
      <c r="Q652" s="293"/>
      <c r="R652" s="316"/>
      <c r="S652" s="355"/>
      <c r="U652" s="111"/>
    </row>
    <row r="653" spans="2:21" s="30" customFormat="1" x14ac:dyDescent="0.25">
      <c r="B653" s="27"/>
      <c r="D653" s="81"/>
      <c r="E653" s="45"/>
      <c r="F653" s="524"/>
      <c r="G653" s="49"/>
      <c r="H653" s="45"/>
      <c r="I653" s="314"/>
      <c r="J653" s="44"/>
      <c r="K653" s="311"/>
      <c r="L653" s="225"/>
      <c r="M653" s="380"/>
      <c r="N653" s="45"/>
      <c r="O653" s="311"/>
      <c r="P653" s="149"/>
      <c r="Q653" s="293"/>
      <c r="R653" s="316"/>
      <c r="S653" s="355"/>
      <c r="U653" s="111"/>
    </row>
    <row r="654" spans="2:21" s="30" customFormat="1" x14ac:dyDescent="0.25">
      <c r="B654" s="27"/>
      <c r="D654" s="81"/>
      <c r="E654" s="45"/>
      <c r="F654" s="524"/>
      <c r="G654" s="49"/>
      <c r="H654" s="45"/>
      <c r="I654" s="314"/>
      <c r="J654" s="44"/>
      <c r="K654" s="311"/>
      <c r="L654" s="225"/>
      <c r="M654" s="380"/>
      <c r="N654" s="45"/>
      <c r="O654" s="311"/>
      <c r="P654" s="149"/>
      <c r="Q654" s="293"/>
      <c r="R654" s="316"/>
      <c r="S654" s="355"/>
      <c r="U654" s="111"/>
    </row>
    <row r="655" spans="2:21" s="30" customFormat="1" x14ac:dyDescent="0.25">
      <c r="B655" s="27"/>
      <c r="D655" s="81"/>
      <c r="E655" s="45"/>
      <c r="F655" s="524"/>
      <c r="G655" s="49"/>
      <c r="H655" s="45"/>
      <c r="I655" s="314"/>
      <c r="J655" s="44"/>
      <c r="K655" s="311"/>
      <c r="L655" s="225"/>
      <c r="M655" s="380"/>
      <c r="N655" s="45"/>
      <c r="O655" s="311"/>
      <c r="P655" s="149"/>
      <c r="Q655" s="293"/>
      <c r="R655" s="316"/>
      <c r="S655" s="355"/>
      <c r="U655" s="111"/>
    </row>
    <row r="656" spans="2:21" s="30" customFormat="1" x14ac:dyDescent="0.25">
      <c r="B656" s="27"/>
      <c r="D656" s="81"/>
      <c r="E656" s="45"/>
      <c r="F656" s="524"/>
      <c r="G656" s="49"/>
      <c r="H656" s="45"/>
      <c r="I656" s="314"/>
      <c r="J656" s="44"/>
      <c r="K656" s="311"/>
      <c r="L656" s="225"/>
      <c r="M656" s="380"/>
      <c r="N656" s="45"/>
      <c r="O656" s="311"/>
      <c r="P656" s="149"/>
      <c r="Q656" s="293"/>
      <c r="R656" s="316"/>
      <c r="S656" s="355"/>
      <c r="U656" s="111"/>
    </row>
    <row r="657" spans="2:21" s="30" customFormat="1" x14ac:dyDescent="0.25">
      <c r="B657" s="27"/>
      <c r="D657" s="81"/>
      <c r="E657" s="45"/>
      <c r="F657" s="524"/>
      <c r="G657" s="49"/>
      <c r="H657" s="45"/>
      <c r="I657" s="314"/>
      <c r="J657" s="44"/>
      <c r="K657" s="311"/>
      <c r="L657" s="225"/>
      <c r="M657" s="380"/>
      <c r="N657" s="45"/>
      <c r="O657" s="311"/>
      <c r="P657" s="149"/>
      <c r="Q657" s="293"/>
      <c r="R657" s="316"/>
      <c r="S657" s="355"/>
      <c r="U657" s="111"/>
    </row>
    <row r="658" spans="2:21" s="30" customFormat="1" x14ac:dyDescent="0.25">
      <c r="B658" s="27"/>
      <c r="D658" s="81"/>
      <c r="E658" s="45"/>
      <c r="F658" s="524"/>
      <c r="G658" s="49"/>
      <c r="H658" s="45"/>
      <c r="I658" s="314"/>
      <c r="J658" s="44"/>
      <c r="K658" s="311"/>
      <c r="L658" s="225"/>
      <c r="M658" s="380"/>
      <c r="N658" s="45"/>
      <c r="O658" s="311"/>
      <c r="P658" s="149"/>
      <c r="Q658" s="293"/>
      <c r="R658" s="316"/>
      <c r="S658" s="355"/>
      <c r="U658" s="111"/>
    </row>
    <row r="659" spans="2:21" s="30" customFormat="1" x14ac:dyDescent="0.25">
      <c r="B659" s="27"/>
      <c r="D659" s="81"/>
      <c r="E659" s="45"/>
      <c r="F659" s="524"/>
      <c r="G659" s="49"/>
      <c r="H659" s="45"/>
      <c r="I659" s="314"/>
      <c r="J659" s="44"/>
      <c r="K659" s="311"/>
      <c r="L659" s="225"/>
      <c r="M659" s="380"/>
      <c r="N659" s="45"/>
      <c r="O659" s="311"/>
      <c r="P659" s="149"/>
      <c r="Q659" s="293"/>
      <c r="R659" s="316"/>
      <c r="S659" s="355"/>
      <c r="U659" s="111"/>
    </row>
    <row r="660" spans="2:21" s="30" customFormat="1" x14ac:dyDescent="0.25">
      <c r="B660" s="27"/>
      <c r="D660" s="81"/>
      <c r="E660" s="45"/>
      <c r="F660" s="524"/>
      <c r="G660" s="49"/>
      <c r="H660" s="45"/>
      <c r="I660" s="314"/>
      <c r="J660" s="44"/>
      <c r="K660" s="311"/>
      <c r="L660" s="225"/>
      <c r="M660" s="380"/>
      <c r="N660" s="45"/>
      <c r="O660" s="311"/>
      <c r="P660" s="149"/>
      <c r="Q660" s="293"/>
      <c r="R660" s="316"/>
      <c r="S660" s="355"/>
      <c r="U660" s="111"/>
    </row>
    <row r="661" spans="2:21" s="30" customFormat="1" x14ac:dyDescent="0.25">
      <c r="B661" s="27"/>
      <c r="D661" s="81"/>
      <c r="E661" s="45"/>
      <c r="F661" s="524"/>
      <c r="G661" s="49"/>
      <c r="H661" s="45"/>
      <c r="I661" s="314"/>
      <c r="J661" s="44"/>
      <c r="K661" s="311"/>
      <c r="L661" s="225"/>
      <c r="M661" s="380"/>
      <c r="N661" s="45"/>
      <c r="O661" s="311"/>
      <c r="P661" s="149"/>
      <c r="Q661" s="293"/>
      <c r="R661" s="316"/>
      <c r="S661" s="355"/>
      <c r="U661" s="111"/>
    </row>
    <row r="662" spans="2:21" s="30" customFormat="1" x14ac:dyDescent="0.25">
      <c r="B662" s="27"/>
      <c r="D662" s="81"/>
      <c r="E662" s="45"/>
      <c r="F662" s="524"/>
      <c r="G662" s="49"/>
      <c r="H662" s="45"/>
      <c r="I662" s="314"/>
      <c r="J662" s="44"/>
      <c r="K662" s="311"/>
      <c r="L662" s="225"/>
      <c r="M662" s="380"/>
      <c r="N662" s="45"/>
      <c r="O662" s="311"/>
      <c r="P662" s="149"/>
      <c r="Q662" s="293"/>
      <c r="R662" s="316"/>
      <c r="S662" s="355"/>
      <c r="U662" s="111"/>
    </row>
    <row r="663" spans="2:21" s="30" customFormat="1" x14ac:dyDescent="0.25">
      <c r="B663" s="27"/>
      <c r="D663" s="81"/>
      <c r="E663" s="45"/>
      <c r="F663" s="524"/>
      <c r="G663" s="49"/>
      <c r="H663" s="45"/>
      <c r="I663" s="314"/>
      <c r="J663" s="44"/>
      <c r="K663" s="311"/>
      <c r="L663" s="225"/>
      <c r="M663" s="380"/>
      <c r="N663" s="45"/>
      <c r="O663" s="311"/>
      <c r="P663" s="149"/>
      <c r="Q663" s="293"/>
      <c r="R663" s="316"/>
      <c r="S663" s="355"/>
      <c r="U663" s="111"/>
    </row>
    <row r="664" spans="2:21" s="30" customFormat="1" x14ac:dyDescent="0.25">
      <c r="B664" s="27"/>
      <c r="D664" s="81"/>
      <c r="E664" s="45"/>
      <c r="F664" s="524"/>
      <c r="G664" s="49"/>
      <c r="H664" s="45"/>
      <c r="I664" s="314"/>
      <c r="J664" s="44"/>
      <c r="K664" s="311"/>
      <c r="L664" s="225"/>
      <c r="M664" s="380"/>
      <c r="N664" s="45"/>
      <c r="O664" s="311"/>
      <c r="P664" s="149"/>
      <c r="Q664" s="293"/>
      <c r="R664" s="316"/>
      <c r="S664" s="355"/>
      <c r="U664" s="111"/>
    </row>
    <row r="665" spans="2:21" s="30" customFormat="1" x14ac:dyDescent="0.25">
      <c r="B665" s="27"/>
      <c r="D665" s="81"/>
      <c r="E665" s="45"/>
      <c r="F665" s="524"/>
      <c r="G665" s="49"/>
      <c r="H665" s="45"/>
      <c r="I665" s="314"/>
      <c r="J665" s="44"/>
      <c r="K665" s="311"/>
      <c r="L665" s="225"/>
      <c r="M665" s="380"/>
      <c r="N665" s="45"/>
      <c r="O665" s="311"/>
      <c r="P665" s="149"/>
      <c r="Q665" s="293"/>
      <c r="R665" s="316"/>
      <c r="S665" s="355"/>
      <c r="U665" s="111"/>
    </row>
    <row r="666" spans="2:21" s="30" customFormat="1" x14ac:dyDescent="0.25">
      <c r="B666" s="27"/>
      <c r="D666" s="81"/>
      <c r="E666" s="45"/>
      <c r="F666" s="524"/>
      <c r="G666" s="49"/>
      <c r="H666" s="45"/>
      <c r="I666" s="314"/>
      <c r="J666" s="44"/>
      <c r="K666" s="311"/>
      <c r="L666" s="225"/>
      <c r="M666" s="380"/>
      <c r="N666" s="45"/>
      <c r="O666" s="311"/>
      <c r="P666" s="149"/>
      <c r="Q666" s="293"/>
      <c r="R666" s="316"/>
      <c r="S666" s="355"/>
      <c r="U666" s="111"/>
    </row>
    <row r="667" spans="2:21" s="30" customFormat="1" x14ac:dyDescent="0.25">
      <c r="B667" s="27"/>
      <c r="D667" s="81"/>
      <c r="E667" s="45"/>
      <c r="F667" s="524"/>
      <c r="G667" s="49"/>
      <c r="H667" s="45"/>
      <c r="I667" s="314"/>
      <c r="J667" s="44"/>
      <c r="K667" s="311"/>
      <c r="L667" s="225"/>
      <c r="M667" s="380"/>
      <c r="N667" s="45"/>
      <c r="O667" s="311"/>
      <c r="P667" s="149"/>
      <c r="Q667" s="293"/>
      <c r="R667" s="316"/>
      <c r="S667" s="355"/>
      <c r="U667" s="111"/>
    </row>
    <row r="668" spans="2:21" s="30" customFormat="1" x14ac:dyDescent="0.25">
      <c r="B668" s="27"/>
      <c r="D668" s="81"/>
      <c r="E668" s="45"/>
      <c r="F668" s="524"/>
      <c r="G668" s="49"/>
      <c r="H668" s="45"/>
      <c r="I668" s="314"/>
      <c r="J668" s="44"/>
      <c r="K668" s="311"/>
      <c r="L668" s="225"/>
      <c r="M668" s="380"/>
      <c r="N668" s="45"/>
      <c r="O668" s="311"/>
      <c r="P668" s="149"/>
      <c r="Q668" s="293"/>
      <c r="R668" s="316"/>
      <c r="S668" s="355"/>
      <c r="U668" s="111"/>
    </row>
    <row r="669" spans="2:21" s="30" customFormat="1" x14ac:dyDescent="0.25">
      <c r="B669" s="27"/>
      <c r="D669" s="81"/>
      <c r="E669" s="45"/>
      <c r="F669" s="524"/>
      <c r="G669" s="49"/>
      <c r="H669" s="45"/>
      <c r="I669" s="314"/>
      <c r="J669" s="44"/>
      <c r="K669" s="311"/>
      <c r="L669" s="225"/>
      <c r="M669" s="380"/>
      <c r="N669" s="45"/>
      <c r="O669" s="311"/>
      <c r="P669" s="149"/>
      <c r="Q669" s="293"/>
      <c r="R669" s="316"/>
      <c r="S669" s="355"/>
      <c r="U669" s="111"/>
    </row>
    <row r="670" spans="2:21" s="30" customFormat="1" x14ac:dyDescent="0.25">
      <c r="B670" s="27"/>
      <c r="D670" s="81"/>
      <c r="E670" s="45"/>
      <c r="F670" s="524"/>
      <c r="G670" s="49"/>
      <c r="H670" s="45"/>
      <c r="I670" s="314"/>
      <c r="J670" s="44"/>
      <c r="K670" s="311"/>
      <c r="L670" s="225"/>
      <c r="M670" s="380"/>
      <c r="N670" s="45"/>
      <c r="O670" s="311"/>
      <c r="P670" s="149"/>
      <c r="Q670" s="293"/>
      <c r="R670" s="316"/>
      <c r="S670" s="355"/>
      <c r="U670" s="111"/>
    </row>
    <row r="671" spans="2:21" s="30" customFormat="1" x14ac:dyDescent="0.25">
      <c r="B671" s="27"/>
      <c r="D671" s="81"/>
      <c r="E671" s="45"/>
      <c r="F671" s="524"/>
      <c r="G671" s="49"/>
      <c r="H671" s="45"/>
      <c r="I671" s="314"/>
      <c r="J671" s="44"/>
      <c r="K671" s="311"/>
      <c r="L671" s="225"/>
      <c r="M671" s="380"/>
      <c r="N671" s="45"/>
      <c r="O671" s="311"/>
      <c r="P671" s="149"/>
      <c r="Q671" s="293"/>
      <c r="R671" s="316"/>
      <c r="S671" s="355"/>
      <c r="U671" s="111"/>
    </row>
    <row r="672" spans="2:21" s="30" customFormat="1" x14ac:dyDescent="0.25">
      <c r="B672" s="27"/>
      <c r="D672" s="81"/>
      <c r="E672" s="45"/>
      <c r="F672" s="524"/>
      <c r="G672" s="49"/>
      <c r="H672" s="45"/>
      <c r="I672" s="314"/>
      <c r="J672" s="44"/>
      <c r="K672" s="311"/>
      <c r="L672" s="225"/>
      <c r="M672" s="380"/>
      <c r="N672" s="45"/>
      <c r="O672" s="311"/>
      <c r="P672" s="149"/>
      <c r="Q672" s="293"/>
      <c r="R672" s="316"/>
      <c r="S672" s="355"/>
      <c r="U672" s="111"/>
    </row>
    <row r="673" spans="2:21" s="30" customFormat="1" x14ac:dyDescent="0.25">
      <c r="B673" s="27"/>
      <c r="D673" s="81"/>
      <c r="E673" s="45"/>
      <c r="F673" s="524"/>
      <c r="G673" s="49"/>
      <c r="H673" s="45"/>
      <c r="I673" s="314"/>
      <c r="J673" s="44"/>
      <c r="K673" s="311"/>
      <c r="L673" s="225"/>
      <c r="M673" s="380"/>
      <c r="N673" s="45"/>
      <c r="O673" s="311"/>
      <c r="P673" s="149"/>
      <c r="Q673" s="293"/>
      <c r="R673" s="316"/>
      <c r="S673" s="355"/>
      <c r="U673" s="111"/>
    </row>
    <row r="674" spans="2:21" s="30" customFormat="1" x14ac:dyDescent="0.25">
      <c r="B674" s="27"/>
      <c r="D674" s="81"/>
      <c r="E674" s="45"/>
      <c r="F674" s="524"/>
      <c r="G674" s="49"/>
      <c r="H674" s="45"/>
      <c r="I674" s="314"/>
      <c r="J674" s="44"/>
      <c r="K674" s="311"/>
      <c r="L674" s="225"/>
      <c r="M674" s="380"/>
      <c r="N674" s="45"/>
      <c r="O674" s="311"/>
      <c r="P674" s="149"/>
      <c r="Q674" s="293"/>
      <c r="R674" s="316"/>
      <c r="S674" s="355"/>
      <c r="U674" s="111"/>
    </row>
    <row r="675" spans="2:21" s="30" customFormat="1" x14ac:dyDescent="0.25">
      <c r="B675" s="27"/>
      <c r="D675" s="81"/>
      <c r="E675" s="45"/>
      <c r="F675" s="524"/>
      <c r="G675" s="49"/>
      <c r="H675" s="45"/>
      <c r="I675" s="314"/>
      <c r="J675" s="44"/>
      <c r="K675" s="311"/>
      <c r="L675" s="225"/>
      <c r="M675" s="380"/>
      <c r="N675" s="45"/>
      <c r="O675" s="311"/>
      <c r="P675" s="149"/>
      <c r="Q675" s="293"/>
      <c r="R675" s="316"/>
      <c r="S675" s="355"/>
      <c r="U675" s="111"/>
    </row>
    <row r="676" spans="2:21" s="30" customFormat="1" x14ac:dyDescent="0.25">
      <c r="B676" s="27"/>
      <c r="D676" s="81"/>
      <c r="E676" s="45"/>
      <c r="F676" s="524"/>
      <c r="G676" s="49"/>
      <c r="H676" s="45"/>
      <c r="I676" s="314"/>
      <c r="J676" s="44"/>
      <c r="K676" s="311"/>
      <c r="L676" s="225"/>
      <c r="M676" s="380"/>
      <c r="N676" s="45"/>
      <c r="O676" s="311"/>
      <c r="P676" s="149"/>
      <c r="Q676" s="293"/>
      <c r="R676" s="316"/>
      <c r="S676" s="355"/>
      <c r="U676" s="111"/>
    </row>
    <row r="677" spans="2:21" s="30" customFormat="1" x14ac:dyDescent="0.25">
      <c r="B677" s="27"/>
      <c r="D677" s="81"/>
      <c r="E677" s="45"/>
      <c r="F677" s="524"/>
      <c r="G677" s="49"/>
      <c r="H677" s="45"/>
      <c r="I677" s="314"/>
      <c r="J677" s="44"/>
      <c r="K677" s="311"/>
      <c r="L677" s="225"/>
      <c r="M677" s="380"/>
      <c r="N677" s="45"/>
      <c r="O677" s="311"/>
      <c r="P677" s="149"/>
      <c r="Q677" s="293"/>
      <c r="R677" s="316"/>
      <c r="S677" s="355"/>
      <c r="U677" s="111"/>
    </row>
    <row r="678" spans="2:21" s="30" customFormat="1" x14ac:dyDescent="0.25">
      <c r="B678" s="27"/>
      <c r="D678" s="81"/>
      <c r="E678" s="45"/>
      <c r="F678" s="524"/>
      <c r="G678" s="49"/>
      <c r="H678" s="45"/>
      <c r="I678" s="314"/>
      <c r="J678" s="44"/>
      <c r="K678" s="311"/>
      <c r="L678" s="225"/>
      <c r="M678" s="380"/>
      <c r="N678" s="45"/>
      <c r="O678" s="311"/>
      <c r="P678" s="149"/>
      <c r="Q678" s="293"/>
      <c r="R678" s="316"/>
      <c r="S678" s="355"/>
      <c r="U678" s="111"/>
    </row>
    <row r="679" spans="2:21" s="30" customFormat="1" x14ac:dyDescent="0.25">
      <c r="B679" s="27"/>
      <c r="D679" s="81"/>
      <c r="E679" s="45"/>
      <c r="F679" s="524"/>
      <c r="G679" s="49"/>
      <c r="H679" s="45"/>
      <c r="I679" s="314"/>
      <c r="J679" s="44"/>
      <c r="K679" s="311"/>
      <c r="L679" s="225"/>
      <c r="M679" s="380"/>
      <c r="N679" s="45"/>
      <c r="O679" s="311"/>
      <c r="P679" s="149"/>
      <c r="Q679" s="293"/>
      <c r="R679" s="316"/>
      <c r="S679" s="355"/>
      <c r="U679" s="111"/>
    </row>
    <row r="680" spans="2:21" s="30" customFormat="1" x14ac:dyDescent="0.25">
      <c r="B680" s="27"/>
      <c r="D680" s="81"/>
      <c r="E680" s="45"/>
      <c r="F680" s="524"/>
      <c r="G680" s="49"/>
      <c r="H680" s="45"/>
      <c r="I680" s="314"/>
      <c r="J680" s="44"/>
      <c r="K680" s="311"/>
      <c r="L680" s="225"/>
      <c r="M680" s="380"/>
      <c r="N680" s="45"/>
      <c r="O680" s="311"/>
      <c r="P680" s="149"/>
      <c r="Q680" s="293"/>
      <c r="R680" s="316"/>
      <c r="S680" s="355"/>
      <c r="U680" s="111"/>
    </row>
    <row r="681" spans="2:21" s="30" customFormat="1" x14ac:dyDescent="0.25">
      <c r="B681" s="27"/>
      <c r="D681" s="81"/>
      <c r="E681" s="45"/>
      <c r="F681" s="524"/>
      <c r="G681" s="49"/>
      <c r="H681" s="45"/>
      <c r="I681" s="314"/>
      <c r="J681" s="44"/>
      <c r="K681" s="311"/>
      <c r="L681" s="225"/>
      <c r="M681" s="380"/>
      <c r="N681" s="45"/>
      <c r="O681" s="311"/>
      <c r="P681" s="149"/>
      <c r="Q681" s="293"/>
      <c r="R681" s="316"/>
      <c r="S681" s="355"/>
      <c r="U681" s="111"/>
    </row>
    <row r="682" spans="2:21" s="30" customFormat="1" x14ac:dyDescent="0.25">
      <c r="B682" s="27"/>
      <c r="D682" s="81"/>
      <c r="E682" s="45"/>
      <c r="F682" s="524"/>
      <c r="G682" s="49"/>
      <c r="H682" s="45"/>
      <c r="I682" s="314"/>
      <c r="J682" s="44"/>
      <c r="K682" s="311"/>
      <c r="L682" s="225"/>
      <c r="M682" s="380"/>
      <c r="N682" s="45"/>
      <c r="O682" s="311"/>
      <c r="P682" s="149"/>
      <c r="Q682" s="293"/>
      <c r="R682" s="316"/>
      <c r="S682" s="355"/>
      <c r="U682" s="111"/>
    </row>
    <row r="683" spans="2:21" s="30" customFormat="1" x14ac:dyDescent="0.25">
      <c r="B683" s="27"/>
      <c r="D683" s="81"/>
      <c r="E683" s="45"/>
      <c r="F683" s="524"/>
      <c r="G683" s="49"/>
      <c r="H683" s="45"/>
      <c r="I683" s="314"/>
      <c r="J683" s="44"/>
      <c r="K683" s="311"/>
      <c r="L683" s="225"/>
      <c r="M683" s="380"/>
      <c r="N683" s="45"/>
      <c r="O683" s="311"/>
      <c r="P683" s="149"/>
      <c r="Q683" s="293"/>
      <c r="R683" s="316"/>
      <c r="S683" s="355"/>
      <c r="U683" s="111"/>
    </row>
    <row r="684" spans="2:21" s="30" customFormat="1" x14ac:dyDescent="0.25">
      <c r="B684" s="27"/>
      <c r="D684" s="81"/>
      <c r="E684" s="45"/>
      <c r="F684" s="524"/>
      <c r="G684" s="49"/>
      <c r="H684" s="45"/>
      <c r="I684" s="314"/>
      <c r="J684" s="44"/>
      <c r="K684" s="311"/>
      <c r="L684" s="225"/>
      <c r="M684" s="380"/>
      <c r="N684" s="45"/>
      <c r="O684" s="311"/>
      <c r="P684" s="149"/>
      <c r="Q684" s="293"/>
      <c r="R684" s="316"/>
      <c r="S684" s="355"/>
      <c r="U684" s="111"/>
    </row>
    <row r="685" spans="2:21" s="30" customFormat="1" x14ac:dyDescent="0.25">
      <c r="B685" s="27"/>
      <c r="D685" s="81"/>
      <c r="E685" s="45"/>
      <c r="F685" s="524"/>
      <c r="G685" s="49"/>
      <c r="H685" s="45"/>
      <c r="I685" s="314"/>
      <c r="J685" s="44"/>
      <c r="K685" s="311"/>
      <c r="L685" s="225"/>
      <c r="M685" s="380"/>
      <c r="N685" s="45"/>
      <c r="O685" s="311"/>
      <c r="P685" s="149"/>
      <c r="Q685" s="293"/>
      <c r="R685" s="316"/>
      <c r="S685" s="355"/>
      <c r="U685" s="111"/>
    </row>
    <row r="686" spans="2:21" s="30" customFormat="1" x14ac:dyDescent="0.25">
      <c r="B686" s="27"/>
      <c r="D686" s="81"/>
      <c r="E686" s="45"/>
      <c r="F686" s="524"/>
      <c r="G686" s="49"/>
      <c r="H686" s="45"/>
      <c r="I686" s="314"/>
      <c r="J686" s="44"/>
      <c r="K686" s="311"/>
      <c r="L686" s="225"/>
      <c r="M686" s="380"/>
      <c r="N686" s="45"/>
      <c r="O686" s="311"/>
      <c r="P686" s="149"/>
      <c r="Q686" s="293"/>
      <c r="R686" s="316"/>
      <c r="S686" s="355"/>
      <c r="U686" s="111"/>
    </row>
    <row r="687" spans="2:21" s="30" customFormat="1" x14ac:dyDescent="0.25">
      <c r="B687" s="27"/>
      <c r="D687" s="81"/>
      <c r="E687" s="45"/>
      <c r="F687" s="524"/>
      <c r="G687" s="49"/>
      <c r="H687" s="45"/>
      <c r="I687" s="314"/>
      <c r="J687" s="44"/>
      <c r="K687" s="311"/>
      <c r="L687" s="225"/>
      <c r="M687" s="380"/>
      <c r="N687" s="45"/>
      <c r="O687" s="311"/>
      <c r="P687" s="149"/>
      <c r="Q687" s="293"/>
      <c r="R687" s="316"/>
      <c r="S687" s="355"/>
      <c r="U687" s="111"/>
    </row>
    <row r="688" spans="2:21" s="30" customFormat="1" x14ac:dyDescent="0.25">
      <c r="B688" s="27"/>
      <c r="D688" s="81"/>
      <c r="E688" s="45"/>
      <c r="F688" s="524"/>
      <c r="G688" s="49"/>
      <c r="H688" s="45"/>
      <c r="I688" s="314"/>
      <c r="J688" s="44"/>
      <c r="K688" s="311"/>
      <c r="L688" s="225"/>
      <c r="M688" s="380"/>
      <c r="N688" s="45"/>
      <c r="O688" s="311"/>
      <c r="P688" s="149"/>
      <c r="Q688" s="293"/>
      <c r="R688" s="316"/>
      <c r="S688" s="355"/>
      <c r="U688" s="111"/>
    </row>
    <row r="689" spans="2:21" s="30" customFormat="1" x14ac:dyDescent="0.25">
      <c r="B689" s="27"/>
      <c r="D689" s="81"/>
      <c r="E689" s="45"/>
      <c r="F689" s="524"/>
      <c r="G689" s="49"/>
      <c r="H689" s="45"/>
      <c r="I689" s="314"/>
      <c r="J689" s="44"/>
      <c r="K689" s="311"/>
      <c r="L689" s="225"/>
      <c r="M689" s="380"/>
      <c r="N689" s="45"/>
      <c r="O689" s="311"/>
      <c r="P689" s="149"/>
      <c r="Q689" s="293"/>
      <c r="R689" s="316"/>
      <c r="S689" s="355"/>
      <c r="U689" s="111"/>
    </row>
    <row r="690" spans="2:21" s="30" customFormat="1" x14ac:dyDescent="0.25">
      <c r="B690" s="27"/>
      <c r="D690" s="81"/>
      <c r="E690" s="45"/>
      <c r="F690" s="524"/>
      <c r="G690" s="49"/>
      <c r="H690" s="45"/>
      <c r="I690" s="314"/>
      <c r="J690" s="44"/>
      <c r="K690" s="311"/>
      <c r="L690" s="225"/>
      <c r="M690" s="380"/>
      <c r="N690" s="45"/>
      <c r="O690" s="311"/>
      <c r="P690" s="149"/>
      <c r="Q690" s="293"/>
      <c r="R690" s="316"/>
      <c r="S690" s="355"/>
      <c r="U690" s="111"/>
    </row>
    <row r="691" spans="2:21" s="30" customFormat="1" x14ac:dyDescent="0.25">
      <c r="B691" s="27"/>
      <c r="D691" s="81"/>
      <c r="E691" s="45"/>
      <c r="F691" s="524"/>
      <c r="G691" s="49"/>
      <c r="H691" s="45"/>
      <c r="I691" s="314"/>
      <c r="J691" s="44"/>
      <c r="K691" s="311"/>
      <c r="L691" s="225"/>
      <c r="M691" s="380"/>
      <c r="N691" s="45"/>
      <c r="O691" s="311"/>
      <c r="P691" s="149"/>
      <c r="Q691" s="293"/>
      <c r="R691" s="316"/>
      <c r="S691" s="355"/>
      <c r="U691" s="111"/>
    </row>
    <row r="692" spans="2:21" s="30" customFormat="1" x14ac:dyDescent="0.25">
      <c r="B692" s="27"/>
      <c r="D692" s="81"/>
      <c r="E692" s="45"/>
      <c r="F692" s="524"/>
      <c r="G692" s="49"/>
      <c r="H692" s="45"/>
      <c r="I692" s="314"/>
      <c r="J692" s="44"/>
      <c r="K692" s="311"/>
      <c r="L692" s="225"/>
      <c r="M692" s="380"/>
      <c r="N692" s="45"/>
      <c r="O692" s="311"/>
      <c r="P692" s="149"/>
      <c r="Q692" s="293"/>
      <c r="R692" s="316"/>
      <c r="S692" s="355"/>
      <c r="U692" s="111"/>
    </row>
    <row r="693" spans="2:21" s="30" customFormat="1" x14ac:dyDescent="0.25">
      <c r="B693" s="27"/>
      <c r="D693" s="81"/>
      <c r="E693" s="45"/>
      <c r="F693" s="524"/>
      <c r="G693" s="49"/>
      <c r="H693" s="45"/>
      <c r="I693" s="314"/>
      <c r="J693" s="44"/>
      <c r="K693" s="311"/>
      <c r="L693" s="225"/>
      <c r="M693" s="380"/>
      <c r="N693" s="45"/>
      <c r="O693" s="311"/>
      <c r="P693" s="149"/>
      <c r="Q693" s="293"/>
      <c r="R693" s="316"/>
      <c r="S693" s="355"/>
      <c r="U693" s="111"/>
    </row>
    <row r="694" spans="2:21" s="30" customFormat="1" x14ac:dyDescent="0.25">
      <c r="B694" s="27"/>
      <c r="D694" s="81"/>
      <c r="E694" s="45"/>
      <c r="F694" s="524"/>
      <c r="G694" s="49"/>
      <c r="H694" s="45"/>
      <c r="I694" s="314"/>
      <c r="J694" s="44"/>
      <c r="K694" s="311"/>
      <c r="L694" s="225"/>
      <c r="M694" s="380"/>
      <c r="N694" s="45"/>
      <c r="O694" s="311"/>
      <c r="P694" s="149"/>
      <c r="Q694" s="293"/>
      <c r="R694" s="316"/>
      <c r="S694" s="355"/>
      <c r="U694" s="111"/>
    </row>
    <row r="695" spans="2:21" s="30" customFormat="1" x14ac:dyDescent="0.25">
      <c r="B695" s="27"/>
      <c r="D695" s="81"/>
      <c r="E695" s="45"/>
      <c r="F695" s="524"/>
      <c r="G695" s="49"/>
      <c r="H695" s="45"/>
      <c r="I695" s="314"/>
      <c r="J695" s="44"/>
      <c r="K695" s="311"/>
      <c r="L695" s="225"/>
      <c r="M695" s="380"/>
      <c r="N695" s="45"/>
      <c r="O695" s="311"/>
      <c r="P695" s="149"/>
      <c r="Q695" s="293"/>
      <c r="R695" s="316"/>
      <c r="S695" s="355"/>
      <c r="U695" s="111"/>
    </row>
    <row r="696" spans="2:21" s="30" customFormat="1" x14ac:dyDescent="0.25">
      <c r="B696" s="27"/>
      <c r="D696" s="81"/>
      <c r="E696" s="45"/>
      <c r="F696" s="524"/>
      <c r="G696" s="49"/>
      <c r="H696" s="45"/>
      <c r="I696" s="314"/>
      <c r="J696" s="44"/>
      <c r="K696" s="311"/>
      <c r="L696" s="225"/>
      <c r="M696" s="380"/>
      <c r="N696" s="45"/>
      <c r="O696" s="311"/>
      <c r="P696" s="149"/>
      <c r="Q696" s="293"/>
      <c r="R696" s="316"/>
      <c r="S696" s="355"/>
      <c r="U696" s="111"/>
    </row>
    <row r="697" spans="2:21" s="30" customFormat="1" x14ac:dyDescent="0.25">
      <c r="B697" s="27"/>
      <c r="D697" s="81"/>
      <c r="E697" s="45"/>
      <c r="F697" s="524"/>
      <c r="G697" s="49"/>
      <c r="H697" s="45"/>
      <c r="I697" s="314"/>
      <c r="J697" s="44"/>
      <c r="K697" s="311"/>
      <c r="L697" s="225"/>
      <c r="M697" s="380"/>
      <c r="N697" s="45"/>
      <c r="O697" s="311"/>
      <c r="P697" s="149"/>
      <c r="Q697" s="293"/>
      <c r="R697" s="316"/>
      <c r="S697" s="355"/>
      <c r="U697" s="111"/>
    </row>
    <row r="698" spans="2:21" s="30" customFormat="1" x14ac:dyDescent="0.25">
      <c r="B698" s="27"/>
      <c r="D698" s="81"/>
      <c r="E698" s="45"/>
      <c r="F698" s="524"/>
      <c r="G698" s="49"/>
      <c r="H698" s="45"/>
      <c r="I698" s="314"/>
      <c r="J698" s="44"/>
      <c r="K698" s="311"/>
      <c r="L698" s="225"/>
      <c r="M698" s="380"/>
      <c r="N698" s="45"/>
      <c r="O698" s="311"/>
      <c r="P698" s="149"/>
      <c r="Q698" s="293"/>
      <c r="R698" s="316"/>
      <c r="S698" s="355"/>
      <c r="U698" s="111"/>
    </row>
    <row r="699" spans="2:21" s="30" customFormat="1" x14ac:dyDescent="0.25">
      <c r="B699" s="27"/>
      <c r="D699" s="81"/>
      <c r="E699" s="45"/>
      <c r="F699" s="524"/>
      <c r="G699" s="49"/>
      <c r="H699" s="45"/>
      <c r="I699" s="314"/>
      <c r="J699" s="44"/>
      <c r="K699" s="311"/>
      <c r="L699" s="225"/>
      <c r="M699" s="380"/>
      <c r="N699" s="45"/>
      <c r="O699" s="311"/>
      <c r="P699" s="149"/>
      <c r="Q699" s="293"/>
      <c r="R699" s="316"/>
      <c r="S699" s="355"/>
      <c r="U699" s="111"/>
    </row>
    <row r="700" spans="2:21" s="30" customFormat="1" x14ac:dyDescent="0.25">
      <c r="B700" s="27"/>
      <c r="D700" s="81"/>
      <c r="E700" s="45"/>
      <c r="F700" s="524"/>
      <c r="G700" s="49"/>
      <c r="H700" s="45"/>
      <c r="I700" s="314"/>
      <c r="J700" s="44"/>
      <c r="K700" s="311"/>
      <c r="L700" s="225"/>
      <c r="M700" s="380"/>
      <c r="N700" s="45"/>
      <c r="O700" s="311"/>
      <c r="P700" s="149"/>
      <c r="Q700" s="293"/>
      <c r="R700" s="316"/>
      <c r="S700" s="355"/>
      <c r="U700" s="111"/>
    </row>
    <row r="701" spans="2:21" s="30" customFormat="1" x14ac:dyDescent="0.25">
      <c r="B701" s="27"/>
      <c r="D701" s="81"/>
      <c r="E701" s="45"/>
      <c r="F701" s="524"/>
      <c r="G701" s="49"/>
      <c r="H701" s="45"/>
      <c r="I701" s="314"/>
      <c r="J701" s="44"/>
      <c r="K701" s="311"/>
      <c r="L701" s="225"/>
      <c r="M701" s="380"/>
      <c r="N701" s="45"/>
      <c r="O701" s="311"/>
      <c r="P701" s="149"/>
      <c r="Q701" s="293"/>
      <c r="R701" s="316"/>
      <c r="S701" s="355"/>
      <c r="U701" s="111"/>
    </row>
    <row r="702" spans="2:21" s="30" customFormat="1" x14ac:dyDescent="0.25">
      <c r="B702" s="27"/>
      <c r="D702" s="81"/>
      <c r="E702" s="45"/>
      <c r="F702" s="524"/>
      <c r="G702" s="49"/>
      <c r="H702" s="45"/>
      <c r="I702" s="314"/>
      <c r="J702" s="44"/>
      <c r="K702" s="311"/>
      <c r="L702" s="225"/>
      <c r="M702" s="380"/>
      <c r="N702" s="45"/>
      <c r="O702" s="311"/>
      <c r="P702" s="149"/>
      <c r="Q702" s="293"/>
      <c r="R702" s="316"/>
      <c r="S702" s="355"/>
      <c r="U702" s="111"/>
    </row>
    <row r="703" spans="2:21" s="30" customFormat="1" x14ac:dyDescent="0.25">
      <c r="B703" s="27"/>
      <c r="D703" s="81"/>
      <c r="E703" s="45"/>
      <c r="F703" s="524"/>
      <c r="G703" s="49"/>
      <c r="H703" s="45"/>
      <c r="I703" s="314"/>
      <c r="J703" s="44"/>
      <c r="K703" s="311"/>
      <c r="L703" s="225"/>
      <c r="M703" s="380"/>
      <c r="N703" s="45"/>
      <c r="O703" s="311"/>
      <c r="P703" s="149"/>
      <c r="Q703" s="293"/>
      <c r="R703" s="316"/>
      <c r="S703" s="355"/>
      <c r="U703" s="111"/>
    </row>
    <row r="704" spans="2:21" s="30" customFormat="1" x14ac:dyDescent="0.25">
      <c r="B704" s="27"/>
      <c r="D704" s="81"/>
      <c r="E704" s="45"/>
      <c r="F704" s="524"/>
      <c r="G704" s="49"/>
      <c r="H704" s="45"/>
      <c r="I704" s="314"/>
      <c r="J704" s="44"/>
      <c r="K704" s="311"/>
      <c r="L704" s="225"/>
      <c r="M704" s="380"/>
      <c r="N704" s="45"/>
      <c r="O704" s="311"/>
      <c r="P704" s="149"/>
      <c r="Q704" s="293"/>
      <c r="R704" s="316"/>
      <c r="S704" s="355"/>
      <c r="U704" s="111"/>
    </row>
    <row r="705" spans="2:21" s="30" customFormat="1" x14ac:dyDescent="0.25">
      <c r="B705" s="27"/>
      <c r="D705" s="81"/>
      <c r="E705" s="45"/>
      <c r="F705" s="524"/>
      <c r="G705" s="49"/>
      <c r="H705" s="45"/>
      <c r="I705" s="314"/>
      <c r="J705" s="44"/>
      <c r="K705" s="311"/>
      <c r="L705" s="225"/>
      <c r="M705" s="380"/>
      <c r="N705" s="45"/>
      <c r="O705" s="311"/>
      <c r="P705" s="149"/>
      <c r="Q705" s="293"/>
      <c r="R705" s="316"/>
      <c r="S705" s="355"/>
      <c r="U705" s="111"/>
    </row>
    <row r="706" spans="2:21" s="30" customFormat="1" x14ac:dyDescent="0.25">
      <c r="B706" s="27"/>
      <c r="D706" s="81"/>
      <c r="E706" s="45"/>
      <c r="F706" s="524"/>
      <c r="G706" s="49"/>
      <c r="H706" s="45"/>
      <c r="I706" s="314"/>
      <c r="J706" s="44"/>
      <c r="K706" s="311"/>
      <c r="L706" s="225"/>
      <c r="M706" s="380"/>
      <c r="N706" s="45"/>
      <c r="O706" s="311"/>
      <c r="P706" s="149"/>
      <c r="Q706" s="293"/>
      <c r="R706" s="316"/>
      <c r="S706" s="355"/>
      <c r="U706" s="111"/>
    </row>
    <row r="707" spans="2:21" s="30" customFormat="1" x14ac:dyDescent="0.25">
      <c r="B707" s="27"/>
      <c r="D707" s="81"/>
      <c r="E707" s="45"/>
      <c r="F707" s="524"/>
      <c r="G707" s="49"/>
      <c r="H707" s="45"/>
      <c r="I707" s="314"/>
      <c r="J707" s="44"/>
      <c r="K707" s="311"/>
      <c r="L707" s="225"/>
      <c r="M707" s="380"/>
      <c r="N707" s="45"/>
      <c r="O707" s="311"/>
      <c r="P707" s="149"/>
      <c r="Q707" s="293"/>
      <c r="R707" s="316"/>
      <c r="S707" s="355"/>
      <c r="U707" s="111"/>
    </row>
    <row r="708" spans="2:21" s="30" customFormat="1" x14ac:dyDescent="0.25">
      <c r="B708" s="27"/>
      <c r="D708" s="81"/>
      <c r="E708" s="45"/>
      <c r="F708" s="524"/>
      <c r="G708" s="49"/>
      <c r="H708" s="45"/>
      <c r="I708" s="314"/>
      <c r="J708" s="44"/>
      <c r="K708" s="311"/>
      <c r="L708" s="225"/>
      <c r="M708" s="380"/>
      <c r="N708" s="45"/>
      <c r="O708" s="311"/>
      <c r="P708" s="149"/>
      <c r="Q708" s="293"/>
      <c r="R708" s="316"/>
      <c r="S708" s="355"/>
      <c r="U708" s="111"/>
    </row>
    <row r="709" spans="2:21" s="30" customFormat="1" x14ac:dyDescent="0.25">
      <c r="B709" s="27"/>
      <c r="D709" s="81"/>
      <c r="E709" s="45"/>
      <c r="F709" s="524"/>
      <c r="G709" s="49"/>
      <c r="H709" s="45"/>
      <c r="I709" s="314"/>
      <c r="J709" s="44"/>
      <c r="K709" s="311"/>
      <c r="L709" s="225"/>
      <c r="M709" s="380"/>
      <c r="N709" s="45"/>
      <c r="O709" s="311"/>
      <c r="P709" s="149"/>
      <c r="Q709" s="293"/>
      <c r="R709" s="316"/>
      <c r="S709" s="355"/>
      <c r="U709" s="111"/>
    </row>
    <row r="710" spans="2:21" s="30" customFormat="1" x14ac:dyDescent="0.25">
      <c r="B710" s="27"/>
      <c r="D710" s="81"/>
      <c r="E710" s="45"/>
      <c r="F710" s="524"/>
      <c r="G710" s="49"/>
      <c r="H710" s="45"/>
      <c r="I710" s="314"/>
      <c r="J710" s="44"/>
      <c r="K710" s="311"/>
      <c r="L710" s="225"/>
      <c r="M710" s="380"/>
      <c r="N710" s="45"/>
      <c r="O710" s="311"/>
      <c r="P710" s="149"/>
      <c r="Q710" s="293"/>
      <c r="R710" s="316"/>
      <c r="S710" s="355"/>
      <c r="U710" s="111"/>
    </row>
    <row r="711" spans="2:21" s="30" customFormat="1" x14ac:dyDescent="0.25">
      <c r="B711" s="27"/>
      <c r="D711" s="81"/>
      <c r="E711" s="45"/>
      <c r="F711" s="524"/>
      <c r="G711" s="49"/>
      <c r="H711" s="45"/>
      <c r="I711" s="314"/>
      <c r="J711" s="44"/>
      <c r="K711" s="311"/>
      <c r="L711" s="225"/>
      <c r="M711" s="380"/>
      <c r="N711" s="45"/>
      <c r="O711" s="311"/>
      <c r="P711" s="149"/>
      <c r="Q711" s="293"/>
      <c r="R711" s="316"/>
      <c r="S711" s="355"/>
      <c r="U711" s="111"/>
    </row>
    <row r="712" spans="2:21" s="30" customFormat="1" x14ac:dyDescent="0.25">
      <c r="B712" s="27"/>
      <c r="D712" s="81"/>
      <c r="E712" s="45"/>
      <c r="F712" s="524"/>
      <c r="G712" s="49"/>
      <c r="H712" s="45"/>
      <c r="I712" s="314"/>
      <c r="J712" s="44"/>
      <c r="K712" s="311"/>
      <c r="L712" s="225"/>
      <c r="M712" s="380"/>
      <c r="N712" s="45"/>
      <c r="O712" s="311"/>
      <c r="P712" s="149"/>
      <c r="Q712" s="293"/>
      <c r="R712" s="316"/>
      <c r="S712" s="355"/>
      <c r="U712" s="111"/>
    </row>
    <row r="713" spans="2:21" s="30" customFormat="1" x14ac:dyDescent="0.25">
      <c r="B713" s="27"/>
      <c r="D713" s="81"/>
      <c r="E713" s="45"/>
      <c r="F713" s="524"/>
      <c r="G713" s="49"/>
      <c r="H713" s="45"/>
      <c r="I713" s="314"/>
      <c r="J713" s="44"/>
      <c r="K713" s="311"/>
      <c r="L713" s="225"/>
      <c r="M713" s="380"/>
      <c r="N713" s="45"/>
      <c r="O713" s="311"/>
      <c r="P713" s="149"/>
      <c r="Q713" s="293"/>
      <c r="R713" s="316"/>
      <c r="S713" s="355"/>
      <c r="U713" s="111"/>
    </row>
    <row r="714" spans="2:21" s="30" customFormat="1" x14ac:dyDescent="0.25">
      <c r="B714" s="27"/>
      <c r="D714" s="81"/>
      <c r="E714" s="45"/>
      <c r="F714" s="524"/>
      <c r="G714" s="49"/>
      <c r="H714" s="45"/>
      <c r="I714" s="314"/>
      <c r="J714" s="44"/>
      <c r="K714" s="311"/>
      <c r="L714" s="225"/>
      <c r="M714" s="380"/>
      <c r="N714" s="45"/>
      <c r="O714" s="311"/>
      <c r="P714" s="149"/>
      <c r="Q714" s="293"/>
      <c r="R714" s="316"/>
      <c r="S714" s="355"/>
      <c r="U714" s="111"/>
    </row>
    <row r="715" spans="2:21" s="30" customFormat="1" x14ac:dyDescent="0.25">
      <c r="B715" s="27"/>
      <c r="D715" s="81"/>
      <c r="E715" s="45"/>
      <c r="F715" s="524"/>
      <c r="G715" s="49"/>
      <c r="H715" s="45"/>
      <c r="I715" s="314"/>
      <c r="J715" s="44"/>
      <c r="K715" s="311"/>
      <c r="L715" s="225"/>
      <c r="M715" s="380"/>
      <c r="N715" s="45"/>
      <c r="O715" s="311"/>
      <c r="P715" s="149"/>
      <c r="Q715" s="293"/>
      <c r="R715" s="316"/>
      <c r="S715" s="355"/>
      <c r="U715" s="111"/>
    </row>
    <row r="716" spans="2:21" s="30" customFormat="1" x14ac:dyDescent="0.25">
      <c r="B716" s="27"/>
      <c r="D716" s="81"/>
      <c r="E716" s="45"/>
      <c r="F716" s="524"/>
      <c r="G716" s="49"/>
      <c r="H716" s="45"/>
      <c r="I716" s="314"/>
      <c r="J716" s="44"/>
      <c r="K716" s="311"/>
      <c r="L716" s="225"/>
      <c r="M716" s="380"/>
      <c r="N716" s="45"/>
      <c r="O716" s="311"/>
      <c r="P716" s="149"/>
      <c r="Q716" s="293"/>
      <c r="R716" s="316"/>
      <c r="S716" s="355"/>
      <c r="U716" s="111"/>
    </row>
    <row r="717" spans="2:21" s="30" customFormat="1" x14ac:dyDescent="0.25">
      <c r="B717" s="27"/>
      <c r="D717" s="81"/>
      <c r="E717" s="45"/>
      <c r="F717" s="524"/>
      <c r="G717" s="49"/>
      <c r="H717" s="45"/>
      <c r="I717" s="314"/>
      <c r="J717" s="44"/>
      <c r="K717" s="311"/>
      <c r="L717" s="225"/>
      <c r="M717" s="380"/>
      <c r="N717" s="45"/>
      <c r="O717" s="311"/>
      <c r="P717" s="149"/>
      <c r="Q717" s="293"/>
      <c r="R717" s="316"/>
      <c r="S717" s="355"/>
      <c r="U717" s="111"/>
    </row>
    <row r="718" spans="2:21" s="30" customFormat="1" x14ac:dyDescent="0.25">
      <c r="B718" s="27"/>
      <c r="D718" s="81"/>
      <c r="E718" s="45"/>
      <c r="F718" s="524"/>
      <c r="G718" s="49"/>
      <c r="H718" s="45"/>
      <c r="I718" s="314"/>
      <c r="J718" s="44"/>
      <c r="K718" s="311"/>
      <c r="L718" s="225"/>
      <c r="M718" s="380"/>
      <c r="N718" s="45"/>
      <c r="O718" s="311"/>
      <c r="P718" s="149"/>
      <c r="Q718" s="293"/>
      <c r="R718" s="316"/>
      <c r="S718" s="355"/>
      <c r="U718" s="111"/>
    </row>
    <row r="719" spans="2:21" s="30" customFormat="1" x14ac:dyDescent="0.25">
      <c r="B719" s="27"/>
      <c r="D719" s="81"/>
      <c r="E719" s="45"/>
      <c r="F719" s="524"/>
      <c r="G719" s="49"/>
      <c r="H719" s="45"/>
      <c r="I719" s="314"/>
      <c r="J719" s="44"/>
      <c r="K719" s="311"/>
      <c r="L719" s="225"/>
      <c r="M719" s="380"/>
      <c r="N719" s="45"/>
      <c r="O719" s="311"/>
      <c r="P719" s="149"/>
      <c r="Q719" s="293"/>
      <c r="R719" s="316"/>
      <c r="S719" s="355"/>
      <c r="U719" s="111"/>
    </row>
    <row r="720" spans="2:21" s="30" customFormat="1" x14ac:dyDescent="0.25">
      <c r="B720" s="27"/>
      <c r="D720" s="81"/>
      <c r="E720" s="45"/>
      <c r="F720" s="524"/>
      <c r="G720" s="49"/>
      <c r="H720" s="45"/>
      <c r="I720" s="314"/>
      <c r="J720" s="44"/>
      <c r="K720" s="311"/>
      <c r="L720" s="225"/>
      <c r="M720" s="380"/>
      <c r="N720" s="45"/>
      <c r="O720" s="311"/>
      <c r="P720" s="149"/>
      <c r="Q720" s="293"/>
      <c r="R720" s="316"/>
      <c r="S720" s="355"/>
      <c r="U720" s="111"/>
    </row>
    <row r="721" spans="2:21" s="30" customFormat="1" x14ac:dyDescent="0.25">
      <c r="B721" s="27"/>
      <c r="D721" s="81"/>
      <c r="E721" s="45"/>
      <c r="F721" s="524"/>
      <c r="G721" s="49"/>
      <c r="H721" s="45"/>
      <c r="I721" s="314"/>
      <c r="J721" s="44"/>
      <c r="K721" s="311"/>
      <c r="L721" s="225"/>
      <c r="M721" s="380"/>
      <c r="N721" s="45"/>
      <c r="O721" s="311"/>
      <c r="P721" s="149"/>
      <c r="Q721" s="293"/>
      <c r="R721" s="316"/>
      <c r="S721" s="355"/>
      <c r="U721" s="111"/>
    </row>
    <row r="722" spans="2:21" s="30" customFormat="1" x14ac:dyDescent="0.25">
      <c r="B722" s="27"/>
      <c r="D722" s="81"/>
      <c r="E722" s="45"/>
      <c r="F722" s="524"/>
      <c r="G722" s="49"/>
      <c r="H722" s="45"/>
      <c r="I722" s="314"/>
      <c r="J722" s="44"/>
      <c r="K722" s="311"/>
      <c r="L722" s="225"/>
      <c r="M722" s="380"/>
      <c r="N722" s="45"/>
      <c r="O722" s="311"/>
      <c r="P722" s="149"/>
      <c r="Q722" s="293"/>
      <c r="R722" s="316"/>
      <c r="S722" s="355"/>
      <c r="U722" s="111"/>
    </row>
    <row r="723" spans="2:21" s="30" customFormat="1" x14ac:dyDescent="0.25">
      <c r="B723" s="27"/>
      <c r="D723" s="81"/>
      <c r="E723" s="45"/>
      <c r="F723" s="524"/>
      <c r="G723" s="49"/>
      <c r="H723" s="45"/>
      <c r="I723" s="314"/>
      <c r="J723" s="44"/>
      <c r="K723" s="311"/>
      <c r="L723" s="225"/>
      <c r="M723" s="380"/>
      <c r="N723" s="45"/>
      <c r="O723" s="311"/>
      <c r="P723" s="149"/>
      <c r="Q723" s="293"/>
      <c r="R723" s="316"/>
      <c r="S723" s="355"/>
      <c r="U723" s="111"/>
    </row>
    <row r="724" spans="2:21" s="30" customFormat="1" x14ac:dyDescent="0.25">
      <c r="B724" s="27"/>
      <c r="D724" s="81"/>
      <c r="E724" s="45"/>
      <c r="F724" s="524"/>
      <c r="G724" s="49"/>
      <c r="H724" s="45"/>
      <c r="I724" s="314"/>
      <c r="J724" s="44"/>
      <c r="K724" s="311"/>
      <c r="L724" s="225"/>
      <c r="M724" s="380"/>
      <c r="N724" s="45"/>
      <c r="O724" s="311"/>
      <c r="P724" s="149"/>
      <c r="Q724" s="293"/>
      <c r="R724" s="316"/>
      <c r="S724" s="355"/>
      <c r="U724" s="111"/>
    </row>
    <row r="725" spans="2:21" s="30" customFormat="1" x14ac:dyDescent="0.25">
      <c r="B725" s="27"/>
      <c r="D725" s="81"/>
      <c r="E725" s="45"/>
      <c r="F725" s="524"/>
      <c r="G725" s="49"/>
      <c r="H725" s="45"/>
      <c r="I725" s="314"/>
      <c r="J725" s="44"/>
      <c r="K725" s="311"/>
      <c r="L725" s="225"/>
      <c r="M725" s="380"/>
      <c r="N725" s="45"/>
      <c r="O725" s="311"/>
      <c r="P725" s="149"/>
      <c r="Q725" s="293"/>
      <c r="R725" s="316"/>
      <c r="S725" s="355"/>
      <c r="U725" s="111"/>
    </row>
    <row r="726" spans="2:21" s="30" customFormat="1" x14ac:dyDescent="0.25">
      <c r="B726" s="27"/>
      <c r="D726" s="81"/>
      <c r="E726" s="45"/>
      <c r="F726" s="524"/>
      <c r="G726" s="49"/>
      <c r="H726" s="45"/>
      <c r="I726" s="314"/>
      <c r="J726" s="44"/>
      <c r="K726" s="311"/>
      <c r="L726" s="225"/>
      <c r="M726" s="380"/>
      <c r="N726" s="45"/>
      <c r="O726" s="311"/>
      <c r="P726" s="149"/>
      <c r="Q726" s="293"/>
      <c r="R726" s="316"/>
      <c r="S726" s="355"/>
      <c r="U726" s="111"/>
    </row>
    <row r="727" spans="2:21" s="30" customFormat="1" x14ac:dyDescent="0.25">
      <c r="B727" s="27"/>
      <c r="D727" s="81"/>
      <c r="E727" s="45"/>
      <c r="F727" s="524"/>
      <c r="G727" s="49"/>
      <c r="H727" s="45"/>
      <c r="I727" s="314"/>
      <c r="J727" s="44"/>
      <c r="K727" s="311"/>
      <c r="L727" s="225"/>
      <c r="M727" s="380"/>
      <c r="N727" s="45"/>
      <c r="O727" s="311"/>
      <c r="P727" s="149"/>
      <c r="Q727" s="293"/>
      <c r="R727" s="316"/>
      <c r="S727" s="355"/>
      <c r="U727" s="111"/>
    </row>
    <row r="728" spans="2:21" s="30" customFormat="1" x14ac:dyDescent="0.25">
      <c r="B728" s="27"/>
      <c r="D728" s="81"/>
      <c r="E728" s="45"/>
      <c r="F728" s="524"/>
      <c r="G728" s="49"/>
      <c r="H728" s="45"/>
      <c r="I728" s="314"/>
      <c r="J728" s="44"/>
      <c r="K728" s="311"/>
      <c r="L728" s="225"/>
      <c r="M728" s="380"/>
      <c r="N728" s="45"/>
      <c r="O728" s="311"/>
      <c r="P728" s="149"/>
      <c r="Q728" s="293"/>
      <c r="R728" s="316"/>
      <c r="S728" s="355"/>
      <c r="U728" s="111"/>
    </row>
    <row r="729" spans="2:21" s="30" customFormat="1" x14ac:dyDescent="0.25">
      <c r="B729" s="27"/>
      <c r="D729" s="81"/>
      <c r="E729" s="45"/>
      <c r="F729" s="524"/>
      <c r="G729" s="49"/>
      <c r="H729" s="45"/>
      <c r="I729" s="314"/>
      <c r="J729" s="44"/>
      <c r="K729" s="311"/>
      <c r="L729" s="225"/>
      <c r="M729" s="380"/>
      <c r="N729" s="45"/>
      <c r="O729" s="311"/>
      <c r="P729" s="149"/>
      <c r="Q729" s="293"/>
      <c r="R729" s="316"/>
      <c r="S729" s="355"/>
      <c r="U729" s="152"/>
    </row>
    <row r="730" spans="2:21" s="30" customFormat="1" x14ac:dyDescent="0.25">
      <c r="B730" s="27"/>
      <c r="D730" s="81"/>
      <c r="E730" s="45"/>
      <c r="F730" s="524"/>
      <c r="G730" s="49"/>
      <c r="H730" s="45"/>
      <c r="I730" s="314"/>
      <c r="J730" s="44"/>
      <c r="K730" s="311"/>
      <c r="L730" s="225"/>
      <c r="M730" s="380"/>
      <c r="N730" s="45"/>
      <c r="O730" s="311"/>
      <c r="P730" s="149"/>
      <c r="Q730" s="293"/>
      <c r="R730" s="316"/>
      <c r="S730" s="355"/>
    </row>
    <row r="731" spans="2:21" x14ac:dyDescent="0.25">
      <c r="I731" s="314"/>
      <c r="J731" s="44"/>
      <c r="M731" s="514"/>
      <c r="P731" s="149"/>
      <c r="Q731" s="293"/>
      <c r="R731" s="316"/>
      <c r="S731" s="355"/>
    </row>
    <row r="732" spans="2:21" x14ac:dyDescent="0.25">
      <c r="I732" s="314"/>
      <c r="J732" s="44"/>
      <c r="M732" s="514"/>
      <c r="Q732" s="293"/>
      <c r="R732" s="316"/>
      <c r="S732" s="355"/>
    </row>
    <row r="733" spans="2:21" x14ac:dyDescent="0.25">
      <c r="I733" s="314"/>
      <c r="J733" s="44"/>
      <c r="M733" s="514"/>
      <c r="Q733" s="293"/>
      <c r="R733" s="316"/>
      <c r="S733" s="355"/>
    </row>
    <row r="734" spans="2:21" x14ac:dyDescent="0.25">
      <c r="I734" s="314"/>
      <c r="J734" s="44"/>
      <c r="M734" s="514"/>
      <c r="Q734" s="293"/>
      <c r="R734" s="316"/>
      <c r="S734" s="355"/>
    </row>
    <row r="735" spans="2:21" x14ac:dyDescent="0.25">
      <c r="I735" s="314"/>
      <c r="J735" s="44"/>
      <c r="M735" s="514"/>
      <c r="Q735" s="293"/>
      <c r="R735" s="316"/>
      <c r="S735" s="355"/>
    </row>
    <row r="736" spans="2:21" x14ac:dyDescent="0.25">
      <c r="I736" s="314"/>
      <c r="J736" s="44"/>
      <c r="M736" s="514"/>
      <c r="Q736" s="293"/>
      <c r="R736" s="316"/>
      <c r="S736" s="355"/>
    </row>
    <row r="737" spans="9:19" x14ac:dyDescent="0.25">
      <c r="I737" s="314"/>
      <c r="J737" s="44"/>
      <c r="M737" s="514"/>
      <c r="Q737" s="293"/>
      <c r="R737" s="316"/>
      <c r="S737" s="355"/>
    </row>
    <row r="738" spans="9:19" x14ac:dyDescent="0.25">
      <c r="I738" s="314"/>
      <c r="J738" s="44"/>
      <c r="M738" s="514"/>
      <c r="Q738" s="293"/>
      <c r="R738" s="316"/>
      <c r="S738" s="355"/>
    </row>
    <row r="739" spans="9:19" x14ac:dyDescent="0.25">
      <c r="I739" s="314"/>
      <c r="J739" s="44"/>
      <c r="M739" s="514"/>
      <c r="Q739" s="293"/>
      <c r="R739" s="316"/>
      <c r="S739" s="355"/>
    </row>
    <row r="740" spans="9:19" x14ac:dyDescent="0.25">
      <c r="I740" s="314"/>
      <c r="J740" s="44"/>
      <c r="M740" s="514"/>
      <c r="Q740" s="293"/>
      <c r="R740" s="316"/>
      <c r="S740" s="355"/>
    </row>
    <row r="741" spans="9:19" x14ac:dyDescent="0.25">
      <c r="I741" s="314"/>
      <c r="J741" s="44"/>
      <c r="M741" s="514"/>
      <c r="Q741" s="293"/>
      <c r="R741" s="316"/>
      <c r="S741" s="355"/>
    </row>
    <row r="742" spans="9:19" x14ac:dyDescent="0.25">
      <c r="I742" s="314"/>
      <c r="J742" s="44"/>
      <c r="M742" s="514"/>
      <c r="Q742" s="293"/>
      <c r="R742" s="316"/>
      <c r="S742" s="355"/>
    </row>
    <row r="743" spans="9:19" x14ac:dyDescent="0.25">
      <c r="I743" s="314"/>
      <c r="J743" s="44"/>
      <c r="M743" s="514"/>
      <c r="Q743" s="293"/>
      <c r="R743" s="316"/>
      <c r="S743" s="355"/>
    </row>
    <row r="744" spans="9:19" x14ac:dyDescent="0.25">
      <c r="I744" s="314"/>
      <c r="J744" s="44"/>
      <c r="M744" s="514"/>
      <c r="Q744" s="293"/>
      <c r="R744" s="316"/>
      <c r="S744" s="355"/>
    </row>
    <row r="745" spans="9:19" x14ac:dyDescent="0.25">
      <c r="I745" s="314"/>
      <c r="J745" s="44"/>
      <c r="M745" s="514"/>
      <c r="Q745" s="293"/>
      <c r="R745" s="316"/>
      <c r="S745" s="355"/>
    </row>
    <row r="746" spans="9:19" x14ac:dyDescent="0.25">
      <c r="I746" s="314"/>
      <c r="J746" s="44"/>
      <c r="M746" s="514"/>
      <c r="Q746" s="293"/>
      <c r="R746" s="316"/>
      <c r="S746" s="355"/>
    </row>
    <row r="747" spans="9:19" x14ac:dyDescent="0.25">
      <c r="I747" s="314"/>
      <c r="J747" s="44"/>
      <c r="M747" s="514"/>
      <c r="Q747" s="293"/>
      <c r="R747" s="316"/>
      <c r="S747" s="355"/>
    </row>
    <row r="748" spans="9:19" x14ac:dyDescent="0.25">
      <c r="I748" s="314"/>
      <c r="J748" s="44"/>
      <c r="M748" s="514"/>
      <c r="Q748" s="293"/>
      <c r="R748" s="316"/>
      <c r="S748" s="355"/>
    </row>
    <row r="749" spans="9:19" x14ac:dyDescent="0.25">
      <c r="I749" s="314"/>
      <c r="J749" s="44"/>
      <c r="M749" s="514"/>
      <c r="Q749" s="293"/>
      <c r="R749" s="316"/>
      <c r="S749" s="355"/>
    </row>
    <row r="750" spans="9:19" x14ac:dyDescent="0.25">
      <c r="I750" s="314"/>
      <c r="J750" s="44"/>
      <c r="M750" s="514"/>
      <c r="Q750" s="293"/>
      <c r="R750" s="316"/>
      <c r="S750" s="355"/>
    </row>
    <row r="751" spans="9:19" x14ac:dyDescent="0.25">
      <c r="I751" s="314"/>
      <c r="J751" s="44"/>
      <c r="M751" s="514"/>
      <c r="Q751" s="293"/>
      <c r="R751" s="316"/>
      <c r="S751" s="355"/>
    </row>
    <row r="752" spans="9:19" x14ac:dyDescent="0.25">
      <c r="I752" s="314"/>
      <c r="J752" s="44"/>
      <c r="M752" s="514"/>
      <c r="Q752" s="293"/>
      <c r="R752" s="316"/>
      <c r="S752" s="355"/>
    </row>
    <row r="753" spans="9:19" x14ac:dyDescent="0.25">
      <c r="I753" s="314"/>
      <c r="J753" s="44"/>
      <c r="M753" s="514"/>
      <c r="Q753" s="293"/>
      <c r="R753" s="316"/>
      <c r="S753" s="355"/>
    </row>
    <row r="754" spans="9:19" x14ac:dyDescent="0.25">
      <c r="I754" s="314"/>
      <c r="J754" s="44"/>
      <c r="M754" s="514"/>
      <c r="Q754" s="293"/>
      <c r="R754" s="316"/>
      <c r="S754" s="355"/>
    </row>
    <row r="755" spans="9:19" x14ac:dyDescent="0.25">
      <c r="I755" s="314"/>
      <c r="J755" s="44"/>
      <c r="M755" s="514"/>
      <c r="Q755" s="293"/>
      <c r="R755" s="316"/>
      <c r="S755" s="355"/>
    </row>
    <row r="756" spans="9:19" x14ac:dyDescent="0.25">
      <c r="I756" s="314"/>
      <c r="J756" s="44"/>
      <c r="M756" s="514"/>
      <c r="Q756" s="293"/>
      <c r="R756" s="316"/>
      <c r="S756" s="355"/>
    </row>
    <row r="757" spans="9:19" x14ac:dyDescent="0.25">
      <c r="I757" s="314"/>
      <c r="J757" s="44"/>
      <c r="M757" s="514"/>
      <c r="Q757" s="293"/>
      <c r="R757" s="316"/>
      <c r="S757" s="355"/>
    </row>
    <row r="758" spans="9:19" x14ac:dyDescent="0.25">
      <c r="I758" s="314"/>
      <c r="J758" s="44"/>
      <c r="M758" s="514"/>
      <c r="Q758" s="293"/>
      <c r="R758" s="316"/>
      <c r="S758" s="355"/>
    </row>
    <row r="759" spans="9:19" x14ac:dyDescent="0.25">
      <c r="I759" s="314"/>
      <c r="J759" s="44"/>
      <c r="M759" s="514"/>
      <c r="Q759" s="293"/>
      <c r="R759" s="316"/>
      <c r="S759" s="355"/>
    </row>
    <row r="760" spans="9:19" x14ac:dyDescent="0.25">
      <c r="I760" s="314"/>
      <c r="J760" s="44"/>
      <c r="M760" s="514"/>
      <c r="Q760" s="293"/>
      <c r="R760" s="316"/>
      <c r="S760" s="355"/>
    </row>
    <row r="761" spans="9:19" x14ac:dyDescent="0.25">
      <c r="I761" s="314"/>
      <c r="J761" s="44"/>
      <c r="M761" s="514"/>
      <c r="Q761" s="293"/>
      <c r="R761" s="316"/>
      <c r="S761" s="355"/>
    </row>
    <row r="762" spans="9:19" x14ac:dyDescent="0.25">
      <c r="I762" s="314"/>
      <c r="J762" s="44"/>
      <c r="M762" s="514"/>
      <c r="Q762" s="293"/>
      <c r="R762" s="316"/>
      <c r="S762" s="355"/>
    </row>
    <row r="763" spans="9:19" x14ac:dyDescent="0.25">
      <c r="I763" s="314"/>
      <c r="J763" s="44"/>
      <c r="M763" s="514"/>
      <c r="Q763" s="293"/>
      <c r="R763" s="316"/>
      <c r="S763" s="355"/>
    </row>
    <row r="764" spans="9:19" x14ac:dyDescent="0.25">
      <c r="I764" s="314"/>
      <c r="J764" s="44"/>
      <c r="M764" s="514"/>
      <c r="Q764" s="293"/>
      <c r="R764" s="316"/>
      <c r="S764" s="355"/>
    </row>
    <row r="765" spans="9:19" x14ac:dyDescent="0.25">
      <c r="I765" s="314"/>
      <c r="J765" s="44"/>
      <c r="M765" s="514"/>
      <c r="Q765" s="293"/>
      <c r="R765" s="316"/>
      <c r="S765" s="355"/>
    </row>
    <row r="766" spans="9:19" x14ac:dyDescent="0.25">
      <c r="I766" s="314"/>
      <c r="J766" s="44"/>
      <c r="M766" s="514"/>
      <c r="Q766" s="293"/>
      <c r="R766" s="316"/>
      <c r="S766" s="355"/>
    </row>
    <row r="767" spans="9:19" x14ac:dyDescent="0.25">
      <c r="I767" s="314"/>
      <c r="J767" s="44"/>
      <c r="M767" s="514"/>
      <c r="Q767" s="293"/>
      <c r="R767" s="316"/>
      <c r="S767" s="355"/>
    </row>
    <row r="768" spans="9:19" x14ac:dyDescent="0.25">
      <c r="I768" s="314"/>
      <c r="J768" s="44"/>
      <c r="M768" s="514"/>
      <c r="Q768" s="293"/>
      <c r="R768" s="316"/>
      <c r="S768" s="355"/>
    </row>
    <row r="769" spans="9:19" x14ac:dyDescent="0.25">
      <c r="I769" s="314"/>
      <c r="J769" s="44"/>
      <c r="M769" s="514"/>
      <c r="Q769" s="293"/>
      <c r="R769" s="316"/>
      <c r="S769" s="355"/>
    </row>
    <row r="770" spans="9:19" x14ac:dyDescent="0.25">
      <c r="I770" s="314"/>
      <c r="J770" s="44"/>
      <c r="M770" s="514"/>
      <c r="Q770" s="293"/>
      <c r="R770" s="316"/>
      <c r="S770" s="355"/>
    </row>
    <row r="771" spans="9:19" x14ac:dyDescent="0.25">
      <c r="I771" s="314"/>
      <c r="J771" s="44"/>
      <c r="M771" s="514"/>
      <c r="Q771" s="293"/>
      <c r="R771" s="316"/>
      <c r="S771" s="355"/>
    </row>
    <row r="772" spans="9:19" x14ac:dyDescent="0.25">
      <c r="I772" s="314"/>
      <c r="J772" s="44"/>
      <c r="M772" s="514"/>
      <c r="Q772" s="293"/>
      <c r="R772" s="316"/>
      <c r="S772" s="355"/>
    </row>
    <row r="773" spans="9:19" x14ac:dyDescent="0.25">
      <c r="I773" s="314"/>
      <c r="J773" s="44"/>
      <c r="M773" s="514"/>
      <c r="Q773" s="293"/>
      <c r="R773" s="316"/>
      <c r="S773" s="355"/>
    </row>
    <row r="774" spans="9:19" x14ac:dyDescent="0.25">
      <c r="I774" s="314"/>
      <c r="J774" s="44"/>
      <c r="M774" s="514"/>
      <c r="Q774" s="293"/>
      <c r="R774" s="316"/>
      <c r="S774" s="355"/>
    </row>
    <row r="775" spans="9:19" x14ac:dyDescent="0.25">
      <c r="I775" s="314"/>
      <c r="J775" s="44"/>
      <c r="M775" s="514"/>
      <c r="Q775" s="293"/>
      <c r="R775" s="316"/>
      <c r="S775" s="355"/>
    </row>
    <row r="776" spans="9:19" x14ac:dyDescent="0.25">
      <c r="I776" s="314"/>
      <c r="J776" s="44"/>
      <c r="M776" s="514"/>
      <c r="Q776" s="293"/>
      <c r="R776" s="316"/>
      <c r="S776" s="355"/>
    </row>
    <row r="777" spans="9:19" x14ac:dyDescent="0.25">
      <c r="I777" s="314"/>
      <c r="J777" s="44"/>
      <c r="M777" s="514"/>
      <c r="Q777" s="293"/>
      <c r="R777" s="316"/>
      <c r="S777" s="355"/>
    </row>
    <row r="778" spans="9:19" x14ac:dyDescent="0.25">
      <c r="I778" s="314"/>
      <c r="J778" s="44"/>
      <c r="M778" s="514"/>
      <c r="Q778" s="293"/>
      <c r="R778" s="316"/>
      <c r="S778" s="355"/>
    </row>
    <row r="779" spans="9:19" x14ac:dyDescent="0.25">
      <c r="I779" s="314"/>
      <c r="J779" s="44"/>
      <c r="M779" s="514"/>
      <c r="Q779" s="293"/>
      <c r="R779" s="316"/>
      <c r="S779" s="355"/>
    </row>
    <row r="780" spans="9:19" x14ac:dyDescent="0.25">
      <c r="I780" s="314"/>
      <c r="J780" s="44"/>
      <c r="M780" s="514"/>
      <c r="Q780" s="293"/>
      <c r="R780" s="316"/>
      <c r="S780" s="355"/>
    </row>
    <row r="781" spans="9:19" x14ac:dyDescent="0.25">
      <c r="I781" s="314"/>
      <c r="J781" s="44"/>
      <c r="M781" s="514"/>
      <c r="Q781" s="293"/>
      <c r="R781" s="316"/>
      <c r="S781" s="355"/>
    </row>
    <row r="782" spans="9:19" x14ac:dyDescent="0.25">
      <c r="I782" s="314"/>
      <c r="J782" s="44"/>
      <c r="M782" s="514"/>
      <c r="Q782" s="293"/>
      <c r="R782" s="316"/>
      <c r="S782" s="355"/>
    </row>
    <row r="783" spans="9:19" x14ac:dyDescent="0.25">
      <c r="I783" s="314"/>
      <c r="J783" s="44"/>
      <c r="M783" s="514"/>
      <c r="Q783" s="293"/>
      <c r="R783" s="316"/>
      <c r="S783" s="355"/>
    </row>
    <row r="784" spans="9:19" x14ac:dyDescent="0.25">
      <c r="I784" s="314"/>
      <c r="J784" s="44"/>
      <c r="M784" s="514"/>
      <c r="Q784" s="293"/>
      <c r="R784" s="316"/>
      <c r="S784" s="355"/>
    </row>
    <row r="785" spans="9:19" x14ac:dyDescent="0.25">
      <c r="I785" s="314"/>
      <c r="J785" s="44"/>
      <c r="M785" s="514"/>
      <c r="Q785" s="293"/>
      <c r="R785" s="316"/>
      <c r="S785" s="355"/>
    </row>
    <row r="786" spans="9:19" x14ac:dyDescent="0.25">
      <c r="I786" s="314"/>
      <c r="J786" s="44"/>
      <c r="M786" s="514"/>
      <c r="Q786" s="293"/>
      <c r="R786" s="316"/>
      <c r="S786" s="355"/>
    </row>
    <row r="787" spans="9:19" x14ac:dyDescent="0.25">
      <c r="I787" s="314"/>
      <c r="J787" s="44"/>
      <c r="M787" s="514"/>
      <c r="Q787" s="293"/>
      <c r="R787" s="316"/>
      <c r="S787" s="355"/>
    </row>
    <row r="788" spans="9:19" x14ac:dyDescent="0.25">
      <c r="I788" s="314"/>
      <c r="J788" s="44"/>
      <c r="M788" s="514"/>
      <c r="Q788" s="293"/>
      <c r="R788" s="316"/>
      <c r="S788" s="355"/>
    </row>
    <row r="789" spans="9:19" x14ac:dyDescent="0.25">
      <c r="I789" s="314"/>
      <c r="J789" s="44"/>
      <c r="M789" s="514"/>
      <c r="Q789" s="293"/>
      <c r="R789" s="316"/>
      <c r="S789" s="355"/>
    </row>
    <row r="790" spans="9:19" x14ac:dyDescent="0.25">
      <c r="I790" s="314"/>
      <c r="J790" s="44"/>
      <c r="M790" s="514"/>
      <c r="Q790" s="293"/>
      <c r="R790" s="316"/>
      <c r="S790" s="355"/>
    </row>
    <row r="791" spans="9:19" x14ac:dyDescent="0.25">
      <c r="I791" s="314"/>
      <c r="J791" s="44"/>
      <c r="M791" s="514"/>
      <c r="Q791" s="293"/>
      <c r="R791" s="316"/>
      <c r="S791" s="355"/>
    </row>
    <row r="792" spans="9:19" x14ac:dyDescent="0.25">
      <c r="I792" s="314"/>
      <c r="J792" s="44"/>
      <c r="M792" s="514"/>
      <c r="Q792" s="293"/>
      <c r="R792" s="316"/>
      <c r="S792" s="355"/>
    </row>
    <row r="793" spans="9:19" x14ac:dyDescent="0.25">
      <c r="I793" s="314"/>
      <c r="J793" s="44"/>
      <c r="M793" s="514"/>
      <c r="Q793" s="293"/>
      <c r="R793" s="316"/>
      <c r="S793" s="355"/>
    </row>
    <row r="794" spans="9:19" x14ac:dyDescent="0.25">
      <c r="I794" s="314"/>
      <c r="J794" s="44"/>
      <c r="M794" s="514"/>
      <c r="Q794" s="293"/>
      <c r="R794" s="316"/>
      <c r="S794" s="355"/>
    </row>
    <row r="795" spans="9:19" x14ac:dyDescent="0.25">
      <c r="I795" s="314"/>
      <c r="J795" s="44"/>
      <c r="M795" s="514"/>
      <c r="Q795" s="293"/>
      <c r="R795" s="316"/>
      <c r="S795" s="355"/>
    </row>
    <row r="796" spans="9:19" x14ac:dyDescent="0.25">
      <c r="I796" s="314"/>
      <c r="J796" s="44"/>
      <c r="M796" s="514"/>
      <c r="Q796" s="293"/>
      <c r="R796" s="316"/>
      <c r="S796" s="355"/>
    </row>
    <row r="797" spans="9:19" x14ac:dyDescent="0.25">
      <c r="I797" s="314"/>
      <c r="J797" s="44"/>
      <c r="M797" s="514"/>
      <c r="Q797" s="293"/>
      <c r="R797" s="316"/>
      <c r="S797" s="355"/>
    </row>
    <row r="798" spans="9:19" x14ac:dyDescent="0.25">
      <c r="I798" s="314"/>
      <c r="J798" s="44"/>
      <c r="M798" s="514"/>
      <c r="Q798" s="293"/>
      <c r="R798" s="316"/>
      <c r="S798" s="355"/>
    </row>
    <row r="799" spans="9:19" x14ac:dyDescent="0.25">
      <c r="I799" s="314"/>
      <c r="J799" s="44"/>
      <c r="M799" s="514"/>
      <c r="Q799" s="293"/>
      <c r="R799" s="316"/>
      <c r="S799" s="355"/>
    </row>
    <row r="800" spans="9:19" x14ac:dyDescent="0.25">
      <c r="I800" s="314"/>
      <c r="J800" s="44"/>
      <c r="M800" s="514"/>
      <c r="Q800" s="293"/>
      <c r="R800" s="316"/>
      <c r="S800" s="355"/>
    </row>
    <row r="801" spans="9:19" x14ac:dyDescent="0.25">
      <c r="I801" s="314"/>
      <c r="J801" s="45"/>
      <c r="M801" s="514"/>
      <c r="Q801" s="293"/>
      <c r="R801" s="316"/>
      <c r="S801" s="355"/>
    </row>
    <row r="802" spans="9:19" x14ac:dyDescent="0.25">
      <c r="I802" s="314"/>
      <c r="J802" s="45"/>
      <c r="M802" s="514"/>
      <c r="Q802" s="293"/>
      <c r="R802" s="316"/>
      <c r="S802" s="355"/>
    </row>
    <row r="803" spans="9:19" x14ac:dyDescent="0.25">
      <c r="I803" s="314"/>
      <c r="J803" s="45"/>
      <c r="M803" s="514"/>
      <c r="Q803" s="293"/>
      <c r="R803" s="316"/>
      <c r="S803" s="355"/>
    </row>
    <row r="804" spans="9:19" x14ac:dyDescent="0.25">
      <c r="I804" s="314"/>
      <c r="J804" s="45"/>
      <c r="M804" s="514"/>
      <c r="Q804" s="293"/>
      <c r="R804" s="316"/>
      <c r="S804" s="355"/>
    </row>
    <row r="805" spans="9:19" x14ac:dyDescent="0.25">
      <c r="I805" s="314"/>
      <c r="J805" s="45"/>
      <c r="M805" s="514"/>
      <c r="Q805" s="293"/>
      <c r="R805" s="316"/>
      <c r="S805" s="355"/>
    </row>
    <row r="806" spans="9:19" x14ac:dyDescent="0.25">
      <c r="I806" s="314"/>
      <c r="J806" s="45"/>
      <c r="M806" s="514"/>
      <c r="Q806" s="293"/>
      <c r="R806" s="316"/>
      <c r="S806" s="355"/>
    </row>
    <row r="807" spans="9:19" x14ac:dyDescent="0.25">
      <c r="I807" s="314"/>
      <c r="J807" s="45"/>
      <c r="M807" s="514"/>
      <c r="Q807" s="293"/>
      <c r="R807" s="316"/>
      <c r="S807" s="355"/>
    </row>
    <row r="808" spans="9:19" x14ac:dyDescent="0.25">
      <c r="I808" s="314"/>
      <c r="J808" s="45"/>
      <c r="M808" s="514"/>
      <c r="Q808" s="293"/>
      <c r="R808" s="316"/>
      <c r="S808" s="355"/>
    </row>
    <row r="809" spans="9:19" x14ac:dyDescent="0.25">
      <c r="I809" s="314"/>
      <c r="J809" s="45"/>
      <c r="M809" s="514"/>
      <c r="Q809" s="293"/>
      <c r="R809" s="316"/>
      <c r="S809" s="355"/>
    </row>
    <row r="810" spans="9:19" x14ac:dyDescent="0.25">
      <c r="I810" s="314"/>
      <c r="J810" s="45"/>
      <c r="M810" s="514"/>
      <c r="Q810" s="293"/>
      <c r="R810" s="316"/>
      <c r="S810" s="355"/>
    </row>
    <row r="811" spans="9:19" x14ac:dyDescent="0.25">
      <c r="I811" s="314"/>
      <c r="J811" s="45"/>
      <c r="M811" s="514"/>
      <c r="Q811" s="293"/>
      <c r="R811" s="316"/>
      <c r="S811" s="355"/>
    </row>
    <row r="812" spans="9:19" x14ac:dyDescent="0.25">
      <c r="I812" s="314"/>
      <c r="J812" s="45"/>
      <c r="M812" s="514"/>
      <c r="Q812" s="293"/>
      <c r="R812" s="316"/>
      <c r="S812" s="355"/>
    </row>
    <row r="813" spans="9:19" x14ac:dyDescent="0.25">
      <c r="I813" s="314"/>
      <c r="J813" s="45"/>
      <c r="M813" s="514"/>
      <c r="Q813" s="293"/>
      <c r="R813" s="316"/>
      <c r="S813" s="355"/>
    </row>
    <row r="814" spans="9:19" x14ac:dyDescent="0.25">
      <c r="I814" s="314"/>
      <c r="J814" s="45"/>
      <c r="M814" s="514"/>
      <c r="Q814" s="293"/>
      <c r="R814" s="316"/>
      <c r="S814" s="355"/>
    </row>
    <row r="815" spans="9:19" x14ac:dyDescent="0.25">
      <c r="I815" s="314"/>
      <c r="J815" s="45"/>
      <c r="M815" s="514"/>
      <c r="Q815" s="293"/>
      <c r="R815" s="316"/>
      <c r="S815" s="355"/>
    </row>
    <row r="816" spans="9:19" x14ac:dyDescent="0.25">
      <c r="I816" s="314"/>
      <c r="J816" s="45"/>
      <c r="M816" s="514"/>
      <c r="Q816" s="293"/>
      <c r="R816" s="316"/>
      <c r="S816" s="355"/>
    </row>
    <row r="817" spans="9:19" x14ac:dyDescent="0.25">
      <c r="I817" s="314"/>
      <c r="J817" s="45"/>
      <c r="M817" s="514"/>
      <c r="Q817" s="293"/>
      <c r="R817" s="316"/>
      <c r="S817" s="355"/>
    </row>
    <row r="818" spans="9:19" x14ac:dyDescent="0.25">
      <c r="I818" s="314"/>
      <c r="J818" s="45"/>
      <c r="M818" s="514"/>
      <c r="Q818" s="293"/>
      <c r="R818" s="316"/>
      <c r="S818" s="355"/>
    </row>
    <row r="819" spans="9:19" x14ac:dyDescent="0.25">
      <c r="I819" s="314"/>
      <c r="J819" s="45"/>
      <c r="M819" s="514"/>
      <c r="Q819" s="293"/>
      <c r="R819" s="316"/>
      <c r="S819" s="355"/>
    </row>
    <row r="820" spans="9:19" x14ac:dyDescent="0.25">
      <c r="I820" s="314"/>
      <c r="J820" s="45"/>
      <c r="M820" s="514"/>
      <c r="Q820" s="293"/>
      <c r="R820" s="316"/>
      <c r="S820" s="355"/>
    </row>
    <row r="821" spans="9:19" x14ac:dyDescent="0.25">
      <c r="I821" s="314"/>
      <c r="J821" s="45"/>
      <c r="M821" s="514"/>
      <c r="Q821" s="293"/>
      <c r="R821" s="316"/>
      <c r="S821" s="355"/>
    </row>
    <row r="822" spans="9:19" x14ac:dyDescent="0.25">
      <c r="I822" s="314"/>
      <c r="J822" s="45"/>
      <c r="M822" s="514"/>
      <c r="Q822" s="293"/>
      <c r="R822" s="316"/>
      <c r="S822" s="355"/>
    </row>
    <row r="823" spans="9:19" x14ac:dyDescent="0.25">
      <c r="I823" s="314"/>
      <c r="J823" s="45"/>
      <c r="M823" s="514"/>
      <c r="Q823" s="293"/>
      <c r="R823" s="316"/>
      <c r="S823" s="355"/>
    </row>
    <row r="824" spans="9:19" x14ac:dyDescent="0.25">
      <c r="I824" s="314"/>
      <c r="J824" s="45"/>
      <c r="M824" s="514"/>
      <c r="Q824" s="293"/>
      <c r="R824" s="316"/>
      <c r="S824" s="355"/>
    </row>
    <row r="825" spans="9:19" x14ac:dyDescent="0.25">
      <c r="I825" s="314"/>
      <c r="J825" s="45"/>
      <c r="M825" s="514"/>
      <c r="Q825" s="293"/>
      <c r="R825" s="316"/>
      <c r="S825" s="355"/>
    </row>
    <row r="826" spans="9:19" x14ac:dyDescent="0.25">
      <c r="I826" s="314"/>
      <c r="J826" s="45"/>
      <c r="M826" s="514"/>
      <c r="Q826" s="293"/>
      <c r="R826" s="316"/>
      <c r="S826" s="355"/>
    </row>
    <row r="827" spans="9:19" x14ac:dyDescent="0.25">
      <c r="I827" s="314"/>
      <c r="J827" s="45"/>
      <c r="M827" s="514"/>
      <c r="Q827" s="293"/>
      <c r="R827" s="316"/>
      <c r="S827" s="355"/>
    </row>
    <row r="828" spans="9:19" x14ac:dyDescent="0.25">
      <c r="I828" s="314"/>
      <c r="J828" s="45"/>
      <c r="M828" s="514"/>
      <c r="Q828" s="293"/>
      <c r="R828" s="316"/>
      <c r="S828" s="355"/>
    </row>
    <row r="829" spans="9:19" x14ac:dyDescent="0.25">
      <c r="I829" s="314"/>
      <c r="J829" s="45"/>
      <c r="M829" s="514"/>
      <c r="Q829" s="293"/>
      <c r="R829" s="316"/>
      <c r="S829" s="355"/>
    </row>
    <row r="830" spans="9:19" x14ac:dyDescent="0.25">
      <c r="I830" s="314"/>
      <c r="J830" s="45"/>
      <c r="M830" s="514"/>
      <c r="Q830" s="293"/>
      <c r="R830" s="316"/>
      <c r="S830" s="355"/>
    </row>
    <row r="831" spans="9:19" x14ac:dyDescent="0.25">
      <c r="I831" s="314"/>
      <c r="J831" s="45"/>
      <c r="M831" s="514"/>
      <c r="Q831" s="293"/>
      <c r="R831" s="316"/>
      <c r="S831" s="355"/>
    </row>
    <row r="832" spans="9:19" x14ac:dyDescent="0.25">
      <c r="I832" s="314"/>
      <c r="J832" s="45"/>
      <c r="M832" s="514"/>
      <c r="Q832" s="293"/>
      <c r="R832" s="316"/>
      <c r="S832" s="355"/>
    </row>
    <row r="833" spans="9:19" x14ac:dyDescent="0.25">
      <c r="I833" s="314"/>
      <c r="J833" s="45"/>
      <c r="M833" s="514"/>
      <c r="Q833" s="293"/>
      <c r="R833" s="316"/>
      <c r="S833" s="355"/>
    </row>
    <row r="834" spans="9:19" x14ac:dyDescent="0.25">
      <c r="I834" s="314"/>
      <c r="J834" s="45"/>
      <c r="M834" s="514"/>
      <c r="Q834" s="293"/>
      <c r="R834" s="316"/>
      <c r="S834" s="355"/>
    </row>
    <row r="835" spans="9:19" x14ac:dyDescent="0.25">
      <c r="I835" s="314"/>
      <c r="J835" s="45"/>
      <c r="M835" s="514"/>
      <c r="Q835" s="293"/>
      <c r="R835" s="316"/>
      <c r="S835" s="355"/>
    </row>
    <row r="836" spans="9:19" x14ac:dyDescent="0.25">
      <c r="I836" s="314"/>
      <c r="J836" s="45"/>
      <c r="M836" s="514"/>
      <c r="Q836" s="293"/>
      <c r="R836" s="316"/>
      <c r="S836" s="355"/>
    </row>
    <row r="837" spans="9:19" x14ac:dyDescent="0.25">
      <c r="I837" s="314"/>
      <c r="J837" s="45"/>
      <c r="M837" s="514"/>
      <c r="Q837" s="293"/>
      <c r="R837" s="316"/>
      <c r="S837" s="355"/>
    </row>
    <row r="838" spans="9:19" x14ac:dyDescent="0.25">
      <c r="I838" s="314"/>
      <c r="J838" s="45"/>
      <c r="M838" s="514"/>
      <c r="Q838" s="293"/>
      <c r="R838" s="316"/>
      <c r="S838" s="355"/>
    </row>
    <row r="839" spans="9:19" x14ac:dyDescent="0.25">
      <c r="I839" s="314"/>
      <c r="J839" s="45"/>
      <c r="M839" s="514"/>
      <c r="Q839" s="293"/>
      <c r="R839" s="316"/>
      <c r="S839" s="355"/>
    </row>
    <row r="840" spans="9:19" x14ac:dyDescent="0.25">
      <c r="I840" s="314"/>
      <c r="J840" s="45"/>
      <c r="M840" s="514"/>
      <c r="Q840" s="293"/>
      <c r="R840" s="316"/>
      <c r="S840" s="355"/>
    </row>
    <row r="841" spans="9:19" x14ac:dyDescent="0.25">
      <c r="I841" s="314"/>
      <c r="J841" s="45"/>
      <c r="M841" s="514"/>
      <c r="Q841" s="293"/>
      <c r="R841" s="316"/>
      <c r="S841" s="355"/>
    </row>
    <row r="842" spans="9:19" x14ac:dyDescent="0.25">
      <c r="I842" s="314"/>
      <c r="J842" s="45"/>
      <c r="M842" s="514"/>
      <c r="Q842" s="293"/>
      <c r="R842" s="316"/>
      <c r="S842" s="355"/>
    </row>
    <row r="843" spans="9:19" x14ac:dyDescent="0.25">
      <c r="I843" s="314"/>
      <c r="J843" s="45"/>
      <c r="M843" s="514"/>
      <c r="Q843" s="293"/>
      <c r="R843" s="316"/>
      <c r="S843" s="355"/>
    </row>
    <row r="844" spans="9:19" x14ac:dyDescent="0.25">
      <c r="I844" s="314"/>
      <c r="J844" s="45"/>
      <c r="M844" s="514"/>
      <c r="Q844" s="293"/>
      <c r="R844" s="316"/>
      <c r="S844" s="355"/>
    </row>
    <row r="845" spans="9:19" x14ac:dyDescent="0.25">
      <c r="I845" s="314"/>
      <c r="J845" s="45"/>
      <c r="M845" s="514"/>
      <c r="Q845" s="293"/>
      <c r="R845" s="316"/>
      <c r="S845" s="355"/>
    </row>
    <row r="846" spans="9:19" x14ac:dyDescent="0.25">
      <c r="I846" s="314"/>
      <c r="J846" s="45"/>
      <c r="M846" s="514"/>
      <c r="Q846" s="293"/>
      <c r="R846" s="316"/>
      <c r="S846" s="355"/>
    </row>
    <row r="847" spans="9:19" x14ac:dyDescent="0.25">
      <c r="I847" s="314"/>
      <c r="J847" s="45"/>
      <c r="M847" s="514"/>
      <c r="Q847" s="293"/>
      <c r="R847" s="316"/>
      <c r="S847" s="355"/>
    </row>
    <row r="848" spans="9:19" x14ac:dyDescent="0.25">
      <c r="I848" s="314"/>
      <c r="J848" s="45"/>
      <c r="M848" s="514"/>
      <c r="Q848" s="293"/>
      <c r="R848" s="316"/>
      <c r="S848" s="355"/>
    </row>
    <row r="849" spans="9:19" x14ac:dyDescent="0.25">
      <c r="I849" s="314"/>
      <c r="J849" s="45"/>
      <c r="M849" s="514"/>
      <c r="Q849" s="293"/>
      <c r="R849" s="316"/>
      <c r="S849" s="355"/>
    </row>
    <row r="850" spans="9:19" x14ac:dyDescent="0.25">
      <c r="I850" s="314"/>
      <c r="J850" s="45"/>
      <c r="M850" s="514"/>
      <c r="Q850" s="293"/>
      <c r="R850" s="316"/>
      <c r="S850" s="355"/>
    </row>
    <row r="851" spans="9:19" x14ac:dyDescent="0.25">
      <c r="I851" s="314"/>
      <c r="J851" s="45"/>
      <c r="M851" s="514"/>
      <c r="Q851" s="293"/>
      <c r="R851" s="316"/>
      <c r="S851" s="355"/>
    </row>
    <row r="852" spans="9:19" x14ac:dyDescent="0.25">
      <c r="I852" s="314"/>
      <c r="J852" s="45"/>
      <c r="M852" s="514"/>
      <c r="Q852" s="293"/>
      <c r="R852" s="316"/>
      <c r="S852" s="355"/>
    </row>
    <row r="853" spans="9:19" x14ac:dyDescent="0.25">
      <c r="I853" s="314"/>
      <c r="J853" s="45"/>
      <c r="M853" s="514"/>
      <c r="Q853" s="293"/>
      <c r="R853" s="316"/>
      <c r="S853" s="355"/>
    </row>
    <row r="854" spans="9:19" x14ac:dyDescent="0.25">
      <c r="I854" s="314"/>
      <c r="J854" s="45"/>
      <c r="M854" s="514"/>
      <c r="Q854" s="293"/>
      <c r="R854" s="316"/>
      <c r="S854" s="355"/>
    </row>
    <row r="855" spans="9:19" x14ac:dyDescent="0.25">
      <c r="I855" s="314"/>
      <c r="J855" s="45"/>
      <c r="M855" s="514"/>
      <c r="Q855" s="293"/>
      <c r="R855" s="316"/>
      <c r="S855" s="355"/>
    </row>
    <row r="856" spans="9:19" x14ac:dyDescent="0.25">
      <c r="I856" s="314"/>
      <c r="J856" s="45"/>
      <c r="M856" s="514"/>
      <c r="Q856" s="293"/>
      <c r="R856" s="316"/>
      <c r="S856" s="355"/>
    </row>
    <row r="857" spans="9:19" x14ac:dyDescent="0.25">
      <c r="I857" s="314"/>
      <c r="J857" s="45"/>
      <c r="M857" s="514"/>
      <c r="Q857" s="293"/>
      <c r="R857" s="316"/>
      <c r="S857" s="355"/>
    </row>
    <row r="858" spans="9:19" x14ac:dyDescent="0.25">
      <c r="I858" s="314"/>
      <c r="J858" s="45"/>
      <c r="M858" s="514"/>
      <c r="Q858" s="293"/>
      <c r="R858" s="316"/>
      <c r="S858" s="355"/>
    </row>
    <row r="859" spans="9:19" x14ac:dyDescent="0.25">
      <c r="I859" s="314"/>
      <c r="J859" s="45"/>
      <c r="M859" s="514"/>
      <c r="Q859" s="293"/>
      <c r="R859" s="316"/>
      <c r="S859" s="355"/>
    </row>
    <row r="860" spans="9:19" x14ac:dyDescent="0.25">
      <c r="I860" s="314"/>
      <c r="J860" s="45"/>
      <c r="M860" s="514"/>
      <c r="Q860" s="293"/>
      <c r="R860" s="316"/>
      <c r="S860" s="355"/>
    </row>
    <row r="861" spans="9:19" x14ac:dyDescent="0.25">
      <c r="I861" s="314"/>
      <c r="J861" s="45"/>
      <c r="M861" s="514"/>
      <c r="Q861" s="293"/>
      <c r="R861" s="316"/>
      <c r="S861" s="355"/>
    </row>
    <row r="862" spans="9:19" x14ac:dyDescent="0.25">
      <c r="I862" s="314"/>
      <c r="J862" s="45"/>
      <c r="M862" s="514"/>
      <c r="Q862" s="293"/>
      <c r="R862" s="316"/>
      <c r="S862" s="355"/>
    </row>
    <row r="863" spans="9:19" x14ac:dyDescent="0.25">
      <c r="I863" s="314"/>
      <c r="J863" s="45"/>
      <c r="M863" s="514"/>
      <c r="Q863" s="293"/>
      <c r="R863" s="316"/>
      <c r="S863" s="355"/>
    </row>
    <row r="864" spans="9:19" x14ac:dyDescent="0.25">
      <c r="I864" s="314"/>
      <c r="J864" s="45"/>
      <c r="M864" s="514"/>
      <c r="Q864" s="293"/>
      <c r="R864" s="316"/>
      <c r="S864" s="355"/>
    </row>
    <row r="865" spans="9:19" x14ac:dyDescent="0.25">
      <c r="I865" s="314"/>
      <c r="J865" s="45"/>
      <c r="M865" s="514"/>
      <c r="Q865" s="293"/>
      <c r="R865" s="316"/>
      <c r="S865" s="355"/>
    </row>
    <row r="866" spans="9:19" x14ac:dyDescent="0.25">
      <c r="I866" s="314"/>
      <c r="J866" s="45"/>
      <c r="M866" s="514"/>
      <c r="Q866" s="293"/>
      <c r="R866" s="316"/>
      <c r="S866" s="355"/>
    </row>
    <row r="867" spans="9:19" x14ac:dyDescent="0.25">
      <c r="I867" s="314"/>
      <c r="J867" s="45"/>
      <c r="M867" s="514"/>
      <c r="Q867" s="293"/>
      <c r="R867" s="316"/>
      <c r="S867" s="355"/>
    </row>
    <row r="868" spans="9:19" x14ac:dyDescent="0.25">
      <c r="I868" s="314"/>
      <c r="J868" s="45"/>
      <c r="M868" s="514"/>
      <c r="Q868" s="293"/>
      <c r="R868" s="316"/>
      <c r="S868" s="355"/>
    </row>
    <row r="869" spans="9:19" x14ac:dyDescent="0.25">
      <c r="I869" s="314"/>
      <c r="J869" s="45"/>
      <c r="M869" s="514"/>
      <c r="Q869" s="293"/>
      <c r="R869" s="316"/>
      <c r="S869" s="355"/>
    </row>
    <row r="870" spans="9:19" x14ac:dyDescent="0.25">
      <c r="I870" s="314"/>
      <c r="J870" s="45"/>
      <c r="M870" s="514"/>
      <c r="Q870" s="293"/>
      <c r="R870" s="316"/>
      <c r="S870" s="355"/>
    </row>
    <row r="871" spans="9:19" x14ac:dyDescent="0.25">
      <c r="I871" s="314"/>
      <c r="J871" s="45"/>
      <c r="M871" s="514"/>
      <c r="Q871" s="293"/>
      <c r="R871" s="316"/>
      <c r="S871" s="355"/>
    </row>
    <row r="872" spans="9:19" x14ac:dyDescent="0.25">
      <c r="I872" s="314"/>
      <c r="J872" s="45"/>
      <c r="M872" s="514"/>
      <c r="Q872" s="293"/>
      <c r="R872" s="316"/>
      <c r="S872" s="355"/>
    </row>
    <row r="873" spans="9:19" x14ac:dyDescent="0.25">
      <c r="I873" s="314"/>
      <c r="J873" s="45"/>
      <c r="M873" s="514"/>
      <c r="Q873" s="293"/>
      <c r="R873" s="316"/>
      <c r="S873" s="355"/>
    </row>
    <row r="874" spans="9:19" x14ac:dyDescent="0.25">
      <c r="I874" s="314"/>
      <c r="J874" s="45"/>
      <c r="M874" s="514"/>
      <c r="Q874" s="293"/>
      <c r="R874" s="316"/>
      <c r="S874" s="355"/>
    </row>
    <row r="875" spans="9:19" x14ac:dyDescent="0.25">
      <c r="I875" s="314"/>
      <c r="J875" s="45"/>
      <c r="M875" s="514"/>
      <c r="Q875" s="293"/>
      <c r="R875" s="316"/>
      <c r="S875" s="355"/>
    </row>
    <row r="876" spans="9:19" x14ac:dyDescent="0.25">
      <c r="I876" s="314"/>
      <c r="J876" s="45"/>
      <c r="M876" s="514"/>
      <c r="Q876" s="293"/>
      <c r="R876" s="316"/>
      <c r="S876" s="355"/>
    </row>
    <row r="877" spans="9:19" x14ac:dyDescent="0.25">
      <c r="I877" s="314"/>
      <c r="J877" s="45"/>
      <c r="M877" s="514"/>
      <c r="Q877" s="293"/>
      <c r="R877" s="316"/>
      <c r="S877" s="355"/>
    </row>
    <row r="878" spans="9:19" x14ac:dyDescent="0.25">
      <c r="I878" s="314"/>
      <c r="J878" s="45"/>
      <c r="M878" s="514"/>
      <c r="Q878" s="293"/>
      <c r="R878" s="316"/>
      <c r="S878" s="355"/>
    </row>
    <row r="879" spans="9:19" x14ac:dyDescent="0.25">
      <c r="I879" s="314"/>
      <c r="J879" s="45"/>
      <c r="M879" s="514"/>
      <c r="Q879" s="293"/>
      <c r="R879" s="316"/>
      <c r="S879" s="355"/>
    </row>
    <row r="880" spans="9:19" x14ac:dyDescent="0.25">
      <c r="I880" s="314"/>
      <c r="J880" s="45"/>
      <c r="M880" s="514"/>
      <c r="Q880" s="293"/>
      <c r="R880" s="316"/>
      <c r="S880" s="355"/>
    </row>
    <row r="881" spans="9:19" x14ac:dyDescent="0.25">
      <c r="I881" s="314"/>
      <c r="J881" s="45"/>
      <c r="M881" s="514"/>
      <c r="Q881" s="293"/>
      <c r="R881" s="316"/>
      <c r="S881" s="355"/>
    </row>
    <row r="882" spans="9:19" x14ac:dyDescent="0.25">
      <c r="I882" s="314"/>
      <c r="J882" s="45"/>
      <c r="M882" s="514"/>
      <c r="Q882" s="293"/>
      <c r="R882" s="316"/>
      <c r="S882" s="355"/>
    </row>
    <row r="883" spans="9:19" x14ac:dyDescent="0.25">
      <c r="I883" s="314"/>
      <c r="J883" s="45"/>
      <c r="M883" s="514"/>
      <c r="Q883" s="293"/>
      <c r="R883" s="316"/>
      <c r="S883" s="355"/>
    </row>
    <row r="884" spans="9:19" x14ac:dyDescent="0.25">
      <c r="I884" s="314"/>
      <c r="J884" s="45"/>
      <c r="M884" s="514"/>
      <c r="Q884" s="293"/>
      <c r="R884" s="316"/>
      <c r="S884" s="355"/>
    </row>
    <row r="885" spans="9:19" x14ac:dyDescent="0.25">
      <c r="I885" s="314"/>
      <c r="J885" s="45"/>
      <c r="M885" s="514"/>
      <c r="Q885" s="293"/>
      <c r="R885" s="316"/>
      <c r="S885" s="355"/>
    </row>
    <row r="886" spans="9:19" x14ac:dyDescent="0.25">
      <c r="I886" s="314"/>
      <c r="J886" s="45"/>
      <c r="M886" s="514"/>
      <c r="Q886" s="293"/>
      <c r="R886" s="316"/>
      <c r="S886" s="355"/>
    </row>
    <row r="887" spans="9:19" x14ac:dyDescent="0.25">
      <c r="I887" s="314"/>
      <c r="J887" s="45"/>
      <c r="M887" s="514"/>
      <c r="Q887" s="293"/>
      <c r="R887" s="316"/>
      <c r="S887" s="355"/>
    </row>
    <row r="888" spans="9:19" x14ac:dyDescent="0.25">
      <c r="I888" s="314"/>
      <c r="J888" s="45"/>
      <c r="M888" s="514"/>
      <c r="Q888" s="293"/>
      <c r="R888" s="316"/>
      <c r="S888" s="355"/>
    </row>
    <row r="889" spans="9:19" x14ac:dyDescent="0.25">
      <c r="I889" s="314"/>
      <c r="J889" s="45"/>
      <c r="M889" s="514"/>
      <c r="Q889" s="293"/>
      <c r="R889" s="316"/>
      <c r="S889" s="355"/>
    </row>
    <row r="890" spans="9:19" x14ac:dyDescent="0.25">
      <c r="I890" s="314"/>
      <c r="J890" s="45"/>
      <c r="M890" s="514"/>
      <c r="Q890" s="293"/>
      <c r="R890" s="316"/>
      <c r="S890" s="355"/>
    </row>
    <row r="891" spans="9:19" x14ac:dyDescent="0.25">
      <c r="I891" s="314"/>
      <c r="J891" s="45"/>
      <c r="M891" s="514"/>
      <c r="Q891" s="293"/>
      <c r="R891" s="316"/>
      <c r="S891" s="355"/>
    </row>
    <row r="892" spans="9:19" x14ac:dyDescent="0.25">
      <c r="I892" s="314"/>
      <c r="J892" s="45"/>
      <c r="M892" s="514"/>
      <c r="Q892" s="293"/>
      <c r="R892" s="316"/>
      <c r="S892" s="355"/>
    </row>
    <row r="893" spans="9:19" x14ac:dyDescent="0.25">
      <c r="I893" s="314"/>
      <c r="J893" s="45"/>
      <c r="M893" s="514"/>
      <c r="Q893" s="293"/>
      <c r="R893" s="316"/>
      <c r="S893" s="355"/>
    </row>
    <row r="894" spans="9:19" x14ac:dyDescent="0.25">
      <c r="I894" s="314"/>
      <c r="J894" s="45"/>
      <c r="M894" s="514"/>
      <c r="Q894" s="293"/>
      <c r="R894" s="316"/>
      <c r="S894" s="355"/>
    </row>
    <row r="895" spans="9:19" x14ac:dyDescent="0.25">
      <c r="I895" s="314"/>
      <c r="J895" s="45"/>
      <c r="M895" s="514"/>
      <c r="Q895" s="293"/>
      <c r="R895" s="316"/>
      <c r="S895" s="355"/>
    </row>
    <row r="896" spans="9:19" x14ac:dyDescent="0.25">
      <c r="I896" s="314"/>
      <c r="J896" s="45"/>
      <c r="M896" s="514"/>
      <c r="Q896" s="293"/>
      <c r="R896" s="316"/>
      <c r="S896" s="355"/>
    </row>
    <row r="897" spans="9:19" x14ac:dyDescent="0.25">
      <c r="I897" s="314"/>
      <c r="J897" s="45"/>
      <c r="M897" s="514"/>
      <c r="Q897" s="293"/>
      <c r="R897" s="316"/>
      <c r="S897" s="355"/>
    </row>
    <row r="898" spans="9:19" x14ac:dyDescent="0.25">
      <c r="I898" s="314"/>
      <c r="J898" s="45"/>
      <c r="M898" s="514"/>
      <c r="Q898" s="293"/>
      <c r="R898" s="316"/>
      <c r="S898" s="355"/>
    </row>
    <row r="899" spans="9:19" x14ac:dyDescent="0.25">
      <c r="I899" s="314"/>
      <c r="J899" s="45"/>
      <c r="M899" s="514"/>
      <c r="Q899" s="293"/>
      <c r="R899" s="316"/>
      <c r="S899" s="355"/>
    </row>
    <row r="900" spans="9:19" x14ac:dyDescent="0.25">
      <c r="I900" s="314"/>
      <c r="J900" s="45"/>
      <c r="M900" s="514"/>
      <c r="Q900" s="293"/>
      <c r="R900" s="316"/>
      <c r="S900" s="355"/>
    </row>
    <row r="901" spans="9:19" x14ac:dyDescent="0.25">
      <c r="I901" s="314"/>
      <c r="J901" s="45"/>
      <c r="M901" s="514"/>
      <c r="Q901" s="293"/>
      <c r="R901" s="316"/>
      <c r="S901" s="355"/>
    </row>
    <row r="902" spans="9:19" x14ac:dyDescent="0.25">
      <c r="I902" s="314"/>
      <c r="J902" s="45"/>
      <c r="M902" s="514"/>
      <c r="Q902" s="293"/>
      <c r="R902" s="316"/>
      <c r="S902" s="355"/>
    </row>
    <row r="903" spans="9:19" x14ac:dyDescent="0.25">
      <c r="I903" s="314"/>
      <c r="J903" s="45"/>
      <c r="M903" s="514"/>
      <c r="Q903" s="293"/>
      <c r="R903" s="316"/>
      <c r="S903" s="355"/>
    </row>
    <row r="904" spans="9:19" x14ac:dyDescent="0.25">
      <c r="I904" s="314"/>
      <c r="J904" s="45"/>
      <c r="M904" s="514"/>
      <c r="Q904" s="293"/>
      <c r="R904" s="316"/>
      <c r="S904" s="355"/>
    </row>
    <row r="905" spans="9:19" x14ac:dyDescent="0.25">
      <c r="I905" s="314"/>
      <c r="J905" s="45"/>
      <c r="M905" s="514"/>
      <c r="Q905" s="293"/>
      <c r="R905" s="316"/>
      <c r="S905" s="355"/>
    </row>
    <row r="906" spans="9:19" x14ac:dyDescent="0.25">
      <c r="I906" s="314"/>
      <c r="J906" s="45"/>
      <c r="M906" s="514"/>
      <c r="Q906" s="293"/>
      <c r="R906" s="316"/>
      <c r="S906" s="355"/>
    </row>
    <row r="907" spans="9:19" x14ac:dyDescent="0.25">
      <c r="I907" s="314"/>
      <c r="J907" s="45"/>
      <c r="M907" s="514"/>
      <c r="Q907" s="293"/>
      <c r="R907" s="316"/>
      <c r="S907" s="355"/>
    </row>
    <row r="908" spans="9:19" x14ac:dyDescent="0.25">
      <c r="I908" s="314"/>
      <c r="J908" s="45"/>
      <c r="M908" s="514"/>
      <c r="Q908" s="293"/>
      <c r="R908" s="316"/>
      <c r="S908" s="355"/>
    </row>
    <row r="909" spans="9:19" x14ac:dyDescent="0.25">
      <c r="I909" s="314"/>
      <c r="J909" s="45"/>
      <c r="M909" s="514"/>
      <c r="Q909" s="293"/>
      <c r="R909" s="316"/>
      <c r="S909" s="355"/>
    </row>
    <row r="910" spans="9:19" x14ac:dyDescent="0.25">
      <c r="I910" s="314"/>
      <c r="J910" s="45"/>
      <c r="M910" s="514"/>
      <c r="Q910" s="293"/>
      <c r="R910" s="316"/>
      <c r="S910" s="355"/>
    </row>
    <row r="911" spans="9:19" x14ac:dyDescent="0.25">
      <c r="I911" s="314"/>
      <c r="J911" s="45"/>
      <c r="M911" s="514"/>
      <c r="Q911" s="293"/>
      <c r="R911" s="316"/>
      <c r="S911" s="355"/>
    </row>
    <row r="912" spans="9:19" x14ac:dyDescent="0.25">
      <c r="I912" s="314"/>
      <c r="J912" s="45"/>
      <c r="M912" s="514"/>
      <c r="Q912" s="293"/>
      <c r="R912" s="316"/>
      <c r="S912" s="355"/>
    </row>
    <row r="913" spans="9:19" x14ac:dyDescent="0.25">
      <c r="I913" s="314"/>
      <c r="J913" s="45"/>
      <c r="M913" s="514"/>
      <c r="Q913" s="293"/>
      <c r="R913" s="316"/>
      <c r="S913" s="355"/>
    </row>
    <row r="914" spans="9:19" x14ac:dyDescent="0.25">
      <c r="I914" s="314"/>
      <c r="J914" s="45"/>
      <c r="M914" s="514"/>
      <c r="Q914" s="293"/>
      <c r="R914" s="316"/>
      <c r="S914" s="355"/>
    </row>
    <row r="915" spans="9:19" x14ac:dyDescent="0.25">
      <c r="I915" s="314"/>
      <c r="J915" s="45"/>
      <c r="M915" s="514"/>
      <c r="Q915" s="293"/>
      <c r="R915" s="316"/>
      <c r="S915" s="355"/>
    </row>
    <row r="916" spans="9:19" x14ac:dyDescent="0.25">
      <c r="I916" s="314"/>
      <c r="J916" s="45"/>
      <c r="M916" s="514"/>
      <c r="Q916" s="293"/>
      <c r="R916" s="316"/>
      <c r="S916" s="355"/>
    </row>
    <row r="917" spans="9:19" x14ac:dyDescent="0.25">
      <c r="I917" s="314"/>
      <c r="J917" s="45"/>
      <c r="M917" s="514"/>
      <c r="Q917" s="293"/>
      <c r="R917" s="316"/>
      <c r="S917" s="355"/>
    </row>
    <row r="918" spans="9:19" x14ac:dyDescent="0.25">
      <c r="I918" s="314"/>
      <c r="J918" s="45"/>
      <c r="M918" s="514"/>
      <c r="Q918" s="293"/>
      <c r="R918" s="316"/>
      <c r="S918" s="355"/>
    </row>
    <row r="919" spans="9:19" x14ac:dyDescent="0.25">
      <c r="I919" s="314"/>
      <c r="J919" s="45"/>
      <c r="M919" s="514"/>
      <c r="Q919" s="293"/>
      <c r="R919" s="316"/>
      <c r="S919" s="355"/>
    </row>
    <row r="920" spans="9:19" x14ac:dyDescent="0.25">
      <c r="I920" s="314"/>
      <c r="J920" s="45"/>
      <c r="M920" s="514"/>
      <c r="Q920" s="293"/>
      <c r="R920" s="316"/>
      <c r="S920" s="355"/>
    </row>
    <row r="921" spans="9:19" x14ac:dyDescent="0.25">
      <c r="I921" s="314"/>
      <c r="J921" s="45"/>
      <c r="M921" s="514"/>
      <c r="Q921" s="293"/>
      <c r="R921" s="316"/>
      <c r="S921" s="355"/>
    </row>
    <row r="922" spans="9:19" x14ac:dyDescent="0.25">
      <c r="I922" s="314"/>
      <c r="J922" s="45"/>
      <c r="M922" s="514"/>
      <c r="Q922" s="293"/>
      <c r="R922" s="316"/>
      <c r="S922" s="355"/>
    </row>
    <row r="923" spans="9:19" x14ac:dyDescent="0.25">
      <c r="I923" s="314"/>
      <c r="J923" s="45"/>
      <c r="M923" s="514"/>
      <c r="Q923" s="293"/>
      <c r="R923" s="316"/>
      <c r="S923" s="355"/>
    </row>
    <row r="924" spans="9:19" x14ac:dyDescent="0.25">
      <c r="I924" s="314"/>
      <c r="J924" s="45"/>
      <c r="M924" s="514"/>
      <c r="Q924" s="293"/>
      <c r="R924" s="316"/>
      <c r="S924" s="355"/>
    </row>
    <row r="925" spans="9:19" x14ac:dyDescent="0.25">
      <c r="I925" s="314"/>
      <c r="J925" s="45"/>
      <c r="M925" s="514"/>
      <c r="Q925" s="293"/>
      <c r="R925" s="316"/>
      <c r="S925" s="355"/>
    </row>
    <row r="926" spans="9:19" x14ac:dyDescent="0.25">
      <c r="I926" s="314"/>
      <c r="J926" s="45"/>
      <c r="M926" s="514"/>
      <c r="Q926" s="293"/>
      <c r="R926" s="316"/>
      <c r="S926" s="355"/>
    </row>
    <row r="927" spans="9:19" x14ac:dyDescent="0.25">
      <c r="I927" s="314"/>
      <c r="J927" s="45"/>
      <c r="M927" s="514"/>
      <c r="Q927" s="293"/>
      <c r="R927" s="316"/>
      <c r="S927" s="355"/>
    </row>
    <row r="928" spans="9:19" x14ac:dyDescent="0.25">
      <c r="I928" s="314"/>
      <c r="J928" s="45"/>
      <c r="M928" s="514"/>
      <c r="Q928" s="293"/>
      <c r="R928" s="316"/>
      <c r="S928" s="355"/>
    </row>
    <row r="929" spans="9:19" x14ac:dyDescent="0.25">
      <c r="I929" s="314"/>
      <c r="J929" s="45"/>
      <c r="M929" s="514"/>
      <c r="Q929" s="293"/>
      <c r="R929" s="316"/>
      <c r="S929" s="355"/>
    </row>
    <row r="930" spans="9:19" x14ac:dyDescent="0.25">
      <c r="I930" s="314"/>
      <c r="J930" s="45"/>
      <c r="M930" s="514"/>
      <c r="Q930" s="293"/>
      <c r="R930" s="316"/>
      <c r="S930" s="355"/>
    </row>
    <row r="931" spans="9:19" x14ac:dyDescent="0.25">
      <c r="I931" s="314"/>
      <c r="J931" s="45"/>
      <c r="M931" s="514"/>
      <c r="Q931" s="293"/>
      <c r="R931" s="316"/>
      <c r="S931" s="355"/>
    </row>
    <row r="932" spans="9:19" x14ac:dyDescent="0.25">
      <c r="I932" s="314"/>
      <c r="J932" s="45"/>
      <c r="M932" s="514"/>
      <c r="Q932" s="293"/>
      <c r="R932" s="316"/>
      <c r="S932" s="355"/>
    </row>
    <row r="933" spans="9:19" x14ac:dyDescent="0.25">
      <c r="I933" s="314"/>
      <c r="J933" s="45"/>
      <c r="M933" s="514"/>
      <c r="Q933" s="293"/>
      <c r="R933" s="316"/>
      <c r="S933" s="355"/>
    </row>
    <row r="934" spans="9:19" x14ac:dyDescent="0.25">
      <c r="I934" s="314"/>
      <c r="J934" s="45"/>
      <c r="M934" s="514"/>
      <c r="Q934" s="293"/>
      <c r="R934" s="316"/>
      <c r="S934" s="355"/>
    </row>
    <row r="935" spans="9:19" x14ac:dyDescent="0.25">
      <c r="I935" s="314"/>
      <c r="J935" s="45"/>
      <c r="M935" s="514"/>
      <c r="Q935" s="293"/>
      <c r="R935" s="316"/>
      <c r="S935" s="355"/>
    </row>
    <row r="936" spans="9:19" x14ac:dyDescent="0.25">
      <c r="I936" s="314"/>
      <c r="J936" s="45"/>
      <c r="M936" s="514"/>
      <c r="Q936" s="293"/>
      <c r="R936" s="316"/>
      <c r="S936" s="355"/>
    </row>
    <row r="937" spans="9:19" x14ac:dyDescent="0.25">
      <c r="I937" s="314"/>
      <c r="J937" s="45"/>
      <c r="M937" s="514"/>
      <c r="Q937" s="293"/>
      <c r="R937" s="316"/>
      <c r="S937" s="355"/>
    </row>
    <row r="938" spans="9:19" x14ac:dyDescent="0.25">
      <c r="I938" s="314"/>
      <c r="J938" s="45"/>
      <c r="M938" s="514"/>
      <c r="Q938" s="293"/>
      <c r="R938" s="316"/>
      <c r="S938" s="355"/>
    </row>
    <row r="939" spans="9:19" x14ac:dyDescent="0.25">
      <c r="I939" s="314"/>
      <c r="J939" s="45"/>
      <c r="M939" s="514"/>
      <c r="Q939" s="293"/>
      <c r="R939" s="316"/>
      <c r="S939" s="355"/>
    </row>
    <row r="940" spans="9:19" x14ac:dyDescent="0.25">
      <c r="I940" s="314"/>
      <c r="J940" s="45"/>
      <c r="M940" s="514"/>
      <c r="Q940" s="293"/>
      <c r="R940" s="316"/>
      <c r="S940" s="355"/>
    </row>
    <row r="941" spans="9:19" x14ac:dyDescent="0.25">
      <c r="I941" s="314"/>
      <c r="J941" s="45"/>
      <c r="M941" s="514"/>
      <c r="Q941" s="293"/>
      <c r="R941" s="316"/>
      <c r="S941" s="355"/>
    </row>
    <row r="942" spans="9:19" x14ac:dyDescent="0.25">
      <c r="I942" s="314"/>
      <c r="J942" s="45"/>
      <c r="M942" s="514"/>
      <c r="Q942" s="293"/>
      <c r="R942" s="316"/>
      <c r="S942" s="355"/>
    </row>
    <row r="943" spans="9:19" x14ac:dyDescent="0.25">
      <c r="I943" s="314"/>
      <c r="J943" s="45"/>
      <c r="M943" s="514"/>
      <c r="Q943" s="293"/>
      <c r="R943" s="316"/>
      <c r="S943" s="355"/>
    </row>
    <row r="944" spans="9:19" x14ac:dyDescent="0.25">
      <c r="I944" s="314"/>
      <c r="J944" s="45"/>
      <c r="M944" s="514"/>
      <c r="Q944" s="293"/>
      <c r="R944" s="316"/>
      <c r="S944" s="355"/>
    </row>
    <row r="945" spans="9:19" x14ac:dyDescent="0.25">
      <c r="I945" s="314"/>
      <c r="J945" s="45"/>
      <c r="M945" s="514"/>
      <c r="Q945" s="293"/>
      <c r="R945" s="316"/>
      <c r="S945" s="355"/>
    </row>
    <row r="946" spans="9:19" x14ac:dyDescent="0.25">
      <c r="I946" s="314"/>
      <c r="J946" s="45"/>
      <c r="M946" s="514"/>
      <c r="Q946" s="293"/>
      <c r="R946" s="316"/>
      <c r="S946" s="355"/>
    </row>
    <row r="947" spans="9:19" x14ac:dyDescent="0.25">
      <c r="I947" s="314"/>
      <c r="J947" s="45"/>
      <c r="M947" s="514"/>
      <c r="Q947" s="293"/>
      <c r="R947" s="316"/>
      <c r="S947" s="355"/>
    </row>
    <row r="948" spans="9:19" x14ac:dyDescent="0.25">
      <c r="I948" s="314"/>
      <c r="J948" s="45"/>
      <c r="M948" s="514"/>
      <c r="Q948" s="293"/>
      <c r="R948" s="316"/>
      <c r="S948" s="355"/>
    </row>
    <row r="949" spans="9:19" x14ac:dyDescent="0.25">
      <c r="I949" s="314"/>
      <c r="J949" s="45"/>
      <c r="M949" s="514"/>
      <c r="Q949" s="293"/>
      <c r="R949" s="316"/>
      <c r="S949" s="355"/>
    </row>
    <row r="950" spans="9:19" x14ac:dyDescent="0.25">
      <c r="I950" s="314"/>
      <c r="J950" s="45"/>
      <c r="M950" s="514"/>
      <c r="Q950" s="293"/>
      <c r="R950" s="316"/>
      <c r="S950" s="355"/>
    </row>
    <row r="951" spans="9:19" x14ac:dyDescent="0.25">
      <c r="I951" s="314"/>
      <c r="J951" s="45"/>
      <c r="M951" s="514"/>
      <c r="Q951" s="293"/>
      <c r="R951" s="316"/>
      <c r="S951" s="355"/>
    </row>
    <row r="952" spans="9:19" x14ac:dyDescent="0.25">
      <c r="I952" s="314"/>
      <c r="J952" s="45"/>
      <c r="M952" s="514"/>
      <c r="Q952" s="293"/>
      <c r="R952" s="316"/>
      <c r="S952" s="355"/>
    </row>
    <row r="953" spans="9:19" x14ac:dyDescent="0.25">
      <c r="I953" s="314"/>
      <c r="J953" s="45"/>
      <c r="M953" s="514"/>
      <c r="Q953" s="293"/>
      <c r="R953" s="316"/>
      <c r="S953" s="355"/>
    </row>
    <row r="954" spans="9:19" x14ac:dyDescent="0.25">
      <c r="I954" s="314"/>
      <c r="J954" s="45"/>
      <c r="M954" s="514"/>
      <c r="Q954" s="293"/>
      <c r="R954" s="316"/>
      <c r="S954" s="355"/>
    </row>
    <row r="955" spans="9:19" x14ac:dyDescent="0.25">
      <c r="I955" s="314"/>
      <c r="J955" s="45"/>
      <c r="M955" s="514"/>
      <c r="Q955" s="293"/>
      <c r="R955" s="316"/>
      <c r="S955" s="355"/>
    </row>
    <row r="956" spans="9:19" x14ac:dyDescent="0.25">
      <c r="I956" s="314"/>
      <c r="J956" s="45"/>
      <c r="M956" s="514"/>
      <c r="Q956" s="293"/>
      <c r="R956" s="316"/>
      <c r="S956" s="355"/>
    </row>
    <row r="957" spans="9:19" x14ac:dyDescent="0.25">
      <c r="I957" s="314"/>
      <c r="J957" s="45"/>
      <c r="M957" s="514"/>
      <c r="Q957" s="293"/>
      <c r="R957" s="316"/>
      <c r="S957" s="355"/>
    </row>
    <row r="958" spans="9:19" x14ac:dyDescent="0.25">
      <c r="I958" s="314"/>
      <c r="J958" s="45"/>
      <c r="M958" s="514"/>
      <c r="Q958" s="293"/>
      <c r="R958" s="316"/>
      <c r="S958" s="355"/>
    </row>
    <row r="959" spans="9:19" x14ac:dyDescent="0.25">
      <c r="I959" s="314"/>
      <c r="J959" s="45"/>
      <c r="M959" s="514"/>
      <c r="Q959" s="293"/>
      <c r="R959" s="316"/>
      <c r="S959" s="355"/>
    </row>
    <row r="960" spans="9:19" x14ac:dyDescent="0.25">
      <c r="I960" s="314"/>
      <c r="J960" s="45"/>
      <c r="M960" s="514"/>
      <c r="Q960" s="293"/>
      <c r="R960" s="316"/>
      <c r="S960" s="355"/>
    </row>
    <row r="961" spans="9:19" x14ac:dyDescent="0.25">
      <c r="I961" s="314"/>
      <c r="J961" s="45"/>
      <c r="M961" s="514"/>
      <c r="Q961" s="293"/>
      <c r="R961" s="316"/>
      <c r="S961" s="355"/>
    </row>
    <row r="962" spans="9:19" x14ac:dyDescent="0.25">
      <c r="I962" s="314"/>
      <c r="J962" s="45"/>
      <c r="M962" s="514"/>
      <c r="Q962" s="293"/>
      <c r="R962" s="316"/>
      <c r="S962" s="355"/>
    </row>
    <row r="963" spans="9:19" x14ac:dyDescent="0.25">
      <c r="I963" s="314"/>
      <c r="J963" s="45"/>
      <c r="M963" s="514"/>
      <c r="Q963" s="293"/>
      <c r="R963" s="316"/>
      <c r="S963" s="355"/>
    </row>
    <row r="964" spans="9:19" x14ac:dyDescent="0.25">
      <c r="I964" s="314"/>
      <c r="J964" s="45"/>
      <c r="M964" s="514"/>
      <c r="Q964" s="293"/>
      <c r="R964" s="316"/>
      <c r="S964" s="355"/>
    </row>
    <row r="965" spans="9:19" x14ac:dyDescent="0.25">
      <c r="I965" s="314"/>
      <c r="J965" s="45"/>
      <c r="M965" s="514"/>
      <c r="Q965" s="293"/>
      <c r="R965" s="316"/>
      <c r="S965" s="355"/>
    </row>
    <row r="966" spans="9:19" x14ac:dyDescent="0.25">
      <c r="I966" s="314"/>
      <c r="J966" s="45"/>
      <c r="M966" s="514"/>
      <c r="Q966" s="293"/>
      <c r="R966" s="316"/>
      <c r="S966" s="355"/>
    </row>
    <row r="967" spans="9:19" x14ac:dyDescent="0.25">
      <c r="I967" s="314"/>
      <c r="J967" s="45"/>
      <c r="M967" s="514"/>
      <c r="Q967" s="293"/>
      <c r="R967" s="316"/>
      <c r="S967" s="355"/>
    </row>
    <row r="968" spans="9:19" x14ac:dyDescent="0.25">
      <c r="I968" s="314"/>
      <c r="J968" s="45"/>
      <c r="M968" s="514"/>
      <c r="Q968" s="293"/>
      <c r="R968" s="316"/>
      <c r="S968" s="355"/>
    </row>
    <row r="969" spans="9:19" x14ac:dyDescent="0.25">
      <c r="I969" s="314"/>
      <c r="J969" s="45"/>
      <c r="M969" s="514"/>
      <c r="Q969" s="293"/>
      <c r="R969" s="316"/>
      <c r="S969" s="355"/>
    </row>
    <row r="970" spans="9:19" x14ac:dyDescent="0.25">
      <c r="I970" s="314"/>
      <c r="J970" s="45"/>
      <c r="M970" s="514"/>
      <c r="Q970" s="293"/>
      <c r="R970" s="316"/>
      <c r="S970" s="355"/>
    </row>
    <row r="971" spans="9:19" x14ac:dyDescent="0.25">
      <c r="I971" s="314"/>
      <c r="J971" s="45"/>
      <c r="M971" s="514"/>
      <c r="Q971" s="293"/>
      <c r="R971" s="316"/>
      <c r="S971" s="355"/>
    </row>
    <row r="972" spans="9:19" x14ac:dyDescent="0.25">
      <c r="I972" s="314"/>
      <c r="J972" s="45"/>
      <c r="M972" s="514"/>
      <c r="Q972" s="293"/>
      <c r="R972" s="316"/>
      <c r="S972" s="355"/>
    </row>
    <row r="973" spans="9:19" x14ac:dyDescent="0.25">
      <c r="J973" s="45"/>
      <c r="M973" s="514"/>
      <c r="Q973" s="293"/>
      <c r="R973" s="316"/>
      <c r="S973" s="355"/>
    </row>
    <row r="974" spans="9:19" x14ac:dyDescent="0.25">
      <c r="J974" s="45"/>
      <c r="M974" s="514"/>
      <c r="Q974" s="293"/>
      <c r="R974" s="316"/>
      <c r="S974" s="355"/>
    </row>
    <row r="975" spans="9:19" x14ac:dyDescent="0.25">
      <c r="J975" s="45"/>
      <c r="M975" s="514"/>
      <c r="Q975" s="293"/>
      <c r="R975" s="316"/>
      <c r="S975" s="355"/>
    </row>
    <row r="976" spans="9:19" x14ac:dyDescent="0.25">
      <c r="J976" s="45"/>
      <c r="M976" s="514"/>
      <c r="Q976" s="293"/>
      <c r="R976" s="316"/>
      <c r="S976" s="355"/>
    </row>
    <row r="977" spans="10:19" x14ac:dyDescent="0.25">
      <c r="J977" s="45"/>
      <c r="M977" s="514"/>
      <c r="Q977" s="293"/>
      <c r="R977" s="316"/>
      <c r="S977" s="355"/>
    </row>
    <row r="978" spans="10:19" x14ac:dyDescent="0.25">
      <c r="J978" s="45"/>
      <c r="M978" s="514"/>
      <c r="Q978" s="293"/>
      <c r="R978" s="316"/>
      <c r="S978" s="355"/>
    </row>
    <row r="979" spans="10:19" x14ac:dyDescent="0.25">
      <c r="J979" s="45"/>
      <c r="M979" s="514"/>
      <c r="Q979" s="293"/>
      <c r="R979" s="316"/>
      <c r="S979" s="355"/>
    </row>
    <row r="980" spans="10:19" x14ac:dyDescent="0.25">
      <c r="J980" s="45"/>
      <c r="M980" s="514"/>
      <c r="Q980" s="293"/>
      <c r="R980" s="316"/>
      <c r="S980" s="355"/>
    </row>
    <row r="981" spans="10:19" x14ac:dyDescent="0.25">
      <c r="J981" s="45"/>
      <c r="M981" s="514"/>
      <c r="Q981" s="293"/>
      <c r="R981" s="316"/>
      <c r="S981" s="355"/>
    </row>
    <row r="982" spans="10:19" x14ac:dyDescent="0.25">
      <c r="J982" s="45"/>
      <c r="M982" s="514"/>
      <c r="Q982" s="293"/>
      <c r="R982" s="316"/>
      <c r="S982" s="355"/>
    </row>
    <row r="983" spans="10:19" x14ac:dyDescent="0.25">
      <c r="J983" s="45"/>
      <c r="M983" s="514"/>
      <c r="Q983" s="293"/>
      <c r="R983" s="316"/>
      <c r="S983" s="355"/>
    </row>
    <row r="984" spans="10:19" x14ac:dyDescent="0.25">
      <c r="J984" s="45"/>
      <c r="M984" s="514"/>
      <c r="Q984" s="293"/>
      <c r="R984" s="316"/>
      <c r="S984" s="355"/>
    </row>
    <row r="985" spans="10:19" x14ac:dyDescent="0.25">
      <c r="J985" s="45"/>
      <c r="M985" s="514"/>
      <c r="Q985" s="293"/>
      <c r="R985" s="316"/>
      <c r="S985" s="355"/>
    </row>
    <row r="986" spans="10:19" x14ac:dyDescent="0.25">
      <c r="J986" s="45"/>
      <c r="M986" s="514"/>
      <c r="Q986" s="293"/>
      <c r="R986" s="316"/>
      <c r="S986" s="355"/>
    </row>
    <row r="987" spans="10:19" x14ac:dyDescent="0.25">
      <c r="J987" s="45"/>
      <c r="M987" s="514"/>
      <c r="Q987" s="293"/>
      <c r="R987" s="316"/>
      <c r="S987" s="355"/>
    </row>
    <row r="988" spans="10:19" x14ac:dyDescent="0.25">
      <c r="J988" s="45"/>
      <c r="M988" s="514"/>
      <c r="Q988" s="293"/>
      <c r="R988" s="316"/>
      <c r="S988" s="355"/>
    </row>
    <row r="989" spans="10:19" x14ac:dyDescent="0.25">
      <c r="J989" s="45"/>
      <c r="M989" s="514"/>
      <c r="Q989" s="293"/>
      <c r="R989" s="316"/>
      <c r="S989" s="355"/>
    </row>
    <row r="990" spans="10:19" x14ac:dyDescent="0.25">
      <c r="J990" s="45"/>
      <c r="M990" s="514"/>
      <c r="Q990" s="293"/>
      <c r="R990" s="316"/>
      <c r="S990" s="355"/>
    </row>
    <row r="991" spans="10:19" x14ac:dyDescent="0.25">
      <c r="J991" s="45"/>
      <c r="M991" s="514"/>
      <c r="Q991" s="293"/>
      <c r="R991" s="316"/>
      <c r="S991" s="355"/>
    </row>
    <row r="992" spans="10:19" x14ac:dyDescent="0.25">
      <c r="J992" s="45"/>
      <c r="M992" s="514"/>
      <c r="Q992" s="293"/>
      <c r="R992" s="316"/>
      <c r="S992" s="355"/>
    </row>
    <row r="993" spans="10:19" x14ac:dyDescent="0.25">
      <c r="J993" s="45"/>
      <c r="M993" s="514"/>
      <c r="Q993" s="293"/>
      <c r="R993" s="316"/>
      <c r="S993" s="355"/>
    </row>
    <row r="994" spans="10:19" x14ac:dyDescent="0.25">
      <c r="J994" s="45"/>
      <c r="M994" s="514"/>
      <c r="Q994" s="293"/>
      <c r="R994" s="316"/>
      <c r="S994" s="355"/>
    </row>
    <row r="995" spans="10:19" x14ac:dyDescent="0.25">
      <c r="J995" s="45"/>
      <c r="M995" s="514"/>
      <c r="Q995" s="293"/>
      <c r="R995" s="316"/>
      <c r="S995" s="355"/>
    </row>
    <row r="996" spans="10:19" x14ac:dyDescent="0.25">
      <c r="J996" s="45"/>
      <c r="M996" s="514"/>
      <c r="Q996" s="293"/>
      <c r="R996" s="316"/>
      <c r="S996" s="355"/>
    </row>
    <row r="997" spans="10:19" x14ac:dyDescent="0.25">
      <c r="J997" s="45"/>
      <c r="M997" s="514"/>
      <c r="Q997" s="293"/>
      <c r="R997" s="316"/>
      <c r="S997" s="355"/>
    </row>
    <row r="998" spans="10:19" x14ac:dyDescent="0.25">
      <c r="J998" s="45"/>
      <c r="M998" s="514"/>
      <c r="Q998" s="293"/>
      <c r="R998" s="316"/>
      <c r="S998" s="355"/>
    </row>
    <row r="999" spans="10:19" x14ac:dyDescent="0.25">
      <c r="J999" s="45"/>
      <c r="M999" s="514"/>
      <c r="Q999" s="293"/>
      <c r="R999" s="316"/>
      <c r="S999" s="355"/>
    </row>
    <row r="1000" spans="10:19" x14ac:dyDescent="0.25">
      <c r="J1000" s="45"/>
      <c r="M1000" s="514"/>
      <c r="Q1000" s="293"/>
      <c r="R1000" s="316"/>
      <c r="S1000" s="355"/>
    </row>
    <row r="1001" spans="10:19" x14ac:dyDescent="0.25">
      <c r="J1001" s="45"/>
      <c r="M1001" s="514"/>
      <c r="Q1001" s="293"/>
      <c r="R1001" s="316"/>
      <c r="S1001" s="355"/>
    </row>
    <row r="1002" spans="10:19" x14ac:dyDescent="0.25">
      <c r="J1002" s="45"/>
      <c r="M1002" s="514"/>
      <c r="Q1002" s="293"/>
      <c r="R1002" s="316"/>
      <c r="S1002" s="355"/>
    </row>
    <row r="1003" spans="10:19" x14ac:dyDescent="0.25">
      <c r="J1003" s="45"/>
      <c r="M1003" s="514"/>
      <c r="Q1003" s="293"/>
      <c r="R1003" s="316"/>
      <c r="S1003" s="355"/>
    </row>
    <row r="1004" spans="10:19" x14ac:dyDescent="0.25">
      <c r="J1004" s="45"/>
      <c r="M1004" s="514"/>
      <c r="Q1004" s="293"/>
      <c r="R1004" s="316"/>
      <c r="S1004" s="355"/>
    </row>
    <row r="1005" spans="10:19" x14ac:dyDescent="0.25">
      <c r="J1005" s="45"/>
      <c r="M1005" s="514"/>
      <c r="Q1005" s="293"/>
      <c r="R1005" s="316"/>
      <c r="S1005" s="355"/>
    </row>
    <row r="1006" spans="10:19" x14ac:dyDescent="0.25">
      <c r="J1006" s="45"/>
      <c r="M1006" s="514"/>
      <c r="Q1006" s="293"/>
      <c r="R1006" s="316"/>
      <c r="S1006" s="355"/>
    </row>
    <row r="1007" spans="10:19" x14ac:dyDescent="0.25">
      <c r="J1007" s="45"/>
      <c r="M1007" s="514"/>
      <c r="Q1007" s="293"/>
      <c r="R1007" s="316"/>
      <c r="S1007" s="355"/>
    </row>
    <row r="1008" spans="10:19" x14ac:dyDescent="0.25">
      <c r="J1008" s="45"/>
      <c r="M1008" s="514"/>
      <c r="Q1008" s="293"/>
      <c r="R1008" s="316"/>
      <c r="S1008" s="355"/>
    </row>
    <row r="1009" spans="10:19" x14ac:dyDescent="0.25">
      <c r="J1009" s="45"/>
      <c r="M1009" s="514"/>
      <c r="Q1009" s="293"/>
      <c r="R1009" s="316"/>
      <c r="S1009" s="355"/>
    </row>
    <row r="1010" spans="10:19" x14ac:dyDescent="0.25">
      <c r="J1010" s="45"/>
      <c r="M1010" s="514"/>
      <c r="Q1010" s="293"/>
      <c r="R1010" s="316"/>
      <c r="S1010" s="355"/>
    </row>
    <row r="1011" spans="10:19" x14ac:dyDescent="0.25">
      <c r="J1011" s="45"/>
      <c r="M1011" s="514"/>
      <c r="Q1011" s="293"/>
      <c r="R1011" s="316"/>
      <c r="S1011" s="355"/>
    </row>
    <row r="1012" spans="10:19" x14ac:dyDescent="0.25">
      <c r="J1012" s="45"/>
      <c r="M1012" s="514"/>
      <c r="Q1012" s="293"/>
      <c r="R1012" s="316"/>
      <c r="S1012" s="355"/>
    </row>
    <row r="1013" spans="10:19" x14ac:dyDescent="0.25">
      <c r="J1013" s="45"/>
      <c r="M1013" s="514"/>
      <c r="Q1013" s="293"/>
      <c r="R1013" s="316"/>
      <c r="S1013" s="355"/>
    </row>
    <row r="1014" spans="10:19" x14ac:dyDescent="0.25">
      <c r="J1014" s="45"/>
      <c r="M1014" s="514"/>
      <c r="Q1014" s="293"/>
      <c r="R1014" s="316"/>
      <c r="S1014" s="355"/>
    </row>
    <row r="1015" spans="10:19" x14ac:dyDescent="0.25">
      <c r="J1015" s="45"/>
      <c r="M1015" s="514"/>
      <c r="Q1015" s="293"/>
      <c r="R1015" s="316"/>
      <c r="S1015" s="355"/>
    </row>
    <row r="1016" spans="10:19" x14ac:dyDescent="0.25">
      <c r="J1016" s="45"/>
      <c r="M1016" s="514"/>
      <c r="Q1016" s="293"/>
      <c r="R1016" s="316"/>
      <c r="S1016" s="355"/>
    </row>
    <row r="1017" spans="10:19" x14ac:dyDescent="0.25">
      <c r="J1017" s="45"/>
      <c r="M1017" s="514"/>
      <c r="Q1017" s="293"/>
      <c r="R1017" s="316"/>
      <c r="S1017" s="355"/>
    </row>
    <row r="1018" spans="10:19" x14ac:dyDescent="0.25">
      <c r="M1018" s="514"/>
      <c r="Q1018" s="293"/>
      <c r="R1018" s="316"/>
      <c r="S1018" s="355"/>
    </row>
    <row r="1019" spans="10:19" x14ac:dyDescent="0.25">
      <c r="M1019" s="514"/>
      <c r="Q1019" s="293"/>
      <c r="R1019" s="316"/>
      <c r="S1019" s="355"/>
    </row>
    <row r="1020" spans="10:19" x14ac:dyDescent="0.25">
      <c r="M1020" s="514"/>
      <c r="Q1020" s="293"/>
      <c r="R1020" s="316"/>
      <c r="S1020" s="355"/>
    </row>
    <row r="1021" spans="10:19" x14ac:dyDescent="0.25">
      <c r="M1021" s="514"/>
      <c r="Q1021" s="293"/>
      <c r="R1021" s="316"/>
      <c r="S1021" s="355"/>
    </row>
    <row r="1022" spans="10:19" x14ac:dyDescent="0.25">
      <c r="M1022" s="514"/>
      <c r="Q1022" s="293"/>
      <c r="R1022" s="316"/>
      <c r="S1022" s="355"/>
    </row>
    <row r="1023" spans="10:19" x14ac:dyDescent="0.25">
      <c r="M1023" s="514"/>
      <c r="Q1023" s="293"/>
      <c r="R1023" s="316"/>
      <c r="S1023" s="355"/>
    </row>
    <row r="1024" spans="10:19" x14ac:dyDescent="0.25">
      <c r="M1024" s="514"/>
      <c r="Q1024" s="293"/>
      <c r="R1024" s="316"/>
      <c r="S1024" s="355"/>
    </row>
    <row r="1025" spans="13:19" x14ac:dyDescent="0.25">
      <c r="M1025" s="514"/>
      <c r="Q1025" s="293"/>
      <c r="R1025" s="316"/>
      <c r="S1025" s="355"/>
    </row>
    <row r="1026" spans="13:19" x14ac:dyDescent="0.25">
      <c r="M1026" s="514"/>
      <c r="Q1026" s="293"/>
      <c r="R1026" s="316"/>
      <c r="S1026" s="355"/>
    </row>
    <row r="1027" spans="13:19" x14ac:dyDescent="0.25">
      <c r="M1027" s="514"/>
      <c r="Q1027" s="293"/>
      <c r="R1027" s="316"/>
      <c r="S1027" s="355"/>
    </row>
    <row r="1028" spans="13:19" x14ac:dyDescent="0.25">
      <c r="M1028" s="514"/>
      <c r="Q1028" s="293"/>
      <c r="R1028" s="316"/>
      <c r="S1028" s="355"/>
    </row>
    <row r="1029" spans="13:19" x14ac:dyDescent="0.25">
      <c r="M1029" s="514"/>
      <c r="Q1029" s="293"/>
      <c r="R1029" s="316"/>
      <c r="S1029" s="355"/>
    </row>
    <row r="1030" spans="13:19" x14ac:dyDescent="0.25">
      <c r="M1030" s="514"/>
      <c r="Q1030" s="293"/>
      <c r="R1030" s="316"/>
      <c r="S1030" s="355"/>
    </row>
    <row r="1031" spans="13:19" x14ac:dyDescent="0.25">
      <c r="M1031" s="514"/>
      <c r="Q1031" s="293"/>
      <c r="R1031" s="316"/>
      <c r="S1031" s="355"/>
    </row>
    <row r="1032" spans="13:19" x14ac:dyDescent="0.25">
      <c r="M1032" s="514"/>
      <c r="Q1032" s="293"/>
      <c r="R1032" s="316"/>
      <c r="S1032" s="355"/>
    </row>
    <row r="1033" spans="13:19" x14ac:dyDescent="0.25">
      <c r="M1033" s="514"/>
      <c r="Q1033" s="293"/>
      <c r="R1033" s="316"/>
      <c r="S1033" s="355"/>
    </row>
    <row r="1034" spans="13:19" x14ac:dyDescent="0.25">
      <c r="M1034" s="514"/>
      <c r="Q1034" s="293"/>
      <c r="R1034" s="316"/>
      <c r="S1034" s="355"/>
    </row>
    <row r="1035" spans="13:19" x14ac:dyDescent="0.25">
      <c r="M1035" s="514"/>
      <c r="Q1035" s="293"/>
      <c r="R1035" s="316"/>
      <c r="S1035" s="355"/>
    </row>
    <row r="1036" spans="13:19" x14ac:dyDescent="0.25">
      <c r="M1036" s="514"/>
      <c r="Q1036" s="293"/>
      <c r="R1036" s="316"/>
      <c r="S1036" s="355"/>
    </row>
    <row r="1037" spans="13:19" x14ac:dyDescent="0.25">
      <c r="M1037" s="514"/>
      <c r="Q1037" s="293"/>
      <c r="R1037" s="316"/>
      <c r="S1037" s="355"/>
    </row>
    <row r="1038" spans="13:19" x14ac:dyDescent="0.25">
      <c r="M1038" s="514"/>
      <c r="Q1038" s="293"/>
      <c r="R1038" s="316"/>
      <c r="S1038" s="355"/>
    </row>
    <row r="1039" spans="13:19" x14ac:dyDescent="0.25">
      <c r="M1039" s="514"/>
      <c r="Q1039" s="293"/>
      <c r="R1039" s="316"/>
      <c r="S1039" s="355"/>
    </row>
    <row r="1040" spans="13:19" x14ac:dyDescent="0.25">
      <c r="M1040" s="514"/>
      <c r="Q1040" s="293"/>
      <c r="R1040" s="316"/>
      <c r="S1040" s="355"/>
    </row>
    <row r="1041" spans="13:19" x14ac:dyDescent="0.25">
      <c r="M1041" s="514"/>
      <c r="Q1041" s="293"/>
      <c r="R1041" s="316"/>
      <c r="S1041" s="355"/>
    </row>
    <row r="1042" spans="13:19" x14ac:dyDescent="0.25">
      <c r="M1042" s="514"/>
      <c r="Q1042" s="293"/>
      <c r="R1042" s="316"/>
      <c r="S1042" s="355"/>
    </row>
    <row r="1043" spans="13:19" x14ac:dyDescent="0.25">
      <c r="M1043" s="514"/>
      <c r="Q1043" s="293"/>
      <c r="R1043" s="316"/>
      <c r="S1043" s="355"/>
    </row>
    <row r="1044" spans="13:19" x14ac:dyDescent="0.25">
      <c r="M1044" s="514"/>
      <c r="Q1044" s="293"/>
      <c r="R1044" s="316"/>
      <c r="S1044" s="355"/>
    </row>
    <row r="1045" spans="13:19" x14ac:dyDescent="0.25">
      <c r="M1045" s="514"/>
      <c r="Q1045" s="293"/>
      <c r="R1045" s="316"/>
      <c r="S1045" s="355"/>
    </row>
    <row r="1046" spans="13:19" x14ac:dyDescent="0.25">
      <c r="M1046" s="514"/>
      <c r="Q1046" s="293"/>
      <c r="R1046" s="316"/>
      <c r="S1046" s="355"/>
    </row>
    <row r="1047" spans="13:19" x14ac:dyDescent="0.25">
      <c r="M1047" s="514"/>
      <c r="Q1047" s="293"/>
      <c r="R1047" s="316"/>
      <c r="S1047" s="355"/>
    </row>
    <row r="1048" spans="13:19" x14ac:dyDescent="0.25">
      <c r="M1048" s="514"/>
      <c r="Q1048" s="293"/>
      <c r="R1048" s="316"/>
      <c r="S1048" s="355"/>
    </row>
    <row r="1049" spans="13:19" x14ac:dyDescent="0.25">
      <c r="M1049" s="514"/>
      <c r="Q1049" s="293"/>
      <c r="R1049" s="316"/>
      <c r="S1049" s="355"/>
    </row>
    <row r="1050" spans="13:19" x14ac:dyDescent="0.25">
      <c r="M1050" s="514"/>
      <c r="Q1050" s="293"/>
      <c r="R1050" s="316"/>
      <c r="S1050" s="355"/>
    </row>
    <row r="1051" spans="13:19" x14ac:dyDescent="0.25">
      <c r="M1051" s="514"/>
      <c r="Q1051" s="293"/>
      <c r="R1051" s="316"/>
      <c r="S1051" s="355"/>
    </row>
    <row r="1052" spans="13:19" x14ac:dyDescent="0.25">
      <c r="M1052" s="514"/>
      <c r="Q1052" s="293"/>
      <c r="R1052" s="316"/>
      <c r="S1052" s="355"/>
    </row>
    <row r="1053" spans="13:19" x14ac:dyDescent="0.25">
      <c r="M1053" s="514"/>
      <c r="Q1053" s="293"/>
      <c r="R1053" s="316"/>
      <c r="S1053" s="355"/>
    </row>
    <row r="1054" spans="13:19" x14ac:dyDescent="0.25">
      <c r="M1054" s="514"/>
      <c r="Q1054" s="293"/>
      <c r="R1054" s="316"/>
      <c r="S1054" s="355"/>
    </row>
    <row r="1055" spans="13:19" x14ac:dyDescent="0.25">
      <c r="M1055" s="514"/>
      <c r="Q1055" s="293"/>
      <c r="R1055" s="316"/>
      <c r="S1055" s="355"/>
    </row>
    <row r="1056" spans="13:19" x14ac:dyDescent="0.25">
      <c r="M1056" s="514"/>
      <c r="Q1056" s="293"/>
      <c r="R1056" s="316"/>
      <c r="S1056" s="355"/>
    </row>
    <row r="1057" spans="13:19" x14ac:dyDescent="0.25">
      <c r="M1057" s="514"/>
      <c r="Q1057" s="293"/>
      <c r="R1057" s="316"/>
      <c r="S1057" s="355"/>
    </row>
    <row r="1058" spans="13:19" x14ac:dyDescent="0.25">
      <c r="M1058" s="514"/>
      <c r="Q1058" s="293"/>
      <c r="R1058" s="316"/>
      <c r="S1058" s="355"/>
    </row>
    <row r="1059" spans="13:19" x14ac:dyDescent="0.25">
      <c r="M1059" s="514"/>
      <c r="Q1059" s="293"/>
      <c r="R1059" s="316"/>
      <c r="S1059" s="355"/>
    </row>
    <row r="1060" spans="13:19" x14ac:dyDescent="0.25">
      <c r="M1060" s="514"/>
      <c r="Q1060" s="293"/>
      <c r="R1060" s="316"/>
      <c r="S1060" s="355"/>
    </row>
    <row r="1061" spans="13:19" x14ac:dyDescent="0.25">
      <c r="M1061" s="514"/>
      <c r="Q1061" s="293"/>
      <c r="R1061" s="316"/>
      <c r="S1061" s="355"/>
    </row>
    <row r="1062" spans="13:19" x14ac:dyDescent="0.25">
      <c r="M1062" s="514"/>
      <c r="Q1062" s="293"/>
      <c r="R1062" s="316"/>
      <c r="S1062" s="355"/>
    </row>
    <row r="1063" spans="13:19" x14ac:dyDescent="0.25">
      <c r="M1063" s="514"/>
      <c r="Q1063" s="293"/>
      <c r="R1063" s="316"/>
      <c r="S1063" s="355"/>
    </row>
    <row r="1064" spans="13:19" x14ac:dyDescent="0.25">
      <c r="M1064" s="514"/>
      <c r="Q1064" s="293"/>
      <c r="R1064" s="316"/>
      <c r="S1064" s="355"/>
    </row>
    <row r="1065" spans="13:19" x14ac:dyDescent="0.25">
      <c r="M1065" s="514"/>
      <c r="Q1065" s="293"/>
      <c r="R1065" s="316"/>
      <c r="S1065" s="355"/>
    </row>
    <row r="1066" spans="13:19" x14ac:dyDescent="0.25">
      <c r="M1066" s="514"/>
      <c r="Q1066" s="293"/>
      <c r="R1066" s="316"/>
      <c r="S1066" s="355"/>
    </row>
    <row r="1067" spans="13:19" x14ac:dyDescent="0.25">
      <c r="M1067" s="514"/>
      <c r="Q1067" s="293"/>
      <c r="R1067" s="316"/>
      <c r="S1067" s="355"/>
    </row>
    <row r="1068" spans="13:19" x14ac:dyDescent="0.25">
      <c r="M1068" s="514"/>
      <c r="Q1068" s="293"/>
      <c r="R1068" s="316"/>
      <c r="S1068" s="355"/>
    </row>
    <row r="1069" spans="13:19" x14ac:dyDescent="0.25">
      <c r="M1069" s="514"/>
      <c r="Q1069" s="293"/>
      <c r="R1069" s="316"/>
      <c r="S1069" s="355"/>
    </row>
    <row r="1070" spans="13:19" x14ac:dyDescent="0.25">
      <c r="M1070" s="514"/>
      <c r="Q1070" s="293"/>
      <c r="R1070" s="316"/>
      <c r="S1070" s="355"/>
    </row>
    <row r="1071" spans="13:19" x14ac:dyDescent="0.25">
      <c r="M1071" s="514"/>
      <c r="Q1071" s="293"/>
      <c r="R1071" s="316"/>
      <c r="S1071" s="355"/>
    </row>
    <row r="1072" spans="13:19" x14ac:dyDescent="0.25">
      <c r="M1072" s="514"/>
      <c r="Q1072" s="293"/>
      <c r="R1072" s="316"/>
      <c r="S1072" s="355"/>
    </row>
    <row r="1073" spans="13:19" x14ac:dyDescent="0.25">
      <c r="M1073" s="514"/>
      <c r="Q1073" s="293"/>
      <c r="R1073" s="316"/>
      <c r="S1073" s="355"/>
    </row>
    <row r="1074" spans="13:19" x14ac:dyDescent="0.25">
      <c r="M1074" s="514"/>
      <c r="Q1074" s="293"/>
      <c r="R1074" s="316"/>
      <c r="S1074" s="355"/>
    </row>
    <row r="1075" spans="13:19" x14ac:dyDescent="0.25">
      <c r="M1075" s="514"/>
      <c r="Q1075" s="293"/>
      <c r="R1075" s="316"/>
      <c r="S1075" s="355"/>
    </row>
    <row r="1076" spans="13:19" x14ac:dyDescent="0.25">
      <c r="M1076" s="514"/>
      <c r="Q1076" s="293"/>
      <c r="R1076" s="316"/>
      <c r="S1076" s="355"/>
    </row>
    <row r="1077" spans="13:19" x14ac:dyDescent="0.25">
      <c r="M1077" s="514"/>
      <c r="Q1077" s="293"/>
      <c r="R1077" s="316"/>
      <c r="S1077" s="355"/>
    </row>
    <row r="1078" spans="13:19" x14ac:dyDescent="0.25">
      <c r="M1078" s="514"/>
      <c r="Q1078" s="293"/>
      <c r="R1078" s="316"/>
      <c r="S1078" s="355"/>
    </row>
    <row r="1079" spans="13:19" x14ac:dyDescent="0.25">
      <c r="M1079" s="514"/>
      <c r="Q1079" s="293"/>
      <c r="R1079" s="316"/>
      <c r="S1079" s="355"/>
    </row>
    <row r="1080" spans="13:19" x14ac:dyDescent="0.25">
      <c r="M1080" s="514"/>
      <c r="Q1080" s="293"/>
      <c r="R1080" s="316"/>
      <c r="S1080" s="355"/>
    </row>
    <row r="1081" spans="13:19" x14ac:dyDescent="0.25">
      <c r="M1081" s="514"/>
      <c r="Q1081" s="293"/>
      <c r="R1081" s="316"/>
      <c r="S1081" s="355"/>
    </row>
    <row r="1082" spans="13:19" x14ac:dyDescent="0.25">
      <c r="M1082" s="514"/>
      <c r="Q1082" s="293"/>
      <c r="R1082" s="316"/>
      <c r="S1082" s="355"/>
    </row>
    <row r="1083" spans="13:19" x14ac:dyDescent="0.25">
      <c r="M1083" s="514"/>
      <c r="Q1083" s="293"/>
      <c r="R1083" s="316"/>
      <c r="S1083" s="355"/>
    </row>
    <row r="1084" spans="13:19" x14ac:dyDescent="0.25">
      <c r="M1084" s="514"/>
      <c r="Q1084" s="293"/>
      <c r="R1084" s="316"/>
      <c r="S1084" s="355"/>
    </row>
    <row r="1085" spans="13:19" x14ac:dyDescent="0.25">
      <c r="M1085" s="514"/>
      <c r="Q1085" s="293"/>
      <c r="R1085" s="316"/>
      <c r="S1085" s="355"/>
    </row>
    <row r="1086" spans="13:19" x14ac:dyDescent="0.25">
      <c r="M1086" s="514"/>
      <c r="Q1086" s="293"/>
      <c r="R1086" s="316"/>
      <c r="S1086" s="355"/>
    </row>
    <row r="1087" spans="13:19" x14ac:dyDescent="0.25">
      <c r="M1087" s="514"/>
      <c r="Q1087" s="293"/>
      <c r="R1087" s="316"/>
      <c r="S1087" s="355"/>
    </row>
    <row r="1088" spans="13:19" x14ac:dyDescent="0.25">
      <c r="M1088" s="514"/>
      <c r="Q1088" s="293"/>
      <c r="R1088" s="316"/>
      <c r="S1088" s="355"/>
    </row>
    <row r="1089" spans="13:19" x14ac:dyDescent="0.25">
      <c r="M1089" s="514"/>
      <c r="Q1089" s="293"/>
      <c r="R1089" s="316"/>
      <c r="S1089" s="355"/>
    </row>
    <row r="1090" spans="13:19" x14ac:dyDescent="0.25">
      <c r="M1090" s="514"/>
      <c r="Q1090" s="293"/>
      <c r="R1090" s="316"/>
      <c r="S1090" s="355"/>
    </row>
    <row r="1091" spans="13:19" x14ac:dyDescent="0.25">
      <c r="M1091" s="514"/>
      <c r="Q1091" s="293"/>
      <c r="R1091" s="316"/>
      <c r="S1091" s="355"/>
    </row>
    <row r="1092" spans="13:19" x14ac:dyDescent="0.25">
      <c r="M1092" s="514"/>
      <c r="Q1092" s="293"/>
      <c r="R1092" s="316"/>
      <c r="S1092" s="355"/>
    </row>
    <row r="1093" spans="13:19" x14ac:dyDescent="0.25">
      <c r="M1093" s="514"/>
      <c r="Q1093" s="293"/>
      <c r="R1093" s="316"/>
      <c r="S1093" s="355"/>
    </row>
    <row r="1094" spans="13:19" x14ac:dyDescent="0.25">
      <c r="M1094" s="514"/>
      <c r="Q1094" s="293"/>
      <c r="R1094" s="316"/>
      <c r="S1094" s="355"/>
    </row>
    <row r="1095" spans="13:19" x14ac:dyDescent="0.25">
      <c r="M1095" s="514"/>
      <c r="Q1095" s="293"/>
      <c r="R1095" s="316"/>
      <c r="S1095" s="355"/>
    </row>
    <row r="1096" spans="13:19" x14ac:dyDescent="0.25">
      <c r="M1096" s="514"/>
      <c r="Q1096" s="293"/>
      <c r="R1096" s="316"/>
      <c r="S1096" s="355"/>
    </row>
    <row r="1097" spans="13:19" x14ac:dyDescent="0.25">
      <c r="M1097" s="514"/>
      <c r="Q1097" s="293"/>
      <c r="R1097" s="316"/>
      <c r="S1097" s="355"/>
    </row>
    <row r="1098" spans="13:19" x14ac:dyDescent="0.25">
      <c r="M1098" s="514"/>
      <c r="Q1098" s="293"/>
      <c r="R1098" s="316"/>
      <c r="S1098" s="355"/>
    </row>
    <row r="1099" spans="13:19" x14ac:dyDescent="0.25">
      <c r="M1099" s="514"/>
      <c r="Q1099" s="293"/>
      <c r="R1099" s="316"/>
      <c r="S1099" s="355"/>
    </row>
    <row r="1100" spans="13:19" x14ac:dyDescent="0.25">
      <c r="M1100" s="514"/>
      <c r="Q1100" s="293"/>
      <c r="R1100" s="316"/>
      <c r="S1100" s="355"/>
    </row>
    <row r="1101" spans="13:19" x14ac:dyDescent="0.25">
      <c r="M1101" s="514"/>
      <c r="Q1101" s="293"/>
      <c r="R1101" s="316"/>
      <c r="S1101" s="355"/>
    </row>
    <row r="1102" spans="13:19" x14ac:dyDescent="0.25">
      <c r="M1102" s="514"/>
      <c r="Q1102" s="293"/>
      <c r="R1102" s="316"/>
      <c r="S1102" s="355"/>
    </row>
    <row r="1103" spans="13:19" x14ac:dyDescent="0.25">
      <c r="M1103" s="514"/>
      <c r="Q1103" s="293"/>
      <c r="R1103" s="316"/>
      <c r="S1103" s="355"/>
    </row>
    <row r="1104" spans="13:19" x14ac:dyDescent="0.25">
      <c r="M1104" s="514"/>
      <c r="Q1104" s="293"/>
      <c r="R1104" s="316"/>
      <c r="S1104" s="355"/>
    </row>
    <row r="1105" spans="13:19" x14ac:dyDescent="0.25">
      <c r="M1105" s="514"/>
      <c r="Q1105" s="293"/>
      <c r="R1105" s="316"/>
      <c r="S1105" s="355"/>
    </row>
    <row r="1106" spans="13:19" x14ac:dyDescent="0.25">
      <c r="M1106" s="514"/>
      <c r="Q1106" s="293"/>
      <c r="R1106" s="316"/>
      <c r="S1106" s="355"/>
    </row>
    <row r="1107" spans="13:19" x14ac:dyDescent="0.25">
      <c r="M1107" s="514"/>
      <c r="Q1107" s="293"/>
      <c r="R1107" s="316"/>
      <c r="S1107" s="355"/>
    </row>
    <row r="1108" spans="13:19" x14ac:dyDescent="0.25">
      <c r="M1108" s="514"/>
      <c r="Q1108" s="293"/>
      <c r="R1108" s="316"/>
      <c r="S1108" s="355"/>
    </row>
    <row r="1109" spans="13:19" x14ac:dyDescent="0.25">
      <c r="M1109" s="514"/>
      <c r="Q1109" s="293"/>
      <c r="R1109" s="316"/>
      <c r="S1109" s="355"/>
    </row>
    <row r="1110" spans="13:19" x14ac:dyDescent="0.25">
      <c r="M1110" s="514"/>
      <c r="Q1110" s="293"/>
      <c r="R1110" s="316"/>
      <c r="S1110" s="355"/>
    </row>
    <row r="1111" spans="13:19" x14ac:dyDescent="0.25">
      <c r="M1111" s="514"/>
      <c r="Q1111" s="293"/>
      <c r="R1111" s="316"/>
      <c r="S1111" s="355"/>
    </row>
    <row r="1112" spans="13:19" x14ac:dyDescent="0.25">
      <c r="M1112" s="514"/>
      <c r="Q1112" s="293"/>
      <c r="R1112" s="316"/>
      <c r="S1112" s="355"/>
    </row>
    <row r="1113" spans="13:19" x14ac:dyDescent="0.25">
      <c r="M1113" s="514"/>
      <c r="Q1113" s="293"/>
      <c r="R1113" s="316"/>
      <c r="S1113" s="355"/>
    </row>
    <row r="1114" spans="13:19" x14ac:dyDescent="0.25">
      <c r="M1114" s="514"/>
      <c r="Q1114" s="293"/>
      <c r="R1114" s="316"/>
      <c r="S1114" s="355"/>
    </row>
    <row r="1115" spans="13:19" x14ac:dyDescent="0.25">
      <c r="M1115" s="514"/>
      <c r="Q1115" s="293"/>
      <c r="R1115" s="316"/>
      <c r="S1115" s="355"/>
    </row>
    <row r="1116" spans="13:19" x14ac:dyDescent="0.25">
      <c r="M1116" s="514"/>
      <c r="Q1116" s="293"/>
      <c r="R1116" s="316"/>
      <c r="S1116" s="355"/>
    </row>
    <row r="1117" spans="13:19" x14ac:dyDescent="0.25">
      <c r="M1117" s="514"/>
      <c r="Q1117" s="293"/>
      <c r="R1117" s="316"/>
      <c r="S1117" s="355"/>
    </row>
    <row r="1118" spans="13:19" x14ac:dyDescent="0.25">
      <c r="M1118" s="514"/>
      <c r="Q1118" s="293"/>
      <c r="R1118" s="316"/>
      <c r="S1118" s="355"/>
    </row>
    <row r="1119" spans="13:19" x14ac:dyDescent="0.25">
      <c r="M1119" s="514"/>
      <c r="Q1119" s="293"/>
      <c r="R1119" s="316"/>
      <c r="S1119" s="355"/>
    </row>
    <row r="1120" spans="13:19" x14ac:dyDescent="0.25">
      <c r="M1120" s="514"/>
      <c r="Q1120" s="293"/>
      <c r="R1120" s="316"/>
      <c r="S1120" s="355"/>
    </row>
    <row r="1121" spans="13:19" x14ac:dyDescent="0.25">
      <c r="M1121" s="514"/>
      <c r="Q1121" s="293"/>
      <c r="R1121" s="316"/>
      <c r="S1121" s="355"/>
    </row>
    <row r="1122" spans="13:19" x14ac:dyDescent="0.25">
      <c r="M1122" s="514"/>
      <c r="Q1122" s="293"/>
      <c r="R1122" s="316"/>
      <c r="S1122" s="355"/>
    </row>
    <row r="1123" spans="13:19" x14ac:dyDescent="0.25">
      <c r="M1123" s="514"/>
      <c r="Q1123" s="293"/>
      <c r="R1123" s="316"/>
      <c r="S1123" s="355"/>
    </row>
    <row r="1124" spans="13:19" x14ac:dyDescent="0.25">
      <c r="M1124" s="514"/>
      <c r="Q1124" s="293"/>
      <c r="R1124" s="316"/>
      <c r="S1124" s="355"/>
    </row>
    <row r="1125" spans="13:19" x14ac:dyDescent="0.25">
      <c r="M1125" s="514"/>
      <c r="Q1125" s="293"/>
      <c r="R1125" s="316"/>
      <c r="S1125" s="355"/>
    </row>
    <row r="1126" spans="13:19" x14ac:dyDescent="0.25">
      <c r="M1126" s="514"/>
      <c r="Q1126" s="293"/>
      <c r="R1126" s="316"/>
      <c r="S1126" s="355"/>
    </row>
    <row r="1127" spans="13:19" x14ac:dyDescent="0.25">
      <c r="M1127" s="514"/>
      <c r="Q1127" s="293"/>
      <c r="R1127" s="316"/>
      <c r="S1127" s="355"/>
    </row>
    <row r="1128" spans="13:19" x14ac:dyDescent="0.25">
      <c r="M1128" s="514"/>
      <c r="Q1128" s="293"/>
      <c r="R1128" s="316"/>
      <c r="S1128" s="355"/>
    </row>
    <row r="1129" spans="13:19" x14ac:dyDescent="0.25">
      <c r="M1129" s="514"/>
      <c r="Q1129" s="293"/>
      <c r="R1129" s="316"/>
      <c r="S1129" s="355"/>
    </row>
    <row r="1130" spans="13:19" x14ac:dyDescent="0.25">
      <c r="M1130" s="514"/>
      <c r="Q1130" s="293"/>
      <c r="R1130" s="316"/>
      <c r="S1130" s="355"/>
    </row>
    <row r="1131" spans="13:19" x14ac:dyDescent="0.25">
      <c r="M1131" s="514"/>
      <c r="Q1131" s="293"/>
      <c r="R1131" s="316"/>
      <c r="S1131" s="355"/>
    </row>
    <row r="1132" spans="13:19" x14ac:dyDescent="0.25">
      <c r="M1132" s="514"/>
      <c r="Q1132" s="293"/>
      <c r="R1132" s="316"/>
      <c r="S1132" s="355"/>
    </row>
    <row r="1133" spans="13:19" x14ac:dyDescent="0.25">
      <c r="M1133" s="514"/>
      <c r="Q1133" s="293"/>
      <c r="R1133" s="316"/>
      <c r="S1133" s="355"/>
    </row>
    <row r="1134" spans="13:19" x14ac:dyDescent="0.25">
      <c r="M1134" s="514"/>
      <c r="Q1134" s="293"/>
      <c r="R1134" s="316"/>
      <c r="S1134" s="355"/>
    </row>
    <row r="1135" spans="13:19" x14ac:dyDescent="0.25">
      <c r="M1135" s="514"/>
      <c r="Q1135" s="293"/>
      <c r="R1135" s="316"/>
      <c r="S1135" s="355"/>
    </row>
    <row r="1136" spans="13:19" x14ac:dyDescent="0.25">
      <c r="M1136" s="514"/>
      <c r="Q1136" s="293"/>
      <c r="R1136" s="316"/>
      <c r="S1136" s="355"/>
    </row>
    <row r="1137" spans="13:19" x14ac:dyDescent="0.25">
      <c r="M1137" s="514"/>
      <c r="Q1137" s="293"/>
      <c r="R1137" s="316"/>
      <c r="S1137" s="355"/>
    </row>
    <row r="1138" spans="13:19" x14ac:dyDescent="0.25">
      <c r="M1138" s="514"/>
      <c r="Q1138" s="293"/>
      <c r="R1138" s="316"/>
      <c r="S1138" s="355"/>
    </row>
    <row r="1139" spans="13:19" x14ac:dyDescent="0.25">
      <c r="M1139" s="514"/>
      <c r="Q1139" s="293"/>
      <c r="R1139" s="316"/>
      <c r="S1139" s="355"/>
    </row>
    <row r="1140" spans="13:19" x14ac:dyDescent="0.25">
      <c r="M1140" s="514"/>
      <c r="Q1140" s="293"/>
      <c r="R1140" s="316"/>
      <c r="S1140" s="355"/>
    </row>
    <row r="1141" spans="13:19" x14ac:dyDescent="0.25">
      <c r="M1141" s="514"/>
      <c r="Q1141" s="293"/>
      <c r="R1141" s="316"/>
      <c r="S1141" s="355"/>
    </row>
    <row r="1142" spans="13:19" x14ac:dyDescent="0.25">
      <c r="M1142" s="514"/>
      <c r="Q1142" s="293"/>
      <c r="R1142" s="316"/>
      <c r="S1142" s="355"/>
    </row>
    <row r="1143" spans="13:19" x14ac:dyDescent="0.25">
      <c r="M1143" s="514"/>
      <c r="Q1143" s="293"/>
      <c r="R1143" s="316"/>
      <c r="S1143" s="355"/>
    </row>
    <row r="1144" spans="13:19" x14ac:dyDescent="0.25">
      <c r="M1144" s="514"/>
      <c r="Q1144" s="293"/>
      <c r="R1144" s="316"/>
      <c r="S1144" s="355"/>
    </row>
    <row r="1145" spans="13:19" x14ac:dyDescent="0.25">
      <c r="M1145" s="514"/>
      <c r="Q1145" s="293"/>
      <c r="R1145" s="316"/>
      <c r="S1145" s="355"/>
    </row>
    <row r="1146" spans="13:19" x14ac:dyDescent="0.25">
      <c r="M1146" s="514"/>
      <c r="Q1146" s="293"/>
      <c r="R1146" s="316"/>
      <c r="S1146" s="355"/>
    </row>
    <row r="1147" spans="13:19" x14ac:dyDescent="0.25">
      <c r="M1147" s="514"/>
      <c r="Q1147" s="293"/>
      <c r="R1147" s="316"/>
      <c r="S1147" s="355"/>
    </row>
    <row r="1148" spans="13:19" x14ac:dyDescent="0.25">
      <c r="M1148" s="514"/>
      <c r="Q1148" s="293"/>
      <c r="R1148" s="316"/>
      <c r="S1148" s="355"/>
    </row>
    <row r="1149" spans="13:19" x14ac:dyDescent="0.25">
      <c r="M1149" s="514"/>
      <c r="Q1149" s="293"/>
      <c r="R1149" s="316"/>
      <c r="S1149" s="355"/>
    </row>
    <row r="1150" spans="13:19" x14ac:dyDescent="0.25">
      <c r="M1150" s="514"/>
      <c r="Q1150" s="293"/>
      <c r="R1150" s="316"/>
      <c r="S1150" s="355"/>
    </row>
    <row r="1151" spans="13:19" x14ac:dyDescent="0.25">
      <c r="M1151" s="514"/>
      <c r="Q1151" s="293"/>
      <c r="R1151" s="316"/>
      <c r="S1151" s="355"/>
    </row>
    <row r="1152" spans="13:19" x14ac:dyDescent="0.25">
      <c r="M1152" s="514"/>
      <c r="Q1152" s="293"/>
      <c r="R1152" s="316"/>
      <c r="S1152" s="355"/>
    </row>
    <row r="1153" spans="13:19" x14ac:dyDescent="0.25">
      <c r="M1153" s="514"/>
      <c r="Q1153" s="293"/>
      <c r="R1153" s="316"/>
      <c r="S1153" s="355"/>
    </row>
    <row r="1154" spans="13:19" x14ac:dyDescent="0.25">
      <c r="M1154" s="514"/>
      <c r="Q1154" s="293"/>
      <c r="R1154" s="316"/>
      <c r="S1154" s="355"/>
    </row>
    <row r="1155" spans="13:19" x14ac:dyDescent="0.25">
      <c r="M1155" s="514"/>
      <c r="Q1155" s="293"/>
      <c r="R1155" s="316"/>
      <c r="S1155" s="355"/>
    </row>
    <row r="1156" spans="13:19" x14ac:dyDescent="0.25">
      <c r="M1156" s="514"/>
      <c r="Q1156" s="293"/>
      <c r="R1156" s="316"/>
      <c r="S1156" s="355"/>
    </row>
    <row r="1157" spans="13:19" x14ac:dyDescent="0.25">
      <c r="M1157" s="514"/>
      <c r="Q1157" s="293"/>
      <c r="R1157" s="316"/>
      <c r="S1157" s="355"/>
    </row>
    <row r="1158" spans="13:19" x14ac:dyDescent="0.25">
      <c r="M1158" s="514"/>
      <c r="Q1158" s="293"/>
      <c r="R1158" s="316"/>
      <c r="S1158" s="355"/>
    </row>
    <row r="1159" spans="13:19" x14ac:dyDescent="0.25">
      <c r="M1159" s="514"/>
      <c r="Q1159" s="293"/>
      <c r="R1159" s="316"/>
      <c r="S1159" s="355"/>
    </row>
    <row r="1160" spans="13:19" x14ac:dyDescent="0.25">
      <c r="M1160" s="514"/>
      <c r="Q1160" s="293"/>
      <c r="R1160" s="316"/>
      <c r="S1160" s="355"/>
    </row>
    <row r="1161" spans="13:19" x14ac:dyDescent="0.25">
      <c r="M1161" s="514"/>
      <c r="Q1161" s="293"/>
      <c r="R1161" s="316"/>
      <c r="S1161" s="355"/>
    </row>
    <row r="1162" spans="13:19" x14ac:dyDescent="0.25">
      <c r="M1162" s="514"/>
      <c r="Q1162" s="293"/>
      <c r="R1162" s="316"/>
      <c r="S1162" s="355"/>
    </row>
    <row r="1163" spans="13:19" x14ac:dyDescent="0.25">
      <c r="M1163" s="514"/>
      <c r="Q1163" s="293"/>
      <c r="R1163" s="316"/>
      <c r="S1163" s="355"/>
    </row>
    <row r="1164" spans="13:19" x14ac:dyDescent="0.25">
      <c r="M1164" s="514"/>
      <c r="Q1164" s="293"/>
      <c r="R1164" s="316"/>
      <c r="S1164" s="355"/>
    </row>
    <row r="1165" spans="13:19" x14ac:dyDescent="0.25">
      <c r="M1165" s="514"/>
      <c r="Q1165" s="293"/>
      <c r="R1165" s="316"/>
      <c r="S1165" s="355"/>
    </row>
    <row r="1166" spans="13:19" x14ac:dyDescent="0.25">
      <c r="M1166" s="514"/>
      <c r="Q1166" s="293"/>
      <c r="R1166" s="316"/>
      <c r="S1166" s="355"/>
    </row>
    <row r="1167" spans="13:19" x14ac:dyDescent="0.25">
      <c r="M1167" s="514"/>
      <c r="Q1167" s="293"/>
      <c r="R1167" s="316"/>
      <c r="S1167" s="355"/>
    </row>
    <row r="1168" spans="13:19" x14ac:dyDescent="0.25">
      <c r="M1168" s="514"/>
      <c r="Q1168" s="293"/>
      <c r="R1168" s="316"/>
      <c r="S1168" s="355"/>
    </row>
    <row r="1169" spans="13:19" x14ac:dyDescent="0.25">
      <c r="M1169" s="514"/>
      <c r="Q1169" s="293"/>
      <c r="R1169" s="316"/>
      <c r="S1169" s="355"/>
    </row>
    <row r="1170" spans="13:19" x14ac:dyDescent="0.25">
      <c r="M1170" s="514"/>
      <c r="Q1170" s="293"/>
      <c r="R1170" s="316"/>
      <c r="S1170" s="355"/>
    </row>
    <row r="1171" spans="13:19" x14ac:dyDescent="0.25">
      <c r="M1171" s="514"/>
      <c r="Q1171" s="293"/>
      <c r="R1171" s="316"/>
      <c r="S1171" s="355"/>
    </row>
    <row r="1172" spans="13:19" x14ac:dyDescent="0.25">
      <c r="M1172" s="514"/>
      <c r="Q1172" s="293"/>
      <c r="R1172" s="316"/>
      <c r="S1172" s="355"/>
    </row>
    <row r="1173" spans="13:19" x14ac:dyDescent="0.25">
      <c r="M1173" s="514"/>
      <c r="Q1173" s="293"/>
      <c r="R1173" s="316"/>
      <c r="S1173" s="355"/>
    </row>
    <row r="1174" spans="13:19" x14ac:dyDescent="0.25">
      <c r="M1174" s="514"/>
      <c r="Q1174" s="293"/>
      <c r="R1174" s="316"/>
      <c r="S1174" s="355"/>
    </row>
    <row r="1175" spans="13:19" x14ac:dyDescent="0.25">
      <c r="M1175" s="514"/>
      <c r="Q1175" s="293"/>
      <c r="R1175" s="316"/>
      <c r="S1175" s="355"/>
    </row>
    <row r="1176" spans="13:19" x14ac:dyDescent="0.25">
      <c r="M1176" s="514"/>
      <c r="Q1176" s="293"/>
      <c r="R1176" s="316"/>
      <c r="S1176" s="355"/>
    </row>
    <row r="1177" spans="13:19" x14ac:dyDescent="0.25">
      <c r="M1177" s="514"/>
      <c r="Q1177" s="293"/>
      <c r="R1177" s="316"/>
      <c r="S1177" s="355"/>
    </row>
    <row r="1178" spans="13:19" x14ac:dyDescent="0.25">
      <c r="M1178" s="514"/>
      <c r="Q1178" s="293"/>
      <c r="R1178" s="316"/>
      <c r="S1178" s="355"/>
    </row>
    <row r="1179" spans="13:19" x14ac:dyDescent="0.25">
      <c r="M1179" s="514"/>
      <c r="Q1179" s="293"/>
      <c r="R1179" s="316"/>
      <c r="S1179" s="355"/>
    </row>
    <row r="1180" spans="13:19" x14ac:dyDescent="0.25">
      <c r="M1180" s="514"/>
      <c r="Q1180" s="293"/>
      <c r="R1180" s="316"/>
      <c r="S1180" s="355"/>
    </row>
    <row r="1181" spans="13:19" x14ac:dyDescent="0.25">
      <c r="M1181" s="514"/>
      <c r="Q1181" s="293"/>
      <c r="R1181" s="316"/>
      <c r="S1181" s="355"/>
    </row>
    <row r="1182" spans="13:19" x14ac:dyDescent="0.25">
      <c r="M1182" s="514"/>
      <c r="Q1182" s="293"/>
      <c r="R1182" s="316"/>
      <c r="S1182" s="355"/>
    </row>
    <row r="1183" spans="13:19" x14ac:dyDescent="0.25">
      <c r="M1183" s="514"/>
      <c r="Q1183" s="293"/>
      <c r="R1183" s="316"/>
      <c r="S1183" s="355"/>
    </row>
    <row r="1184" spans="13:19" x14ac:dyDescent="0.25">
      <c r="M1184" s="514"/>
      <c r="Q1184" s="293"/>
      <c r="R1184" s="316"/>
      <c r="S1184" s="355"/>
    </row>
    <row r="1185" spans="13:19" x14ac:dyDescent="0.25">
      <c r="M1185" s="514"/>
      <c r="Q1185" s="293"/>
      <c r="R1185" s="316"/>
      <c r="S1185" s="355"/>
    </row>
    <row r="1186" spans="13:19" x14ac:dyDescent="0.25">
      <c r="M1186" s="514"/>
      <c r="Q1186" s="293"/>
      <c r="R1186" s="316"/>
      <c r="S1186" s="355"/>
    </row>
    <row r="1187" spans="13:19" x14ac:dyDescent="0.25">
      <c r="M1187" s="514"/>
      <c r="Q1187" s="293"/>
      <c r="R1187" s="316"/>
      <c r="S1187" s="355"/>
    </row>
    <row r="1188" spans="13:19" x14ac:dyDescent="0.25">
      <c r="M1188" s="514"/>
      <c r="Q1188" s="293"/>
      <c r="R1188" s="316"/>
      <c r="S1188" s="355"/>
    </row>
    <row r="1189" spans="13:19" x14ac:dyDescent="0.25">
      <c r="M1189" s="514"/>
      <c r="Q1189" s="293"/>
      <c r="R1189" s="316"/>
      <c r="S1189" s="355"/>
    </row>
    <row r="1190" spans="13:19" x14ac:dyDescent="0.25">
      <c r="M1190" s="514"/>
      <c r="Q1190" s="293"/>
      <c r="R1190" s="316"/>
      <c r="S1190" s="355"/>
    </row>
    <row r="1191" spans="13:19" x14ac:dyDescent="0.25">
      <c r="M1191" s="514"/>
      <c r="Q1191" s="293"/>
      <c r="R1191" s="316"/>
      <c r="S1191" s="355"/>
    </row>
    <row r="1192" spans="13:19" x14ac:dyDescent="0.25">
      <c r="M1192" s="514"/>
      <c r="Q1192" s="293"/>
      <c r="R1192" s="316"/>
      <c r="S1192" s="355"/>
    </row>
    <row r="1193" spans="13:19" x14ac:dyDescent="0.25">
      <c r="M1193" s="514"/>
      <c r="Q1193" s="293"/>
      <c r="R1193" s="316"/>
      <c r="S1193" s="355"/>
    </row>
    <row r="1194" spans="13:19" x14ac:dyDescent="0.25">
      <c r="M1194" s="514"/>
      <c r="Q1194" s="293"/>
      <c r="R1194" s="316"/>
      <c r="S1194" s="355"/>
    </row>
    <row r="1195" spans="13:19" x14ac:dyDescent="0.25">
      <c r="M1195" s="514"/>
      <c r="Q1195" s="293"/>
      <c r="R1195" s="316"/>
      <c r="S1195" s="355"/>
    </row>
    <row r="1196" spans="13:19" x14ac:dyDescent="0.25">
      <c r="M1196" s="514"/>
      <c r="Q1196" s="293"/>
      <c r="R1196" s="316"/>
      <c r="S1196" s="355"/>
    </row>
    <row r="1197" spans="13:19" x14ac:dyDescent="0.25">
      <c r="M1197" s="514"/>
      <c r="Q1197" s="293"/>
      <c r="R1197" s="316"/>
      <c r="S1197" s="355"/>
    </row>
    <row r="1198" spans="13:19" x14ac:dyDescent="0.25">
      <c r="M1198" s="514"/>
      <c r="Q1198" s="293"/>
      <c r="R1198" s="316"/>
      <c r="S1198" s="355"/>
    </row>
    <row r="1199" spans="13:19" x14ac:dyDescent="0.25">
      <c r="M1199" s="514"/>
      <c r="Q1199" s="293"/>
      <c r="R1199" s="316"/>
      <c r="S1199" s="355"/>
    </row>
    <row r="1200" spans="13:19" x14ac:dyDescent="0.25">
      <c r="M1200" s="514"/>
      <c r="Q1200" s="293"/>
      <c r="R1200" s="316"/>
      <c r="S1200" s="355"/>
    </row>
    <row r="1201" spans="13:19" x14ac:dyDescent="0.25">
      <c r="M1201" s="514"/>
      <c r="Q1201" s="293"/>
      <c r="R1201" s="316"/>
      <c r="S1201" s="355"/>
    </row>
    <row r="1202" spans="13:19" x14ac:dyDescent="0.25">
      <c r="M1202" s="514"/>
      <c r="Q1202" s="293"/>
      <c r="R1202" s="316"/>
      <c r="S1202" s="355"/>
    </row>
    <row r="1203" spans="13:19" x14ac:dyDescent="0.25">
      <c r="M1203" s="514"/>
      <c r="Q1203" s="293"/>
      <c r="R1203" s="316"/>
      <c r="S1203" s="355"/>
    </row>
    <row r="1204" spans="13:19" x14ac:dyDescent="0.25">
      <c r="M1204" s="514"/>
      <c r="Q1204" s="293"/>
      <c r="R1204" s="316"/>
      <c r="S1204" s="355"/>
    </row>
    <row r="1205" spans="13:19" x14ac:dyDescent="0.25">
      <c r="M1205" s="514"/>
      <c r="Q1205" s="293"/>
      <c r="R1205" s="316"/>
      <c r="S1205" s="355"/>
    </row>
    <row r="1206" spans="13:19" x14ac:dyDescent="0.25">
      <c r="M1206" s="514"/>
      <c r="Q1206" s="293"/>
      <c r="R1206" s="316"/>
      <c r="S1206" s="355"/>
    </row>
    <row r="1207" spans="13:19" x14ac:dyDescent="0.25">
      <c r="M1207" s="514"/>
      <c r="Q1207" s="293"/>
      <c r="R1207" s="316"/>
      <c r="S1207" s="355"/>
    </row>
    <row r="1208" spans="13:19" x14ac:dyDescent="0.25">
      <c r="M1208" s="514"/>
      <c r="Q1208" s="293"/>
      <c r="R1208" s="316"/>
      <c r="S1208" s="355"/>
    </row>
    <row r="1209" spans="13:19" x14ac:dyDescent="0.25">
      <c r="M1209" s="514"/>
      <c r="Q1209" s="293"/>
      <c r="R1209" s="316"/>
      <c r="S1209" s="355"/>
    </row>
    <row r="1210" spans="13:19" x14ac:dyDescent="0.25">
      <c r="M1210" s="514"/>
      <c r="Q1210" s="293"/>
      <c r="R1210" s="316"/>
      <c r="S1210" s="355"/>
    </row>
    <row r="1211" spans="13:19" x14ac:dyDescent="0.25">
      <c r="M1211" s="514"/>
      <c r="Q1211" s="293"/>
      <c r="R1211" s="316"/>
      <c r="S1211" s="355"/>
    </row>
    <row r="1212" spans="13:19" x14ac:dyDescent="0.25">
      <c r="M1212" s="514"/>
      <c r="Q1212" s="293"/>
      <c r="R1212" s="316"/>
      <c r="S1212" s="355"/>
    </row>
    <row r="1213" spans="13:19" x14ac:dyDescent="0.25">
      <c r="M1213" s="514"/>
      <c r="Q1213" s="293"/>
      <c r="R1213" s="316"/>
      <c r="S1213" s="355"/>
    </row>
    <row r="1214" spans="13:19" x14ac:dyDescent="0.25">
      <c r="M1214" s="514"/>
      <c r="Q1214" s="293"/>
      <c r="R1214" s="316"/>
      <c r="S1214" s="355"/>
    </row>
    <row r="1215" spans="13:19" x14ac:dyDescent="0.25">
      <c r="M1215" s="514"/>
      <c r="Q1215" s="293"/>
      <c r="R1215" s="316"/>
      <c r="S1215" s="355"/>
    </row>
    <row r="1216" spans="13:19" x14ac:dyDescent="0.25">
      <c r="M1216" s="514"/>
      <c r="Q1216" s="293"/>
      <c r="R1216" s="316"/>
      <c r="S1216" s="355"/>
    </row>
    <row r="1217" spans="13:19" x14ac:dyDescent="0.25">
      <c r="M1217" s="514"/>
      <c r="Q1217" s="293"/>
      <c r="R1217" s="316"/>
      <c r="S1217" s="355"/>
    </row>
    <row r="1218" spans="13:19" x14ac:dyDescent="0.25">
      <c r="M1218" s="514"/>
      <c r="Q1218" s="293"/>
      <c r="R1218" s="316"/>
      <c r="S1218" s="355"/>
    </row>
    <row r="1219" spans="13:19" x14ac:dyDescent="0.25">
      <c r="M1219" s="514"/>
      <c r="Q1219" s="293"/>
      <c r="R1219" s="316"/>
      <c r="S1219" s="355"/>
    </row>
    <row r="1220" spans="13:19" x14ac:dyDescent="0.25">
      <c r="M1220" s="514"/>
      <c r="Q1220" s="293"/>
      <c r="R1220" s="316"/>
      <c r="S1220" s="355"/>
    </row>
    <row r="1221" spans="13:19" x14ac:dyDescent="0.25">
      <c r="M1221" s="514"/>
      <c r="Q1221" s="293"/>
      <c r="R1221" s="316"/>
      <c r="S1221" s="355"/>
    </row>
    <row r="1222" spans="13:19" x14ac:dyDescent="0.25">
      <c r="M1222" s="514"/>
      <c r="Q1222" s="293"/>
      <c r="R1222" s="316"/>
      <c r="S1222" s="355"/>
    </row>
    <row r="1223" spans="13:19" x14ac:dyDescent="0.25">
      <c r="M1223" s="514"/>
      <c r="Q1223" s="293"/>
      <c r="R1223" s="316"/>
      <c r="S1223" s="355"/>
    </row>
    <row r="1224" spans="13:19" x14ac:dyDescent="0.25">
      <c r="M1224" s="514"/>
      <c r="Q1224" s="293"/>
      <c r="R1224" s="316"/>
      <c r="S1224" s="355"/>
    </row>
    <row r="1225" spans="13:19" x14ac:dyDescent="0.25">
      <c r="M1225" s="514"/>
      <c r="Q1225" s="293"/>
      <c r="R1225" s="316"/>
      <c r="S1225" s="355"/>
    </row>
    <row r="1226" spans="13:19" x14ac:dyDescent="0.25">
      <c r="M1226" s="514"/>
      <c r="Q1226" s="293"/>
      <c r="R1226" s="316"/>
      <c r="S1226" s="355"/>
    </row>
    <row r="1227" spans="13:19" x14ac:dyDescent="0.25">
      <c r="M1227" s="514"/>
      <c r="Q1227" s="293"/>
      <c r="R1227" s="316"/>
      <c r="S1227" s="355"/>
    </row>
    <row r="1228" spans="13:19" x14ac:dyDescent="0.25">
      <c r="M1228" s="514"/>
      <c r="Q1228" s="293"/>
      <c r="R1228" s="316"/>
      <c r="S1228" s="355"/>
    </row>
    <row r="1229" spans="13:19" x14ac:dyDescent="0.25">
      <c r="M1229" s="514"/>
      <c r="Q1229" s="293"/>
      <c r="R1229" s="316"/>
      <c r="S1229" s="355"/>
    </row>
    <row r="1230" spans="13:19" x14ac:dyDescent="0.25">
      <c r="M1230" s="514"/>
      <c r="Q1230" s="293"/>
      <c r="R1230" s="316"/>
      <c r="S1230" s="355"/>
    </row>
    <row r="1231" spans="13:19" x14ac:dyDescent="0.25">
      <c r="M1231" s="514"/>
      <c r="Q1231" s="293"/>
      <c r="R1231" s="316"/>
      <c r="S1231" s="355"/>
    </row>
    <row r="1232" spans="13:19" x14ac:dyDescent="0.25">
      <c r="M1232" s="514"/>
      <c r="Q1232" s="293"/>
      <c r="R1232" s="316"/>
      <c r="S1232" s="355"/>
    </row>
    <row r="1233" spans="13:19" x14ac:dyDescent="0.25">
      <c r="M1233" s="514"/>
      <c r="Q1233" s="293"/>
      <c r="R1233" s="316"/>
      <c r="S1233" s="355"/>
    </row>
    <row r="1234" spans="13:19" x14ac:dyDescent="0.25">
      <c r="M1234" s="514"/>
      <c r="Q1234" s="293"/>
      <c r="R1234" s="316"/>
      <c r="S1234" s="355"/>
    </row>
    <row r="1235" spans="13:19" x14ac:dyDescent="0.25">
      <c r="M1235" s="514"/>
      <c r="Q1235" s="293"/>
      <c r="R1235" s="316"/>
      <c r="S1235" s="355"/>
    </row>
    <row r="1236" spans="13:19" x14ac:dyDescent="0.25">
      <c r="M1236" s="514"/>
      <c r="Q1236" s="293"/>
      <c r="R1236" s="316"/>
      <c r="S1236" s="355"/>
    </row>
    <row r="1237" spans="13:19" x14ac:dyDescent="0.25">
      <c r="M1237" s="514"/>
      <c r="Q1237" s="293"/>
      <c r="R1237" s="316"/>
      <c r="S1237" s="355"/>
    </row>
    <row r="1238" spans="13:19" x14ac:dyDescent="0.25">
      <c r="M1238" s="514"/>
      <c r="Q1238" s="293"/>
      <c r="R1238" s="316"/>
      <c r="S1238" s="355"/>
    </row>
    <row r="1239" spans="13:19" x14ac:dyDescent="0.25">
      <c r="M1239" s="514"/>
      <c r="Q1239" s="293"/>
      <c r="R1239" s="316"/>
      <c r="S1239" s="355"/>
    </row>
    <row r="1240" spans="13:19" x14ac:dyDescent="0.25">
      <c r="M1240" s="514"/>
      <c r="Q1240" s="293"/>
      <c r="R1240" s="316"/>
      <c r="S1240" s="355"/>
    </row>
    <row r="1241" spans="13:19" x14ac:dyDescent="0.25">
      <c r="M1241" s="514"/>
      <c r="Q1241" s="293"/>
      <c r="R1241" s="316"/>
      <c r="S1241" s="355"/>
    </row>
    <row r="1242" spans="13:19" x14ac:dyDescent="0.25">
      <c r="M1242" s="514"/>
      <c r="Q1242" s="293"/>
      <c r="R1242" s="316"/>
      <c r="S1242" s="355"/>
    </row>
    <row r="1243" spans="13:19" x14ac:dyDescent="0.25">
      <c r="M1243" s="514"/>
      <c r="Q1243" s="293"/>
      <c r="R1243" s="316"/>
      <c r="S1243" s="355"/>
    </row>
    <row r="1244" spans="13:19" x14ac:dyDescent="0.25">
      <c r="M1244" s="514"/>
      <c r="Q1244" s="293"/>
      <c r="R1244" s="316"/>
      <c r="S1244" s="355"/>
    </row>
    <row r="1245" spans="13:19" x14ac:dyDescent="0.25">
      <c r="M1245" s="514"/>
      <c r="Q1245" s="293"/>
      <c r="R1245" s="316"/>
      <c r="S1245" s="355"/>
    </row>
    <row r="1246" spans="13:19" x14ac:dyDescent="0.25">
      <c r="M1246" s="514"/>
      <c r="Q1246" s="293"/>
      <c r="R1246" s="316"/>
      <c r="S1246" s="355"/>
    </row>
    <row r="1247" spans="13:19" x14ac:dyDescent="0.25">
      <c r="M1247" s="514"/>
      <c r="Q1247" s="293"/>
      <c r="R1247" s="316"/>
      <c r="S1247" s="355"/>
    </row>
    <row r="1248" spans="13:19" x14ac:dyDescent="0.25">
      <c r="M1248" s="514"/>
      <c r="Q1248" s="293"/>
      <c r="R1248" s="316"/>
      <c r="S1248" s="355"/>
    </row>
    <row r="1249" spans="13:19" x14ac:dyDescent="0.25">
      <c r="M1249" s="514"/>
      <c r="Q1249" s="293"/>
      <c r="R1249" s="316"/>
      <c r="S1249" s="355"/>
    </row>
    <row r="1250" spans="13:19" x14ac:dyDescent="0.25">
      <c r="M1250" s="514"/>
      <c r="Q1250" s="293"/>
      <c r="R1250" s="316"/>
      <c r="S1250" s="355"/>
    </row>
    <row r="1251" spans="13:19" x14ac:dyDescent="0.25">
      <c r="M1251" s="514"/>
      <c r="Q1251" s="293"/>
      <c r="R1251" s="316"/>
      <c r="S1251" s="355"/>
    </row>
    <row r="1252" spans="13:19" x14ac:dyDescent="0.25">
      <c r="M1252" s="514"/>
      <c r="Q1252" s="293"/>
      <c r="R1252" s="316"/>
      <c r="S1252" s="355"/>
    </row>
    <row r="1253" spans="13:19" x14ac:dyDescent="0.25">
      <c r="M1253" s="514"/>
      <c r="Q1253" s="293"/>
      <c r="R1253" s="316"/>
      <c r="S1253" s="355"/>
    </row>
    <row r="1254" spans="13:19" x14ac:dyDescent="0.25">
      <c r="M1254" s="514"/>
      <c r="Q1254" s="293"/>
      <c r="R1254" s="316"/>
      <c r="S1254" s="355"/>
    </row>
    <row r="1255" spans="13:19" x14ac:dyDescent="0.25">
      <c r="M1255" s="514"/>
      <c r="Q1255" s="293"/>
      <c r="R1255" s="316"/>
      <c r="S1255" s="355"/>
    </row>
    <row r="1256" spans="13:19" x14ac:dyDescent="0.25">
      <c r="M1256" s="514"/>
      <c r="Q1256" s="293"/>
      <c r="R1256" s="316"/>
      <c r="S1256" s="355"/>
    </row>
    <row r="1257" spans="13:19" x14ac:dyDescent="0.25">
      <c r="M1257" s="514"/>
      <c r="Q1257" s="293"/>
      <c r="R1257" s="316"/>
      <c r="S1257" s="355"/>
    </row>
    <row r="1258" spans="13:19" x14ac:dyDescent="0.25">
      <c r="M1258" s="514"/>
      <c r="Q1258" s="293"/>
      <c r="R1258" s="316"/>
      <c r="S1258" s="355"/>
    </row>
    <row r="1259" spans="13:19" x14ac:dyDescent="0.25">
      <c r="M1259" s="514"/>
      <c r="Q1259" s="293"/>
      <c r="R1259" s="316"/>
      <c r="S1259" s="355"/>
    </row>
    <row r="1260" spans="13:19" x14ac:dyDescent="0.25">
      <c r="M1260" s="514"/>
      <c r="Q1260" s="293"/>
      <c r="R1260" s="316"/>
      <c r="S1260" s="355"/>
    </row>
    <row r="1261" spans="13:19" x14ac:dyDescent="0.25">
      <c r="M1261" s="514"/>
      <c r="Q1261" s="293"/>
      <c r="R1261" s="316"/>
      <c r="S1261" s="355"/>
    </row>
    <row r="1262" spans="13:19" x14ac:dyDescent="0.25">
      <c r="M1262" s="514"/>
      <c r="Q1262" s="293"/>
      <c r="R1262" s="316"/>
      <c r="S1262" s="355"/>
    </row>
    <row r="1263" spans="13:19" x14ac:dyDescent="0.25">
      <c r="M1263" s="514"/>
      <c r="Q1263" s="293"/>
      <c r="R1263" s="316"/>
      <c r="S1263" s="355"/>
    </row>
    <row r="1264" spans="13:19" x14ac:dyDescent="0.25">
      <c r="M1264" s="514"/>
      <c r="Q1264" s="293"/>
      <c r="R1264" s="316"/>
      <c r="S1264" s="355"/>
    </row>
    <row r="1265" spans="13:19" x14ac:dyDescent="0.25">
      <c r="M1265" s="514"/>
      <c r="Q1265" s="293"/>
      <c r="R1265" s="316"/>
      <c r="S1265" s="355"/>
    </row>
    <row r="1266" spans="13:19" x14ac:dyDescent="0.25">
      <c r="M1266" s="514"/>
      <c r="Q1266" s="293"/>
      <c r="R1266" s="316"/>
      <c r="S1266" s="355"/>
    </row>
    <row r="1267" spans="13:19" x14ac:dyDescent="0.25">
      <c r="M1267" s="514"/>
      <c r="Q1267" s="293"/>
      <c r="R1267" s="316"/>
      <c r="S1267" s="355"/>
    </row>
    <row r="1268" spans="13:19" x14ac:dyDescent="0.25">
      <c r="M1268" s="514"/>
      <c r="Q1268" s="293"/>
      <c r="R1268" s="316"/>
      <c r="S1268" s="355"/>
    </row>
    <row r="1269" spans="13:19" x14ac:dyDescent="0.25">
      <c r="M1269" s="514"/>
      <c r="Q1269" s="293"/>
      <c r="R1269" s="316"/>
      <c r="S1269" s="355"/>
    </row>
    <row r="1270" spans="13:19" x14ac:dyDescent="0.25">
      <c r="M1270" s="514"/>
      <c r="Q1270" s="293"/>
      <c r="R1270" s="316"/>
      <c r="S1270" s="355"/>
    </row>
    <row r="1271" spans="13:19" x14ac:dyDescent="0.25">
      <c r="M1271" s="514"/>
      <c r="Q1271" s="293"/>
      <c r="R1271" s="316"/>
      <c r="S1271" s="355"/>
    </row>
    <row r="1272" spans="13:19" x14ac:dyDescent="0.25">
      <c r="M1272" s="514"/>
      <c r="Q1272" s="293"/>
      <c r="R1272" s="316"/>
      <c r="S1272" s="355"/>
    </row>
    <row r="1273" spans="13:19" x14ac:dyDescent="0.25">
      <c r="M1273" s="514"/>
      <c r="Q1273" s="293"/>
      <c r="R1273" s="316"/>
      <c r="S1273" s="355"/>
    </row>
    <row r="1274" spans="13:19" x14ac:dyDescent="0.25">
      <c r="M1274" s="514"/>
      <c r="Q1274" s="293"/>
      <c r="R1274" s="316"/>
      <c r="S1274" s="355"/>
    </row>
    <row r="1275" spans="13:19" x14ac:dyDescent="0.25">
      <c r="M1275" s="514"/>
      <c r="Q1275" s="293"/>
      <c r="R1275" s="316"/>
      <c r="S1275" s="355"/>
    </row>
    <row r="1276" spans="13:19" x14ac:dyDescent="0.25">
      <c r="M1276" s="514"/>
      <c r="Q1276" s="293"/>
      <c r="R1276" s="316"/>
      <c r="S1276" s="355"/>
    </row>
    <row r="1277" spans="13:19" x14ac:dyDescent="0.25">
      <c r="M1277" s="514"/>
      <c r="Q1277" s="293"/>
      <c r="R1277" s="316"/>
      <c r="S1277" s="355"/>
    </row>
    <row r="1278" spans="13:19" x14ac:dyDescent="0.25">
      <c r="M1278" s="514"/>
      <c r="Q1278" s="293"/>
      <c r="R1278" s="316"/>
      <c r="S1278" s="355"/>
    </row>
    <row r="1279" spans="13:19" x14ac:dyDescent="0.25">
      <c r="M1279" s="514"/>
      <c r="Q1279" s="293"/>
      <c r="R1279" s="316"/>
      <c r="S1279" s="355"/>
    </row>
    <row r="1280" spans="13:19" x14ac:dyDescent="0.25">
      <c r="M1280" s="514"/>
      <c r="Q1280" s="293"/>
      <c r="R1280" s="316"/>
      <c r="S1280" s="355"/>
    </row>
    <row r="1281" spans="13:19" x14ac:dyDescent="0.25">
      <c r="M1281" s="514"/>
      <c r="Q1281" s="293"/>
      <c r="R1281" s="316"/>
      <c r="S1281" s="355"/>
    </row>
    <row r="1282" spans="13:19" x14ac:dyDescent="0.25">
      <c r="M1282" s="514"/>
      <c r="Q1282" s="293"/>
      <c r="R1282" s="316"/>
      <c r="S1282" s="355"/>
    </row>
    <row r="1283" spans="13:19" x14ac:dyDescent="0.25">
      <c r="M1283" s="514"/>
      <c r="Q1283" s="293"/>
      <c r="R1283" s="316"/>
      <c r="S1283" s="355"/>
    </row>
    <row r="1284" spans="13:19" x14ac:dyDescent="0.25">
      <c r="M1284" s="514"/>
      <c r="Q1284" s="293"/>
      <c r="R1284" s="316"/>
      <c r="S1284" s="355"/>
    </row>
    <row r="1285" spans="13:19" x14ac:dyDescent="0.25">
      <c r="M1285" s="514"/>
      <c r="Q1285" s="293"/>
      <c r="R1285" s="316"/>
      <c r="S1285" s="355"/>
    </row>
    <row r="1286" spans="13:19" x14ac:dyDescent="0.25">
      <c r="M1286" s="514"/>
      <c r="Q1286" s="293"/>
      <c r="R1286" s="316"/>
      <c r="S1286" s="355"/>
    </row>
    <row r="1287" spans="13:19" x14ac:dyDescent="0.25">
      <c r="M1287" s="514"/>
      <c r="Q1287" s="293"/>
      <c r="R1287" s="316"/>
      <c r="S1287" s="355"/>
    </row>
    <row r="1288" spans="13:19" x14ac:dyDescent="0.25">
      <c r="M1288" s="514"/>
      <c r="Q1288" s="293"/>
      <c r="R1288" s="316"/>
      <c r="S1288" s="355"/>
    </row>
    <row r="1289" spans="13:19" x14ac:dyDescent="0.25">
      <c r="M1289" s="514"/>
      <c r="Q1289" s="293"/>
      <c r="R1289" s="316"/>
      <c r="S1289" s="355"/>
    </row>
    <row r="1290" spans="13:19" x14ac:dyDescent="0.25">
      <c r="M1290" s="514"/>
      <c r="Q1290" s="293"/>
      <c r="R1290" s="316"/>
      <c r="S1290" s="355"/>
    </row>
    <row r="1291" spans="13:19" x14ac:dyDescent="0.25">
      <c r="M1291" s="514"/>
      <c r="Q1291" s="293"/>
      <c r="R1291" s="316"/>
      <c r="S1291" s="355"/>
    </row>
    <row r="1292" spans="13:19" x14ac:dyDescent="0.25">
      <c r="M1292" s="514"/>
      <c r="Q1292" s="293"/>
      <c r="R1292" s="316"/>
      <c r="S1292" s="355"/>
    </row>
    <row r="1293" spans="13:19" x14ac:dyDescent="0.25">
      <c r="M1293" s="514"/>
      <c r="Q1293" s="293"/>
      <c r="R1293" s="316"/>
      <c r="S1293" s="355"/>
    </row>
    <row r="1294" spans="13:19" x14ac:dyDescent="0.25">
      <c r="M1294" s="514"/>
      <c r="Q1294" s="293"/>
      <c r="R1294" s="316"/>
      <c r="S1294" s="355"/>
    </row>
    <row r="1295" spans="13:19" x14ac:dyDescent="0.25">
      <c r="M1295" s="514"/>
      <c r="Q1295" s="293"/>
      <c r="R1295" s="316"/>
      <c r="S1295" s="355"/>
    </row>
    <row r="1296" spans="13:19" x14ac:dyDescent="0.25">
      <c r="M1296" s="514"/>
      <c r="Q1296" s="293"/>
      <c r="R1296" s="316"/>
      <c r="S1296" s="355"/>
    </row>
    <row r="1297" spans="13:19" x14ac:dyDescent="0.25">
      <c r="M1297" s="514"/>
      <c r="Q1297" s="293"/>
      <c r="R1297" s="316"/>
      <c r="S1297" s="355"/>
    </row>
    <row r="1298" spans="13:19" x14ac:dyDescent="0.25">
      <c r="M1298" s="514"/>
      <c r="Q1298" s="293"/>
      <c r="R1298" s="316"/>
      <c r="S1298" s="355"/>
    </row>
    <row r="1299" spans="13:19" x14ac:dyDescent="0.25">
      <c r="M1299" s="514"/>
      <c r="Q1299" s="293"/>
      <c r="R1299" s="316"/>
      <c r="S1299" s="355"/>
    </row>
    <row r="1300" spans="13:19" x14ac:dyDescent="0.25">
      <c r="M1300" s="514"/>
      <c r="Q1300" s="293"/>
      <c r="R1300" s="316"/>
      <c r="S1300" s="355"/>
    </row>
    <row r="1301" spans="13:19" x14ac:dyDescent="0.25">
      <c r="M1301" s="514"/>
      <c r="Q1301" s="293"/>
      <c r="R1301" s="316"/>
      <c r="S1301" s="355"/>
    </row>
    <row r="1302" spans="13:19" x14ac:dyDescent="0.25">
      <c r="M1302" s="514"/>
      <c r="Q1302" s="293"/>
      <c r="R1302" s="316"/>
      <c r="S1302" s="355"/>
    </row>
    <row r="1303" spans="13:19" x14ac:dyDescent="0.25">
      <c r="M1303" s="514"/>
      <c r="Q1303" s="293"/>
      <c r="R1303" s="316"/>
      <c r="S1303" s="355"/>
    </row>
    <row r="1304" spans="13:19" x14ac:dyDescent="0.25">
      <c r="M1304" s="514"/>
      <c r="Q1304" s="293"/>
      <c r="R1304" s="316"/>
      <c r="S1304" s="355"/>
    </row>
    <row r="1305" spans="13:19" x14ac:dyDescent="0.25">
      <c r="M1305" s="514"/>
      <c r="Q1305" s="293"/>
      <c r="R1305" s="316"/>
      <c r="S1305" s="355"/>
    </row>
    <row r="1306" spans="13:19" x14ac:dyDescent="0.25">
      <c r="M1306" s="514"/>
      <c r="Q1306" s="293"/>
      <c r="R1306" s="316"/>
      <c r="S1306" s="355"/>
    </row>
    <row r="1307" spans="13:19" x14ac:dyDescent="0.25">
      <c r="M1307" s="514"/>
      <c r="Q1307" s="293"/>
      <c r="R1307" s="316"/>
      <c r="S1307" s="355"/>
    </row>
    <row r="1308" spans="13:19" x14ac:dyDescent="0.25">
      <c r="M1308" s="514"/>
      <c r="Q1308" s="293"/>
      <c r="R1308" s="316"/>
      <c r="S1308" s="355"/>
    </row>
    <row r="1309" spans="13:19" x14ac:dyDescent="0.25">
      <c r="M1309" s="514"/>
      <c r="Q1309" s="293"/>
      <c r="R1309" s="316"/>
      <c r="S1309" s="355"/>
    </row>
    <row r="1310" spans="13:19" x14ac:dyDescent="0.25">
      <c r="M1310" s="514"/>
      <c r="Q1310" s="293"/>
      <c r="R1310" s="316"/>
      <c r="S1310" s="355"/>
    </row>
    <row r="1311" spans="13:19" x14ac:dyDescent="0.25">
      <c r="M1311" s="514"/>
      <c r="Q1311" s="293"/>
      <c r="R1311" s="316"/>
      <c r="S1311" s="355"/>
    </row>
    <row r="1312" spans="13:19" x14ac:dyDescent="0.25">
      <c r="M1312" s="514"/>
      <c r="Q1312" s="293"/>
      <c r="R1312" s="316"/>
      <c r="S1312" s="355"/>
    </row>
    <row r="1313" spans="13:19" x14ac:dyDescent="0.25">
      <c r="M1313" s="514"/>
      <c r="Q1313" s="293"/>
      <c r="R1313" s="316"/>
      <c r="S1313" s="355"/>
    </row>
    <row r="1314" spans="13:19" x14ac:dyDescent="0.25">
      <c r="M1314" s="514"/>
      <c r="Q1314" s="293"/>
      <c r="R1314" s="316"/>
      <c r="S1314" s="355"/>
    </row>
    <row r="1315" spans="13:19" x14ac:dyDescent="0.25">
      <c r="M1315" s="514"/>
      <c r="Q1315" s="293"/>
      <c r="R1315" s="316"/>
      <c r="S1315" s="355"/>
    </row>
    <row r="1316" spans="13:19" x14ac:dyDescent="0.25">
      <c r="M1316" s="514"/>
      <c r="Q1316" s="293"/>
      <c r="R1316" s="316"/>
      <c r="S1316" s="355"/>
    </row>
    <row r="1317" spans="13:19" x14ac:dyDescent="0.25">
      <c r="M1317" s="514"/>
      <c r="Q1317" s="293"/>
      <c r="R1317" s="316"/>
      <c r="S1317" s="355"/>
    </row>
    <row r="1318" spans="13:19" x14ac:dyDescent="0.25">
      <c r="M1318" s="514"/>
      <c r="Q1318" s="293"/>
      <c r="R1318" s="316"/>
      <c r="S1318" s="355"/>
    </row>
    <row r="1319" spans="13:19" x14ac:dyDescent="0.25">
      <c r="M1319" s="514"/>
      <c r="Q1319" s="293"/>
      <c r="R1319" s="316"/>
      <c r="S1319" s="355"/>
    </row>
    <row r="1320" spans="13:19" x14ac:dyDescent="0.25">
      <c r="M1320" s="514"/>
      <c r="Q1320" s="293"/>
      <c r="R1320" s="316"/>
      <c r="S1320" s="355"/>
    </row>
    <row r="1321" spans="13:19" x14ac:dyDescent="0.25">
      <c r="M1321" s="514"/>
      <c r="Q1321" s="293"/>
      <c r="R1321" s="316"/>
      <c r="S1321" s="355"/>
    </row>
    <row r="1322" spans="13:19" x14ac:dyDescent="0.25">
      <c r="M1322" s="514"/>
      <c r="Q1322" s="293"/>
      <c r="R1322" s="316"/>
      <c r="S1322" s="355"/>
    </row>
    <row r="1323" spans="13:19" x14ac:dyDescent="0.25">
      <c r="M1323" s="514"/>
      <c r="Q1323" s="293"/>
      <c r="R1323" s="316"/>
      <c r="S1323" s="355"/>
    </row>
    <row r="1324" spans="13:19" x14ac:dyDescent="0.25">
      <c r="M1324" s="514"/>
      <c r="Q1324" s="293"/>
      <c r="R1324" s="316"/>
      <c r="S1324" s="355"/>
    </row>
    <row r="1325" spans="13:19" x14ac:dyDescent="0.25">
      <c r="M1325" s="514"/>
      <c r="Q1325" s="293"/>
      <c r="R1325" s="316"/>
      <c r="S1325" s="355"/>
    </row>
    <row r="1326" spans="13:19" x14ac:dyDescent="0.25">
      <c r="M1326" s="514"/>
      <c r="Q1326" s="293"/>
      <c r="R1326" s="316"/>
      <c r="S1326" s="355"/>
    </row>
    <row r="1327" spans="13:19" x14ac:dyDescent="0.25">
      <c r="M1327" s="514"/>
      <c r="Q1327" s="293"/>
      <c r="R1327" s="316"/>
      <c r="S1327" s="355"/>
    </row>
    <row r="1328" spans="13:19" x14ac:dyDescent="0.25">
      <c r="M1328" s="514"/>
      <c r="Q1328" s="293"/>
      <c r="R1328" s="316"/>
      <c r="S1328" s="355"/>
    </row>
    <row r="1329" spans="13:19" x14ac:dyDescent="0.25">
      <c r="M1329" s="514"/>
      <c r="Q1329" s="293"/>
      <c r="R1329" s="316"/>
      <c r="S1329" s="355"/>
    </row>
    <row r="1330" spans="13:19" x14ac:dyDescent="0.25">
      <c r="M1330" s="514"/>
      <c r="Q1330" s="293"/>
      <c r="R1330" s="316"/>
      <c r="S1330" s="355"/>
    </row>
    <row r="1331" spans="13:19" x14ac:dyDescent="0.25">
      <c r="M1331" s="514"/>
      <c r="Q1331" s="293"/>
      <c r="R1331" s="316"/>
      <c r="S1331" s="355"/>
    </row>
    <row r="1332" spans="13:19" x14ac:dyDescent="0.25">
      <c r="M1332" s="514"/>
      <c r="Q1332" s="293"/>
      <c r="R1332" s="316"/>
      <c r="S1332" s="355"/>
    </row>
    <row r="1333" spans="13:19" x14ac:dyDescent="0.25">
      <c r="M1333" s="514"/>
      <c r="Q1333" s="293"/>
      <c r="R1333" s="316"/>
      <c r="S1333" s="355"/>
    </row>
    <row r="1334" spans="13:19" x14ac:dyDescent="0.25">
      <c r="M1334" s="514"/>
      <c r="Q1334" s="293"/>
      <c r="R1334" s="316"/>
      <c r="S1334" s="355"/>
    </row>
    <row r="1335" spans="13:19" x14ac:dyDescent="0.25">
      <c r="M1335" s="514"/>
      <c r="Q1335" s="293"/>
      <c r="R1335" s="316"/>
      <c r="S1335" s="355"/>
    </row>
    <row r="1336" spans="13:19" x14ac:dyDescent="0.25">
      <c r="M1336" s="514"/>
      <c r="Q1336" s="293"/>
      <c r="R1336" s="316"/>
      <c r="S1336" s="355"/>
    </row>
    <row r="1337" spans="13:19" x14ac:dyDescent="0.25">
      <c r="M1337" s="514"/>
      <c r="Q1337" s="293"/>
      <c r="R1337" s="316"/>
      <c r="S1337" s="355"/>
    </row>
    <row r="1338" spans="13:19" x14ac:dyDescent="0.25">
      <c r="M1338" s="514"/>
      <c r="Q1338" s="293"/>
      <c r="R1338" s="316"/>
      <c r="S1338" s="355"/>
    </row>
    <row r="1339" spans="13:19" x14ac:dyDescent="0.25">
      <c r="M1339" s="514"/>
      <c r="Q1339" s="293"/>
      <c r="R1339" s="316"/>
      <c r="S1339" s="355"/>
    </row>
    <row r="1340" spans="13:19" x14ac:dyDescent="0.25">
      <c r="M1340" s="514"/>
      <c r="Q1340" s="293"/>
      <c r="R1340" s="316"/>
      <c r="S1340" s="355"/>
    </row>
    <row r="1341" spans="13:19" x14ac:dyDescent="0.25">
      <c r="M1341" s="514"/>
      <c r="Q1341" s="293"/>
      <c r="R1341" s="316"/>
      <c r="S1341" s="355"/>
    </row>
    <row r="1342" spans="13:19" x14ac:dyDescent="0.25">
      <c r="M1342" s="514"/>
      <c r="Q1342" s="293"/>
      <c r="R1342" s="316"/>
      <c r="S1342" s="355"/>
    </row>
    <row r="1343" spans="13:19" x14ac:dyDescent="0.25">
      <c r="M1343" s="514"/>
      <c r="Q1343" s="293"/>
      <c r="R1343" s="316"/>
      <c r="S1343" s="355"/>
    </row>
    <row r="1344" spans="13:19" x14ac:dyDescent="0.25">
      <c r="M1344" s="514"/>
      <c r="Q1344" s="293"/>
      <c r="R1344" s="316"/>
      <c r="S1344" s="355"/>
    </row>
    <row r="1345" spans="13:19" x14ac:dyDescent="0.25">
      <c r="M1345" s="514"/>
      <c r="Q1345" s="293"/>
      <c r="R1345" s="316"/>
      <c r="S1345" s="355"/>
    </row>
    <row r="1346" spans="13:19" x14ac:dyDescent="0.25">
      <c r="M1346" s="514"/>
      <c r="Q1346" s="293"/>
      <c r="R1346" s="316"/>
      <c r="S1346" s="355"/>
    </row>
    <row r="1347" spans="13:19" x14ac:dyDescent="0.25">
      <c r="M1347" s="514"/>
      <c r="Q1347" s="293"/>
      <c r="R1347" s="316"/>
      <c r="S1347" s="355"/>
    </row>
    <row r="1348" spans="13:19" x14ac:dyDescent="0.25">
      <c r="M1348" s="514"/>
      <c r="Q1348" s="293"/>
      <c r="R1348" s="316"/>
      <c r="S1348" s="355"/>
    </row>
    <row r="1349" spans="13:19" x14ac:dyDescent="0.25">
      <c r="M1349" s="514"/>
      <c r="Q1349" s="293"/>
      <c r="R1349" s="316"/>
      <c r="S1349" s="355"/>
    </row>
    <row r="1350" spans="13:19" x14ac:dyDescent="0.25">
      <c r="M1350" s="514"/>
      <c r="Q1350" s="293"/>
      <c r="R1350" s="316"/>
      <c r="S1350" s="355"/>
    </row>
    <row r="1351" spans="13:19" x14ac:dyDescent="0.25">
      <c r="M1351" s="514"/>
      <c r="Q1351" s="293"/>
      <c r="R1351" s="316"/>
      <c r="S1351" s="355"/>
    </row>
    <row r="1352" spans="13:19" x14ac:dyDescent="0.25">
      <c r="M1352" s="514"/>
      <c r="Q1352" s="293"/>
      <c r="R1352" s="316"/>
      <c r="S1352" s="355"/>
    </row>
    <row r="1353" spans="13:19" x14ac:dyDescent="0.25">
      <c r="M1353" s="514"/>
      <c r="Q1353" s="293"/>
      <c r="R1353" s="316"/>
      <c r="S1353" s="355"/>
    </row>
    <row r="1354" spans="13:19" x14ac:dyDescent="0.25">
      <c r="M1354" s="514"/>
      <c r="Q1354" s="293"/>
      <c r="R1354" s="316"/>
      <c r="S1354" s="355"/>
    </row>
    <row r="1355" spans="13:19" x14ac:dyDescent="0.25">
      <c r="M1355" s="514"/>
      <c r="Q1355" s="293"/>
      <c r="R1355" s="316"/>
      <c r="S1355" s="355"/>
    </row>
    <row r="1356" spans="13:19" x14ac:dyDescent="0.25">
      <c r="M1356" s="514"/>
      <c r="Q1356" s="293"/>
      <c r="R1356" s="316"/>
      <c r="S1356" s="355"/>
    </row>
    <row r="1357" spans="13:19" x14ac:dyDescent="0.25">
      <c r="M1357" s="514"/>
      <c r="Q1357" s="293"/>
      <c r="R1357" s="316"/>
      <c r="S1357" s="355"/>
    </row>
    <row r="1358" spans="13:19" x14ac:dyDescent="0.25">
      <c r="M1358" s="514"/>
      <c r="Q1358" s="293"/>
      <c r="R1358" s="316"/>
      <c r="S1358" s="355"/>
    </row>
    <row r="1359" spans="13:19" x14ac:dyDescent="0.25">
      <c r="M1359" s="514"/>
      <c r="Q1359" s="293"/>
      <c r="R1359" s="316"/>
      <c r="S1359" s="355"/>
    </row>
    <row r="1360" spans="13:19" x14ac:dyDescent="0.25">
      <c r="M1360" s="514"/>
      <c r="Q1360" s="293"/>
      <c r="R1360" s="316"/>
      <c r="S1360" s="355"/>
    </row>
    <row r="1361" spans="13:19" x14ac:dyDescent="0.25">
      <c r="M1361" s="514"/>
      <c r="Q1361" s="293"/>
      <c r="R1361" s="316"/>
      <c r="S1361" s="355"/>
    </row>
    <row r="1362" spans="13:19" x14ac:dyDescent="0.25">
      <c r="M1362" s="514"/>
      <c r="Q1362" s="293"/>
      <c r="R1362" s="316"/>
      <c r="S1362" s="355"/>
    </row>
    <row r="1363" spans="13:19" x14ac:dyDescent="0.25">
      <c r="M1363" s="514"/>
      <c r="Q1363" s="293"/>
      <c r="R1363" s="316"/>
      <c r="S1363" s="355"/>
    </row>
    <row r="1364" spans="13:19" x14ac:dyDescent="0.25">
      <c r="M1364" s="514"/>
      <c r="Q1364" s="293"/>
      <c r="R1364" s="316"/>
      <c r="S1364" s="355"/>
    </row>
    <row r="1365" spans="13:19" x14ac:dyDescent="0.25">
      <c r="M1365" s="514"/>
      <c r="Q1365" s="293"/>
      <c r="R1365" s="316"/>
      <c r="S1365" s="355"/>
    </row>
    <row r="1366" spans="13:19" x14ac:dyDescent="0.25">
      <c r="M1366" s="514"/>
      <c r="Q1366" s="293"/>
      <c r="R1366" s="316"/>
      <c r="S1366" s="355"/>
    </row>
    <row r="1367" spans="13:19" x14ac:dyDescent="0.25">
      <c r="M1367" s="514"/>
      <c r="Q1367" s="293"/>
      <c r="R1367" s="316"/>
      <c r="S1367" s="355"/>
    </row>
    <row r="1368" spans="13:19" x14ac:dyDescent="0.25">
      <c r="M1368" s="514"/>
      <c r="Q1368" s="293"/>
      <c r="R1368" s="316"/>
      <c r="S1368" s="355"/>
    </row>
    <row r="1369" spans="13:19" x14ac:dyDescent="0.25">
      <c r="M1369" s="514"/>
      <c r="Q1369" s="293"/>
      <c r="R1369" s="316"/>
      <c r="S1369" s="355"/>
    </row>
    <row r="1370" spans="13:19" x14ac:dyDescent="0.25">
      <c r="M1370" s="514"/>
      <c r="Q1370" s="293"/>
      <c r="R1370" s="316"/>
      <c r="S1370" s="355"/>
    </row>
    <row r="1371" spans="13:19" x14ac:dyDescent="0.25">
      <c r="M1371" s="514"/>
      <c r="Q1371" s="293"/>
      <c r="R1371" s="316"/>
      <c r="S1371" s="355"/>
    </row>
    <row r="1372" spans="13:19" x14ac:dyDescent="0.25">
      <c r="M1372" s="514"/>
      <c r="Q1372" s="293"/>
      <c r="R1372" s="316"/>
      <c r="S1372" s="355"/>
    </row>
    <row r="1373" spans="13:19" x14ac:dyDescent="0.25">
      <c r="M1373" s="514"/>
      <c r="Q1373" s="293"/>
      <c r="R1373" s="316"/>
      <c r="S1373" s="355"/>
    </row>
    <row r="1374" spans="13:19" x14ac:dyDescent="0.25">
      <c r="M1374" s="514"/>
      <c r="Q1374" s="293"/>
      <c r="R1374" s="316"/>
      <c r="S1374" s="355"/>
    </row>
    <row r="1375" spans="13:19" x14ac:dyDescent="0.25">
      <c r="M1375" s="514"/>
      <c r="Q1375" s="293"/>
      <c r="R1375" s="316"/>
      <c r="S1375" s="355"/>
    </row>
    <row r="1376" spans="13:19" x14ac:dyDescent="0.25">
      <c r="M1376" s="514"/>
      <c r="Q1376" s="293"/>
      <c r="R1376" s="316"/>
      <c r="S1376" s="355"/>
    </row>
    <row r="1377" spans="13:19" x14ac:dyDescent="0.25">
      <c r="M1377" s="514"/>
      <c r="Q1377" s="293"/>
      <c r="R1377" s="316"/>
      <c r="S1377" s="355"/>
    </row>
    <row r="1378" spans="13:19" x14ac:dyDescent="0.25">
      <c r="M1378" s="514"/>
      <c r="Q1378" s="293"/>
      <c r="R1378" s="316"/>
      <c r="S1378" s="355"/>
    </row>
    <row r="1379" spans="13:19" x14ac:dyDescent="0.25">
      <c r="M1379" s="514"/>
      <c r="Q1379" s="293"/>
      <c r="R1379" s="316"/>
      <c r="S1379" s="355"/>
    </row>
    <row r="1380" spans="13:19" x14ac:dyDescent="0.25">
      <c r="M1380" s="514"/>
      <c r="Q1380" s="293"/>
      <c r="R1380" s="316"/>
      <c r="S1380" s="355"/>
    </row>
    <row r="1381" spans="13:19" x14ac:dyDescent="0.25">
      <c r="M1381" s="514"/>
      <c r="Q1381" s="293"/>
      <c r="R1381" s="316"/>
      <c r="S1381" s="355"/>
    </row>
    <row r="1382" spans="13:19" x14ac:dyDescent="0.25">
      <c r="M1382" s="514"/>
      <c r="Q1382" s="293"/>
      <c r="R1382" s="316"/>
      <c r="S1382" s="355"/>
    </row>
    <row r="1383" spans="13:19" x14ac:dyDescent="0.25">
      <c r="M1383" s="514"/>
      <c r="Q1383" s="293"/>
      <c r="R1383" s="316"/>
      <c r="S1383" s="355"/>
    </row>
    <row r="1384" spans="13:19" x14ac:dyDescent="0.25">
      <c r="M1384" s="514"/>
      <c r="Q1384" s="293"/>
      <c r="R1384" s="316"/>
      <c r="S1384" s="355"/>
    </row>
    <row r="1385" spans="13:19" x14ac:dyDescent="0.25">
      <c r="M1385" s="514"/>
      <c r="Q1385" s="293"/>
      <c r="R1385" s="316"/>
      <c r="S1385" s="355"/>
    </row>
    <row r="1386" spans="13:19" x14ac:dyDescent="0.25">
      <c r="M1386" s="514"/>
      <c r="Q1386" s="293"/>
      <c r="R1386" s="316"/>
      <c r="S1386" s="355"/>
    </row>
    <row r="1387" spans="13:19" x14ac:dyDescent="0.25">
      <c r="M1387" s="514"/>
      <c r="Q1387" s="293"/>
      <c r="R1387" s="316"/>
      <c r="S1387" s="355"/>
    </row>
    <row r="1388" spans="13:19" x14ac:dyDescent="0.25">
      <c r="M1388" s="514"/>
      <c r="Q1388" s="293"/>
      <c r="R1388" s="316"/>
      <c r="S1388" s="355"/>
    </row>
    <row r="1389" spans="13:19" x14ac:dyDescent="0.25">
      <c r="M1389" s="514"/>
      <c r="Q1389" s="293"/>
      <c r="R1389" s="316"/>
      <c r="S1389" s="355"/>
    </row>
    <row r="1390" spans="13:19" x14ac:dyDescent="0.25">
      <c r="M1390" s="514"/>
      <c r="Q1390" s="293"/>
      <c r="R1390" s="316"/>
      <c r="S1390" s="355"/>
    </row>
    <row r="1391" spans="13:19" x14ac:dyDescent="0.25">
      <c r="M1391" s="514"/>
      <c r="Q1391" s="293"/>
      <c r="R1391" s="316"/>
      <c r="S1391" s="355"/>
    </row>
    <row r="1392" spans="13:19" x14ac:dyDescent="0.25">
      <c r="M1392" s="514"/>
      <c r="Q1392" s="293"/>
      <c r="R1392" s="316"/>
      <c r="S1392" s="355"/>
    </row>
    <row r="1393" spans="13:19" x14ac:dyDescent="0.25">
      <c r="M1393" s="514"/>
      <c r="Q1393" s="293"/>
      <c r="R1393" s="316"/>
      <c r="S1393" s="355"/>
    </row>
    <row r="1394" spans="13:19" x14ac:dyDescent="0.25">
      <c r="M1394" s="514"/>
      <c r="Q1394" s="293"/>
      <c r="R1394" s="316"/>
      <c r="S1394" s="355"/>
    </row>
    <row r="1395" spans="13:19" x14ac:dyDescent="0.25">
      <c r="M1395" s="514"/>
      <c r="Q1395" s="293"/>
      <c r="R1395" s="316"/>
      <c r="S1395" s="355"/>
    </row>
    <row r="1396" spans="13:19" x14ac:dyDescent="0.25">
      <c r="M1396" s="514"/>
      <c r="Q1396" s="293"/>
      <c r="R1396" s="316"/>
      <c r="S1396" s="355"/>
    </row>
    <row r="1397" spans="13:19" x14ac:dyDescent="0.25">
      <c r="M1397" s="514"/>
      <c r="Q1397" s="293"/>
      <c r="R1397" s="316"/>
      <c r="S1397" s="355"/>
    </row>
    <row r="1398" spans="13:19" x14ac:dyDescent="0.25">
      <c r="M1398" s="514"/>
      <c r="Q1398" s="293"/>
      <c r="R1398" s="316"/>
      <c r="S1398" s="355"/>
    </row>
    <row r="1399" spans="13:19" x14ac:dyDescent="0.25">
      <c r="M1399" s="514"/>
      <c r="Q1399" s="293"/>
      <c r="R1399" s="316"/>
      <c r="S1399" s="355"/>
    </row>
    <row r="1400" spans="13:19" x14ac:dyDescent="0.25">
      <c r="M1400" s="514"/>
      <c r="Q1400" s="293"/>
      <c r="R1400" s="316"/>
      <c r="S1400" s="355"/>
    </row>
    <row r="1401" spans="13:19" x14ac:dyDescent="0.25">
      <c r="M1401" s="514"/>
      <c r="Q1401" s="293"/>
      <c r="R1401" s="316"/>
      <c r="S1401" s="355"/>
    </row>
    <row r="1402" spans="13:19" x14ac:dyDescent="0.25">
      <c r="M1402" s="514"/>
      <c r="Q1402" s="293"/>
      <c r="R1402" s="316"/>
      <c r="S1402" s="355"/>
    </row>
    <row r="1403" spans="13:19" x14ac:dyDescent="0.25">
      <c r="M1403" s="514"/>
      <c r="Q1403" s="293"/>
      <c r="R1403" s="316"/>
      <c r="S1403" s="355"/>
    </row>
    <row r="1404" spans="13:19" x14ac:dyDescent="0.25">
      <c r="M1404" s="514"/>
      <c r="Q1404" s="293"/>
      <c r="R1404" s="316"/>
      <c r="S1404" s="355"/>
    </row>
    <row r="1405" spans="13:19" x14ac:dyDescent="0.25">
      <c r="M1405" s="514"/>
      <c r="Q1405" s="293"/>
      <c r="R1405" s="316"/>
      <c r="S1405" s="355"/>
    </row>
    <row r="1406" spans="13:19" x14ac:dyDescent="0.25">
      <c r="M1406" s="514"/>
      <c r="Q1406" s="293"/>
      <c r="R1406" s="316"/>
      <c r="S1406" s="355"/>
    </row>
    <row r="1407" spans="13:19" x14ac:dyDescent="0.25">
      <c r="M1407" s="514"/>
      <c r="Q1407" s="293"/>
      <c r="R1407" s="316"/>
      <c r="S1407" s="355"/>
    </row>
    <row r="1408" spans="13:19" x14ac:dyDescent="0.25">
      <c r="M1408" s="514"/>
      <c r="Q1408" s="293"/>
      <c r="R1408" s="316"/>
      <c r="S1408" s="355"/>
    </row>
    <row r="1409" spans="13:19" x14ac:dyDescent="0.25">
      <c r="M1409" s="514"/>
      <c r="Q1409" s="293"/>
      <c r="R1409" s="316"/>
      <c r="S1409" s="355"/>
    </row>
    <row r="1410" spans="13:19" x14ac:dyDescent="0.25">
      <c r="M1410" s="514"/>
      <c r="Q1410" s="293"/>
      <c r="R1410" s="316"/>
      <c r="S1410" s="355"/>
    </row>
    <row r="1411" spans="13:19" x14ac:dyDescent="0.25">
      <c r="M1411" s="514"/>
      <c r="Q1411" s="293"/>
      <c r="R1411" s="316"/>
      <c r="S1411" s="355"/>
    </row>
    <row r="1412" spans="13:19" x14ac:dyDescent="0.25">
      <c r="M1412" s="514"/>
      <c r="Q1412" s="293"/>
      <c r="R1412" s="316"/>
      <c r="S1412" s="355"/>
    </row>
    <row r="1413" spans="13:19" x14ac:dyDescent="0.25">
      <c r="M1413" s="514"/>
      <c r="Q1413" s="293"/>
      <c r="R1413" s="316"/>
      <c r="S1413" s="355"/>
    </row>
    <row r="1414" spans="13:19" x14ac:dyDescent="0.25">
      <c r="M1414" s="514"/>
      <c r="Q1414" s="293"/>
      <c r="R1414" s="316"/>
      <c r="S1414" s="355"/>
    </row>
    <row r="1415" spans="13:19" x14ac:dyDescent="0.25">
      <c r="M1415" s="514"/>
      <c r="Q1415" s="293"/>
      <c r="R1415" s="316"/>
      <c r="S1415" s="355"/>
    </row>
    <row r="1416" spans="13:19" x14ac:dyDescent="0.25">
      <c r="M1416" s="514"/>
      <c r="Q1416" s="293"/>
      <c r="R1416" s="316"/>
      <c r="S1416" s="355"/>
    </row>
    <row r="1417" spans="13:19" x14ac:dyDescent="0.25">
      <c r="M1417" s="514"/>
      <c r="Q1417" s="293"/>
      <c r="R1417" s="316"/>
      <c r="S1417" s="355"/>
    </row>
    <row r="1418" spans="13:19" x14ac:dyDescent="0.25">
      <c r="M1418" s="514"/>
      <c r="Q1418" s="293"/>
      <c r="R1418" s="316"/>
      <c r="S1418" s="355"/>
    </row>
    <row r="1419" spans="13:19" x14ac:dyDescent="0.25">
      <c r="M1419" s="514"/>
      <c r="Q1419" s="293"/>
      <c r="R1419" s="316"/>
      <c r="S1419" s="355"/>
    </row>
    <row r="1420" spans="13:19" x14ac:dyDescent="0.25">
      <c r="M1420" s="514"/>
      <c r="Q1420" s="293"/>
      <c r="R1420" s="316"/>
      <c r="S1420" s="355"/>
    </row>
    <row r="1421" spans="13:19" x14ac:dyDescent="0.25">
      <c r="M1421" s="514"/>
      <c r="Q1421" s="293"/>
      <c r="R1421" s="316"/>
      <c r="S1421" s="355"/>
    </row>
    <row r="1422" spans="13:19" x14ac:dyDescent="0.25">
      <c r="M1422" s="514"/>
      <c r="Q1422" s="293"/>
      <c r="R1422" s="316"/>
      <c r="S1422" s="355"/>
    </row>
    <row r="1423" spans="13:19" x14ac:dyDescent="0.25">
      <c r="M1423" s="514"/>
      <c r="Q1423" s="293"/>
      <c r="R1423" s="316"/>
      <c r="S1423" s="355"/>
    </row>
    <row r="1424" spans="13:19" x14ac:dyDescent="0.25">
      <c r="M1424" s="514"/>
      <c r="Q1424" s="293"/>
      <c r="R1424" s="316"/>
      <c r="S1424" s="355"/>
    </row>
    <row r="1425" spans="13:19" x14ac:dyDescent="0.25">
      <c r="M1425" s="514"/>
      <c r="Q1425" s="293"/>
      <c r="R1425" s="316"/>
      <c r="S1425" s="355"/>
    </row>
    <row r="1426" spans="13:19" x14ac:dyDescent="0.25">
      <c r="M1426" s="514"/>
      <c r="Q1426" s="293"/>
      <c r="R1426" s="316"/>
      <c r="S1426" s="355"/>
    </row>
    <row r="1427" spans="13:19" x14ac:dyDescent="0.25">
      <c r="M1427" s="514"/>
      <c r="Q1427" s="293"/>
      <c r="R1427" s="316"/>
      <c r="S1427" s="355"/>
    </row>
    <row r="1428" spans="13:19" x14ac:dyDescent="0.25">
      <c r="M1428" s="514"/>
      <c r="Q1428" s="293"/>
      <c r="R1428" s="316"/>
      <c r="S1428" s="355"/>
    </row>
    <row r="1429" spans="13:19" x14ac:dyDescent="0.25">
      <c r="M1429" s="514"/>
      <c r="Q1429" s="293"/>
      <c r="R1429" s="316"/>
      <c r="S1429" s="355"/>
    </row>
    <row r="1430" spans="13:19" x14ac:dyDescent="0.25">
      <c r="M1430" s="514"/>
      <c r="Q1430" s="293"/>
      <c r="R1430" s="316"/>
      <c r="S1430" s="355"/>
    </row>
    <row r="1431" spans="13:19" x14ac:dyDescent="0.25">
      <c r="M1431" s="514"/>
      <c r="Q1431" s="293"/>
      <c r="R1431" s="316"/>
      <c r="S1431" s="355"/>
    </row>
    <row r="1432" spans="13:19" x14ac:dyDescent="0.25">
      <c r="M1432" s="514"/>
      <c r="Q1432" s="293"/>
      <c r="R1432" s="316"/>
      <c r="S1432" s="355"/>
    </row>
    <row r="1433" spans="13:19" x14ac:dyDescent="0.25">
      <c r="M1433" s="514"/>
      <c r="Q1433" s="293"/>
      <c r="R1433" s="316"/>
      <c r="S1433" s="355"/>
    </row>
    <row r="1434" spans="13:19" x14ac:dyDescent="0.25">
      <c r="M1434" s="514"/>
      <c r="Q1434" s="293"/>
      <c r="R1434" s="316"/>
      <c r="S1434" s="355"/>
    </row>
    <row r="1435" spans="13:19" x14ac:dyDescent="0.25">
      <c r="M1435" s="514"/>
      <c r="Q1435" s="293"/>
      <c r="R1435" s="316"/>
      <c r="S1435" s="355"/>
    </row>
    <row r="1436" spans="13:19" x14ac:dyDescent="0.25">
      <c r="M1436" s="514"/>
      <c r="Q1436" s="293"/>
      <c r="R1436" s="316"/>
      <c r="S1436" s="355"/>
    </row>
    <row r="1437" spans="13:19" x14ac:dyDescent="0.25">
      <c r="M1437" s="514"/>
      <c r="Q1437" s="293"/>
      <c r="R1437" s="316"/>
      <c r="S1437" s="355"/>
    </row>
    <row r="1438" spans="13:19" x14ac:dyDescent="0.25">
      <c r="M1438" s="514"/>
      <c r="Q1438" s="293"/>
      <c r="R1438" s="316"/>
      <c r="S1438" s="355"/>
    </row>
    <row r="1439" spans="13:19" x14ac:dyDescent="0.25">
      <c r="M1439" s="514"/>
      <c r="Q1439" s="293"/>
      <c r="R1439" s="316"/>
      <c r="S1439" s="355"/>
    </row>
    <row r="1440" spans="13:19" x14ac:dyDescent="0.25">
      <c r="M1440" s="514"/>
      <c r="Q1440" s="293"/>
      <c r="R1440" s="316"/>
      <c r="S1440" s="355"/>
    </row>
    <row r="1441" spans="13:19" x14ac:dyDescent="0.25">
      <c r="M1441" s="514"/>
      <c r="Q1441" s="293"/>
      <c r="R1441" s="316"/>
      <c r="S1441" s="355"/>
    </row>
    <row r="1442" spans="13:19" x14ac:dyDescent="0.25">
      <c r="M1442" s="514"/>
      <c r="Q1442" s="293"/>
      <c r="R1442" s="316"/>
      <c r="S1442" s="355"/>
    </row>
    <row r="1443" spans="13:19" x14ac:dyDescent="0.25">
      <c r="M1443" s="514"/>
      <c r="Q1443" s="293"/>
      <c r="R1443" s="316"/>
      <c r="S1443" s="355"/>
    </row>
    <row r="1444" spans="13:19" x14ac:dyDescent="0.25">
      <c r="M1444" s="514"/>
      <c r="Q1444" s="293"/>
      <c r="R1444" s="316"/>
      <c r="S1444" s="355"/>
    </row>
    <row r="1445" spans="13:19" x14ac:dyDescent="0.25">
      <c r="M1445" s="514"/>
      <c r="Q1445" s="293"/>
      <c r="R1445" s="316"/>
      <c r="S1445" s="355"/>
    </row>
    <row r="1446" spans="13:19" x14ac:dyDescent="0.25">
      <c r="M1446" s="514"/>
      <c r="Q1446" s="293"/>
      <c r="R1446" s="316"/>
      <c r="S1446" s="355"/>
    </row>
    <row r="1447" spans="13:19" x14ac:dyDescent="0.25">
      <c r="M1447" s="514"/>
      <c r="Q1447" s="293"/>
      <c r="R1447" s="316"/>
      <c r="S1447" s="355"/>
    </row>
    <row r="1448" spans="13:19" x14ac:dyDescent="0.25">
      <c r="M1448" s="514"/>
      <c r="Q1448" s="293"/>
      <c r="R1448" s="316"/>
      <c r="S1448" s="355"/>
    </row>
    <row r="1449" spans="13:19" x14ac:dyDescent="0.25">
      <c r="M1449" s="514"/>
      <c r="Q1449" s="293"/>
      <c r="R1449" s="316"/>
      <c r="S1449" s="355"/>
    </row>
    <row r="1450" spans="13:19" x14ac:dyDescent="0.25">
      <c r="M1450" s="514"/>
      <c r="Q1450" s="293"/>
      <c r="R1450" s="316"/>
      <c r="S1450" s="355"/>
    </row>
    <row r="1451" spans="13:19" x14ac:dyDescent="0.25">
      <c r="M1451" s="514"/>
      <c r="Q1451" s="293"/>
      <c r="R1451" s="316"/>
      <c r="S1451" s="355"/>
    </row>
    <row r="1452" spans="13:19" x14ac:dyDescent="0.25">
      <c r="M1452" s="514"/>
      <c r="Q1452" s="293"/>
      <c r="R1452" s="316"/>
      <c r="S1452" s="355"/>
    </row>
    <row r="1453" spans="13:19" x14ac:dyDescent="0.25">
      <c r="M1453" s="514"/>
      <c r="Q1453" s="293"/>
      <c r="R1453" s="316"/>
      <c r="S1453" s="355"/>
    </row>
    <row r="1454" spans="13:19" x14ac:dyDescent="0.25">
      <c r="M1454" s="514"/>
      <c r="Q1454" s="293"/>
      <c r="R1454" s="316"/>
      <c r="S1454" s="355"/>
    </row>
    <row r="1455" spans="13:19" x14ac:dyDescent="0.25">
      <c r="M1455" s="514"/>
      <c r="Q1455" s="293"/>
      <c r="R1455" s="316"/>
      <c r="S1455" s="355"/>
    </row>
    <row r="1456" spans="13:19" x14ac:dyDescent="0.25">
      <c r="M1456" s="514"/>
      <c r="Q1456" s="293"/>
      <c r="R1456" s="316"/>
      <c r="S1456" s="355"/>
    </row>
    <row r="1457" spans="13:19" x14ac:dyDescent="0.25">
      <c r="M1457" s="514"/>
      <c r="Q1457" s="293"/>
      <c r="R1457" s="316"/>
      <c r="S1457" s="355"/>
    </row>
    <row r="1458" spans="13:19" x14ac:dyDescent="0.25">
      <c r="M1458" s="514"/>
      <c r="Q1458" s="293"/>
      <c r="R1458" s="316"/>
      <c r="S1458" s="355"/>
    </row>
    <row r="1459" spans="13:19" x14ac:dyDescent="0.25">
      <c r="M1459" s="514"/>
      <c r="Q1459" s="293"/>
      <c r="R1459" s="316"/>
      <c r="S1459" s="355"/>
    </row>
    <row r="1460" spans="13:19" x14ac:dyDescent="0.25">
      <c r="M1460" s="514"/>
      <c r="Q1460" s="293"/>
      <c r="R1460" s="316"/>
      <c r="S1460" s="355"/>
    </row>
    <row r="1461" spans="13:19" x14ac:dyDescent="0.25">
      <c r="M1461" s="514"/>
      <c r="Q1461" s="293"/>
      <c r="R1461" s="316"/>
      <c r="S1461" s="355"/>
    </row>
    <row r="1462" spans="13:19" x14ac:dyDescent="0.25">
      <c r="M1462" s="514"/>
      <c r="Q1462" s="293"/>
      <c r="R1462" s="316"/>
      <c r="S1462" s="355"/>
    </row>
    <row r="1463" spans="13:19" x14ac:dyDescent="0.25">
      <c r="M1463" s="514"/>
      <c r="Q1463" s="293"/>
      <c r="R1463" s="316"/>
      <c r="S1463" s="355"/>
    </row>
    <row r="1464" spans="13:19" x14ac:dyDescent="0.25">
      <c r="M1464" s="514"/>
      <c r="Q1464" s="293"/>
      <c r="R1464" s="316"/>
      <c r="S1464" s="355"/>
    </row>
    <row r="1465" spans="13:19" x14ac:dyDescent="0.25">
      <c r="M1465" s="514"/>
      <c r="Q1465" s="293"/>
      <c r="R1465" s="316"/>
      <c r="S1465" s="355"/>
    </row>
    <row r="1466" spans="13:19" x14ac:dyDescent="0.25">
      <c r="M1466" s="514"/>
      <c r="Q1466" s="293"/>
      <c r="R1466" s="316"/>
      <c r="S1466" s="355"/>
    </row>
    <row r="1467" spans="13:19" x14ac:dyDescent="0.25">
      <c r="M1467" s="514"/>
      <c r="Q1467" s="293"/>
      <c r="R1467" s="316"/>
      <c r="S1467" s="355"/>
    </row>
    <row r="1468" spans="13:19" x14ac:dyDescent="0.25">
      <c r="M1468" s="514"/>
      <c r="Q1468" s="293"/>
      <c r="R1468" s="316"/>
      <c r="S1468" s="355"/>
    </row>
    <row r="1469" spans="13:19" x14ac:dyDescent="0.25">
      <c r="M1469" s="514"/>
      <c r="Q1469" s="293"/>
      <c r="R1469" s="316"/>
      <c r="S1469" s="355"/>
    </row>
    <row r="1470" spans="13:19" x14ac:dyDescent="0.25">
      <c r="M1470" s="514"/>
      <c r="Q1470" s="293"/>
      <c r="R1470" s="316"/>
      <c r="S1470" s="355"/>
    </row>
    <row r="1471" spans="13:19" x14ac:dyDescent="0.25">
      <c r="M1471" s="514"/>
      <c r="Q1471" s="293"/>
      <c r="R1471" s="316"/>
      <c r="S1471" s="355"/>
    </row>
    <row r="1472" spans="13:19" x14ac:dyDescent="0.25">
      <c r="M1472" s="514"/>
      <c r="Q1472" s="293"/>
      <c r="R1472" s="316"/>
      <c r="S1472" s="355"/>
    </row>
    <row r="1473" spans="13:19" x14ac:dyDescent="0.25">
      <c r="M1473" s="514"/>
      <c r="Q1473" s="293"/>
      <c r="R1473" s="316"/>
      <c r="S1473" s="355"/>
    </row>
    <row r="1474" spans="13:19" x14ac:dyDescent="0.25">
      <c r="M1474" s="514"/>
      <c r="Q1474" s="293"/>
      <c r="R1474" s="316"/>
      <c r="S1474" s="355"/>
    </row>
    <row r="1475" spans="13:19" x14ac:dyDescent="0.25">
      <c r="M1475" s="514"/>
      <c r="Q1475" s="293"/>
      <c r="R1475" s="316"/>
      <c r="S1475" s="355"/>
    </row>
    <row r="1476" spans="13:19" x14ac:dyDescent="0.25">
      <c r="M1476" s="514"/>
      <c r="Q1476" s="293"/>
      <c r="R1476" s="316"/>
      <c r="S1476" s="355"/>
    </row>
    <row r="1477" spans="13:19" x14ac:dyDescent="0.25">
      <c r="M1477" s="514"/>
      <c r="Q1477" s="293"/>
      <c r="R1477" s="316"/>
      <c r="S1477" s="355"/>
    </row>
    <row r="1478" spans="13:19" x14ac:dyDescent="0.25">
      <c r="M1478" s="514"/>
      <c r="Q1478" s="293"/>
      <c r="R1478" s="316"/>
      <c r="S1478" s="355"/>
    </row>
    <row r="1479" spans="13:19" x14ac:dyDescent="0.25">
      <c r="M1479" s="514"/>
      <c r="Q1479" s="293"/>
      <c r="R1479" s="316"/>
      <c r="S1479" s="355"/>
    </row>
    <row r="1480" spans="13:19" x14ac:dyDescent="0.25">
      <c r="M1480" s="514"/>
      <c r="Q1480" s="293"/>
      <c r="R1480" s="316"/>
      <c r="S1480" s="355"/>
    </row>
    <row r="1481" spans="13:19" x14ac:dyDescent="0.25">
      <c r="M1481" s="514"/>
      <c r="Q1481" s="293"/>
      <c r="R1481" s="316"/>
      <c r="S1481" s="355"/>
    </row>
    <row r="1482" spans="13:19" x14ac:dyDescent="0.25">
      <c r="M1482" s="514"/>
      <c r="Q1482" s="293"/>
      <c r="R1482" s="316"/>
      <c r="S1482" s="355"/>
    </row>
    <row r="1483" spans="13:19" x14ac:dyDescent="0.25">
      <c r="M1483" s="514"/>
      <c r="Q1483" s="293"/>
      <c r="R1483" s="316"/>
      <c r="S1483" s="355"/>
    </row>
    <row r="1484" spans="13:19" x14ac:dyDescent="0.25">
      <c r="M1484" s="514"/>
      <c r="Q1484" s="293"/>
      <c r="R1484" s="316"/>
      <c r="S1484" s="355"/>
    </row>
    <row r="1485" spans="13:19" x14ac:dyDescent="0.25">
      <c r="M1485" s="514"/>
      <c r="Q1485" s="293"/>
      <c r="R1485" s="316"/>
      <c r="S1485" s="355"/>
    </row>
    <row r="1486" spans="13:19" x14ac:dyDescent="0.25">
      <c r="M1486" s="514"/>
      <c r="Q1486" s="293"/>
      <c r="R1486" s="316"/>
      <c r="S1486" s="355"/>
    </row>
    <row r="1487" spans="13:19" x14ac:dyDescent="0.25">
      <c r="M1487" s="514"/>
      <c r="Q1487" s="293"/>
      <c r="R1487" s="316"/>
      <c r="S1487" s="355"/>
    </row>
    <row r="1488" spans="13:19" x14ac:dyDescent="0.25">
      <c r="M1488" s="514"/>
      <c r="Q1488" s="293"/>
      <c r="R1488" s="316"/>
      <c r="S1488" s="355"/>
    </row>
    <row r="1489" spans="13:19" x14ac:dyDescent="0.25">
      <c r="M1489" s="514"/>
      <c r="Q1489" s="293"/>
      <c r="R1489" s="316"/>
      <c r="S1489" s="355"/>
    </row>
    <row r="1490" spans="13:19" x14ac:dyDescent="0.25">
      <c r="M1490" s="514"/>
      <c r="Q1490" s="293"/>
      <c r="R1490" s="316"/>
      <c r="S1490" s="355"/>
    </row>
    <row r="1491" spans="13:19" x14ac:dyDescent="0.25">
      <c r="M1491" s="514"/>
      <c r="Q1491" s="293"/>
      <c r="R1491" s="316"/>
      <c r="S1491" s="355"/>
    </row>
    <row r="1492" spans="13:19" x14ac:dyDescent="0.25">
      <c r="M1492" s="514"/>
      <c r="Q1492" s="293"/>
      <c r="R1492" s="316"/>
      <c r="S1492" s="355"/>
    </row>
    <row r="1493" spans="13:19" x14ac:dyDescent="0.25">
      <c r="M1493" s="514"/>
      <c r="Q1493" s="293"/>
      <c r="R1493" s="316"/>
      <c r="S1493" s="355"/>
    </row>
    <row r="1494" spans="13:19" x14ac:dyDescent="0.25">
      <c r="M1494" s="514"/>
      <c r="Q1494" s="293"/>
      <c r="R1494" s="316"/>
      <c r="S1494" s="355"/>
    </row>
    <row r="1495" spans="13:19" x14ac:dyDescent="0.25">
      <c r="M1495" s="514"/>
      <c r="Q1495" s="293"/>
      <c r="R1495" s="316"/>
      <c r="S1495" s="355"/>
    </row>
    <row r="1496" spans="13:19" x14ac:dyDescent="0.25">
      <c r="M1496" s="514"/>
      <c r="Q1496" s="293"/>
      <c r="R1496" s="316"/>
      <c r="S1496" s="355"/>
    </row>
    <row r="1497" spans="13:19" x14ac:dyDescent="0.25">
      <c r="M1497" s="514"/>
      <c r="Q1497" s="293"/>
      <c r="R1497" s="316"/>
      <c r="S1497" s="355"/>
    </row>
    <row r="1498" spans="13:19" x14ac:dyDescent="0.25">
      <c r="M1498" s="514"/>
      <c r="Q1498" s="293"/>
      <c r="R1498" s="316"/>
      <c r="S1498" s="355"/>
    </row>
    <row r="1499" spans="13:19" x14ac:dyDescent="0.25">
      <c r="M1499" s="514"/>
      <c r="Q1499" s="293"/>
      <c r="R1499" s="316"/>
      <c r="S1499" s="355"/>
    </row>
    <row r="1500" spans="13:19" x14ac:dyDescent="0.25">
      <c r="M1500" s="514"/>
      <c r="Q1500" s="293"/>
      <c r="R1500" s="316"/>
      <c r="S1500" s="355"/>
    </row>
    <row r="1501" spans="13:19" x14ac:dyDescent="0.25">
      <c r="M1501" s="514"/>
      <c r="Q1501" s="293"/>
      <c r="R1501" s="316"/>
      <c r="S1501" s="355"/>
    </row>
    <row r="1502" spans="13:19" x14ac:dyDescent="0.25">
      <c r="M1502" s="514"/>
      <c r="Q1502" s="293"/>
      <c r="R1502" s="316"/>
      <c r="S1502" s="355"/>
    </row>
    <row r="1503" spans="13:19" x14ac:dyDescent="0.25">
      <c r="M1503" s="514"/>
      <c r="Q1503" s="293"/>
      <c r="R1503" s="316"/>
      <c r="S1503" s="355"/>
    </row>
    <row r="1504" spans="13:19" x14ac:dyDescent="0.25">
      <c r="M1504" s="514"/>
      <c r="Q1504" s="293"/>
      <c r="R1504" s="316"/>
      <c r="S1504" s="355"/>
    </row>
    <row r="1505" spans="13:19" x14ac:dyDescent="0.25">
      <c r="M1505" s="514"/>
      <c r="Q1505" s="293"/>
      <c r="R1505" s="316"/>
      <c r="S1505" s="355"/>
    </row>
    <row r="1506" spans="13:19" x14ac:dyDescent="0.25">
      <c r="M1506" s="514"/>
      <c r="Q1506" s="293"/>
      <c r="R1506" s="316"/>
      <c r="S1506" s="355"/>
    </row>
    <row r="1507" spans="13:19" x14ac:dyDescent="0.25">
      <c r="M1507" s="514"/>
      <c r="Q1507" s="293"/>
      <c r="R1507" s="316"/>
      <c r="S1507" s="355"/>
    </row>
    <row r="1508" spans="13:19" x14ac:dyDescent="0.25">
      <c r="M1508" s="514"/>
      <c r="Q1508" s="293"/>
      <c r="R1508" s="316"/>
      <c r="S1508" s="355"/>
    </row>
    <row r="1509" spans="13:19" x14ac:dyDescent="0.25">
      <c r="M1509" s="514"/>
      <c r="Q1509" s="293"/>
      <c r="R1509" s="316"/>
      <c r="S1509" s="355"/>
    </row>
    <row r="1510" spans="13:19" x14ac:dyDescent="0.25">
      <c r="M1510" s="514"/>
      <c r="Q1510" s="293"/>
      <c r="R1510" s="316"/>
      <c r="S1510" s="355"/>
    </row>
    <row r="1511" spans="13:19" x14ac:dyDescent="0.25">
      <c r="M1511" s="514"/>
      <c r="Q1511" s="293"/>
      <c r="R1511" s="316"/>
      <c r="S1511" s="355"/>
    </row>
    <row r="1512" spans="13:19" x14ac:dyDescent="0.25">
      <c r="M1512" s="514"/>
      <c r="Q1512" s="293"/>
      <c r="R1512" s="316"/>
      <c r="S1512" s="355"/>
    </row>
    <row r="1513" spans="13:19" x14ac:dyDescent="0.25">
      <c r="M1513" s="514"/>
      <c r="Q1513" s="293"/>
      <c r="R1513" s="316"/>
      <c r="S1513" s="355"/>
    </row>
    <row r="1514" spans="13:19" x14ac:dyDescent="0.25">
      <c r="M1514" s="514"/>
      <c r="Q1514" s="293"/>
      <c r="R1514" s="316"/>
      <c r="S1514" s="355"/>
    </row>
    <row r="1515" spans="13:19" x14ac:dyDescent="0.25">
      <c r="M1515" s="514"/>
      <c r="Q1515" s="293"/>
      <c r="R1515" s="316"/>
      <c r="S1515" s="355"/>
    </row>
    <row r="1516" spans="13:19" x14ac:dyDescent="0.25">
      <c r="M1516" s="514"/>
      <c r="Q1516" s="293"/>
      <c r="R1516" s="316"/>
      <c r="S1516" s="355"/>
    </row>
    <row r="1517" spans="13:19" x14ac:dyDescent="0.25">
      <c r="M1517" s="514"/>
      <c r="Q1517" s="293"/>
      <c r="R1517" s="316"/>
      <c r="S1517" s="355"/>
    </row>
    <row r="1518" spans="13:19" x14ac:dyDescent="0.25">
      <c r="M1518" s="514"/>
      <c r="Q1518" s="293"/>
      <c r="R1518" s="316"/>
      <c r="S1518" s="355"/>
    </row>
    <row r="1519" spans="13:19" x14ac:dyDescent="0.25">
      <c r="M1519" s="514"/>
      <c r="Q1519" s="293"/>
      <c r="R1519" s="316"/>
      <c r="S1519" s="355"/>
    </row>
    <row r="1520" spans="13:19" x14ac:dyDescent="0.25">
      <c r="M1520" s="514"/>
      <c r="Q1520" s="293"/>
      <c r="R1520" s="316"/>
      <c r="S1520" s="355"/>
    </row>
    <row r="1521" spans="13:19" x14ac:dyDescent="0.25">
      <c r="M1521" s="514"/>
      <c r="Q1521" s="293"/>
      <c r="R1521" s="316"/>
      <c r="S1521" s="355"/>
    </row>
    <row r="1522" spans="13:19" x14ac:dyDescent="0.25">
      <c r="M1522" s="514"/>
      <c r="Q1522" s="293"/>
      <c r="R1522" s="316"/>
      <c r="S1522" s="355"/>
    </row>
    <row r="1523" spans="13:19" x14ac:dyDescent="0.25">
      <c r="M1523" s="514"/>
      <c r="Q1523" s="293"/>
      <c r="R1523" s="316"/>
      <c r="S1523" s="355"/>
    </row>
    <row r="1524" spans="13:19" x14ac:dyDescent="0.25">
      <c r="M1524" s="514"/>
      <c r="Q1524" s="293"/>
      <c r="R1524" s="316"/>
      <c r="S1524" s="355"/>
    </row>
    <row r="1525" spans="13:19" x14ac:dyDescent="0.25">
      <c r="M1525" s="514"/>
      <c r="Q1525" s="293"/>
      <c r="R1525" s="316"/>
      <c r="S1525" s="355"/>
    </row>
    <row r="1526" spans="13:19" x14ac:dyDescent="0.25">
      <c r="M1526" s="514"/>
      <c r="Q1526" s="293"/>
      <c r="R1526" s="316"/>
      <c r="S1526" s="355"/>
    </row>
    <row r="1527" spans="13:19" x14ac:dyDescent="0.25">
      <c r="M1527" s="514"/>
      <c r="Q1527" s="293"/>
      <c r="R1527" s="316"/>
      <c r="S1527" s="355"/>
    </row>
    <row r="1528" spans="13:19" x14ac:dyDescent="0.25">
      <c r="M1528" s="514"/>
      <c r="Q1528" s="293"/>
      <c r="R1528" s="316"/>
      <c r="S1528" s="355"/>
    </row>
    <row r="1529" spans="13:19" x14ac:dyDescent="0.25">
      <c r="M1529" s="514"/>
      <c r="Q1529" s="293"/>
      <c r="R1529" s="316"/>
      <c r="S1529" s="355"/>
    </row>
    <row r="1530" spans="13:19" x14ac:dyDescent="0.25">
      <c r="M1530" s="514"/>
      <c r="Q1530" s="293"/>
      <c r="R1530" s="316"/>
      <c r="S1530" s="355"/>
    </row>
    <row r="1531" spans="13:19" x14ac:dyDescent="0.25">
      <c r="M1531" s="514"/>
      <c r="Q1531" s="293"/>
      <c r="R1531" s="316"/>
      <c r="S1531" s="355"/>
    </row>
    <row r="1532" spans="13:19" x14ac:dyDescent="0.25">
      <c r="M1532" s="514"/>
      <c r="Q1532" s="293"/>
      <c r="R1532" s="316"/>
      <c r="S1532" s="355"/>
    </row>
    <row r="1533" spans="13:19" x14ac:dyDescent="0.25">
      <c r="M1533" s="514"/>
      <c r="Q1533" s="293"/>
      <c r="R1533" s="316"/>
      <c r="S1533" s="355"/>
    </row>
    <row r="1534" spans="13:19" x14ac:dyDescent="0.25">
      <c r="M1534" s="514"/>
      <c r="Q1534" s="293"/>
      <c r="R1534" s="316"/>
      <c r="S1534" s="355"/>
    </row>
    <row r="1535" spans="13:19" x14ac:dyDescent="0.25">
      <c r="M1535" s="514"/>
      <c r="Q1535" s="293"/>
      <c r="R1535" s="316"/>
      <c r="S1535" s="355"/>
    </row>
    <row r="1536" spans="13:19" x14ac:dyDescent="0.25">
      <c r="M1536" s="514"/>
      <c r="Q1536" s="293"/>
      <c r="R1536" s="316"/>
      <c r="S1536" s="355"/>
    </row>
    <row r="1537" spans="13:19" x14ac:dyDescent="0.25">
      <c r="M1537" s="514"/>
      <c r="Q1537" s="293"/>
      <c r="R1537" s="316"/>
      <c r="S1537" s="355"/>
    </row>
    <row r="1538" spans="13:19" x14ac:dyDescent="0.25">
      <c r="M1538" s="514"/>
      <c r="Q1538" s="293"/>
      <c r="R1538" s="316"/>
      <c r="S1538" s="355"/>
    </row>
    <row r="1539" spans="13:19" x14ac:dyDescent="0.25">
      <c r="M1539" s="514"/>
      <c r="Q1539" s="293"/>
      <c r="R1539" s="316"/>
      <c r="S1539" s="355"/>
    </row>
    <row r="1540" spans="13:19" x14ac:dyDescent="0.25">
      <c r="M1540" s="514"/>
      <c r="Q1540" s="293"/>
      <c r="R1540" s="316"/>
      <c r="S1540" s="355"/>
    </row>
    <row r="1541" spans="13:19" x14ac:dyDescent="0.25">
      <c r="M1541" s="514"/>
      <c r="Q1541" s="293"/>
      <c r="R1541" s="316"/>
      <c r="S1541" s="355"/>
    </row>
    <row r="1542" spans="13:19" x14ac:dyDescent="0.25">
      <c r="M1542" s="514"/>
      <c r="Q1542" s="293"/>
      <c r="R1542" s="316"/>
      <c r="S1542" s="355"/>
    </row>
    <row r="1543" spans="13:19" x14ac:dyDescent="0.25">
      <c r="M1543" s="514"/>
      <c r="Q1543" s="293"/>
      <c r="R1543" s="316"/>
      <c r="S1543" s="355"/>
    </row>
    <row r="1544" spans="13:19" x14ac:dyDescent="0.25">
      <c r="M1544" s="514"/>
      <c r="Q1544" s="293"/>
      <c r="R1544" s="316"/>
      <c r="S1544" s="355"/>
    </row>
    <row r="1545" spans="13:19" x14ac:dyDescent="0.25">
      <c r="M1545" s="514"/>
      <c r="Q1545" s="293"/>
      <c r="R1545" s="316"/>
      <c r="S1545" s="355"/>
    </row>
    <row r="1546" spans="13:19" x14ac:dyDescent="0.25">
      <c r="M1546" s="514"/>
      <c r="Q1546" s="293"/>
      <c r="R1546" s="316"/>
      <c r="S1546" s="355"/>
    </row>
    <row r="1547" spans="13:19" x14ac:dyDescent="0.25">
      <c r="M1547" s="514"/>
      <c r="Q1547" s="293"/>
      <c r="R1547" s="316"/>
      <c r="S1547" s="355"/>
    </row>
    <row r="1548" spans="13:19" x14ac:dyDescent="0.25">
      <c r="M1548" s="514"/>
      <c r="Q1548" s="293"/>
      <c r="R1548" s="316"/>
      <c r="S1548" s="355"/>
    </row>
    <row r="1549" spans="13:19" x14ac:dyDescent="0.25">
      <c r="M1549" s="514"/>
      <c r="Q1549" s="293"/>
      <c r="R1549" s="316"/>
      <c r="S1549" s="355"/>
    </row>
    <row r="1550" spans="13:19" x14ac:dyDescent="0.25">
      <c r="M1550" s="514"/>
      <c r="Q1550" s="293"/>
      <c r="R1550" s="316"/>
      <c r="S1550" s="355"/>
    </row>
    <row r="1551" spans="13:19" x14ac:dyDescent="0.25">
      <c r="M1551" s="514"/>
      <c r="Q1551" s="293"/>
      <c r="R1551" s="316"/>
      <c r="S1551" s="355"/>
    </row>
    <row r="1552" spans="13:19" x14ac:dyDescent="0.25">
      <c r="M1552" s="514"/>
      <c r="Q1552" s="293"/>
      <c r="R1552" s="316"/>
      <c r="S1552" s="355"/>
    </row>
    <row r="1553" spans="13:19" x14ac:dyDescent="0.25">
      <c r="M1553" s="514"/>
      <c r="Q1553" s="293"/>
      <c r="R1553" s="316"/>
      <c r="S1553" s="355"/>
    </row>
    <row r="1554" spans="13:19" x14ac:dyDescent="0.25">
      <c r="M1554" s="514"/>
      <c r="Q1554" s="293"/>
      <c r="R1554" s="316"/>
      <c r="S1554" s="355"/>
    </row>
    <row r="1555" spans="13:19" x14ac:dyDescent="0.25">
      <c r="M1555" s="514"/>
      <c r="Q1555" s="293"/>
      <c r="R1555" s="316"/>
      <c r="S1555" s="355"/>
    </row>
    <row r="1556" spans="13:19" x14ac:dyDescent="0.25">
      <c r="M1556" s="514"/>
      <c r="Q1556" s="293"/>
      <c r="R1556" s="316"/>
      <c r="S1556" s="355"/>
    </row>
    <row r="1557" spans="13:19" x14ac:dyDescent="0.25">
      <c r="M1557" s="514"/>
      <c r="Q1557" s="293"/>
      <c r="R1557" s="316"/>
      <c r="S1557" s="355"/>
    </row>
    <row r="1558" spans="13:19" x14ac:dyDescent="0.25">
      <c r="M1558" s="514"/>
      <c r="Q1558" s="293"/>
      <c r="R1558" s="316"/>
      <c r="S1558" s="355"/>
    </row>
    <row r="1559" spans="13:19" x14ac:dyDescent="0.25">
      <c r="M1559" s="514"/>
      <c r="Q1559" s="293"/>
      <c r="R1559" s="316"/>
      <c r="S1559" s="355"/>
    </row>
    <row r="1560" spans="13:19" x14ac:dyDescent="0.25">
      <c r="M1560" s="514"/>
      <c r="Q1560" s="293"/>
      <c r="R1560" s="316"/>
      <c r="S1560" s="355"/>
    </row>
    <row r="1561" spans="13:19" x14ac:dyDescent="0.25">
      <c r="M1561" s="514"/>
      <c r="Q1561" s="293"/>
      <c r="R1561" s="316"/>
      <c r="S1561" s="355"/>
    </row>
    <row r="1562" spans="13:19" x14ac:dyDescent="0.25">
      <c r="M1562" s="514"/>
      <c r="Q1562" s="293"/>
      <c r="R1562" s="316"/>
      <c r="S1562" s="355"/>
    </row>
    <row r="1563" spans="13:19" x14ac:dyDescent="0.25">
      <c r="M1563" s="514"/>
      <c r="Q1563" s="293"/>
      <c r="R1563" s="316"/>
      <c r="S1563" s="355"/>
    </row>
    <row r="1564" spans="13:19" x14ac:dyDescent="0.25">
      <c r="M1564" s="514"/>
      <c r="Q1564" s="293"/>
      <c r="R1564" s="316"/>
      <c r="S1564" s="355"/>
    </row>
    <row r="1565" spans="13:19" x14ac:dyDescent="0.25">
      <c r="M1565" s="514"/>
      <c r="Q1565" s="293"/>
      <c r="R1565" s="316"/>
      <c r="S1565" s="355"/>
    </row>
    <row r="1566" spans="13:19" x14ac:dyDescent="0.25">
      <c r="M1566" s="514"/>
      <c r="Q1566" s="293"/>
      <c r="R1566" s="316"/>
      <c r="S1566" s="355"/>
    </row>
    <row r="1567" spans="13:19" x14ac:dyDescent="0.25">
      <c r="M1567" s="514"/>
      <c r="Q1567" s="293"/>
      <c r="R1567" s="316"/>
      <c r="S1567" s="355"/>
    </row>
    <row r="1568" spans="13:19" x14ac:dyDescent="0.25">
      <c r="M1568" s="514"/>
      <c r="Q1568" s="293"/>
      <c r="R1568" s="316"/>
      <c r="S1568" s="355"/>
    </row>
    <row r="1569" spans="13:19" x14ac:dyDescent="0.25">
      <c r="M1569" s="514"/>
      <c r="Q1569" s="293"/>
      <c r="R1569" s="316"/>
      <c r="S1569" s="355"/>
    </row>
    <row r="1570" spans="13:19" x14ac:dyDescent="0.25">
      <c r="M1570" s="514"/>
      <c r="Q1570" s="293"/>
      <c r="R1570" s="316"/>
      <c r="S1570" s="355"/>
    </row>
    <row r="1571" spans="13:19" x14ac:dyDescent="0.25">
      <c r="M1571" s="514"/>
      <c r="Q1571" s="293"/>
      <c r="R1571" s="316"/>
      <c r="S1571" s="355"/>
    </row>
    <row r="1572" spans="13:19" x14ac:dyDescent="0.25">
      <c r="M1572" s="514"/>
      <c r="Q1572" s="293"/>
      <c r="R1572" s="316"/>
      <c r="S1572" s="355"/>
    </row>
    <row r="1573" spans="13:19" x14ac:dyDescent="0.25">
      <c r="M1573" s="514"/>
      <c r="Q1573" s="293"/>
      <c r="R1573" s="316"/>
      <c r="S1573" s="355"/>
    </row>
    <row r="1574" spans="13:19" x14ac:dyDescent="0.25">
      <c r="M1574" s="514"/>
      <c r="Q1574" s="293"/>
      <c r="R1574" s="316"/>
      <c r="S1574" s="355"/>
    </row>
    <row r="1575" spans="13:19" x14ac:dyDescent="0.25">
      <c r="M1575" s="514"/>
      <c r="Q1575" s="293"/>
      <c r="R1575" s="316"/>
      <c r="S1575" s="355"/>
    </row>
    <row r="1576" spans="13:19" x14ac:dyDescent="0.25">
      <c r="M1576" s="514"/>
      <c r="Q1576" s="293"/>
      <c r="R1576" s="316"/>
      <c r="S1576" s="355"/>
    </row>
    <row r="1577" spans="13:19" x14ac:dyDescent="0.25">
      <c r="M1577" s="514"/>
      <c r="Q1577" s="293"/>
      <c r="R1577" s="316"/>
      <c r="S1577" s="355"/>
    </row>
    <row r="1578" spans="13:19" x14ac:dyDescent="0.25">
      <c r="M1578" s="514"/>
      <c r="Q1578" s="293"/>
      <c r="R1578" s="316"/>
      <c r="S1578" s="355"/>
    </row>
    <row r="1579" spans="13:19" x14ac:dyDescent="0.25">
      <c r="M1579" s="514"/>
      <c r="Q1579" s="293"/>
      <c r="R1579" s="316"/>
      <c r="S1579" s="355"/>
    </row>
    <row r="1580" spans="13:19" x14ac:dyDescent="0.25">
      <c r="M1580" s="514"/>
      <c r="Q1580" s="293"/>
      <c r="R1580" s="316"/>
      <c r="S1580" s="355"/>
    </row>
    <row r="1581" spans="13:19" x14ac:dyDescent="0.25">
      <c r="M1581" s="514"/>
      <c r="Q1581" s="293"/>
      <c r="R1581" s="316"/>
      <c r="S1581" s="355"/>
    </row>
    <row r="1582" spans="13:19" x14ac:dyDescent="0.25">
      <c r="M1582" s="514"/>
      <c r="Q1582" s="293"/>
      <c r="R1582" s="316"/>
      <c r="S1582" s="355"/>
    </row>
    <row r="1583" spans="13:19" x14ac:dyDescent="0.25">
      <c r="M1583" s="514"/>
      <c r="Q1583" s="293"/>
      <c r="R1583" s="316"/>
      <c r="S1583" s="355"/>
    </row>
    <row r="1584" spans="13:19" x14ac:dyDescent="0.25">
      <c r="M1584" s="514"/>
      <c r="Q1584" s="293"/>
      <c r="R1584" s="316"/>
      <c r="S1584" s="355"/>
    </row>
    <row r="1585" spans="13:19" x14ac:dyDescent="0.25">
      <c r="M1585" s="514"/>
      <c r="Q1585" s="293"/>
      <c r="R1585" s="316"/>
      <c r="S1585" s="355"/>
    </row>
    <row r="1586" spans="13:19" x14ac:dyDescent="0.25">
      <c r="M1586" s="514"/>
      <c r="Q1586" s="293"/>
      <c r="R1586" s="316"/>
      <c r="S1586" s="355"/>
    </row>
    <row r="1587" spans="13:19" x14ac:dyDescent="0.25">
      <c r="M1587" s="514"/>
      <c r="Q1587" s="293"/>
      <c r="R1587" s="316"/>
      <c r="S1587" s="355"/>
    </row>
    <row r="1588" spans="13:19" x14ac:dyDescent="0.25">
      <c r="M1588" s="514"/>
      <c r="Q1588" s="293"/>
      <c r="R1588" s="316"/>
      <c r="S1588" s="355"/>
    </row>
    <row r="1589" spans="13:19" x14ac:dyDescent="0.25">
      <c r="M1589" s="514"/>
      <c r="Q1589" s="293"/>
      <c r="R1589" s="316"/>
      <c r="S1589" s="355"/>
    </row>
    <row r="1590" spans="13:19" x14ac:dyDescent="0.25">
      <c r="M1590" s="514"/>
      <c r="Q1590" s="293"/>
      <c r="R1590" s="316"/>
      <c r="S1590" s="355"/>
    </row>
    <row r="1591" spans="13:19" x14ac:dyDescent="0.25">
      <c r="M1591" s="514"/>
      <c r="Q1591" s="293"/>
      <c r="R1591" s="316"/>
      <c r="S1591" s="355"/>
    </row>
    <row r="1592" spans="13:19" x14ac:dyDescent="0.25">
      <c r="M1592" s="514"/>
      <c r="Q1592" s="293"/>
      <c r="R1592" s="316"/>
      <c r="S1592" s="355"/>
    </row>
    <row r="1593" spans="13:19" x14ac:dyDescent="0.25">
      <c r="M1593" s="514"/>
      <c r="Q1593" s="293"/>
      <c r="R1593" s="316"/>
      <c r="S1593" s="355"/>
    </row>
    <row r="1594" spans="13:19" x14ac:dyDescent="0.25">
      <c r="M1594" s="514"/>
      <c r="Q1594" s="293"/>
      <c r="R1594" s="316"/>
      <c r="S1594" s="355"/>
    </row>
    <row r="1595" spans="13:19" x14ac:dyDescent="0.25">
      <c r="M1595" s="514"/>
      <c r="Q1595" s="293"/>
      <c r="R1595" s="316"/>
      <c r="S1595" s="355"/>
    </row>
    <row r="1596" spans="13:19" x14ac:dyDescent="0.25">
      <c r="M1596" s="514"/>
      <c r="Q1596" s="293"/>
      <c r="R1596" s="316"/>
      <c r="S1596" s="355"/>
    </row>
    <row r="1597" spans="13:19" x14ac:dyDescent="0.25">
      <c r="M1597" s="514"/>
      <c r="Q1597" s="293"/>
      <c r="R1597" s="316"/>
      <c r="S1597" s="355"/>
    </row>
    <row r="1598" spans="13:19" x14ac:dyDescent="0.25">
      <c r="M1598" s="514"/>
      <c r="Q1598" s="293"/>
      <c r="R1598" s="316"/>
      <c r="S1598" s="355"/>
    </row>
    <row r="1599" spans="13:19" x14ac:dyDescent="0.25">
      <c r="M1599" s="514"/>
      <c r="Q1599" s="293"/>
      <c r="R1599" s="316"/>
      <c r="S1599" s="355"/>
    </row>
    <row r="1600" spans="13:19" x14ac:dyDescent="0.25">
      <c r="M1600" s="514"/>
      <c r="Q1600" s="293"/>
      <c r="R1600" s="316"/>
      <c r="S1600" s="355"/>
    </row>
    <row r="1601" spans="13:19" x14ac:dyDescent="0.25">
      <c r="M1601" s="514"/>
      <c r="Q1601" s="293"/>
      <c r="R1601" s="316"/>
      <c r="S1601" s="355"/>
    </row>
    <row r="1602" spans="13:19" x14ac:dyDescent="0.25">
      <c r="M1602" s="514"/>
      <c r="Q1602" s="293"/>
      <c r="R1602" s="316"/>
      <c r="S1602" s="355"/>
    </row>
    <row r="1603" spans="13:19" x14ac:dyDescent="0.25">
      <c r="M1603" s="514"/>
      <c r="Q1603" s="293"/>
      <c r="R1603" s="316"/>
      <c r="S1603" s="355"/>
    </row>
    <row r="1604" spans="13:19" x14ac:dyDescent="0.25">
      <c r="M1604" s="514"/>
      <c r="Q1604" s="293"/>
      <c r="R1604" s="316"/>
      <c r="S1604" s="355"/>
    </row>
    <row r="1605" spans="13:19" x14ac:dyDescent="0.25">
      <c r="M1605" s="514"/>
      <c r="Q1605" s="293"/>
      <c r="R1605" s="316"/>
      <c r="S1605" s="355"/>
    </row>
    <row r="1606" spans="13:19" x14ac:dyDescent="0.25">
      <c r="M1606" s="514"/>
      <c r="Q1606" s="293"/>
      <c r="R1606" s="316"/>
      <c r="S1606" s="355"/>
    </row>
    <row r="1607" spans="13:19" x14ac:dyDescent="0.25">
      <c r="M1607" s="514"/>
      <c r="Q1607" s="293"/>
      <c r="R1607" s="316"/>
      <c r="S1607" s="355"/>
    </row>
    <row r="1608" spans="13:19" x14ac:dyDescent="0.25">
      <c r="M1608" s="514"/>
      <c r="Q1608" s="293"/>
      <c r="R1608" s="316"/>
      <c r="S1608" s="355"/>
    </row>
    <row r="1609" spans="13:19" x14ac:dyDescent="0.25">
      <c r="M1609" s="514"/>
      <c r="Q1609" s="293"/>
      <c r="R1609" s="316"/>
      <c r="S1609" s="355"/>
    </row>
    <row r="1610" spans="13:19" x14ac:dyDescent="0.25">
      <c r="M1610" s="514"/>
      <c r="Q1610" s="293"/>
      <c r="R1610" s="316"/>
      <c r="S1610" s="355"/>
    </row>
    <row r="1611" spans="13:19" x14ac:dyDescent="0.25">
      <c r="M1611" s="514"/>
      <c r="Q1611" s="293"/>
      <c r="R1611" s="316"/>
      <c r="S1611" s="355"/>
    </row>
    <row r="1612" spans="13:19" x14ac:dyDescent="0.25">
      <c r="M1612" s="514"/>
      <c r="Q1612" s="293"/>
      <c r="R1612" s="316"/>
      <c r="S1612" s="355"/>
    </row>
    <row r="1613" spans="13:19" x14ac:dyDescent="0.25">
      <c r="M1613" s="514"/>
      <c r="Q1613" s="293"/>
      <c r="R1613" s="316"/>
      <c r="S1613" s="355"/>
    </row>
    <row r="1614" spans="13:19" x14ac:dyDescent="0.25">
      <c r="M1614" s="514"/>
      <c r="Q1614" s="293"/>
      <c r="R1614" s="316"/>
      <c r="S1614" s="355"/>
    </row>
    <row r="1615" spans="13:19" x14ac:dyDescent="0.25">
      <c r="M1615" s="514"/>
      <c r="Q1615" s="293"/>
      <c r="R1615" s="316"/>
      <c r="S1615" s="355"/>
    </row>
    <row r="1616" spans="13:19" x14ac:dyDescent="0.25">
      <c r="M1616" s="514"/>
      <c r="Q1616" s="293"/>
      <c r="R1616" s="316"/>
      <c r="S1616" s="355"/>
    </row>
    <row r="1617" spans="13:19" x14ac:dyDescent="0.25">
      <c r="M1617" s="514"/>
      <c r="Q1617" s="293"/>
      <c r="R1617" s="316"/>
      <c r="S1617" s="355"/>
    </row>
    <row r="1618" spans="13:19" x14ac:dyDescent="0.25">
      <c r="M1618" s="514"/>
      <c r="Q1618" s="293"/>
      <c r="R1618" s="316"/>
      <c r="S1618" s="355"/>
    </row>
    <row r="1619" spans="13:19" x14ac:dyDescent="0.25">
      <c r="M1619" s="514"/>
      <c r="Q1619" s="293"/>
      <c r="R1619" s="316"/>
      <c r="S1619" s="355"/>
    </row>
    <row r="1620" spans="13:19" x14ac:dyDescent="0.25">
      <c r="M1620" s="514"/>
      <c r="Q1620" s="293"/>
      <c r="R1620" s="316"/>
      <c r="S1620" s="355"/>
    </row>
    <row r="1621" spans="13:19" x14ac:dyDescent="0.25">
      <c r="M1621" s="514"/>
      <c r="Q1621" s="293"/>
      <c r="R1621" s="316"/>
      <c r="S1621" s="355"/>
    </row>
    <row r="1622" spans="13:19" x14ac:dyDescent="0.25">
      <c r="M1622" s="514"/>
      <c r="Q1622" s="293"/>
      <c r="R1622" s="316"/>
      <c r="S1622" s="355"/>
    </row>
    <row r="1623" spans="13:19" x14ac:dyDescent="0.25">
      <c r="M1623" s="514"/>
      <c r="Q1623" s="293"/>
      <c r="R1623" s="316"/>
      <c r="S1623" s="355"/>
    </row>
    <row r="1624" spans="13:19" x14ac:dyDescent="0.25">
      <c r="M1624" s="514"/>
      <c r="Q1624" s="293"/>
      <c r="R1624" s="316"/>
      <c r="S1624" s="355"/>
    </row>
    <row r="1625" spans="13:19" x14ac:dyDescent="0.25">
      <c r="M1625" s="514"/>
      <c r="Q1625" s="293"/>
      <c r="R1625" s="316"/>
      <c r="S1625" s="355"/>
    </row>
    <row r="1626" spans="13:19" x14ac:dyDescent="0.25">
      <c r="M1626" s="514"/>
      <c r="Q1626" s="293"/>
      <c r="R1626" s="316"/>
      <c r="S1626" s="355"/>
    </row>
    <row r="1627" spans="13:19" x14ac:dyDescent="0.25">
      <c r="M1627" s="514"/>
      <c r="Q1627" s="293"/>
      <c r="R1627" s="316"/>
      <c r="S1627" s="355"/>
    </row>
    <row r="1628" spans="13:19" x14ac:dyDescent="0.25">
      <c r="M1628" s="514"/>
      <c r="Q1628" s="293"/>
      <c r="R1628" s="316"/>
      <c r="S1628" s="355"/>
    </row>
    <row r="1629" spans="13:19" x14ac:dyDescent="0.25">
      <c r="M1629" s="514"/>
      <c r="Q1629" s="293"/>
      <c r="R1629" s="316"/>
      <c r="S1629" s="355"/>
    </row>
    <row r="1630" spans="13:19" x14ac:dyDescent="0.25">
      <c r="M1630" s="514"/>
      <c r="Q1630" s="293"/>
      <c r="R1630" s="316"/>
      <c r="S1630" s="355"/>
    </row>
    <row r="1631" spans="13:19" x14ac:dyDescent="0.25">
      <c r="M1631" s="514"/>
      <c r="Q1631" s="293"/>
      <c r="R1631" s="316"/>
      <c r="S1631" s="355"/>
    </row>
    <row r="1632" spans="13:19" x14ac:dyDescent="0.25">
      <c r="M1632" s="514"/>
      <c r="Q1632" s="293"/>
      <c r="R1632" s="316"/>
      <c r="S1632" s="355"/>
    </row>
    <row r="1633" spans="13:19" x14ac:dyDescent="0.25">
      <c r="M1633" s="514"/>
      <c r="Q1633" s="293"/>
      <c r="R1633" s="316"/>
      <c r="S1633" s="355"/>
    </row>
    <row r="1634" spans="13:19" x14ac:dyDescent="0.25">
      <c r="M1634" s="514"/>
      <c r="Q1634" s="293"/>
      <c r="R1634" s="316"/>
      <c r="S1634" s="355"/>
    </row>
    <row r="1635" spans="13:19" x14ac:dyDescent="0.25">
      <c r="M1635" s="514"/>
      <c r="Q1635" s="293"/>
      <c r="R1635" s="316"/>
      <c r="S1635" s="355"/>
    </row>
    <row r="1636" spans="13:19" x14ac:dyDescent="0.25">
      <c r="M1636" s="514"/>
      <c r="Q1636" s="293"/>
      <c r="R1636" s="316"/>
      <c r="S1636" s="355"/>
    </row>
    <row r="1637" spans="13:19" x14ac:dyDescent="0.25">
      <c r="M1637" s="514"/>
      <c r="Q1637" s="293"/>
      <c r="R1637" s="316"/>
      <c r="S1637" s="355"/>
    </row>
    <row r="1638" spans="13:19" x14ac:dyDescent="0.25">
      <c r="M1638" s="514"/>
      <c r="Q1638" s="293"/>
      <c r="R1638" s="316"/>
      <c r="S1638" s="355"/>
    </row>
    <row r="1639" spans="13:19" x14ac:dyDescent="0.25">
      <c r="M1639" s="514"/>
      <c r="Q1639" s="293"/>
      <c r="R1639" s="316"/>
      <c r="S1639" s="355"/>
    </row>
    <row r="1640" spans="13:19" x14ac:dyDescent="0.25">
      <c r="M1640" s="514"/>
      <c r="Q1640" s="293"/>
      <c r="R1640" s="316"/>
      <c r="S1640" s="355"/>
    </row>
    <row r="1641" spans="13:19" x14ac:dyDescent="0.25">
      <c r="M1641" s="514"/>
      <c r="Q1641" s="293"/>
      <c r="R1641" s="316"/>
      <c r="S1641" s="355"/>
    </row>
    <row r="1642" spans="13:19" x14ac:dyDescent="0.25">
      <c r="M1642" s="514"/>
      <c r="Q1642" s="293"/>
      <c r="R1642" s="316"/>
      <c r="S1642" s="355"/>
    </row>
    <row r="1643" spans="13:19" x14ac:dyDescent="0.25">
      <c r="M1643" s="514"/>
      <c r="Q1643" s="293"/>
      <c r="R1643" s="316"/>
      <c r="S1643" s="355"/>
    </row>
    <row r="1644" spans="13:19" x14ac:dyDescent="0.25">
      <c r="M1644" s="514"/>
      <c r="Q1644" s="293"/>
      <c r="R1644" s="316"/>
      <c r="S1644" s="355"/>
    </row>
    <row r="1645" spans="13:19" x14ac:dyDescent="0.25">
      <c r="M1645" s="514"/>
      <c r="Q1645" s="293"/>
      <c r="R1645" s="316"/>
      <c r="S1645" s="355"/>
    </row>
    <row r="1646" spans="13:19" x14ac:dyDescent="0.25">
      <c r="M1646" s="514"/>
      <c r="Q1646" s="293"/>
      <c r="R1646" s="316"/>
      <c r="S1646" s="355"/>
    </row>
    <row r="1647" spans="13:19" x14ac:dyDescent="0.25">
      <c r="M1647" s="514"/>
      <c r="Q1647" s="293"/>
      <c r="R1647" s="316"/>
      <c r="S1647" s="355"/>
    </row>
    <row r="1648" spans="13:19" x14ac:dyDescent="0.25">
      <c r="M1648" s="514"/>
      <c r="Q1648" s="293"/>
      <c r="R1648" s="316"/>
      <c r="S1648" s="355"/>
    </row>
    <row r="1649" spans="13:19" x14ac:dyDescent="0.25">
      <c r="M1649" s="514"/>
      <c r="Q1649" s="293"/>
      <c r="R1649" s="316"/>
      <c r="S1649" s="355"/>
    </row>
    <row r="1650" spans="13:19" x14ac:dyDescent="0.25">
      <c r="M1650" s="514"/>
      <c r="Q1650" s="293"/>
      <c r="R1650" s="316"/>
      <c r="S1650" s="355"/>
    </row>
    <row r="1651" spans="13:19" x14ac:dyDescent="0.25">
      <c r="M1651" s="514"/>
      <c r="Q1651" s="293"/>
      <c r="R1651" s="316"/>
      <c r="S1651" s="355"/>
    </row>
    <row r="1652" spans="13:19" x14ac:dyDescent="0.25">
      <c r="M1652" s="514"/>
      <c r="Q1652" s="293"/>
      <c r="R1652" s="316"/>
      <c r="S1652" s="355"/>
    </row>
    <row r="1653" spans="13:19" x14ac:dyDescent="0.25">
      <c r="M1653" s="514"/>
      <c r="Q1653" s="293"/>
      <c r="R1653" s="316"/>
      <c r="S1653" s="355"/>
    </row>
    <row r="1654" spans="13:19" x14ac:dyDescent="0.25">
      <c r="M1654" s="514"/>
      <c r="Q1654" s="293"/>
      <c r="R1654" s="316"/>
      <c r="S1654" s="355"/>
    </row>
    <row r="1655" spans="13:19" x14ac:dyDescent="0.25">
      <c r="M1655" s="514"/>
      <c r="Q1655" s="293"/>
      <c r="R1655" s="316"/>
      <c r="S1655" s="355"/>
    </row>
    <row r="1656" spans="13:19" x14ac:dyDescent="0.25">
      <c r="M1656" s="514"/>
      <c r="Q1656" s="293"/>
      <c r="R1656" s="316"/>
      <c r="S1656" s="355"/>
    </row>
    <row r="1657" spans="13:19" x14ac:dyDescent="0.25">
      <c r="M1657" s="514"/>
      <c r="Q1657" s="293"/>
      <c r="R1657" s="316"/>
      <c r="S1657" s="355"/>
    </row>
    <row r="1658" spans="13:19" x14ac:dyDescent="0.25">
      <c r="M1658" s="514"/>
      <c r="Q1658" s="293"/>
      <c r="R1658" s="316"/>
      <c r="S1658" s="355"/>
    </row>
    <row r="1659" spans="13:19" x14ac:dyDescent="0.25">
      <c r="M1659" s="514"/>
      <c r="Q1659" s="293"/>
      <c r="R1659" s="316"/>
      <c r="S1659" s="355"/>
    </row>
    <row r="1660" spans="13:19" x14ac:dyDescent="0.25">
      <c r="M1660" s="514"/>
      <c r="Q1660" s="293"/>
      <c r="R1660" s="316"/>
      <c r="S1660" s="355"/>
    </row>
    <row r="1661" spans="13:19" x14ac:dyDescent="0.25">
      <c r="M1661" s="514"/>
      <c r="Q1661" s="293"/>
      <c r="R1661" s="316"/>
      <c r="S1661" s="355"/>
    </row>
    <row r="1662" spans="13:19" x14ac:dyDescent="0.25">
      <c r="M1662" s="514"/>
      <c r="Q1662" s="293"/>
      <c r="R1662" s="316"/>
      <c r="S1662" s="355"/>
    </row>
    <row r="1663" spans="13:19" x14ac:dyDescent="0.25">
      <c r="M1663" s="514"/>
      <c r="Q1663" s="293"/>
      <c r="R1663" s="316"/>
      <c r="S1663" s="355"/>
    </row>
    <row r="1664" spans="13:19" x14ac:dyDescent="0.25">
      <c r="M1664" s="514"/>
      <c r="Q1664" s="293"/>
      <c r="R1664" s="316"/>
      <c r="S1664" s="355"/>
    </row>
    <row r="1665" spans="13:19" x14ac:dyDescent="0.25">
      <c r="M1665" s="514"/>
      <c r="Q1665" s="293"/>
      <c r="R1665" s="316"/>
      <c r="S1665" s="355"/>
    </row>
    <row r="1666" spans="13:19" x14ac:dyDescent="0.25">
      <c r="M1666" s="514"/>
      <c r="Q1666" s="293"/>
      <c r="R1666" s="316"/>
      <c r="S1666" s="355"/>
    </row>
    <row r="1667" spans="13:19" x14ac:dyDescent="0.25">
      <c r="M1667" s="514"/>
      <c r="Q1667" s="293"/>
      <c r="R1667" s="316"/>
      <c r="S1667" s="355"/>
    </row>
    <row r="1668" spans="13:19" x14ac:dyDescent="0.25">
      <c r="M1668" s="514"/>
      <c r="Q1668" s="293"/>
      <c r="R1668" s="316"/>
      <c r="S1668" s="355"/>
    </row>
    <row r="1669" spans="13:19" x14ac:dyDescent="0.25">
      <c r="M1669" s="514"/>
      <c r="Q1669" s="293"/>
      <c r="R1669" s="316"/>
      <c r="S1669" s="355"/>
    </row>
    <row r="1670" spans="13:19" x14ac:dyDescent="0.25">
      <c r="M1670" s="514"/>
      <c r="Q1670" s="293"/>
      <c r="R1670" s="316"/>
      <c r="S1670" s="355"/>
    </row>
    <row r="1671" spans="13:19" x14ac:dyDescent="0.25">
      <c r="M1671" s="514"/>
      <c r="Q1671" s="293"/>
      <c r="R1671" s="316"/>
      <c r="S1671" s="355"/>
    </row>
    <row r="1672" spans="13:19" x14ac:dyDescent="0.25">
      <c r="M1672" s="514"/>
      <c r="Q1672" s="293"/>
      <c r="R1672" s="316"/>
      <c r="S1672" s="355"/>
    </row>
    <row r="1673" spans="13:19" x14ac:dyDescent="0.25">
      <c r="M1673" s="514"/>
      <c r="Q1673" s="293"/>
      <c r="R1673" s="316"/>
      <c r="S1673" s="355"/>
    </row>
    <row r="1674" spans="13:19" x14ac:dyDescent="0.25">
      <c r="M1674" s="514"/>
      <c r="Q1674" s="293"/>
      <c r="R1674" s="316"/>
      <c r="S1674" s="355"/>
    </row>
    <row r="1675" spans="13:19" x14ac:dyDescent="0.25">
      <c r="M1675" s="514"/>
      <c r="Q1675" s="293"/>
      <c r="R1675" s="316"/>
      <c r="S1675" s="355"/>
    </row>
    <row r="1676" spans="13:19" x14ac:dyDescent="0.25">
      <c r="M1676" s="514"/>
      <c r="Q1676" s="293"/>
      <c r="R1676" s="316"/>
      <c r="S1676" s="355"/>
    </row>
    <row r="1677" spans="13:19" x14ac:dyDescent="0.25">
      <c r="M1677" s="514"/>
      <c r="Q1677" s="293"/>
      <c r="R1677" s="316"/>
      <c r="S1677" s="355"/>
    </row>
    <row r="1678" spans="13:19" x14ac:dyDescent="0.25">
      <c r="M1678" s="514"/>
      <c r="Q1678" s="293"/>
      <c r="R1678" s="316"/>
      <c r="S1678" s="355"/>
    </row>
    <row r="1679" spans="13:19" x14ac:dyDescent="0.25">
      <c r="M1679" s="514"/>
      <c r="Q1679" s="293"/>
      <c r="R1679" s="316"/>
      <c r="S1679" s="355"/>
    </row>
    <row r="1680" spans="13:19" x14ac:dyDescent="0.25">
      <c r="M1680" s="514"/>
      <c r="Q1680" s="293"/>
      <c r="R1680" s="316"/>
      <c r="S1680" s="355"/>
    </row>
    <row r="1681" spans="13:19" x14ac:dyDescent="0.25">
      <c r="M1681" s="514"/>
      <c r="Q1681" s="293"/>
      <c r="R1681" s="316"/>
      <c r="S1681" s="355"/>
    </row>
    <row r="1682" spans="13:19" x14ac:dyDescent="0.25">
      <c r="M1682" s="514"/>
      <c r="Q1682" s="293"/>
      <c r="R1682" s="316"/>
      <c r="S1682" s="355"/>
    </row>
    <row r="1683" spans="13:19" x14ac:dyDescent="0.25">
      <c r="M1683" s="514"/>
      <c r="Q1683" s="293"/>
      <c r="R1683" s="316"/>
      <c r="S1683" s="355"/>
    </row>
    <row r="1684" spans="13:19" x14ac:dyDescent="0.25">
      <c r="M1684" s="514"/>
      <c r="Q1684" s="293"/>
      <c r="R1684" s="316"/>
      <c r="S1684" s="355"/>
    </row>
    <row r="1685" spans="13:19" x14ac:dyDescent="0.25">
      <c r="M1685" s="514"/>
      <c r="Q1685" s="293"/>
      <c r="R1685" s="316"/>
      <c r="S1685" s="355"/>
    </row>
    <row r="1686" spans="13:19" x14ac:dyDescent="0.25">
      <c r="M1686" s="514"/>
      <c r="Q1686" s="293"/>
      <c r="R1686" s="316"/>
      <c r="S1686" s="355"/>
    </row>
    <row r="1687" spans="13:19" x14ac:dyDescent="0.25">
      <c r="M1687" s="514"/>
      <c r="Q1687" s="293"/>
      <c r="R1687" s="316"/>
      <c r="S1687" s="355"/>
    </row>
    <row r="1688" spans="13:19" x14ac:dyDescent="0.25">
      <c r="M1688" s="514"/>
      <c r="Q1688" s="293"/>
      <c r="R1688" s="316"/>
      <c r="S1688" s="355"/>
    </row>
    <row r="1689" spans="13:19" x14ac:dyDescent="0.25">
      <c r="M1689" s="514"/>
      <c r="Q1689" s="293"/>
      <c r="R1689" s="316"/>
      <c r="S1689" s="355"/>
    </row>
    <row r="1690" spans="13:19" x14ac:dyDescent="0.25">
      <c r="M1690" s="514"/>
      <c r="Q1690" s="293"/>
      <c r="R1690" s="316"/>
      <c r="S1690" s="355"/>
    </row>
    <row r="1691" spans="13:19" x14ac:dyDescent="0.25">
      <c r="M1691" s="514"/>
      <c r="Q1691" s="293"/>
      <c r="R1691" s="316"/>
      <c r="S1691" s="355"/>
    </row>
    <row r="1692" spans="13:19" x14ac:dyDescent="0.25">
      <c r="M1692" s="514"/>
      <c r="Q1692" s="293"/>
      <c r="R1692" s="316"/>
      <c r="S1692" s="355"/>
    </row>
    <row r="1693" spans="13:19" x14ac:dyDescent="0.25">
      <c r="M1693" s="514"/>
      <c r="Q1693" s="293"/>
      <c r="R1693" s="316"/>
      <c r="S1693" s="355"/>
    </row>
    <row r="1694" spans="13:19" x14ac:dyDescent="0.25">
      <c r="M1694" s="514"/>
      <c r="Q1694" s="293"/>
      <c r="R1694" s="316"/>
      <c r="S1694" s="355"/>
    </row>
    <row r="1695" spans="13:19" x14ac:dyDescent="0.25">
      <c r="M1695" s="514"/>
      <c r="Q1695" s="293"/>
      <c r="R1695" s="316"/>
      <c r="S1695" s="355"/>
    </row>
    <row r="1696" spans="13:19" x14ac:dyDescent="0.25">
      <c r="M1696" s="514"/>
      <c r="Q1696" s="293"/>
      <c r="R1696" s="316"/>
      <c r="S1696" s="355"/>
    </row>
    <row r="1697" spans="13:19" x14ac:dyDescent="0.25">
      <c r="M1697" s="514"/>
      <c r="Q1697" s="293"/>
      <c r="R1697" s="316"/>
      <c r="S1697" s="355"/>
    </row>
    <row r="1698" spans="13:19" x14ac:dyDescent="0.25">
      <c r="M1698" s="514"/>
      <c r="Q1698" s="293"/>
      <c r="R1698" s="316"/>
      <c r="S1698" s="355"/>
    </row>
    <row r="1699" spans="13:19" x14ac:dyDescent="0.25">
      <c r="M1699" s="514"/>
      <c r="Q1699" s="293"/>
      <c r="R1699" s="316"/>
      <c r="S1699" s="355"/>
    </row>
    <row r="1700" spans="13:19" x14ac:dyDescent="0.25">
      <c r="M1700" s="514"/>
      <c r="Q1700" s="293"/>
      <c r="R1700" s="316"/>
      <c r="S1700" s="355"/>
    </row>
    <row r="1701" spans="13:19" x14ac:dyDescent="0.25">
      <c r="M1701" s="514"/>
      <c r="Q1701" s="293"/>
      <c r="R1701" s="316"/>
      <c r="S1701" s="355"/>
    </row>
    <row r="1702" spans="13:19" x14ac:dyDescent="0.25">
      <c r="M1702" s="514"/>
      <c r="Q1702" s="293"/>
      <c r="R1702" s="316"/>
      <c r="S1702" s="355"/>
    </row>
    <row r="1703" spans="13:19" x14ac:dyDescent="0.25">
      <c r="M1703" s="514"/>
      <c r="Q1703" s="293"/>
      <c r="R1703" s="316"/>
      <c r="S1703" s="355"/>
    </row>
    <row r="1704" spans="13:19" x14ac:dyDescent="0.25">
      <c r="M1704" s="514"/>
      <c r="Q1704" s="293"/>
      <c r="R1704" s="316"/>
      <c r="S1704" s="355"/>
    </row>
    <row r="1705" spans="13:19" x14ac:dyDescent="0.25">
      <c r="M1705" s="514"/>
      <c r="Q1705" s="293"/>
      <c r="R1705" s="316"/>
      <c r="S1705" s="355"/>
    </row>
    <row r="1706" spans="13:19" x14ac:dyDescent="0.25">
      <c r="M1706" s="514"/>
      <c r="Q1706" s="293"/>
      <c r="R1706" s="316"/>
      <c r="S1706" s="355"/>
    </row>
    <row r="1707" spans="13:19" x14ac:dyDescent="0.25">
      <c r="M1707" s="514"/>
      <c r="Q1707" s="293"/>
      <c r="R1707" s="316"/>
      <c r="S1707" s="355"/>
    </row>
    <row r="1708" spans="13:19" x14ac:dyDescent="0.25">
      <c r="M1708" s="514"/>
      <c r="Q1708" s="293"/>
      <c r="R1708" s="316"/>
      <c r="S1708" s="355"/>
    </row>
    <row r="1709" spans="13:19" x14ac:dyDescent="0.25">
      <c r="M1709" s="514"/>
      <c r="Q1709" s="293"/>
      <c r="R1709" s="316"/>
      <c r="S1709" s="355"/>
    </row>
    <row r="1710" spans="13:19" x14ac:dyDescent="0.25">
      <c r="M1710" s="514"/>
      <c r="Q1710" s="293"/>
      <c r="R1710" s="316"/>
      <c r="S1710" s="355"/>
    </row>
    <row r="1711" spans="13:19" x14ac:dyDescent="0.25">
      <c r="M1711" s="514"/>
      <c r="Q1711" s="293"/>
      <c r="R1711" s="316"/>
      <c r="S1711" s="355"/>
    </row>
    <row r="1712" spans="13:19" x14ac:dyDescent="0.25">
      <c r="M1712" s="514"/>
      <c r="Q1712" s="293"/>
      <c r="R1712" s="316"/>
      <c r="S1712" s="355"/>
    </row>
    <row r="1713" spans="13:19" x14ac:dyDescent="0.25">
      <c r="M1713" s="514"/>
      <c r="Q1713" s="293"/>
      <c r="R1713" s="316"/>
      <c r="S1713" s="355"/>
    </row>
    <row r="1714" spans="13:19" x14ac:dyDescent="0.25">
      <c r="M1714" s="514"/>
      <c r="Q1714" s="293"/>
      <c r="R1714" s="316"/>
      <c r="S1714" s="355"/>
    </row>
    <row r="1715" spans="13:19" x14ac:dyDescent="0.25">
      <c r="M1715" s="514"/>
      <c r="Q1715" s="293"/>
      <c r="R1715" s="316"/>
      <c r="S1715" s="355"/>
    </row>
    <row r="1716" spans="13:19" x14ac:dyDescent="0.25">
      <c r="M1716" s="514"/>
      <c r="Q1716" s="293"/>
      <c r="R1716" s="316"/>
      <c r="S1716" s="355"/>
    </row>
    <row r="1717" spans="13:19" x14ac:dyDescent="0.25">
      <c r="M1717" s="514"/>
      <c r="Q1717" s="293"/>
      <c r="R1717" s="316"/>
      <c r="S1717" s="355"/>
    </row>
    <row r="1718" spans="13:19" x14ac:dyDescent="0.25">
      <c r="M1718" s="514"/>
      <c r="Q1718" s="293"/>
      <c r="R1718" s="316"/>
      <c r="S1718" s="355"/>
    </row>
    <row r="1719" spans="13:19" x14ac:dyDescent="0.25">
      <c r="M1719" s="514"/>
      <c r="Q1719" s="293"/>
      <c r="R1719" s="316"/>
      <c r="S1719" s="355"/>
    </row>
    <row r="1720" spans="13:19" x14ac:dyDescent="0.25">
      <c r="M1720" s="514"/>
      <c r="Q1720" s="293"/>
      <c r="R1720" s="316"/>
      <c r="S1720" s="355"/>
    </row>
    <row r="1721" spans="13:19" x14ac:dyDescent="0.25">
      <c r="M1721" s="514"/>
      <c r="Q1721" s="293"/>
      <c r="R1721" s="316"/>
      <c r="S1721" s="355"/>
    </row>
    <row r="1722" spans="13:19" x14ac:dyDescent="0.25">
      <c r="M1722" s="514"/>
      <c r="Q1722" s="293"/>
      <c r="R1722" s="316"/>
      <c r="S1722" s="355"/>
    </row>
    <row r="1723" spans="13:19" x14ac:dyDescent="0.25">
      <c r="M1723" s="514"/>
      <c r="Q1723" s="293"/>
      <c r="R1723" s="316"/>
      <c r="S1723" s="355"/>
    </row>
    <row r="1724" spans="13:19" x14ac:dyDescent="0.25">
      <c r="M1724" s="514"/>
      <c r="Q1724" s="293"/>
      <c r="R1724" s="316"/>
      <c r="S1724" s="355"/>
    </row>
    <row r="1725" spans="13:19" x14ac:dyDescent="0.25">
      <c r="M1725" s="514"/>
      <c r="Q1725" s="293"/>
      <c r="R1725" s="316"/>
      <c r="S1725" s="355"/>
    </row>
    <row r="1726" spans="13:19" x14ac:dyDescent="0.25">
      <c r="M1726" s="514"/>
      <c r="Q1726" s="293"/>
      <c r="R1726" s="316"/>
      <c r="S1726" s="355"/>
    </row>
    <row r="1727" spans="13:19" x14ac:dyDescent="0.25">
      <c r="M1727" s="514"/>
      <c r="Q1727" s="293"/>
      <c r="R1727" s="316"/>
      <c r="S1727" s="355"/>
    </row>
    <row r="1728" spans="13:19" x14ac:dyDescent="0.25">
      <c r="M1728" s="514"/>
      <c r="Q1728" s="293"/>
      <c r="R1728" s="316"/>
      <c r="S1728" s="355"/>
    </row>
    <row r="1729" spans="13:19" x14ac:dyDescent="0.25">
      <c r="M1729" s="514"/>
      <c r="Q1729" s="293"/>
      <c r="R1729" s="316"/>
      <c r="S1729" s="355"/>
    </row>
    <row r="1730" spans="13:19" x14ac:dyDescent="0.25">
      <c r="M1730" s="514"/>
      <c r="Q1730" s="293"/>
      <c r="R1730" s="316"/>
      <c r="S1730" s="355"/>
    </row>
    <row r="1731" spans="13:19" x14ac:dyDescent="0.25">
      <c r="M1731" s="514"/>
      <c r="Q1731" s="293"/>
      <c r="R1731" s="316"/>
      <c r="S1731" s="355"/>
    </row>
    <row r="1732" spans="13:19" x14ac:dyDescent="0.25">
      <c r="M1732" s="514"/>
      <c r="Q1732" s="293"/>
      <c r="R1732" s="316"/>
      <c r="S1732" s="355"/>
    </row>
    <row r="1733" spans="13:19" x14ac:dyDescent="0.25">
      <c r="M1733" s="514"/>
      <c r="Q1733" s="293"/>
      <c r="R1733" s="316"/>
      <c r="S1733" s="355"/>
    </row>
    <row r="1734" spans="13:19" x14ac:dyDescent="0.25">
      <c r="M1734" s="514"/>
      <c r="Q1734" s="293"/>
      <c r="R1734" s="316"/>
      <c r="S1734" s="355"/>
    </row>
    <row r="1735" spans="13:19" x14ac:dyDescent="0.25">
      <c r="M1735" s="514"/>
      <c r="Q1735" s="293"/>
      <c r="R1735" s="316"/>
      <c r="S1735" s="355"/>
    </row>
    <row r="1736" spans="13:19" x14ac:dyDescent="0.25">
      <c r="M1736" s="514"/>
      <c r="Q1736" s="293"/>
      <c r="R1736" s="316"/>
      <c r="S1736" s="355"/>
    </row>
    <row r="1737" spans="13:19" x14ac:dyDescent="0.25">
      <c r="M1737" s="514"/>
      <c r="Q1737" s="293"/>
      <c r="R1737" s="316"/>
      <c r="S1737" s="355"/>
    </row>
    <row r="1738" spans="13:19" x14ac:dyDescent="0.25">
      <c r="M1738" s="514"/>
      <c r="Q1738" s="293"/>
      <c r="R1738" s="316"/>
      <c r="S1738" s="355"/>
    </row>
    <row r="1739" spans="13:19" x14ac:dyDescent="0.25">
      <c r="M1739" s="514"/>
      <c r="Q1739" s="293"/>
      <c r="R1739" s="316"/>
      <c r="S1739" s="355"/>
    </row>
    <row r="1740" spans="13:19" x14ac:dyDescent="0.25">
      <c r="M1740" s="514"/>
      <c r="Q1740" s="293"/>
      <c r="R1740" s="316"/>
      <c r="S1740" s="355"/>
    </row>
    <row r="1741" spans="13:19" x14ac:dyDescent="0.25">
      <c r="M1741" s="514"/>
      <c r="Q1741" s="293"/>
      <c r="R1741" s="316"/>
      <c r="S1741" s="355"/>
    </row>
    <row r="1742" spans="13:19" x14ac:dyDescent="0.25">
      <c r="M1742" s="514"/>
      <c r="Q1742" s="293"/>
      <c r="R1742" s="316"/>
      <c r="S1742" s="355"/>
    </row>
    <row r="1743" spans="13:19" x14ac:dyDescent="0.25">
      <c r="M1743" s="514"/>
      <c r="Q1743" s="293"/>
      <c r="R1743" s="316"/>
      <c r="S1743" s="355"/>
    </row>
    <row r="1744" spans="13:19" x14ac:dyDescent="0.25">
      <c r="M1744" s="514"/>
      <c r="Q1744" s="293"/>
      <c r="R1744" s="316"/>
      <c r="S1744" s="355"/>
    </row>
    <row r="1745" spans="13:19" x14ac:dyDescent="0.25">
      <c r="M1745" s="514"/>
      <c r="Q1745" s="293"/>
      <c r="R1745" s="316"/>
      <c r="S1745" s="355"/>
    </row>
    <row r="1746" spans="13:19" x14ac:dyDescent="0.25">
      <c r="M1746" s="514"/>
      <c r="Q1746" s="293"/>
      <c r="R1746" s="316"/>
      <c r="S1746" s="355"/>
    </row>
    <row r="1747" spans="13:19" x14ac:dyDescent="0.25">
      <c r="M1747" s="514"/>
      <c r="Q1747" s="293"/>
      <c r="R1747" s="316"/>
      <c r="S1747" s="355"/>
    </row>
    <row r="1748" spans="13:19" x14ac:dyDescent="0.25">
      <c r="M1748" s="514"/>
      <c r="Q1748" s="293"/>
      <c r="R1748" s="316"/>
      <c r="S1748" s="355"/>
    </row>
    <row r="1749" spans="13:19" x14ac:dyDescent="0.25">
      <c r="M1749" s="514"/>
      <c r="Q1749" s="293"/>
      <c r="R1749" s="316"/>
      <c r="S1749" s="355"/>
    </row>
    <row r="1750" spans="13:19" x14ac:dyDescent="0.25">
      <c r="M1750" s="514"/>
      <c r="Q1750" s="293"/>
      <c r="R1750" s="316"/>
      <c r="S1750" s="355"/>
    </row>
    <row r="1751" spans="13:19" x14ac:dyDescent="0.25">
      <c r="M1751" s="514"/>
      <c r="Q1751" s="293"/>
      <c r="R1751" s="316"/>
      <c r="S1751" s="355"/>
    </row>
    <row r="1752" spans="13:19" x14ac:dyDescent="0.25">
      <c r="M1752" s="514"/>
      <c r="Q1752" s="293"/>
      <c r="R1752" s="316"/>
      <c r="S1752" s="355"/>
    </row>
    <row r="1753" spans="13:19" x14ac:dyDescent="0.25">
      <c r="M1753" s="514"/>
      <c r="Q1753" s="293"/>
      <c r="R1753" s="316"/>
      <c r="S1753" s="355"/>
    </row>
    <row r="1754" spans="13:19" x14ac:dyDescent="0.25">
      <c r="M1754" s="514"/>
      <c r="Q1754" s="293"/>
      <c r="R1754" s="316"/>
      <c r="S1754" s="355"/>
    </row>
    <row r="1755" spans="13:19" x14ac:dyDescent="0.25">
      <c r="M1755" s="514"/>
      <c r="Q1755" s="293"/>
      <c r="R1755" s="316"/>
      <c r="S1755" s="355"/>
    </row>
    <row r="1756" spans="13:19" x14ac:dyDescent="0.25">
      <c r="M1756" s="514"/>
      <c r="Q1756" s="293"/>
      <c r="R1756" s="316"/>
      <c r="S1756" s="355"/>
    </row>
    <row r="1757" spans="13:19" x14ac:dyDescent="0.25">
      <c r="M1757" s="514"/>
      <c r="Q1757" s="293"/>
      <c r="R1757" s="316"/>
      <c r="S1757" s="355"/>
    </row>
    <row r="1758" spans="13:19" x14ac:dyDescent="0.25">
      <c r="M1758" s="514"/>
      <c r="Q1758" s="293"/>
      <c r="R1758" s="316"/>
      <c r="S1758" s="355"/>
    </row>
    <row r="1759" spans="13:19" x14ac:dyDescent="0.25">
      <c r="M1759" s="514"/>
      <c r="Q1759" s="293"/>
      <c r="R1759" s="316"/>
      <c r="S1759" s="355"/>
    </row>
    <row r="1760" spans="13:19" x14ac:dyDescent="0.25">
      <c r="M1760" s="514"/>
      <c r="Q1760" s="293"/>
      <c r="R1760" s="316"/>
      <c r="S1760" s="355"/>
    </row>
    <row r="1761" spans="13:19" x14ac:dyDescent="0.25">
      <c r="M1761" s="514"/>
      <c r="Q1761" s="293"/>
      <c r="R1761" s="316"/>
      <c r="S1761" s="355"/>
    </row>
    <row r="1762" spans="13:19" x14ac:dyDescent="0.25">
      <c r="M1762" s="514"/>
      <c r="Q1762" s="293"/>
      <c r="R1762" s="316"/>
      <c r="S1762" s="355"/>
    </row>
    <row r="1763" spans="13:19" x14ac:dyDescent="0.25">
      <c r="M1763" s="514"/>
      <c r="Q1763" s="293"/>
      <c r="R1763" s="316"/>
      <c r="S1763" s="355"/>
    </row>
    <row r="1764" spans="13:19" x14ac:dyDescent="0.25">
      <c r="M1764" s="514"/>
      <c r="Q1764" s="293"/>
      <c r="R1764" s="316"/>
      <c r="S1764" s="355"/>
    </row>
    <row r="1765" spans="13:19" x14ac:dyDescent="0.25">
      <c r="M1765" s="514"/>
      <c r="Q1765" s="293"/>
      <c r="R1765" s="316"/>
      <c r="S1765" s="355"/>
    </row>
    <row r="1766" spans="13:19" x14ac:dyDescent="0.25">
      <c r="M1766" s="514"/>
      <c r="Q1766" s="293"/>
      <c r="R1766" s="316"/>
      <c r="S1766" s="355"/>
    </row>
    <row r="1767" spans="13:19" x14ac:dyDescent="0.25">
      <c r="M1767" s="514"/>
      <c r="Q1767" s="293"/>
      <c r="R1767" s="316"/>
      <c r="S1767" s="355"/>
    </row>
    <row r="1768" spans="13:19" x14ac:dyDescent="0.25">
      <c r="M1768" s="514"/>
      <c r="Q1768" s="293"/>
      <c r="R1768" s="316"/>
      <c r="S1768" s="355"/>
    </row>
    <row r="1769" spans="13:19" x14ac:dyDescent="0.25">
      <c r="M1769" s="514"/>
      <c r="Q1769" s="293"/>
      <c r="R1769" s="316"/>
      <c r="S1769" s="355"/>
    </row>
    <row r="1770" spans="13:19" x14ac:dyDescent="0.25">
      <c r="M1770" s="514"/>
      <c r="Q1770" s="293"/>
      <c r="R1770" s="316"/>
      <c r="S1770" s="355"/>
    </row>
    <row r="1771" spans="13:19" x14ac:dyDescent="0.25">
      <c r="M1771" s="514"/>
      <c r="Q1771" s="293"/>
      <c r="R1771" s="316"/>
      <c r="S1771" s="355"/>
    </row>
    <row r="1772" spans="13:19" x14ac:dyDescent="0.25">
      <c r="M1772" s="514"/>
      <c r="Q1772" s="293"/>
      <c r="R1772" s="316"/>
      <c r="S1772" s="355"/>
    </row>
    <row r="1773" spans="13:19" x14ac:dyDescent="0.25">
      <c r="M1773" s="514"/>
      <c r="Q1773" s="293"/>
      <c r="R1773" s="316"/>
      <c r="S1773" s="355"/>
    </row>
    <row r="1774" spans="13:19" x14ac:dyDescent="0.25">
      <c r="M1774" s="514"/>
      <c r="Q1774" s="293"/>
      <c r="R1774" s="316"/>
      <c r="S1774" s="355"/>
    </row>
    <row r="1775" spans="13:19" x14ac:dyDescent="0.25">
      <c r="M1775" s="514"/>
      <c r="Q1775" s="293"/>
      <c r="R1775" s="316"/>
      <c r="S1775" s="355"/>
    </row>
    <row r="1776" spans="13:19" x14ac:dyDescent="0.25">
      <c r="M1776" s="514"/>
      <c r="Q1776" s="293"/>
      <c r="R1776" s="316"/>
      <c r="S1776" s="355"/>
    </row>
    <row r="1777" spans="13:19" x14ac:dyDescent="0.25">
      <c r="M1777" s="514"/>
      <c r="Q1777" s="293"/>
      <c r="R1777" s="316"/>
      <c r="S1777" s="355"/>
    </row>
    <row r="1778" spans="13:19" x14ac:dyDescent="0.25">
      <c r="M1778" s="514"/>
      <c r="Q1778" s="293"/>
      <c r="R1778" s="316"/>
      <c r="S1778" s="355"/>
    </row>
    <row r="1779" spans="13:19" x14ac:dyDescent="0.25">
      <c r="M1779" s="514"/>
      <c r="Q1779" s="293"/>
      <c r="R1779" s="316"/>
      <c r="S1779" s="355"/>
    </row>
    <row r="1780" spans="13:19" x14ac:dyDescent="0.25">
      <c r="M1780" s="514"/>
      <c r="Q1780" s="293"/>
      <c r="R1780" s="316"/>
      <c r="S1780" s="355"/>
    </row>
    <row r="1781" spans="13:19" x14ac:dyDescent="0.25">
      <c r="M1781" s="514"/>
      <c r="Q1781" s="293"/>
      <c r="R1781" s="316"/>
      <c r="S1781" s="355"/>
    </row>
    <row r="1782" spans="13:19" x14ac:dyDescent="0.25">
      <c r="M1782" s="514"/>
      <c r="Q1782" s="293"/>
      <c r="R1782" s="316"/>
      <c r="S1782" s="355"/>
    </row>
    <row r="1783" spans="13:19" x14ac:dyDescent="0.25">
      <c r="M1783" s="514"/>
      <c r="Q1783" s="293"/>
      <c r="R1783" s="316"/>
      <c r="S1783" s="355"/>
    </row>
    <row r="1784" spans="13:19" x14ac:dyDescent="0.25">
      <c r="M1784" s="514"/>
      <c r="Q1784" s="293"/>
      <c r="R1784" s="316"/>
      <c r="S1784" s="355"/>
    </row>
    <row r="1785" spans="13:19" x14ac:dyDescent="0.25">
      <c r="M1785" s="514"/>
      <c r="Q1785" s="293"/>
      <c r="R1785" s="316"/>
      <c r="S1785" s="355"/>
    </row>
    <row r="1786" spans="13:19" x14ac:dyDescent="0.25">
      <c r="M1786" s="514"/>
      <c r="Q1786" s="293"/>
      <c r="R1786" s="316"/>
      <c r="S1786" s="355"/>
    </row>
    <row r="1787" spans="13:19" x14ac:dyDescent="0.25">
      <c r="M1787" s="514"/>
      <c r="Q1787" s="293"/>
      <c r="R1787" s="316"/>
      <c r="S1787" s="355"/>
    </row>
    <row r="1788" spans="13:19" x14ac:dyDescent="0.25">
      <c r="M1788" s="514"/>
      <c r="Q1788" s="293"/>
      <c r="R1788" s="316"/>
      <c r="S1788" s="355"/>
    </row>
    <row r="1789" spans="13:19" x14ac:dyDescent="0.25">
      <c r="M1789" s="514"/>
      <c r="Q1789" s="293"/>
      <c r="R1789" s="316"/>
      <c r="S1789" s="355"/>
    </row>
    <row r="1790" spans="13:19" x14ac:dyDescent="0.25">
      <c r="M1790" s="514"/>
      <c r="Q1790" s="293"/>
      <c r="R1790" s="316"/>
      <c r="S1790" s="355"/>
    </row>
    <row r="1791" spans="13:19" x14ac:dyDescent="0.25">
      <c r="M1791" s="514"/>
      <c r="Q1791" s="293"/>
      <c r="R1791" s="316"/>
      <c r="S1791" s="355"/>
    </row>
    <row r="1792" spans="13:19" x14ac:dyDescent="0.25">
      <c r="M1792" s="514"/>
      <c r="Q1792" s="293"/>
      <c r="R1792" s="316"/>
      <c r="S1792" s="355"/>
    </row>
    <row r="1793" spans="13:19" x14ac:dyDescent="0.25">
      <c r="M1793" s="514"/>
      <c r="Q1793" s="293"/>
      <c r="R1793" s="316"/>
      <c r="S1793" s="355"/>
    </row>
    <row r="1794" spans="13:19" x14ac:dyDescent="0.25">
      <c r="M1794" s="514"/>
      <c r="Q1794" s="293"/>
      <c r="R1794" s="316"/>
      <c r="S1794" s="355"/>
    </row>
    <row r="1795" spans="13:19" x14ac:dyDescent="0.25">
      <c r="M1795" s="514"/>
      <c r="Q1795" s="293"/>
      <c r="R1795" s="316"/>
      <c r="S1795" s="355"/>
    </row>
    <row r="1796" spans="13:19" x14ac:dyDescent="0.25">
      <c r="M1796" s="514"/>
      <c r="Q1796" s="293"/>
      <c r="R1796" s="316"/>
      <c r="S1796" s="355"/>
    </row>
    <row r="1797" spans="13:19" x14ac:dyDescent="0.25">
      <c r="M1797" s="514"/>
      <c r="Q1797" s="293"/>
      <c r="R1797" s="316"/>
      <c r="S1797" s="355"/>
    </row>
    <row r="1798" spans="13:19" x14ac:dyDescent="0.25">
      <c r="M1798" s="514"/>
      <c r="Q1798" s="293"/>
      <c r="R1798" s="316"/>
      <c r="S1798" s="355"/>
    </row>
    <row r="1799" spans="13:19" x14ac:dyDescent="0.25">
      <c r="M1799" s="514"/>
      <c r="Q1799" s="293"/>
      <c r="R1799" s="316"/>
      <c r="S1799" s="355"/>
    </row>
    <row r="1800" spans="13:19" x14ac:dyDescent="0.25">
      <c r="M1800" s="514"/>
      <c r="Q1800" s="293"/>
      <c r="R1800" s="316"/>
      <c r="S1800" s="355"/>
    </row>
    <row r="1801" spans="13:19" x14ac:dyDescent="0.25">
      <c r="M1801" s="514"/>
      <c r="Q1801" s="293"/>
      <c r="R1801" s="316"/>
      <c r="S1801" s="355"/>
    </row>
    <row r="1802" spans="13:19" x14ac:dyDescent="0.25">
      <c r="M1802" s="514"/>
      <c r="Q1802" s="293"/>
      <c r="R1802" s="316"/>
      <c r="S1802" s="355"/>
    </row>
    <row r="1803" spans="13:19" x14ac:dyDescent="0.25">
      <c r="M1803" s="514"/>
      <c r="Q1803" s="293"/>
      <c r="R1803" s="316"/>
      <c r="S1803" s="355"/>
    </row>
    <row r="1804" spans="13:19" x14ac:dyDescent="0.25">
      <c r="M1804" s="514"/>
      <c r="Q1804" s="293"/>
      <c r="R1804" s="316"/>
      <c r="S1804" s="355"/>
    </row>
    <row r="1805" spans="13:19" x14ac:dyDescent="0.25">
      <c r="M1805" s="514"/>
      <c r="Q1805" s="293"/>
      <c r="R1805" s="316"/>
      <c r="S1805" s="355"/>
    </row>
    <row r="1806" spans="13:19" x14ac:dyDescent="0.25">
      <c r="M1806" s="514"/>
      <c r="Q1806" s="293"/>
      <c r="R1806" s="316"/>
      <c r="S1806" s="355"/>
    </row>
    <row r="1807" spans="13:19" x14ac:dyDescent="0.25">
      <c r="M1807" s="514"/>
      <c r="Q1807" s="293"/>
      <c r="R1807" s="316"/>
      <c r="S1807" s="355"/>
    </row>
    <row r="1808" spans="13:19" x14ac:dyDescent="0.25">
      <c r="M1808" s="514"/>
      <c r="Q1808" s="293"/>
      <c r="R1808" s="316"/>
      <c r="S1808" s="355"/>
    </row>
    <row r="1809" spans="13:19" x14ac:dyDescent="0.25">
      <c r="M1809" s="514"/>
      <c r="Q1809" s="293"/>
      <c r="R1809" s="316"/>
      <c r="S1809" s="355"/>
    </row>
    <row r="1810" spans="13:19" x14ac:dyDescent="0.25">
      <c r="M1810" s="514"/>
      <c r="Q1810" s="293"/>
      <c r="R1810" s="316"/>
      <c r="S1810" s="355"/>
    </row>
    <row r="1811" spans="13:19" x14ac:dyDescent="0.25">
      <c r="M1811" s="514"/>
      <c r="Q1811" s="293"/>
      <c r="R1811" s="316"/>
      <c r="S1811" s="355"/>
    </row>
    <row r="1812" spans="13:19" x14ac:dyDescent="0.25">
      <c r="M1812" s="514"/>
      <c r="Q1812" s="293"/>
      <c r="R1812" s="316"/>
      <c r="S1812" s="355"/>
    </row>
    <row r="1813" spans="13:19" x14ac:dyDescent="0.25">
      <c r="M1813" s="514"/>
      <c r="Q1813" s="293"/>
      <c r="R1813" s="316"/>
      <c r="S1813" s="355"/>
    </row>
    <row r="1814" spans="13:19" x14ac:dyDescent="0.25">
      <c r="M1814" s="514"/>
      <c r="Q1814" s="293"/>
      <c r="R1814" s="316"/>
      <c r="S1814" s="355"/>
    </row>
    <row r="1815" spans="13:19" x14ac:dyDescent="0.25">
      <c r="M1815" s="514"/>
      <c r="Q1815" s="293"/>
      <c r="R1815" s="316"/>
      <c r="S1815" s="355"/>
    </row>
    <row r="1816" spans="13:19" x14ac:dyDescent="0.25">
      <c r="M1816" s="514"/>
      <c r="Q1816" s="293"/>
      <c r="R1816" s="316"/>
      <c r="S1816" s="355"/>
    </row>
    <row r="1817" spans="13:19" x14ac:dyDescent="0.25">
      <c r="M1817" s="514"/>
      <c r="Q1817" s="293"/>
      <c r="R1817" s="316"/>
      <c r="S1817" s="355"/>
    </row>
    <row r="1818" spans="13:19" x14ac:dyDescent="0.25">
      <c r="M1818" s="514"/>
      <c r="Q1818" s="293"/>
      <c r="R1818" s="316"/>
      <c r="S1818" s="355"/>
    </row>
    <row r="1819" spans="13:19" x14ac:dyDescent="0.25">
      <c r="M1819" s="514"/>
      <c r="Q1819" s="293"/>
      <c r="R1819" s="316"/>
      <c r="S1819" s="355"/>
    </row>
    <row r="1820" spans="13:19" x14ac:dyDescent="0.25">
      <c r="M1820" s="514"/>
      <c r="Q1820" s="293"/>
      <c r="R1820" s="316"/>
      <c r="S1820" s="355"/>
    </row>
    <row r="1821" spans="13:19" x14ac:dyDescent="0.25">
      <c r="M1821" s="514"/>
      <c r="Q1821" s="293"/>
      <c r="R1821" s="316"/>
      <c r="S1821" s="355"/>
    </row>
    <row r="1822" spans="13:19" x14ac:dyDescent="0.25">
      <c r="M1822" s="514"/>
      <c r="Q1822" s="293"/>
      <c r="R1822" s="316"/>
      <c r="S1822" s="355"/>
    </row>
    <row r="1823" spans="13:19" x14ac:dyDescent="0.25">
      <c r="M1823" s="514"/>
      <c r="Q1823" s="293"/>
      <c r="R1823" s="316"/>
      <c r="S1823" s="355"/>
    </row>
    <row r="1824" spans="13:19" x14ac:dyDescent="0.25">
      <c r="M1824" s="514"/>
      <c r="Q1824" s="293"/>
      <c r="R1824" s="316"/>
      <c r="S1824" s="355"/>
    </row>
    <row r="1825" spans="13:19" x14ac:dyDescent="0.25">
      <c r="M1825" s="514"/>
      <c r="Q1825" s="293"/>
      <c r="R1825" s="316"/>
      <c r="S1825" s="355"/>
    </row>
    <row r="1826" spans="13:19" x14ac:dyDescent="0.25">
      <c r="M1826" s="514"/>
      <c r="Q1826" s="293"/>
      <c r="R1826" s="316"/>
      <c r="S1826" s="355"/>
    </row>
    <row r="1827" spans="13:19" x14ac:dyDescent="0.25">
      <c r="M1827" s="514"/>
      <c r="Q1827" s="293"/>
      <c r="R1827" s="316"/>
      <c r="S1827" s="355"/>
    </row>
    <row r="1828" spans="13:19" x14ac:dyDescent="0.25">
      <c r="M1828" s="514"/>
      <c r="Q1828" s="293"/>
      <c r="R1828" s="316"/>
      <c r="S1828" s="355"/>
    </row>
    <row r="1829" spans="13:19" x14ac:dyDescent="0.25">
      <c r="M1829" s="514"/>
      <c r="Q1829" s="293"/>
      <c r="R1829" s="316"/>
      <c r="S1829" s="355"/>
    </row>
    <row r="1830" spans="13:19" x14ac:dyDescent="0.25">
      <c r="M1830" s="514"/>
      <c r="Q1830" s="293"/>
      <c r="R1830" s="316"/>
      <c r="S1830" s="355"/>
    </row>
    <row r="1831" spans="13:19" x14ac:dyDescent="0.25">
      <c r="M1831" s="514"/>
      <c r="Q1831" s="293"/>
      <c r="R1831" s="316"/>
      <c r="S1831" s="355"/>
    </row>
    <row r="1832" spans="13:19" x14ac:dyDescent="0.25">
      <c r="M1832" s="514"/>
      <c r="Q1832" s="293"/>
      <c r="R1832" s="316"/>
      <c r="S1832" s="355"/>
    </row>
    <row r="1833" spans="13:19" x14ac:dyDescent="0.25">
      <c r="M1833" s="514"/>
      <c r="Q1833" s="293"/>
      <c r="R1833" s="316"/>
      <c r="S1833" s="355"/>
    </row>
    <row r="1834" spans="13:19" x14ac:dyDescent="0.25">
      <c r="M1834" s="514"/>
      <c r="Q1834" s="293"/>
      <c r="R1834" s="316"/>
      <c r="S1834" s="355"/>
    </row>
    <row r="1835" spans="13:19" x14ac:dyDescent="0.25">
      <c r="M1835" s="514"/>
      <c r="Q1835" s="293"/>
      <c r="R1835" s="316"/>
      <c r="S1835" s="355"/>
    </row>
    <row r="1836" spans="13:19" x14ac:dyDescent="0.25">
      <c r="M1836" s="514"/>
      <c r="Q1836" s="293"/>
      <c r="R1836" s="316"/>
      <c r="S1836" s="355"/>
    </row>
    <row r="1837" spans="13:19" x14ac:dyDescent="0.25">
      <c r="M1837" s="514"/>
      <c r="Q1837" s="293"/>
      <c r="R1837" s="316"/>
      <c r="S1837" s="355"/>
    </row>
    <row r="1838" spans="13:19" x14ac:dyDescent="0.25">
      <c r="M1838" s="514"/>
      <c r="Q1838" s="293"/>
      <c r="R1838" s="316"/>
      <c r="S1838" s="355"/>
    </row>
    <row r="1839" spans="13:19" x14ac:dyDescent="0.25">
      <c r="M1839" s="514"/>
      <c r="Q1839" s="293"/>
      <c r="R1839" s="316"/>
      <c r="S1839" s="355"/>
    </row>
    <row r="1840" spans="13:19" x14ac:dyDescent="0.25">
      <c r="M1840" s="514"/>
      <c r="Q1840" s="293"/>
      <c r="R1840" s="316"/>
      <c r="S1840" s="355"/>
    </row>
    <row r="1841" spans="13:19" x14ac:dyDescent="0.25">
      <c r="M1841" s="514"/>
      <c r="Q1841" s="293"/>
      <c r="R1841" s="316"/>
      <c r="S1841" s="355"/>
    </row>
    <row r="1842" spans="13:19" x14ac:dyDescent="0.25">
      <c r="M1842" s="514"/>
      <c r="Q1842" s="293"/>
      <c r="R1842" s="316"/>
      <c r="S1842" s="355"/>
    </row>
    <row r="1843" spans="13:19" x14ac:dyDescent="0.25">
      <c r="M1843" s="514"/>
      <c r="Q1843" s="293"/>
      <c r="R1843" s="316"/>
      <c r="S1843" s="355"/>
    </row>
    <row r="1844" spans="13:19" x14ac:dyDescent="0.25">
      <c r="M1844" s="514"/>
      <c r="Q1844" s="293"/>
      <c r="R1844" s="316"/>
      <c r="S1844" s="355"/>
    </row>
    <row r="1845" spans="13:19" x14ac:dyDescent="0.25">
      <c r="M1845" s="514"/>
      <c r="Q1845" s="293"/>
      <c r="R1845" s="316"/>
      <c r="S1845" s="355"/>
    </row>
    <row r="1846" spans="13:19" x14ac:dyDescent="0.25">
      <c r="M1846" s="514"/>
      <c r="Q1846" s="293"/>
      <c r="R1846" s="316"/>
      <c r="S1846" s="355"/>
    </row>
    <row r="1847" spans="13:19" x14ac:dyDescent="0.25">
      <c r="M1847" s="514"/>
      <c r="Q1847" s="293"/>
      <c r="R1847" s="316"/>
      <c r="S1847" s="355"/>
    </row>
    <row r="1848" spans="13:19" x14ac:dyDescent="0.25">
      <c r="M1848" s="514"/>
      <c r="Q1848" s="293"/>
      <c r="R1848" s="316"/>
      <c r="S1848" s="355"/>
    </row>
    <row r="1849" spans="13:19" x14ac:dyDescent="0.25">
      <c r="M1849" s="514"/>
      <c r="Q1849" s="293"/>
      <c r="R1849" s="316"/>
      <c r="S1849" s="355"/>
    </row>
    <row r="1850" spans="13:19" x14ac:dyDescent="0.25">
      <c r="M1850" s="514"/>
      <c r="Q1850" s="293"/>
      <c r="R1850" s="316"/>
      <c r="S1850" s="355"/>
    </row>
    <row r="1851" spans="13:19" x14ac:dyDescent="0.25">
      <c r="M1851" s="514"/>
      <c r="Q1851" s="293"/>
      <c r="R1851" s="316"/>
      <c r="S1851" s="355"/>
    </row>
    <row r="1852" spans="13:19" x14ac:dyDescent="0.25">
      <c r="M1852" s="514"/>
      <c r="Q1852" s="293"/>
      <c r="R1852" s="316"/>
      <c r="S1852" s="355"/>
    </row>
    <row r="1853" spans="13:19" x14ac:dyDescent="0.25">
      <c r="M1853" s="514"/>
      <c r="Q1853" s="293"/>
      <c r="R1853" s="316"/>
      <c r="S1853" s="355"/>
    </row>
    <row r="1854" spans="13:19" x14ac:dyDescent="0.25">
      <c r="M1854" s="514"/>
      <c r="Q1854" s="293"/>
      <c r="R1854" s="316"/>
      <c r="S1854" s="355"/>
    </row>
    <row r="1855" spans="13:19" x14ac:dyDescent="0.25">
      <c r="M1855" s="514"/>
      <c r="Q1855" s="293"/>
      <c r="R1855" s="316"/>
      <c r="S1855" s="355"/>
    </row>
    <row r="1856" spans="13:19" x14ac:dyDescent="0.25">
      <c r="M1856" s="514"/>
      <c r="Q1856" s="293"/>
      <c r="R1856" s="316"/>
      <c r="S1856" s="355"/>
    </row>
    <row r="1857" spans="13:19" x14ac:dyDescent="0.25">
      <c r="M1857" s="514"/>
      <c r="Q1857" s="293"/>
      <c r="R1857" s="316"/>
      <c r="S1857" s="355"/>
    </row>
    <row r="1858" spans="13:19" x14ac:dyDescent="0.25">
      <c r="M1858" s="514"/>
      <c r="Q1858" s="293"/>
      <c r="R1858" s="316"/>
      <c r="S1858" s="355"/>
    </row>
    <row r="1859" spans="13:19" x14ac:dyDescent="0.25">
      <c r="M1859" s="514"/>
      <c r="Q1859" s="293"/>
      <c r="R1859" s="316"/>
      <c r="S1859" s="355"/>
    </row>
    <row r="1860" spans="13:19" x14ac:dyDescent="0.25">
      <c r="M1860" s="514"/>
      <c r="Q1860" s="293"/>
      <c r="R1860" s="316"/>
      <c r="S1860" s="355"/>
    </row>
    <row r="1861" spans="13:19" x14ac:dyDescent="0.25">
      <c r="M1861" s="514"/>
      <c r="Q1861" s="293"/>
      <c r="R1861" s="316"/>
      <c r="S1861" s="355"/>
    </row>
    <row r="1862" spans="13:19" x14ac:dyDescent="0.25">
      <c r="M1862" s="514"/>
      <c r="Q1862" s="293"/>
      <c r="R1862" s="316"/>
      <c r="S1862" s="355"/>
    </row>
    <row r="1863" spans="13:19" x14ac:dyDescent="0.25">
      <c r="M1863" s="514"/>
      <c r="Q1863" s="293"/>
      <c r="R1863" s="316"/>
      <c r="S1863" s="355"/>
    </row>
    <row r="1864" spans="13:19" x14ac:dyDescent="0.25">
      <c r="M1864" s="514"/>
      <c r="Q1864" s="293"/>
      <c r="R1864" s="316"/>
      <c r="S1864" s="355"/>
    </row>
    <row r="1865" spans="13:19" x14ac:dyDescent="0.25">
      <c r="M1865" s="514"/>
      <c r="Q1865" s="293"/>
      <c r="R1865" s="316"/>
      <c r="S1865" s="355"/>
    </row>
    <row r="1866" spans="13:19" x14ac:dyDescent="0.25">
      <c r="M1866" s="514"/>
      <c r="Q1866" s="293"/>
      <c r="R1866" s="316"/>
      <c r="S1866" s="355"/>
    </row>
    <row r="1867" spans="13:19" x14ac:dyDescent="0.25">
      <c r="M1867" s="514"/>
      <c r="Q1867" s="293"/>
      <c r="R1867" s="316"/>
      <c r="S1867" s="355"/>
    </row>
    <row r="1868" spans="13:19" x14ac:dyDescent="0.25">
      <c r="M1868" s="514"/>
      <c r="Q1868" s="293"/>
      <c r="R1868" s="316"/>
      <c r="S1868" s="355"/>
    </row>
    <row r="1869" spans="13:19" x14ac:dyDescent="0.25">
      <c r="M1869" s="514"/>
      <c r="Q1869" s="293"/>
      <c r="R1869" s="316"/>
      <c r="S1869" s="355"/>
    </row>
    <row r="1870" spans="13:19" x14ac:dyDescent="0.25">
      <c r="M1870" s="514"/>
      <c r="Q1870" s="293"/>
      <c r="R1870" s="316"/>
      <c r="S1870" s="355"/>
    </row>
    <row r="1871" spans="13:19" x14ac:dyDescent="0.25">
      <c r="M1871" s="514"/>
      <c r="Q1871" s="293"/>
      <c r="R1871" s="316"/>
      <c r="S1871" s="355"/>
    </row>
    <row r="1872" spans="13:19" x14ac:dyDescent="0.25">
      <c r="M1872" s="514"/>
      <c r="Q1872" s="293"/>
      <c r="R1872" s="316"/>
      <c r="S1872" s="355"/>
    </row>
    <row r="1873" spans="13:19" x14ac:dyDescent="0.25">
      <c r="M1873" s="514"/>
      <c r="Q1873" s="293"/>
      <c r="R1873" s="316"/>
      <c r="S1873" s="355"/>
    </row>
    <row r="1874" spans="13:19" x14ac:dyDescent="0.25">
      <c r="M1874" s="514"/>
      <c r="Q1874" s="293"/>
      <c r="R1874" s="316"/>
      <c r="S1874" s="355"/>
    </row>
    <row r="1875" spans="13:19" x14ac:dyDescent="0.25">
      <c r="M1875" s="514"/>
      <c r="Q1875" s="293"/>
      <c r="R1875" s="316"/>
      <c r="S1875" s="355"/>
    </row>
    <row r="1876" spans="13:19" x14ac:dyDescent="0.25">
      <c r="M1876" s="514"/>
      <c r="Q1876" s="293"/>
      <c r="R1876" s="316"/>
      <c r="S1876" s="355"/>
    </row>
    <row r="1877" spans="13:19" x14ac:dyDescent="0.25">
      <c r="M1877" s="514"/>
      <c r="Q1877" s="293"/>
      <c r="R1877" s="316"/>
      <c r="S1877" s="355"/>
    </row>
    <row r="1878" spans="13:19" x14ac:dyDescent="0.25">
      <c r="M1878" s="514"/>
      <c r="Q1878" s="293"/>
      <c r="R1878" s="316"/>
      <c r="S1878" s="355"/>
    </row>
    <row r="1879" spans="13:19" x14ac:dyDescent="0.25">
      <c r="M1879" s="514"/>
      <c r="Q1879" s="293"/>
      <c r="R1879" s="316"/>
      <c r="S1879" s="355"/>
    </row>
    <row r="1880" spans="13:19" x14ac:dyDescent="0.25">
      <c r="M1880" s="514"/>
      <c r="Q1880" s="293"/>
      <c r="R1880" s="316"/>
      <c r="S1880" s="355"/>
    </row>
    <row r="1881" spans="13:19" x14ac:dyDescent="0.25">
      <c r="M1881" s="514"/>
      <c r="Q1881" s="293"/>
      <c r="R1881" s="316"/>
      <c r="S1881" s="355"/>
    </row>
    <row r="1882" spans="13:19" x14ac:dyDescent="0.25">
      <c r="M1882" s="514"/>
      <c r="Q1882" s="293"/>
      <c r="R1882" s="316"/>
      <c r="S1882" s="355"/>
    </row>
    <row r="1883" spans="13:19" x14ac:dyDescent="0.25">
      <c r="M1883" s="514"/>
      <c r="Q1883" s="293"/>
      <c r="R1883" s="316"/>
      <c r="S1883" s="355"/>
    </row>
    <row r="1884" spans="13:19" x14ac:dyDescent="0.25">
      <c r="M1884" s="514"/>
      <c r="Q1884" s="293"/>
      <c r="R1884" s="316"/>
      <c r="S1884" s="355"/>
    </row>
    <row r="1885" spans="13:19" x14ac:dyDescent="0.25">
      <c r="M1885" s="514"/>
      <c r="Q1885" s="293"/>
      <c r="R1885" s="316"/>
      <c r="S1885" s="355"/>
    </row>
    <row r="1886" spans="13:19" x14ac:dyDescent="0.25">
      <c r="M1886" s="514"/>
      <c r="Q1886" s="293"/>
      <c r="R1886" s="316"/>
      <c r="S1886" s="355"/>
    </row>
    <row r="1887" spans="13:19" x14ac:dyDescent="0.25">
      <c r="M1887" s="514"/>
      <c r="Q1887" s="293"/>
      <c r="R1887" s="316"/>
      <c r="S1887" s="355"/>
    </row>
    <row r="1888" spans="13:19" x14ac:dyDescent="0.25">
      <c r="M1888" s="514"/>
      <c r="Q1888" s="293"/>
      <c r="R1888" s="316"/>
      <c r="S1888" s="355"/>
    </row>
    <row r="1889" spans="13:19" x14ac:dyDescent="0.25">
      <c r="M1889" s="514"/>
      <c r="Q1889" s="293"/>
      <c r="R1889" s="316"/>
      <c r="S1889" s="355"/>
    </row>
    <row r="1890" spans="13:19" x14ac:dyDescent="0.25">
      <c r="M1890" s="514"/>
      <c r="Q1890" s="293"/>
      <c r="R1890" s="316"/>
      <c r="S1890" s="355"/>
    </row>
    <row r="1891" spans="13:19" x14ac:dyDescent="0.25">
      <c r="M1891" s="514"/>
      <c r="Q1891" s="293"/>
      <c r="R1891" s="316"/>
      <c r="S1891" s="355"/>
    </row>
    <row r="1892" spans="13:19" x14ac:dyDescent="0.25">
      <c r="M1892" s="514"/>
      <c r="Q1892" s="293"/>
      <c r="R1892" s="316"/>
      <c r="S1892" s="355"/>
    </row>
    <row r="1893" spans="13:19" x14ac:dyDescent="0.25">
      <c r="M1893" s="514"/>
      <c r="Q1893" s="293"/>
      <c r="R1893" s="316"/>
      <c r="S1893" s="355"/>
    </row>
    <row r="1894" spans="13:19" x14ac:dyDescent="0.25">
      <c r="M1894" s="514"/>
      <c r="Q1894" s="293"/>
      <c r="R1894" s="316"/>
      <c r="S1894" s="355"/>
    </row>
    <row r="1895" spans="13:19" x14ac:dyDescent="0.25">
      <c r="M1895" s="514"/>
      <c r="Q1895" s="293"/>
      <c r="R1895" s="316"/>
      <c r="S1895" s="355"/>
    </row>
    <row r="1896" spans="13:19" x14ac:dyDescent="0.25">
      <c r="M1896" s="514"/>
      <c r="Q1896" s="293"/>
      <c r="R1896" s="316"/>
      <c r="S1896" s="355"/>
    </row>
    <row r="1897" spans="13:19" x14ac:dyDescent="0.25">
      <c r="M1897" s="514"/>
      <c r="Q1897" s="293"/>
      <c r="R1897" s="316"/>
      <c r="S1897" s="355"/>
    </row>
    <row r="1898" spans="13:19" x14ac:dyDescent="0.25">
      <c r="M1898" s="514"/>
      <c r="Q1898" s="293"/>
      <c r="R1898" s="316"/>
      <c r="S1898" s="355"/>
    </row>
    <row r="1899" spans="13:19" x14ac:dyDescent="0.25">
      <c r="M1899" s="514"/>
      <c r="Q1899" s="293"/>
      <c r="R1899" s="316"/>
      <c r="S1899" s="355"/>
    </row>
    <row r="1900" spans="13:19" x14ac:dyDescent="0.25">
      <c r="M1900" s="514"/>
      <c r="Q1900" s="293"/>
      <c r="R1900" s="316"/>
      <c r="S1900" s="355"/>
    </row>
    <row r="1901" spans="13:19" x14ac:dyDescent="0.25">
      <c r="M1901" s="514"/>
      <c r="Q1901" s="293"/>
      <c r="R1901" s="316"/>
      <c r="S1901" s="355"/>
    </row>
    <row r="1902" spans="13:19" x14ac:dyDescent="0.25">
      <c r="M1902" s="514"/>
      <c r="Q1902" s="293"/>
      <c r="R1902" s="316"/>
      <c r="S1902" s="355"/>
    </row>
    <row r="1903" spans="13:19" x14ac:dyDescent="0.25">
      <c r="M1903" s="514"/>
      <c r="Q1903" s="293"/>
      <c r="R1903" s="316"/>
      <c r="S1903" s="355"/>
    </row>
    <row r="1904" spans="13:19" x14ac:dyDescent="0.25">
      <c r="M1904" s="514"/>
      <c r="Q1904" s="293"/>
      <c r="R1904" s="316"/>
      <c r="S1904" s="355"/>
    </row>
    <row r="1905" spans="13:19" x14ac:dyDescent="0.25">
      <c r="M1905" s="514"/>
      <c r="Q1905" s="293"/>
      <c r="R1905" s="316"/>
      <c r="S1905" s="355"/>
    </row>
    <row r="1906" spans="13:19" x14ac:dyDescent="0.25">
      <c r="M1906" s="514"/>
      <c r="Q1906" s="293"/>
      <c r="R1906" s="316"/>
      <c r="S1906" s="355"/>
    </row>
    <row r="1907" spans="13:19" x14ac:dyDescent="0.25">
      <c r="M1907" s="514"/>
      <c r="Q1907" s="293"/>
      <c r="R1907" s="316"/>
      <c r="S1907" s="355"/>
    </row>
    <row r="1908" spans="13:19" x14ac:dyDescent="0.25">
      <c r="M1908" s="514"/>
      <c r="Q1908" s="293"/>
      <c r="R1908" s="316"/>
      <c r="S1908" s="355"/>
    </row>
    <row r="1909" spans="13:19" x14ac:dyDescent="0.25">
      <c r="M1909" s="514"/>
      <c r="Q1909" s="293"/>
      <c r="R1909" s="316"/>
      <c r="S1909" s="355"/>
    </row>
    <row r="1910" spans="13:19" x14ac:dyDescent="0.25">
      <c r="M1910" s="514"/>
      <c r="Q1910" s="293"/>
      <c r="R1910" s="316"/>
      <c r="S1910" s="355"/>
    </row>
    <row r="1911" spans="13:19" x14ac:dyDescent="0.25">
      <c r="M1911" s="514"/>
      <c r="Q1911" s="293"/>
      <c r="R1911" s="316"/>
      <c r="S1911" s="355"/>
    </row>
    <row r="1912" spans="13:19" x14ac:dyDescent="0.25">
      <c r="M1912" s="514"/>
      <c r="Q1912" s="293"/>
      <c r="R1912" s="316"/>
      <c r="S1912" s="355"/>
    </row>
    <row r="1913" spans="13:19" x14ac:dyDescent="0.25">
      <c r="M1913" s="514"/>
      <c r="Q1913" s="293"/>
      <c r="R1913" s="316"/>
      <c r="S1913" s="355"/>
    </row>
    <row r="1914" spans="13:19" x14ac:dyDescent="0.25">
      <c r="M1914" s="514"/>
      <c r="Q1914" s="293"/>
      <c r="R1914" s="316"/>
      <c r="S1914" s="355"/>
    </row>
    <row r="1915" spans="13:19" x14ac:dyDescent="0.25">
      <c r="M1915" s="514"/>
      <c r="Q1915" s="293"/>
      <c r="R1915" s="316"/>
      <c r="S1915" s="355"/>
    </row>
    <row r="1916" spans="13:19" x14ac:dyDescent="0.25">
      <c r="M1916" s="514"/>
      <c r="Q1916" s="293"/>
      <c r="R1916" s="316"/>
      <c r="S1916" s="355"/>
    </row>
    <row r="1917" spans="13:19" x14ac:dyDescent="0.25">
      <c r="M1917" s="514"/>
      <c r="Q1917" s="293"/>
      <c r="R1917" s="316"/>
      <c r="S1917" s="355"/>
    </row>
    <row r="1918" spans="13:19" x14ac:dyDescent="0.25">
      <c r="M1918" s="514"/>
      <c r="Q1918" s="293"/>
      <c r="R1918" s="316"/>
      <c r="S1918" s="355"/>
    </row>
    <row r="1919" spans="13:19" x14ac:dyDescent="0.25">
      <c r="M1919" s="514"/>
      <c r="Q1919" s="293"/>
      <c r="R1919" s="316"/>
      <c r="S1919" s="355"/>
    </row>
    <row r="1920" spans="13:19" x14ac:dyDescent="0.25">
      <c r="M1920" s="514"/>
      <c r="Q1920" s="293"/>
      <c r="R1920" s="316"/>
      <c r="S1920" s="355"/>
    </row>
    <row r="1921" spans="13:19" x14ac:dyDescent="0.25">
      <c r="M1921" s="514"/>
      <c r="Q1921" s="293"/>
      <c r="R1921" s="316"/>
      <c r="S1921" s="355"/>
    </row>
    <row r="1922" spans="13:19" x14ac:dyDescent="0.25">
      <c r="M1922" s="514"/>
      <c r="Q1922" s="293"/>
      <c r="R1922" s="316"/>
      <c r="S1922" s="355"/>
    </row>
    <row r="1923" spans="13:19" x14ac:dyDescent="0.25">
      <c r="M1923" s="514"/>
      <c r="Q1923" s="293"/>
      <c r="R1923" s="316"/>
      <c r="S1923" s="355"/>
    </row>
    <row r="1924" spans="13:19" x14ac:dyDescent="0.25">
      <c r="M1924" s="514"/>
      <c r="Q1924" s="293"/>
      <c r="R1924" s="316"/>
      <c r="S1924" s="355"/>
    </row>
    <row r="1925" spans="13:19" x14ac:dyDescent="0.25">
      <c r="M1925" s="514"/>
      <c r="Q1925" s="293"/>
      <c r="R1925" s="316"/>
      <c r="S1925" s="355"/>
    </row>
    <row r="1926" spans="13:19" x14ac:dyDescent="0.25">
      <c r="M1926" s="514"/>
      <c r="Q1926" s="293"/>
      <c r="R1926" s="316"/>
      <c r="S1926" s="355"/>
    </row>
    <row r="1927" spans="13:19" x14ac:dyDescent="0.25">
      <c r="M1927" s="514"/>
      <c r="Q1927" s="293"/>
      <c r="R1927" s="316"/>
      <c r="S1927" s="355"/>
    </row>
    <row r="1928" spans="13:19" x14ac:dyDescent="0.25">
      <c r="M1928" s="514"/>
      <c r="Q1928" s="293"/>
      <c r="R1928" s="316"/>
      <c r="S1928" s="355"/>
    </row>
    <row r="1929" spans="13:19" x14ac:dyDescent="0.25">
      <c r="M1929" s="514"/>
      <c r="Q1929" s="293"/>
      <c r="R1929" s="316"/>
      <c r="S1929" s="355"/>
    </row>
    <row r="1930" spans="13:19" x14ac:dyDescent="0.25">
      <c r="M1930" s="514"/>
      <c r="Q1930" s="293"/>
      <c r="R1930" s="316"/>
      <c r="S1930" s="355"/>
    </row>
    <row r="1931" spans="13:19" x14ac:dyDescent="0.25">
      <c r="M1931" s="514"/>
      <c r="Q1931" s="293"/>
      <c r="R1931" s="316"/>
      <c r="S1931" s="355"/>
    </row>
    <row r="1932" spans="13:19" x14ac:dyDescent="0.25">
      <c r="M1932" s="514"/>
      <c r="Q1932" s="293"/>
      <c r="R1932" s="316"/>
      <c r="S1932" s="355"/>
    </row>
    <row r="1933" spans="13:19" x14ac:dyDescent="0.25">
      <c r="M1933" s="514"/>
      <c r="Q1933" s="293"/>
      <c r="R1933" s="316"/>
      <c r="S1933" s="355"/>
    </row>
    <row r="1934" spans="13:19" x14ac:dyDescent="0.25">
      <c r="M1934" s="514"/>
      <c r="Q1934" s="293"/>
      <c r="R1934" s="316"/>
      <c r="S1934" s="355"/>
    </row>
    <row r="1935" spans="13:19" x14ac:dyDescent="0.25">
      <c r="M1935" s="514"/>
      <c r="Q1935" s="293"/>
      <c r="R1935" s="316"/>
      <c r="S1935" s="355"/>
    </row>
    <row r="1936" spans="13:19" x14ac:dyDescent="0.25">
      <c r="M1936" s="514"/>
      <c r="Q1936" s="293"/>
      <c r="R1936" s="316"/>
      <c r="S1936" s="355"/>
    </row>
    <row r="1937" spans="13:19" x14ac:dyDescent="0.25">
      <c r="M1937" s="514"/>
      <c r="Q1937" s="293"/>
      <c r="R1937" s="316"/>
      <c r="S1937" s="355"/>
    </row>
    <row r="1938" spans="13:19" x14ac:dyDescent="0.25">
      <c r="M1938" s="514"/>
      <c r="Q1938" s="293"/>
      <c r="R1938" s="316"/>
      <c r="S1938" s="355"/>
    </row>
    <row r="1939" spans="13:19" x14ac:dyDescent="0.25">
      <c r="M1939" s="514"/>
      <c r="Q1939" s="293"/>
      <c r="R1939" s="316"/>
      <c r="S1939" s="355"/>
    </row>
    <row r="1940" spans="13:19" x14ac:dyDescent="0.25">
      <c r="M1940" s="514"/>
      <c r="Q1940" s="293"/>
      <c r="R1940" s="316"/>
      <c r="S1940" s="355"/>
    </row>
    <row r="1941" spans="13:19" x14ac:dyDescent="0.25">
      <c r="M1941" s="514"/>
      <c r="Q1941" s="293"/>
      <c r="R1941" s="316"/>
      <c r="S1941" s="355"/>
    </row>
    <row r="1942" spans="13:19" x14ac:dyDescent="0.25">
      <c r="M1942" s="514"/>
      <c r="Q1942" s="293"/>
      <c r="R1942" s="316"/>
      <c r="S1942" s="355"/>
    </row>
    <row r="1943" spans="13:19" x14ac:dyDescent="0.25">
      <c r="M1943" s="514"/>
      <c r="Q1943" s="293"/>
      <c r="R1943" s="316"/>
      <c r="S1943" s="355"/>
    </row>
    <row r="1944" spans="13:19" x14ac:dyDescent="0.25">
      <c r="M1944" s="514"/>
      <c r="Q1944" s="293"/>
      <c r="R1944" s="316"/>
      <c r="S1944" s="355"/>
    </row>
    <row r="1945" spans="13:19" x14ac:dyDescent="0.25">
      <c r="M1945" s="514"/>
      <c r="Q1945" s="293"/>
      <c r="R1945" s="316"/>
      <c r="S1945" s="355"/>
    </row>
    <row r="1946" spans="13:19" x14ac:dyDescent="0.25">
      <c r="M1946" s="514"/>
      <c r="Q1946" s="293"/>
      <c r="R1946" s="316"/>
      <c r="S1946" s="355"/>
    </row>
    <row r="1947" spans="13:19" x14ac:dyDescent="0.25">
      <c r="M1947" s="514"/>
      <c r="Q1947" s="293"/>
      <c r="R1947" s="316"/>
      <c r="S1947" s="355"/>
    </row>
    <row r="1948" spans="13:19" x14ac:dyDescent="0.25">
      <c r="M1948" s="514"/>
      <c r="Q1948" s="293"/>
      <c r="R1948" s="316"/>
      <c r="S1948" s="355"/>
    </row>
    <row r="1949" spans="13:19" x14ac:dyDescent="0.25">
      <c r="M1949" s="514"/>
      <c r="Q1949" s="293"/>
      <c r="R1949" s="316"/>
      <c r="S1949" s="355"/>
    </row>
    <row r="1950" spans="13:19" x14ac:dyDescent="0.25">
      <c r="M1950" s="514"/>
      <c r="Q1950" s="293"/>
      <c r="R1950" s="316"/>
      <c r="S1950" s="355"/>
    </row>
    <row r="1951" spans="13:19" x14ac:dyDescent="0.25">
      <c r="M1951" s="514"/>
      <c r="Q1951" s="293"/>
      <c r="R1951" s="316"/>
      <c r="S1951" s="355"/>
    </row>
    <row r="1952" spans="13:19" x14ac:dyDescent="0.25">
      <c r="M1952" s="514"/>
      <c r="Q1952" s="293"/>
      <c r="R1952" s="316"/>
      <c r="S1952" s="355"/>
    </row>
    <row r="1953" spans="13:19" x14ac:dyDescent="0.25">
      <c r="M1953" s="514"/>
      <c r="Q1953" s="293"/>
      <c r="R1953" s="316"/>
      <c r="S1953" s="355"/>
    </row>
    <row r="1954" spans="13:19" x14ac:dyDescent="0.25">
      <c r="M1954" s="514"/>
      <c r="Q1954" s="293"/>
      <c r="R1954" s="316"/>
      <c r="S1954" s="355"/>
    </row>
    <row r="1955" spans="13:19" x14ac:dyDescent="0.25">
      <c r="M1955" s="514"/>
      <c r="Q1955" s="293"/>
      <c r="R1955" s="316"/>
      <c r="S1955" s="355"/>
    </row>
    <row r="1956" spans="13:19" x14ac:dyDescent="0.25">
      <c r="M1956" s="514"/>
      <c r="Q1956" s="293"/>
      <c r="R1956" s="316"/>
      <c r="S1956" s="355"/>
    </row>
    <row r="1957" spans="13:19" x14ac:dyDescent="0.25">
      <c r="M1957" s="514"/>
      <c r="Q1957" s="293"/>
      <c r="R1957" s="316"/>
      <c r="S1957" s="355"/>
    </row>
    <row r="1958" spans="13:19" x14ac:dyDescent="0.25">
      <c r="M1958" s="514"/>
      <c r="Q1958" s="293"/>
      <c r="R1958" s="316"/>
      <c r="S1958" s="355"/>
    </row>
    <row r="1959" spans="13:19" x14ac:dyDescent="0.25">
      <c r="M1959" s="514"/>
      <c r="Q1959" s="293"/>
      <c r="R1959" s="316"/>
      <c r="S1959" s="355"/>
    </row>
    <row r="1960" spans="13:19" x14ac:dyDescent="0.25">
      <c r="M1960" s="514"/>
      <c r="Q1960" s="293"/>
      <c r="R1960" s="316"/>
      <c r="S1960" s="355"/>
    </row>
    <row r="1961" spans="13:19" x14ac:dyDescent="0.25">
      <c r="M1961" s="514"/>
      <c r="Q1961" s="293"/>
      <c r="R1961" s="316"/>
      <c r="S1961" s="355"/>
    </row>
    <row r="1962" spans="13:19" x14ac:dyDescent="0.25">
      <c r="M1962" s="514"/>
      <c r="Q1962" s="293"/>
      <c r="R1962" s="316"/>
      <c r="S1962" s="355"/>
    </row>
    <row r="1963" spans="13:19" x14ac:dyDescent="0.25">
      <c r="M1963" s="514"/>
      <c r="Q1963" s="293"/>
      <c r="R1963" s="316"/>
      <c r="S1963" s="355"/>
    </row>
    <row r="1964" spans="13:19" x14ac:dyDescent="0.25">
      <c r="M1964" s="514"/>
      <c r="Q1964" s="293"/>
      <c r="R1964" s="316"/>
      <c r="S1964" s="355"/>
    </row>
    <row r="1965" spans="13:19" x14ac:dyDescent="0.25">
      <c r="M1965" s="514"/>
      <c r="Q1965" s="293"/>
      <c r="R1965" s="316"/>
      <c r="S1965" s="355"/>
    </row>
    <row r="1966" spans="13:19" x14ac:dyDescent="0.25">
      <c r="M1966" s="514"/>
      <c r="Q1966" s="293"/>
      <c r="R1966" s="316"/>
      <c r="S1966" s="355"/>
    </row>
    <row r="1967" spans="13:19" x14ac:dyDescent="0.25">
      <c r="M1967" s="514"/>
      <c r="Q1967" s="293"/>
      <c r="R1967" s="316"/>
      <c r="S1967" s="355"/>
    </row>
    <row r="1968" spans="13:19" x14ac:dyDescent="0.25">
      <c r="M1968" s="514"/>
      <c r="Q1968" s="293"/>
      <c r="R1968" s="316"/>
      <c r="S1968" s="355"/>
    </row>
    <row r="1969" spans="13:19" x14ac:dyDescent="0.25">
      <c r="M1969" s="514"/>
      <c r="Q1969" s="293"/>
      <c r="R1969" s="316"/>
      <c r="S1969" s="355"/>
    </row>
    <row r="1970" spans="13:19" x14ac:dyDescent="0.25">
      <c r="M1970" s="514"/>
      <c r="Q1970" s="293"/>
      <c r="R1970" s="316"/>
      <c r="S1970" s="355"/>
    </row>
    <row r="1971" spans="13:19" x14ac:dyDescent="0.25">
      <c r="M1971" s="514"/>
      <c r="Q1971" s="293"/>
      <c r="R1971" s="316"/>
      <c r="S1971" s="355"/>
    </row>
    <row r="1972" spans="13:19" x14ac:dyDescent="0.25">
      <c r="M1972" s="514"/>
      <c r="Q1972" s="293"/>
      <c r="R1972" s="316"/>
      <c r="S1972" s="355"/>
    </row>
    <row r="1973" spans="13:19" x14ac:dyDescent="0.25">
      <c r="M1973" s="514"/>
      <c r="Q1973" s="293"/>
      <c r="R1973" s="316"/>
      <c r="S1973" s="355"/>
    </row>
    <row r="1974" spans="13:19" x14ac:dyDescent="0.25">
      <c r="M1974" s="514"/>
      <c r="Q1974" s="293"/>
      <c r="R1974" s="316"/>
      <c r="S1974" s="355"/>
    </row>
    <row r="1975" spans="13:19" x14ac:dyDescent="0.25">
      <c r="M1975" s="514"/>
      <c r="Q1975" s="293"/>
      <c r="R1975" s="316"/>
      <c r="S1975" s="355"/>
    </row>
    <row r="1976" spans="13:19" x14ac:dyDescent="0.25">
      <c r="M1976" s="514"/>
      <c r="Q1976" s="293"/>
      <c r="R1976" s="316"/>
      <c r="S1976" s="355"/>
    </row>
    <row r="1977" spans="13:19" x14ac:dyDescent="0.25">
      <c r="M1977" s="514"/>
      <c r="Q1977" s="293"/>
      <c r="R1977" s="316"/>
      <c r="S1977" s="355"/>
    </row>
    <row r="1978" spans="13:19" x14ac:dyDescent="0.25">
      <c r="M1978" s="514"/>
      <c r="Q1978" s="293"/>
      <c r="R1978" s="316"/>
      <c r="S1978" s="355"/>
    </row>
    <row r="1979" spans="13:19" x14ac:dyDescent="0.25">
      <c r="M1979" s="514"/>
      <c r="Q1979" s="293"/>
      <c r="R1979" s="316"/>
      <c r="S1979" s="355"/>
    </row>
    <row r="1980" spans="13:19" x14ac:dyDescent="0.25">
      <c r="M1980" s="514"/>
      <c r="Q1980" s="293"/>
      <c r="R1980" s="316"/>
      <c r="S1980" s="355"/>
    </row>
    <row r="1981" spans="13:19" x14ac:dyDescent="0.25">
      <c r="M1981" s="514"/>
      <c r="Q1981" s="293"/>
      <c r="R1981" s="316"/>
      <c r="S1981" s="355"/>
    </row>
    <row r="1982" spans="13:19" x14ac:dyDescent="0.25">
      <c r="M1982" s="514"/>
      <c r="Q1982" s="293"/>
      <c r="R1982" s="316"/>
      <c r="S1982" s="355"/>
    </row>
    <row r="1983" spans="13:19" x14ac:dyDescent="0.25">
      <c r="M1983" s="514"/>
      <c r="Q1983" s="293"/>
      <c r="R1983" s="316"/>
      <c r="S1983" s="355"/>
    </row>
    <row r="1984" spans="13:19" x14ac:dyDescent="0.25">
      <c r="M1984" s="514"/>
      <c r="Q1984" s="293"/>
      <c r="R1984" s="316"/>
      <c r="S1984" s="355"/>
    </row>
    <row r="1985" spans="13:19" x14ac:dyDescent="0.25">
      <c r="M1985" s="514"/>
      <c r="Q1985" s="293"/>
      <c r="R1985" s="316"/>
      <c r="S1985" s="355"/>
    </row>
    <row r="1986" spans="13:19" x14ac:dyDescent="0.25">
      <c r="M1986" s="514"/>
      <c r="Q1986" s="293"/>
      <c r="R1986" s="316"/>
      <c r="S1986" s="355"/>
    </row>
    <row r="1987" spans="13:19" x14ac:dyDescent="0.25">
      <c r="M1987" s="514"/>
      <c r="Q1987" s="293"/>
      <c r="R1987" s="316"/>
      <c r="S1987" s="355"/>
    </row>
    <row r="1988" spans="13:19" x14ac:dyDescent="0.25">
      <c r="M1988" s="514"/>
      <c r="Q1988" s="293"/>
      <c r="R1988" s="316"/>
      <c r="S1988" s="355"/>
    </row>
    <row r="1989" spans="13:19" x14ac:dyDescent="0.25">
      <c r="M1989" s="514"/>
      <c r="Q1989" s="293"/>
      <c r="R1989" s="316"/>
      <c r="S1989" s="355"/>
    </row>
    <row r="1990" spans="13:19" x14ac:dyDescent="0.25">
      <c r="M1990" s="514"/>
      <c r="Q1990" s="293"/>
      <c r="R1990" s="316"/>
      <c r="S1990" s="355"/>
    </row>
    <row r="1991" spans="13:19" x14ac:dyDescent="0.25">
      <c r="M1991" s="514"/>
      <c r="Q1991" s="293"/>
      <c r="R1991" s="316"/>
      <c r="S1991" s="355"/>
    </row>
    <row r="1992" spans="13:19" x14ac:dyDescent="0.25">
      <c r="M1992" s="514"/>
      <c r="Q1992" s="293"/>
      <c r="R1992" s="316"/>
      <c r="S1992" s="355"/>
    </row>
    <row r="1993" spans="13:19" x14ac:dyDescent="0.25">
      <c r="M1993" s="514"/>
      <c r="Q1993" s="293"/>
      <c r="R1993" s="316"/>
      <c r="S1993" s="355"/>
    </row>
    <row r="1994" spans="13:19" x14ac:dyDescent="0.25">
      <c r="M1994" s="514"/>
      <c r="Q1994" s="293"/>
      <c r="R1994" s="316"/>
      <c r="S1994" s="355"/>
    </row>
    <row r="1995" spans="13:19" x14ac:dyDescent="0.25">
      <c r="M1995" s="514"/>
      <c r="Q1995" s="293"/>
      <c r="R1995" s="316"/>
      <c r="S1995" s="355"/>
    </row>
    <row r="1996" spans="13:19" x14ac:dyDescent="0.25">
      <c r="M1996" s="514"/>
      <c r="Q1996" s="293"/>
      <c r="R1996" s="316"/>
      <c r="S1996" s="355"/>
    </row>
    <row r="1997" spans="13:19" x14ac:dyDescent="0.25">
      <c r="M1997" s="514"/>
      <c r="Q1997" s="293"/>
      <c r="R1997" s="316"/>
      <c r="S1997" s="355"/>
    </row>
    <row r="1998" spans="13:19" x14ac:dyDescent="0.25">
      <c r="M1998" s="514"/>
      <c r="Q1998" s="293"/>
      <c r="R1998" s="316"/>
      <c r="S1998" s="355"/>
    </row>
    <row r="1999" spans="13:19" x14ac:dyDescent="0.25">
      <c r="M1999" s="514"/>
      <c r="Q1999" s="293"/>
      <c r="R1999" s="316"/>
      <c r="S1999" s="355"/>
    </row>
    <row r="2000" spans="13:19" x14ac:dyDescent="0.25">
      <c r="M2000" s="514"/>
      <c r="Q2000" s="293"/>
      <c r="R2000" s="316"/>
      <c r="S2000" s="355"/>
    </row>
    <row r="2001" spans="13:19" x14ac:dyDescent="0.25">
      <c r="M2001" s="514"/>
      <c r="Q2001" s="293"/>
      <c r="R2001" s="316"/>
      <c r="S2001" s="355"/>
    </row>
    <row r="2002" spans="13:19" x14ac:dyDescent="0.25">
      <c r="M2002" s="514"/>
      <c r="Q2002" s="293"/>
      <c r="R2002" s="316"/>
      <c r="S2002" s="355"/>
    </row>
    <row r="2003" spans="13:19" x14ac:dyDescent="0.25">
      <c r="M2003" s="514"/>
      <c r="Q2003" s="293"/>
      <c r="R2003" s="316"/>
      <c r="S2003" s="355"/>
    </row>
    <row r="2004" spans="13:19" x14ac:dyDescent="0.25">
      <c r="M2004" s="514"/>
      <c r="Q2004" s="293"/>
      <c r="R2004" s="316"/>
      <c r="S2004" s="355"/>
    </row>
    <row r="2005" spans="13:19" x14ac:dyDescent="0.25">
      <c r="M2005" s="514"/>
      <c r="Q2005" s="293"/>
      <c r="R2005" s="316"/>
      <c r="S2005" s="355"/>
    </row>
    <row r="2006" spans="13:19" x14ac:dyDescent="0.25">
      <c r="M2006" s="514"/>
      <c r="Q2006" s="293"/>
      <c r="R2006" s="316"/>
      <c r="S2006" s="355"/>
    </row>
    <row r="2007" spans="13:19" x14ac:dyDescent="0.25">
      <c r="M2007" s="514"/>
      <c r="Q2007" s="293"/>
      <c r="R2007" s="316"/>
      <c r="S2007" s="355"/>
    </row>
    <row r="2008" spans="13:19" x14ac:dyDescent="0.25">
      <c r="M2008" s="514"/>
      <c r="Q2008" s="293"/>
      <c r="R2008" s="316"/>
      <c r="S2008" s="355"/>
    </row>
    <row r="2009" spans="13:19" x14ac:dyDescent="0.25">
      <c r="M2009" s="514"/>
      <c r="Q2009" s="293"/>
      <c r="R2009" s="316"/>
      <c r="S2009" s="355"/>
    </row>
    <row r="2010" spans="13:19" x14ac:dyDescent="0.25">
      <c r="M2010" s="514"/>
      <c r="Q2010" s="293"/>
      <c r="R2010" s="316"/>
      <c r="S2010" s="355"/>
    </row>
    <row r="2011" spans="13:19" x14ac:dyDescent="0.25">
      <c r="M2011" s="514"/>
      <c r="Q2011" s="293"/>
      <c r="R2011" s="316"/>
      <c r="S2011" s="355"/>
    </row>
    <row r="2012" spans="13:19" x14ac:dyDescent="0.25">
      <c r="M2012" s="514"/>
      <c r="Q2012" s="293"/>
      <c r="R2012" s="316"/>
      <c r="S2012" s="355"/>
    </row>
    <row r="2013" spans="13:19" x14ac:dyDescent="0.25">
      <c r="M2013" s="514"/>
      <c r="Q2013" s="293"/>
      <c r="R2013" s="316"/>
      <c r="S2013" s="355"/>
    </row>
    <row r="2014" spans="13:19" x14ac:dyDescent="0.25">
      <c r="M2014" s="514"/>
      <c r="Q2014" s="293"/>
      <c r="R2014" s="316"/>
      <c r="S2014" s="355"/>
    </row>
    <row r="2015" spans="13:19" x14ac:dyDescent="0.25">
      <c r="M2015" s="514"/>
      <c r="Q2015" s="293"/>
      <c r="R2015" s="316"/>
      <c r="S2015" s="355"/>
    </row>
    <row r="2016" spans="13:19" x14ac:dyDescent="0.25">
      <c r="M2016" s="514"/>
      <c r="Q2016" s="293"/>
      <c r="R2016" s="316"/>
      <c r="S2016" s="355"/>
    </row>
    <row r="2017" spans="13:19" x14ac:dyDescent="0.25">
      <c r="M2017" s="514"/>
      <c r="Q2017" s="293"/>
      <c r="R2017" s="316"/>
      <c r="S2017" s="355"/>
    </row>
    <row r="2018" spans="13:19" x14ac:dyDescent="0.25">
      <c r="M2018" s="514"/>
      <c r="Q2018" s="293"/>
      <c r="R2018" s="316"/>
      <c r="S2018" s="355"/>
    </row>
    <row r="2019" spans="13:19" x14ac:dyDescent="0.25">
      <c r="M2019" s="514"/>
      <c r="Q2019" s="293"/>
      <c r="R2019" s="316"/>
      <c r="S2019" s="355"/>
    </row>
    <row r="2020" spans="13:19" x14ac:dyDescent="0.25">
      <c r="M2020" s="514"/>
      <c r="Q2020" s="293"/>
      <c r="R2020" s="316"/>
      <c r="S2020" s="355"/>
    </row>
    <row r="2021" spans="13:19" x14ac:dyDescent="0.25">
      <c r="M2021" s="514"/>
      <c r="Q2021" s="293"/>
      <c r="R2021" s="316"/>
      <c r="S2021" s="355"/>
    </row>
    <row r="2022" spans="13:19" x14ac:dyDescent="0.25">
      <c r="M2022" s="514"/>
      <c r="Q2022" s="293"/>
      <c r="R2022" s="316"/>
      <c r="S2022" s="355"/>
    </row>
    <row r="2023" spans="13:19" x14ac:dyDescent="0.25">
      <c r="M2023" s="514"/>
      <c r="Q2023" s="293"/>
      <c r="R2023" s="316"/>
      <c r="S2023" s="355"/>
    </row>
    <row r="2024" spans="13:19" x14ac:dyDescent="0.25">
      <c r="M2024" s="514"/>
      <c r="Q2024" s="293"/>
      <c r="R2024" s="316"/>
      <c r="S2024" s="355"/>
    </row>
    <row r="2025" spans="13:19" x14ac:dyDescent="0.25">
      <c r="M2025" s="514"/>
      <c r="Q2025" s="293"/>
      <c r="R2025" s="316"/>
      <c r="S2025" s="355"/>
    </row>
    <row r="2026" spans="13:19" x14ac:dyDescent="0.25">
      <c r="M2026" s="514"/>
      <c r="Q2026" s="293"/>
      <c r="R2026" s="316"/>
      <c r="S2026" s="355"/>
    </row>
    <row r="2027" spans="13:19" x14ac:dyDescent="0.25">
      <c r="M2027" s="514"/>
      <c r="Q2027" s="293"/>
      <c r="R2027" s="316"/>
      <c r="S2027" s="355"/>
    </row>
    <row r="2028" spans="13:19" x14ac:dyDescent="0.25">
      <c r="M2028" s="514"/>
      <c r="Q2028" s="293"/>
      <c r="R2028" s="316"/>
      <c r="S2028" s="355"/>
    </row>
    <row r="2029" spans="13:19" x14ac:dyDescent="0.25">
      <c r="M2029" s="514"/>
      <c r="Q2029" s="293"/>
      <c r="R2029" s="316"/>
      <c r="S2029" s="355"/>
    </row>
    <row r="2030" spans="13:19" x14ac:dyDescent="0.25">
      <c r="M2030" s="514"/>
      <c r="Q2030" s="293"/>
      <c r="R2030" s="316"/>
      <c r="S2030" s="355"/>
    </row>
    <row r="2031" spans="13:19" x14ac:dyDescent="0.25">
      <c r="M2031" s="514"/>
      <c r="Q2031" s="293"/>
      <c r="R2031" s="316"/>
      <c r="S2031" s="355"/>
    </row>
    <row r="2032" spans="13:19" x14ac:dyDescent="0.25">
      <c r="M2032" s="514"/>
      <c r="Q2032" s="293"/>
      <c r="R2032" s="316"/>
      <c r="S2032" s="355"/>
    </row>
    <row r="2033" spans="13:19" x14ac:dyDescent="0.25">
      <c r="M2033" s="514"/>
      <c r="Q2033" s="293"/>
      <c r="R2033" s="316"/>
      <c r="S2033" s="355"/>
    </row>
    <row r="2034" spans="13:19" x14ac:dyDescent="0.25">
      <c r="M2034" s="514"/>
      <c r="Q2034" s="293"/>
      <c r="R2034" s="316"/>
      <c r="S2034" s="355"/>
    </row>
    <row r="2035" spans="13:19" x14ac:dyDescent="0.25">
      <c r="M2035" s="514"/>
      <c r="Q2035" s="293"/>
      <c r="R2035" s="316"/>
      <c r="S2035" s="355"/>
    </row>
    <row r="2036" spans="13:19" x14ac:dyDescent="0.25">
      <c r="M2036" s="514"/>
      <c r="Q2036" s="293"/>
      <c r="R2036" s="316"/>
      <c r="S2036" s="355"/>
    </row>
    <row r="2037" spans="13:19" x14ac:dyDescent="0.25">
      <c r="M2037" s="514"/>
      <c r="Q2037" s="293"/>
      <c r="R2037" s="316"/>
      <c r="S2037" s="355"/>
    </row>
    <row r="2038" spans="13:19" x14ac:dyDescent="0.25">
      <c r="M2038" s="514"/>
      <c r="Q2038" s="293"/>
      <c r="R2038" s="316"/>
      <c r="S2038" s="355"/>
    </row>
    <row r="2039" spans="13:19" x14ac:dyDescent="0.25">
      <c r="M2039" s="514"/>
      <c r="Q2039" s="293"/>
      <c r="R2039" s="316"/>
      <c r="S2039" s="355"/>
    </row>
    <row r="2040" spans="13:19" x14ac:dyDescent="0.25">
      <c r="M2040" s="514"/>
      <c r="Q2040" s="293"/>
      <c r="R2040" s="316"/>
      <c r="S2040" s="355"/>
    </row>
    <row r="2041" spans="13:19" x14ac:dyDescent="0.25">
      <c r="M2041" s="514"/>
      <c r="Q2041" s="293"/>
      <c r="R2041" s="316"/>
      <c r="S2041" s="355"/>
    </row>
    <row r="2042" spans="13:19" x14ac:dyDescent="0.25">
      <c r="M2042" s="514"/>
      <c r="Q2042" s="293"/>
      <c r="R2042" s="316"/>
      <c r="S2042" s="355"/>
    </row>
    <row r="2043" spans="13:19" x14ac:dyDescent="0.25">
      <c r="M2043" s="514"/>
      <c r="Q2043" s="293"/>
      <c r="R2043" s="316"/>
      <c r="S2043" s="355"/>
    </row>
    <row r="2044" spans="13:19" x14ac:dyDescent="0.25">
      <c r="M2044" s="514"/>
      <c r="Q2044" s="293"/>
      <c r="R2044" s="316"/>
      <c r="S2044" s="355"/>
    </row>
    <row r="2045" spans="13:19" x14ac:dyDescent="0.25">
      <c r="M2045" s="514"/>
      <c r="Q2045" s="293"/>
      <c r="R2045" s="316"/>
      <c r="S2045" s="355"/>
    </row>
    <row r="2046" spans="13:19" x14ac:dyDescent="0.25">
      <c r="M2046" s="514"/>
      <c r="Q2046" s="293"/>
      <c r="R2046" s="316"/>
      <c r="S2046" s="355"/>
    </row>
    <row r="2047" spans="13:19" x14ac:dyDescent="0.25">
      <c r="M2047" s="514"/>
      <c r="Q2047" s="293"/>
      <c r="R2047" s="316"/>
      <c r="S2047" s="355"/>
    </row>
    <row r="2048" spans="13:19" x14ac:dyDescent="0.25">
      <c r="M2048" s="514"/>
      <c r="Q2048" s="293"/>
      <c r="R2048" s="316"/>
      <c r="S2048" s="355"/>
    </row>
    <row r="2049" spans="13:19" x14ac:dyDescent="0.25">
      <c r="M2049" s="514"/>
      <c r="Q2049" s="293"/>
      <c r="R2049" s="316"/>
      <c r="S2049" s="355"/>
    </row>
    <row r="2050" spans="13:19" x14ac:dyDescent="0.25">
      <c r="M2050" s="514"/>
      <c r="Q2050" s="293"/>
      <c r="R2050" s="316"/>
      <c r="S2050" s="355"/>
    </row>
    <row r="2051" spans="13:19" x14ac:dyDescent="0.25">
      <c r="M2051" s="514"/>
      <c r="Q2051" s="293"/>
      <c r="R2051" s="316"/>
      <c r="S2051" s="355"/>
    </row>
    <row r="2052" spans="13:19" x14ac:dyDescent="0.25">
      <c r="M2052" s="514"/>
      <c r="Q2052" s="293"/>
      <c r="R2052" s="316"/>
      <c r="S2052" s="355"/>
    </row>
    <row r="2053" spans="13:19" x14ac:dyDescent="0.25">
      <c r="M2053" s="514"/>
      <c r="Q2053" s="293"/>
      <c r="R2053" s="316"/>
      <c r="S2053" s="355"/>
    </row>
    <row r="2054" spans="13:19" x14ac:dyDescent="0.25">
      <c r="M2054" s="514"/>
      <c r="Q2054" s="293"/>
      <c r="R2054" s="316"/>
      <c r="S2054" s="355"/>
    </row>
    <row r="2055" spans="13:19" x14ac:dyDescent="0.25">
      <c r="M2055" s="514"/>
      <c r="Q2055" s="293"/>
      <c r="R2055" s="316"/>
      <c r="S2055" s="355"/>
    </row>
    <row r="2056" spans="13:19" x14ac:dyDescent="0.25">
      <c r="M2056" s="514"/>
      <c r="Q2056" s="293"/>
      <c r="R2056" s="316"/>
      <c r="S2056" s="355"/>
    </row>
    <row r="2057" spans="13:19" x14ac:dyDescent="0.25">
      <c r="M2057" s="514"/>
      <c r="Q2057" s="293"/>
      <c r="R2057" s="316"/>
      <c r="S2057" s="355"/>
    </row>
    <row r="2058" spans="13:19" x14ac:dyDescent="0.25">
      <c r="M2058" s="514"/>
      <c r="Q2058" s="293"/>
      <c r="R2058" s="316"/>
      <c r="S2058" s="355"/>
    </row>
    <row r="2059" spans="13:19" x14ac:dyDescent="0.25">
      <c r="M2059" s="514"/>
      <c r="Q2059" s="293"/>
      <c r="R2059" s="316"/>
      <c r="S2059" s="355"/>
    </row>
    <row r="2060" spans="13:19" x14ac:dyDescent="0.25">
      <c r="M2060" s="514"/>
      <c r="Q2060" s="293"/>
      <c r="R2060" s="316"/>
      <c r="S2060" s="355"/>
    </row>
    <row r="2061" spans="13:19" x14ac:dyDescent="0.25">
      <c r="M2061" s="514"/>
      <c r="Q2061" s="293"/>
      <c r="R2061" s="316"/>
      <c r="S2061" s="355"/>
    </row>
    <row r="2062" spans="13:19" x14ac:dyDescent="0.25">
      <c r="M2062" s="514"/>
      <c r="Q2062" s="293"/>
      <c r="R2062" s="316"/>
      <c r="S2062" s="355"/>
    </row>
    <row r="2063" spans="13:19" x14ac:dyDescent="0.25">
      <c r="M2063" s="514"/>
      <c r="Q2063" s="293"/>
      <c r="R2063" s="316"/>
      <c r="S2063" s="355"/>
    </row>
    <row r="2064" spans="13:19" x14ac:dyDescent="0.25">
      <c r="M2064" s="514"/>
      <c r="Q2064" s="293"/>
      <c r="R2064" s="316"/>
      <c r="S2064" s="355"/>
    </row>
    <row r="2065" spans="13:19" x14ac:dyDescent="0.25">
      <c r="M2065" s="514"/>
      <c r="Q2065" s="293"/>
      <c r="R2065" s="316"/>
      <c r="S2065" s="355"/>
    </row>
    <row r="2066" spans="13:19" x14ac:dyDescent="0.25">
      <c r="M2066" s="514"/>
      <c r="Q2066" s="293"/>
      <c r="R2066" s="316"/>
      <c r="S2066" s="355"/>
    </row>
    <row r="2067" spans="13:19" x14ac:dyDescent="0.25">
      <c r="M2067" s="514"/>
      <c r="Q2067" s="293"/>
      <c r="R2067" s="316"/>
      <c r="S2067" s="355"/>
    </row>
    <row r="2068" spans="13:19" x14ac:dyDescent="0.25">
      <c r="M2068" s="514"/>
      <c r="Q2068" s="293"/>
      <c r="R2068" s="316"/>
      <c r="S2068" s="355"/>
    </row>
    <row r="2069" spans="13:19" x14ac:dyDescent="0.25">
      <c r="M2069" s="514"/>
      <c r="Q2069" s="293"/>
      <c r="R2069" s="316"/>
      <c r="S2069" s="355"/>
    </row>
    <row r="2070" spans="13:19" x14ac:dyDescent="0.25">
      <c r="M2070" s="514"/>
      <c r="Q2070" s="293"/>
      <c r="R2070" s="316"/>
      <c r="S2070" s="355"/>
    </row>
    <row r="2071" spans="13:19" x14ac:dyDescent="0.25">
      <c r="M2071" s="514"/>
      <c r="Q2071" s="293"/>
      <c r="R2071" s="316"/>
      <c r="S2071" s="355"/>
    </row>
    <row r="2072" spans="13:19" x14ac:dyDescent="0.25">
      <c r="M2072" s="514"/>
      <c r="Q2072" s="293"/>
      <c r="R2072" s="316"/>
      <c r="S2072" s="355"/>
    </row>
    <row r="2073" spans="13:19" x14ac:dyDescent="0.25">
      <c r="M2073" s="514"/>
      <c r="Q2073" s="293"/>
      <c r="R2073" s="316"/>
      <c r="S2073" s="355"/>
    </row>
    <row r="2074" spans="13:19" x14ac:dyDescent="0.25">
      <c r="M2074" s="514"/>
      <c r="Q2074" s="293"/>
      <c r="R2074" s="316"/>
      <c r="S2074" s="355"/>
    </row>
    <row r="2075" spans="13:19" x14ac:dyDescent="0.25">
      <c r="M2075" s="514"/>
      <c r="Q2075" s="293"/>
      <c r="R2075" s="316"/>
      <c r="S2075" s="355"/>
    </row>
    <row r="2076" spans="13:19" x14ac:dyDescent="0.25">
      <c r="M2076" s="514"/>
      <c r="Q2076" s="293"/>
      <c r="R2076" s="316"/>
      <c r="S2076" s="355"/>
    </row>
    <row r="2077" spans="13:19" x14ac:dyDescent="0.25">
      <c r="M2077" s="514"/>
      <c r="Q2077" s="293"/>
      <c r="R2077" s="316"/>
      <c r="S2077" s="355"/>
    </row>
    <row r="2078" spans="13:19" x14ac:dyDescent="0.25">
      <c r="M2078" s="514"/>
      <c r="Q2078" s="293"/>
      <c r="R2078" s="316"/>
      <c r="S2078" s="355"/>
    </row>
    <row r="2079" spans="13:19" x14ac:dyDescent="0.25">
      <c r="M2079" s="514"/>
      <c r="Q2079" s="293"/>
      <c r="R2079" s="316"/>
      <c r="S2079" s="355"/>
    </row>
    <row r="2080" spans="13:19" x14ac:dyDescent="0.25">
      <c r="M2080" s="514"/>
      <c r="Q2080" s="293"/>
      <c r="R2080" s="316"/>
      <c r="S2080" s="355"/>
    </row>
    <row r="2081" spans="13:19" x14ac:dyDescent="0.25">
      <c r="M2081" s="514"/>
      <c r="Q2081" s="293"/>
      <c r="R2081" s="316"/>
      <c r="S2081" s="355"/>
    </row>
    <row r="2082" spans="13:19" x14ac:dyDescent="0.25">
      <c r="M2082" s="514"/>
      <c r="Q2082" s="293"/>
      <c r="R2082" s="316"/>
      <c r="S2082" s="355"/>
    </row>
    <row r="2083" spans="13:19" x14ac:dyDescent="0.25">
      <c r="M2083" s="514"/>
      <c r="Q2083" s="293"/>
      <c r="R2083" s="316"/>
      <c r="S2083" s="355"/>
    </row>
    <row r="2084" spans="13:19" x14ac:dyDescent="0.25">
      <c r="M2084" s="514"/>
      <c r="Q2084" s="293"/>
      <c r="R2084" s="316"/>
      <c r="S2084" s="355"/>
    </row>
    <row r="2085" spans="13:19" x14ac:dyDescent="0.25">
      <c r="M2085" s="514"/>
      <c r="Q2085" s="293"/>
      <c r="R2085" s="316"/>
      <c r="S2085" s="355"/>
    </row>
    <row r="2086" spans="13:19" x14ac:dyDescent="0.25">
      <c r="M2086" s="514"/>
      <c r="Q2086" s="293"/>
      <c r="R2086" s="316"/>
      <c r="S2086" s="355"/>
    </row>
    <row r="2087" spans="13:19" x14ac:dyDescent="0.25">
      <c r="M2087" s="514"/>
      <c r="Q2087" s="293"/>
      <c r="R2087" s="316"/>
      <c r="S2087" s="355"/>
    </row>
    <row r="2088" spans="13:19" x14ac:dyDescent="0.25">
      <c r="M2088" s="514"/>
      <c r="Q2088" s="293"/>
      <c r="R2088" s="316"/>
      <c r="S2088" s="355"/>
    </row>
    <row r="2089" spans="13:19" x14ac:dyDescent="0.25">
      <c r="M2089" s="514"/>
      <c r="Q2089" s="293"/>
      <c r="R2089" s="316"/>
      <c r="S2089" s="355"/>
    </row>
    <row r="2090" spans="13:19" x14ac:dyDescent="0.25">
      <c r="M2090" s="514"/>
      <c r="Q2090" s="293"/>
      <c r="R2090" s="316"/>
      <c r="S2090" s="355"/>
    </row>
    <row r="2091" spans="13:19" x14ac:dyDescent="0.25">
      <c r="M2091" s="514"/>
      <c r="Q2091" s="293"/>
      <c r="R2091" s="316"/>
      <c r="S2091" s="355"/>
    </row>
    <row r="2092" spans="13:19" x14ac:dyDescent="0.25">
      <c r="M2092" s="514"/>
      <c r="Q2092" s="293"/>
      <c r="R2092" s="316"/>
      <c r="S2092" s="355"/>
    </row>
    <row r="2093" spans="13:19" x14ac:dyDescent="0.25">
      <c r="M2093" s="514"/>
      <c r="Q2093" s="293"/>
      <c r="R2093" s="316"/>
      <c r="S2093" s="355"/>
    </row>
    <row r="2094" spans="13:19" x14ac:dyDescent="0.25">
      <c r="M2094" s="514"/>
      <c r="Q2094" s="293"/>
      <c r="R2094" s="316"/>
      <c r="S2094" s="355"/>
    </row>
    <row r="2095" spans="13:19" x14ac:dyDescent="0.25">
      <c r="M2095" s="514"/>
      <c r="Q2095" s="293"/>
      <c r="R2095" s="316"/>
      <c r="S2095" s="355"/>
    </row>
    <row r="2096" spans="13:19" x14ac:dyDescent="0.25">
      <c r="M2096" s="514"/>
      <c r="Q2096" s="293"/>
      <c r="R2096" s="316"/>
      <c r="S2096" s="355"/>
    </row>
    <row r="2097" spans="13:19" x14ac:dyDescent="0.25">
      <c r="M2097" s="514"/>
      <c r="Q2097" s="293"/>
      <c r="R2097" s="316"/>
      <c r="S2097" s="355"/>
    </row>
    <row r="2098" spans="13:19" x14ac:dyDescent="0.25">
      <c r="M2098" s="514"/>
      <c r="Q2098" s="293"/>
      <c r="R2098" s="316"/>
      <c r="S2098" s="355"/>
    </row>
    <row r="2099" spans="13:19" x14ac:dyDescent="0.25">
      <c r="M2099" s="514"/>
      <c r="Q2099" s="293"/>
      <c r="R2099" s="316"/>
      <c r="S2099" s="355"/>
    </row>
    <row r="2100" spans="13:19" x14ac:dyDescent="0.25">
      <c r="M2100" s="514"/>
      <c r="Q2100" s="293"/>
      <c r="R2100" s="316"/>
      <c r="S2100" s="355"/>
    </row>
    <row r="2101" spans="13:19" x14ac:dyDescent="0.25">
      <c r="M2101" s="514"/>
      <c r="Q2101" s="293"/>
      <c r="R2101" s="316"/>
      <c r="S2101" s="355"/>
    </row>
    <row r="2102" spans="13:19" x14ac:dyDescent="0.25">
      <c r="M2102" s="514"/>
      <c r="Q2102" s="293"/>
      <c r="R2102" s="316"/>
      <c r="S2102" s="355"/>
    </row>
    <row r="2103" spans="13:19" x14ac:dyDescent="0.25">
      <c r="M2103" s="514"/>
      <c r="Q2103" s="293"/>
      <c r="R2103" s="316"/>
      <c r="S2103" s="355"/>
    </row>
    <row r="2104" spans="13:19" x14ac:dyDescent="0.25">
      <c r="M2104" s="514"/>
      <c r="Q2104" s="293"/>
      <c r="R2104" s="316"/>
      <c r="S2104" s="355"/>
    </row>
    <row r="2105" spans="13:19" x14ac:dyDescent="0.25">
      <c r="M2105" s="514"/>
      <c r="Q2105" s="293"/>
      <c r="R2105" s="316"/>
      <c r="S2105" s="355"/>
    </row>
    <row r="2106" spans="13:19" x14ac:dyDescent="0.25">
      <c r="M2106" s="514"/>
      <c r="Q2106" s="293"/>
      <c r="R2106" s="316"/>
      <c r="S2106" s="355"/>
    </row>
    <row r="2107" spans="13:19" x14ac:dyDescent="0.25">
      <c r="M2107" s="514"/>
      <c r="Q2107" s="293"/>
      <c r="R2107" s="316"/>
      <c r="S2107" s="355"/>
    </row>
    <row r="2108" spans="13:19" x14ac:dyDescent="0.25">
      <c r="M2108" s="514"/>
      <c r="Q2108" s="293"/>
      <c r="R2108" s="316"/>
      <c r="S2108" s="355"/>
    </row>
    <row r="2109" spans="13:19" x14ac:dyDescent="0.25">
      <c r="M2109" s="514"/>
      <c r="Q2109" s="293"/>
      <c r="R2109" s="316"/>
      <c r="S2109" s="355"/>
    </row>
    <row r="2110" spans="13:19" x14ac:dyDescent="0.25">
      <c r="M2110" s="514"/>
      <c r="Q2110" s="293"/>
      <c r="R2110" s="316"/>
      <c r="S2110" s="355"/>
    </row>
    <row r="2111" spans="13:19" x14ac:dyDescent="0.25">
      <c r="M2111" s="514"/>
      <c r="Q2111" s="293"/>
      <c r="R2111" s="316"/>
      <c r="S2111" s="355"/>
    </row>
    <row r="2112" spans="13:19" x14ac:dyDescent="0.25">
      <c r="M2112" s="514"/>
      <c r="Q2112" s="293"/>
      <c r="R2112" s="316"/>
      <c r="S2112" s="355"/>
    </row>
    <row r="2113" spans="13:19" x14ac:dyDescent="0.25">
      <c r="M2113" s="514"/>
      <c r="Q2113" s="293"/>
      <c r="R2113" s="316"/>
      <c r="S2113" s="355"/>
    </row>
    <row r="2114" spans="13:19" x14ac:dyDescent="0.25">
      <c r="M2114" s="514"/>
      <c r="Q2114" s="293"/>
      <c r="R2114" s="316"/>
      <c r="S2114" s="355"/>
    </row>
    <row r="2115" spans="13:19" x14ac:dyDescent="0.25">
      <c r="M2115" s="514"/>
      <c r="Q2115" s="293"/>
      <c r="R2115" s="316"/>
      <c r="S2115" s="355"/>
    </row>
    <row r="2116" spans="13:19" x14ac:dyDescent="0.25">
      <c r="M2116" s="514"/>
      <c r="Q2116" s="293"/>
      <c r="R2116" s="316"/>
      <c r="S2116" s="355"/>
    </row>
    <row r="2117" spans="13:19" x14ac:dyDescent="0.25">
      <c r="M2117" s="514"/>
      <c r="Q2117" s="293"/>
      <c r="R2117" s="316"/>
      <c r="S2117" s="355"/>
    </row>
    <row r="2118" spans="13:19" x14ac:dyDescent="0.25">
      <c r="M2118" s="514"/>
      <c r="Q2118" s="293"/>
      <c r="R2118" s="316"/>
      <c r="S2118" s="355"/>
    </row>
    <row r="2119" spans="13:19" x14ac:dyDescent="0.25">
      <c r="M2119" s="514"/>
      <c r="Q2119" s="293"/>
      <c r="R2119" s="316"/>
      <c r="S2119" s="355"/>
    </row>
    <row r="2120" spans="13:19" x14ac:dyDescent="0.25">
      <c r="M2120" s="514"/>
      <c r="Q2120" s="293"/>
      <c r="R2120" s="316"/>
      <c r="S2120" s="355"/>
    </row>
    <row r="2121" spans="13:19" x14ac:dyDescent="0.25">
      <c r="M2121" s="514"/>
      <c r="Q2121" s="293"/>
      <c r="R2121" s="316"/>
      <c r="S2121" s="355"/>
    </row>
    <row r="2122" spans="13:19" x14ac:dyDescent="0.25">
      <c r="M2122" s="514"/>
      <c r="Q2122" s="293"/>
      <c r="R2122" s="316"/>
      <c r="S2122" s="355"/>
    </row>
    <row r="2123" spans="13:19" x14ac:dyDescent="0.25">
      <c r="M2123" s="514"/>
      <c r="Q2123" s="293"/>
      <c r="R2123" s="316"/>
      <c r="S2123" s="355"/>
    </row>
    <row r="2124" spans="13:19" x14ac:dyDescent="0.25">
      <c r="M2124" s="514"/>
      <c r="Q2124" s="293"/>
      <c r="R2124" s="316"/>
      <c r="S2124" s="355"/>
    </row>
    <row r="2125" spans="13:19" x14ac:dyDescent="0.25">
      <c r="M2125" s="514"/>
      <c r="Q2125" s="293"/>
      <c r="R2125" s="316"/>
      <c r="S2125" s="355"/>
    </row>
    <row r="2126" spans="13:19" x14ac:dyDescent="0.25">
      <c r="M2126" s="514"/>
      <c r="Q2126" s="293"/>
      <c r="R2126" s="316"/>
      <c r="S2126" s="355"/>
    </row>
    <row r="2127" spans="13:19" x14ac:dyDescent="0.25">
      <c r="M2127" s="514"/>
      <c r="Q2127" s="293"/>
      <c r="R2127" s="316"/>
      <c r="S2127" s="355"/>
    </row>
    <row r="2128" spans="13:19" x14ac:dyDescent="0.25">
      <c r="M2128" s="514"/>
      <c r="Q2128" s="293"/>
      <c r="R2128" s="316"/>
      <c r="S2128" s="355"/>
    </row>
    <row r="2129" spans="13:19" x14ac:dyDescent="0.25">
      <c r="M2129" s="514"/>
      <c r="Q2129" s="293"/>
      <c r="R2129" s="316"/>
      <c r="S2129" s="355"/>
    </row>
    <row r="2130" spans="13:19" x14ac:dyDescent="0.25">
      <c r="M2130" s="514"/>
      <c r="Q2130" s="293"/>
      <c r="R2130" s="316"/>
      <c r="S2130" s="355"/>
    </row>
    <row r="2131" spans="13:19" x14ac:dyDescent="0.25">
      <c r="M2131" s="514"/>
      <c r="Q2131" s="293"/>
      <c r="R2131" s="316"/>
      <c r="S2131" s="355"/>
    </row>
    <row r="2132" spans="13:19" x14ac:dyDescent="0.25">
      <c r="M2132" s="514"/>
      <c r="Q2132" s="293"/>
      <c r="R2132" s="316"/>
      <c r="S2132" s="355"/>
    </row>
    <row r="2133" spans="13:19" x14ac:dyDescent="0.25">
      <c r="M2133" s="514"/>
      <c r="Q2133" s="293"/>
      <c r="R2133" s="316"/>
      <c r="S2133" s="355"/>
    </row>
    <row r="2134" spans="13:19" x14ac:dyDescent="0.25">
      <c r="M2134" s="514"/>
      <c r="Q2134" s="293"/>
      <c r="R2134" s="316"/>
      <c r="S2134" s="355"/>
    </row>
    <row r="2135" spans="13:19" x14ac:dyDescent="0.25">
      <c r="M2135" s="514"/>
      <c r="Q2135" s="293"/>
      <c r="R2135" s="316"/>
      <c r="S2135" s="355"/>
    </row>
    <row r="2136" spans="13:19" x14ac:dyDescent="0.25">
      <c r="M2136" s="514"/>
      <c r="Q2136" s="293"/>
      <c r="R2136" s="316"/>
      <c r="S2136" s="355"/>
    </row>
    <row r="2137" spans="13:19" x14ac:dyDescent="0.25">
      <c r="M2137" s="514"/>
      <c r="Q2137" s="293"/>
      <c r="R2137" s="316"/>
      <c r="S2137" s="355"/>
    </row>
    <row r="2138" spans="13:19" x14ac:dyDescent="0.25">
      <c r="M2138" s="514"/>
      <c r="Q2138" s="293"/>
      <c r="R2138" s="316"/>
      <c r="S2138" s="355"/>
    </row>
    <row r="2139" spans="13:19" x14ac:dyDescent="0.25">
      <c r="M2139" s="514"/>
      <c r="Q2139" s="293"/>
      <c r="R2139" s="316"/>
      <c r="S2139" s="355"/>
    </row>
    <row r="2140" spans="13:19" x14ac:dyDescent="0.25">
      <c r="M2140" s="514"/>
      <c r="Q2140" s="293"/>
      <c r="R2140" s="316"/>
      <c r="S2140" s="355"/>
    </row>
    <row r="2141" spans="13:19" x14ac:dyDescent="0.25">
      <c r="M2141" s="514"/>
      <c r="Q2141" s="293"/>
      <c r="R2141" s="316"/>
      <c r="S2141" s="355"/>
    </row>
    <row r="2142" spans="13:19" x14ac:dyDescent="0.25">
      <c r="M2142" s="514"/>
      <c r="Q2142" s="293"/>
      <c r="R2142" s="316"/>
      <c r="S2142" s="355"/>
    </row>
    <row r="2143" spans="13:19" x14ac:dyDescent="0.25">
      <c r="M2143" s="514"/>
      <c r="Q2143" s="293"/>
      <c r="R2143" s="316"/>
      <c r="S2143" s="355"/>
    </row>
    <row r="2144" spans="13:19" x14ac:dyDescent="0.25">
      <c r="M2144" s="514"/>
      <c r="Q2144" s="293"/>
      <c r="R2144" s="316"/>
      <c r="S2144" s="355"/>
    </row>
    <row r="2145" spans="13:19" x14ac:dyDescent="0.25">
      <c r="M2145" s="514"/>
      <c r="Q2145" s="293"/>
      <c r="R2145" s="316"/>
      <c r="S2145" s="355"/>
    </row>
    <row r="2146" spans="13:19" x14ac:dyDescent="0.25">
      <c r="M2146" s="514"/>
      <c r="Q2146" s="293"/>
      <c r="R2146" s="316"/>
      <c r="S2146" s="355"/>
    </row>
    <row r="2147" spans="13:19" x14ac:dyDescent="0.25">
      <c r="M2147" s="514"/>
      <c r="Q2147" s="293"/>
      <c r="R2147" s="316"/>
      <c r="S2147" s="355"/>
    </row>
    <row r="2148" spans="13:19" x14ac:dyDescent="0.25">
      <c r="M2148" s="514"/>
      <c r="Q2148" s="293"/>
      <c r="R2148" s="316"/>
      <c r="S2148" s="355"/>
    </row>
    <row r="2149" spans="13:19" x14ac:dyDescent="0.25">
      <c r="M2149" s="514"/>
      <c r="Q2149" s="293"/>
      <c r="R2149" s="316"/>
      <c r="S2149" s="355"/>
    </row>
    <row r="2150" spans="13:19" x14ac:dyDescent="0.25">
      <c r="M2150" s="514"/>
      <c r="Q2150" s="293"/>
      <c r="R2150" s="316"/>
      <c r="S2150" s="355"/>
    </row>
    <row r="2151" spans="13:19" x14ac:dyDescent="0.25">
      <c r="M2151" s="514"/>
      <c r="Q2151" s="293"/>
      <c r="R2151" s="316"/>
      <c r="S2151" s="355"/>
    </row>
    <row r="2152" spans="13:19" x14ac:dyDescent="0.25">
      <c r="M2152" s="514"/>
      <c r="Q2152" s="293"/>
      <c r="R2152" s="316"/>
      <c r="S2152" s="355"/>
    </row>
    <row r="2153" spans="13:19" x14ac:dyDescent="0.25">
      <c r="M2153" s="514"/>
      <c r="Q2153" s="293"/>
      <c r="R2153" s="316"/>
      <c r="S2153" s="355"/>
    </row>
    <row r="2154" spans="13:19" x14ac:dyDescent="0.25">
      <c r="M2154" s="514"/>
      <c r="Q2154" s="293"/>
      <c r="R2154" s="316"/>
      <c r="S2154" s="355"/>
    </row>
    <row r="2155" spans="13:19" x14ac:dyDescent="0.25">
      <c r="M2155" s="514"/>
      <c r="Q2155" s="293"/>
      <c r="R2155" s="316"/>
      <c r="S2155" s="355"/>
    </row>
    <row r="2156" spans="13:19" x14ac:dyDescent="0.25">
      <c r="M2156" s="514"/>
      <c r="Q2156" s="293"/>
      <c r="R2156" s="316"/>
      <c r="S2156" s="355"/>
    </row>
    <row r="2157" spans="13:19" x14ac:dyDescent="0.25">
      <c r="M2157" s="514"/>
      <c r="Q2157" s="293"/>
      <c r="R2157" s="316"/>
      <c r="S2157" s="355"/>
    </row>
    <row r="2158" spans="13:19" x14ac:dyDescent="0.25">
      <c r="M2158" s="514"/>
      <c r="Q2158" s="293"/>
      <c r="R2158" s="316"/>
      <c r="S2158" s="355"/>
    </row>
    <row r="2159" spans="13:19" x14ac:dyDescent="0.25">
      <c r="M2159" s="514"/>
      <c r="Q2159" s="293"/>
      <c r="R2159" s="316"/>
      <c r="S2159" s="355"/>
    </row>
    <row r="2160" spans="13:19" x14ac:dyDescent="0.25">
      <c r="M2160" s="514"/>
      <c r="Q2160" s="293"/>
      <c r="R2160" s="316"/>
      <c r="S2160" s="355"/>
    </row>
    <row r="2161" spans="13:19" x14ac:dyDescent="0.25">
      <c r="M2161" s="514"/>
      <c r="Q2161" s="293"/>
      <c r="R2161" s="316"/>
      <c r="S2161" s="355"/>
    </row>
    <row r="2162" spans="13:19" x14ac:dyDescent="0.25">
      <c r="M2162" s="514"/>
      <c r="Q2162" s="293"/>
      <c r="R2162" s="316"/>
      <c r="S2162" s="355"/>
    </row>
    <row r="2163" spans="13:19" x14ac:dyDescent="0.25">
      <c r="M2163" s="514"/>
      <c r="Q2163" s="293"/>
      <c r="R2163" s="316"/>
      <c r="S2163" s="355"/>
    </row>
    <row r="2164" spans="13:19" x14ac:dyDescent="0.25">
      <c r="M2164" s="514"/>
      <c r="Q2164" s="293"/>
      <c r="R2164" s="316"/>
      <c r="S2164" s="355"/>
    </row>
    <row r="2165" spans="13:19" x14ac:dyDescent="0.25">
      <c r="M2165" s="514"/>
      <c r="Q2165" s="293"/>
      <c r="R2165" s="316"/>
      <c r="S2165" s="355"/>
    </row>
    <row r="2166" spans="13:19" x14ac:dyDescent="0.25">
      <c r="M2166" s="514"/>
      <c r="Q2166" s="293"/>
      <c r="R2166" s="316"/>
      <c r="S2166" s="355"/>
    </row>
    <row r="2167" spans="13:19" x14ac:dyDescent="0.25">
      <c r="M2167" s="514"/>
      <c r="Q2167" s="293"/>
      <c r="R2167" s="316"/>
      <c r="S2167" s="355"/>
    </row>
    <row r="2168" spans="13:19" x14ac:dyDescent="0.25">
      <c r="M2168" s="514"/>
      <c r="Q2168" s="293"/>
      <c r="R2168" s="316"/>
      <c r="S2168" s="355"/>
    </row>
    <row r="2169" spans="13:19" x14ac:dyDescent="0.25">
      <c r="M2169" s="514"/>
      <c r="Q2169" s="293"/>
      <c r="R2169" s="316"/>
      <c r="S2169" s="355"/>
    </row>
    <row r="2170" spans="13:19" x14ac:dyDescent="0.25">
      <c r="M2170" s="514"/>
      <c r="Q2170" s="293"/>
      <c r="R2170" s="316"/>
      <c r="S2170" s="355"/>
    </row>
    <row r="2171" spans="13:19" x14ac:dyDescent="0.25">
      <c r="M2171" s="514"/>
      <c r="Q2171" s="293"/>
      <c r="R2171" s="316"/>
      <c r="S2171" s="355"/>
    </row>
    <row r="2172" spans="13:19" x14ac:dyDescent="0.25">
      <c r="M2172" s="514"/>
      <c r="Q2172" s="293"/>
      <c r="R2172" s="316"/>
      <c r="S2172" s="355"/>
    </row>
    <row r="2173" spans="13:19" x14ac:dyDescent="0.25">
      <c r="M2173" s="514"/>
      <c r="Q2173" s="293"/>
      <c r="R2173" s="316"/>
      <c r="S2173" s="355"/>
    </row>
    <row r="2174" spans="13:19" x14ac:dyDescent="0.25">
      <c r="M2174" s="514"/>
      <c r="Q2174" s="293"/>
      <c r="R2174" s="316"/>
      <c r="S2174" s="355"/>
    </row>
    <row r="2175" spans="13:19" x14ac:dyDescent="0.25">
      <c r="M2175" s="514"/>
      <c r="Q2175" s="293"/>
      <c r="R2175" s="316"/>
      <c r="S2175" s="355"/>
    </row>
    <row r="2176" spans="13:19" x14ac:dyDescent="0.25">
      <c r="M2176" s="514"/>
      <c r="Q2176" s="293"/>
      <c r="R2176" s="316"/>
      <c r="S2176" s="355"/>
    </row>
    <row r="2177" spans="13:19" x14ac:dyDescent="0.25">
      <c r="M2177" s="514"/>
      <c r="Q2177" s="293"/>
      <c r="R2177" s="316"/>
      <c r="S2177" s="355"/>
    </row>
    <row r="2178" spans="13:19" x14ac:dyDescent="0.25">
      <c r="M2178" s="514"/>
      <c r="Q2178" s="293"/>
      <c r="R2178" s="316"/>
      <c r="S2178" s="355"/>
    </row>
    <row r="2179" spans="13:19" x14ac:dyDescent="0.25">
      <c r="M2179" s="514"/>
      <c r="Q2179" s="293"/>
      <c r="R2179" s="316"/>
      <c r="S2179" s="355"/>
    </row>
    <row r="2180" spans="13:19" x14ac:dyDescent="0.25">
      <c r="M2180" s="514"/>
      <c r="Q2180" s="293"/>
      <c r="R2180" s="316"/>
      <c r="S2180" s="355"/>
    </row>
    <row r="2181" spans="13:19" x14ac:dyDescent="0.25">
      <c r="M2181" s="514"/>
      <c r="Q2181" s="293"/>
      <c r="R2181" s="316"/>
      <c r="S2181" s="355"/>
    </row>
    <row r="2182" spans="13:19" x14ac:dyDescent="0.25">
      <c r="M2182" s="514"/>
      <c r="Q2182" s="293"/>
      <c r="R2182" s="316"/>
      <c r="S2182" s="355"/>
    </row>
    <row r="2183" spans="13:19" x14ac:dyDescent="0.25">
      <c r="M2183" s="514"/>
      <c r="Q2183" s="293"/>
      <c r="R2183" s="316"/>
      <c r="S2183" s="355"/>
    </row>
    <row r="2184" spans="13:19" x14ac:dyDescent="0.25">
      <c r="M2184" s="514"/>
      <c r="Q2184" s="293"/>
      <c r="R2184" s="316"/>
      <c r="S2184" s="355"/>
    </row>
    <row r="2185" spans="13:19" x14ac:dyDescent="0.25">
      <c r="M2185" s="514"/>
      <c r="Q2185" s="293"/>
      <c r="R2185" s="316"/>
      <c r="S2185" s="355"/>
    </row>
    <row r="2186" spans="13:19" x14ac:dyDescent="0.25">
      <c r="M2186" s="514"/>
      <c r="Q2186" s="293"/>
      <c r="R2186" s="316"/>
      <c r="S2186" s="355"/>
    </row>
    <row r="2187" spans="13:19" x14ac:dyDescent="0.25">
      <c r="M2187" s="514"/>
      <c r="Q2187" s="293"/>
      <c r="R2187" s="316"/>
      <c r="S2187" s="355"/>
    </row>
    <row r="2188" spans="13:19" x14ac:dyDescent="0.25">
      <c r="M2188" s="514"/>
      <c r="Q2188" s="293"/>
      <c r="R2188" s="316"/>
      <c r="S2188" s="355"/>
    </row>
    <row r="2189" spans="13:19" x14ac:dyDescent="0.25">
      <c r="M2189" s="514"/>
      <c r="Q2189" s="293"/>
      <c r="R2189" s="316"/>
      <c r="S2189" s="355"/>
    </row>
    <row r="2190" spans="13:19" x14ac:dyDescent="0.25">
      <c r="M2190" s="514"/>
      <c r="Q2190" s="293"/>
      <c r="R2190" s="316"/>
      <c r="S2190" s="355"/>
    </row>
    <row r="2191" spans="13:19" x14ac:dyDescent="0.25">
      <c r="M2191" s="514"/>
      <c r="Q2191" s="293"/>
      <c r="R2191" s="316"/>
      <c r="S2191" s="355"/>
    </row>
    <row r="2192" spans="13:19" x14ac:dyDescent="0.25">
      <c r="M2192" s="514"/>
      <c r="Q2192" s="293"/>
      <c r="R2192" s="316"/>
      <c r="S2192" s="355"/>
    </row>
    <row r="2193" spans="13:19" x14ac:dyDescent="0.25">
      <c r="M2193" s="514"/>
      <c r="Q2193" s="293"/>
      <c r="R2193" s="316"/>
      <c r="S2193" s="355"/>
    </row>
    <row r="2194" spans="13:19" x14ac:dyDescent="0.25">
      <c r="M2194" s="514"/>
      <c r="Q2194" s="293"/>
      <c r="R2194" s="316"/>
      <c r="S2194" s="355"/>
    </row>
    <row r="2195" spans="13:19" x14ac:dyDescent="0.25">
      <c r="M2195" s="514"/>
      <c r="Q2195" s="293"/>
      <c r="R2195" s="316"/>
      <c r="S2195" s="355"/>
    </row>
    <row r="2196" spans="13:19" x14ac:dyDescent="0.25">
      <c r="M2196" s="514"/>
      <c r="Q2196" s="293"/>
      <c r="R2196" s="316"/>
      <c r="S2196" s="355"/>
    </row>
    <row r="2197" spans="13:19" x14ac:dyDescent="0.25">
      <c r="M2197" s="514"/>
      <c r="Q2197" s="293"/>
      <c r="R2197" s="316"/>
      <c r="S2197" s="355"/>
    </row>
    <row r="2198" spans="13:19" x14ac:dyDescent="0.25">
      <c r="M2198" s="514"/>
      <c r="Q2198" s="293"/>
      <c r="R2198" s="316"/>
      <c r="S2198" s="355"/>
    </row>
    <row r="2199" spans="13:19" x14ac:dyDescent="0.25">
      <c r="M2199" s="514"/>
      <c r="Q2199" s="293"/>
      <c r="R2199" s="316"/>
      <c r="S2199" s="355"/>
    </row>
    <row r="2200" spans="13:19" x14ac:dyDescent="0.25">
      <c r="M2200" s="514"/>
      <c r="Q2200" s="293"/>
      <c r="R2200" s="316"/>
      <c r="S2200" s="355"/>
    </row>
    <row r="2201" spans="13:19" x14ac:dyDescent="0.25">
      <c r="M2201" s="514"/>
      <c r="Q2201" s="293"/>
      <c r="R2201" s="316"/>
      <c r="S2201" s="355"/>
    </row>
    <row r="2202" spans="13:19" x14ac:dyDescent="0.25">
      <c r="M2202" s="514"/>
      <c r="Q2202" s="293"/>
      <c r="R2202" s="316"/>
      <c r="S2202" s="355"/>
    </row>
    <row r="2203" spans="13:19" x14ac:dyDescent="0.25">
      <c r="M2203" s="514"/>
      <c r="Q2203" s="293"/>
      <c r="R2203" s="316"/>
      <c r="S2203" s="355"/>
    </row>
    <row r="2204" spans="13:19" x14ac:dyDescent="0.25">
      <c r="M2204" s="514"/>
      <c r="Q2204" s="293"/>
      <c r="R2204" s="316"/>
      <c r="S2204" s="355"/>
    </row>
    <row r="2205" spans="13:19" x14ac:dyDescent="0.25">
      <c r="M2205" s="514"/>
      <c r="Q2205" s="293"/>
      <c r="R2205" s="316"/>
      <c r="S2205" s="355"/>
    </row>
    <row r="2206" spans="13:19" x14ac:dyDescent="0.25">
      <c r="M2206" s="514"/>
      <c r="Q2206" s="293"/>
      <c r="R2206" s="316"/>
      <c r="S2206" s="355"/>
    </row>
    <row r="2207" spans="13:19" x14ac:dyDescent="0.25">
      <c r="M2207" s="514"/>
      <c r="Q2207" s="293"/>
      <c r="R2207" s="316"/>
      <c r="S2207" s="355"/>
    </row>
    <row r="2208" spans="13:19" x14ac:dyDescent="0.25">
      <c r="M2208" s="514"/>
      <c r="Q2208" s="293"/>
      <c r="R2208" s="316"/>
      <c r="S2208" s="355"/>
    </row>
    <row r="2209" spans="13:19" x14ac:dyDescent="0.25">
      <c r="M2209" s="514"/>
      <c r="Q2209" s="293"/>
      <c r="R2209" s="316"/>
      <c r="S2209" s="355"/>
    </row>
    <row r="2210" spans="13:19" x14ac:dyDescent="0.25">
      <c r="M2210" s="514"/>
      <c r="Q2210" s="293"/>
      <c r="R2210" s="316"/>
      <c r="S2210" s="355"/>
    </row>
    <row r="2211" spans="13:19" x14ac:dyDescent="0.25">
      <c r="M2211" s="514"/>
      <c r="Q2211" s="293"/>
      <c r="R2211" s="316"/>
      <c r="S2211" s="355"/>
    </row>
    <row r="2212" spans="13:19" x14ac:dyDescent="0.25">
      <c r="M2212" s="514"/>
      <c r="Q2212" s="293"/>
      <c r="R2212" s="316"/>
      <c r="S2212" s="355"/>
    </row>
    <row r="2213" spans="13:19" x14ac:dyDescent="0.25">
      <c r="M2213" s="514"/>
      <c r="Q2213" s="293"/>
      <c r="R2213" s="316"/>
      <c r="S2213" s="355"/>
    </row>
    <row r="2214" spans="13:19" x14ac:dyDescent="0.25">
      <c r="M2214" s="514"/>
      <c r="Q2214" s="293"/>
      <c r="R2214" s="316"/>
      <c r="S2214" s="355"/>
    </row>
    <row r="2215" spans="13:19" x14ac:dyDescent="0.25">
      <c r="M2215" s="514"/>
      <c r="Q2215" s="293"/>
      <c r="R2215" s="316"/>
      <c r="S2215" s="355"/>
    </row>
    <row r="2216" spans="13:19" x14ac:dyDescent="0.25">
      <c r="M2216" s="514"/>
      <c r="Q2216" s="293"/>
      <c r="R2216" s="316"/>
      <c r="S2216" s="355"/>
    </row>
    <row r="2217" spans="13:19" x14ac:dyDescent="0.25">
      <c r="M2217" s="514"/>
      <c r="Q2217" s="293"/>
      <c r="R2217" s="316"/>
      <c r="S2217" s="355"/>
    </row>
    <row r="2218" spans="13:19" x14ac:dyDescent="0.25">
      <c r="M2218" s="514"/>
      <c r="Q2218" s="293"/>
      <c r="R2218" s="316"/>
      <c r="S2218" s="355"/>
    </row>
    <row r="2219" spans="13:19" x14ac:dyDescent="0.25">
      <c r="M2219" s="514"/>
      <c r="Q2219" s="293"/>
      <c r="R2219" s="316"/>
      <c r="S2219" s="355"/>
    </row>
    <row r="2220" spans="13:19" x14ac:dyDescent="0.25">
      <c r="M2220" s="514"/>
      <c r="Q2220" s="293"/>
      <c r="R2220" s="316"/>
      <c r="S2220" s="355"/>
    </row>
    <row r="2221" spans="13:19" x14ac:dyDescent="0.25">
      <c r="M2221" s="514"/>
      <c r="Q2221" s="293"/>
      <c r="R2221" s="316"/>
      <c r="S2221" s="355"/>
    </row>
    <row r="2222" spans="13:19" x14ac:dyDescent="0.25">
      <c r="M2222" s="514"/>
      <c r="Q2222" s="293"/>
      <c r="R2222" s="316"/>
      <c r="S2222" s="355"/>
    </row>
    <row r="2223" spans="13:19" x14ac:dyDescent="0.25">
      <c r="M2223" s="514"/>
      <c r="Q2223" s="293"/>
      <c r="R2223" s="316"/>
      <c r="S2223" s="355"/>
    </row>
    <row r="2224" spans="13:19" x14ac:dyDescent="0.25">
      <c r="M2224" s="514"/>
      <c r="Q2224" s="293"/>
      <c r="R2224" s="316"/>
      <c r="S2224" s="355"/>
    </row>
    <row r="2225" spans="13:19" x14ac:dyDescent="0.25">
      <c r="M2225" s="514"/>
      <c r="Q2225" s="293"/>
      <c r="R2225" s="316"/>
      <c r="S2225" s="355"/>
    </row>
    <row r="2226" spans="13:19" x14ac:dyDescent="0.25">
      <c r="M2226" s="514"/>
      <c r="Q2226" s="293"/>
      <c r="R2226" s="316"/>
      <c r="S2226" s="355"/>
    </row>
    <row r="2227" spans="13:19" x14ac:dyDescent="0.25">
      <c r="M2227" s="514"/>
      <c r="Q2227" s="293"/>
      <c r="R2227" s="316"/>
      <c r="S2227" s="355"/>
    </row>
    <row r="2228" spans="13:19" x14ac:dyDescent="0.25">
      <c r="M2228" s="514"/>
      <c r="Q2228" s="293"/>
      <c r="R2228" s="316"/>
      <c r="S2228" s="355"/>
    </row>
    <row r="2229" spans="13:19" x14ac:dyDescent="0.25">
      <c r="M2229" s="514"/>
      <c r="Q2229" s="293"/>
      <c r="R2229" s="316"/>
      <c r="S2229" s="355"/>
    </row>
    <row r="2230" spans="13:19" x14ac:dyDescent="0.25">
      <c r="M2230" s="514"/>
      <c r="Q2230" s="293"/>
      <c r="R2230" s="316"/>
      <c r="S2230" s="355"/>
    </row>
    <row r="2231" spans="13:19" x14ac:dyDescent="0.25">
      <c r="M2231" s="514"/>
      <c r="Q2231" s="293"/>
      <c r="R2231" s="316"/>
      <c r="S2231" s="355"/>
    </row>
    <row r="2232" spans="13:19" x14ac:dyDescent="0.25">
      <c r="M2232" s="514"/>
      <c r="Q2232" s="293"/>
      <c r="R2232" s="316"/>
      <c r="S2232" s="355"/>
    </row>
    <row r="2233" spans="13:19" x14ac:dyDescent="0.25">
      <c r="M2233" s="514"/>
      <c r="Q2233" s="293"/>
      <c r="R2233" s="316"/>
      <c r="S2233" s="355"/>
    </row>
    <row r="2234" spans="13:19" x14ac:dyDescent="0.25">
      <c r="M2234" s="514"/>
      <c r="Q2234" s="293"/>
      <c r="R2234" s="316"/>
      <c r="S2234" s="355"/>
    </row>
    <row r="2235" spans="13:19" x14ac:dyDescent="0.25">
      <c r="M2235" s="514"/>
      <c r="Q2235" s="293"/>
      <c r="R2235" s="316"/>
      <c r="S2235" s="355"/>
    </row>
    <row r="2236" spans="13:19" x14ac:dyDescent="0.25">
      <c r="M2236" s="514"/>
      <c r="Q2236" s="293"/>
      <c r="R2236" s="316"/>
      <c r="S2236" s="355"/>
    </row>
    <row r="2237" spans="13:19" x14ac:dyDescent="0.25">
      <c r="M2237" s="514"/>
      <c r="Q2237" s="293"/>
      <c r="R2237" s="316"/>
      <c r="S2237" s="355"/>
    </row>
    <row r="2238" spans="13:19" x14ac:dyDescent="0.25">
      <c r="M2238" s="514"/>
      <c r="Q2238" s="293"/>
      <c r="R2238" s="316"/>
      <c r="S2238" s="355"/>
    </row>
    <row r="2239" spans="13:19" x14ac:dyDescent="0.25">
      <c r="M2239" s="514"/>
      <c r="Q2239" s="293"/>
      <c r="R2239" s="316"/>
      <c r="S2239" s="355"/>
    </row>
    <row r="2240" spans="13:19" x14ac:dyDescent="0.25">
      <c r="M2240" s="514"/>
      <c r="Q2240" s="293"/>
      <c r="R2240" s="316"/>
      <c r="S2240" s="355"/>
    </row>
    <row r="2241" spans="13:19" x14ac:dyDescent="0.25">
      <c r="M2241" s="514"/>
      <c r="Q2241" s="293"/>
      <c r="R2241" s="316"/>
      <c r="S2241" s="355"/>
    </row>
    <row r="2242" spans="13:19" x14ac:dyDescent="0.25">
      <c r="M2242" s="514"/>
      <c r="Q2242" s="293"/>
      <c r="R2242" s="316"/>
      <c r="S2242" s="355"/>
    </row>
    <row r="2243" spans="13:19" x14ac:dyDescent="0.25">
      <c r="M2243" s="514"/>
      <c r="Q2243" s="293"/>
      <c r="R2243" s="316"/>
      <c r="S2243" s="355"/>
    </row>
    <row r="2244" spans="13:19" x14ac:dyDescent="0.25">
      <c r="M2244" s="514"/>
      <c r="Q2244" s="293"/>
      <c r="R2244" s="316"/>
      <c r="S2244" s="355"/>
    </row>
    <row r="2245" spans="13:19" x14ac:dyDescent="0.25">
      <c r="M2245" s="514"/>
      <c r="Q2245" s="293"/>
      <c r="R2245" s="316"/>
      <c r="S2245" s="355"/>
    </row>
    <row r="2246" spans="13:19" x14ac:dyDescent="0.25">
      <c r="M2246" s="514"/>
      <c r="Q2246" s="293"/>
      <c r="R2246" s="316"/>
      <c r="S2246" s="355"/>
    </row>
    <row r="2247" spans="13:19" x14ac:dyDescent="0.25">
      <c r="M2247" s="514"/>
      <c r="Q2247" s="293"/>
      <c r="R2247" s="316"/>
      <c r="S2247" s="355"/>
    </row>
    <row r="2248" spans="13:19" x14ac:dyDescent="0.25">
      <c r="M2248" s="514"/>
      <c r="Q2248" s="293"/>
      <c r="R2248" s="316"/>
      <c r="S2248" s="355"/>
    </row>
    <row r="2249" spans="13:19" x14ac:dyDescent="0.25">
      <c r="M2249" s="514"/>
      <c r="Q2249" s="293"/>
      <c r="R2249" s="316"/>
      <c r="S2249" s="355"/>
    </row>
    <row r="2250" spans="13:19" x14ac:dyDescent="0.25">
      <c r="M2250" s="514"/>
      <c r="Q2250" s="293"/>
      <c r="R2250" s="316"/>
      <c r="S2250" s="355"/>
    </row>
    <row r="2251" spans="13:19" x14ac:dyDescent="0.25">
      <c r="M2251" s="514"/>
      <c r="Q2251" s="293"/>
      <c r="R2251" s="316"/>
      <c r="S2251" s="355"/>
    </row>
    <row r="2252" spans="13:19" x14ac:dyDescent="0.25">
      <c r="M2252" s="514"/>
      <c r="Q2252" s="293"/>
      <c r="R2252" s="316"/>
      <c r="S2252" s="355"/>
    </row>
    <row r="2253" spans="13:19" x14ac:dyDescent="0.25">
      <c r="M2253" s="514"/>
      <c r="Q2253" s="293"/>
      <c r="R2253" s="316"/>
      <c r="S2253" s="355"/>
    </row>
    <row r="2254" spans="13:19" x14ac:dyDescent="0.25">
      <c r="M2254" s="514"/>
      <c r="Q2254" s="293"/>
      <c r="R2254" s="316"/>
      <c r="S2254" s="355"/>
    </row>
    <row r="2255" spans="13:19" x14ac:dyDescent="0.25">
      <c r="M2255" s="514"/>
      <c r="Q2255" s="293"/>
      <c r="R2255" s="316"/>
      <c r="S2255" s="355"/>
    </row>
    <row r="2256" spans="13:19" x14ac:dyDescent="0.25">
      <c r="M2256" s="514"/>
      <c r="Q2256" s="293"/>
      <c r="R2256" s="316"/>
      <c r="S2256" s="355"/>
    </row>
    <row r="2257" spans="13:19" x14ac:dyDescent="0.25">
      <c r="M2257" s="514"/>
      <c r="Q2257" s="293"/>
      <c r="R2257" s="316"/>
      <c r="S2257" s="355"/>
    </row>
    <row r="2258" spans="13:19" x14ac:dyDescent="0.25">
      <c r="M2258" s="514"/>
      <c r="Q2258" s="293"/>
      <c r="R2258" s="316"/>
      <c r="S2258" s="355"/>
    </row>
    <row r="2259" spans="13:19" x14ac:dyDescent="0.25">
      <c r="M2259" s="514"/>
      <c r="Q2259" s="293"/>
      <c r="R2259" s="316"/>
      <c r="S2259" s="355"/>
    </row>
    <row r="2260" spans="13:19" x14ac:dyDescent="0.25">
      <c r="M2260" s="514"/>
      <c r="Q2260" s="293"/>
      <c r="R2260" s="316"/>
      <c r="S2260" s="355"/>
    </row>
    <row r="2261" spans="13:19" x14ac:dyDescent="0.25">
      <c r="M2261" s="514"/>
      <c r="Q2261" s="293"/>
      <c r="R2261" s="316"/>
      <c r="S2261" s="355"/>
    </row>
    <row r="2262" spans="13:19" x14ac:dyDescent="0.25">
      <c r="M2262" s="514"/>
      <c r="Q2262" s="293"/>
      <c r="R2262" s="316"/>
      <c r="S2262" s="355"/>
    </row>
    <row r="2263" spans="13:19" x14ac:dyDescent="0.25">
      <c r="M2263" s="514"/>
      <c r="Q2263" s="293"/>
      <c r="R2263" s="316"/>
      <c r="S2263" s="355"/>
    </row>
    <row r="2264" spans="13:19" x14ac:dyDescent="0.25">
      <c r="M2264" s="514"/>
      <c r="Q2264" s="293"/>
      <c r="R2264" s="316"/>
      <c r="S2264" s="355"/>
    </row>
    <row r="2265" spans="13:19" x14ac:dyDescent="0.25">
      <c r="M2265" s="514"/>
      <c r="Q2265" s="293"/>
      <c r="R2265" s="316"/>
      <c r="S2265" s="355"/>
    </row>
    <row r="2266" spans="13:19" x14ac:dyDescent="0.25">
      <c r="M2266" s="514"/>
      <c r="Q2266" s="293"/>
      <c r="R2266" s="316"/>
      <c r="S2266" s="355"/>
    </row>
    <row r="2267" spans="13:19" x14ac:dyDescent="0.25">
      <c r="M2267" s="514"/>
      <c r="Q2267" s="293"/>
      <c r="R2267" s="316"/>
      <c r="S2267" s="355"/>
    </row>
    <row r="2268" spans="13:19" x14ac:dyDescent="0.25">
      <c r="M2268" s="514"/>
      <c r="Q2268" s="293"/>
      <c r="R2268" s="316"/>
      <c r="S2268" s="355"/>
    </row>
    <row r="2269" spans="13:19" x14ac:dyDescent="0.25">
      <c r="M2269" s="514"/>
      <c r="Q2269" s="293"/>
      <c r="R2269" s="316"/>
      <c r="S2269" s="355"/>
    </row>
    <row r="2270" spans="13:19" x14ac:dyDescent="0.25">
      <c r="M2270" s="514"/>
      <c r="Q2270" s="293"/>
      <c r="R2270" s="316"/>
      <c r="S2270" s="355"/>
    </row>
    <row r="2271" spans="13:19" x14ac:dyDescent="0.25">
      <c r="M2271" s="514"/>
      <c r="Q2271" s="293"/>
      <c r="R2271" s="316"/>
      <c r="S2271" s="355"/>
    </row>
    <row r="2272" spans="13:19" x14ac:dyDescent="0.25">
      <c r="M2272" s="514"/>
      <c r="Q2272" s="293"/>
      <c r="R2272" s="316"/>
      <c r="S2272" s="355"/>
    </row>
    <row r="2273" spans="13:19" x14ac:dyDescent="0.25">
      <c r="M2273" s="514"/>
      <c r="Q2273" s="293"/>
      <c r="R2273" s="316"/>
      <c r="S2273" s="355"/>
    </row>
    <row r="2274" spans="13:19" x14ac:dyDescent="0.25">
      <c r="M2274" s="514"/>
      <c r="Q2274" s="293"/>
      <c r="R2274" s="316"/>
      <c r="S2274" s="355"/>
    </row>
    <row r="2275" spans="13:19" x14ac:dyDescent="0.25">
      <c r="M2275" s="514"/>
      <c r="Q2275" s="293"/>
      <c r="R2275" s="316"/>
      <c r="S2275" s="355"/>
    </row>
    <row r="2276" spans="13:19" x14ac:dyDescent="0.25">
      <c r="M2276" s="514"/>
      <c r="Q2276" s="293"/>
      <c r="R2276" s="316"/>
      <c r="S2276" s="355"/>
    </row>
    <row r="2277" spans="13:19" x14ac:dyDescent="0.25">
      <c r="M2277" s="514"/>
      <c r="Q2277" s="293"/>
      <c r="R2277" s="316"/>
      <c r="S2277" s="355"/>
    </row>
    <row r="2278" spans="13:19" x14ac:dyDescent="0.25">
      <c r="M2278" s="514"/>
      <c r="Q2278" s="293"/>
      <c r="R2278" s="316"/>
      <c r="S2278" s="355"/>
    </row>
    <row r="2279" spans="13:19" x14ac:dyDescent="0.25">
      <c r="M2279" s="514"/>
      <c r="Q2279" s="293"/>
      <c r="R2279" s="316"/>
      <c r="S2279" s="355"/>
    </row>
    <row r="2280" spans="13:19" x14ac:dyDescent="0.25">
      <c r="M2280" s="514"/>
      <c r="Q2280" s="293"/>
      <c r="R2280" s="316"/>
      <c r="S2280" s="355"/>
    </row>
    <row r="2281" spans="13:19" x14ac:dyDescent="0.25">
      <c r="M2281" s="514"/>
      <c r="Q2281" s="293"/>
      <c r="R2281" s="316"/>
      <c r="S2281" s="355"/>
    </row>
    <row r="2282" spans="13:19" x14ac:dyDescent="0.25">
      <c r="M2282" s="514"/>
      <c r="Q2282" s="293"/>
      <c r="R2282" s="316"/>
      <c r="S2282" s="355"/>
    </row>
    <row r="2283" spans="13:19" x14ac:dyDescent="0.25">
      <c r="M2283" s="514"/>
      <c r="Q2283" s="293"/>
      <c r="R2283" s="316"/>
      <c r="S2283" s="355"/>
    </row>
    <row r="2284" spans="13:19" x14ac:dyDescent="0.25">
      <c r="M2284" s="514"/>
      <c r="Q2284" s="293"/>
      <c r="R2284" s="316"/>
      <c r="S2284" s="355"/>
    </row>
    <row r="2285" spans="13:19" x14ac:dyDescent="0.25">
      <c r="M2285" s="514"/>
      <c r="Q2285" s="293"/>
      <c r="R2285" s="316"/>
      <c r="S2285" s="355"/>
    </row>
    <row r="2286" spans="13:19" x14ac:dyDescent="0.25">
      <c r="M2286" s="514"/>
      <c r="Q2286" s="293"/>
      <c r="R2286" s="316"/>
      <c r="S2286" s="355"/>
    </row>
    <row r="2287" spans="13:19" x14ac:dyDescent="0.25">
      <c r="M2287" s="514"/>
      <c r="Q2287" s="293"/>
      <c r="R2287" s="316"/>
      <c r="S2287" s="355"/>
    </row>
    <row r="2288" spans="13:19" x14ac:dyDescent="0.25">
      <c r="M2288" s="514"/>
      <c r="Q2288" s="293"/>
      <c r="R2288" s="316"/>
      <c r="S2288" s="355"/>
    </row>
    <row r="2289" spans="13:19" x14ac:dyDescent="0.25">
      <c r="M2289" s="514"/>
      <c r="Q2289" s="293"/>
      <c r="R2289" s="316"/>
      <c r="S2289" s="355"/>
    </row>
    <row r="2290" spans="13:19" x14ac:dyDescent="0.25">
      <c r="M2290" s="514"/>
      <c r="Q2290" s="293"/>
      <c r="R2290" s="316"/>
      <c r="S2290" s="355"/>
    </row>
    <row r="2291" spans="13:19" x14ac:dyDescent="0.25">
      <c r="M2291" s="514"/>
      <c r="Q2291" s="293"/>
      <c r="R2291" s="316"/>
      <c r="S2291" s="355"/>
    </row>
    <row r="2292" spans="13:19" x14ac:dyDescent="0.25">
      <c r="M2292" s="514"/>
      <c r="Q2292" s="293"/>
      <c r="R2292" s="316"/>
      <c r="S2292" s="355"/>
    </row>
    <row r="2293" spans="13:19" x14ac:dyDescent="0.25">
      <c r="M2293" s="514"/>
      <c r="Q2293" s="293"/>
      <c r="R2293" s="316"/>
      <c r="S2293" s="355"/>
    </row>
    <row r="2294" spans="13:19" x14ac:dyDescent="0.25">
      <c r="M2294" s="514"/>
      <c r="Q2294" s="293"/>
      <c r="R2294" s="316"/>
      <c r="S2294" s="355"/>
    </row>
    <row r="2295" spans="13:19" x14ac:dyDescent="0.25">
      <c r="M2295" s="514"/>
      <c r="Q2295" s="293"/>
      <c r="R2295" s="316"/>
      <c r="S2295" s="355"/>
    </row>
    <row r="2296" spans="13:19" x14ac:dyDescent="0.25">
      <c r="M2296" s="514"/>
      <c r="Q2296" s="293"/>
      <c r="R2296" s="316"/>
      <c r="S2296" s="355"/>
    </row>
    <row r="2297" spans="13:19" x14ac:dyDescent="0.25">
      <c r="M2297" s="514"/>
      <c r="Q2297" s="293"/>
      <c r="R2297" s="316"/>
      <c r="S2297" s="355"/>
    </row>
    <row r="2298" spans="13:19" x14ac:dyDescent="0.25">
      <c r="M2298" s="514"/>
      <c r="Q2298" s="293"/>
      <c r="R2298" s="316"/>
      <c r="S2298" s="355"/>
    </row>
    <row r="2299" spans="13:19" x14ac:dyDescent="0.25">
      <c r="M2299" s="514"/>
      <c r="Q2299" s="293"/>
      <c r="R2299" s="316"/>
      <c r="S2299" s="355"/>
    </row>
    <row r="2300" spans="13:19" x14ac:dyDescent="0.25">
      <c r="M2300" s="514"/>
      <c r="Q2300" s="293"/>
      <c r="R2300" s="316"/>
      <c r="S2300" s="355"/>
    </row>
    <row r="2301" spans="13:19" x14ac:dyDescent="0.25">
      <c r="M2301" s="514"/>
      <c r="Q2301" s="293"/>
      <c r="R2301" s="316"/>
      <c r="S2301" s="355"/>
    </row>
    <row r="2302" spans="13:19" x14ac:dyDescent="0.25">
      <c r="M2302" s="514"/>
      <c r="Q2302" s="293"/>
      <c r="R2302" s="316"/>
      <c r="S2302" s="355"/>
    </row>
    <row r="2303" spans="13:19" x14ac:dyDescent="0.25">
      <c r="M2303" s="514"/>
      <c r="Q2303" s="293"/>
      <c r="R2303" s="316"/>
      <c r="S2303" s="355"/>
    </row>
    <row r="2304" spans="13:19" x14ac:dyDescent="0.25">
      <c r="M2304" s="514"/>
      <c r="Q2304" s="293"/>
      <c r="R2304" s="316"/>
      <c r="S2304" s="355"/>
    </row>
    <row r="2305" spans="13:19" x14ac:dyDescent="0.25">
      <c r="M2305" s="514"/>
      <c r="Q2305" s="293"/>
      <c r="R2305" s="316"/>
      <c r="S2305" s="355"/>
    </row>
    <row r="2306" spans="13:19" x14ac:dyDescent="0.25">
      <c r="M2306" s="514"/>
      <c r="Q2306" s="293"/>
      <c r="R2306" s="316"/>
      <c r="S2306" s="355"/>
    </row>
    <row r="2307" spans="13:19" x14ac:dyDescent="0.25">
      <c r="M2307" s="514"/>
      <c r="Q2307" s="293"/>
      <c r="R2307" s="316"/>
      <c r="S2307" s="355"/>
    </row>
    <row r="2308" spans="13:19" x14ac:dyDescent="0.25">
      <c r="M2308" s="514"/>
      <c r="Q2308" s="293"/>
      <c r="R2308" s="316"/>
      <c r="S2308" s="355"/>
    </row>
    <row r="2309" spans="13:19" x14ac:dyDescent="0.25">
      <c r="M2309" s="514"/>
      <c r="Q2309" s="293"/>
      <c r="R2309" s="316"/>
      <c r="S2309" s="355"/>
    </row>
    <row r="2310" spans="13:19" x14ac:dyDescent="0.25">
      <c r="M2310" s="514"/>
      <c r="Q2310" s="293"/>
      <c r="R2310" s="316"/>
      <c r="S2310" s="355"/>
    </row>
    <row r="2311" spans="13:19" x14ac:dyDescent="0.25">
      <c r="M2311" s="514"/>
      <c r="Q2311" s="293"/>
      <c r="R2311" s="316"/>
      <c r="S2311" s="355"/>
    </row>
    <row r="2312" spans="13:19" x14ac:dyDescent="0.25">
      <c r="M2312" s="514"/>
      <c r="Q2312" s="293"/>
      <c r="R2312" s="316"/>
      <c r="S2312" s="355"/>
    </row>
    <row r="2313" spans="13:19" x14ac:dyDescent="0.25">
      <c r="M2313" s="514"/>
      <c r="Q2313" s="293"/>
      <c r="R2313" s="316"/>
      <c r="S2313" s="355"/>
    </row>
    <row r="2314" spans="13:19" x14ac:dyDescent="0.25">
      <c r="M2314" s="514"/>
      <c r="Q2314" s="293"/>
      <c r="R2314" s="316"/>
      <c r="S2314" s="355"/>
    </row>
    <row r="2315" spans="13:19" x14ac:dyDescent="0.25">
      <c r="M2315" s="514"/>
      <c r="Q2315" s="293"/>
      <c r="R2315" s="316"/>
      <c r="S2315" s="355"/>
    </row>
    <row r="2316" spans="13:19" x14ac:dyDescent="0.25">
      <c r="M2316" s="514"/>
      <c r="Q2316" s="293"/>
      <c r="R2316" s="316"/>
      <c r="S2316" s="355"/>
    </row>
    <row r="2317" spans="13:19" x14ac:dyDescent="0.25">
      <c r="M2317" s="514"/>
      <c r="Q2317" s="293"/>
      <c r="R2317" s="316"/>
      <c r="S2317" s="355"/>
    </row>
    <row r="2318" spans="13:19" x14ac:dyDescent="0.25">
      <c r="M2318" s="514"/>
      <c r="Q2318" s="293"/>
      <c r="R2318" s="316"/>
      <c r="S2318" s="355"/>
    </row>
    <row r="2319" spans="13:19" x14ac:dyDescent="0.25">
      <c r="M2319" s="514"/>
      <c r="Q2319" s="293"/>
      <c r="R2319" s="316"/>
      <c r="S2319" s="355"/>
    </row>
    <row r="2320" spans="13:19" x14ac:dyDescent="0.25">
      <c r="M2320" s="514"/>
      <c r="Q2320" s="293"/>
      <c r="R2320" s="316"/>
      <c r="S2320" s="355"/>
    </row>
    <row r="2321" spans="13:19" x14ac:dyDescent="0.25">
      <c r="M2321" s="514"/>
      <c r="Q2321" s="293"/>
      <c r="R2321" s="316"/>
      <c r="S2321" s="355"/>
    </row>
    <row r="2322" spans="13:19" x14ac:dyDescent="0.25">
      <c r="M2322" s="514"/>
      <c r="Q2322" s="293"/>
      <c r="R2322" s="316"/>
      <c r="S2322" s="355"/>
    </row>
    <row r="2323" spans="13:19" x14ac:dyDescent="0.25">
      <c r="M2323" s="514"/>
      <c r="Q2323" s="293"/>
      <c r="R2323" s="316"/>
      <c r="S2323" s="355"/>
    </row>
    <row r="2324" spans="13:19" x14ac:dyDescent="0.25">
      <c r="M2324" s="514"/>
      <c r="Q2324" s="293"/>
      <c r="R2324" s="316"/>
      <c r="S2324" s="355"/>
    </row>
    <row r="2325" spans="13:19" x14ac:dyDescent="0.25">
      <c r="M2325" s="514"/>
      <c r="Q2325" s="293"/>
      <c r="R2325" s="316"/>
      <c r="S2325" s="355"/>
    </row>
    <row r="2326" spans="13:19" x14ac:dyDescent="0.25">
      <c r="M2326" s="514"/>
      <c r="Q2326" s="293"/>
      <c r="R2326" s="316"/>
      <c r="S2326" s="355"/>
    </row>
    <row r="2327" spans="13:19" x14ac:dyDescent="0.25">
      <c r="M2327" s="514"/>
      <c r="Q2327" s="293"/>
      <c r="R2327" s="316"/>
      <c r="S2327" s="355"/>
    </row>
    <row r="2328" spans="13:19" x14ac:dyDescent="0.25">
      <c r="M2328" s="514"/>
      <c r="Q2328" s="293"/>
      <c r="R2328" s="316"/>
      <c r="S2328" s="355"/>
    </row>
    <row r="2329" spans="13:19" x14ac:dyDescent="0.25">
      <c r="M2329" s="514"/>
      <c r="Q2329" s="293"/>
      <c r="R2329" s="316"/>
      <c r="S2329" s="355"/>
    </row>
    <row r="2330" spans="13:19" x14ac:dyDescent="0.25">
      <c r="M2330" s="514"/>
      <c r="Q2330" s="293"/>
      <c r="R2330" s="316"/>
      <c r="S2330" s="355"/>
    </row>
    <row r="2331" spans="13:19" x14ac:dyDescent="0.25">
      <c r="M2331" s="514"/>
      <c r="Q2331" s="293"/>
      <c r="R2331" s="316"/>
      <c r="S2331" s="355"/>
    </row>
    <row r="2332" spans="13:19" x14ac:dyDescent="0.25">
      <c r="M2332" s="514"/>
      <c r="Q2332" s="293"/>
      <c r="R2332" s="316"/>
      <c r="S2332" s="355"/>
    </row>
    <row r="2333" spans="13:19" x14ac:dyDescent="0.25">
      <c r="M2333" s="514"/>
      <c r="Q2333" s="293"/>
      <c r="R2333" s="316"/>
      <c r="S2333" s="355"/>
    </row>
    <row r="2334" spans="13:19" x14ac:dyDescent="0.25">
      <c r="M2334" s="514"/>
      <c r="Q2334" s="293"/>
      <c r="R2334" s="316"/>
      <c r="S2334" s="355"/>
    </row>
    <row r="2335" spans="13:19" x14ac:dyDescent="0.25">
      <c r="M2335" s="514"/>
      <c r="Q2335" s="293"/>
      <c r="R2335" s="316"/>
      <c r="S2335" s="355"/>
    </row>
    <row r="2336" spans="13:19" x14ac:dyDescent="0.25">
      <c r="M2336" s="514"/>
      <c r="Q2336" s="293"/>
      <c r="R2336" s="316"/>
      <c r="S2336" s="355"/>
    </row>
    <row r="2337" spans="13:19" x14ac:dyDescent="0.25">
      <c r="M2337" s="514"/>
      <c r="Q2337" s="293"/>
      <c r="R2337" s="316"/>
      <c r="S2337" s="355"/>
    </row>
    <row r="2338" spans="13:19" x14ac:dyDescent="0.25">
      <c r="M2338" s="514"/>
      <c r="Q2338" s="293"/>
      <c r="R2338" s="316"/>
      <c r="S2338" s="355"/>
    </row>
    <row r="2339" spans="13:19" x14ac:dyDescent="0.25">
      <c r="M2339" s="514"/>
      <c r="Q2339" s="293"/>
      <c r="R2339" s="316"/>
      <c r="S2339" s="355"/>
    </row>
    <row r="2340" spans="13:19" x14ac:dyDescent="0.25">
      <c r="M2340" s="514"/>
      <c r="Q2340" s="293"/>
      <c r="R2340" s="316"/>
      <c r="S2340" s="355"/>
    </row>
    <row r="2341" spans="13:19" x14ac:dyDescent="0.25">
      <c r="M2341" s="514"/>
      <c r="Q2341" s="293"/>
      <c r="R2341" s="316"/>
      <c r="S2341" s="355"/>
    </row>
    <row r="2342" spans="13:19" x14ac:dyDescent="0.25">
      <c r="M2342" s="514"/>
      <c r="Q2342" s="293"/>
      <c r="R2342" s="316"/>
      <c r="S2342" s="355"/>
    </row>
    <row r="2343" spans="13:19" x14ac:dyDescent="0.25">
      <c r="M2343" s="514"/>
      <c r="Q2343" s="293"/>
      <c r="R2343" s="316"/>
      <c r="S2343" s="355"/>
    </row>
    <row r="2344" spans="13:19" x14ac:dyDescent="0.25">
      <c r="M2344" s="514"/>
      <c r="Q2344" s="293"/>
      <c r="R2344" s="316"/>
      <c r="S2344" s="355"/>
    </row>
    <row r="2345" spans="13:19" x14ac:dyDescent="0.25">
      <c r="M2345" s="514"/>
      <c r="Q2345" s="293"/>
      <c r="R2345" s="316"/>
      <c r="S2345" s="355"/>
    </row>
    <row r="2346" spans="13:19" x14ac:dyDescent="0.25">
      <c r="M2346" s="514"/>
      <c r="Q2346" s="293"/>
      <c r="R2346" s="316"/>
      <c r="S2346" s="355"/>
    </row>
    <row r="2347" spans="13:19" x14ac:dyDescent="0.25">
      <c r="M2347" s="514"/>
      <c r="Q2347" s="293"/>
      <c r="R2347" s="316"/>
      <c r="S2347" s="355"/>
    </row>
    <row r="2348" spans="13:19" x14ac:dyDescent="0.25">
      <c r="M2348" s="514"/>
      <c r="Q2348" s="293"/>
      <c r="R2348" s="316"/>
      <c r="S2348" s="355"/>
    </row>
    <row r="2349" spans="13:19" x14ac:dyDescent="0.25">
      <c r="M2349" s="514"/>
      <c r="Q2349" s="293"/>
      <c r="R2349" s="316"/>
      <c r="S2349" s="355"/>
    </row>
    <row r="2350" spans="13:19" x14ac:dyDescent="0.25">
      <c r="M2350" s="514"/>
      <c r="Q2350" s="293"/>
      <c r="R2350" s="316"/>
      <c r="S2350" s="355"/>
    </row>
    <row r="2351" spans="13:19" x14ac:dyDescent="0.25">
      <c r="M2351" s="514"/>
      <c r="Q2351" s="293"/>
      <c r="R2351" s="316"/>
      <c r="S2351" s="355"/>
    </row>
    <row r="2352" spans="13:19" x14ac:dyDescent="0.25">
      <c r="M2352" s="514"/>
      <c r="Q2352" s="293"/>
      <c r="R2352" s="316"/>
      <c r="S2352" s="355"/>
    </row>
    <row r="2353" spans="13:19" x14ac:dyDescent="0.25">
      <c r="M2353" s="514"/>
      <c r="Q2353" s="293"/>
      <c r="R2353" s="316"/>
      <c r="S2353" s="355"/>
    </row>
    <row r="2354" spans="13:19" x14ac:dyDescent="0.25">
      <c r="M2354" s="514"/>
      <c r="Q2354" s="293"/>
      <c r="R2354" s="316"/>
      <c r="S2354" s="355"/>
    </row>
    <row r="2355" spans="13:19" x14ac:dyDescent="0.25">
      <c r="M2355" s="514"/>
      <c r="Q2355" s="293"/>
      <c r="R2355" s="316"/>
      <c r="S2355" s="355"/>
    </row>
    <row r="2356" spans="13:19" x14ac:dyDescent="0.25">
      <c r="M2356" s="514"/>
      <c r="Q2356" s="293"/>
      <c r="R2356" s="316"/>
      <c r="S2356" s="355"/>
    </row>
    <row r="2357" spans="13:19" x14ac:dyDescent="0.25">
      <c r="M2357" s="514"/>
      <c r="Q2357" s="293"/>
      <c r="R2357" s="316"/>
      <c r="S2357" s="355"/>
    </row>
    <row r="2358" spans="13:19" x14ac:dyDescent="0.25">
      <c r="M2358" s="514"/>
      <c r="Q2358" s="293"/>
      <c r="R2358" s="316"/>
      <c r="S2358" s="355"/>
    </row>
    <row r="2359" spans="13:19" x14ac:dyDescent="0.25">
      <c r="M2359" s="514"/>
      <c r="Q2359" s="293"/>
      <c r="R2359" s="316"/>
      <c r="S2359" s="355"/>
    </row>
    <row r="2360" spans="13:19" x14ac:dyDescent="0.25">
      <c r="M2360" s="514"/>
      <c r="Q2360" s="293"/>
      <c r="R2360" s="316"/>
      <c r="S2360" s="355"/>
    </row>
    <row r="2361" spans="13:19" x14ac:dyDescent="0.25">
      <c r="M2361" s="514"/>
      <c r="Q2361" s="293"/>
      <c r="R2361" s="316"/>
      <c r="S2361" s="355"/>
    </row>
    <row r="2362" spans="13:19" x14ac:dyDescent="0.25">
      <c r="M2362" s="514"/>
      <c r="Q2362" s="293"/>
      <c r="R2362" s="316"/>
      <c r="S2362" s="355"/>
    </row>
    <row r="2363" spans="13:19" x14ac:dyDescent="0.25">
      <c r="M2363" s="514"/>
      <c r="Q2363" s="293"/>
      <c r="R2363" s="316"/>
      <c r="S2363" s="355"/>
    </row>
    <row r="2364" spans="13:19" x14ac:dyDescent="0.25">
      <c r="M2364" s="514"/>
      <c r="Q2364" s="293"/>
      <c r="R2364" s="316"/>
      <c r="S2364" s="355"/>
    </row>
    <row r="2365" spans="13:19" x14ac:dyDescent="0.25">
      <c r="M2365" s="514"/>
      <c r="Q2365" s="293"/>
      <c r="R2365" s="316"/>
      <c r="S2365" s="355"/>
    </row>
    <row r="2366" spans="13:19" x14ac:dyDescent="0.25">
      <c r="M2366" s="514"/>
      <c r="Q2366" s="293"/>
      <c r="R2366" s="316"/>
      <c r="S2366" s="355"/>
    </row>
    <row r="2367" spans="13:19" x14ac:dyDescent="0.25">
      <c r="M2367" s="514"/>
      <c r="Q2367" s="293"/>
      <c r="R2367" s="316"/>
      <c r="S2367" s="355"/>
    </row>
    <row r="2368" spans="13:19" x14ac:dyDescent="0.25">
      <c r="M2368" s="514"/>
      <c r="Q2368" s="293"/>
      <c r="R2368" s="316"/>
      <c r="S2368" s="355"/>
    </row>
    <row r="2369" spans="13:19" x14ac:dyDescent="0.25">
      <c r="M2369" s="514"/>
      <c r="Q2369" s="293"/>
      <c r="R2369" s="316"/>
      <c r="S2369" s="355"/>
    </row>
    <row r="2370" spans="13:19" x14ac:dyDescent="0.25">
      <c r="M2370" s="514"/>
      <c r="Q2370" s="293"/>
      <c r="R2370" s="316"/>
      <c r="S2370" s="355"/>
    </row>
    <row r="2371" spans="13:19" x14ac:dyDescent="0.25">
      <c r="M2371" s="514"/>
      <c r="Q2371" s="293"/>
      <c r="R2371" s="316"/>
      <c r="S2371" s="355"/>
    </row>
    <row r="2372" spans="13:19" x14ac:dyDescent="0.25">
      <c r="M2372" s="514"/>
      <c r="Q2372" s="293"/>
      <c r="R2372" s="316"/>
      <c r="S2372" s="355"/>
    </row>
    <row r="2373" spans="13:19" x14ac:dyDescent="0.25">
      <c r="M2373" s="514"/>
      <c r="Q2373" s="293"/>
      <c r="R2373" s="316"/>
      <c r="S2373" s="355"/>
    </row>
    <row r="2374" spans="13:19" x14ac:dyDescent="0.25">
      <c r="M2374" s="514"/>
      <c r="Q2374" s="293"/>
      <c r="R2374" s="316"/>
      <c r="S2374" s="355"/>
    </row>
    <row r="2375" spans="13:19" x14ac:dyDescent="0.25">
      <c r="M2375" s="514"/>
      <c r="Q2375" s="293"/>
      <c r="R2375" s="316"/>
      <c r="S2375" s="355"/>
    </row>
    <row r="2376" spans="13:19" x14ac:dyDescent="0.25">
      <c r="M2376" s="514"/>
      <c r="Q2376" s="293"/>
      <c r="R2376" s="316"/>
      <c r="S2376" s="355"/>
    </row>
    <row r="2377" spans="13:19" x14ac:dyDescent="0.25">
      <c r="M2377" s="514"/>
      <c r="Q2377" s="293"/>
      <c r="R2377" s="316"/>
      <c r="S2377" s="355"/>
    </row>
    <row r="2378" spans="13:19" x14ac:dyDescent="0.25">
      <c r="M2378" s="514"/>
      <c r="Q2378" s="293"/>
      <c r="R2378" s="316"/>
      <c r="S2378" s="355"/>
    </row>
    <row r="2379" spans="13:19" x14ac:dyDescent="0.25">
      <c r="M2379" s="514"/>
      <c r="Q2379" s="293"/>
      <c r="R2379" s="316"/>
      <c r="S2379" s="355"/>
    </row>
    <row r="2380" spans="13:19" x14ac:dyDescent="0.25">
      <c r="M2380" s="514"/>
      <c r="Q2380" s="293"/>
      <c r="R2380" s="316"/>
      <c r="S2380" s="355"/>
    </row>
    <row r="2381" spans="13:19" x14ac:dyDescent="0.25">
      <c r="M2381" s="514"/>
      <c r="Q2381" s="293"/>
      <c r="R2381" s="316"/>
      <c r="S2381" s="355"/>
    </row>
    <row r="2382" spans="13:19" x14ac:dyDescent="0.25">
      <c r="M2382" s="514"/>
      <c r="Q2382" s="293"/>
      <c r="R2382" s="316"/>
      <c r="S2382" s="355"/>
    </row>
    <row r="2383" spans="13:19" x14ac:dyDescent="0.25">
      <c r="M2383" s="514"/>
      <c r="Q2383" s="293"/>
      <c r="R2383" s="316"/>
      <c r="S2383" s="355"/>
    </row>
    <row r="2384" spans="13:19" x14ac:dyDescent="0.25">
      <c r="M2384" s="514"/>
      <c r="Q2384" s="293"/>
      <c r="R2384" s="316"/>
      <c r="S2384" s="355"/>
    </row>
    <row r="2385" spans="13:19" x14ac:dyDescent="0.25">
      <c r="M2385" s="514"/>
      <c r="Q2385" s="293"/>
      <c r="R2385" s="316"/>
      <c r="S2385" s="355"/>
    </row>
    <row r="2386" spans="13:19" x14ac:dyDescent="0.25">
      <c r="M2386" s="514"/>
      <c r="Q2386" s="293"/>
      <c r="R2386" s="316"/>
      <c r="S2386" s="355"/>
    </row>
    <row r="2387" spans="13:19" x14ac:dyDescent="0.25">
      <c r="M2387" s="514"/>
      <c r="Q2387" s="293"/>
      <c r="R2387" s="316"/>
      <c r="S2387" s="355"/>
    </row>
    <row r="2388" spans="13:19" x14ac:dyDescent="0.25">
      <c r="M2388" s="514"/>
      <c r="Q2388" s="293"/>
      <c r="R2388" s="316"/>
      <c r="S2388" s="355"/>
    </row>
    <row r="2389" spans="13:19" x14ac:dyDescent="0.25">
      <c r="M2389" s="514"/>
      <c r="Q2389" s="293"/>
      <c r="R2389" s="316"/>
      <c r="S2389" s="355"/>
    </row>
    <row r="2390" spans="13:19" x14ac:dyDescent="0.25">
      <c r="M2390" s="514"/>
      <c r="Q2390" s="293"/>
      <c r="R2390" s="316"/>
      <c r="S2390" s="355"/>
    </row>
    <row r="2391" spans="13:19" x14ac:dyDescent="0.25">
      <c r="M2391" s="514"/>
      <c r="Q2391" s="293"/>
      <c r="R2391" s="316"/>
      <c r="S2391" s="355"/>
    </row>
    <row r="2392" spans="13:19" x14ac:dyDescent="0.25">
      <c r="M2392" s="514"/>
      <c r="Q2392" s="293"/>
      <c r="R2392" s="316"/>
      <c r="S2392" s="355"/>
    </row>
    <row r="2393" spans="13:19" x14ac:dyDescent="0.25">
      <c r="M2393" s="514"/>
      <c r="Q2393" s="293"/>
      <c r="R2393" s="316"/>
      <c r="S2393" s="355"/>
    </row>
    <row r="2394" spans="13:19" x14ac:dyDescent="0.25">
      <c r="M2394" s="514"/>
      <c r="Q2394" s="293"/>
      <c r="R2394" s="316"/>
      <c r="S2394" s="355"/>
    </row>
    <row r="2395" spans="13:19" x14ac:dyDescent="0.25">
      <c r="M2395" s="514"/>
      <c r="Q2395" s="293"/>
      <c r="R2395" s="316"/>
      <c r="S2395" s="355"/>
    </row>
    <row r="2396" spans="13:19" x14ac:dyDescent="0.25">
      <c r="M2396" s="514"/>
      <c r="Q2396" s="293"/>
      <c r="R2396" s="316"/>
      <c r="S2396" s="355"/>
    </row>
    <row r="2397" spans="13:19" x14ac:dyDescent="0.25">
      <c r="M2397" s="514"/>
      <c r="Q2397" s="293"/>
      <c r="R2397" s="316"/>
      <c r="S2397" s="355"/>
    </row>
    <row r="2398" spans="13:19" x14ac:dyDescent="0.25">
      <c r="M2398" s="514"/>
      <c r="Q2398" s="293"/>
      <c r="R2398" s="316"/>
      <c r="S2398" s="355"/>
    </row>
    <row r="2399" spans="13:19" x14ac:dyDescent="0.25">
      <c r="M2399" s="514"/>
      <c r="Q2399" s="293"/>
      <c r="R2399" s="316"/>
      <c r="S2399" s="355"/>
    </row>
    <row r="2400" spans="13:19" x14ac:dyDescent="0.25">
      <c r="M2400" s="514"/>
      <c r="Q2400" s="293"/>
      <c r="R2400" s="316"/>
      <c r="S2400" s="355"/>
    </row>
    <row r="2401" spans="13:19" x14ac:dyDescent="0.25">
      <c r="M2401" s="514"/>
      <c r="Q2401" s="293"/>
      <c r="R2401" s="316"/>
      <c r="S2401" s="355"/>
    </row>
    <row r="2402" spans="13:19" x14ac:dyDescent="0.25">
      <c r="M2402" s="514"/>
      <c r="Q2402" s="293"/>
      <c r="R2402" s="316"/>
      <c r="S2402" s="355"/>
    </row>
    <row r="2403" spans="13:19" x14ac:dyDescent="0.25">
      <c r="M2403" s="514"/>
      <c r="Q2403" s="293"/>
      <c r="R2403" s="316"/>
      <c r="S2403" s="355"/>
    </row>
    <row r="2404" spans="13:19" x14ac:dyDescent="0.25">
      <c r="M2404" s="514"/>
      <c r="Q2404" s="293"/>
      <c r="R2404" s="316"/>
      <c r="S2404" s="355"/>
    </row>
    <row r="2405" spans="13:19" x14ac:dyDescent="0.25">
      <c r="M2405" s="514"/>
      <c r="Q2405" s="293"/>
      <c r="R2405" s="316"/>
      <c r="S2405" s="355"/>
    </row>
    <row r="2406" spans="13:19" x14ac:dyDescent="0.25">
      <c r="M2406" s="514"/>
      <c r="Q2406" s="293"/>
      <c r="R2406" s="316"/>
      <c r="S2406" s="355"/>
    </row>
    <row r="2407" spans="13:19" x14ac:dyDescent="0.25">
      <c r="M2407" s="514"/>
      <c r="Q2407" s="293"/>
      <c r="R2407" s="316"/>
      <c r="S2407" s="355"/>
    </row>
    <row r="2408" spans="13:19" x14ac:dyDescent="0.25">
      <c r="M2408" s="514"/>
      <c r="Q2408" s="293"/>
      <c r="R2408" s="316"/>
      <c r="S2408" s="355"/>
    </row>
    <row r="2409" spans="13:19" x14ac:dyDescent="0.25">
      <c r="M2409" s="514"/>
      <c r="Q2409" s="293"/>
      <c r="R2409" s="316"/>
      <c r="S2409" s="355"/>
    </row>
    <row r="2410" spans="13:19" x14ac:dyDescent="0.25">
      <c r="M2410" s="514"/>
      <c r="Q2410" s="293"/>
      <c r="R2410" s="316"/>
      <c r="S2410" s="355"/>
    </row>
    <row r="2411" spans="13:19" x14ac:dyDescent="0.25">
      <c r="M2411" s="514"/>
      <c r="Q2411" s="293"/>
      <c r="R2411" s="316"/>
      <c r="S2411" s="355"/>
    </row>
    <row r="2412" spans="13:19" x14ac:dyDescent="0.25">
      <c r="M2412" s="514"/>
      <c r="Q2412" s="293"/>
      <c r="R2412" s="316"/>
      <c r="S2412" s="355"/>
    </row>
    <row r="2413" spans="13:19" x14ac:dyDescent="0.25">
      <c r="M2413" s="514"/>
      <c r="Q2413" s="293"/>
      <c r="R2413" s="316"/>
      <c r="S2413" s="355"/>
    </row>
    <row r="2414" spans="13:19" x14ac:dyDescent="0.25">
      <c r="M2414" s="514"/>
      <c r="Q2414" s="293"/>
      <c r="R2414" s="316"/>
      <c r="S2414" s="355"/>
    </row>
    <row r="2415" spans="13:19" x14ac:dyDescent="0.25">
      <c r="M2415" s="514"/>
      <c r="Q2415" s="293"/>
      <c r="R2415" s="316"/>
      <c r="S2415" s="355"/>
    </row>
    <row r="2416" spans="13:19" x14ac:dyDescent="0.25">
      <c r="M2416" s="514"/>
      <c r="Q2416" s="293"/>
      <c r="R2416" s="316"/>
      <c r="S2416" s="355"/>
    </row>
    <row r="2417" spans="13:19" x14ac:dyDescent="0.25">
      <c r="M2417" s="514"/>
      <c r="Q2417" s="293"/>
      <c r="R2417" s="316"/>
      <c r="S2417" s="355"/>
    </row>
    <row r="2418" spans="13:19" x14ac:dyDescent="0.25">
      <c r="M2418" s="514"/>
      <c r="Q2418" s="293"/>
      <c r="R2418" s="316"/>
      <c r="S2418" s="355"/>
    </row>
    <row r="2419" spans="13:19" x14ac:dyDescent="0.25">
      <c r="M2419" s="514"/>
      <c r="Q2419" s="293"/>
      <c r="R2419" s="316"/>
      <c r="S2419" s="355"/>
    </row>
    <row r="2420" spans="13:19" x14ac:dyDescent="0.25">
      <c r="M2420" s="514"/>
      <c r="Q2420" s="293"/>
      <c r="R2420" s="316"/>
      <c r="S2420" s="355"/>
    </row>
    <row r="2421" spans="13:19" x14ac:dyDescent="0.25">
      <c r="M2421" s="514"/>
      <c r="Q2421" s="293"/>
      <c r="R2421" s="316"/>
      <c r="S2421" s="355"/>
    </row>
    <row r="2422" spans="13:19" x14ac:dyDescent="0.25">
      <c r="M2422" s="514"/>
      <c r="Q2422" s="293"/>
      <c r="R2422" s="316"/>
      <c r="S2422" s="355"/>
    </row>
    <row r="2423" spans="13:19" x14ac:dyDescent="0.25">
      <c r="M2423" s="514"/>
      <c r="Q2423" s="293"/>
      <c r="R2423" s="316"/>
      <c r="S2423" s="355"/>
    </row>
    <row r="2424" spans="13:19" x14ac:dyDescent="0.25">
      <c r="M2424" s="514"/>
      <c r="Q2424" s="293"/>
      <c r="R2424" s="316"/>
      <c r="S2424" s="355"/>
    </row>
    <row r="2425" spans="13:19" x14ac:dyDescent="0.25">
      <c r="M2425" s="514"/>
      <c r="Q2425" s="293"/>
      <c r="R2425" s="316"/>
      <c r="S2425" s="355"/>
    </row>
    <row r="2426" spans="13:19" x14ac:dyDescent="0.25">
      <c r="M2426" s="514"/>
      <c r="Q2426" s="293"/>
      <c r="R2426" s="316"/>
      <c r="S2426" s="355"/>
    </row>
    <row r="2427" spans="13:19" x14ac:dyDescent="0.25">
      <c r="M2427" s="514"/>
      <c r="Q2427" s="293"/>
      <c r="R2427" s="316"/>
      <c r="S2427" s="355"/>
    </row>
    <row r="2428" spans="13:19" x14ac:dyDescent="0.25">
      <c r="M2428" s="514"/>
      <c r="Q2428" s="293"/>
      <c r="R2428" s="316"/>
      <c r="S2428" s="355"/>
    </row>
    <row r="2429" spans="13:19" x14ac:dyDescent="0.25">
      <c r="M2429" s="514"/>
      <c r="Q2429" s="293"/>
      <c r="R2429" s="316"/>
      <c r="S2429" s="355"/>
    </row>
    <row r="2430" spans="13:19" x14ac:dyDescent="0.25">
      <c r="M2430" s="514"/>
      <c r="Q2430" s="293"/>
      <c r="R2430" s="316"/>
      <c r="S2430" s="355"/>
    </row>
    <row r="2431" spans="13:19" x14ac:dyDescent="0.25">
      <c r="M2431" s="514"/>
      <c r="Q2431" s="293"/>
      <c r="R2431" s="316"/>
      <c r="S2431" s="355"/>
    </row>
    <row r="2432" spans="13:19" x14ac:dyDescent="0.25">
      <c r="M2432" s="514"/>
      <c r="Q2432" s="293"/>
      <c r="R2432" s="316"/>
      <c r="S2432" s="355"/>
    </row>
    <row r="2433" spans="13:19" x14ac:dyDescent="0.25">
      <c r="M2433" s="514"/>
      <c r="Q2433" s="293"/>
      <c r="R2433" s="316"/>
      <c r="S2433" s="355"/>
    </row>
    <row r="2434" spans="13:19" x14ac:dyDescent="0.25">
      <c r="M2434" s="514"/>
      <c r="Q2434" s="293"/>
      <c r="R2434" s="316"/>
      <c r="S2434" s="355"/>
    </row>
    <row r="2435" spans="13:19" x14ac:dyDescent="0.25">
      <c r="M2435" s="514"/>
      <c r="Q2435" s="293"/>
      <c r="R2435" s="316"/>
      <c r="S2435" s="355"/>
    </row>
    <row r="2436" spans="13:19" x14ac:dyDescent="0.25">
      <c r="M2436" s="514"/>
      <c r="Q2436" s="293"/>
      <c r="R2436" s="316"/>
      <c r="S2436" s="355"/>
    </row>
    <row r="2437" spans="13:19" x14ac:dyDescent="0.25">
      <c r="M2437" s="514"/>
      <c r="Q2437" s="293"/>
      <c r="R2437" s="316"/>
      <c r="S2437" s="355"/>
    </row>
    <row r="2438" spans="13:19" x14ac:dyDescent="0.25">
      <c r="M2438" s="514"/>
      <c r="Q2438" s="293"/>
      <c r="R2438" s="316"/>
      <c r="S2438" s="355"/>
    </row>
    <row r="2439" spans="13:19" x14ac:dyDescent="0.25">
      <c r="M2439" s="514"/>
      <c r="Q2439" s="293"/>
      <c r="R2439" s="316"/>
      <c r="S2439" s="355"/>
    </row>
    <row r="2440" spans="13:19" x14ac:dyDescent="0.25">
      <c r="M2440" s="514"/>
      <c r="Q2440" s="293"/>
      <c r="R2440" s="316"/>
      <c r="S2440" s="355"/>
    </row>
    <row r="2441" spans="13:19" x14ac:dyDescent="0.25">
      <c r="M2441" s="514"/>
      <c r="Q2441" s="293"/>
      <c r="R2441" s="316"/>
      <c r="S2441" s="355"/>
    </row>
    <row r="2442" spans="13:19" x14ac:dyDescent="0.25">
      <c r="M2442" s="514"/>
      <c r="Q2442" s="293"/>
      <c r="R2442" s="316"/>
      <c r="S2442" s="355"/>
    </row>
    <row r="2443" spans="13:19" x14ac:dyDescent="0.25">
      <c r="M2443" s="514"/>
      <c r="Q2443" s="293"/>
      <c r="R2443" s="316"/>
      <c r="S2443" s="355"/>
    </row>
    <row r="2444" spans="13:19" x14ac:dyDescent="0.25">
      <c r="M2444" s="514"/>
      <c r="Q2444" s="293"/>
      <c r="R2444" s="316"/>
      <c r="S2444" s="355"/>
    </row>
    <row r="2445" spans="13:19" x14ac:dyDescent="0.25">
      <c r="M2445" s="514"/>
      <c r="Q2445" s="293"/>
      <c r="R2445" s="316"/>
      <c r="S2445" s="355"/>
    </row>
    <row r="2446" spans="13:19" x14ac:dyDescent="0.25">
      <c r="M2446" s="514"/>
      <c r="Q2446" s="293"/>
      <c r="R2446" s="316"/>
      <c r="S2446" s="355"/>
    </row>
    <row r="2447" spans="13:19" x14ac:dyDescent="0.25">
      <c r="M2447" s="514"/>
      <c r="Q2447" s="293"/>
      <c r="R2447" s="316"/>
      <c r="S2447" s="355"/>
    </row>
    <row r="2448" spans="13:19" x14ac:dyDescent="0.25">
      <c r="M2448" s="514"/>
      <c r="Q2448" s="293"/>
      <c r="R2448" s="316"/>
      <c r="S2448" s="355"/>
    </row>
    <row r="2449" spans="13:19" x14ac:dyDescent="0.25">
      <c r="M2449" s="514"/>
      <c r="Q2449" s="293"/>
      <c r="R2449" s="316"/>
      <c r="S2449" s="355"/>
    </row>
    <row r="2450" spans="13:19" x14ac:dyDescent="0.25">
      <c r="M2450" s="514"/>
      <c r="Q2450" s="293"/>
      <c r="R2450" s="316"/>
      <c r="S2450" s="355"/>
    </row>
    <row r="2451" spans="13:19" x14ac:dyDescent="0.25">
      <c r="M2451" s="514"/>
      <c r="Q2451" s="293"/>
      <c r="R2451" s="316"/>
      <c r="S2451" s="355"/>
    </row>
    <row r="2452" spans="13:19" x14ac:dyDescent="0.25">
      <c r="M2452" s="514"/>
      <c r="Q2452" s="293"/>
      <c r="R2452" s="316"/>
      <c r="S2452" s="355"/>
    </row>
    <row r="2453" spans="13:19" x14ac:dyDescent="0.25">
      <c r="M2453" s="514"/>
      <c r="Q2453" s="293"/>
      <c r="R2453" s="316"/>
      <c r="S2453" s="355"/>
    </row>
    <row r="2454" spans="13:19" x14ac:dyDescent="0.25">
      <c r="M2454" s="514"/>
      <c r="Q2454" s="293"/>
      <c r="R2454" s="316"/>
      <c r="S2454" s="355"/>
    </row>
    <row r="2455" spans="13:19" x14ac:dyDescent="0.25">
      <c r="M2455" s="514"/>
      <c r="Q2455" s="293"/>
      <c r="R2455" s="316"/>
      <c r="S2455" s="355"/>
    </row>
    <row r="2456" spans="13:19" x14ac:dyDescent="0.25">
      <c r="M2456" s="514"/>
      <c r="Q2456" s="293"/>
      <c r="R2456" s="316"/>
      <c r="S2456" s="355"/>
    </row>
    <row r="2457" spans="13:19" x14ac:dyDescent="0.25">
      <c r="M2457" s="514"/>
      <c r="Q2457" s="293"/>
      <c r="R2457" s="316"/>
      <c r="S2457" s="355"/>
    </row>
    <row r="2458" spans="13:19" x14ac:dyDescent="0.25">
      <c r="M2458" s="514"/>
      <c r="Q2458" s="293"/>
      <c r="R2458" s="316"/>
      <c r="S2458" s="355"/>
    </row>
    <row r="2459" spans="13:19" x14ac:dyDescent="0.25">
      <c r="M2459" s="514"/>
      <c r="Q2459" s="293"/>
      <c r="R2459" s="316"/>
      <c r="S2459" s="355"/>
    </row>
    <row r="2460" spans="13:19" x14ac:dyDescent="0.25">
      <c r="M2460" s="514"/>
      <c r="Q2460" s="293"/>
      <c r="R2460" s="316"/>
      <c r="S2460" s="355"/>
    </row>
    <row r="2461" spans="13:19" x14ac:dyDescent="0.25">
      <c r="M2461" s="514"/>
      <c r="Q2461" s="293"/>
      <c r="R2461" s="316"/>
      <c r="S2461" s="355"/>
    </row>
    <row r="2462" spans="13:19" x14ac:dyDescent="0.25">
      <c r="M2462" s="514"/>
      <c r="Q2462" s="293"/>
      <c r="R2462" s="316"/>
      <c r="S2462" s="355"/>
    </row>
    <row r="2463" spans="13:19" x14ac:dyDescent="0.25">
      <c r="M2463" s="514"/>
      <c r="Q2463" s="293"/>
      <c r="R2463" s="316"/>
      <c r="S2463" s="355"/>
    </row>
    <row r="2464" spans="13:19" x14ac:dyDescent="0.25">
      <c r="M2464" s="514"/>
      <c r="Q2464" s="293"/>
      <c r="R2464" s="316"/>
      <c r="S2464" s="355"/>
    </row>
    <row r="2465" spans="13:19" x14ac:dyDescent="0.25">
      <c r="M2465" s="514"/>
      <c r="Q2465" s="293"/>
      <c r="R2465" s="316"/>
      <c r="S2465" s="355"/>
    </row>
    <row r="2466" spans="13:19" x14ac:dyDescent="0.25">
      <c r="M2466" s="514"/>
      <c r="Q2466" s="293"/>
      <c r="R2466" s="316"/>
      <c r="S2466" s="355"/>
    </row>
    <row r="2467" spans="13:19" x14ac:dyDescent="0.25">
      <c r="M2467" s="514"/>
      <c r="Q2467" s="293"/>
      <c r="R2467" s="316"/>
      <c r="S2467" s="355"/>
    </row>
    <row r="2468" spans="13:19" x14ac:dyDescent="0.25">
      <c r="M2468" s="514"/>
      <c r="Q2468" s="293"/>
      <c r="R2468" s="316"/>
      <c r="S2468" s="355"/>
    </row>
    <row r="2469" spans="13:19" x14ac:dyDescent="0.25">
      <c r="M2469" s="514"/>
      <c r="Q2469" s="293"/>
      <c r="R2469" s="316"/>
      <c r="S2469" s="355"/>
    </row>
    <row r="2470" spans="13:19" x14ac:dyDescent="0.25">
      <c r="M2470" s="514"/>
      <c r="Q2470" s="293"/>
      <c r="R2470" s="316"/>
      <c r="S2470" s="355"/>
    </row>
    <row r="2471" spans="13:19" x14ac:dyDescent="0.25">
      <c r="M2471" s="514"/>
      <c r="Q2471" s="293"/>
      <c r="R2471" s="316"/>
      <c r="S2471" s="355"/>
    </row>
    <row r="2472" spans="13:19" x14ac:dyDescent="0.25">
      <c r="M2472" s="514"/>
      <c r="Q2472" s="293"/>
      <c r="R2472" s="316"/>
      <c r="S2472" s="355"/>
    </row>
    <row r="2473" spans="13:19" x14ac:dyDescent="0.25">
      <c r="M2473" s="514"/>
      <c r="Q2473" s="293"/>
      <c r="R2473" s="316"/>
      <c r="S2473" s="355"/>
    </row>
    <row r="2474" spans="13:19" x14ac:dyDescent="0.25">
      <c r="M2474" s="514"/>
      <c r="Q2474" s="293"/>
      <c r="R2474" s="316"/>
      <c r="S2474" s="355"/>
    </row>
    <row r="2475" spans="13:19" x14ac:dyDescent="0.25">
      <c r="M2475" s="514"/>
      <c r="Q2475" s="293"/>
      <c r="R2475" s="316"/>
      <c r="S2475" s="355"/>
    </row>
    <row r="2476" spans="13:19" x14ac:dyDescent="0.25">
      <c r="M2476" s="514"/>
      <c r="Q2476" s="293"/>
      <c r="R2476" s="316"/>
      <c r="S2476" s="355"/>
    </row>
    <row r="2477" spans="13:19" x14ac:dyDescent="0.25">
      <c r="M2477" s="514"/>
      <c r="Q2477" s="293"/>
      <c r="R2477" s="316"/>
      <c r="S2477" s="355"/>
    </row>
    <row r="2478" spans="13:19" x14ac:dyDescent="0.25">
      <c r="M2478" s="514"/>
      <c r="Q2478" s="293"/>
      <c r="R2478" s="316"/>
      <c r="S2478" s="355"/>
    </row>
    <row r="2479" spans="13:19" x14ac:dyDescent="0.25">
      <c r="M2479" s="514"/>
      <c r="Q2479" s="293"/>
      <c r="R2479" s="316"/>
      <c r="S2479" s="355"/>
    </row>
    <row r="2480" spans="13:19" x14ac:dyDescent="0.25">
      <c r="M2480" s="514"/>
      <c r="Q2480" s="293"/>
      <c r="R2480" s="316"/>
      <c r="S2480" s="355"/>
    </row>
    <row r="2481" spans="13:19" x14ac:dyDescent="0.25">
      <c r="M2481" s="514"/>
      <c r="Q2481" s="293"/>
      <c r="R2481" s="316"/>
      <c r="S2481" s="355"/>
    </row>
    <row r="2482" spans="13:19" x14ac:dyDescent="0.25">
      <c r="M2482" s="514"/>
      <c r="Q2482" s="293"/>
      <c r="R2482" s="316"/>
      <c r="S2482" s="355"/>
    </row>
    <row r="2483" spans="13:19" x14ac:dyDescent="0.25">
      <c r="M2483" s="514"/>
      <c r="Q2483" s="293"/>
      <c r="R2483" s="316"/>
      <c r="S2483" s="355"/>
    </row>
    <row r="2484" spans="13:19" x14ac:dyDescent="0.25">
      <c r="M2484" s="514"/>
      <c r="Q2484" s="293"/>
      <c r="R2484" s="316"/>
      <c r="S2484" s="355"/>
    </row>
    <row r="2485" spans="13:19" x14ac:dyDescent="0.25">
      <c r="M2485" s="514"/>
      <c r="Q2485" s="293"/>
      <c r="R2485" s="316"/>
      <c r="S2485" s="355"/>
    </row>
    <row r="2486" spans="13:19" x14ac:dyDescent="0.25">
      <c r="M2486" s="514"/>
      <c r="Q2486" s="293"/>
      <c r="R2486" s="316"/>
      <c r="S2486" s="355"/>
    </row>
    <row r="2487" spans="13:19" x14ac:dyDescent="0.25">
      <c r="M2487" s="514"/>
      <c r="Q2487" s="293"/>
      <c r="R2487" s="316"/>
      <c r="S2487" s="355"/>
    </row>
    <row r="2488" spans="13:19" x14ac:dyDescent="0.25">
      <c r="M2488" s="514"/>
      <c r="Q2488" s="293"/>
      <c r="R2488" s="316"/>
      <c r="S2488" s="355"/>
    </row>
    <row r="2489" spans="13:19" x14ac:dyDescent="0.25">
      <c r="M2489" s="514"/>
      <c r="Q2489" s="293"/>
      <c r="R2489" s="316"/>
      <c r="S2489" s="355"/>
    </row>
    <row r="2490" spans="13:19" x14ac:dyDescent="0.25">
      <c r="M2490" s="514"/>
      <c r="Q2490" s="293"/>
      <c r="R2490" s="316"/>
      <c r="S2490" s="355"/>
    </row>
    <row r="2491" spans="13:19" x14ac:dyDescent="0.25">
      <c r="M2491" s="514"/>
      <c r="Q2491" s="293"/>
      <c r="R2491" s="316"/>
      <c r="S2491" s="355"/>
    </row>
    <row r="2492" spans="13:19" x14ac:dyDescent="0.25">
      <c r="M2492" s="514"/>
      <c r="Q2492" s="293"/>
      <c r="R2492" s="316"/>
      <c r="S2492" s="355"/>
    </row>
    <row r="2493" spans="13:19" x14ac:dyDescent="0.25">
      <c r="M2493" s="514"/>
      <c r="Q2493" s="293"/>
      <c r="R2493" s="316"/>
      <c r="S2493" s="355"/>
    </row>
    <row r="2494" spans="13:19" x14ac:dyDescent="0.25">
      <c r="M2494" s="514"/>
      <c r="Q2494" s="293"/>
      <c r="R2494" s="316"/>
      <c r="S2494" s="355"/>
    </row>
    <row r="2495" spans="13:19" x14ac:dyDescent="0.25">
      <c r="M2495" s="514"/>
      <c r="Q2495" s="293"/>
      <c r="R2495" s="316"/>
      <c r="S2495" s="355"/>
    </row>
    <row r="2496" spans="13:19" x14ac:dyDescent="0.25">
      <c r="M2496" s="514"/>
      <c r="Q2496" s="293"/>
      <c r="R2496" s="316"/>
      <c r="S2496" s="355"/>
    </row>
    <row r="2497" spans="13:19" x14ac:dyDescent="0.25">
      <c r="M2497" s="514"/>
      <c r="Q2497" s="293"/>
      <c r="R2497" s="316"/>
      <c r="S2497" s="355"/>
    </row>
    <row r="2498" spans="13:19" x14ac:dyDescent="0.25">
      <c r="M2498" s="514"/>
      <c r="Q2498" s="293"/>
      <c r="R2498" s="316"/>
      <c r="S2498" s="355"/>
    </row>
    <row r="2499" spans="13:19" x14ac:dyDescent="0.25">
      <c r="M2499" s="514"/>
      <c r="Q2499" s="293"/>
      <c r="R2499" s="316"/>
      <c r="S2499" s="355"/>
    </row>
    <row r="2500" spans="13:19" x14ac:dyDescent="0.25">
      <c r="M2500" s="514"/>
      <c r="Q2500" s="293"/>
      <c r="R2500" s="316"/>
      <c r="S2500" s="355"/>
    </row>
    <row r="2501" spans="13:19" x14ac:dyDescent="0.25">
      <c r="M2501" s="514"/>
      <c r="Q2501" s="293"/>
      <c r="R2501" s="316"/>
      <c r="S2501" s="355"/>
    </row>
    <row r="2502" spans="13:19" x14ac:dyDescent="0.25">
      <c r="M2502" s="514"/>
      <c r="Q2502" s="293"/>
      <c r="R2502" s="316"/>
      <c r="S2502" s="355"/>
    </row>
    <row r="2503" spans="13:19" x14ac:dyDescent="0.25">
      <c r="M2503" s="514"/>
      <c r="Q2503" s="293"/>
      <c r="R2503" s="316"/>
      <c r="S2503" s="355"/>
    </row>
    <row r="2504" spans="13:19" x14ac:dyDescent="0.25">
      <c r="M2504" s="514"/>
      <c r="Q2504" s="293"/>
      <c r="R2504" s="316"/>
      <c r="S2504" s="355"/>
    </row>
    <row r="2505" spans="13:19" x14ac:dyDescent="0.25">
      <c r="M2505" s="514"/>
      <c r="Q2505" s="293"/>
      <c r="R2505" s="316"/>
      <c r="S2505" s="355"/>
    </row>
    <row r="2506" spans="13:19" x14ac:dyDescent="0.25">
      <c r="M2506" s="514"/>
      <c r="Q2506" s="293"/>
      <c r="R2506" s="316"/>
      <c r="S2506" s="355"/>
    </row>
    <row r="2507" spans="13:19" x14ac:dyDescent="0.25">
      <c r="M2507" s="514"/>
      <c r="Q2507" s="293"/>
      <c r="R2507" s="316"/>
      <c r="S2507" s="355"/>
    </row>
    <row r="2508" spans="13:19" x14ac:dyDescent="0.25">
      <c r="M2508" s="514"/>
      <c r="Q2508" s="293"/>
      <c r="R2508" s="316"/>
      <c r="S2508" s="355"/>
    </row>
    <row r="2509" spans="13:19" x14ac:dyDescent="0.25">
      <c r="M2509" s="514"/>
      <c r="Q2509" s="293"/>
      <c r="R2509" s="316"/>
      <c r="S2509" s="355"/>
    </row>
    <row r="2510" spans="13:19" x14ac:dyDescent="0.25">
      <c r="M2510" s="514"/>
      <c r="Q2510" s="293"/>
      <c r="R2510" s="316"/>
      <c r="S2510" s="355"/>
    </row>
    <row r="2511" spans="13:19" x14ac:dyDescent="0.25">
      <c r="M2511" s="514"/>
      <c r="Q2511" s="293"/>
      <c r="R2511" s="316"/>
      <c r="S2511" s="355"/>
    </row>
    <row r="2512" spans="13:19" x14ac:dyDescent="0.25">
      <c r="M2512" s="514"/>
      <c r="Q2512" s="293"/>
      <c r="R2512" s="316"/>
      <c r="S2512" s="355"/>
    </row>
    <row r="2513" spans="13:19" x14ac:dyDescent="0.25">
      <c r="M2513" s="514"/>
      <c r="Q2513" s="293"/>
      <c r="R2513" s="316"/>
      <c r="S2513" s="355"/>
    </row>
    <row r="2514" spans="13:19" x14ac:dyDescent="0.25">
      <c r="M2514" s="514"/>
      <c r="Q2514" s="293"/>
      <c r="R2514" s="316"/>
      <c r="S2514" s="355"/>
    </row>
    <row r="2515" spans="13:19" x14ac:dyDescent="0.25">
      <c r="M2515" s="514"/>
      <c r="Q2515" s="293"/>
      <c r="R2515" s="316"/>
      <c r="S2515" s="355"/>
    </row>
    <row r="2516" spans="13:19" x14ac:dyDescent="0.25">
      <c r="M2516" s="514"/>
      <c r="Q2516" s="293"/>
      <c r="R2516" s="316"/>
      <c r="S2516" s="355"/>
    </row>
    <row r="2517" spans="13:19" x14ac:dyDescent="0.25">
      <c r="M2517" s="514"/>
      <c r="Q2517" s="293"/>
      <c r="R2517" s="316"/>
      <c r="S2517" s="355"/>
    </row>
    <row r="2518" spans="13:19" x14ac:dyDescent="0.25">
      <c r="M2518" s="514"/>
      <c r="Q2518" s="293"/>
      <c r="R2518" s="316"/>
      <c r="S2518" s="355"/>
    </row>
    <row r="2519" spans="13:19" x14ac:dyDescent="0.25">
      <c r="M2519" s="514"/>
      <c r="Q2519" s="293"/>
      <c r="R2519" s="316"/>
      <c r="S2519" s="355"/>
    </row>
    <row r="2520" spans="13:19" x14ac:dyDescent="0.25">
      <c r="M2520" s="514"/>
      <c r="Q2520" s="293"/>
      <c r="R2520" s="316"/>
      <c r="S2520" s="355"/>
    </row>
    <row r="2521" spans="13:19" x14ac:dyDescent="0.25">
      <c r="M2521" s="514"/>
      <c r="Q2521" s="293"/>
      <c r="R2521" s="316"/>
      <c r="S2521" s="355"/>
    </row>
    <row r="2522" spans="13:19" x14ac:dyDescent="0.25">
      <c r="M2522" s="514"/>
      <c r="Q2522" s="293"/>
      <c r="R2522" s="316"/>
      <c r="S2522" s="355"/>
    </row>
    <row r="2523" spans="13:19" x14ac:dyDescent="0.25">
      <c r="M2523" s="514"/>
      <c r="Q2523" s="293"/>
      <c r="R2523" s="316"/>
      <c r="S2523" s="355"/>
    </row>
    <row r="2524" spans="13:19" x14ac:dyDescent="0.25">
      <c r="M2524" s="514"/>
      <c r="Q2524" s="293"/>
      <c r="R2524" s="316"/>
      <c r="S2524" s="355"/>
    </row>
    <row r="2525" spans="13:19" x14ac:dyDescent="0.25">
      <c r="M2525" s="514"/>
      <c r="Q2525" s="293"/>
      <c r="R2525" s="316"/>
      <c r="S2525" s="355"/>
    </row>
    <row r="2526" spans="13:19" x14ac:dyDescent="0.25">
      <c r="M2526" s="514"/>
      <c r="Q2526" s="293"/>
      <c r="R2526" s="316"/>
      <c r="S2526" s="355"/>
    </row>
    <row r="2527" spans="13:19" x14ac:dyDescent="0.25">
      <c r="M2527" s="514"/>
      <c r="Q2527" s="293"/>
      <c r="R2527" s="316"/>
      <c r="S2527" s="355"/>
    </row>
    <row r="2528" spans="13:19" x14ac:dyDescent="0.25">
      <c r="M2528" s="514"/>
      <c r="Q2528" s="293"/>
      <c r="R2528" s="316"/>
      <c r="S2528" s="355"/>
    </row>
    <row r="2529" spans="13:19" x14ac:dyDescent="0.25">
      <c r="M2529" s="514"/>
      <c r="Q2529" s="293"/>
      <c r="R2529" s="316"/>
      <c r="S2529" s="355"/>
    </row>
    <row r="2530" spans="13:19" x14ac:dyDescent="0.25">
      <c r="M2530" s="514"/>
      <c r="Q2530" s="293"/>
      <c r="R2530" s="316"/>
      <c r="S2530" s="355"/>
    </row>
    <row r="2531" spans="13:19" x14ac:dyDescent="0.25">
      <c r="M2531" s="514"/>
      <c r="Q2531" s="293"/>
      <c r="R2531" s="316"/>
      <c r="S2531" s="355"/>
    </row>
    <row r="2532" spans="13:19" x14ac:dyDescent="0.25">
      <c r="M2532" s="514"/>
      <c r="Q2532" s="293"/>
      <c r="R2532" s="316"/>
      <c r="S2532" s="355"/>
    </row>
    <row r="2533" spans="13:19" x14ac:dyDescent="0.25">
      <c r="M2533" s="514"/>
      <c r="Q2533" s="293"/>
      <c r="R2533" s="316"/>
      <c r="S2533" s="355"/>
    </row>
    <row r="2534" spans="13:19" x14ac:dyDescent="0.25">
      <c r="M2534" s="514"/>
      <c r="Q2534" s="293"/>
      <c r="R2534" s="316"/>
      <c r="S2534" s="355"/>
    </row>
    <row r="2535" spans="13:19" x14ac:dyDescent="0.25">
      <c r="M2535" s="514"/>
      <c r="Q2535" s="293"/>
      <c r="R2535" s="316"/>
      <c r="S2535" s="355"/>
    </row>
    <row r="2536" spans="13:19" x14ac:dyDescent="0.25">
      <c r="M2536" s="514"/>
      <c r="Q2536" s="293"/>
      <c r="R2536" s="316"/>
      <c r="S2536" s="355"/>
    </row>
    <row r="2537" spans="13:19" x14ac:dyDescent="0.25">
      <c r="M2537" s="514"/>
      <c r="Q2537" s="293"/>
      <c r="R2537" s="316"/>
      <c r="S2537" s="355"/>
    </row>
    <row r="2538" spans="13:19" x14ac:dyDescent="0.25">
      <c r="M2538" s="514"/>
      <c r="Q2538" s="293"/>
      <c r="R2538" s="316"/>
      <c r="S2538" s="355"/>
    </row>
    <row r="2539" spans="13:19" x14ac:dyDescent="0.25">
      <c r="M2539" s="514"/>
      <c r="Q2539" s="293"/>
      <c r="R2539" s="316"/>
      <c r="S2539" s="355"/>
    </row>
    <row r="2540" spans="13:19" x14ac:dyDescent="0.25">
      <c r="M2540" s="514"/>
      <c r="Q2540" s="293"/>
      <c r="R2540" s="316"/>
      <c r="S2540" s="355"/>
    </row>
    <row r="2541" spans="13:19" x14ac:dyDescent="0.25">
      <c r="M2541" s="514"/>
      <c r="Q2541" s="293"/>
      <c r="R2541" s="316"/>
      <c r="S2541" s="355"/>
    </row>
    <row r="2542" spans="13:19" x14ac:dyDescent="0.25">
      <c r="M2542" s="514"/>
      <c r="Q2542" s="293"/>
      <c r="R2542" s="316"/>
      <c r="S2542" s="355"/>
    </row>
    <row r="2543" spans="13:19" x14ac:dyDescent="0.25">
      <c r="M2543" s="514"/>
      <c r="Q2543" s="293"/>
      <c r="R2543" s="316"/>
      <c r="S2543" s="355"/>
    </row>
    <row r="2544" spans="13:19" x14ac:dyDescent="0.25">
      <c r="M2544" s="514"/>
      <c r="Q2544" s="293"/>
      <c r="R2544" s="316"/>
      <c r="S2544" s="355"/>
    </row>
    <row r="2545" spans="13:19" x14ac:dyDescent="0.25">
      <c r="M2545" s="514"/>
      <c r="Q2545" s="293"/>
      <c r="R2545" s="316"/>
      <c r="S2545" s="355"/>
    </row>
    <row r="2546" spans="13:19" x14ac:dyDescent="0.25">
      <c r="M2546" s="514"/>
      <c r="Q2546" s="293"/>
      <c r="R2546" s="316"/>
      <c r="S2546" s="355"/>
    </row>
    <row r="2547" spans="13:19" x14ac:dyDescent="0.25">
      <c r="M2547" s="514"/>
      <c r="Q2547" s="293"/>
      <c r="R2547" s="316"/>
      <c r="S2547" s="355"/>
    </row>
    <row r="2548" spans="13:19" x14ac:dyDescent="0.25">
      <c r="M2548" s="514"/>
      <c r="Q2548" s="293"/>
      <c r="R2548" s="316"/>
      <c r="S2548" s="355"/>
    </row>
    <row r="2549" spans="13:19" x14ac:dyDescent="0.25">
      <c r="M2549" s="514"/>
      <c r="Q2549" s="293"/>
      <c r="R2549" s="316"/>
      <c r="S2549" s="355"/>
    </row>
    <row r="2550" spans="13:19" x14ac:dyDescent="0.25">
      <c r="M2550" s="514"/>
      <c r="Q2550" s="293"/>
      <c r="R2550" s="316"/>
      <c r="S2550" s="355"/>
    </row>
    <row r="2551" spans="13:19" x14ac:dyDescent="0.25">
      <c r="M2551" s="514"/>
      <c r="Q2551" s="293"/>
      <c r="R2551" s="316"/>
      <c r="S2551" s="355"/>
    </row>
    <row r="2552" spans="13:19" x14ac:dyDescent="0.25">
      <c r="M2552" s="514"/>
      <c r="Q2552" s="293"/>
      <c r="R2552" s="316"/>
      <c r="S2552" s="355"/>
    </row>
    <row r="2553" spans="13:19" x14ac:dyDescent="0.25">
      <c r="M2553" s="514"/>
      <c r="Q2553" s="293"/>
      <c r="R2553" s="316"/>
      <c r="S2553" s="355"/>
    </row>
    <row r="2554" spans="13:19" x14ac:dyDescent="0.25">
      <c r="M2554" s="514"/>
      <c r="Q2554" s="293"/>
      <c r="R2554" s="316"/>
      <c r="S2554" s="355"/>
    </row>
    <row r="2555" spans="13:19" x14ac:dyDescent="0.25">
      <c r="M2555" s="514"/>
      <c r="Q2555" s="293"/>
      <c r="R2555" s="316"/>
      <c r="S2555" s="355"/>
    </row>
    <row r="2556" spans="13:19" x14ac:dyDescent="0.25">
      <c r="M2556" s="514"/>
      <c r="Q2556" s="293"/>
      <c r="R2556" s="316"/>
      <c r="S2556" s="355"/>
    </row>
    <row r="2557" spans="13:19" x14ac:dyDescent="0.25">
      <c r="M2557" s="514"/>
      <c r="Q2557" s="293"/>
      <c r="R2557" s="316"/>
      <c r="S2557" s="355"/>
    </row>
    <row r="2558" spans="13:19" x14ac:dyDescent="0.25">
      <c r="M2558" s="514"/>
      <c r="Q2558" s="293"/>
      <c r="R2558" s="316"/>
      <c r="S2558" s="355"/>
    </row>
    <row r="2559" spans="13:19" x14ac:dyDescent="0.25">
      <c r="M2559" s="514"/>
      <c r="Q2559" s="293"/>
      <c r="R2559" s="316"/>
      <c r="S2559" s="355"/>
    </row>
    <row r="2560" spans="13:19" x14ac:dyDescent="0.25">
      <c r="M2560" s="514"/>
      <c r="Q2560" s="293"/>
      <c r="R2560" s="316"/>
      <c r="S2560" s="355"/>
    </row>
    <row r="2561" spans="13:19" x14ac:dyDescent="0.25">
      <c r="M2561" s="514"/>
      <c r="Q2561" s="293"/>
      <c r="R2561" s="316"/>
      <c r="S2561" s="355"/>
    </row>
    <row r="2562" spans="13:19" x14ac:dyDescent="0.25">
      <c r="M2562" s="514"/>
      <c r="Q2562" s="293"/>
      <c r="R2562" s="316"/>
      <c r="S2562" s="355"/>
    </row>
    <row r="2563" spans="13:19" x14ac:dyDescent="0.25">
      <c r="M2563" s="514"/>
      <c r="Q2563" s="293"/>
      <c r="R2563" s="316"/>
      <c r="S2563" s="355"/>
    </row>
    <row r="2564" spans="13:19" x14ac:dyDescent="0.25">
      <c r="M2564" s="514"/>
      <c r="Q2564" s="293"/>
      <c r="R2564" s="316"/>
      <c r="S2564" s="355"/>
    </row>
    <row r="2565" spans="13:19" x14ac:dyDescent="0.25">
      <c r="M2565" s="514"/>
      <c r="Q2565" s="293"/>
      <c r="R2565" s="316"/>
      <c r="S2565" s="355"/>
    </row>
    <row r="2566" spans="13:19" x14ac:dyDescent="0.25">
      <c r="M2566" s="514"/>
      <c r="Q2566" s="293"/>
      <c r="R2566" s="316"/>
      <c r="S2566" s="355"/>
    </row>
    <row r="2567" spans="13:19" x14ac:dyDescent="0.25">
      <c r="M2567" s="514"/>
      <c r="Q2567" s="293"/>
      <c r="R2567" s="316"/>
      <c r="S2567" s="355"/>
    </row>
    <row r="2568" spans="13:19" x14ac:dyDescent="0.25">
      <c r="M2568" s="514"/>
      <c r="Q2568" s="293"/>
      <c r="R2568" s="316"/>
      <c r="S2568" s="355"/>
    </row>
    <row r="2569" spans="13:19" x14ac:dyDescent="0.25">
      <c r="M2569" s="514"/>
      <c r="Q2569" s="293"/>
      <c r="R2569" s="316"/>
      <c r="S2569" s="355"/>
    </row>
    <row r="2570" spans="13:19" x14ac:dyDescent="0.25">
      <c r="M2570" s="514"/>
      <c r="Q2570" s="293"/>
      <c r="R2570" s="316"/>
      <c r="S2570" s="355"/>
    </row>
    <row r="2571" spans="13:19" x14ac:dyDescent="0.25">
      <c r="M2571" s="514"/>
      <c r="Q2571" s="293"/>
      <c r="R2571" s="316"/>
      <c r="S2571" s="355"/>
    </row>
    <row r="2572" spans="13:19" x14ac:dyDescent="0.25">
      <c r="M2572" s="514"/>
      <c r="Q2572" s="293"/>
      <c r="R2572" s="316"/>
      <c r="S2572" s="355"/>
    </row>
    <row r="2573" spans="13:19" x14ac:dyDescent="0.25">
      <c r="M2573" s="514"/>
      <c r="Q2573" s="293"/>
      <c r="R2573" s="316"/>
      <c r="S2573" s="355"/>
    </row>
    <row r="2574" spans="13:19" x14ac:dyDescent="0.25">
      <c r="M2574" s="514"/>
      <c r="Q2574" s="293"/>
      <c r="R2574" s="316"/>
      <c r="S2574" s="355"/>
    </row>
    <row r="2575" spans="13:19" x14ac:dyDescent="0.25">
      <c r="M2575" s="514"/>
      <c r="Q2575" s="293"/>
      <c r="R2575" s="316"/>
      <c r="S2575" s="355"/>
    </row>
    <row r="2576" spans="13:19" x14ac:dyDescent="0.25">
      <c r="M2576" s="514"/>
      <c r="Q2576" s="293"/>
      <c r="R2576" s="316"/>
      <c r="S2576" s="355"/>
    </row>
    <row r="2577" spans="13:19" x14ac:dyDescent="0.25">
      <c r="M2577" s="514"/>
      <c r="Q2577" s="293"/>
      <c r="R2577" s="316"/>
      <c r="S2577" s="355"/>
    </row>
    <row r="2578" spans="13:19" x14ac:dyDescent="0.25">
      <c r="M2578" s="514"/>
      <c r="Q2578" s="293"/>
      <c r="R2578" s="316"/>
      <c r="S2578" s="355"/>
    </row>
    <row r="2579" spans="13:19" x14ac:dyDescent="0.25">
      <c r="M2579" s="514"/>
      <c r="Q2579" s="293"/>
      <c r="R2579" s="316"/>
      <c r="S2579" s="355"/>
    </row>
    <row r="2580" spans="13:19" x14ac:dyDescent="0.25">
      <c r="M2580" s="514"/>
      <c r="Q2580" s="293"/>
      <c r="R2580" s="316"/>
      <c r="S2580" s="355"/>
    </row>
    <row r="2581" spans="13:19" x14ac:dyDescent="0.25">
      <c r="M2581" s="514"/>
      <c r="Q2581" s="293"/>
      <c r="R2581" s="316"/>
      <c r="S2581" s="355"/>
    </row>
    <row r="2582" spans="13:19" x14ac:dyDescent="0.25">
      <c r="M2582" s="514"/>
      <c r="Q2582" s="293"/>
      <c r="R2582" s="316"/>
      <c r="S2582" s="355"/>
    </row>
    <row r="2583" spans="13:19" x14ac:dyDescent="0.25">
      <c r="M2583" s="514"/>
      <c r="Q2583" s="293"/>
      <c r="R2583" s="316"/>
      <c r="S2583" s="355"/>
    </row>
    <row r="2584" spans="13:19" x14ac:dyDescent="0.25">
      <c r="M2584" s="514"/>
      <c r="Q2584" s="293"/>
      <c r="R2584" s="316"/>
      <c r="S2584" s="355"/>
    </row>
    <row r="2585" spans="13:19" x14ac:dyDescent="0.25">
      <c r="M2585" s="514"/>
      <c r="Q2585" s="293"/>
      <c r="R2585" s="316"/>
      <c r="S2585" s="355"/>
    </row>
    <row r="2586" spans="13:19" x14ac:dyDescent="0.25">
      <c r="M2586" s="514"/>
      <c r="Q2586" s="293"/>
      <c r="R2586" s="316"/>
      <c r="S2586" s="355"/>
    </row>
    <row r="2587" spans="13:19" x14ac:dyDescent="0.25">
      <c r="M2587" s="514"/>
      <c r="Q2587" s="293"/>
      <c r="R2587" s="316"/>
      <c r="S2587" s="355"/>
    </row>
    <row r="2588" spans="13:19" x14ac:dyDescent="0.25">
      <c r="M2588" s="514"/>
      <c r="Q2588" s="293"/>
      <c r="R2588" s="316"/>
      <c r="S2588" s="355"/>
    </row>
    <row r="2589" spans="13:19" x14ac:dyDescent="0.25">
      <c r="M2589" s="514"/>
      <c r="Q2589" s="293"/>
      <c r="R2589" s="316"/>
      <c r="S2589" s="355"/>
    </row>
    <row r="2590" spans="13:19" x14ac:dyDescent="0.25">
      <c r="M2590" s="514"/>
      <c r="Q2590" s="293"/>
      <c r="R2590" s="316"/>
      <c r="S2590" s="355"/>
    </row>
    <row r="2591" spans="13:19" x14ac:dyDescent="0.25">
      <c r="M2591" s="514"/>
      <c r="Q2591" s="293"/>
      <c r="R2591" s="316"/>
      <c r="S2591" s="355"/>
    </row>
    <row r="2592" spans="13:19" x14ac:dyDescent="0.25">
      <c r="M2592" s="514"/>
      <c r="Q2592" s="293"/>
      <c r="R2592" s="316"/>
      <c r="S2592" s="355"/>
    </row>
    <row r="2593" spans="13:19" x14ac:dyDescent="0.25">
      <c r="M2593" s="514"/>
      <c r="Q2593" s="293"/>
      <c r="R2593" s="316"/>
      <c r="S2593" s="355"/>
    </row>
    <row r="2594" spans="13:19" x14ac:dyDescent="0.25">
      <c r="M2594" s="514"/>
      <c r="Q2594" s="293"/>
      <c r="R2594" s="316"/>
      <c r="S2594" s="355"/>
    </row>
    <row r="2595" spans="13:19" x14ac:dyDescent="0.25">
      <c r="M2595" s="514"/>
      <c r="Q2595" s="293"/>
      <c r="R2595" s="316"/>
      <c r="S2595" s="355"/>
    </row>
    <row r="2596" spans="13:19" x14ac:dyDescent="0.25">
      <c r="M2596" s="514"/>
      <c r="Q2596" s="293"/>
      <c r="R2596" s="316"/>
      <c r="S2596" s="355"/>
    </row>
    <row r="2597" spans="13:19" x14ac:dyDescent="0.25">
      <c r="M2597" s="514"/>
      <c r="Q2597" s="293"/>
      <c r="R2597" s="316"/>
      <c r="S2597" s="355"/>
    </row>
    <row r="2598" spans="13:19" x14ac:dyDescent="0.25">
      <c r="M2598" s="514"/>
      <c r="Q2598" s="293"/>
      <c r="R2598" s="316"/>
      <c r="S2598" s="355"/>
    </row>
    <row r="2599" spans="13:19" x14ac:dyDescent="0.25">
      <c r="M2599" s="514"/>
      <c r="Q2599" s="293"/>
      <c r="R2599" s="316"/>
      <c r="S2599" s="355"/>
    </row>
    <row r="2600" spans="13:19" x14ac:dyDescent="0.25">
      <c r="M2600" s="514"/>
      <c r="Q2600" s="293"/>
      <c r="R2600" s="316"/>
      <c r="S2600" s="355"/>
    </row>
    <row r="2601" spans="13:19" x14ac:dyDescent="0.25">
      <c r="M2601" s="514"/>
      <c r="Q2601" s="293"/>
      <c r="R2601" s="316"/>
      <c r="S2601" s="355"/>
    </row>
    <row r="2602" spans="13:19" x14ac:dyDescent="0.25">
      <c r="M2602" s="514"/>
      <c r="Q2602" s="293"/>
      <c r="R2602" s="316"/>
      <c r="S2602" s="355"/>
    </row>
    <row r="2603" spans="13:19" x14ac:dyDescent="0.25">
      <c r="M2603" s="514"/>
      <c r="Q2603" s="293"/>
      <c r="R2603" s="316"/>
      <c r="S2603" s="355"/>
    </row>
    <row r="2604" spans="13:19" x14ac:dyDescent="0.25">
      <c r="M2604" s="514"/>
      <c r="Q2604" s="293"/>
      <c r="R2604" s="316"/>
      <c r="S2604" s="355"/>
    </row>
    <row r="2605" spans="13:19" x14ac:dyDescent="0.25">
      <c r="M2605" s="514"/>
      <c r="Q2605" s="293"/>
      <c r="R2605" s="316"/>
      <c r="S2605" s="355"/>
    </row>
    <row r="2606" spans="13:19" x14ac:dyDescent="0.25">
      <c r="M2606" s="514"/>
      <c r="Q2606" s="293"/>
      <c r="R2606" s="316"/>
      <c r="S2606" s="355"/>
    </row>
    <row r="2607" spans="13:19" x14ac:dyDescent="0.25">
      <c r="M2607" s="514"/>
      <c r="Q2607" s="293"/>
      <c r="R2607" s="316"/>
      <c r="S2607" s="355"/>
    </row>
    <row r="2608" spans="13:19" x14ac:dyDescent="0.25">
      <c r="M2608" s="514"/>
      <c r="Q2608" s="293"/>
      <c r="R2608" s="316"/>
      <c r="S2608" s="355"/>
    </row>
    <row r="2609" spans="13:19" x14ac:dyDescent="0.25">
      <c r="M2609" s="514"/>
      <c r="Q2609" s="293"/>
      <c r="R2609" s="316"/>
      <c r="S2609" s="355"/>
    </row>
    <row r="2610" spans="13:19" x14ac:dyDescent="0.25">
      <c r="M2610" s="514"/>
      <c r="Q2610" s="293"/>
      <c r="R2610" s="316"/>
      <c r="S2610" s="355"/>
    </row>
    <row r="2611" spans="13:19" x14ac:dyDescent="0.25">
      <c r="M2611" s="514"/>
      <c r="Q2611" s="293"/>
      <c r="R2611" s="316"/>
      <c r="S2611" s="355"/>
    </row>
    <row r="2612" spans="13:19" x14ac:dyDescent="0.25">
      <c r="M2612" s="514"/>
      <c r="Q2612" s="293"/>
      <c r="R2612" s="316"/>
      <c r="S2612" s="355"/>
    </row>
    <row r="2613" spans="13:19" x14ac:dyDescent="0.25">
      <c r="M2613" s="514"/>
      <c r="Q2613" s="293"/>
      <c r="R2613" s="316"/>
      <c r="S2613" s="355"/>
    </row>
    <row r="2614" spans="13:19" x14ac:dyDescent="0.25">
      <c r="M2614" s="514"/>
      <c r="Q2614" s="293"/>
      <c r="R2614" s="316"/>
      <c r="S2614" s="355"/>
    </row>
    <row r="2615" spans="13:19" x14ac:dyDescent="0.25">
      <c r="M2615" s="514"/>
      <c r="Q2615" s="293"/>
      <c r="R2615" s="316"/>
      <c r="S2615" s="355"/>
    </row>
    <row r="2616" spans="13:19" x14ac:dyDescent="0.25">
      <c r="M2616" s="514"/>
      <c r="Q2616" s="293"/>
      <c r="R2616" s="316"/>
      <c r="S2616" s="355"/>
    </row>
    <row r="2617" spans="13:19" x14ac:dyDescent="0.25">
      <c r="M2617" s="514"/>
      <c r="Q2617" s="293"/>
      <c r="R2617" s="316"/>
      <c r="S2617" s="355"/>
    </row>
    <row r="2618" spans="13:19" x14ac:dyDescent="0.25">
      <c r="M2618" s="514"/>
      <c r="Q2618" s="293"/>
      <c r="R2618" s="316"/>
      <c r="S2618" s="355"/>
    </row>
    <row r="2619" spans="13:19" x14ac:dyDescent="0.25">
      <c r="M2619" s="514"/>
      <c r="Q2619" s="293"/>
      <c r="R2619" s="316"/>
      <c r="S2619" s="355"/>
    </row>
    <row r="2620" spans="13:19" x14ac:dyDescent="0.25">
      <c r="M2620" s="514"/>
      <c r="Q2620" s="293"/>
      <c r="R2620" s="316"/>
      <c r="S2620" s="355"/>
    </row>
    <row r="2621" spans="13:19" x14ac:dyDescent="0.25">
      <c r="M2621" s="514"/>
      <c r="Q2621" s="293"/>
      <c r="R2621" s="316"/>
      <c r="S2621" s="355"/>
    </row>
    <row r="2622" spans="13:19" x14ac:dyDescent="0.25">
      <c r="M2622" s="514"/>
      <c r="Q2622" s="293"/>
      <c r="R2622" s="316"/>
      <c r="S2622" s="355"/>
    </row>
    <row r="2623" spans="13:19" x14ac:dyDescent="0.25">
      <c r="M2623" s="514"/>
      <c r="Q2623" s="293"/>
      <c r="R2623" s="316"/>
      <c r="S2623" s="355"/>
    </row>
    <row r="2624" spans="13:19" x14ac:dyDescent="0.25">
      <c r="M2624" s="514"/>
      <c r="Q2624" s="293"/>
      <c r="R2624" s="316"/>
      <c r="S2624" s="355"/>
    </row>
    <row r="2625" spans="13:19" x14ac:dyDescent="0.25">
      <c r="M2625" s="514"/>
      <c r="Q2625" s="293"/>
      <c r="R2625" s="316"/>
      <c r="S2625" s="355"/>
    </row>
    <row r="2626" spans="13:19" x14ac:dyDescent="0.25">
      <c r="M2626" s="514"/>
      <c r="Q2626" s="293"/>
      <c r="R2626" s="316"/>
      <c r="S2626" s="355"/>
    </row>
    <row r="2627" spans="13:19" x14ac:dyDescent="0.25">
      <c r="M2627" s="514"/>
      <c r="Q2627" s="293"/>
      <c r="R2627" s="316"/>
      <c r="S2627" s="355"/>
    </row>
    <row r="2628" spans="13:19" x14ac:dyDescent="0.25">
      <c r="M2628" s="514"/>
      <c r="Q2628" s="293"/>
      <c r="R2628" s="316"/>
      <c r="S2628" s="355"/>
    </row>
    <row r="2629" spans="13:19" x14ac:dyDescent="0.25">
      <c r="M2629" s="514"/>
      <c r="Q2629" s="293"/>
      <c r="R2629" s="316"/>
      <c r="S2629" s="355"/>
    </row>
    <row r="2630" spans="13:19" x14ac:dyDescent="0.25">
      <c r="M2630" s="514"/>
      <c r="Q2630" s="293"/>
      <c r="R2630" s="316"/>
      <c r="S2630" s="355"/>
    </row>
    <row r="2631" spans="13:19" x14ac:dyDescent="0.25">
      <c r="M2631" s="514"/>
      <c r="Q2631" s="293"/>
      <c r="R2631" s="316"/>
      <c r="S2631" s="355"/>
    </row>
    <row r="2632" spans="13:19" x14ac:dyDescent="0.25">
      <c r="M2632" s="514"/>
      <c r="Q2632" s="293"/>
      <c r="R2632" s="316"/>
      <c r="S2632" s="355"/>
    </row>
    <row r="2633" spans="13:19" x14ac:dyDescent="0.25">
      <c r="M2633" s="514"/>
      <c r="Q2633" s="293"/>
      <c r="R2633" s="316"/>
      <c r="S2633" s="355"/>
    </row>
    <row r="2634" spans="13:19" x14ac:dyDescent="0.25">
      <c r="M2634" s="514"/>
      <c r="Q2634" s="293"/>
      <c r="R2634" s="316"/>
      <c r="S2634" s="355"/>
    </row>
    <row r="2635" spans="13:19" x14ac:dyDescent="0.25">
      <c r="M2635" s="514"/>
      <c r="Q2635" s="293"/>
      <c r="R2635" s="316"/>
      <c r="S2635" s="355"/>
    </row>
    <row r="2636" spans="13:19" x14ac:dyDescent="0.25">
      <c r="M2636" s="514"/>
      <c r="Q2636" s="293"/>
      <c r="R2636" s="316"/>
      <c r="S2636" s="355"/>
    </row>
    <row r="2637" spans="13:19" x14ac:dyDescent="0.25">
      <c r="M2637" s="514"/>
      <c r="Q2637" s="293"/>
      <c r="R2637" s="316"/>
      <c r="S2637" s="355"/>
    </row>
    <row r="2638" spans="13:19" x14ac:dyDescent="0.25">
      <c r="M2638" s="514"/>
      <c r="Q2638" s="293"/>
      <c r="R2638" s="316"/>
      <c r="S2638" s="355"/>
    </row>
    <row r="2639" spans="13:19" x14ac:dyDescent="0.25">
      <c r="M2639" s="514"/>
      <c r="Q2639" s="293"/>
      <c r="R2639" s="316"/>
      <c r="S2639" s="355"/>
    </row>
    <row r="2640" spans="13:19" x14ac:dyDescent="0.25">
      <c r="M2640" s="514"/>
      <c r="Q2640" s="293"/>
      <c r="R2640" s="316"/>
      <c r="S2640" s="355"/>
    </row>
    <row r="2641" spans="13:19" x14ac:dyDescent="0.25">
      <c r="M2641" s="514"/>
      <c r="Q2641" s="293"/>
      <c r="R2641" s="316"/>
      <c r="S2641" s="355"/>
    </row>
    <row r="2642" spans="13:19" x14ac:dyDescent="0.25">
      <c r="M2642" s="514"/>
      <c r="Q2642" s="293"/>
      <c r="R2642" s="316"/>
      <c r="S2642" s="355"/>
    </row>
    <row r="2643" spans="13:19" x14ac:dyDescent="0.25">
      <c r="M2643" s="514"/>
      <c r="Q2643" s="293"/>
      <c r="R2643" s="316"/>
      <c r="S2643" s="355"/>
    </row>
    <row r="2644" spans="13:19" x14ac:dyDescent="0.25">
      <c r="M2644" s="514"/>
      <c r="Q2644" s="293"/>
      <c r="R2644" s="316"/>
      <c r="S2644" s="355"/>
    </row>
    <row r="2645" spans="13:19" x14ac:dyDescent="0.25">
      <c r="M2645" s="514"/>
      <c r="Q2645" s="293"/>
      <c r="R2645" s="316"/>
      <c r="S2645" s="355"/>
    </row>
    <row r="2646" spans="13:19" x14ac:dyDescent="0.25">
      <c r="M2646" s="514"/>
      <c r="Q2646" s="293"/>
      <c r="R2646" s="316"/>
      <c r="S2646" s="355"/>
    </row>
    <row r="2647" spans="13:19" x14ac:dyDescent="0.25">
      <c r="M2647" s="514"/>
      <c r="Q2647" s="293"/>
      <c r="R2647" s="316"/>
      <c r="S2647" s="355"/>
    </row>
    <row r="2648" spans="13:19" x14ac:dyDescent="0.25">
      <c r="M2648" s="514"/>
      <c r="Q2648" s="293"/>
      <c r="R2648" s="316"/>
      <c r="S2648" s="355"/>
    </row>
    <row r="2649" spans="13:19" x14ac:dyDescent="0.25">
      <c r="M2649" s="514"/>
      <c r="Q2649" s="293"/>
      <c r="R2649" s="316"/>
      <c r="S2649" s="355"/>
    </row>
    <row r="2650" spans="13:19" x14ac:dyDescent="0.25">
      <c r="M2650" s="514"/>
      <c r="Q2650" s="293"/>
      <c r="R2650" s="316"/>
      <c r="S2650" s="355"/>
    </row>
    <row r="2651" spans="13:19" x14ac:dyDescent="0.25">
      <c r="M2651" s="514"/>
      <c r="Q2651" s="293"/>
      <c r="R2651" s="316"/>
      <c r="S2651" s="355"/>
    </row>
    <row r="2652" spans="13:19" x14ac:dyDescent="0.25">
      <c r="M2652" s="514"/>
      <c r="Q2652" s="293"/>
      <c r="R2652" s="316"/>
      <c r="S2652" s="355"/>
    </row>
    <row r="2653" spans="13:19" x14ac:dyDescent="0.25">
      <c r="M2653" s="514"/>
      <c r="Q2653" s="293"/>
      <c r="R2653" s="316"/>
      <c r="S2653" s="355"/>
    </row>
    <row r="2654" spans="13:19" x14ac:dyDescent="0.25">
      <c r="M2654" s="514"/>
      <c r="Q2654" s="293"/>
      <c r="R2654" s="316"/>
      <c r="S2654" s="355"/>
    </row>
    <row r="2655" spans="13:19" x14ac:dyDescent="0.25">
      <c r="M2655" s="514"/>
      <c r="Q2655" s="293"/>
      <c r="R2655" s="316"/>
      <c r="S2655" s="355"/>
    </row>
    <row r="2656" spans="13:19" x14ac:dyDescent="0.25">
      <c r="M2656" s="514"/>
      <c r="Q2656" s="293"/>
      <c r="R2656" s="316"/>
      <c r="S2656" s="355"/>
    </row>
    <row r="2657" spans="13:19" x14ac:dyDescent="0.25">
      <c r="M2657" s="514"/>
      <c r="Q2657" s="293"/>
      <c r="R2657" s="316"/>
      <c r="S2657" s="355"/>
    </row>
    <row r="2658" spans="13:19" x14ac:dyDescent="0.25">
      <c r="M2658" s="514"/>
      <c r="Q2658" s="293"/>
      <c r="R2658" s="316"/>
      <c r="S2658" s="355"/>
    </row>
    <row r="2659" spans="13:19" x14ac:dyDescent="0.25">
      <c r="M2659" s="514"/>
      <c r="Q2659" s="293"/>
      <c r="R2659" s="316"/>
      <c r="S2659" s="355"/>
    </row>
    <row r="2660" spans="13:19" x14ac:dyDescent="0.25">
      <c r="M2660" s="514"/>
      <c r="Q2660" s="293"/>
      <c r="R2660" s="316"/>
      <c r="S2660" s="355"/>
    </row>
    <row r="2661" spans="13:19" x14ac:dyDescent="0.25">
      <c r="M2661" s="514"/>
      <c r="Q2661" s="293"/>
      <c r="R2661" s="316"/>
      <c r="S2661" s="355"/>
    </row>
    <row r="2662" spans="13:19" x14ac:dyDescent="0.25">
      <c r="M2662" s="514"/>
      <c r="Q2662" s="293"/>
      <c r="R2662" s="316"/>
      <c r="S2662" s="355"/>
    </row>
    <row r="2663" spans="13:19" x14ac:dyDescent="0.25">
      <c r="M2663" s="514"/>
      <c r="Q2663" s="293"/>
      <c r="R2663" s="316"/>
      <c r="S2663" s="355"/>
    </row>
    <row r="2664" spans="13:19" x14ac:dyDescent="0.25">
      <c r="M2664" s="514"/>
      <c r="Q2664" s="293"/>
      <c r="R2664" s="316"/>
      <c r="S2664" s="355"/>
    </row>
    <row r="2665" spans="13:19" x14ac:dyDescent="0.25">
      <c r="M2665" s="514"/>
      <c r="Q2665" s="293"/>
      <c r="R2665" s="316"/>
      <c r="S2665" s="355"/>
    </row>
    <row r="2666" spans="13:19" x14ac:dyDescent="0.25">
      <c r="M2666" s="514"/>
      <c r="Q2666" s="293"/>
      <c r="R2666" s="316"/>
      <c r="S2666" s="355"/>
    </row>
    <row r="2667" spans="13:19" x14ac:dyDescent="0.25">
      <c r="M2667" s="514"/>
      <c r="Q2667" s="293"/>
      <c r="R2667" s="316"/>
      <c r="S2667" s="355"/>
    </row>
    <row r="2668" spans="13:19" x14ac:dyDescent="0.25">
      <c r="M2668" s="514"/>
      <c r="Q2668" s="293"/>
      <c r="R2668" s="316"/>
      <c r="S2668" s="355"/>
    </row>
    <row r="2669" spans="13:19" x14ac:dyDescent="0.25">
      <c r="M2669" s="514"/>
      <c r="Q2669" s="293"/>
      <c r="R2669" s="316"/>
      <c r="S2669" s="355"/>
    </row>
    <row r="2670" spans="13:19" x14ac:dyDescent="0.25">
      <c r="M2670" s="514"/>
      <c r="Q2670" s="293"/>
      <c r="R2670" s="316"/>
      <c r="S2670" s="355"/>
    </row>
    <row r="2671" spans="13:19" x14ac:dyDescent="0.25">
      <c r="M2671" s="514"/>
      <c r="Q2671" s="293"/>
      <c r="R2671" s="316"/>
      <c r="S2671" s="355"/>
    </row>
    <row r="2672" spans="13:19" x14ac:dyDescent="0.25">
      <c r="M2672" s="514"/>
      <c r="Q2672" s="293"/>
      <c r="R2672" s="316"/>
      <c r="S2672" s="355"/>
    </row>
    <row r="2673" spans="13:19" x14ac:dyDescent="0.25">
      <c r="M2673" s="514"/>
      <c r="Q2673" s="293"/>
      <c r="R2673" s="316"/>
      <c r="S2673" s="355"/>
    </row>
    <row r="2674" spans="13:19" x14ac:dyDescent="0.25">
      <c r="M2674" s="514"/>
      <c r="Q2674" s="293"/>
      <c r="R2674" s="316"/>
      <c r="S2674" s="355"/>
    </row>
    <row r="2675" spans="13:19" x14ac:dyDescent="0.25">
      <c r="M2675" s="514"/>
      <c r="Q2675" s="293"/>
      <c r="R2675" s="316"/>
      <c r="S2675" s="355"/>
    </row>
    <row r="2676" spans="13:19" x14ac:dyDescent="0.25">
      <c r="M2676" s="514"/>
      <c r="Q2676" s="293"/>
      <c r="R2676" s="316"/>
      <c r="S2676" s="355"/>
    </row>
    <row r="2677" spans="13:19" x14ac:dyDescent="0.25">
      <c r="M2677" s="514"/>
      <c r="Q2677" s="293"/>
      <c r="R2677" s="316"/>
      <c r="S2677" s="355"/>
    </row>
    <row r="2678" spans="13:19" x14ac:dyDescent="0.25">
      <c r="M2678" s="514"/>
      <c r="Q2678" s="293"/>
      <c r="R2678" s="316"/>
      <c r="S2678" s="355"/>
    </row>
    <row r="2679" spans="13:19" x14ac:dyDescent="0.25">
      <c r="M2679" s="514"/>
      <c r="Q2679" s="293"/>
      <c r="R2679" s="316"/>
      <c r="S2679" s="355"/>
    </row>
    <row r="2680" spans="13:19" x14ac:dyDescent="0.25">
      <c r="M2680" s="514"/>
      <c r="Q2680" s="293"/>
      <c r="R2680" s="316"/>
      <c r="S2680" s="355"/>
    </row>
    <row r="2681" spans="13:19" x14ac:dyDescent="0.25">
      <c r="M2681" s="514"/>
      <c r="Q2681" s="293"/>
      <c r="R2681" s="316"/>
      <c r="S2681" s="355"/>
    </row>
    <row r="2682" spans="13:19" x14ac:dyDescent="0.25">
      <c r="M2682" s="514"/>
      <c r="Q2682" s="293"/>
      <c r="R2682" s="316"/>
      <c r="S2682" s="355"/>
    </row>
    <row r="2683" spans="13:19" x14ac:dyDescent="0.25">
      <c r="M2683" s="514"/>
      <c r="Q2683" s="293"/>
      <c r="R2683" s="316"/>
      <c r="S2683" s="355"/>
    </row>
    <row r="2684" spans="13:19" x14ac:dyDescent="0.25">
      <c r="M2684" s="514"/>
      <c r="Q2684" s="293"/>
      <c r="R2684" s="316"/>
      <c r="S2684" s="355"/>
    </row>
    <row r="2685" spans="13:19" x14ac:dyDescent="0.25">
      <c r="M2685" s="514"/>
      <c r="Q2685" s="293"/>
      <c r="R2685" s="316"/>
      <c r="S2685" s="355"/>
    </row>
    <row r="2686" spans="13:19" x14ac:dyDescent="0.25">
      <c r="M2686" s="514"/>
      <c r="Q2686" s="293"/>
      <c r="R2686" s="316"/>
      <c r="S2686" s="355"/>
    </row>
    <row r="2687" spans="13:19" x14ac:dyDescent="0.25">
      <c r="M2687" s="514"/>
      <c r="Q2687" s="293"/>
      <c r="R2687" s="316"/>
      <c r="S2687" s="355"/>
    </row>
    <row r="2688" spans="13:19" x14ac:dyDescent="0.25">
      <c r="M2688" s="514"/>
      <c r="Q2688" s="293"/>
      <c r="R2688" s="316"/>
      <c r="S2688" s="355"/>
    </row>
    <row r="2689" spans="13:19" x14ac:dyDescent="0.25">
      <c r="M2689" s="514"/>
      <c r="Q2689" s="293"/>
      <c r="R2689" s="316"/>
      <c r="S2689" s="355"/>
    </row>
    <row r="2690" spans="13:19" x14ac:dyDescent="0.25">
      <c r="M2690" s="514"/>
      <c r="Q2690" s="293"/>
      <c r="R2690" s="316"/>
      <c r="S2690" s="355"/>
    </row>
    <row r="2691" spans="13:19" x14ac:dyDescent="0.25">
      <c r="M2691" s="514"/>
      <c r="Q2691" s="293"/>
      <c r="R2691" s="316"/>
      <c r="S2691" s="355"/>
    </row>
    <row r="2692" spans="13:19" x14ac:dyDescent="0.25">
      <c r="M2692" s="514"/>
      <c r="Q2692" s="293"/>
      <c r="R2692" s="316"/>
      <c r="S2692" s="355"/>
    </row>
    <row r="2693" spans="13:19" x14ac:dyDescent="0.25">
      <c r="M2693" s="514"/>
      <c r="Q2693" s="293"/>
      <c r="R2693" s="316"/>
      <c r="S2693" s="355"/>
    </row>
    <row r="2694" spans="13:19" x14ac:dyDescent="0.25">
      <c r="M2694" s="514"/>
      <c r="Q2694" s="293"/>
      <c r="R2694" s="316"/>
      <c r="S2694" s="355"/>
    </row>
    <row r="2695" spans="13:19" x14ac:dyDescent="0.25">
      <c r="M2695" s="514"/>
      <c r="Q2695" s="293"/>
      <c r="R2695" s="316"/>
      <c r="S2695" s="355"/>
    </row>
    <row r="2696" spans="13:19" x14ac:dyDescent="0.25">
      <c r="M2696" s="514"/>
      <c r="Q2696" s="293"/>
      <c r="R2696" s="316"/>
      <c r="S2696" s="355"/>
    </row>
    <row r="2697" spans="13:19" x14ac:dyDescent="0.25">
      <c r="M2697" s="514"/>
      <c r="Q2697" s="293"/>
      <c r="R2697" s="316"/>
      <c r="S2697" s="355"/>
    </row>
    <row r="2698" spans="13:19" x14ac:dyDescent="0.25">
      <c r="M2698" s="514"/>
      <c r="Q2698" s="293"/>
      <c r="R2698" s="316"/>
      <c r="S2698" s="355"/>
    </row>
    <row r="2699" spans="13:19" x14ac:dyDescent="0.25">
      <c r="M2699" s="514"/>
      <c r="Q2699" s="293"/>
      <c r="R2699" s="316"/>
      <c r="S2699" s="355"/>
    </row>
    <row r="2700" spans="13:19" x14ac:dyDescent="0.25">
      <c r="M2700" s="514"/>
      <c r="Q2700" s="293"/>
      <c r="R2700" s="316"/>
      <c r="S2700" s="355"/>
    </row>
    <row r="2701" spans="13:19" x14ac:dyDescent="0.25">
      <c r="M2701" s="514"/>
      <c r="Q2701" s="293"/>
      <c r="R2701" s="316"/>
      <c r="S2701" s="355"/>
    </row>
    <row r="2702" spans="13:19" x14ac:dyDescent="0.25">
      <c r="M2702" s="514"/>
      <c r="Q2702" s="293"/>
      <c r="R2702" s="316"/>
      <c r="S2702" s="355"/>
    </row>
    <row r="2703" spans="13:19" x14ac:dyDescent="0.25">
      <c r="M2703" s="514"/>
      <c r="Q2703" s="293"/>
      <c r="R2703" s="316"/>
      <c r="S2703" s="355"/>
    </row>
    <row r="2704" spans="13:19" x14ac:dyDescent="0.25">
      <c r="M2704" s="514"/>
      <c r="Q2704" s="293"/>
      <c r="R2704" s="316"/>
      <c r="S2704" s="355"/>
    </row>
    <row r="2705" spans="13:19" x14ac:dyDescent="0.25">
      <c r="M2705" s="514"/>
      <c r="Q2705" s="293"/>
      <c r="R2705" s="316"/>
      <c r="S2705" s="355"/>
    </row>
    <row r="2706" spans="13:19" x14ac:dyDescent="0.25">
      <c r="M2706" s="514"/>
      <c r="Q2706" s="293"/>
      <c r="R2706" s="316"/>
      <c r="S2706" s="355"/>
    </row>
    <row r="2707" spans="13:19" x14ac:dyDescent="0.25">
      <c r="M2707" s="514"/>
      <c r="Q2707" s="293"/>
      <c r="R2707" s="316"/>
      <c r="S2707" s="355"/>
    </row>
    <row r="2708" spans="13:19" x14ac:dyDescent="0.25">
      <c r="M2708" s="514"/>
      <c r="Q2708" s="293"/>
      <c r="R2708" s="316"/>
      <c r="S2708" s="355"/>
    </row>
    <row r="2709" spans="13:19" x14ac:dyDescent="0.25">
      <c r="M2709" s="514"/>
      <c r="Q2709" s="293"/>
      <c r="R2709" s="316"/>
      <c r="S2709" s="355"/>
    </row>
    <row r="2710" spans="13:19" x14ac:dyDescent="0.25">
      <c r="M2710" s="514"/>
      <c r="Q2710" s="293"/>
      <c r="R2710" s="316"/>
      <c r="S2710" s="355"/>
    </row>
    <row r="2711" spans="13:19" x14ac:dyDescent="0.25">
      <c r="M2711" s="514"/>
      <c r="Q2711" s="293"/>
      <c r="R2711" s="316"/>
      <c r="S2711" s="355"/>
    </row>
    <row r="2712" spans="13:19" x14ac:dyDescent="0.25">
      <c r="M2712" s="514"/>
      <c r="Q2712" s="293"/>
      <c r="R2712" s="316"/>
      <c r="S2712" s="355"/>
    </row>
    <row r="2713" spans="13:19" x14ac:dyDescent="0.25">
      <c r="M2713" s="514"/>
      <c r="Q2713" s="293"/>
      <c r="R2713" s="316"/>
      <c r="S2713" s="355"/>
    </row>
    <row r="2714" spans="13:19" x14ac:dyDescent="0.25">
      <c r="M2714" s="514"/>
      <c r="Q2714" s="293"/>
      <c r="R2714" s="316"/>
      <c r="S2714" s="355"/>
    </row>
    <row r="2715" spans="13:19" x14ac:dyDescent="0.25">
      <c r="M2715" s="514"/>
      <c r="Q2715" s="293"/>
      <c r="R2715" s="316"/>
      <c r="S2715" s="355"/>
    </row>
    <row r="2716" spans="13:19" x14ac:dyDescent="0.25">
      <c r="M2716" s="514"/>
      <c r="Q2716" s="293"/>
      <c r="R2716" s="316"/>
      <c r="S2716" s="355"/>
    </row>
    <row r="2717" spans="13:19" x14ac:dyDescent="0.25">
      <c r="M2717" s="514"/>
      <c r="Q2717" s="293"/>
      <c r="R2717" s="316"/>
      <c r="S2717" s="355"/>
    </row>
    <row r="2718" spans="13:19" x14ac:dyDescent="0.25">
      <c r="M2718" s="514"/>
      <c r="Q2718" s="293"/>
      <c r="R2718" s="316"/>
      <c r="S2718" s="355"/>
    </row>
    <row r="2719" spans="13:19" x14ac:dyDescent="0.25">
      <c r="M2719" s="514"/>
      <c r="Q2719" s="293"/>
      <c r="R2719" s="316"/>
      <c r="S2719" s="355"/>
    </row>
    <row r="2720" spans="13:19" x14ac:dyDescent="0.25">
      <c r="M2720" s="514"/>
      <c r="Q2720" s="293"/>
      <c r="R2720" s="316"/>
      <c r="S2720" s="355"/>
    </row>
    <row r="2721" spans="13:19" x14ac:dyDescent="0.25">
      <c r="M2721" s="514"/>
      <c r="Q2721" s="293"/>
      <c r="R2721" s="316"/>
      <c r="S2721" s="355"/>
    </row>
    <row r="2722" spans="13:19" x14ac:dyDescent="0.25">
      <c r="M2722" s="514"/>
      <c r="Q2722" s="293"/>
      <c r="R2722" s="316"/>
      <c r="S2722" s="355"/>
    </row>
    <row r="2723" spans="13:19" x14ac:dyDescent="0.25">
      <c r="M2723" s="514"/>
      <c r="Q2723" s="293"/>
      <c r="R2723" s="316"/>
      <c r="S2723" s="355"/>
    </row>
    <row r="2724" spans="13:19" x14ac:dyDescent="0.25">
      <c r="M2724" s="514"/>
      <c r="Q2724" s="293"/>
      <c r="R2724" s="316"/>
      <c r="S2724" s="355"/>
    </row>
    <row r="2725" spans="13:19" x14ac:dyDescent="0.25">
      <c r="M2725" s="514"/>
      <c r="Q2725" s="293"/>
      <c r="R2725" s="316"/>
      <c r="S2725" s="355"/>
    </row>
    <row r="2726" spans="13:19" x14ac:dyDescent="0.25">
      <c r="M2726" s="514"/>
      <c r="Q2726" s="293"/>
      <c r="R2726" s="316"/>
      <c r="S2726" s="355"/>
    </row>
    <row r="2727" spans="13:19" x14ac:dyDescent="0.25">
      <c r="M2727" s="514"/>
      <c r="Q2727" s="293"/>
      <c r="R2727" s="316"/>
      <c r="S2727" s="355"/>
    </row>
    <row r="2728" spans="13:19" x14ac:dyDescent="0.25">
      <c r="M2728" s="514"/>
      <c r="Q2728" s="293"/>
      <c r="R2728" s="316"/>
      <c r="S2728" s="355"/>
    </row>
    <row r="2729" spans="13:19" x14ac:dyDescent="0.25">
      <c r="M2729" s="514"/>
      <c r="Q2729" s="293"/>
      <c r="R2729" s="316"/>
      <c r="S2729" s="355"/>
    </row>
    <row r="2730" spans="13:19" x14ac:dyDescent="0.25">
      <c r="M2730" s="514"/>
      <c r="Q2730" s="293"/>
      <c r="R2730" s="316"/>
      <c r="S2730" s="355"/>
    </row>
    <row r="2731" spans="13:19" x14ac:dyDescent="0.25">
      <c r="M2731" s="514"/>
      <c r="Q2731" s="293"/>
      <c r="R2731" s="316"/>
      <c r="S2731" s="355"/>
    </row>
    <row r="2732" spans="13:19" x14ac:dyDescent="0.25">
      <c r="M2732" s="514"/>
      <c r="Q2732" s="293"/>
      <c r="R2732" s="316"/>
      <c r="S2732" s="355"/>
    </row>
    <row r="2733" spans="13:19" x14ac:dyDescent="0.25">
      <c r="M2733" s="514"/>
      <c r="Q2733" s="293"/>
      <c r="R2733" s="316"/>
      <c r="S2733" s="355"/>
    </row>
    <row r="2734" spans="13:19" x14ac:dyDescent="0.25">
      <c r="M2734" s="514"/>
      <c r="Q2734" s="293"/>
      <c r="R2734" s="316"/>
      <c r="S2734" s="355"/>
    </row>
    <row r="2735" spans="13:19" x14ac:dyDescent="0.25">
      <c r="M2735" s="514"/>
      <c r="Q2735" s="293"/>
      <c r="R2735" s="316"/>
      <c r="S2735" s="355"/>
    </row>
    <row r="2736" spans="13:19" x14ac:dyDescent="0.25">
      <c r="M2736" s="514"/>
      <c r="Q2736" s="293"/>
      <c r="R2736" s="316"/>
      <c r="S2736" s="355"/>
    </row>
    <row r="2737" spans="13:19" x14ac:dyDescent="0.25">
      <c r="M2737" s="514"/>
      <c r="Q2737" s="293"/>
      <c r="R2737" s="316"/>
      <c r="S2737" s="355"/>
    </row>
    <row r="2738" spans="13:19" x14ac:dyDescent="0.25">
      <c r="M2738" s="514"/>
      <c r="Q2738" s="293"/>
      <c r="R2738" s="316"/>
      <c r="S2738" s="355"/>
    </row>
    <row r="2739" spans="13:19" x14ac:dyDescent="0.25">
      <c r="M2739" s="514"/>
      <c r="Q2739" s="293"/>
      <c r="R2739" s="316"/>
      <c r="S2739" s="355"/>
    </row>
    <row r="2740" spans="13:19" x14ac:dyDescent="0.25">
      <c r="M2740" s="514"/>
      <c r="Q2740" s="293"/>
      <c r="R2740" s="316"/>
      <c r="S2740" s="355"/>
    </row>
    <row r="2741" spans="13:19" x14ac:dyDescent="0.25">
      <c r="M2741" s="514"/>
      <c r="Q2741" s="293"/>
      <c r="R2741" s="316"/>
      <c r="S2741" s="355"/>
    </row>
    <row r="2742" spans="13:19" x14ac:dyDescent="0.25">
      <c r="M2742" s="514"/>
      <c r="Q2742" s="293"/>
      <c r="R2742" s="316"/>
      <c r="S2742" s="355"/>
    </row>
    <row r="2743" spans="13:19" x14ac:dyDescent="0.25">
      <c r="M2743" s="514"/>
      <c r="Q2743" s="293"/>
      <c r="R2743" s="316"/>
      <c r="S2743" s="355"/>
    </row>
    <row r="2744" spans="13:19" x14ac:dyDescent="0.25">
      <c r="M2744" s="514"/>
      <c r="Q2744" s="293"/>
      <c r="R2744" s="316"/>
      <c r="S2744" s="355"/>
    </row>
    <row r="2745" spans="13:19" x14ac:dyDescent="0.25">
      <c r="M2745" s="514"/>
      <c r="Q2745" s="293"/>
      <c r="R2745" s="316"/>
      <c r="S2745" s="355"/>
    </row>
    <row r="2746" spans="13:19" x14ac:dyDescent="0.25">
      <c r="M2746" s="514"/>
      <c r="Q2746" s="293"/>
      <c r="R2746" s="316"/>
      <c r="S2746" s="355"/>
    </row>
    <row r="2747" spans="13:19" x14ac:dyDescent="0.25">
      <c r="M2747" s="514"/>
      <c r="Q2747" s="293"/>
      <c r="R2747" s="316"/>
      <c r="S2747" s="355"/>
    </row>
    <row r="2748" spans="13:19" x14ac:dyDescent="0.25">
      <c r="M2748" s="514"/>
      <c r="Q2748" s="293"/>
      <c r="R2748" s="316"/>
      <c r="S2748" s="355"/>
    </row>
    <row r="2749" spans="13:19" x14ac:dyDescent="0.25">
      <c r="M2749" s="514"/>
      <c r="Q2749" s="293"/>
      <c r="R2749" s="316"/>
      <c r="S2749" s="355"/>
    </row>
    <row r="2750" spans="13:19" x14ac:dyDescent="0.25">
      <c r="M2750" s="514"/>
      <c r="Q2750" s="293"/>
      <c r="R2750" s="316"/>
      <c r="S2750" s="355"/>
    </row>
    <row r="2751" spans="13:19" x14ac:dyDescent="0.25">
      <c r="M2751" s="514"/>
      <c r="Q2751" s="293"/>
      <c r="R2751" s="316"/>
      <c r="S2751" s="355"/>
    </row>
    <row r="2752" spans="13:19" x14ac:dyDescent="0.25">
      <c r="M2752" s="514"/>
      <c r="Q2752" s="293"/>
      <c r="R2752" s="316"/>
      <c r="S2752" s="355"/>
    </row>
    <row r="2753" spans="13:19" x14ac:dyDescent="0.25">
      <c r="M2753" s="514"/>
      <c r="Q2753" s="293"/>
      <c r="R2753" s="316"/>
      <c r="S2753" s="355"/>
    </row>
    <row r="2754" spans="13:19" x14ac:dyDescent="0.25">
      <c r="M2754" s="514"/>
      <c r="Q2754" s="293"/>
      <c r="R2754" s="316"/>
      <c r="S2754" s="355"/>
    </row>
    <row r="2755" spans="13:19" x14ac:dyDescent="0.25">
      <c r="M2755" s="514"/>
      <c r="Q2755" s="293"/>
      <c r="R2755" s="316"/>
      <c r="S2755" s="355"/>
    </row>
    <row r="2756" spans="13:19" x14ac:dyDescent="0.25">
      <c r="M2756" s="514"/>
      <c r="Q2756" s="293"/>
      <c r="R2756" s="316"/>
      <c r="S2756" s="355"/>
    </row>
    <row r="2757" spans="13:19" x14ac:dyDescent="0.25">
      <c r="M2757" s="514"/>
      <c r="Q2757" s="293"/>
      <c r="R2757" s="316"/>
      <c r="S2757" s="355"/>
    </row>
    <row r="2758" spans="13:19" x14ac:dyDescent="0.25">
      <c r="M2758" s="514"/>
      <c r="Q2758" s="293"/>
      <c r="R2758" s="316"/>
      <c r="S2758" s="355"/>
    </row>
    <row r="2759" spans="13:19" x14ac:dyDescent="0.25">
      <c r="M2759" s="514"/>
      <c r="Q2759" s="293"/>
      <c r="R2759" s="316"/>
      <c r="S2759" s="355"/>
    </row>
    <row r="2760" spans="13:19" x14ac:dyDescent="0.25">
      <c r="M2760" s="514"/>
      <c r="Q2760" s="293"/>
      <c r="R2760" s="316"/>
      <c r="S2760" s="355"/>
    </row>
    <row r="2761" spans="13:19" x14ac:dyDescent="0.25">
      <c r="M2761" s="514"/>
      <c r="Q2761" s="293"/>
      <c r="R2761" s="316"/>
      <c r="S2761" s="355"/>
    </row>
    <row r="2762" spans="13:19" x14ac:dyDescent="0.25">
      <c r="M2762" s="514"/>
      <c r="Q2762" s="293"/>
      <c r="R2762" s="316"/>
      <c r="S2762" s="355"/>
    </row>
    <row r="2763" spans="13:19" x14ac:dyDescent="0.25">
      <c r="M2763" s="514"/>
      <c r="Q2763" s="293"/>
      <c r="R2763" s="316"/>
      <c r="S2763" s="355"/>
    </row>
    <row r="2764" spans="13:19" x14ac:dyDescent="0.25">
      <c r="M2764" s="514"/>
      <c r="Q2764" s="293"/>
      <c r="R2764" s="316"/>
      <c r="S2764" s="355"/>
    </row>
    <row r="2765" spans="13:19" x14ac:dyDescent="0.25">
      <c r="M2765" s="514"/>
      <c r="Q2765" s="293"/>
      <c r="R2765" s="316"/>
      <c r="S2765" s="355"/>
    </row>
    <row r="2766" spans="13:19" x14ac:dyDescent="0.25">
      <c r="M2766" s="514"/>
      <c r="Q2766" s="293"/>
      <c r="R2766" s="316"/>
      <c r="S2766" s="355"/>
    </row>
    <row r="2767" spans="13:19" x14ac:dyDescent="0.25">
      <c r="M2767" s="514"/>
      <c r="Q2767" s="293"/>
      <c r="R2767" s="316"/>
      <c r="S2767" s="355"/>
    </row>
    <row r="2768" spans="13:19" x14ac:dyDescent="0.25">
      <c r="M2768" s="514"/>
      <c r="Q2768" s="293"/>
      <c r="R2768" s="316"/>
      <c r="S2768" s="355"/>
    </row>
    <row r="2769" spans="13:19" x14ac:dyDescent="0.25">
      <c r="M2769" s="514"/>
      <c r="Q2769" s="293"/>
      <c r="R2769" s="316"/>
      <c r="S2769" s="355"/>
    </row>
    <row r="2770" spans="13:19" x14ac:dyDescent="0.25">
      <c r="M2770" s="514"/>
      <c r="Q2770" s="293"/>
      <c r="R2770" s="316"/>
      <c r="S2770" s="355"/>
    </row>
    <row r="2771" spans="13:19" x14ac:dyDescent="0.25">
      <c r="M2771" s="514"/>
      <c r="Q2771" s="293"/>
      <c r="R2771" s="316"/>
      <c r="S2771" s="355"/>
    </row>
    <row r="2772" spans="13:19" x14ac:dyDescent="0.25">
      <c r="M2772" s="514"/>
      <c r="Q2772" s="293"/>
      <c r="R2772" s="316"/>
      <c r="S2772" s="355"/>
    </row>
    <row r="2773" spans="13:19" x14ac:dyDescent="0.25">
      <c r="M2773" s="514"/>
      <c r="Q2773" s="293"/>
      <c r="R2773" s="316"/>
      <c r="S2773" s="355"/>
    </row>
    <row r="2774" spans="13:19" x14ac:dyDescent="0.25">
      <c r="M2774" s="514"/>
      <c r="Q2774" s="293"/>
      <c r="R2774" s="316"/>
      <c r="S2774" s="355"/>
    </row>
    <row r="2775" spans="13:19" x14ac:dyDescent="0.25">
      <c r="M2775" s="514"/>
      <c r="Q2775" s="293"/>
      <c r="R2775" s="316"/>
      <c r="S2775" s="355"/>
    </row>
    <row r="2776" spans="13:19" x14ac:dyDescent="0.25">
      <c r="M2776" s="514"/>
      <c r="Q2776" s="293"/>
      <c r="R2776" s="316"/>
      <c r="S2776" s="355"/>
    </row>
    <row r="2777" spans="13:19" x14ac:dyDescent="0.25">
      <c r="M2777" s="514"/>
      <c r="Q2777" s="293"/>
      <c r="R2777" s="316"/>
      <c r="S2777" s="355"/>
    </row>
    <row r="2778" spans="13:19" x14ac:dyDescent="0.25">
      <c r="M2778" s="514"/>
      <c r="Q2778" s="293"/>
      <c r="R2778" s="316"/>
      <c r="S2778" s="355"/>
    </row>
    <row r="2779" spans="13:19" x14ac:dyDescent="0.25">
      <c r="M2779" s="514"/>
      <c r="Q2779" s="293"/>
      <c r="R2779" s="316"/>
      <c r="S2779" s="355"/>
    </row>
    <row r="2780" spans="13:19" x14ac:dyDescent="0.25">
      <c r="M2780" s="514"/>
      <c r="Q2780" s="293"/>
      <c r="R2780" s="316"/>
      <c r="S2780" s="355"/>
    </row>
    <row r="2781" spans="13:19" x14ac:dyDescent="0.25">
      <c r="M2781" s="514"/>
      <c r="Q2781" s="293"/>
      <c r="R2781" s="316"/>
      <c r="S2781" s="355"/>
    </row>
    <row r="2782" spans="13:19" x14ac:dyDescent="0.25">
      <c r="M2782" s="514"/>
      <c r="Q2782" s="293"/>
      <c r="R2782" s="316"/>
      <c r="S2782" s="355"/>
    </row>
    <row r="2783" spans="13:19" x14ac:dyDescent="0.25">
      <c r="M2783" s="514"/>
      <c r="Q2783" s="293"/>
      <c r="R2783" s="316"/>
      <c r="S2783" s="355"/>
    </row>
    <row r="2784" spans="13:19" x14ac:dyDescent="0.25">
      <c r="M2784" s="514"/>
      <c r="Q2784" s="293"/>
      <c r="R2784" s="316"/>
      <c r="S2784" s="355"/>
    </row>
    <row r="2785" spans="13:19" x14ac:dyDescent="0.25">
      <c r="M2785" s="514"/>
      <c r="Q2785" s="293"/>
      <c r="R2785" s="316"/>
      <c r="S2785" s="355"/>
    </row>
    <row r="2786" spans="13:19" x14ac:dyDescent="0.25">
      <c r="M2786" s="514"/>
      <c r="Q2786" s="293"/>
      <c r="R2786" s="316"/>
      <c r="S2786" s="355"/>
    </row>
    <row r="2787" spans="13:19" x14ac:dyDescent="0.25">
      <c r="M2787" s="514"/>
      <c r="Q2787" s="293"/>
      <c r="R2787" s="316"/>
      <c r="S2787" s="355"/>
    </row>
    <row r="2788" spans="13:19" x14ac:dyDescent="0.25">
      <c r="M2788" s="514"/>
      <c r="Q2788" s="293"/>
      <c r="R2788" s="316"/>
      <c r="S2788" s="355"/>
    </row>
    <row r="2789" spans="13:19" x14ac:dyDescent="0.25">
      <c r="M2789" s="514"/>
      <c r="Q2789" s="293"/>
      <c r="R2789" s="316"/>
      <c r="S2789" s="355"/>
    </row>
    <row r="2790" spans="13:19" x14ac:dyDescent="0.25">
      <c r="M2790" s="514"/>
      <c r="Q2790" s="293"/>
      <c r="R2790" s="316"/>
      <c r="S2790" s="355"/>
    </row>
    <row r="2791" spans="13:19" x14ac:dyDescent="0.25">
      <c r="M2791" s="514"/>
      <c r="Q2791" s="293"/>
      <c r="R2791" s="316"/>
      <c r="S2791" s="355"/>
    </row>
    <row r="2792" spans="13:19" x14ac:dyDescent="0.25">
      <c r="M2792" s="514"/>
      <c r="Q2792" s="293"/>
      <c r="R2792" s="316"/>
      <c r="S2792" s="355"/>
    </row>
    <row r="2793" spans="13:19" x14ac:dyDescent="0.25">
      <c r="M2793" s="514"/>
      <c r="Q2793" s="293"/>
      <c r="R2793" s="316"/>
      <c r="S2793" s="355"/>
    </row>
    <row r="2794" spans="13:19" x14ac:dyDescent="0.25">
      <c r="M2794" s="514"/>
      <c r="Q2794" s="293"/>
      <c r="R2794" s="316"/>
      <c r="S2794" s="355"/>
    </row>
    <row r="2795" spans="13:19" x14ac:dyDescent="0.25">
      <c r="M2795" s="514"/>
      <c r="Q2795" s="293"/>
      <c r="R2795" s="316"/>
      <c r="S2795" s="355"/>
    </row>
    <row r="2796" spans="13:19" x14ac:dyDescent="0.25">
      <c r="M2796" s="514"/>
      <c r="Q2796" s="293"/>
      <c r="R2796" s="316"/>
      <c r="S2796" s="355"/>
    </row>
    <row r="2797" spans="13:19" x14ac:dyDescent="0.25">
      <c r="M2797" s="514"/>
      <c r="Q2797" s="293"/>
      <c r="R2797" s="316"/>
      <c r="S2797" s="355"/>
    </row>
    <row r="2798" spans="13:19" x14ac:dyDescent="0.25">
      <c r="M2798" s="514"/>
      <c r="Q2798" s="293"/>
      <c r="R2798" s="316"/>
      <c r="S2798" s="355"/>
    </row>
    <row r="2799" spans="13:19" x14ac:dyDescent="0.25">
      <c r="M2799" s="514"/>
      <c r="Q2799" s="293"/>
      <c r="R2799" s="316"/>
      <c r="S2799" s="355"/>
    </row>
    <row r="2800" spans="13:19" x14ac:dyDescent="0.25">
      <c r="M2800" s="514"/>
      <c r="Q2800" s="293"/>
      <c r="R2800" s="316"/>
      <c r="S2800" s="355"/>
    </row>
    <row r="2801" spans="13:19" x14ac:dyDescent="0.25">
      <c r="M2801" s="514"/>
      <c r="Q2801" s="293"/>
      <c r="R2801" s="316"/>
      <c r="S2801" s="355"/>
    </row>
    <row r="2802" spans="13:19" x14ac:dyDescent="0.25">
      <c r="M2802" s="514"/>
      <c r="Q2802" s="293"/>
      <c r="R2802" s="316"/>
      <c r="S2802" s="355"/>
    </row>
    <row r="2803" spans="13:19" x14ac:dyDescent="0.25">
      <c r="M2803" s="514"/>
      <c r="Q2803" s="293"/>
      <c r="R2803" s="316"/>
      <c r="S2803" s="355"/>
    </row>
    <row r="2804" spans="13:19" x14ac:dyDescent="0.25">
      <c r="M2804" s="514"/>
      <c r="Q2804" s="293"/>
      <c r="R2804" s="316"/>
      <c r="S2804" s="355"/>
    </row>
    <row r="2805" spans="13:19" x14ac:dyDescent="0.25">
      <c r="M2805" s="514"/>
      <c r="Q2805" s="293"/>
      <c r="R2805" s="316"/>
      <c r="S2805" s="355"/>
    </row>
    <row r="2806" spans="13:19" x14ac:dyDescent="0.25">
      <c r="M2806" s="514"/>
      <c r="Q2806" s="293"/>
      <c r="R2806" s="316"/>
      <c r="S2806" s="355"/>
    </row>
    <row r="2807" spans="13:19" x14ac:dyDescent="0.25">
      <c r="M2807" s="514"/>
      <c r="Q2807" s="293"/>
      <c r="R2807" s="316"/>
      <c r="S2807" s="355"/>
    </row>
    <row r="2808" spans="13:19" x14ac:dyDescent="0.25">
      <c r="M2808" s="514"/>
      <c r="Q2808" s="293"/>
      <c r="R2808" s="316"/>
      <c r="S2808" s="355"/>
    </row>
    <row r="2809" spans="13:19" x14ac:dyDescent="0.25">
      <c r="M2809" s="514"/>
      <c r="Q2809" s="293"/>
      <c r="R2809" s="316"/>
      <c r="S2809" s="355"/>
    </row>
    <row r="2810" spans="13:19" x14ac:dyDescent="0.25">
      <c r="M2810" s="514"/>
      <c r="Q2810" s="293"/>
      <c r="R2810" s="316"/>
      <c r="S2810" s="355"/>
    </row>
    <row r="2811" spans="13:19" x14ac:dyDescent="0.25">
      <c r="M2811" s="514"/>
      <c r="Q2811" s="293"/>
      <c r="R2811" s="316"/>
      <c r="S2811" s="355"/>
    </row>
    <row r="2812" spans="13:19" x14ac:dyDescent="0.25">
      <c r="M2812" s="514"/>
      <c r="Q2812" s="293"/>
      <c r="R2812" s="316"/>
      <c r="S2812" s="355"/>
    </row>
    <row r="2813" spans="13:19" x14ac:dyDescent="0.25">
      <c r="M2813" s="514"/>
      <c r="Q2813" s="293"/>
      <c r="R2813" s="316"/>
      <c r="S2813" s="355"/>
    </row>
    <row r="2814" spans="13:19" x14ac:dyDescent="0.25">
      <c r="M2814" s="514"/>
      <c r="Q2814" s="293"/>
      <c r="R2814" s="316"/>
      <c r="S2814" s="355"/>
    </row>
    <row r="2815" spans="13:19" x14ac:dyDescent="0.25">
      <c r="M2815" s="514"/>
      <c r="Q2815" s="293"/>
      <c r="R2815" s="316"/>
      <c r="S2815" s="355"/>
    </row>
    <row r="2816" spans="13:19" x14ac:dyDescent="0.25">
      <c r="M2816" s="514"/>
      <c r="Q2816" s="293"/>
      <c r="R2816" s="316"/>
      <c r="S2816" s="355"/>
    </row>
    <row r="2817" spans="13:19" x14ac:dyDescent="0.25">
      <c r="M2817" s="514"/>
      <c r="Q2817" s="293"/>
      <c r="R2817" s="316"/>
      <c r="S2817" s="355"/>
    </row>
    <row r="2818" spans="13:19" x14ac:dyDescent="0.25">
      <c r="M2818" s="514"/>
      <c r="Q2818" s="293"/>
      <c r="R2818" s="316"/>
      <c r="S2818" s="355"/>
    </row>
    <row r="2819" spans="13:19" x14ac:dyDescent="0.25">
      <c r="M2819" s="514"/>
      <c r="Q2819" s="293"/>
      <c r="R2819" s="316"/>
      <c r="S2819" s="355"/>
    </row>
    <row r="2820" spans="13:19" x14ac:dyDescent="0.25">
      <c r="M2820" s="514"/>
      <c r="Q2820" s="293"/>
      <c r="R2820" s="316"/>
      <c r="S2820" s="355"/>
    </row>
    <row r="2821" spans="13:19" x14ac:dyDescent="0.25">
      <c r="M2821" s="514"/>
      <c r="Q2821" s="293"/>
      <c r="R2821" s="316"/>
      <c r="S2821" s="355"/>
    </row>
    <row r="2822" spans="13:19" x14ac:dyDescent="0.25">
      <c r="M2822" s="514"/>
      <c r="Q2822" s="293"/>
      <c r="R2822" s="316"/>
      <c r="S2822" s="355"/>
    </row>
    <row r="2823" spans="13:19" x14ac:dyDescent="0.25">
      <c r="M2823" s="514"/>
      <c r="Q2823" s="293"/>
      <c r="R2823" s="316"/>
      <c r="S2823" s="355"/>
    </row>
    <row r="2824" spans="13:19" x14ac:dyDescent="0.25">
      <c r="M2824" s="514"/>
      <c r="Q2824" s="293"/>
      <c r="R2824" s="316"/>
      <c r="S2824" s="355"/>
    </row>
    <row r="2825" spans="13:19" x14ac:dyDescent="0.25">
      <c r="M2825" s="514"/>
      <c r="Q2825" s="293"/>
      <c r="R2825" s="316"/>
      <c r="S2825" s="355"/>
    </row>
    <row r="2826" spans="13:19" x14ac:dyDescent="0.25">
      <c r="M2826" s="514"/>
      <c r="Q2826" s="293"/>
      <c r="R2826" s="316"/>
      <c r="S2826" s="355"/>
    </row>
    <row r="2827" spans="13:19" x14ac:dyDescent="0.25">
      <c r="M2827" s="514"/>
      <c r="Q2827" s="293"/>
      <c r="R2827" s="316"/>
      <c r="S2827" s="355"/>
    </row>
    <row r="2828" spans="13:19" x14ac:dyDescent="0.25">
      <c r="M2828" s="514"/>
      <c r="Q2828" s="293"/>
      <c r="R2828" s="316"/>
      <c r="S2828" s="355"/>
    </row>
    <row r="2829" spans="13:19" x14ac:dyDescent="0.25">
      <c r="M2829" s="514"/>
      <c r="Q2829" s="293"/>
      <c r="R2829" s="316"/>
      <c r="S2829" s="355"/>
    </row>
    <row r="2830" spans="13:19" x14ac:dyDescent="0.25">
      <c r="M2830" s="514"/>
      <c r="Q2830" s="293"/>
      <c r="R2830" s="316"/>
      <c r="S2830" s="355"/>
    </row>
    <row r="2831" spans="13:19" x14ac:dyDescent="0.25">
      <c r="M2831" s="514"/>
      <c r="Q2831" s="293"/>
      <c r="R2831" s="316"/>
      <c r="S2831" s="355"/>
    </row>
    <row r="2832" spans="13:19" x14ac:dyDescent="0.25">
      <c r="M2832" s="514"/>
      <c r="Q2832" s="293"/>
      <c r="R2832" s="316"/>
      <c r="S2832" s="355"/>
    </row>
    <row r="2833" spans="13:19" x14ac:dyDescent="0.25">
      <c r="M2833" s="514"/>
      <c r="Q2833" s="293"/>
      <c r="R2833" s="316"/>
      <c r="S2833" s="355"/>
    </row>
    <row r="2834" spans="13:19" x14ac:dyDescent="0.25">
      <c r="M2834" s="514"/>
      <c r="Q2834" s="293"/>
      <c r="R2834" s="316"/>
      <c r="S2834" s="355"/>
    </row>
    <row r="2835" spans="13:19" x14ac:dyDescent="0.25">
      <c r="M2835" s="514"/>
      <c r="Q2835" s="293"/>
      <c r="R2835" s="316"/>
      <c r="S2835" s="355"/>
    </row>
    <row r="2836" spans="13:19" x14ac:dyDescent="0.25">
      <c r="M2836" s="514"/>
      <c r="Q2836" s="293"/>
      <c r="R2836" s="316"/>
      <c r="S2836" s="355"/>
    </row>
    <row r="2837" spans="13:19" x14ac:dyDescent="0.25">
      <c r="M2837" s="514"/>
      <c r="Q2837" s="293"/>
      <c r="R2837" s="316"/>
      <c r="S2837" s="355"/>
    </row>
    <row r="2838" spans="13:19" x14ac:dyDescent="0.25">
      <c r="M2838" s="514"/>
      <c r="Q2838" s="293"/>
      <c r="R2838" s="316"/>
      <c r="S2838" s="355"/>
    </row>
    <row r="2839" spans="13:19" x14ac:dyDescent="0.25">
      <c r="M2839" s="514"/>
      <c r="Q2839" s="293"/>
      <c r="R2839" s="316"/>
      <c r="S2839" s="355"/>
    </row>
    <row r="2840" spans="13:19" x14ac:dyDescent="0.25">
      <c r="M2840" s="514"/>
      <c r="Q2840" s="293"/>
      <c r="R2840" s="316"/>
      <c r="S2840" s="355"/>
    </row>
    <row r="2841" spans="13:19" x14ac:dyDescent="0.25">
      <c r="M2841" s="514"/>
      <c r="Q2841" s="293"/>
      <c r="R2841" s="316"/>
      <c r="S2841" s="355"/>
    </row>
    <row r="2842" spans="13:19" x14ac:dyDescent="0.25">
      <c r="M2842" s="514"/>
      <c r="Q2842" s="293"/>
      <c r="R2842" s="316"/>
      <c r="S2842" s="355"/>
    </row>
    <row r="2843" spans="13:19" x14ac:dyDescent="0.25">
      <c r="M2843" s="514"/>
      <c r="Q2843" s="293"/>
      <c r="R2843" s="316"/>
      <c r="S2843" s="355"/>
    </row>
    <row r="2844" spans="13:19" x14ac:dyDescent="0.25">
      <c r="M2844" s="514"/>
      <c r="Q2844" s="293"/>
      <c r="R2844" s="316"/>
      <c r="S2844" s="355"/>
    </row>
    <row r="2845" spans="13:19" x14ac:dyDescent="0.25">
      <c r="M2845" s="514"/>
      <c r="Q2845" s="293"/>
      <c r="R2845" s="316"/>
      <c r="S2845" s="355"/>
    </row>
    <row r="2846" spans="13:19" x14ac:dyDescent="0.25">
      <c r="M2846" s="514"/>
      <c r="Q2846" s="293"/>
      <c r="R2846" s="316"/>
      <c r="S2846" s="355"/>
    </row>
    <row r="2847" spans="13:19" x14ac:dyDescent="0.25">
      <c r="M2847" s="514"/>
      <c r="Q2847" s="293"/>
      <c r="R2847" s="316"/>
      <c r="S2847" s="355"/>
    </row>
    <row r="2848" spans="13:19" x14ac:dyDescent="0.25">
      <c r="M2848" s="514"/>
      <c r="Q2848" s="293"/>
      <c r="R2848" s="316"/>
      <c r="S2848" s="355"/>
    </row>
    <row r="2849" spans="13:19" x14ac:dyDescent="0.25">
      <c r="M2849" s="514"/>
      <c r="Q2849" s="293"/>
      <c r="R2849" s="316"/>
      <c r="S2849" s="355"/>
    </row>
    <row r="2850" spans="13:19" x14ac:dyDescent="0.25">
      <c r="M2850" s="514"/>
      <c r="Q2850" s="293"/>
      <c r="R2850" s="316"/>
      <c r="S2850" s="355"/>
    </row>
    <row r="2851" spans="13:19" x14ac:dyDescent="0.25">
      <c r="M2851" s="514"/>
      <c r="Q2851" s="293"/>
      <c r="R2851" s="316"/>
      <c r="S2851" s="355"/>
    </row>
    <row r="2852" spans="13:19" x14ac:dyDescent="0.25">
      <c r="M2852" s="514"/>
      <c r="Q2852" s="293"/>
      <c r="R2852" s="316"/>
      <c r="S2852" s="355"/>
    </row>
    <row r="2853" spans="13:19" x14ac:dyDescent="0.25">
      <c r="M2853" s="514"/>
      <c r="Q2853" s="293"/>
      <c r="R2853" s="316"/>
      <c r="S2853" s="355"/>
    </row>
    <row r="2854" spans="13:19" x14ac:dyDescent="0.25">
      <c r="M2854" s="514"/>
      <c r="Q2854" s="293"/>
      <c r="R2854" s="316"/>
      <c r="S2854" s="355"/>
    </row>
    <row r="2855" spans="13:19" x14ac:dyDescent="0.25">
      <c r="M2855" s="514"/>
      <c r="Q2855" s="293"/>
      <c r="R2855" s="316"/>
      <c r="S2855" s="355"/>
    </row>
    <row r="2856" spans="13:19" x14ac:dyDescent="0.25">
      <c r="M2856" s="514"/>
      <c r="Q2856" s="293"/>
      <c r="R2856" s="316"/>
      <c r="S2856" s="355"/>
    </row>
    <row r="2857" spans="13:19" x14ac:dyDescent="0.25">
      <c r="M2857" s="514"/>
      <c r="Q2857" s="293"/>
      <c r="R2857" s="316"/>
      <c r="S2857" s="355"/>
    </row>
    <row r="2858" spans="13:19" x14ac:dyDescent="0.25">
      <c r="M2858" s="514"/>
      <c r="Q2858" s="293"/>
      <c r="R2858" s="316"/>
      <c r="S2858" s="355"/>
    </row>
    <row r="2859" spans="13:19" x14ac:dyDescent="0.25">
      <c r="M2859" s="514"/>
      <c r="Q2859" s="293"/>
      <c r="R2859" s="316"/>
      <c r="S2859" s="355"/>
    </row>
    <row r="2860" spans="13:19" x14ac:dyDescent="0.25">
      <c r="M2860" s="514"/>
      <c r="Q2860" s="293"/>
      <c r="R2860" s="316"/>
      <c r="S2860" s="355"/>
    </row>
    <row r="2861" spans="13:19" x14ac:dyDescent="0.25">
      <c r="M2861" s="514"/>
      <c r="Q2861" s="293"/>
      <c r="R2861" s="316"/>
      <c r="S2861" s="355"/>
    </row>
    <row r="2862" spans="13:19" x14ac:dyDescent="0.25">
      <c r="M2862" s="514"/>
      <c r="Q2862" s="293"/>
      <c r="R2862" s="316"/>
      <c r="S2862" s="355"/>
    </row>
    <row r="2863" spans="13:19" x14ac:dyDescent="0.25">
      <c r="M2863" s="514"/>
      <c r="Q2863" s="293"/>
      <c r="R2863" s="316"/>
      <c r="S2863" s="355"/>
    </row>
    <row r="2864" spans="13:19" x14ac:dyDescent="0.25">
      <c r="M2864" s="514"/>
      <c r="Q2864" s="293"/>
      <c r="R2864" s="316"/>
      <c r="S2864" s="355"/>
    </row>
    <row r="2865" spans="13:19" x14ac:dyDescent="0.25">
      <c r="M2865" s="514"/>
      <c r="Q2865" s="293"/>
      <c r="R2865" s="316"/>
      <c r="S2865" s="355"/>
    </row>
    <row r="2866" spans="13:19" x14ac:dyDescent="0.25">
      <c r="M2866" s="514"/>
      <c r="Q2866" s="293"/>
      <c r="R2866" s="316"/>
      <c r="S2866" s="355"/>
    </row>
    <row r="2867" spans="13:19" x14ac:dyDescent="0.25">
      <c r="M2867" s="514"/>
      <c r="Q2867" s="293"/>
      <c r="R2867" s="316"/>
      <c r="S2867" s="355"/>
    </row>
    <row r="2868" spans="13:19" x14ac:dyDescent="0.25">
      <c r="M2868" s="514"/>
      <c r="Q2868" s="293"/>
      <c r="R2868" s="316"/>
      <c r="S2868" s="355"/>
    </row>
    <row r="2869" spans="13:19" x14ac:dyDescent="0.25">
      <c r="M2869" s="514"/>
      <c r="Q2869" s="293"/>
      <c r="R2869" s="316"/>
      <c r="S2869" s="355"/>
    </row>
    <row r="2870" spans="13:19" x14ac:dyDescent="0.25">
      <c r="M2870" s="514"/>
      <c r="Q2870" s="293"/>
      <c r="R2870" s="316"/>
      <c r="S2870" s="355"/>
    </row>
    <row r="2871" spans="13:19" x14ac:dyDescent="0.25">
      <c r="M2871" s="514"/>
      <c r="Q2871" s="293"/>
      <c r="R2871" s="316"/>
      <c r="S2871" s="355"/>
    </row>
    <row r="2872" spans="13:19" x14ac:dyDescent="0.25">
      <c r="M2872" s="514"/>
      <c r="Q2872" s="293"/>
      <c r="R2872" s="316"/>
      <c r="S2872" s="355"/>
    </row>
    <row r="2873" spans="13:19" x14ac:dyDescent="0.25">
      <c r="M2873" s="514"/>
      <c r="Q2873" s="293"/>
      <c r="R2873" s="316"/>
      <c r="S2873" s="355"/>
    </row>
    <row r="2874" spans="13:19" x14ac:dyDescent="0.25">
      <c r="M2874" s="514"/>
      <c r="Q2874" s="293"/>
      <c r="R2874" s="316"/>
      <c r="S2874" s="355"/>
    </row>
    <row r="2875" spans="13:19" x14ac:dyDescent="0.25">
      <c r="M2875" s="514"/>
      <c r="Q2875" s="293"/>
      <c r="R2875" s="316"/>
      <c r="S2875" s="355"/>
    </row>
    <row r="2876" spans="13:19" x14ac:dyDescent="0.25">
      <c r="M2876" s="514"/>
      <c r="Q2876" s="293"/>
      <c r="R2876" s="316"/>
      <c r="S2876" s="355"/>
    </row>
    <row r="2877" spans="13:19" x14ac:dyDescent="0.25">
      <c r="M2877" s="514"/>
      <c r="Q2877" s="293"/>
      <c r="R2877" s="316"/>
      <c r="S2877" s="355"/>
    </row>
    <row r="2878" spans="13:19" x14ac:dyDescent="0.25">
      <c r="M2878" s="514"/>
      <c r="Q2878" s="293"/>
      <c r="R2878" s="316"/>
      <c r="S2878" s="355"/>
    </row>
    <row r="2879" spans="13:19" x14ac:dyDescent="0.25">
      <c r="M2879" s="514"/>
      <c r="Q2879" s="293"/>
      <c r="R2879" s="316"/>
      <c r="S2879" s="355"/>
    </row>
    <row r="2880" spans="13:19" x14ac:dyDescent="0.25">
      <c r="M2880" s="514"/>
      <c r="Q2880" s="293"/>
      <c r="R2880" s="316"/>
      <c r="S2880" s="355"/>
    </row>
    <row r="2881" spans="13:19" x14ac:dyDescent="0.25">
      <c r="M2881" s="514"/>
      <c r="Q2881" s="293"/>
      <c r="R2881" s="316"/>
      <c r="S2881" s="355"/>
    </row>
    <row r="2882" spans="13:19" x14ac:dyDescent="0.25">
      <c r="M2882" s="514"/>
      <c r="Q2882" s="293"/>
      <c r="R2882" s="316"/>
      <c r="S2882" s="355"/>
    </row>
    <row r="2883" spans="13:19" x14ac:dyDescent="0.25">
      <c r="M2883" s="514"/>
      <c r="Q2883" s="293"/>
      <c r="R2883" s="316"/>
      <c r="S2883" s="355"/>
    </row>
    <row r="2884" spans="13:19" x14ac:dyDescent="0.25">
      <c r="M2884" s="514"/>
      <c r="Q2884" s="293"/>
      <c r="R2884" s="316"/>
      <c r="S2884" s="355"/>
    </row>
    <row r="2885" spans="13:19" x14ac:dyDescent="0.25">
      <c r="M2885" s="514"/>
      <c r="Q2885" s="293"/>
      <c r="R2885" s="316"/>
      <c r="S2885" s="355"/>
    </row>
    <row r="2886" spans="13:19" x14ac:dyDescent="0.25">
      <c r="M2886" s="514"/>
      <c r="Q2886" s="293"/>
      <c r="R2886" s="316"/>
      <c r="S2886" s="355"/>
    </row>
    <row r="2887" spans="13:19" x14ac:dyDescent="0.25">
      <c r="M2887" s="514"/>
      <c r="Q2887" s="293"/>
      <c r="R2887" s="316"/>
      <c r="S2887" s="355"/>
    </row>
    <row r="2888" spans="13:19" x14ac:dyDescent="0.25">
      <c r="M2888" s="514"/>
      <c r="Q2888" s="293"/>
      <c r="R2888" s="316"/>
      <c r="S2888" s="355"/>
    </row>
    <row r="2889" spans="13:19" x14ac:dyDescent="0.25">
      <c r="M2889" s="514"/>
      <c r="Q2889" s="293"/>
      <c r="R2889" s="316"/>
      <c r="S2889" s="355"/>
    </row>
    <row r="2890" spans="13:19" x14ac:dyDescent="0.25">
      <c r="M2890" s="514"/>
      <c r="Q2890" s="293"/>
      <c r="R2890" s="316"/>
      <c r="S2890" s="355"/>
    </row>
    <row r="2891" spans="13:19" x14ac:dyDescent="0.25">
      <c r="M2891" s="514"/>
      <c r="Q2891" s="293"/>
      <c r="R2891" s="316"/>
      <c r="S2891" s="355"/>
    </row>
    <row r="2892" spans="13:19" x14ac:dyDescent="0.25">
      <c r="M2892" s="514"/>
      <c r="Q2892" s="293"/>
      <c r="R2892" s="316"/>
      <c r="S2892" s="355"/>
    </row>
    <row r="2893" spans="13:19" x14ac:dyDescent="0.25">
      <c r="M2893" s="514"/>
      <c r="Q2893" s="293"/>
      <c r="R2893" s="316"/>
      <c r="S2893" s="355"/>
    </row>
    <row r="2894" spans="13:19" x14ac:dyDescent="0.25">
      <c r="M2894" s="514"/>
      <c r="Q2894" s="293"/>
      <c r="R2894" s="316"/>
      <c r="S2894" s="355"/>
    </row>
    <row r="2895" spans="13:19" x14ac:dyDescent="0.25">
      <c r="M2895" s="514"/>
      <c r="Q2895" s="293"/>
      <c r="R2895" s="316"/>
      <c r="S2895" s="355"/>
    </row>
    <row r="2896" spans="13:19" x14ac:dyDescent="0.25">
      <c r="M2896" s="514"/>
      <c r="Q2896" s="293"/>
      <c r="R2896" s="316"/>
      <c r="S2896" s="355"/>
    </row>
    <row r="2897" spans="13:19" x14ac:dyDescent="0.25">
      <c r="M2897" s="514"/>
      <c r="Q2897" s="293"/>
      <c r="R2897" s="316"/>
      <c r="S2897" s="355"/>
    </row>
    <row r="2898" spans="13:19" x14ac:dyDescent="0.25">
      <c r="M2898" s="514"/>
      <c r="Q2898" s="293"/>
      <c r="R2898" s="316"/>
      <c r="S2898" s="355"/>
    </row>
    <row r="2899" spans="13:19" x14ac:dyDescent="0.25">
      <c r="M2899" s="514"/>
      <c r="Q2899" s="293"/>
      <c r="R2899" s="316"/>
      <c r="S2899" s="355"/>
    </row>
    <row r="2900" spans="13:19" x14ac:dyDescent="0.25">
      <c r="M2900" s="514"/>
      <c r="Q2900" s="293"/>
      <c r="R2900" s="316"/>
      <c r="S2900" s="355"/>
    </row>
    <row r="2901" spans="13:19" x14ac:dyDescent="0.25">
      <c r="M2901" s="514"/>
      <c r="Q2901" s="293"/>
      <c r="R2901" s="316"/>
      <c r="S2901" s="355"/>
    </row>
    <row r="2902" spans="13:19" x14ac:dyDescent="0.25">
      <c r="M2902" s="514"/>
      <c r="Q2902" s="293"/>
      <c r="R2902" s="316"/>
      <c r="S2902" s="355"/>
    </row>
    <row r="2903" spans="13:19" x14ac:dyDescent="0.25">
      <c r="M2903" s="514"/>
      <c r="Q2903" s="293"/>
      <c r="R2903" s="316"/>
      <c r="S2903" s="355"/>
    </row>
    <row r="2904" spans="13:19" x14ac:dyDescent="0.25">
      <c r="M2904" s="514"/>
      <c r="Q2904" s="293"/>
      <c r="R2904" s="316"/>
      <c r="S2904" s="355"/>
    </row>
    <row r="2905" spans="13:19" x14ac:dyDescent="0.25">
      <c r="M2905" s="514"/>
      <c r="Q2905" s="293"/>
      <c r="R2905" s="316"/>
      <c r="S2905" s="355"/>
    </row>
    <row r="2906" spans="13:19" x14ac:dyDescent="0.25">
      <c r="M2906" s="514"/>
      <c r="Q2906" s="293"/>
      <c r="R2906" s="316"/>
      <c r="S2906" s="355"/>
    </row>
    <row r="2907" spans="13:19" x14ac:dyDescent="0.25">
      <c r="M2907" s="514"/>
      <c r="Q2907" s="293"/>
      <c r="R2907" s="316"/>
      <c r="S2907" s="355"/>
    </row>
    <row r="2908" spans="13:19" x14ac:dyDescent="0.25">
      <c r="M2908" s="514"/>
      <c r="Q2908" s="293"/>
      <c r="R2908" s="316"/>
      <c r="S2908" s="355"/>
    </row>
    <row r="2909" spans="13:19" x14ac:dyDescent="0.25">
      <c r="M2909" s="514"/>
      <c r="Q2909" s="293"/>
      <c r="R2909" s="316"/>
      <c r="S2909" s="355"/>
    </row>
    <row r="2910" spans="13:19" x14ac:dyDescent="0.25">
      <c r="M2910" s="514"/>
      <c r="Q2910" s="293"/>
      <c r="R2910" s="316"/>
      <c r="S2910" s="355"/>
    </row>
    <row r="2911" spans="13:19" x14ac:dyDescent="0.25">
      <c r="M2911" s="514"/>
      <c r="Q2911" s="293"/>
      <c r="R2911" s="316"/>
      <c r="S2911" s="355"/>
    </row>
    <row r="2912" spans="13:19" x14ac:dyDescent="0.25">
      <c r="M2912" s="514"/>
      <c r="Q2912" s="293"/>
      <c r="R2912" s="316"/>
      <c r="S2912" s="355"/>
    </row>
    <row r="2913" spans="13:19" x14ac:dyDescent="0.25">
      <c r="M2913" s="514"/>
      <c r="Q2913" s="293"/>
      <c r="R2913" s="316"/>
      <c r="S2913" s="355"/>
    </row>
    <row r="2914" spans="13:19" x14ac:dyDescent="0.25">
      <c r="M2914" s="514"/>
      <c r="Q2914" s="293"/>
      <c r="R2914" s="316"/>
      <c r="S2914" s="355"/>
    </row>
    <row r="2915" spans="13:19" x14ac:dyDescent="0.25">
      <c r="M2915" s="514"/>
      <c r="Q2915" s="293"/>
      <c r="R2915" s="316"/>
      <c r="S2915" s="355"/>
    </row>
    <row r="2916" spans="13:19" x14ac:dyDescent="0.25">
      <c r="M2916" s="514"/>
      <c r="Q2916" s="293"/>
      <c r="R2916" s="316"/>
      <c r="S2916" s="355"/>
    </row>
    <row r="2917" spans="13:19" x14ac:dyDescent="0.25">
      <c r="M2917" s="514"/>
      <c r="Q2917" s="293"/>
      <c r="R2917" s="316"/>
      <c r="S2917" s="355"/>
    </row>
    <row r="2918" spans="13:19" x14ac:dyDescent="0.25">
      <c r="M2918" s="514"/>
      <c r="Q2918" s="293"/>
      <c r="R2918" s="316"/>
      <c r="S2918" s="355"/>
    </row>
    <row r="2919" spans="13:19" x14ac:dyDescent="0.25">
      <c r="M2919" s="514"/>
      <c r="Q2919" s="293"/>
      <c r="R2919" s="316"/>
      <c r="S2919" s="355"/>
    </row>
    <row r="2920" spans="13:19" x14ac:dyDescent="0.25">
      <c r="M2920" s="514"/>
      <c r="Q2920" s="293"/>
      <c r="R2920" s="316"/>
      <c r="S2920" s="355"/>
    </row>
    <row r="2921" spans="13:19" x14ac:dyDescent="0.25">
      <c r="M2921" s="514"/>
      <c r="Q2921" s="293"/>
      <c r="R2921" s="316"/>
      <c r="S2921" s="355"/>
    </row>
    <row r="2922" spans="13:19" x14ac:dyDescent="0.25">
      <c r="M2922" s="514"/>
      <c r="Q2922" s="293"/>
      <c r="R2922" s="316"/>
      <c r="S2922" s="355"/>
    </row>
    <row r="2923" spans="13:19" x14ac:dyDescent="0.25">
      <c r="M2923" s="514"/>
      <c r="Q2923" s="293"/>
      <c r="R2923" s="316"/>
      <c r="S2923" s="355"/>
    </row>
    <row r="2924" spans="13:19" x14ac:dyDescent="0.25">
      <c r="M2924" s="514"/>
      <c r="Q2924" s="293"/>
      <c r="R2924" s="316"/>
      <c r="S2924" s="355"/>
    </row>
    <row r="2925" spans="13:19" x14ac:dyDescent="0.25">
      <c r="M2925" s="514"/>
      <c r="Q2925" s="293"/>
      <c r="R2925" s="316"/>
      <c r="S2925" s="355"/>
    </row>
    <row r="2926" spans="13:19" x14ac:dyDescent="0.25">
      <c r="M2926" s="514"/>
      <c r="Q2926" s="293"/>
      <c r="R2926" s="316"/>
      <c r="S2926" s="355"/>
    </row>
    <row r="2927" spans="13:19" x14ac:dyDescent="0.25">
      <c r="M2927" s="514"/>
      <c r="Q2927" s="293"/>
      <c r="R2927" s="316"/>
      <c r="S2927" s="355"/>
    </row>
    <row r="2928" spans="13:19" x14ac:dyDescent="0.25">
      <c r="M2928" s="514"/>
      <c r="Q2928" s="293"/>
      <c r="R2928" s="316"/>
      <c r="S2928" s="355"/>
    </row>
    <row r="2929" spans="13:19" x14ac:dyDescent="0.25">
      <c r="M2929" s="514"/>
      <c r="Q2929" s="293"/>
      <c r="R2929" s="316"/>
      <c r="S2929" s="355"/>
    </row>
    <row r="2930" spans="13:19" x14ac:dyDescent="0.25">
      <c r="M2930" s="514"/>
      <c r="Q2930" s="293"/>
      <c r="R2930" s="316"/>
      <c r="S2930" s="355"/>
    </row>
    <row r="2931" spans="13:19" x14ac:dyDescent="0.25">
      <c r="M2931" s="514"/>
      <c r="Q2931" s="293"/>
      <c r="R2931" s="316"/>
      <c r="S2931" s="355"/>
    </row>
    <row r="2932" spans="13:19" x14ac:dyDescent="0.25">
      <c r="M2932" s="514"/>
      <c r="Q2932" s="293"/>
      <c r="R2932" s="316"/>
      <c r="S2932" s="355"/>
    </row>
    <row r="2933" spans="13:19" x14ac:dyDescent="0.25">
      <c r="M2933" s="514"/>
      <c r="Q2933" s="293"/>
      <c r="R2933" s="316"/>
      <c r="S2933" s="355"/>
    </row>
    <row r="2934" spans="13:19" x14ac:dyDescent="0.25">
      <c r="M2934" s="514"/>
      <c r="Q2934" s="293"/>
      <c r="R2934" s="316"/>
      <c r="S2934" s="355"/>
    </row>
    <row r="2935" spans="13:19" x14ac:dyDescent="0.25">
      <c r="M2935" s="514"/>
      <c r="Q2935" s="293"/>
      <c r="R2935" s="316"/>
      <c r="S2935" s="355"/>
    </row>
    <row r="2936" spans="13:19" x14ac:dyDescent="0.25">
      <c r="M2936" s="514"/>
      <c r="Q2936" s="293"/>
      <c r="R2936" s="316"/>
      <c r="S2936" s="355"/>
    </row>
    <row r="2937" spans="13:19" x14ac:dyDescent="0.25">
      <c r="M2937" s="514"/>
      <c r="Q2937" s="293"/>
      <c r="R2937" s="316"/>
      <c r="S2937" s="355"/>
    </row>
    <row r="2938" spans="13:19" x14ac:dyDescent="0.25">
      <c r="M2938" s="514"/>
      <c r="Q2938" s="293"/>
      <c r="R2938" s="316"/>
      <c r="S2938" s="355"/>
    </row>
    <row r="2939" spans="13:19" x14ac:dyDescent="0.25">
      <c r="M2939" s="514"/>
      <c r="Q2939" s="293"/>
      <c r="R2939" s="316"/>
      <c r="S2939" s="355"/>
    </row>
    <row r="2940" spans="13:19" x14ac:dyDescent="0.25">
      <c r="M2940" s="514"/>
      <c r="Q2940" s="293"/>
      <c r="R2940" s="316"/>
      <c r="S2940" s="355"/>
    </row>
    <row r="2941" spans="13:19" x14ac:dyDescent="0.25">
      <c r="M2941" s="514"/>
      <c r="Q2941" s="293"/>
      <c r="R2941" s="316"/>
      <c r="S2941" s="355"/>
    </row>
    <row r="2942" spans="13:19" x14ac:dyDescent="0.25">
      <c r="M2942" s="514"/>
      <c r="Q2942" s="293"/>
      <c r="R2942" s="316"/>
      <c r="S2942" s="355"/>
    </row>
    <row r="2943" spans="13:19" x14ac:dyDescent="0.25">
      <c r="M2943" s="514"/>
      <c r="Q2943" s="293"/>
      <c r="R2943" s="316"/>
      <c r="S2943" s="355"/>
    </row>
    <row r="2944" spans="13:19" x14ac:dyDescent="0.25">
      <c r="M2944" s="514"/>
      <c r="Q2944" s="293"/>
      <c r="R2944" s="316"/>
      <c r="S2944" s="355"/>
    </row>
    <row r="2945" spans="13:19" x14ac:dyDescent="0.25">
      <c r="M2945" s="514"/>
      <c r="Q2945" s="293"/>
      <c r="R2945" s="316"/>
      <c r="S2945" s="355"/>
    </row>
    <row r="2946" spans="13:19" x14ac:dyDescent="0.25">
      <c r="M2946" s="514"/>
      <c r="Q2946" s="293"/>
      <c r="R2946" s="316"/>
      <c r="S2946" s="355"/>
    </row>
    <row r="2947" spans="13:19" x14ac:dyDescent="0.25">
      <c r="M2947" s="514"/>
      <c r="Q2947" s="293"/>
      <c r="R2947" s="316"/>
      <c r="S2947" s="355"/>
    </row>
    <row r="2948" spans="13:19" x14ac:dyDescent="0.25">
      <c r="M2948" s="514"/>
      <c r="Q2948" s="293"/>
      <c r="R2948" s="316"/>
      <c r="S2948" s="355"/>
    </row>
    <row r="2949" spans="13:19" x14ac:dyDescent="0.25">
      <c r="M2949" s="514"/>
      <c r="Q2949" s="293"/>
      <c r="R2949" s="316"/>
      <c r="S2949" s="355"/>
    </row>
    <row r="2950" spans="13:19" x14ac:dyDescent="0.25">
      <c r="M2950" s="514"/>
      <c r="Q2950" s="293"/>
      <c r="R2950" s="316"/>
      <c r="S2950" s="355"/>
    </row>
    <row r="2951" spans="13:19" x14ac:dyDescent="0.25">
      <c r="M2951" s="514"/>
      <c r="Q2951" s="293"/>
      <c r="R2951" s="316"/>
      <c r="S2951" s="355"/>
    </row>
    <row r="2952" spans="13:19" x14ac:dyDescent="0.25">
      <c r="M2952" s="514"/>
      <c r="Q2952" s="293"/>
      <c r="R2952" s="316"/>
      <c r="S2952" s="355"/>
    </row>
    <row r="2953" spans="13:19" x14ac:dyDescent="0.25">
      <c r="M2953" s="514"/>
      <c r="Q2953" s="293"/>
      <c r="R2953" s="316"/>
      <c r="S2953" s="355"/>
    </row>
    <row r="2954" spans="13:19" x14ac:dyDescent="0.25">
      <c r="M2954" s="514"/>
      <c r="Q2954" s="293"/>
      <c r="R2954" s="316"/>
      <c r="S2954" s="355"/>
    </row>
    <row r="2955" spans="13:19" x14ac:dyDescent="0.25">
      <c r="M2955" s="514"/>
      <c r="Q2955" s="293"/>
      <c r="R2955" s="316"/>
      <c r="S2955" s="355"/>
    </row>
    <row r="2956" spans="13:19" x14ac:dyDescent="0.25">
      <c r="M2956" s="514"/>
      <c r="Q2956" s="293"/>
      <c r="R2956" s="316"/>
      <c r="S2956" s="355"/>
    </row>
    <row r="2957" spans="13:19" x14ac:dyDescent="0.25">
      <c r="M2957" s="514"/>
      <c r="Q2957" s="293"/>
      <c r="R2957" s="316"/>
      <c r="S2957" s="355"/>
    </row>
    <row r="2958" spans="13:19" x14ac:dyDescent="0.25">
      <c r="M2958" s="514"/>
      <c r="Q2958" s="293"/>
      <c r="R2958" s="316"/>
      <c r="S2958" s="355"/>
    </row>
    <row r="2959" spans="13:19" x14ac:dyDescent="0.25">
      <c r="M2959" s="514"/>
      <c r="Q2959" s="293"/>
      <c r="R2959" s="316"/>
      <c r="S2959" s="355"/>
    </row>
    <row r="2960" spans="13:19" x14ac:dyDescent="0.25">
      <c r="M2960" s="514"/>
      <c r="Q2960" s="293"/>
      <c r="R2960" s="316"/>
      <c r="S2960" s="355"/>
    </row>
    <row r="2961" spans="13:19" x14ac:dyDescent="0.25">
      <c r="M2961" s="514"/>
      <c r="Q2961" s="293"/>
      <c r="R2961" s="316"/>
      <c r="S2961" s="355"/>
    </row>
    <row r="2962" spans="13:19" x14ac:dyDescent="0.25">
      <c r="M2962" s="514"/>
      <c r="Q2962" s="293"/>
      <c r="R2962" s="316"/>
      <c r="S2962" s="355"/>
    </row>
    <row r="2963" spans="13:19" x14ac:dyDescent="0.25">
      <c r="M2963" s="514"/>
      <c r="Q2963" s="293"/>
      <c r="R2963" s="316"/>
      <c r="S2963" s="355"/>
    </row>
    <row r="2964" spans="13:19" x14ac:dyDescent="0.25">
      <c r="M2964" s="514"/>
      <c r="Q2964" s="293"/>
      <c r="R2964" s="316"/>
      <c r="S2964" s="355"/>
    </row>
    <row r="2965" spans="13:19" x14ac:dyDescent="0.25">
      <c r="M2965" s="514"/>
      <c r="Q2965" s="293"/>
      <c r="R2965" s="316"/>
      <c r="S2965" s="355"/>
    </row>
    <row r="2966" spans="13:19" x14ac:dyDescent="0.25">
      <c r="M2966" s="514"/>
      <c r="Q2966" s="293"/>
      <c r="R2966" s="316"/>
      <c r="S2966" s="355"/>
    </row>
    <row r="2967" spans="13:19" x14ac:dyDescent="0.25">
      <c r="M2967" s="514"/>
      <c r="Q2967" s="293"/>
      <c r="R2967" s="316"/>
      <c r="S2967" s="355"/>
    </row>
    <row r="2968" spans="13:19" x14ac:dyDescent="0.25">
      <c r="M2968" s="514"/>
      <c r="Q2968" s="293"/>
      <c r="R2968" s="316"/>
      <c r="S2968" s="355"/>
    </row>
    <row r="2969" spans="13:19" x14ac:dyDescent="0.25">
      <c r="M2969" s="514"/>
      <c r="Q2969" s="293"/>
      <c r="R2969" s="316"/>
      <c r="S2969" s="355"/>
    </row>
    <row r="2970" spans="13:19" x14ac:dyDescent="0.25">
      <c r="M2970" s="514"/>
      <c r="Q2970" s="293"/>
      <c r="R2970" s="316"/>
      <c r="S2970" s="355"/>
    </row>
    <row r="2971" spans="13:19" x14ac:dyDescent="0.25">
      <c r="M2971" s="514"/>
      <c r="Q2971" s="293"/>
      <c r="R2971" s="316"/>
      <c r="S2971" s="355"/>
    </row>
    <row r="2972" spans="13:19" x14ac:dyDescent="0.25">
      <c r="M2972" s="514"/>
      <c r="Q2972" s="293"/>
      <c r="R2972" s="316"/>
      <c r="S2972" s="355"/>
    </row>
    <row r="2973" spans="13:19" x14ac:dyDescent="0.25">
      <c r="M2973" s="514"/>
      <c r="Q2973" s="293"/>
      <c r="R2973" s="316"/>
      <c r="S2973" s="355"/>
    </row>
    <row r="2974" spans="13:19" x14ac:dyDescent="0.25">
      <c r="M2974" s="514"/>
      <c r="Q2974" s="293"/>
      <c r="R2974" s="316"/>
      <c r="S2974" s="355"/>
    </row>
    <row r="2975" spans="13:19" x14ac:dyDescent="0.25">
      <c r="M2975" s="514"/>
      <c r="Q2975" s="293"/>
      <c r="R2975" s="316"/>
      <c r="S2975" s="355"/>
    </row>
    <row r="2976" spans="13:19" x14ac:dyDescent="0.25">
      <c r="M2976" s="514"/>
      <c r="Q2976" s="293"/>
      <c r="R2976" s="316"/>
      <c r="S2976" s="355"/>
    </row>
    <row r="2977" spans="13:19" x14ac:dyDescent="0.25">
      <c r="M2977" s="514"/>
      <c r="Q2977" s="293"/>
      <c r="R2977" s="316"/>
      <c r="S2977" s="355"/>
    </row>
    <row r="2978" spans="13:19" x14ac:dyDescent="0.25">
      <c r="M2978" s="514"/>
      <c r="Q2978" s="293"/>
      <c r="R2978" s="316"/>
      <c r="S2978" s="355"/>
    </row>
    <row r="2979" spans="13:19" x14ac:dyDescent="0.25">
      <c r="M2979" s="514"/>
      <c r="Q2979" s="293"/>
      <c r="R2979" s="316"/>
      <c r="S2979" s="355"/>
    </row>
    <row r="2980" spans="13:19" x14ac:dyDescent="0.25">
      <c r="M2980" s="514"/>
      <c r="Q2980" s="293"/>
      <c r="R2980" s="316"/>
      <c r="S2980" s="355"/>
    </row>
    <row r="2981" spans="13:19" x14ac:dyDescent="0.25">
      <c r="M2981" s="514"/>
      <c r="Q2981" s="293"/>
      <c r="R2981" s="316"/>
      <c r="S2981" s="355"/>
    </row>
    <row r="2982" spans="13:19" x14ac:dyDescent="0.25">
      <c r="M2982" s="514"/>
      <c r="Q2982" s="293"/>
      <c r="R2982" s="316"/>
      <c r="S2982" s="355"/>
    </row>
    <row r="2983" spans="13:19" x14ac:dyDescent="0.25">
      <c r="M2983" s="514"/>
      <c r="Q2983" s="293"/>
      <c r="R2983" s="316"/>
      <c r="S2983" s="355"/>
    </row>
    <row r="2984" spans="13:19" x14ac:dyDescent="0.25">
      <c r="M2984" s="514"/>
      <c r="Q2984" s="293"/>
      <c r="R2984" s="316"/>
      <c r="S2984" s="355"/>
    </row>
    <row r="2985" spans="13:19" x14ac:dyDescent="0.25">
      <c r="M2985" s="514"/>
      <c r="Q2985" s="293"/>
      <c r="R2985" s="316"/>
      <c r="S2985" s="355"/>
    </row>
    <row r="2986" spans="13:19" x14ac:dyDescent="0.25">
      <c r="M2986" s="514"/>
      <c r="Q2986" s="293"/>
      <c r="R2986" s="316"/>
      <c r="S2986" s="355"/>
    </row>
    <row r="2987" spans="13:19" x14ac:dyDescent="0.25">
      <c r="M2987" s="514"/>
      <c r="Q2987" s="293"/>
      <c r="R2987" s="316"/>
      <c r="S2987" s="355"/>
    </row>
    <row r="2988" spans="13:19" x14ac:dyDescent="0.25">
      <c r="M2988" s="514"/>
      <c r="Q2988" s="293"/>
      <c r="R2988" s="316"/>
      <c r="S2988" s="355"/>
    </row>
    <row r="2989" spans="13:19" x14ac:dyDescent="0.25">
      <c r="M2989" s="514"/>
      <c r="Q2989" s="293"/>
      <c r="R2989" s="316"/>
      <c r="S2989" s="355"/>
    </row>
    <row r="2990" spans="13:19" x14ac:dyDescent="0.25">
      <c r="M2990" s="514"/>
      <c r="Q2990" s="293"/>
      <c r="R2990" s="316"/>
      <c r="S2990" s="355"/>
    </row>
    <row r="2991" spans="13:19" x14ac:dyDescent="0.25">
      <c r="M2991" s="514"/>
      <c r="Q2991" s="293"/>
      <c r="R2991" s="316"/>
      <c r="S2991" s="355"/>
    </row>
    <row r="2992" spans="13:19" x14ac:dyDescent="0.25">
      <c r="M2992" s="514"/>
      <c r="Q2992" s="293"/>
      <c r="R2992" s="316"/>
      <c r="S2992" s="355"/>
    </row>
    <row r="2993" spans="13:19" x14ac:dyDescent="0.25">
      <c r="M2993" s="514"/>
      <c r="Q2993" s="293"/>
      <c r="R2993" s="316"/>
      <c r="S2993" s="355"/>
    </row>
    <row r="2994" spans="13:19" x14ac:dyDescent="0.25">
      <c r="M2994" s="514"/>
      <c r="Q2994" s="293"/>
      <c r="R2994" s="316"/>
      <c r="S2994" s="355"/>
    </row>
    <row r="2995" spans="13:19" x14ac:dyDescent="0.25">
      <c r="M2995" s="514"/>
      <c r="Q2995" s="293"/>
      <c r="R2995" s="316"/>
      <c r="S2995" s="355"/>
    </row>
    <row r="2996" spans="13:19" x14ac:dyDescent="0.25">
      <c r="M2996" s="514"/>
      <c r="Q2996" s="293"/>
      <c r="R2996" s="316"/>
      <c r="S2996" s="355"/>
    </row>
    <row r="2997" spans="13:19" x14ac:dyDescent="0.25">
      <c r="M2997" s="514"/>
      <c r="Q2997" s="293"/>
      <c r="R2997" s="316"/>
      <c r="S2997" s="355"/>
    </row>
    <row r="2998" spans="13:19" x14ac:dyDescent="0.25">
      <c r="M2998" s="514"/>
      <c r="Q2998" s="293"/>
      <c r="R2998" s="316"/>
      <c r="S2998" s="355"/>
    </row>
    <row r="2999" spans="13:19" x14ac:dyDescent="0.25">
      <c r="M2999" s="514"/>
      <c r="Q2999" s="293"/>
      <c r="R2999" s="316"/>
      <c r="S2999" s="355"/>
    </row>
    <row r="3000" spans="13:19" x14ac:dyDescent="0.25">
      <c r="M3000" s="514"/>
      <c r="Q3000" s="293"/>
      <c r="R3000" s="316"/>
      <c r="S3000" s="355"/>
    </row>
    <row r="3001" spans="13:19" x14ac:dyDescent="0.25">
      <c r="M3001" s="514"/>
      <c r="Q3001" s="293"/>
      <c r="R3001" s="316"/>
      <c r="S3001" s="355"/>
    </row>
    <row r="3002" spans="13:19" x14ac:dyDescent="0.25">
      <c r="M3002" s="514"/>
      <c r="Q3002" s="293"/>
      <c r="R3002" s="316"/>
      <c r="S3002" s="355"/>
    </row>
    <row r="3003" spans="13:19" x14ac:dyDescent="0.25">
      <c r="M3003" s="514"/>
      <c r="Q3003" s="293"/>
      <c r="R3003" s="316"/>
      <c r="S3003" s="355"/>
    </row>
    <row r="3004" spans="13:19" x14ac:dyDescent="0.25">
      <c r="M3004" s="514"/>
      <c r="Q3004" s="293"/>
      <c r="R3004" s="316"/>
      <c r="S3004" s="355"/>
    </row>
    <row r="3005" spans="13:19" x14ac:dyDescent="0.25">
      <c r="M3005" s="514"/>
      <c r="Q3005" s="293"/>
      <c r="R3005" s="316"/>
      <c r="S3005" s="355"/>
    </row>
    <row r="3006" spans="13:19" x14ac:dyDescent="0.25">
      <c r="M3006" s="514"/>
      <c r="Q3006" s="293"/>
      <c r="R3006" s="316"/>
      <c r="S3006" s="355"/>
    </row>
    <row r="3007" spans="13:19" x14ac:dyDescent="0.25">
      <c r="M3007" s="514"/>
      <c r="Q3007" s="293"/>
      <c r="R3007" s="316"/>
      <c r="S3007" s="355"/>
    </row>
    <row r="3008" spans="13:19" x14ac:dyDescent="0.25">
      <c r="M3008" s="514"/>
      <c r="Q3008" s="293"/>
      <c r="R3008" s="316"/>
      <c r="S3008" s="355"/>
    </row>
    <row r="3009" spans="13:19" x14ac:dyDescent="0.25">
      <c r="M3009" s="514"/>
      <c r="Q3009" s="293"/>
      <c r="R3009" s="316"/>
      <c r="S3009" s="355"/>
    </row>
    <row r="3010" spans="13:19" x14ac:dyDescent="0.25">
      <c r="M3010" s="514"/>
      <c r="Q3010" s="293"/>
      <c r="R3010" s="316"/>
      <c r="S3010" s="355"/>
    </row>
    <row r="3011" spans="13:19" x14ac:dyDescent="0.25">
      <c r="M3011" s="514"/>
      <c r="Q3011" s="293"/>
      <c r="R3011" s="316"/>
      <c r="S3011" s="355"/>
    </row>
    <row r="3012" spans="13:19" x14ac:dyDescent="0.25">
      <c r="M3012" s="514"/>
      <c r="Q3012" s="293"/>
      <c r="R3012" s="316"/>
      <c r="S3012" s="355"/>
    </row>
    <row r="3013" spans="13:19" x14ac:dyDescent="0.25">
      <c r="M3013" s="514"/>
      <c r="Q3013" s="293"/>
      <c r="R3013" s="316"/>
      <c r="S3013" s="355"/>
    </row>
    <row r="3014" spans="13:19" x14ac:dyDescent="0.25">
      <c r="M3014" s="514"/>
      <c r="Q3014" s="293"/>
      <c r="R3014" s="316"/>
      <c r="S3014" s="355"/>
    </row>
    <row r="3015" spans="13:19" x14ac:dyDescent="0.25">
      <c r="M3015" s="514"/>
      <c r="Q3015" s="293"/>
      <c r="R3015" s="316"/>
      <c r="S3015" s="355"/>
    </row>
    <row r="3016" spans="13:19" x14ac:dyDescent="0.25">
      <c r="M3016" s="514"/>
      <c r="Q3016" s="293"/>
      <c r="R3016" s="316"/>
      <c r="S3016" s="355"/>
    </row>
    <row r="3017" spans="13:19" x14ac:dyDescent="0.25">
      <c r="M3017" s="514"/>
      <c r="Q3017" s="293"/>
      <c r="R3017" s="316"/>
      <c r="S3017" s="355"/>
    </row>
    <row r="3018" spans="13:19" x14ac:dyDescent="0.25">
      <c r="M3018" s="514"/>
      <c r="Q3018" s="293"/>
      <c r="R3018" s="316"/>
      <c r="S3018" s="355"/>
    </row>
    <row r="3019" spans="13:19" x14ac:dyDescent="0.25">
      <c r="M3019" s="514"/>
      <c r="Q3019" s="293"/>
      <c r="R3019" s="316"/>
      <c r="S3019" s="355"/>
    </row>
    <row r="3020" spans="13:19" x14ac:dyDescent="0.25">
      <c r="M3020" s="514"/>
      <c r="Q3020" s="293"/>
      <c r="R3020" s="316"/>
      <c r="S3020" s="355"/>
    </row>
    <row r="3021" spans="13:19" x14ac:dyDescent="0.25">
      <c r="M3021" s="514"/>
      <c r="Q3021" s="293"/>
      <c r="R3021" s="316"/>
      <c r="S3021" s="355"/>
    </row>
    <row r="3022" spans="13:19" x14ac:dyDescent="0.25">
      <c r="M3022" s="514"/>
      <c r="Q3022" s="293"/>
      <c r="R3022" s="316"/>
      <c r="S3022" s="355"/>
    </row>
    <row r="3023" spans="13:19" x14ac:dyDescent="0.25">
      <c r="M3023" s="514"/>
      <c r="Q3023" s="293"/>
      <c r="R3023" s="316"/>
      <c r="S3023" s="355"/>
    </row>
    <row r="3024" spans="13:19" x14ac:dyDescent="0.25">
      <c r="M3024" s="514"/>
      <c r="Q3024" s="293"/>
      <c r="R3024" s="316"/>
      <c r="S3024" s="355"/>
    </row>
    <row r="3025" spans="13:19" x14ac:dyDescent="0.25">
      <c r="M3025" s="514"/>
      <c r="Q3025" s="293"/>
      <c r="R3025" s="316"/>
      <c r="S3025" s="355"/>
    </row>
    <row r="3026" spans="13:19" x14ac:dyDescent="0.25">
      <c r="M3026" s="514"/>
      <c r="Q3026" s="293"/>
      <c r="R3026" s="316"/>
      <c r="S3026" s="355"/>
    </row>
    <row r="3027" spans="13:19" x14ac:dyDescent="0.25">
      <c r="M3027" s="514"/>
      <c r="Q3027" s="293"/>
      <c r="R3027" s="316"/>
      <c r="S3027" s="355"/>
    </row>
    <row r="3028" spans="13:19" x14ac:dyDescent="0.25">
      <c r="M3028" s="514"/>
      <c r="Q3028" s="293"/>
      <c r="R3028" s="316"/>
      <c r="S3028" s="355"/>
    </row>
    <row r="3029" spans="13:19" x14ac:dyDescent="0.25">
      <c r="M3029" s="514"/>
      <c r="Q3029" s="293"/>
      <c r="R3029" s="316"/>
      <c r="S3029" s="355"/>
    </row>
    <row r="3030" spans="13:19" x14ac:dyDescent="0.25">
      <c r="M3030" s="514"/>
      <c r="Q3030" s="293"/>
      <c r="R3030" s="316"/>
      <c r="S3030" s="355"/>
    </row>
    <row r="3031" spans="13:19" x14ac:dyDescent="0.25">
      <c r="M3031" s="514"/>
      <c r="Q3031" s="293"/>
      <c r="R3031" s="316"/>
      <c r="S3031" s="355"/>
    </row>
    <row r="3032" spans="13:19" x14ac:dyDescent="0.25">
      <c r="M3032" s="514"/>
      <c r="Q3032" s="293"/>
      <c r="R3032" s="316"/>
      <c r="S3032" s="355"/>
    </row>
    <row r="3033" spans="13:19" x14ac:dyDescent="0.25">
      <c r="M3033" s="514"/>
      <c r="Q3033" s="293"/>
      <c r="R3033" s="316"/>
      <c r="S3033" s="355"/>
    </row>
    <row r="3034" spans="13:19" x14ac:dyDescent="0.25">
      <c r="M3034" s="514"/>
      <c r="Q3034" s="293"/>
      <c r="R3034" s="316"/>
      <c r="S3034" s="355"/>
    </row>
    <row r="3035" spans="13:19" x14ac:dyDescent="0.25">
      <c r="M3035" s="514"/>
      <c r="Q3035" s="293"/>
      <c r="R3035" s="316"/>
      <c r="S3035" s="355"/>
    </row>
    <row r="3036" spans="13:19" x14ac:dyDescent="0.25">
      <c r="M3036" s="514"/>
      <c r="Q3036" s="293"/>
      <c r="R3036" s="316"/>
      <c r="S3036" s="355"/>
    </row>
    <row r="3037" spans="13:19" x14ac:dyDescent="0.25">
      <c r="M3037" s="514"/>
      <c r="Q3037" s="293"/>
      <c r="R3037" s="316"/>
      <c r="S3037" s="355"/>
    </row>
    <row r="3038" spans="13:19" x14ac:dyDescent="0.25">
      <c r="M3038" s="514"/>
      <c r="Q3038" s="293"/>
      <c r="R3038" s="316"/>
      <c r="S3038" s="355"/>
    </row>
    <row r="3039" spans="13:19" x14ac:dyDescent="0.25">
      <c r="M3039" s="514"/>
      <c r="Q3039" s="293"/>
      <c r="R3039" s="316"/>
      <c r="S3039" s="355"/>
    </row>
    <row r="3040" spans="13:19" x14ac:dyDescent="0.25">
      <c r="M3040" s="514"/>
      <c r="Q3040" s="293"/>
      <c r="R3040" s="316"/>
      <c r="S3040" s="355"/>
    </row>
    <row r="3041" spans="13:19" x14ac:dyDescent="0.25">
      <c r="M3041" s="514"/>
      <c r="Q3041" s="293"/>
      <c r="R3041" s="316"/>
      <c r="S3041" s="355"/>
    </row>
    <row r="3042" spans="13:19" x14ac:dyDescent="0.25">
      <c r="M3042" s="514"/>
      <c r="Q3042" s="293"/>
      <c r="R3042" s="316"/>
      <c r="S3042" s="355"/>
    </row>
    <row r="3043" spans="13:19" x14ac:dyDescent="0.25">
      <c r="M3043" s="514"/>
      <c r="Q3043" s="293"/>
      <c r="R3043" s="316"/>
      <c r="S3043" s="355"/>
    </row>
    <row r="3044" spans="13:19" x14ac:dyDescent="0.25">
      <c r="M3044" s="514"/>
      <c r="Q3044" s="293"/>
      <c r="R3044" s="316"/>
      <c r="S3044" s="355"/>
    </row>
    <row r="3045" spans="13:19" x14ac:dyDescent="0.25">
      <c r="M3045" s="514"/>
      <c r="Q3045" s="293"/>
      <c r="R3045" s="316"/>
      <c r="S3045" s="355"/>
    </row>
    <row r="3046" spans="13:19" x14ac:dyDescent="0.25">
      <c r="M3046" s="514"/>
      <c r="Q3046" s="293"/>
      <c r="R3046" s="316"/>
      <c r="S3046" s="355"/>
    </row>
    <row r="3047" spans="13:19" x14ac:dyDescent="0.25">
      <c r="M3047" s="514"/>
      <c r="Q3047" s="293"/>
      <c r="R3047" s="316"/>
      <c r="S3047" s="355"/>
    </row>
    <row r="3048" spans="13:19" x14ac:dyDescent="0.25">
      <c r="M3048" s="514"/>
      <c r="Q3048" s="293"/>
      <c r="R3048" s="316"/>
      <c r="S3048" s="355"/>
    </row>
    <row r="3049" spans="13:19" x14ac:dyDescent="0.25">
      <c r="M3049" s="514"/>
      <c r="Q3049" s="293"/>
      <c r="R3049" s="316"/>
      <c r="S3049" s="355"/>
    </row>
    <row r="3050" spans="13:19" x14ac:dyDescent="0.25">
      <c r="M3050" s="514"/>
      <c r="Q3050" s="293"/>
      <c r="R3050" s="316"/>
      <c r="S3050" s="355"/>
    </row>
    <row r="3051" spans="13:19" x14ac:dyDescent="0.25">
      <c r="M3051" s="514"/>
      <c r="Q3051" s="293"/>
      <c r="R3051" s="316"/>
      <c r="S3051" s="355"/>
    </row>
    <row r="3052" spans="13:19" x14ac:dyDescent="0.25">
      <c r="M3052" s="514"/>
      <c r="Q3052" s="293"/>
      <c r="R3052" s="316"/>
      <c r="S3052" s="355"/>
    </row>
    <row r="3053" spans="13:19" x14ac:dyDescent="0.25">
      <c r="M3053" s="514"/>
      <c r="Q3053" s="293"/>
      <c r="R3053" s="316"/>
      <c r="S3053" s="355"/>
    </row>
    <row r="3054" spans="13:19" x14ac:dyDescent="0.25">
      <c r="M3054" s="514"/>
      <c r="Q3054" s="293"/>
      <c r="R3054" s="316"/>
      <c r="S3054" s="355"/>
    </row>
    <row r="3055" spans="13:19" x14ac:dyDescent="0.25">
      <c r="M3055" s="514"/>
      <c r="Q3055" s="293"/>
      <c r="R3055" s="316"/>
      <c r="S3055" s="355"/>
    </row>
    <row r="3056" spans="13:19" x14ac:dyDescent="0.25">
      <c r="M3056" s="514"/>
      <c r="Q3056" s="293"/>
      <c r="R3056" s="316"/>
      <c r="S3056" s="355"/>
    </row>
    <row r="3057" spans="13:19" x14ac:dyDescent="0.25">
      <c r="M3057" s="514"/>
      <c r="Q3057" s="293"/>
      <c r="R3057" s="316"/>
      <c r="S3057" s="355"/>
    </row>
    <row r="3058" spans="13:19" x14ac:dyDescent="0.25">
      <c r="M3058" s="514"/>
      <c r="Q3058" s="293"/>
      <c r="R3058" s="316"/>
      <c r="S3058" s="355"/>
    </row>
    <row r="3059" spans="13:19" x14ac:dyDescent="0.25">
      <c r="M3059" s="514"/>
      <c r="Q3059" s="293"/>
      <c r="R3059" s="316"/>
      <c r="S3059" s="355"/>
    </row>
    <row r="3060" spans="13:19" x14ac:dyDescent="0.25">
      <c r="M3060" s="514"/>
      <c r="Q3060" s="293"/>
      <c r="R3060" s="316"/>
      <c r="S3060" s="355"/>
    </row>
    <row r="3061" spans="13:19" x14ac:dyDescent="0.25">
      <c r="M3061" s="514"/>
      <c r="Q3061" s="293"/>
      <c r="R3061" s="316"/>
      <c r="S3061" s="355"/>
    </row>
    <row r="3062" spans="13:19" x14ac:dyDescent="0.25">
      <c r="M3062" s="514"/>
      <c r="Q3062" s="293"/>
      <c r="R3062" s="316"/>
      <c r="S3062" s="355"/>
    </row>
    <row r="3063" spans="13:19" x14ac:dyDescent="0.25">
      <c r="M3063" s="514"/>
      <c r="Q3063" s="293"/>
      <c r="R3063" s="316"/>
      <c r="S3063" s="355"/>
    </row>
    <row r="3064" spans="13:19" x14ac:dyDescent="0.25">
      <c r="M3064" s="514"/>
      <c r="Q3064" s="293"/>
      <c r="R3064" s="316"/>
      <c r="S3064" s="355"/>
    </row>
    <row r="3065" spans="13:19" x14ac:dyDescent="0.25">
      <c r="M3065" s="514"/>
      <c r="Q3065" s="293"/>
      <c r="R3065" s="316"/>
      <c r="S3065" s="355"/>
    </row>
    <row r="3066" spans="13:19" x14ac:dyDescent="0.25">
      <c r="M3066" s="514"/>
      <c r="Q3066" s="293"/>
      <c r="R3066" s="316"/>
      <c r="S3066" s="355"/>
    </row>
    <row r="3067" spans="13:19" x14ac:dyDescent="0.25">
      <c r="M3067" s="514"/>
      <c r="Q3067" s="293"/>
      <c r="R3067" s="316"/>
      <c r="S3067" s="355"/>
    </row>
    <row r="3068" spans="13:19" x14ac:dyDescent="0.25">
      <c r="M3068" s="514"/>
      <c r="Q3068" s="293"/>
      <c r="R3068" s="316"/>
      <c r="S3068" s="355"/>
    </row>
    <row r="3069" spans="13:19" x14ac:dyDescent="0.25">
      <c r="M3069" s="514"/>
      <c r="Q3069" s="293"/>
      <c r="R3069" s="316"/>
      <c r="S3069" s="355"/>
    </row>
    <row r="3070" spans="13:19" x14ac:dyDescent="0.25">
      <c r="M3070" s="514"/>
      <c r="Q3070" s="293"/>
      <c r="R3070" s="316"/>
      <c r="S3070" s="355"/>
    </row>
    <row r="3071" spans="13:19" x14ac:dyDescent="0.25">
      <c r="M3071" s="514"/>
      <c r="Q3071" s="293"/>
      <c r="R3071" s="316"/>
      <c r="S3071" s="355"/>
    </row>
    <row r="3072" spans="13:19" x14ac:dyDescent="0.25">
      <c r="M3072" s="514"/>
      <c r="Q3072" s="293"/>
      <c r="R3072" s="316"/>
      <c r="S3072" s="355"/>
    </row>
    <row r="3073" spans="13:19" x14ac:dyDescent="0.25">
      <c r="M3073" s="514"/>
      <c r="Q3073" s="293"/>
      <c r="R3073" s="316"/>
      <c r="S3073" s="355"/>
    </row>
    <row r="3074" spans="13:19" x14ac:dyDescent="0.25">
      <c r="M3074" s="514"/>
      <c r="Q3074" s="293"/>
      <c r="R3074" s="316"/>
      <c r="S3074" s="355"/>
    </row>
    <row r="3075" spans="13:19" x14ac:dyDescent="0.25">
      <c r="M3075" s="514"/>
      <c r="Q3075" s="293"/>
      <c r="R3075" s="316"/>
      <c r="S3075" s="355"/>
    </row>
    <row r="3076" spans="13:19" x14ac:dyDescent="0.25">
      <c r="M3076" s="514"/>
      <c r="Q3076" s="293"/>
      <c r="R3076" s="316"/>
      <c r="S3076" s="355"/>
    </row>
    <row r="3077" spans="13:19" x14ac:dyDescent="0.25">
      <c r="M3077" s="514"/>
      <c r="Q3077" s="293"/>
      <c r="R3077" s="316"/>
      <c r="S3077" s="355"/>
    </row>
    <row r="3078" spans="13:19" x14ac:dyDescent="0.25">
      <c r="M3078" s="514"/>
      <c r="Q3078" s="293"/>
      <c r="R3078" s="316"/>
      <c r="S3078" s="355"/>
    </row>
    <row r="3079" spans="13:19" x14ac:dyDescent="0.25">
      <c r="M3079" s="514"/>
      <c r="Q3079" s="293"/>
      <c r="R3079" s="316"/>
      <c r="S3079" s="355"/>
    </row>
    <row r="3080" spans="13:19" x14ac:dyDescent="0.25">
      <c r="M3080" s="514"/>
      <c r="Q3080" s="293"/>
      <c r="R3080" s="316"/>
      <c r="S3080" s="355"/>
    </row>
    <row r="3081" spans="13:19" x14ac:dyDescent="0.25">
      <c r="M3081" s="514"/>
      <c r="Q3081" s="293"/>
      <c r="R3081" s="316"/>
      <c r="S3081" s="355"/>
    </row>
    <row r="3082" spans="13:19" x14ac:dyDescent="0.25">
      <c r="M3082" s="514"/>
      <c r="Q3082" s="293"/>
      <c r="R3082" s="316"/>
      <c r="S3082" s="355"/>
    </row>
    <row r="3083" spans="13:19" x14ac:dyDescent="0.25">
      <c r="M3083" s="514"/>
      <c r="Q3083" s="293"/>
      <c r="R3083" s="316"/>
      <c r="S3083" s="355"/>
    </row>
    <row r="3084" spans="13:19" x14ac:dyDescent="0.25">
      <c r="M3084" s="514"/>
      <c r="Q3084" s="293"/>
      <c r="R3084" s="316"/>
      <c r="S3084" s="355"/>
    </row>
    <row r="3085" spans="13:19" x14ac:dyDescent="0.25">
      <c r="M3085" s="514"/>
      <c r="Q3085" s="293"/>
      <c r="R3085" s="316"/>
      <c r="S3085" s="355"/>
    </row>
    <row r="3086" spans="13:19" x14ac:dyDescent="0.25">
      <c r="M3086" s="514"/>
      <c r="Q3086" s="293"/>
      <c r="R3086" s="316"/>
      <c r="S3086" s="355"/>
    </row>
    <row r="3087" spans="13:19" x14ac:dyDescent="0.25">
      <c r="M3087" s="514"/>
      <c r="Q3087" s="293"/>
      <c r="R3087" s="316"/>
      <c r="S3087" s="355"/>
    </row>
    <row r="3088" spans="13:19" x14ac:dyDescent="0.25">
      <c r="M3088" s="514"/>
      <c r="Q3088" s="293"/>
      <c r="R3088" s="316"/>
      <c r="S3088" s="355"/>
    </row>
    <row r="3089" spans="13:19" x14ac:dyDescent="0.25">
      <c r="M3089" s="514"/>
      <c r="Q3089" s="293"/>
      <c r="R3089" s="316"/>
      <c r="S3089" s="355"/>
    </row>
    <row r="3090" spans="13:19" x14ac:dyDescent="0.25">
      <c r="M3090" s="514"/>
      <c r="Q3090" s="293"/>
      <c r="R3090" s="316"/>
      <c r="S3090" s="355"/>
    </row>
    <row r="3091" spans="13:19" x14ac:dyDescent="0.25">
      <c r="M3091" s="514"/>
      <c r="Q3091" s="293"/>
      <c r="R3091" s="316"/>
      <c r="S3091" s="355"/>
    </row>
    <row r="3092" spans="13:19" x14ac:dyDescent="0.25">
      <c r="M3092" s="514"/>
      <c r="Q3092" s="293"/>
      <c r="R3092" s="316"/>
      <c r="S3092" s="355"/>
    </row>
    <row r="3093" spans="13:19" x14ac:dyDescent="0.25">
      <c r="M3093" s="514"/>
      <c r="Q3093" s="293"/>
      <c r="R3093" s="316"/>
      <c r="S3093" s="355"/>
    </row>
    <row r="3094" spans="13:19" x14ac:dyDescent="0.25">
      <c r="M3094" s="514"/>
      <c r="Q3094" s="293"/>
      <c r="R3094" s="316"/>
      <c r="S3094" s="355"/>
    </row>
    <row r="3095" spans="13:19" x14ac:dyDescent="0.25">
      <c r="M3095" s="514"/>
      <c r="Q3095" s="293"/>
      <c r="R3095" s="316"/>
      <c r="S3095" s="355"/>
    </row>
    <row r="3096" spans="13:19" x14ac:dyDescent="0.25">
      <c r="M3096" s="514"/>
      <c r="Q3096" s="293"/>
      <c r="R3096" s="316"/>
      <c r="S3096" s="355"/>
    </row>
    <row r="3097" spans="13:19" x14ac:dyDescent="0.25">
      <c r="M3097" s="514"/>
      <c r="Q3097" s="293"/>
      <c r="R3097" s="316"/>
      <c r="S3097" s="355"/>
    </row>
    <row r="3098" spans="13:19" x14ac:dyDescent="0.25">
      <c r="M3098" s="514"/>
      <c r="Q3098" s="293"/>
      <c r="R3098" s="316"/>
      <c r="S3098" s="355"/>
    </row>
    <row r="3099" spans="13:19" x14ac:dyDescent="0.25">
      <c r="M3099" s="514"/>
      <c r="Q3099" s="293"/>
      <c r="R3099" s="316"/>
      <c r="S3099" s="355"/>
    </row>
    <row r="3100" spans="13:19" x14ac:dyDescent="0.25">
      <c r="M3100" s="514"/>
      <c r="Q3100" s="293"/>
      <c r="R3100" s="316"/>
      <c r="S3100" s="355"/>
    </row>
    <row r="3101" spans="13:19" x14ac:dyDescent="0.25">
      <c r="M3101" s="514"/>
      <c r="Q3101" s="293"/>
      <c r="R3101" s="316"/>
      <c r="S3101" s="355"/>
    </row>
    <row r="3102" spans="13:19" x14ac:dyDescent="0.25">
      <c r="M3102" s="514"/>
      <c r="Q3102" s="293"/>
      <c r="R3102" s="316"/>
      <c r="S3102" s="355"/>
    </row>
    <row r="3103" spans="13:19" x14ac:dyDescent="0.25">
      <c r="M3103" s="514"/>
      <c r="Q3103" s="293"/>
      <c r="R3103" s="316"/>
      <c r="S3103" s="355"/>
    </row>
    <row r="3104" spans="13:19" x14ac:dyDescent="0.25">
      <c r="M3104" s="514"/>
      <c r="Q3104" s="293"/>
      <c r="R3104" s="316"/>
      <c r="S3104" s="355"/>
    </row>
    <row r="3105" spans="13:19" x14ac:dyDescent="0.25">
      <c r="M3105" s="514"/>
      <c r="Q3105" s="293"/>
      <c r="R3105" s="316"/>
      <c r="S3105" s="355"/>
    </row>
    <row r="3106" spans="13:19" x14ac:dyDescent="0.25">
      <c r="M3106" s="514"/>
      <c r="Q3106" s="293"/>
      <c r="R3106" s="316"/>
      <c r="S3106" s="355"/>
    </row>
    <row r="3107" spans="13:19" x14ac:dyDescent="0.25">
      <c r="M3107" s="514"/>
      <c r="Q3107" s="293"/>
      <c r="R3107" s="316"/>
      <c r="S3107" s="355"/>
    </row>
    <row r="3108" spans="13:19" x14ac:dyDescent="0.25">
      <c r="M3108" s="514"/>
      <c r="Q3108" s="293"/>
      <c r="R3108" s="316"/>
      <c r="S3108" s="355"/>
    </row>
    <row r="3109" spans="13:19" x14ac:dyDescent="0.25">
      <c r="M3109" s="514"/>
      <c r="Q3109" s="293"/>
      <c r="R3109" s="316"/>
      <c r="S3109" s="355"/>
    </row>
    <row r="3110" spans="13:19" x14ac:dyDescent="0.25">
      <c r="M3110" s="514"/>
      <c r="Q3110" s="293"/>
      <c r="R3110" s="316"/>
      <c r="S3110" s="355"/>
    </row>
    <row r="3111" spans="13:19" x14ac:dyDescent="0.25">
      <c r="M3111" s="514"/>
      <c r="Q3111" s="293"/>
      <c r="R3111" s="316"/>
      <c r="S3111" s="355"/>
    </row>
    <row r="3112" spans="13:19" x14ac:dyDescent="0.25">
      <c r="M3112" s="514"/>
      <c r="Q3112" s="293"/>
      <c r="R3112" s="316"/>
      <c r="S3112" s="355"/>
    </row>
    <row r="3113" spans="13:19" x14ac:dyDescent="0.25">
      <c r="M3113" s="514"/>
      <c r="Q3113" s="293"/>
      <c r="R3113" s="316"/>
      <c r="S3113" s="355"/>
    </row>
    <row r="3114" spans="13:19" x14ac:dyDescent="0.25">
      <c r="M3114" s="514"/>
      <c r="Q3114" s="293"/>
      <c r="R3114" s="316"/>
      <c r="S3114" s="355"/>
    </row>
    <row r="3115" spans="13:19" x14ac:dyDescent="0.25">
      <c r="M3115" s="514"/>
      <c r="Q3115" s="293"/>
      <c r="R3115" s="316"/>
      <c r="S3115" s="355"/>
    </row>
    <row r="3116" spans="13:19" x14ac:dyDescent="0.25">
      <c r="M3116" s="514"/>
      <c r="Q3116" s="293"/>
      <c r="R3116" s="316"/>
      <c r="S3116" s="355"/>
    </row>
    <row r="3117" spans="13:19" x14ac:dyDescent="0.25">
      <c r="M3117" s="514"/>
      <c r="Q3117" s="293"/>
      <c r="R3117" s="316"/>
      <c r="S3117" s="355"/>
    </row>
    <row r="3118" spans="13:19" x14ac:dyDescent="0.25">
      <c r="M3118" s="514"/>
      <c r="Q3118" s="293"/>
      <c r="R3118" s="316"/>
      <c r="S3118" s="355"/>
    </row>
    <row r="3119" spans="13:19" x14ac:dyDescent="0.25">
      <c r="M3119" s="514"/>
      <c r="Q3119" s="293"/>
      <c r="R3119" s="316"/>
      <c r="S3119" s="355"/>
    </row>
    <row r="3120" spans="13:19" x14ac:dyDescent="0.25">
      <c r="M3120" s="514"/>
      <c r="Q3120" s="293"/>
      <c r="R3120" s="316"/>
      <c r="S3120" s="355"/>
    </row>
    <row r="3121" spans="13:19" x14ac:dyDescent="0.25">
      <c r="M3121" s="514"/>
      <c r="Q3121" s="293"/>
      <c r="R3121" s="316"/>
      <c r="S3121" s="355"/>
    </row>
    <row r="3122" spans="13:19" x14ac:dyDescent="0.25">
      <c r="M3122" s="514"/>
      <c r="Q3122" s="293"/>
      <c r="R3122" s="316"/>
      <c r="S3122" s="355"/>
    </row>
    <row r="3123" spans="13:19" x14ac:dyDescent="0.25">
      <c r="M3123" s="514"/>
      <c r="Q3123" s="293"/>
      <c r="R3123" s="316"/>
      <c r="S3123" s="355"/>
    </row>
    <row r="3124" spans="13:19" x14ac:dyDescent="0.25">
      <c r="M3124" s="514"/>
      <c r="Q3124" s="293"/>
      <c r="R3124" s="316"/>
      <c r="S3124" s="355"/>
    </row>
    <row r="3125" spans="13:19" x14ac:dyDescent="0.25">
      <c r="M3125" s="514"/>
      <c r="Q3125" s="293"/>
      <c r="R3125" s="316"/>
      <c r="S3125" s="355"/>
    </row>
    <row r="3126" spans="13:19" x14ac:dyDescent="0.25">
      <c r="M3126" s="514"/>
      <c r="Q3126" s="293"/>
      <c r="R3126" s="316"/>
      <c r="S3126" s="355"/>
    </row>
    <row r="3127" spans="13:19" x14ac:dyDescent="0.25">
      <c r="M3127" s="514"/>
      <c r="Q3127" s="293"/>
      <c r="R3127" s="316"/>
      <c r="S3127" s="355"/>
    </row>
    <row r="3128" spans="13:19" x14ac:dyDescent="0.25">
      <c r="M3128" s="514"/>
      <c r="Q3128" s="293"/>
      <c r="R3128" s="316"/>
      <c r="S3128" s="355"/>
    </row>
    <row r="3129" spans="13:19" x14ac:dyDescent="0.25">
      <c r="M3129" s="514"/>
      <c r="Q3129" s="293"/>
      <c r="R3129" s="316"/>
      <c r="S3129" s="355"/>
    </row>
    <row r="3130" spans="13:19" x14ac:dyDescent="0.25">
      <c r="M3130" s="514"/>
      <c r="Q3130" s="293"/>
      <c r="R3130" s="316"/>
      <c r="S3130" s="355"/>
    </row>
    <row r="3131" spans="13:19" x14ac:dyDescent="0.25">
      <c r="M3131" s="514"/>
      <c r="Q3131" s="293"/>
      <c r="R3131" s="316"/>
      <c r="S3131" s="355"/>
    </row>
    <row r="3132" spans="13:19" x14ac:dyDescent="0.25">
      <c r="M3132" s="514"/>
      <c r="Q3132" s="293"/>
      <c r="R3132" s="316"/>
      <c r="S3132" s="355"/>
    </row>
    <row r="3133" spans="13:19" x14ac:dyDescent="0.25">
      <c r="M3133" s="514"/>
      <c r="Q3133" s="293"/>
      <c r="R3133" s="316"/>
      <c r="S3133" s="355"/>
    </row>
    <row r="3134" spans="13:19" x14ac:dyDescent="0.25">
      <c r="M3134" s="514"/>
      <c r="Q3134" s="293"/>
      <c r="R3134" s="316"/>
      <c r="S3134" s="355"/>
    </row>
    <row r="3135" spans="13:19" x14ac:dyDescent="0.25">
      <c r="M3135" s="514"/>
      <c r="Q3135" s="293"/>
      <c r="R3135" s="316"/>
      <c r="S3135" s="355"/>
    </row>
    <row r="3136" spans="13:19" x14ac:dyDescent="0.25">
      <c r="M3136" s="514"/>
      <c r="Q3136" s="293"/>
      <c r="R3136" s="316"/>
      <c r="S3136" s="355"/>
    </row>
    <row r="3137" spans="13:19" x14ac:dyDescent="0.25">
      <c r="M3137" s="514"/>
      <c r="Q3137" s="293"/>
      <c r="R3137" s="316"/>
      <c r="S3137" s="355"/>
    </row>
    <row r="3138" spans="13:19" x14ac:dyDescent="0.25">
      <c r="M3138" s="514"/>
      <c r="Q3138" s="293"/>
      <c r="R3138" s="316"/>
      <c r="S3138" s="355"/>
    </row>
    <row r="3139" spans="13:19" x14ac:dyDescent="0.25">
      <c r="M3139" s="514"/>
      <c r="Q3139" s="293"/>
      <c r="R3139" s="316"/>
      <c r="S3139" s="355"/>
    </row>
    <row r="3140" spans="13:19" x14ac:dyDescent="0.25">
      <c r="M3140" s="514"/>
      <c r="Q3140" s="293"/>
      <c r="R3140" s="316"/>
      <c r="S3140" s="355"/>
    </row>
    <row r="3141" spans="13:19" x14ac:dyDescent="0.25">
      <c r="M3141" s="514"/>
      <c r="Q3141" s="293"/>
      <c r="R3141" s="316"/>
      <c r="S3141" s="355"/>
    </row>
    <row r="3142" spans="13:19" x14ac:dyDescent="0.25">
      <c r="M3142" s="514"/>
      <c r="Q3142" s="293"/>
      <c r="R3142" s="316"/>
      <c r="S3142" s="355"/>
    </row>
    <row r="3143" spans="13:19" x14ac:dyDescent="0.25">
      <c r="M3143" s="514"/>
      <c r="Q3143" s="293"/>
      <c r="R3143" s="316"/>
      <c r="S3143" s="355"/>
    </row>
    <row r="3144" spans="13:19" x14ac:dyDescent="0.25">
      <c r="M3144" s="514"/>
      <c r="Q3144" s="293"/>
      <c r="R3144" s="316"/>
      <c r="S3144" s="355"/>
    </row>
    <row r="3145" spans="13:19" x14ac:dyDescent="0.25">
      <c r="M3145" s="514"/>
      <c r="Q3145" s="293"/>
      <c r="R3145" s="316"/>
      <c r="S3145" s="355"/>
    </row>
    <row r="3146" spans="13:19" x14ac:dyDescent="0.25">
      <c r="M3146" s="514"/>
      <c r="Q3146" s="293"/>
      <c r="R3146" s="316"/>
      <c r="S3146" s="355"/>
    </row>
    <row r="3147" spans="13:19" x14ac:dyDescent="0.25">
      <c r="M3147" s="514"/>
      <c r="Q3147" s="293"/>
      <c r="R3147" s="316"/>
      <c r="S3147" s="355"/>
    </row>
    <row r="3148" spans="13:19" x14ac:dyDescent="0.25">
      <c r="M3148" s="514"/>
      <c r="Q3148" s="293"/>
      <c r="R3148" s="316"/>
      <c r="S3148" s="355"/>
    </row>
    <row r="3149" spans="13:19" x14ac:dyDescent="0.25">
      <c r="M3149" s="514"/>
      <c r="Q3149" s="293"/>
      <c r="R3149" s="316"/>
      <c r="S3149" s="355"/>
    </row>
    <row r="3150" spans="13:19" x14ac:dyDescent="0.25">
      <c r="M3150" s="514"/>
      <c r="Q3150" s="293"/>
      <c r="R3150" s="316"/>
      <c r="S3150" s="355"/>
    </row>
    <row r="3151" spans="13:19" x14ac:dyDescent="0.25">
      <c r="M3151" s="514"/>
      <c r="Q3151" s="293"/>
      <c r="R3151" s="316"/>
      <c r="S3151" s="355"/>
    </row>
    <row r="3152" spans="13:19" x14ac:dyDescent="0.25">
      <c r="M3152" s="514"/>
      <c r="Q3152" s="293"/>
      <c r="R3152" s="316"/>
      <c r="S3152" s="355"/>
    </row>
    <row r="3153" spans="13:19" x14ac:dyDescent="0.25">
      <c r="M3153" s="514"/>
      <c r="Q3153" s="293"/>
      <c r="R3153" s="316"/>
      <c r="S3153" s="355"/>
    </row>
    <row r="3154" spans="13:19" x14ac:dyDescent="0.25">
      <c r="M3154" s="514"/>
      <c r="Q3154" s="293"/>
      <c r="R3154" s="316"/>
      <c r="S3154" s="355"/>
    </row>
    <row r="3155" spans="13:19" x14ac:dyDescent="0.25">
      <c r="M3155" s="514"/>
      <c r="Q3155" s="293"/>
      <c r="R3155" s="316"/>
      <c r="S3155" s="355"/>
    </row>
    <row r="3156" spans="13:19" x14ac:dyDescent="0.25">
      <c r="M3156" s="514"/>
      <c r="Q3156" s="293"/>
      <c r="R3156" s="316"/>
      <c r="S3156" s="355"/>
    </row>
    <row r="3157" spans="13:19" x14ac:dyDescent="0.25">
      <c r="M3157" s="514"/>
      <c r="Q3157" s="293"/>
      <c r="R3157" s="316"/>
      <c r="S3157" s="355"/>
    </row>
    <row r="3158" spans="13:19" x14ac:dyDescent="0.25">
      <c r="M3158" s="514"/>
      <c r="Q3158" s="293"/>
      <c r="R3158" s="316"/>
      <c r="S3158" s="355"/>
    </row>
    <row r="3159" spans="13:19" x14ac:dyDescent="0.25">
      <c r="M3159" s="514"/>
      <c r="Q3159" s="293"/>
      <c r="R3159" s="316"/>
      <c r="S3159" s="355"/>
    </row>
    <row r="3160" spans="13:19" x14ac:dyDescent="0.25">
      <c r="M3160" s="514"/>
      <c r="Q3160" s="293"/>
      <c r="R3160" s="316"/>
      <c r="S3160" s="355"/>
    </row>
    <row r="3161" spans="13:19" x14ac:dyDescent="0.25">
      <c r="M3161" s="514"/>
      <c r="Q3161" s="293"/>
      <c r="R3161" s="316"/>
      <c r="S3161" s="355"/>
    </row>
    <row r="3162" spans="13:19" x14ac:dyDescent="0.25">
      <c r="M3162" s="514"/>
      <c r="Q3162" s="293"/>
      <c r="R3162" s="316"/>
      <c r="S3162" s="355"/>
    </row>
    <row r="3163" spans="13:19" x14ac:dyDescent="0.25">
      <c r="M3163" s="514"/>
      <c r="Q3163" s="293"/>
      <c r="R3163" s="316"/>
      <c r="S3163" s="355"/>
    </row>
    <row r="3164" spans="13:19" x14ac:dyDescent="0.25">
      <c r="M3164" s="514"/>
      <c r="Q3164" s="293"/>
      <c r="R3164" s="316"/>
      <c r="S3164" s="355"/>
    </row>
    <row r="3165" spans="13:19" x14ac:dyDescent="0.25">
      <c r="M3165" s="514"/>
      <c r="Q3165" s="293"/>
      <c r="R3165" s="316"/>
      <c r="S3165" s="355"/>
    </row>
    <row r="3166" spans="13:19" x14ac:dyDescent="0.25">
      <c r="M3166" s="514"/>
      <c r="Q3166" s="293"/>
      <c r="R3166" s="316"/>
      <c r="S3166" s="355"/>
    </row>
    <row r="3167" spans="13:19" x14ac:dyDescent="0.25">
      <c r="M3167" s="514"/>
      <c r="Q3167" s="293"/>
      <c r="R3167" s="316"/>
      <c r="S3167" s="355"/>
    </row>
    <row r="3168" spans="13:19" x14ac:dyDescent="0.25">
      <c r="M3168" s="514"/>
      <c r="Q3168" s="293"/>
      <c r="R3168" s="316"/>
      <c r="S3168" s="355"/>
    </row>
    <row r="3169" spans="13:19" x14ac:dyDescent="0.25">
      <c r="M3169" s="514"/>
      <c r="Q3169" s="293"/>
      <c r="R3169" s="316"/>
      <c r="S3169" s="355"/>
    </row>
    <row r="3170" spans="13:19" x14ac:dyDescent="0.25">
      <c r="M3170" s="514"/>
      <c r="Q3170" s="293"/>
      <c r="R3170" s="316"/>
      <c r="S3170" s="355"/>
    </row>
    <row r="3171" spans="13:19" x14ac:dyDescent="0.25">
      <c r="M3171" s="514"/>
      <c r="Q3171" s="293"/>
      <c r="R3171" s="316"/>
      <c r="S3171" s="355"/>
    </row>
    <row r="3172" spans="13:19" x14ac:dyDescent="0.25">
      <c r="M3172" s="514"/>
      <c r="Q3172" s="293"/>
      <c r="R3172" s="316"/>
      <c r="S3172" s="355"/>
    </row>
    <row r="3173" spans="13:19" x14ac:dyDescent="0.25">
      <c r="M3173" s="514"/>
      <c r="Q3173" s="293"/>
      <c r="R3173" s="316"/>
      <c r="S3173" s="355"/>
    </row>
    <row r="3174" spans="13:19" x14ac:dyDescent="0.25">
      <c r="M3174" s="514"/>
      <c r="Q3174" s="293"/>
      <c r="R3174" s="316"/>
      <c r="S3174" s="355"/>
    </row>
    <row r="3175" spans="13:19" x14ac:dyDescent="0.25">
      <c r="M3175" s="514"/>
      <c r="Q3175" s="293"/>
      <c r="R3175" s="316"/>
      <c r="S3175" s="355"/>
    </row>
    <row r="3176" spans="13:19" x14ac:dyDescent="0.25">
      <c r="M3176" s="514"/>
      <c r="Q3176" s="293"/>
      <c r="R3176" s="316"/>
      <c r="S3176" s="355"/>
    </row>
    <row r="3177" spans="13:19" x14ac:dyDescent="0.25">
      <c r="M3177" s="514"/>
      <c r="Q3177" s="293"/>
      <c r="R3177" s="316"/>
      <c r="S3177" s="355"/>
    </row>
    <row r="3178" spans="13:19" x14ac:dyDescent="0.25">
      <c r="M3178" s="514"/>
      <c r="Q3178" s="293"/>
      <c r="R3178" s="316"/>
      <c r="S3178" s="355"/>
    </row>
    <row r="3179" spans="13:19" x14ac:dyDescent="0.25">
      <c r="M3179" s="514"/>
      <c r="Q3179" s="293"/>
      <c r="R3179" s="316"/>
      <c r="S3179" s="355"/>
    </row>
    <row r="3180" spans="13:19" x14ac:dyDescent="0.25">
      <c r="M3180" s="514"/>
      <c r="Q3180" s="293"/>
      <c r="R3180" s="316"/>
      <c r="S3180" s="355"/>
    </row>
    <row r="3181" spans="13:19" x14ac:dyDescent="0.25">
      <c r="M3181" s="514"/>
      <c r="Q3181" s="293"/>
      <c r="R3181" s="316"/>
      <c r="S3181" s="355"/>
    </row>
    <row r="3182" spans="13:19" x14ac:dyDescent="0.25">
      <c r="M3182" s="514"/>
      <c r="Q3182" s="293"/>
      <c r="R3182" s="316"/>
      <c r="S3182" s="355"/>
    </row>
    <row r="3183" spans="13:19" x14ac:dyDescent="0.25">
      <c r="M3183" s="514"/>
      <c r="Q3183" s="293"/>
      <c r="R3183" s="316"/>
      <c r="S3183" s="355"/>
    </row>
    <row r="3184" spans="13:19" x14ac:dyDescent="0.25">
      <c r="M3184" s="514"/>
      <c r="Q3184" s="293"/>
      <c r="R3184" s="316"/>
      <c r="S3184" s="355"/>
    </row>
    <row r="3185" spans="13:19" x14ac:dyDescent="0.25">
      <c r="M3185" s="514"/>
      <c r="Q3185" s="293"/>
      <c r="R3185" s="316"/>
      <c r="S3185" s="355"/>
    </row>
    <row r="3186" spans="13:19" x14ac:dyDescent="0.25">
      <c r="M3186" s="514"/>
      <c r="Q3186" s="293"/>
      <c r="R3186" s="316"/>
      <c r="S3186" s="355"/>
    </row>
    <row r="3187" spans="13:19" x14ac:dyDescent="0.25">
      <c r="M3187" s="514"/>
      <c r="Q3187" s="293"/>
      <c r="R3187" s="316"/>
      <c r="S3187" s="355"/>
    </row>
    <row r="3188" spans="13:19" x14ac:dyDescent="0.25">
      <c r="M3188" s="514"/>
      <c r="Q3188" s="293"/>
      <c r="R3188" s="316"/>
      <c r="S3188" s="355"/>
    </row>
    <row r="3189" spans="13:19" x14ac:dyDescent="0.25">
      <c r="M3189" s="514"/>
      <c r="Q3189" s="293"/>
      <c r="R3189" s="316"/>
      <c r="S3189" s="355"/>
    </row>
    <row r="3190" spans="13:19" x14ac:dyDescent="0.25">
      <c r="M3190" s="514"/>
      <c r="Q3190" s="293"/>
      <c r="R3190" s="316"/>
      <c r="S3190" s="355"/>
    </row>
    <row r="3191" spans="13:19" x14ac:dyDescent="0.25">
      <c r="M3191" s="514"/>
      <c r="Q3191" s="293"/>
      <c r="R3191" s="316"/>
      <c r="S3191" s="355"/>
    </row>
    <row r="3192" spans="13:19" x14ac:dyDescent="0.25">
      <c r="M3192" s="514"/>
      <c r="Q3192" s="293"/>
      <c r="R3192" s="316"/>
      <c r="S3192" s="355"/>
    </row>
    <row r="3193" spans="13:19" x14ac:dyDescent="0.25">
      <c r="M3193" s="514"/>
      <c r="Q3193" s="293"/>
      <c r="R3193" s="316"/>
      <c r="S3193" s="355"/>
    </row>
    <row r="3194" spans="13:19" x14ac:dyDescent="0.25">
      <c r="M3194" s="514"/>
      <c r="Q3194" s="293"/>
      <c r="R3194" s="316"/>
      <c r="S3194" s="355"/>
    </row>
    <row r="3195" spans="13:19" x14ac:dyDescent="0.25">
      <c r="M3195" s="514"/>
      <c r="Q3195" s="293"/>
      <c r="R3195" s="316"/>
      <c r="S3195" s="355"/>
    </row>
    <row r="3196" spans="13:19" x14ac:dyDescent="0.25">
      <c r="M3196" s="514"/>
      <c r="Q3196" s="293"/>
      <c r="R3196" s="316"/>
      <c r="S3196" s="355"/>
    </row>
    <row r="3197" spans="13:19" x14ac:dyDescent="0.25">
      <c r="M3197" s="514"/>
      <c r="Q3197" s="293"/>
      <c r="R3197" s="316"/>
      <c r="S3197" s="355"/>
    </row>
    <row r="3198" spans="13:19" x14ac:dyDescent="0.25">
      <c r="M3198" s="514"/>
      <c r="Q3198" s="293"/>
      <c r="R3198" s="316"/>
      <c r="S3198" s="355"/>
    </row>
    <row r="3199" spans="13:19" x14ac:dyDescent="0.25">
      <c r="M3199" s="514"/>
      <c r="Q3199" s="293"/>
      <c r="R3199" s="316"/>
      <c r="S3199" s="355"/>
    </row>
    <row r="3200" spans="13:19" x14ac:dyDescent="0.25">
      <c r="M3200" s="514"/>
      <c r="Q3200" s="293"/>
      <c r="R3200" s="316"/>
      <c r="S3200" s="355"/>
    </row>
    <row r="3201" spans="13:19" x14ac:dyDescent="0.25">
      <c r="M3201" s="514"/>
      <c r="Q3201" s="293"/>
      <c r="R3201" s="316"/>
      <c r="S3201" s="355"/>
    </row>
    <row r="3202" spans="13:19" x14ac:dyDescent="0.25">
      <c r="M3202" s="514"/>
      <c r="Q3202" s="293"/>
      <c r="R3202" s="316"/>
      <c r="S3202" s="355"/>
    </row>
    <row r="3203" spans="13:19" x14ac:dyDescent="0.25">
      <c r="M3203" s="514"/>
      <c r="Q3203" s="293"/>
      <c r="R3203" s="316"/>
      <c r="S3203" s="355"/>
    </row>
    <row r="3204" spans="13:19" x14ac:dyDescent="0.25">
      <c r="M3204" s="514"/>
      <c r="Q3204" s="293"/>
      <c r="R3204" s="316"/>
      <c r="S3204" s="355"/>
    </row>
    <row r="3205" spans="13:19" x14ac:dyDescent="0.25">
      <c r="M3205" s="514"/>
      <c r="Q3205" s="293"/>
      <c r="R3205" s="316"/>
      <c r="S3205" s="355"/>
    </row>
    <row r="3206" spans="13:19" x14ac:dyDescent="0.25">
      <c r="M3206" s="514"/>
      <c r="Q3206" s="293"/>
      <c r="R3206" s="316"/>
      <c r="S3206" s="355"/>
    </row>
    <row r="3207" spans="13:19" x14ac:dyDescent="0.25">
      <c r="M3207" s="514"/>
      <c r="Q3207" s="293"/>
      <c r="R3207" s="316"/>
      <c r="S3207" s="355"/>
    </row>
    <row r="3208" spans="13:19" x14ac:dyDescent="0.25">
      <c r="M3208" s="514"/>
      <c r="Q3208" s="293"/>
      <c r="R3208" s="316"/>
      <c r="S3208" s="355"/>
    </row>
    <row r="3209" spans="13:19" x14ac:dyDescent="0.25">
      <c r="M3209" s="514"/>
      <c r="Q3209" s="293"/>
      <c r="R3209" s="316"/>
      <c r="S3209" s="355"/>
    </row>
    <row r="3210" spans="13:19" x14ac:dyDescent="0.25">
      <c r="M3210" s="514"/>
      <c r="Q3210" s="293"/>
      <c r="R3210" s="316"/>
      <c r="S3210" s="355"/>
    </row>
    <row r="3211" spans="13:19" x14ac:dyDescent="0.25">
      <c r="M3211" s="514"/>
      <c r="Q3211" s="293"/>
      <c r="R3211" s="316"/>
      <c r="S3211" s="355"/>
    </row>
    <row r="3212" spans="13:19" x14ac:dyDescent="0.25">
      <c r="M3212" s="514"/>
      <c r="Q3212" s="293"/>
      <c r="R3212" s="316"/>
      <c r="S3212" s="355"/>
    </row>
    <row r="3213" spans="13:19" x14ac:dyDescent="0.25">
      <c r="M3213" s="514"/>
      <c r="Q3213" s="293"/>
      <c r="R3213" s="316"/>
      <c r="S3213" s="355"/>
    </row>
    <row r="3214" spans="13:19" x14ac:dyDescent="0.25">
      <c r="M3214" s="514"/>
      <c r="Q3214" s="293"/>
      <c r="R3214" s="316"/>
      <c r="S3214" s="355"/>
    </row>
    <row r="3215" spans="13:19" x14ac:dyDescent="0.25">
      <c r="M3215" s="514"/>
      <c r="Q3215" s="293"/>
      <c r="R3215" s="316"/>
      <c r="S3215" s="355"/>
    </row>
    <row r="3216" spans="13:19" x14ac:dyDescent="0.25">
      <c r="M3216" s="514"/>
      <c r="Q3216" s="293"/>
      <c r="R3216" s="316"/>
      <c r="S3216" s="355"/>
    </row>
    <row r="3217" spans="13:19" x14ac:dyDescent="0.25">
      <c r="M3217" s="514"/>
      <c r="Q3217" s="293"/>
      <c r="R3217" s="316"/>
      <c r="S3217" s="355"/>
    </row>
    <row r="3218" spans="13:19" x14ac:dyDescent="0.25">
      <c r="M3218" s="514"/>
      <c r="Q3218" s="293"/>
      <c r="R3218" s="316"/>
      <c r="S3218" s="355"/>
    </row>
    <row r="3219" spans="13:19" x14ac:dyDescent="0.25">
      <c r="M3219" s="514"/>
      <c r="Q3219" s="293"/>
      <c r="R3219" s="316"/>
      <c r="S3219" s="355"/>
    </row>
    <row r="3220" spans="13:19" x14ac:dyDescent="0.25">
      <c r="M3220" s="514"/>
      <c r="Q3220" s="293"/>
      <c r="R3220" s="316"/>
      <c r="S3220" s="355"/>
    </row>
    <row r="3221" spans="13:19" x14ac:dyDescent="0.25">
      <c r="M3221" s="514"/>
      <c r="Q3221" s="293"/>
      <c r="R3221" s="316"/>
      <c r="S3221" s="355"/>
    </row>
    <row r="3222" spans="13:19" x14ac:dyDescent="0.25">
      <c r="M3222" s="514"/>
      <c r="Q3222" s="293"/>
      <c r="R3222" s="316"/>
      <c r="S3222" s="355"/>
    </row>
    <row r="3223" spans="13:19" x14ac:dyDescent="0.25">
      <c r="M3223" s="514"/>
      <c r="Q3223" s="293"/>
      <c r="R3223" s="316"/>
      <c r="S3223" s="355"/>
    </row>
    <row r="3224" spans="13:19" x14ac:dyDescent="0.25">
      <c r="M3224" s="514"/>
      <c r="Q3224" s="293"/>
      <c r="R3224" s="316"/>
      <c r="S3224" s="355"/>
    </row>
    <row r="3225" spans="13:19" x14ac:dyDescent="0.25">
      <c r="M3225" s="514"/>
      <c r="Q3225" s="293"/>
      <c r="R3225" s="316"/>
      <c r="S3225" s="355"/>
    </row>
    <row r="3226" spans="13:19" x14ac:dyDescent="0.25">
      <c r="M3226" s="514"/>
      <c r="Q3226" s="293"/>
      <c r="R3226" s="316"/>
      <c r="S3226" s="355"/>
    </row>
    <row r="3227" spans="13:19" x14ac:dyDescent="0.25">
      <c r="M3227" s="514"/>
      <c r="Q3227" s="293"/>
      <c r="R3227" s="316"/>
      <c r="S3227" s="355"/>
    </row>
    <row r="3228" spans="13:19" x14ac:dyDescent="0.25">
      <c r="M3228" s="514"/>
      <c r="Q3228" s="293"/>
      <c r="R3228" s="316"/>
      <c r="S3228" s="355"/>
    </row>
    <row r="3229" spans="13:19" x14ac:dyDescent="0.25">
      <c r="M3229" s="514"/>
      <c r="Q3229" s="293"/>
      <c r="R3229" s="316"/>
      <c r="S3229" s="355"/>
    </row>
    <row r="3230" spans="13:19" x14ac:dyDescent="0.25">
      <c r="M3230" s="514"/>
      <c r="Q3230" s="293"/>
      <c r="R3230" s="316"/>
      <c r="S3230" s="355"/>
    </row>
    <row r="3231" spans="13:19" x14ac:dyDescent="0.25">
      <c r="M3231" s="514"/>
      <c r="Q3231" s="293"/>
      <c r="R3231" s="316"/>
      <c r="S3231" s="355"/>
    </row>
    <row r="3232" spans="13:19" x14ac:dyDescent="0.25">
      <c r="M3232" s="514"/>
      <c r="Q3232" s="293"/>
      <c r="R3232" s="316"/>
      <c r="S3232" s="355"/>
    </row>
    <row r="3233" spans="13:19" x14ac:dyDescent="0.25">
      <c r="M3233" s="514"/>
      <c r="Q3233" s="293"/>
      <c r="R3233" s="316"/>
      <c r="S3233" s="355"/>
    </row>
    <row r="3234" spans="13:19" x14ac:dyDescent="0.25">
      <c r="M3234" s="514"/>
      <c r="Q3234" s="293"/>
      <c r="R3234" s="316"/>
      <c r="S3234" s="355"/>
    </row>
    <row r="3235" spans="13:19" x14ac:dyDescent="0.25">
      <c r="M3235" s="514"/>
      <c r="Q3235" s="293"/>
      <c r="R3235" s="316"/>
      <c r="S3235" s="355"/>
    </row>
    <row r="3236" spans="13:19" x14ac:dyDescent="0.25">
      <c r="M3236" s="514"/>
      <c r="Q3236" s="293"/>
      <c r="R3236" s="316"/>
      <c r="S3236" s="355"/>
    </row>
    <row r="3237" spans="13:19" x14ac:dyDescent="0.25">
      <c r="M3237" s="514"/>
      <c r="Q3237" s="293"/>
      <c r="R3237" s="316"/>
      <c r="S3237" s="355"/>
    </row>
    <row r="3238" spans="13:19" x14ac:dyDescent="0.25">
      <c r="M3238" s="514"/>
      <c r="Q3238" s="293"/>
      <c r="R3238" s="316"/>
      <c r="S3238" s="355"/>
    </row>
    <row r="3239" spans="13:19" x14ac:dyDescent="0.25">
      <c r="M3239" s="514"/>
      <c r="Q3239" s="293"/>
      <c r="R3239" s="316"/>
      <c r="S3239" s="355"/>
    </row>
    <row r="3240" spans="13:19" x14ac:dyDescent="0.25">
      <c r="M3240" s="514"/>
      <c r="Q3240" s="293"/>
      <c r="R3240" s="316"/>
      <c r="S3240" s="355"/>
    </row>
    <row r="3241" spans="13:19" x14ac:dyDescent="0.25">
      <c r="M3241" s="514"/>
      <c r="Q3241" s="293"/>
      <c r="R3241" s="316"/>
      <c r="S3241" s="355"/>
    </row>
    <row r="3242" spans="13:19" x14ac:dyDescent="0.25">
      <c r="M3242" s="514"/>
      <c r="Q3242" s="293"/>
      <c r="R3242" s="316"/>
      <c r="S3242" s="355"/>
    </row>
    <row r="3243" spans="13:19" x14ac:dyDescent="0.25">
      <c r="M3243" s="514"/>
      <c r="Q3243" s="293"/>
      <c r="R3243" s="316"/>
      <c r="S3243" s="355"/>
    </row>
    <row r="3244" spans="13:19" x14ac:dyDescent="0.25">
      <c r="M3244" s="514"/>
      <c r="Q3244" s="293"/>
      <c r="R3244" s="316"/>
      <c r="S3244" s="355"/>
    </row>
    <row r="3245" spans="13:19" x14ac:dyDescent="0.25">
      <c r="M3245" s="514"/>
      <c r="Q3245" s="293"/>
      <c r="R3245" s="316"/>
      <c r="S3245" s="355"/>
    </row>
    <row r="3246" spans="13:19" x14ac:dyDescent="0.25">
      <c r="M3246" s="514"/>
      <c r="Q3246" s="293"/>
      <c r="R3246" s="316"/>
      <c r="S3246" s="355"/>
    </row>
    <row r="3247" spans="13:19" x14ac:dyDescent="0.25">
      <c r="M3247" s="514"/>
      <c r="Q3247" s="293"/>
      <c r="R3247" s="316"/>
      <c r="S3247" s="355"/>
    </row>
    <row r="3248" spans="13:19" x14ac:dyDescent="0.25">
      <c r="M3248" s="514"/>
      <c r="Q3248" s="293"/>
      <c r="R3248" s="316"/>
      <c r="S3248" s="355"/>
    </row>
    <row r="3249" spans="13:19" x14ac:dyDescent="0.25">
      <c r="M3249" s="514"/>
      <c r="Q3249" s="293"/>
      <c r="R3249" s="316"/>
      <c r="S3249" s="355"/>
    </row>
    <row r="3250" spans="13:19" x14ac:dyDescent="0.25">
      <c r="M3250" s="514"/>
      <c r="Q3250" s="293"/>
      <c r="R3250" s="316"/>
      <c r="S3250" s="355"/>
    </row>
    <row r="3251" spans="13:19" x14ac:dyDescent="0.25">
      <c r="M3251" s="514"/>
      <c r="Q3251" s="293"/>
      <c r="R3251" s="316"/>
      <c r="S3251" s="355"/>
    </row>
    <row r="3252" spans="13:19" x14ac:dyDescent="0.25">
      <c r="M3252" s="514"/>
      <c r="Q3252" s="293"/>
      <c r="R3252" s="316"/>
      <c r="S3252" s="355"/>
    </row>
    <row r="3253" spans="13:19" x14ac:dyDescent="0.25">
      <c r="M3253" s="514"/>
      <c r="Q3253" s="293"/>
      <c r="R3253" s="316"/>
      <c r="S3253" s="355"/>
    </row>
    <row r="3254" spans="13:19" x14ac:dyDescent="0.25">
      <c r="M3254" s="514"/>
      <c r="Q3254" s="293"/>
      <c r="R3254" s="316"/>
      <c r="S3254" s="355"/>
    </row>
    <row r="3255" spans="13:19" x14ac:dyDescent="0.25">
      <c r="M3255" s="514"/>
      <c r="Q3255" s="293"/>
      <c r="R3255" s="316"/>
      <c r="S3255" s="355"/>
    </row>
    <row r="3256" spans="13:19" x14ac:dyDescent="0.25">
      <c r="M3256" s="514"/>
      <c r="Q3256" s="293"/>
      <c r="R3256" s="316"/>
      <c r="S3256" s="355"/>
    </row>
    <row r="3257" spans="13:19" x14ac:dyDescent="0.25">
      <c r="M3257" s="514"/>
      <c r="Q3257" s="293"/>
      <c r="R3257" s="316"/>
      <c r="S3257" s="355"/>
    </row>
    <row r="3258" spans="13:19" x14ac:dyDescent="0.25">
      <c r="M3258" s="514"/>
      <c r="Q3258" s="293"/>
      <c r="R3258" s="316"/>
      <c r="S3258" s="355"/>
    </row>
    <row r="3259" spans="13:19" x14ac:dyDescent="0.25">
      <c r="M3259" s="514"/>
      <c r="Q3259" s="293"/>
      <c r="R3259" s="316"/>
      <c r="S3259" s="355"/>
    </row>
    <row r="3260" spans="13:19" x14ac:dyDescent="0.25">
      <c r="M3260" s="514"/>
      <c r="Q3260" s="293"/>
      <c r="R3260" s="316"/>
      <c r="S3260" s="355"/>
    </row>
    <row r="3261" spans="13:19" x14ac:dyDescent="0.25">
      <c r="M3261" s="514"/>
      <c r="Q3261" s="293"/>
      <c r="R3261" s="316"/>
      <c r="S3261" s="355"/>
    </row>
    <row r="3262" spans="13:19" x14ac:dyDescent="0.25">
      <c r="M3262" s="514"/>
      <c r="Q3262" s="293"/>
      <c r="R3262" s="316"/>
      <c r="S3262" s="355"/>
    </row>
    <row r="3263" spans="13:19" x14ac:dyDescent="0.25">
      <c r="M3263" s="514"/>
      <c r="Q3263" s="293"/>
      <c r="R3263" s="316"/>
      <c r="S3263" s="355"/>
    </row>
    <row r="3264" spans="13:19" x14ac:dyDescent="0.25">
      <c r="M3264" s="514"/>
      <c r="Q3264" s="293"/>
      <c r="R3264" s="316"/>
      <c r="S3264" s="355"/>
    </row>
    <row r="3265" spans="13:19" x14ac:dyDescent="0.25">
      <c r="M3265" s="514"/>
      <c r="Q3265" s="293"/>
      <c r="R3265" s="316"/>
      <c r="S3265" s="355"/>
    </row>
    <row r="3266" spans="13:19" x14ac:dyDescent="0.25">
      <c r="M3266" s="514"/>
      <c r="Q3266" s="293"/>
      <c r="R3266" s="316"/>
      <c r="S3266" s="355"/>
    </row>
    <row r="3267" spans="13:19" x14ac:dyDescent="0.25">
      <c r="M3267" s="514"/>
      <c r="Q3267" s="293"/>
      <c r="R3267" s="316"/>
      <c r="S3267" s="355"/>
    </row>
    <row r="3268" spans="13:19" x14ac:dyDescent="0.25">
      <c r="M3268" s="514"/>
      <c r="Q3268" s="293"/>
      <c r="R3268" s="316"/>
      <c r="S3268" s="355"/>
    </row>
    <row r="3269" spans="13:19" x14ac:dyDescent="0.25">
      <c r="M3269" s="514"/>
      <c r="Q3269" s="293"/>
      <c r="R3269" s="316"/>
      <c r="S3269" s="355"/>
    </row>
    <row r="3270" spans="13:19" x14ac:dyDescent="0.25">
      <c r="M3270" s="514"/>
      <c r="Q3270" s="293"/>
      <c r="R3270" s="316"/>
      <c r="S3270" s="355"/>
    </row>
    <row r="3271" spans="13:19" x14ac:dyDescent="0.25">
      <c r="M3271" s="514"/>
      <c r="Q3271" s="293"/>
      <c r="R3271" s="316"/>
      <c r="S3271" s="355"/>
    </row>
    <row r="3272" spans="13:19" x14ac:dyDescent="0.25">
      <c r="M3272" s="514"/>
      <c r="Q3272" s="293"/>
      <c r="R3272" s="316"/>
      <c r="S3272" s="355"/>
    </row>
    <row r="3273" spans="13:19" x14ac:dyDescent="0.25">
      <c r="M3273" s="514"/>
      <c r="Q3273" s="293"/>
      <c r="R3273" s="316"/>
      <c r="S3273" s="355"/>
    </row>
    <row r="3274" spans="13:19" x14ac:dyDescent="0.25">
      <c r="M3274" s="514"/>
      <c r="Q3274" s="293"/>
      <c r="R3274" s="316"/>
      <c r="S3274" s="355"/>
    </row>
    <row r="3275" spans="13:19" x14ac:dyDescent="0.25">
      <c r="M3275" s="514"/>
      <c r="Q3275" s="293"/>
      <c r="R3275" s="316"/>
      <c r="S3275" s="355"/>
    </row>
    <row r="3276" spans="13:19" x14ac:dyDescent="0.25">
      <c r="M3276" s="514"/>
      <c r="Q3276" s="293"/>
      <c r="R3276" s="316"/>
      <c r="S3276" s="355"/>
    </row>
    <row r="3277" spans="13:19" x14ac:dyDescent="0.25">
      <c r="M3277" s="514"/>
      <c r="Q3277" s="293"/>
      <c r="R3277" s="316"/>
      <c r="S3277" s="355"/>
    </row>
    <row r="3278" spans="13:19" x14ac:dyDescent="0.25">
      <c r="M3278" s="514"/>
      <c r="Q3278" s="293"/>
      <c r="R3278" s="316"/>
      <c r="S3278" s="355"/>
    </row>
    <row r="3279" spans="13:19" x14ac:dyDescent="0.25">
      <c r="M3279" s="514"/>
      <c r="Q3279" s="293"/>
      <c r="R3279" s="316"/>
      <c r="S3279" s="355"/>
    </row>
    <row r="3280" spans="13:19" x14ac:dyDescent="0.25">
      <c r="M3280" s="514"/>
      <c r="Q3280" s="293"/>
      <c r="R3280" s="316"/>
      <c r="S3280" s="355"/>
    </row>
    <row r="3281" spans="13:19" x14ac:dyDescent="0.25">
      <c r="M3281" s="514"/>
      <c r="Q3281" s="293"/>
      <c r="R3281" s="316"/>
      <c r="S3281" s="355"/>
    </row>
    <row r="3282" spans="13:19" x14ac:dyDescent="0.25">
      <c r="M3282" s="514"/>
      <c r="Q3282" s="293"/>
      <c r="R3282" s="316"/>
      <c r="S3282" s="355"/>
    </row>
    <row r="3283" spans="13:19" x14ac:dyDescent="0.25">
      <c r="M3283" s="514"/>
      <c r="Q3283" s="293"/>
      <c r="R3283" s="316"/>
      <c r="S3283" s="355"/>
    </row>
    <row r="3284" spans="13:19" x14ac:dyDescent="0.25">
      <c r="M3284" s="514"/>
      <c r="Q3284" s="293"/>
      <c r="R3284" s="316"/>
      <c r="S3284" s="355"/>
    </row>
    <row r="3285" spans="13:19" x14ac:dyDescent="0.25">
      <c r="M3285" s="514"/>
      <c r="Q3285" s="293"/>
      <c r="R3285" s="316"/>
      <c r="S3285" s="355"/>
    </row>
    <row r="3286" spans="13:19" x14ac:dyDescent="0.25">
      <c r="M3286" s="514"/>
      <c r="Q3286" s="293"/>
      <c r="R3286" s="316"/>
      <c r="S3286" s="355"/>
    </row>
    <row r="3287" spans="13:19" x14ac:dyDescent="0.25">
      <c r="M3287" s="514"/>
      <c r="Q3287" s="293"/>
      <c r="R3287" s="316"/>
      <c r="S3287" s="355"/>
    </row>
    <row r="3288" spans="13:19" x14ac:dyDescent="0.25">
      <c r="M3288" s="514"/>
      <c r="Q3288" s="293"/>
      <c r="R3288" s="316"/>
      <c r="S3288" s="355"/>
    </row>
    <row r="3289" spans="13:19" x14ac:dyDescent="0.25">
      <c r="M3289" s="514"/>
      <c r="Q3289" s="293"/>
      <c r="R3289" s="316"/>
      <c r="S3289" s="355"/>
    </row>
    <row r="3290" spans="13:19" x14ac:dyDescent="0.25">
      <c r="M3290" s="514"/>
      <c r="Q3290" s="293"/>
      <c r="R3290" s="316"/>
      <c r="S3290" s="355"/>
    </row>
    <row r="3291" spans="13:19" x14ac:dyDescent="0.25">
      <c r="M3291" s="514"/>
      <c r="Q3291" s="293"/>
      <c r="R3291" s="316"/>
      <c r="S3291" s="355"/>
    </row>
    <row r="3292" spans="13:19" x14ac:dyDescent="0.25">
      <c r="M3292" s="514"/>
      <c r="Q3292" s="293"/>
      <c r="R3292" s="316"/>
      <c r="S3292" s="355"/>
    </row>
    <row r="3293" spans="13:19" x14ac:dyDescent="0.25">
      <c r="M3293" s="514"/>
      <c r="Q3293" s="293"/>
      <c r="R3293" s="316"/>
      <c r="S3293" s="355"/>
    </row>
    <row r="3294" spans="13:19" x14ac:dyDescent="0.25">
      <c r="M3294" s="514"/>
      <c r="Q3294" s="293"/>
      <c r="R3294" s="316"/>
      <c r="S3294" s="355"/>
    </row>
    <row r="3295" spans="13:19" x14ac:dyDescent="0.25">
      <c r="M3295" s="514"/>
      <c r="Q3295" s="293"/>
      <c r="R3295" s="316"/>
      <c r="S3295" s="355"/>
    </row>
    <row r="3296" spans="13:19" x14ac:dyDescent="0.25">
      <c r="M3296" s="514"/>
      <c r="Q3296" s="293"/>
      <c r="R3296" s="316"/>
      <c r="S3296" s="355"/>
    </row>
    <row r="3297" spans="13:19" x14ac:dyDescent="0.25">
      <c r="M3297" s="514"/>
      <c r="Q3297" s="293"/>
      <c r="R3297" s="316"/>
      <c r="S3297" s="355"/>
    </row>
    <row r="3298" spans="13:19" x14ac:dyDescent="0.25">
      <c r="M3298" s="514"/>
      <c r="Q3298" s="293"/>
      <c r="R3298" s="316"/>
      <c r="S3298" s="355"/>
    </row>
    <row r="3299" spans="13:19" x14ac:dyDescent="0.25">
      <c r="M3299" s="514"/>
      <c r="Q3299" s="293"/>
      <c r="R3299" s="316"/>
      <c r="S3299" s="355"/>
    </row>
    <row r="3300" spans="13:19" x14ac:dyDescent="0.25">
      <c r="M3300" s="514"/>
      <c r="Q3300" s="293"/>
      <c r="R3300" s="316"/>
      <c r="S3300" s="355"/>
    </row>
    <row r="3301" spans="13:19" x14ac:dyDescent="0.25">
      <c r="M3301" s="514"/>
      <c r="Q3301" s="293"/>
      <c r="R3301" s="316"/>
      <c r="S3301" s="355"/>
    </row>
    <row r="3302" spans="13:19" x14ac:dyDescent="0.25">
      <c r="M3302" s="514"/>
      <c r="Q3302" s="293"/>
      <c r="R3302" s="316"/>
      <c r="S3302" s="355"/>
    </row>
    <row r="3303" spans="13:19" x14ac:dyDescent="0.25">
      <c r="M3303" s="514"/>
      <c r="Q3303" s="293"/>
      <c r="R3303" s="316"/>
      <c r="S3303" s="355"/>
    </row>
    <row r="3304" spans="13:19" x14ac:dyDescent="0.25">
      <c r="M3304" s="514"/>
      <c r="Q3304" s="293"/>
      <c r="R3304" s="316"/>
      <c r="S3304" s="355"/>
    </row>
    <row r="3305" spans="13:19" x14ac:dyDescent="0.25">
      <c r="M3305" s="514"/>
      <c r="Q3305" s="293"/>
      <c r="R3305" s="316"/>
      <c r="S3305" s="355"/>
    </row>
    <row r="3306" spans="13:19" x14ac:dyDescent="0.25">
      <c r="M3306" s="514"/>
      <c r="Q3306" s="293"/>
      <c r="R3306" s="316"/>
      <c r="S3306" s="355"/>
    </row>
    <row r="3307" spans="13:19" x14ac:dyDescent="0.25">
      <c r="M3307" s="514"/>
      <c r="Q3307" s="293"/>
      <c r="R3307" s="316"/>
      <c r="S3307" s="355"/>
    </row>
    <row r="3308" spans="13:19" x14ac:dyDescent="0.25">
      <c r="M3308" s="514"/>
      <c r="Q3308" s="293"/>
      <c r="R3308" s="316"/>
      <c r="S3308" s="355"/>
    </row>
    <row r="3309" spans="13:19" x14ac:dyDescent="0.25">
      <c r="M3309" s="514"/>
      <c r="Q3309" s="293"/>
      <c r="R3309" s="316"/>
      <c r="S3309" s="355"/>
    </row>
    <row r="3310" spans="13:19" x14ac:dyDescent="0.25">
      <c r="M3310" s="514"/>
      <c r="Q3310" s="293"/>
      <c r="R3310" s="316"/>
      <c r="S3310" s="355"/>
    </row>
    <row r="3311" spans="13:19" x14ac:dyDescent="0.25">
      <c r="M3311" s="514"/>
      <c r="Q3311" s="293"/>
      <c r="R3311" s="316"/>
      <c r="S3311" s="355"/>
    </row>
    <row r="3312" spans="13:19" x14ac:dyDescent="0.25">
      <c r="M3312" s="514"/>
      <c r="Q3312" s="293"/>
      <c r="R3312" s="316"/>
      <c r="S3312" s="355"/>
    </row>
    <row r="3313" spans="13:19" x14ac:dyDescent="0.25">
      <c r="M3313" s="514"/>
      <c r="Q3313" s="293"/>
      <c r="R3313" s="316"/>
      <c r="S3313" s="355"/>
    </row>
    <row r="3314" spans="13:19" x14ac:dyDescent="0.25">
      <c r="M3314" s="514"/>
      <c r="Q3314" s="293"/>
      <c r="R3314" s="316"/>
      <c r="S3314" s="355"/>
    </row>
    <row r="3315" spans="13:19" x14ac:dyDescent="0.25">
      <c r="M3315" s="514"/>
      <c r="Q3315" s="293"/>
      <c r="R3315" s="316"/>
      <c r="S3315" s="355"/>
    </row>
    <row r="3316" spans="13:19" x14ac:dyDescent="0.25">
      <c r="M3316" s="514"/>
      <c r="Q3316" s="293"/>
      <c r="R3316" s="316"/>
      <c r="S3316" s="355"/>
    </row>
    <row r="3317" spans="13:19" x14ac:dyDescent="0.25">
      <c r="M3317" s="514"/>
      <c r="Q3317" s="293"/>
      <c r="R3317" s="316"/>
      <c r="S3317" s="355"/>
    </row>
    <row r="3318" spans="13:19" x14ac:dyDescent="0.25">
      <c r="M3318" s="514"/>
      <c r="Q3318" s="293"/>
      <c r="R3318" s="316"/>
      <c r="S3318" s="355"/>
    </row>
    <row r="3319" spans="13:19" x14ac:dyDescent="0.25">
      <c r="M3319" s="514"/>
      <c r="Q3319" s="293"/>
      <c r="R3319" s="316"/>
      <c r="S3319" s="355"/>
    </row>
    <row r="3320" spans="13:19" x14ac:dyDescent="0.25">
      <c r="M3320" s="514"/>
      <c r="Q3320" s="293"/>
      <c r="R3320" s="316"/>
      <c r="S3320" s="355"/>
    </row>
    <row r="3321" spans="13:19" x14ac:dyDescent="0.25">
      <c r="M3321" s="514"/>
      <c r="Q3321" s="293"/>
      <c r="R3321" s="316"/>
      <c r="S3321" s="355"/>
    </row>
    <row r="3322" spans="13:19" x14ac:dyDescent="0.25">
      <c r="M3322" s="514"/>
      <c r="Q3322" s="293"/>
      <c r="R3322" s="316"/>
      <c r="S3322" s="355"/>
    </row>
    <row r="3323" spans="13:19" x14ac:dyDescent="0.25">
      <c r="M3323" s="514"/>
      <c r="Q3323" s="293"/>
      <c r="R3323" s="316"/>
      <c r="S3323" s="355"/>
    </row>
    <row r="3324" spans="13:19" x14ac:dyDescent="0.25">
      <c r="M3324" s="514"/>
      <c r="Q3324" s="293"/>
      <c r="R3324" s="316"/>
      <c r="S3324" s="355"/>
    </row>
    <row r="3325" spans="13:19" x14ac:dyDescent="0.25">
      <c r="M3325" s="514"/>
      <c r="Q3325" s="293"/>
      <c r="R3325" s="316"/>
      <c r="S3325" s="355"/>
    </row>
    <row r="3326" spans="13:19" x14ac:dyDescent="0.25">
      <c r="M3326" s="514"/>
      <c r="Q3326" s="293"/>
      <c r="R3326" s="316"/>
      <c r="S3326" s="355"/>
    </row>
    <row r="3327" spans="13:19" x14ac:dyDescent="0.25">
      <c r="M3327" s="514"/>
      <c r="Q3327" s="293"/>
      <c r="R3327" s="316"/>
      <c r="S3327" s="355"/>
    </row>
    <row r="3328" spans="13:19" x14ac:dyDescent="0.25">
      <c r="M3328" s="514"/>
      <c r="Q3328" s="293"/>
      <c r="R3328" s="316"/>
      <c r="S3328" s="355"/>
    </row>
    <row r="3329" spans="13:19" x14ac:dyDescent="0.25">
      <c r="M3329" s="514"/>
      <c r="Q3329" s="293"/>
      <c r="R3329" s="316"/>
      <c r="S3329" s="355"/>
    </row>
    <row r="3330" spans="13:19" x14ac:dyDescent="0.25">
      <c r="M3330" s="514"/>
      <c r="Q3330" s="293"/>
      <c r="R3330" s="316"/>
      <c r="S3330" s="355"/>
    </row>
    <row r="3331" spans="13:19" x14ac:dyDescent="0.25">
      <c r="M3331" s="514"/>
      <c r="Q3331" s="293"/>
      <c r="R3331" s="316"/>
      <c r="S3331" s="355"/>
    </row>
    <row r="3332" spans="13:19" x14ac:dyDescent="0.25">
      <c r="M3332" s="514"/>
      <c r="Q3332" s="293"/>
      <c r="R3332" s="316"/>
      <c r="S3332" s="355"/>
    </row>
    <row r="3333" spans="13:19" x14ac:dyDescent="0.25">
      <c r="M3333" s="514"/>
      <c r="Q3333" s="293"/>
      <c r="R3333" s="316"/>
      <c r="S3333" s="355"/>
    </row>
    <row r="3334" spans="13:19" x14ac:dyDescent="0.25">
      <c r="M3334" s="514"/>
      <c r="Q3334" s="293"/>
      <c r="R3334" s="316"/>
      <c r="S3334" s="355"/>
    </row>
    <row r="3335" spans="13:19" x14ac:dyDescent="0.25">
      <c r="M3335" s="514"/>
      <c r="Q3335" s="293"/>
      <c r="R3335" s="316"/>
      <c r="S3335" s="355"/>
    </row>
    <row r="3336" spans="13:19" x14ac:dyDescent="0.25">
      <c r="M3336" s="514"/>
      <c r="Q3336" s="293"/>
      <c r="R3336" s="316"/>
      <c r="S3336" s="355"/>
    </row>
    <row r="3337" spans="13:19" x14ac:dyDescent="0.25">
      <c r="M3337" s="514"/>
      <c r="Q3337" s="293"/>
      <c r="R3337" s="316"/>
      <c r="S3337" s="355"/>
    </row>
    <row r="3338" spans="13:19" x14ac:dyDescent="0.25">
      <c r="M3338" s="514"/>
      <c r="Q3338" s="293"/>
      <c r="R3338" s="316"/>
      <c r="S3338" s="355"/>
    </row>
    <row r="3339" spans="13:19" x14ac:dyDescent="0.25">
      <c r="M3339" s="514"/>
      <c r="Q3339" s="293"/>
      <c r="R3339" s="316"/>
      <c r="S3339" s="355"/>
    </row>
    <row r="3340" spans="13:19" x14ac:dyDescent="0.25">
      <c r="M3340" s="514"/>
      <c r="Q3340" s="293"/>
      <c r="R3340" s="316"/>
      <c r="S3340" s="355"/>
    </row>
    <row r="3341" spans="13:19" x14ac:dyDescent="0.25">
      <c r="M3341" s="514"/>
      <c r="Q3341" s="293"/>
      <c r="R3341" s="316"/>
      <c r="S3341" s="355"/>
    </row>
    <row r="3342" spans="13:19" x14ac:dyDescent="0.25">
      <c r="M3342" s="514"/>
      <c r="Q3342" s="293"/>
      <c r="R3342" s="316"/>
      <c r="S3342" s="355"/>
    </row>
    <row r="3343" spans="13:19" x14ac:dyDescent="0.25">
      <c r="M3343" s="514"/>
      <c r="Q3343" s="293"/>
      <c r="R3343" s="316"/>
      <c r="S3343" s="355"/>
    </row>
    <row r="3344" spans="13:19" x14ac:dyDescent="0.25">
      <c r="M3344" s="514"/>
      <c r="Q3344" s="293"/>
      <c r="R3344" s="316"/>
      <c r="S3344" s="355"/>
    </row>
    <row r="3345" spans="13:19" x14ac:dyDescent="0.25">
      <c r="M3345" s="514"/>
      <c r="Q3345" s="293"/>
      <c r="R3345" s="316"/>
      <c r="S3345" s="355"/>
    </row>
    <row r="3346" spans="13:19" x14ac:dyDescent="0.25">
      <c r="M3346" s="514"/>
      <c r="Q3346" s="293"/>
      <c r="R3346" s="316"/>
      <c r="S3346" s="355"/>
    </row>
    <row r="3347" spans="13:19" x14ac:dyDescent="0.25">
      <c r="M3347" s="514"/>
      <c r="Q3347" s="293"/>
      <c r="R3347" s="316"/>
      <c r="S3347" s="355"/>
    </row>
    <row r="3348" spans="13:19" x14ac:dyDescent="0.25">
      <c r="M3348" s="514"/>
      <c r="Q3348" s="293"/>
      <c r="R3348" s="316"/>
      <c r="S3348" s="355"/>
    </row>
    <row r="3349" spans="13:19" x14ac:dyDescent="0.25">
      <c r="M3349" s="514"/>
      <c r="Q3349" s="293"/>
      <c r="R3349" s="316"/>
      <c r="S3349" s="355"/>
    </row>
    <row r="3350" spans="13:19" x14ac:dyDescent="0.25">
      <c r="M3350" s="514"/>
      <c r="Q3350" s="293"/>
      <c r="R3350" s="316"/>
      <c r="S3350" s="355"/>
    </row>
    <row r="3351" spans="13:19" x14ac:dyDescent="0.25">
      <c r="M3351" s="514"/>
      <c r="Q3351" s="293"/>
      <c r="R3351" s="316"/>
      <c r="S3351" s="355"/>
    </row>
    <row r="3352" spans="13:19" x14ac:dyDescent="0.25">
      <c r="M3352" s="514"/>
      <c r="Q3352" s="293"/>
      <c r="R3352" s="316"/>
      <c r="S3352" s="355"/>
    </row>
    <row r="3353" spans="13:19" x14ac:dyDescent="0.25">
      <c r="M3353" s="514"/>
      <c r="Q3353" s="293"/>
      <c r="R3353" s="316"/>
      <c r="S3353" s="355"/>
    </row>
    <row r="3354" spans="13:19" x14ac:dyDescent="0.25">
      <c r="M3354" s="514"/>
      <c r="Q3354" s="293"/>
      <c r="R3354" s="316"/>
      <c r="S3354" s="355"/>
    </row>
    <row r="3355" spans="13:19" x14ac:dyDescent="0.25">
      <c r="M3355" s="514"/>
      <c r="Q3355" s="293"/>
      <c r="R3355" s="316"/>
      <c r="S3355" s="355"/>
    </row>
    <row r="3356" spans="13:19" x14ac:dyDescent="0.25">
      <c r="M3356" s="514"/>
      <c r="Q3356" s="293"/>
      <c r="R3356" s="316"/>
      <c r="S3356" s="355"/>
    </row>
    <row r="3357" spans="13:19" x14ac:dyDescent="0.25">
      <c r="M3357" s="514"/>
      <c r="Q3357" s="293"/>
      <c r="R3357" s="316"/>
      <c r="S3357" s="355"/>
    </row>
    <row r="3358" spans="13:19" x14ac:dyDescent="0.25">
      <c r="M3358" s="514"/>
      <c r="Q3358" s="293"/>
      <c r="R3358" s="316"/>
      <c r="S3358" s="355"/>
    </row>
    <row r="3359" spans="13:19" x14ac:dyDescent="0.25">
      <c r="M3359" s="514"/>
      <c r="Q3359" s="293"/>
      <c r="R3359" s="316"/>
      <c r="S3359" s="355"/>
    </row>
    <row r="3360" spans="13:19" x14ac:dyDescent="0.25">
      <c r="M3360" s="514"/>
      <c r="Q3360" s="293"/>
      <c r="R3360" s="316"/>
      <c r="S3360" s="355"/>
    </row>
    <row r="3361" spans="13:19" x14ac:dyDescent="0.25">
      <c r="M3361" s="514"/>
      <c r="Q3361" s="293"/>
      <c r="R3361" s="316"/>
      <c r="S3361" s="355"/>
    </row>
    <row r="3362" spans="13:19" x14ac:dyDescent="0.25">
      <c r="M3362" s="514"/>
      <c r="Q3362" s="293"/>
      <c r="R3362" s="316"/>
      <c r="S3362" s="355"/>
    </row>
    <row r="3363" spans="13:19" x14ac:dyDescent="0.25">
      <c r="M3363" s="514"/>
      <c r="Q3363" s="293"/>
      <c r="R3363" s="316"/>
      <c r="S3363" s="355"/>
    </row>
    <row r="3364" spans="13:19" x14ac:dyDescent="0.25">
      <c r="M3364" s="514"/>
      <c r="Q3364" s="293"/>
      <c r="R3364" s="316"/>
      <c r="S3364" s="355"/>
    </row>
    <row r="3365" spans="13:19" x14ac:dyDescent="0.25">
      <c r="M3365" s="514"/>
      <c r="Q3365" s="293"/>
      <c r="R3365" s="316"/>
      <c r="S3365" s="355"/>
    </row>
    <row r="3366" spans="13:19" x14ac:dyDescent="0.25">
      <c r="M3366" s="514"/>
      <c r="Q3366" s="293"/>
      <c r="R3366" s="316"/>
      <c r="S3366" s="355"/>
    </row>
    <row r="3367" spans="13:19" x14ac:dyDescent="0.25">
      <c r="M3367" s="514"/>
      <c r="Q3367" s="293"/>
      <c r="R3367" s="316"/>
      <c r="S3367" s="355"/>
    </row>
    <row r="3368" spans="13:19" x14ac:dyDescent="0.25">
      <c r="M3368" s="514"/>
      <c r="Q3368" s="293"/>
      <c r="R3368" s="316"/>
      <c r="S3368" s="355"/>
    </row>
    <row r="3369" spans="13:19" x14ac:dyDescent="0.25">
      <c r="M3369" s="514"/>
      <c r="Q3369" s="293"/>
      <c r="R3369" s="316"/>
      <c r="S3369" s="355"/>
    </row>
    <row r="3370" spans="13:19" x14ac:dyDescent="0.25">
      <c r="M3370" s="514"/>
      <c r="Q3370" s="293"/>
      <c r="R3370" s="316"/>
      <c r="S3370" s="355"/>
    </row>
    <row r="3371" spans="13:19" x14ac:dyDescent="0.25">
      <c r="M3371" s="514"/>
      <c r="Q3371" s="293"/>
      <c r="R3371" s="316"/>
      <c r="S3371" s="355"/>
    </row>
    <row r="3372" spans="13:19" x14ac:dyDescent="0.25">
      <c r="M3372" s="514"/>
      <c r="Q3372" s="293"/>
      <c r="R3372" s="316"/>
      <c r="S3372" s="355"/>
    </row>
    <row r="3373" spans="13:19" x14ac:dyDescent="0.25">
      <c r="M3373" s="514"/>
      <c r="Q3373" s="293"/>
      <c r="R3373" s="316"/>
      <c r="S3373" s="355"/>
    </row>
    <row r="3374" spans="13:19" x14ac:dyDescent="0.25">
      <c r="M3374" s="514"/>
      <c r="Q3374" s="293"/>
      <c r="R3374" s="316"/>
      <c r="S3374" s="355"/>
    </row>
    <row r="3375" spans="13:19" x14ac:dyDescent="0.25">
      <c r="M3375" s="514"/>
      <c r="Q3375" s="293"/>
      <c r="R3375" s="316"/>
      <c r="S3375" s="355"/>
    </row>
    <row r="3376" spans="13:19" x14ac:dyDescent="0.25">
      <c r="M3376" s="514"/>
      <c r="Q3376" s="293"/>
      <c r="R3376" s="316"/>
      <c r="S3376" s="355"/>
    </row>
    <row r="3377" spans="13:19" x14ac:dyDescent="0.25">
      <c r="M3377" s="514"/>
      <c r="Q3377" s="293"/>
      <c r="R3377" s="316"/>
      <c r="S3377" s="355"/>
    </row>
    <row r="3378" spans="13:19" x14ac:dyDescent="0.25">
      <c r="M3378" s="514"/>
      <c r="Q3378" s="293"/>
      <c r="R3378" s="316"/>
      <c r="S3378" s="355"/>
    </row>
    <row r="3379" spans="13:19" x14ac:dyDescent="0.25">
      <c r="M3379" s="514"/>
      <c r="Q3379" s="293"/>
      <c r="R3379" s="316"/>
      <c r="S3379" s="355"/>
    </row>
    <row r="3380" spans="13:19" x14ac:dyDescent="0.25">
      <c r="M3380" s="514"/>
      <c r="Q3380" s="293"/>
      <c r="R3380" s="316"/>
      <c r="S3380" s="355"/>
    </row>
    <row r="3381" spans="13:19" x14ac:dyDescent="0.25">
      <c r="M3381" s="514"/>
      <c r="Q3381" s="293"/>
      <c r="R3381" s="316"/>
      <c r="S3381" s="355"/>
    </row>
    <row r="3382" spans="13:19" x14ac:dyDescent="0.25">
      <c r="M3382" s="514"/>
      <c r="Q3382" s="293"/>
      <c r="R3382" s="316"/>
      <c r="S3382" s="355"/>
    </row>
    <row r="3383" spans="13:19" x14ac:dyDescent="0.25">
      <c r="M3383" s="514"/>
      <c r="Q3383" s="293"/>
      <c r="R3383" s="316"/>
      <c r="S3383" s="355"/>
    </row>
    <row r="3384" spans="13:19" x14ac:dyDescent="0.25">
      <c r="M3384" s="514"/>
      <c r="Q3384" s="293"/>
      <c r="R3384" s="316"/>
      <c r="S3384" s="355"/>
    </row>
    <row r="3385" spans="13:19" x14ac:dyDescent="0.25">
      <c r="M3385" s="514"/>
      <c r="Q3385" s="293"/>
      <c r="R3385" s="316"/>
      <c r="S3385" s="355"/>
    </row>
    <row r="3386" spans="13:19" x14ac:dyDescent="0.25">
      <c r="M3386" s="514"/>
      <c r="Q3386" s="293"/>
      <c r="R3386" s="316"/>
      <c r="S3386" s="355"/>
    </row>
    <row r="3387" spans="13:19" x14ac:dyDescent="0.25">
      <c r="M3387" s="514"/>
      <c r="Q3387" s="293"/>
      <c r="R3387" s="316"/>
      <c r="S3387" s="355"/>
    </row>
    <row r="3388" spans="13:19" x14ac:dyDescent="0.25">
      <c r="M3388" s="514"/>
      <c r="Q3388" s="293"/>
      <c r="R3388" s="316"/>
      <c r="S3388" s="355"/>
    </row>
    <row r="3389" spans="13:19" x14ac:dyDescent="0.25">
      <c r="M3389" s="514"/>
      <c r="Q3389" s="293"/>
      <c r="R3389" s="316"/>
      <c r="S3389" s="355"/>
    </row>
    <row r="3390" spans="13:19" x14ac:dyDescent="0.25">
      <c r="M3390" s="514"/>
      <c r="Q3390" s="293"/>
      <c r="R3390" s="316"/>
      <c r="S3390" s="355"/>
    </row>
    <row r="3391" spans="13:19" x14ac:dyDescent="0.25">
      <c r="M3391" s="514"/>
      <c r="Q3391" s="293"/>
      <c r="R3391" s="316"/>
      <c r="S3391" s="355"/>
    </row>
    <row r="3392" spans="13:19" x14ac:dyDescent="0.25">
      <c r="M3392" s="514"/>
      <c r="Q3392" s="293"/>
      <c r="R3392" s="316"/>
      <c r="S3392" s="355"/>
    </row>
    <row r="3393" spans="13:19" x14ac:dyDescent="0.25">
      <c r="M3393" s="514"/>
      <c r="Q3393" s="293"/>
      <c r="R3393" s="316"/>
      <c r="S3393" s="355"/>
    </row>
    <row r="3394" spans="13:19" x14ac:dyDescent="0.25">
      <c r="M3394" s="514"/>
      <c r="Q3394" s="293"/>
      <c r="R3394" s="316"/>
      <c r="S3394" s="355"/>
    </row>
    <row r="3395" spans="13:19" x14ac:dyDescent="0.25">
      <c r="M3395" s="514"/>
      <c r="Q3395" s="293"/>
      <c r="R3395" s="316"/>
      <c r="S3395" s="355"/>
    </row>
    <row r="3396" spans="13:19" x14ac:dyDescent="0.25">
      <c r="M3396" s="514"/>
      <c r="Q3396" s="293"/>
      <c r="R3396" s="316"/>
      <c r="S3396" s="355"/>
    </row>
    <row r="3397" spans="13:19" x14ac:dyDescent="0.25">
      <c r="M3397" s="514"/>
      <c r="Q3397" s="293"/>
      <c r="R3397" s="316"/>
      <c r="S3397" s="355"/>
    </row>
    <row r="3398" spans="13:19" x14ac:dyDescent="0.25">
      <c r="M3398" s="514"/>
      <c r="Q3398" s="293"/>
      <c r="R3398" s="316"/>
      <c r="S3398" s="355"/>
    </row>
    <row r="3399" spans="13:19" x14ac:dyDescent="0.25">
      <c r="M3399" s="514"/>
      <c r="Q3399" s="293"/>
      <c r="R3399" s="316"/>
      <c r="S3399" s="355"/>
    </row>
    <row r="3400" spans="13:19" x14ac:dyDescent="0.25">
      <c r="M3400" s="514"/>
      <c r="Q3400" s="293"/>
      <c r="R3400" s="316"/>
      <c r="S3400" s="355"/>
    </row>
    <row r="3401" spans="13:19" x14ac:dyDescent="0.25">
      <c r="M3401" s="514"/>
      <c r="Q3401" s="293"/>
      <c r="R3401" s="316"/>
      <c r="S3401" s="355"/>
    </row>
    <row r="3402" spans="13:19" x14ac:dyDescent="0.25">
      <c r="M3402" s="514"/>
      <c r="Q3402" s="293"/>
      <c r="R3402" s="316"/>
      <c r="S3402" s="355"/>
    </row>
    <row r="3403" spans="13:19" x14ac:dyDescent="0.25">
      <c r="M3403" s="514"/>
      <c r="Q3403" s="293"/>
      <c r="R3403" s="316"/>
      <c r="S3403" s="355"/>
    </row>
    <row r="3404" spans="13:19" x14ac:dyDescent="0.25">
      <c r="M3404" s="514"/>
      <c r="Q3404" s="293"/>
      <c r="R3404" s="316"/>
      <c r="S3404" s="355"/>
    </row>
    <row r="3405" spans="13:19" x14ac:dyDescent="0.25">
      <c r="M3405" s="514"/>
      <c r="Q3405" s="293"/>
      <c r="R3405" s="316"/>
      <c r="S3405" s="355"/>
    </row>
    <row r="3406" spans="13:19" x14ac:dyDescent="0.25">
      <c r="M3406" s="514"/>
      <c r="Q3406" s="293"/>
      <c r="R3406" s="316"/>
      <c r="S3406" s="355"/>
    </row>
    <row r="3407" spans="13:19" x14ac:dyDescent="0.25">
      <c r="M3407" s="514"/>
      <c r="Q3407" s="293"/>
      <c r="R3407" s="316"/>
      <c r="S3407" s="355"/>
    </row>
    <row r="3408" spans="13:19" x14ac:dyDescent="0.25">
      <c r="M3408" s="514"/>
      <c r="Q3408" s="293"/>
      <c r="R3408" s="316"/>
      <c r="S3408" s="355"/>
    </row>
    <row r="3409" spans="13:19" x14ac:dyDescent="0.25">
      <c r="M3409" s="514"/>
      <c r="Q3409" s="293"/>
      <c r="R3409" s="316"/>
      <c r="S3409" s="355"/>
    </row>
    <row r="3410" spans="13:19" x14ac:dyDescent="0.25">
      <c r="M3410" s="514"/>
      <c r="Q3410" s="293"/>
      <c r="R3410" s="316"/>
      <c r="S3410" s="355"/>
    </row>
    <row r="3411" spans="13:19" x14ac:dyDescent="0.25">
      <c r="M3411" s="514"/>
      <c r="Q3411" s="293"/>
      <c r="R3411" s="316"/>
      <c r="S3411" s="355"/>
    </row>
    <row r="3412" spans="13:19" x14ac:dyDescent="0.25">
      <c r="M3412" s="514"/>
      <c r="Q3412" s="293"/>
      <c r="R3412" s="316"/>
      <c r="S3412" s="355"/>
    </row>
    <row r="3413" spans="13:19" x14ac:dyDescent="0.25">
      <c r="M3413" s="514"/>
      <c r="Q3413" s="293"/>
      <c r="R3413" s="316"/>
      <c r="S3413" s="355"/>
    </row>
    <row r="3414" spans="13:19" x14ac:dyDescent="0.25">
      <c r="M3414" s="514"/>
      <c r="Q3414" s="293"/>
      <c r="R3414" s="316"/>
      <c r="S3414" s="355"/>
    </row>
    <row r="3415" spans="13:19" x14ac:dyDescent="0.25">
      <c r="M3415" s="514"/>
      <c r="Q3415" s="293"/>
      <c r="R3415" s="316"/>
      <c r="S3415" s="355"/>
    </row>
    <row r="3416" spans="13:19" x14ac:dyDescent="0.25">
      <c r="M3416" s="514"/>
      <c r="Q3416" s="293"/>
      <c r="R3416" s="316"/>
      <c r="S3416" s="355"/>
    </row>
    <row r="3417" spans="13:19" x14ac:dyDescent="0.25">
      <c r="M3417" s="514"/>
      <c r="Q3417" s="293"/>
      <c r="R3417" s="316"/>
      <c r="S3417" s="355"/>
    </row>
    <row r="3418" spans="13:19" x14ac:dyDescent="0.25">
      <c r="M3418" s="514"/>
      <c r="Q3418" s="293"/>
      <c r="R3418" s="316"/>
      <c r="S3418" s="355"/>
    </row>
    <row r="3419" spans="13:19" x14ac:dyDescent="0.25">
      <c r="M3419" s="514"/>
      <c r="Q3419" s="293"/>
      <c r="R3419" s="316"/>
      <c r="S3419" s="355"/>
    </row>
    <row r="3420" spans="13:19" x14ac:dyDescent="0.25">
      <c r="M3420" s="514"/>
      <c r="Q3420" s="293"/>
      <c r="R3420" s="316"/>
      <c r="S3420" s="355"/>
    </row>
    <row r="3421" spans="13:19" x14ac:dyDescent="0.25">
      <c r="M3421" s="514"/>
      <c r="Q3421" s="293"/>
      <c r="R3421" s="316"/>
      <c r="S3421" s="355"/>
    </row>
    <row r="3422" spans="13:19" x14ac:dyDescent="0.25">
      <c r="M3422" s="514"/>
      <c r="Q3422" s="293"/>
      <c r="R3422" s="316"/>
      <c r="S3422" s="355"/>
    </row>
    <row r="3423" spans="13:19" x14ac:dyDescent="0.25">
      <c r="M3423" s="514"/>
      <c r="Q3423" s="293"/>
      <c r="R3423" s="316"/>
      <c r="S3423" s="355"/>
    </row>
    <row r="3424" spans="13:19" x14ac:dyDescent="0.25">
      <c r="M3424" s="514"/>
      <c r="Q3424" s="293"/>
      <c r="R3424" s="316"/>
      <c r="S3424" s="355"/>
    </row>
    <row r="3425" spans="13:19" x14ac:dyDescent="0.25">
      <c r="M3425" s="514"/>
      <c r="Q3425" s="293"/>
      <c r="R3425" s="316"/>
      <c r="S3425" s="355"/>
    </row>
    <row r="3426" spans="13:19" x14ac:dyDescent="0.25">
      <c r="M3426" s="514"/>
      <c r="Q3426" s="293"/>
      <c r="R3426" s="316"/>
      <c r="S3426" s="355"/>
    </row>
    <row r="3427" spans="13:19" x14ac:dyDescent="0.25">
      <c r="M3427" s="514"/>
      <c r="Q3427" s="293"/>
      <c r="R3427" s="316"/>
      <c r="S3427" s="355"/>
    </row>
    <row r="3428" spans="13:19" x14ac:dyDescent="0.25">
      <c r="M3428" s="514"/>
      <c r="Q3428" s="293"/>
      <c r="R3428" s="316"/>
      <c r="S3428" s="355"/>
    </row>
    <row r="3429" spans="13:19" x14ac:dyDescent="0.25">
      <c r="M3429" s="514"/>
      <c r="Q3429" s="293"/>
      <c r="R3429" s="316"/>
      <c r="S3429" s="355"/>
    </row>
    <row r="3430" spans="13:19" x14ac:dyDescent="0.25">
      <c r="M3430" s="514"/>
      <c r="Q3430" s="293"/>
      <c r="R3430" s="316"/>
      <c r="S3430" s="355"/>
    </row>
    <row r="3431" spans="13:19" x14ac:dyDescent="0.25">
      <c r="M3431" s="514"/>
      <c r="Q3431" s="293"/>
      <c r="R3431" s="316"/>
      <c r="S3431" s="355"/>
    </row>
    <row r="3432" spans="13:19" x14ac:dyDescent="0.25">
      <c r="M3432" s="514"/>
      <c r="Q3432" s="293"/>
      <c r="R3432" s="316"/>
      <c r="S3432" s="355"/>
    </row>
    <row r="3433" spans="13:19" x14ac:dyDescent="0.25">
      <c r="M3433" s="514"/>
      <c r="Q3433" s="293"/>
      <c r="R3433" s="316"/>
      <c r="S3433" s="355"/>
    </row>
    <row r="3434" spans="13:19" x14ac:dyDescent="0.25">
      <c r="M3434" s="514"/>
      <c r="Q3434" s="293"/>
      <c r="R3434" s="316"/>
      <c r="S3434" s="355"/>
    </row>
    <row r="3435" spans="13:19" x14ac:dyDescent="0.25">
      <c r="M3435" s="514"/>
      <c r="Q3435" s="293"/>
      <c r="R3435" s="316"/>
      <c r="S3435" s="355"/>
    </row>
    <row r="3436" spans="13:19" x14ac:dyDescent="0.25">
      <c r="M3436" s="514"/>
      <c r="Q3436" s="293"/>
      <c r="R3436" s="316"/>
      <c r="S3436" s="355"/>
    </row>
    <row r="3437" spans="13:19" x14ac:dyDescent="0.25">
      <c r="M3437" s="514"/>
      <c r="Q3437" s="293"/>
      <c r="R3437" s="316"/>
      <c r="S3437" s="355"/>
    </row>
    <row r="3438" spans="13:19" x14ac:dyDescent="0.25">
      <c r="M3438" s="514"/>
      <c r="Q3438" s="293"/>
      <c r="R3438" s="316"/>
      <c r="S3438" s="355"/>
    </row>
    <row r="3439" spans="13:19" x14ac:dyDescent="0.25">
      <c r="M3439" s="514"/>
      <c r="Q3439" s="293"/>
      <c r="R3439" s="316"/>
      <c r="S3439" s="355"/>
    </row>
    <row r="3440" spans="13:19" x14ac:dyDescent="0.25">
      <c r="M3440" s="514"/>
      <c r="Q3440" s="293"/>
      <c r="R3440" s="316"/>
      <c r="S3440" s="355"/>
    </row>
    <row r="3441" spans="13:19" x14ac:dyDescent="0.25">
      <c r="M3441" s="514"/>
      <c r="Q3441" s="293"/>
      <c r="R3441" s="316"/>
      <c r="S3441" s="355"/>
    </row>
    <row r="3442" spans="13:19" x14ac:dyDescent="0.25">
      <c r="M3442" s="514"/>
      <c r="Q3442" s="293"/>
      <c r="R3442" s="316"/>
      <c r="S3442" s="355"/>
    </row>
    <row r="3443" spans="13:19" x14ac:dyDescent="0.25">
      <c r="M3443" s="514"/>
      <c r="Q3443" s="293"/>
      <c r="R3443" s="316"/>
      <c r="S3443" s="355"/>
    </row>
    <row r="3444" spans="13:19" x14ac:dyDescent="0.25">
      <c r="M3444" s="514"/>
      <c r="Q3444" s="293"/>
      <c r="R3444" s="316"/>
      <c r="S3444" s="355"/>
    </row>
    <row r="3445" spans="13:19" x14ac:dyDescent="0.25">
      <c r="M3445" s="514"/>
      <c r="Q3445" s="293"/>
      <c r="R3445" s="316"/>
      <c r="S3445" s="355"/>
    </row>
    <row r="3446" spans="13:19" x14ac:dyDescent="0.25">
      <c r="M3446" s="514"/>
      <c r="Q3446" s="293"/>
      <c r="R3446" s="316"/>
      <c r="S3446" s="355"/>
    </row>
    <row r="3447" spans="13:19" x14ac:dyDescent="0.25">
      <c r="M3447" s="514"/>
      <c r="Q3447" s="293"/>
      <c r="R3447" s="316"/>
      <c r="S3447" s="355"/>
    </row>
    <row r="3448" spans="13:19" x14ac:dyDescent="0.25">
      <c r="M3448" s="514"/>
      <c r="Q3448" s="293"/>
      <c r="R3448" s="316"/>
      <c r="S3448" s="355"/>
    </row>
    <row r="3449" spans="13:19" x14ac:dyDescent="0.25">
      <c r="M3449" s="514"/>
      <c r="Q3449" s="293"/>
      <c r="R3449" s="316"/>
      <c r="S3449" s="355"/>
    </row>
    <row r="3450" spans="13:19" x14ac:dyDescent="0.25">
      <c r="M3450" s="514"/>
      <c r="Q3450" s="293"/>
      <c r="R3450" s="316"/>
      <c r="S3450" s="355"/>
    </row>
    <row r="3451" spans="13:19" x14ac:dyDescent="0.25">
      <c r="M3451" s="514"/>
      <c r="Q3451" s="293"/>
      <c r="R3451" s="316"/>
      <c r="S3451" s="355"/>
    </row>
    <row r="3452" spans="13:19" x14ac:dyDescent="0.25">
      <c r="M3452" s="514"/>
      <c r="Q3452" s="293"/>
      <c r="R3452" s="316"/>
      <c r="S3452" s="355"/>
    </row>
    <row r="3453" spans="13:19" x14ac:dyDescent="0.25">
      <c r="M3453" s="514"/>
      <c r="Q3453" s="293"/>
      <c r="R3453" s="316"/>
      <c r="S3453" s="355"/>
    </row>
    <row r="3454" spans="13:19" x14ac:dyDescent="0.25">
      <c r="M3454" s="514"/>
      <c r="Q3454" s="293"/>
      <c r="R3454" s="316"/>
      <c r="S3454" s="355"/>
    </row>
    <row r="3455" spans="13:19" x14ac:dyDescent="0.25">
      <c r="M3455" s="514"/>
      <c r="Q3455" s="293"/>
      <c r="R3455" s="316"/>
      <c r="S3455" s="355"/>
    </row>
    <row r="3456" spans="13:19" x14ac:dyDescent="0.25">
      <c r="M3456" s="514"/>
      <c r="Q3456" s="293"/>
      <c r="R3456" s="316"/>
      <c r="S3456" s="355"/>
    </row>
    <row r="3457" spans="13:19" x14ac:dyDescent="0.25">
      <c r="M3457" s="514"/>
      <c r="Q3457" s="293"/>
      <c r="R3457" s="316"/>
      <c r="S3457" s="355"/>
    </row>
    <row r="3458" spans="13:19" x14ac:dyDescent="0.25">
      <c r="M3458" s="514"/>
      <c r="Q3458" s="293"/>
      <c r="R3458" s="316"/>
      <c r="S3458" s="355"/>
    </row>
    <row r="3459" spans="13:19" x14ac:dyDescent="0.25">
      <c r="M3459" s="514"/>
      <c r="Q3459" s="293"/>
      <c r="R3459" s="316"/>
      <c r="S3459" s="355"/>
    </row>
    <row r="3460" spans="13:19" x14ac:dyDescent="0.25">
      <c r="M3460" s="514"/>
      <c r="Q3460" s="293"/>
      <c r="R3460" s="316"/>
      <c r="S3460" s="355"/>
    </row>
    <row r="3461" spans="13:19" x14ac:dyDescent="0.25">
      <c r="M3461" s="514"/>
      <c r="Q3461" s="293"/>
      <c r="R3461" s="316"/>
      <c r="S3461" s="355"/>
    </row>
    <row r="3462" spans="13:19" x14ac:dyDescent="0.25">
      <c r="M3462" s="514"/>
      <c r="Q3462" s="293"/>
      <c r="R3462" s="316"/>
      <c r="S3462" s="355"/>
    </row>
    <row r="3463" spans="13:19" x14ac:dyDescent="0.25">
      <c r="M3463" s="514"/>
      <c r="Q3463" s="293"/>
      <c r="R3463" s="316"/>
      <c r="S3463" s="355"/>
    </row>
    <row r="3464" spans="13:19" x14ac:dyDescent="0.25">
      <c r="M3464" s="514"/>
      <c r="Q3464" s="293"/>
      <c r="R3464" s="316"/>
      <c r="S3464" s="355"/>
    </row>
    <row r="3465" spans="13:19" x14ac:dyDescent="0.25">
      <c r="M3465" s="514"/>
      <c r="Q3465" s="293"/>
      <c r="R3465" s="316"/>
      <c r="S3465" s="355"/>
    </row>
    <row r="3466" spans="13:19" x14ac:dyDescent="0.25">
      <c r="M3466" s="514"/>
      <c r="Q3466" s="293"/>
      <c r="R3466" s="316"/>
      <c r="S3466" s="355"/>
    </row>
    <row r="3467" spans="13:19" x14ac:dyDescent="0.25">
      <c r="M3467" s="514"/>
      <c r="Q3467" s="293"/>
      <c r="R3467" s="316"/>
      <c r="S3467" s="355"/>
    </row>
    <row r="3468" spans="13:19" x14ac:dyDescent="0.25">
      <c r="M3468" s="514"/>
      <c r="Q3468" s="293"/>
      <c r="R3468" s="316"/>
      <c r="S3468" s="355"/>
    </row>
    <row r="3469" spans="13:19" x14ac:dyDescent="0.25">
      <c r="M3469" s="514"/>
      <c r="Q3469" s="293"/>
      <c r="R3469" s="316"/>
      <c r="S3469" s="355"/>
    </row>
    <row r="3470" spans="13:19" x14ac:dyDescent="0.25">
      <c r="M3470" s="514"/>
      <c r="Q3470" s="293"/>
      <c r="R3470" s="316"/>
      <c r="S3470" s="355"/>
    </row>
    <row r="3471" spans="13:19" x14ac:dyDescent="0.25">
      <c r="M3471" s="514"/>
      <c r="Q3471" s="293"/>
      <c r="R3471" s="316"/>
      <c r="S3471" s="355"/>
    </row>
    <row r="3472" spans="13:19" x14ac:dyDescent="0.25">
      <c r="M3472" s="514"/>
      <c r="Q3472" s="293"/>
      <c r="R3472" s="316"/>
      <c r="S3472" s="355"/>
    </row>
    <row r="3473" spans="13:19" x14ac:dyDescent="0.25">
      <c r="M3473" s="514"/>
      <c r="Q3473" s="293"/>
      <c r="R3473" s="316"/>
      <c r="S3473" s="355"/>
    </row>
    <row r="3474" spans="13:19" x14ac:dyDescent="0.25">
      <c r="M3474" s="514"/>
      <c r="Q3474" s="293"/>
      <c r="R3474" s="316"/>
      <c r="S3474" s="355"/>
    </row>
    <row r="3475" spans="13:19" x14ac:dyDescent="0.25">
      <c r="M3475" s="514"/>
      <c r="Q3475" s="293"/>
      <c r="R3475" s="316"/>
      <c r="S3475" s="355"/>
    </row>
    <row r="3476" spans="13:19" x14ac:dyDescent="0.25">
      <c r="M3476" s="514"/>
      <c r="Q3476" s="293"/>
      <c r="R3476" s="316"/>
      <c r="S3476" s="355"/>
    </row>
    <row r="3477" spans="13:19" x14ac:dyDescent="0.25">
      <c r="M3477" s="514"/>
      <c r="Q3477" s="293"/>
      <c r="R3477" s="316"/>
      <c r="S3477" s="355"/>
    </row>
    <row r="3478" spans="13:19" x14ac:dyDescent="0.25">
      <c r="M3478" s="514"/>
      <c r="Q3478" s="293"/>
      <c r="R3478" s="316"/>
      <c r="S3478" s="355"/>
    </row>
    <row r="3479" spans="13:19" x14ac:dyDescent="0.25">
      <c r="M3479" s="514"/>
      <c r="Q3479" s="293"/>
      <c r="R3479" s="316"/>
      <c r="S3479" s="355"/>
    </row>
    <row r="3480" spans="13:19" x14ac:dyDescent="0.25">
      <c r="M3480" s="514"/>
      <c r="Q3480" s="293"/>
      <c r="R3480" s="316"/>
      <c r="S3480" s="355"/>
    </row>
    <row r="3481" spans="13:19" x14ac:dyDescent="0.25">
      <c r="M3481" s="514"/>
      <c r="Q3481" s="293"/>
      <c r="R3481" s="316"/>
      <c r="S3481" s="355"/>
    </row>
    <row r="3482" spans="13:19" x14ac:dyDescent="0.25">
      <c r="M3482" s="514"/>
      <c r="Q3482" s="293"/>
      <c r="R3482" s="316"/>
      <c r="S3482" s="355"/>
    </row>
    <row r="3483" spans="13:19" x14ac:dyDescent="0.25">
      <c r="M3483" s="514"/>
      <c r="Q3483" s="293"/>
      <c r="R3483" s="316"/>
      <c r="S3483" s="355"/>
    </row>
    <row r="3484" spans="13:19" x14ac:dyDescent="0.25">
      <c r="M3484" s="514"/>
      <c r="Q3484" s="293"/>
      <c r="R3484" s="316"/>
      <c r="S3484" s="355"/>
    </row>
    <row r="3485" spans="13:19" x14ac:dyDescent="0.25">
      <c r="M3485" s="514"/>
      <c r="Q3485" s="293"/>
      <c r="R3485" s="316"/>
      <c r="S3485" s="355"/>
    </row>
    <row r="3486" spans="13:19" x14ac:dyDescent="0.25">
      <c r="M3486" s="514"/>
      <c r="Q3486" s="293"/>
      <c r="R3486" s="316"/>
      <c r="S3486" s="355"/>
    </row>
    <row r="3487" spans="13:19" x14ac:dyDescent="0.25">
      <c r="M3487" s="514"/>
      <c r="Q3487" s="293"/>
      <c r="R3487" s="316"/>
      <c r="S3487" s="355"/>
    </row>
    <row r="3488" spans="13:19" x14ac:dyDescent="0.25">
      <c r="M3488" s="514"/>
      <c r="Q3488" s="293"/>
      <c r="R3488" s="316"/>
      <c r="S3488" s="355"/>
    </row>
    <row r="3489" spans="13:19" x14ac:dyDescent="0.25">
      <c r="M3489" s="514"/>
      <c r="Q3489" s="293"/>
      <c r="R3489" s="316"/>
      <c r="S3489" s="355"/>
    </row>
    <row r="3490" spans="13:19" x14ac:dyDescent="0.25">
      <c r="M3490" s="514"/>
      <c r="Q3490" s="293"/>
      <c r="R3490" s="316"/>
      <c r="S3490" s="355"/>
    </row>
    <row r="3491" spans="13:19" x14ac:dyDescent="0.25">
      <c r="M3491" s="514"/>
      <c r="Q3491" s="293"/>
      <c r="R3491" s="316"/>
      <c r="S3491" s="355"/>
    </row>
    <row r="3492" spans="13:19" x14ac:dyDescent="0.25">
      <c r="M3492" s="514"/>
      <c r="Q3492" s="293"/>
      <c r="R3492" s="316"/>
      <c r="S3492" s="355"/>
    </row>
    <row r="3493" spans="13:19" x14ac:dyDescent="0.25">
      <c r="M3493" s="514"/>
      <c r="Q3493" s="293"/>
      <c r="R3493" s="316"/>
      <c r="S3493" s="355"/>
    </row>
    <row r="3494" spans="13:19" x14ac:dyDescent="0.25">
      <c r="M3494" s="514"/>
      <c r="Q3494" s="293"/>
      <c r="R3494" s="316"/>
      <c r="S3494" s="355"/>
    </row>
    <row r="3495" spans="13:19" x14ac:dyDescent="0.25">
      <c r="M3495" s="514"/>
      <c r="Q3495" s="293"/>
      <c r="R3495" s="316"/>
      <c r="S3495" s="355"/>
    </row>
    <row r="3496" spans="13:19" x14ac:dyDescent="0.25">
      <c r="M3496" s="514"/>
      <c r="Q3496" s="293"/>
      <c r="R3496" s="316"/>
      <c r="S3496" s="355"/>
    </row>
    <row r="3497" spans="13:19" x14ac:dyDescent="0.25">
      <c r="M3497" s="514"/>
      <c r="Q3497" s="293"/>
      <c r="R3497" s="316"/>
      <c r="S3497" s="355"/>
    </row>
    <row r="3498" spans="13:19" x14ac:dyDescent="0.25">
      <c r="M3498" s="514"/>
      <c r="Q3498" s="293"/>
      <c r="R3498" s="316"/>
      <c r="S3498" s="355"/>
    </row>
    <row r="3499" spans="13:19" x14ac:dyDescent="0.25">
      <c r="M3499" s="514"/>
      <c r="Q3499" s="293"/>
      <c r="R3499" s="316"/>
      <c r="S3499" s="355"/>
    </row>
    <row r="3500" spans="13:19" x14ac:dyDescent="0.25">
      <c r="M3500" s="514"/>
      <c r="Q3500" s="293"/>
      <c r="R3500" s="316"/>
      <c r="S3500" s="355"/>
    </row>
    <row r="3501" spans="13:19" x14ac:dyDescent="0.25">
      <c r="M3501" s="514"/>
      <c r="Q3501" s="293"/>
      <c r="R3501" s="316"/>
      <c r="S3501" s="355"/>
    </row>
    <row r="3502" spans="13:19" x14ac:dyDescent="0.25">
      <c r="M3502" s="514"/>
      <c r="Q3502" s="293"/>
      <c r="R3502" s="316"/>
      <c r="S3502" s="355"/>
    </row>
    <row r="3503" spans="13:19" x14ac:dyDescent="0.25">
      <c r="M3503" s="514"/>
      <c r="Q3503" s="293"/>
      <c r="R3503" s="316"/>
      <c r="S3503" s="355"/>
    </row>
    <row r="3504" spans="13:19" x14ac:dyDescent="0.25">
      <c r="M3504" s="514"/>
      <c r="Q3504" s="293"/>
      <c r="R3504" s="316"/>
      <c r="S3504" s="355"/>
    </row>
    <row r="3505" spans="13:19" x14ac:dyDescent="0.25">
      <c r="M3505" s="514"/>
      <c r="Q3505" s="293"/>
      <c r="R3505" s="316"/>
      <c r="S3505" s="355"/>
    </row>
    <row r="3506" spans="13:19" x14ac:dyDescent="0.25">
      <c r="M3506" s="514"/>
      <c r="Q3506" s="293"/>
      <c r="R3506" s="316"/>
      <c r="S3506" s="355"/>
    </row>
    <row r="3507" spans="13:19" x14ac:dyDescent="0.25">
      <c r="M3507" s="514"/>
      <c r="Q3507" s="293"/>
      <c r="R3507" s="316"/>
      <c r="S3507" s="355"/>
    </row>
    <row r="3508" spans="13:19" x14ac:dyDescent="0.25">
      <c r="M3508" s="514"/>
      <c r="Q3508" s="293"/>
      <c r="R3508" s="316"/>
      <c r="S3508" s="355"/>
    </row>
    <row r="3509" spans="13:19" x14ac:dyDescent="0.25">
      <c r="M3509" s="514"/>
      <c r="Q3509" s="293"/>
      <c r="R3509" s="316"/>
      <c r="S3509" s="355"/>
    </row>
    <row r="3510" spans="13:19" x14ac:dyDescent="0.25">
      <c r="M3510" s="514"/>
      <c r="Q3510" s="293"/>
      <c r="R3510" s="316"/>
      <c r="S3510" s="355"/>
    </row>
    <row r="3511" spans="13:19" x14ac:dyDescent="0.25">
      <c r="M3511" s="514"/>
      <c r="Q3511" s="293"/>
      <c r="R3511" s="316"/>
      <c r="S3511" s="355"/>
    </row>
    <row r="3512" spans="13:19" x14ac:dyDescent="0.25">
      <c r="M3512" s="514"/>
      <c r="Q3512" s="293"/>
      <c r="R3512" s="316"/>
      <c r="S3512" s="355"/>
    </row>
    <row r="3513" spans="13:19" x14ac:dyDescent="0.25">
      <c r="M3513" s="514"/>
      <c r="Q3513" s="293"/>
      <c r="R3513" s="316"/>
      <c r="S3513" s="355"/>
    </row>
    <row r="3514" spans="13:19" x14ac:dyDescent="0.25">
      <c r="M3514" s="514"/>
      <c r="Q3514" s="293"/>
      <c r="R3514" s="316"/>
      <c r="S3514" s="355"/>
    </row>
    <row r="3515" spans="13:19" x14ac:dyDescent="0.25">
      <c r="M3515" s="514"/>
      <c r="Q3515" s="293"/>
      <c r="R3515" s="316"/>
      <c r="S3515" s="355"/>
    </row>
    <row r="3516" spans="13:19" x14ac:dyDescent="0.25">
      <c r="M3516" s="514"/>
      <c r="Q3516" s="293"/>
      <c r="R3516" s="316"/>
      <c r="S3516" s="355"/>
    </row>
    <row r="3517" spans="13:19" x14ac:dyDescent="0.25">
      <c r="M3517" s="514"/>
      <c r="Q3517" s="293"/>
      <c r="R3517" s="316"/>
      <c r="S3517" s="355"/>
    </row>
    <row r="3518" spans="13:19" x14ac:dyDescent="0.25">
      <c r="M3518" s="514"/>
      <c r="Q3518" s="293"/>
      <c r="R3518" s="316"/>
      <c r="S3518" s="355"/>
    </row>
    <row r="3519" spans="13:19" x14ac:dyDescent="0.25">
      <c r="M3519" s="514"/>
      <c r="Q3519" s="293"/>
      <c r="R3519" s="316"/>
      <c r="S3519" s="355"/>
    </row>
    <row r="3520" spans="13:19" x14ac:dyDescent="0.25">
      <c r="M3520" s="514"/>
      <c r="Q3520" s="293"/>
      <c r="R3520" s="316"/>
      <c r="S3520" s="355"/>
    </row>
    <row r="3521" spans="13:19" x14ac:dyDescent="0.25">
      <c r="M3521" s="514"/>
      <c r="Q3521" s="293"/>
      <c r="R3521" s="316"/>
      <c r="S3521" s="355"/>
    </row>
    <row r="3522" spans="13:19" x14ac:dyDescent="0.25">
      <c r="M3522" s="514"/>
      <c r="Q3522" s="293"/>
      <c r="R3522" s="316"/>
      <c r="S3522" s="355"/>
    </row>
    <row r="3523" spans="13:19" x14ac:dyDescent="0.25">
      <c r="M3523" s="514"/>
      <c r="Q3523" s="293"/>
      <c r="R3523" s="316"/>
      <c r="S3523" s="355"/>
    </row>
    <row r="3524" spans="13:19" x14ac:dyDescent="0.25">
      <c r="M3524" s="514"/>
      <c r="Q3524" s="293"/>
      <c r="R3524" s="316"/>
      <c r="S3524" s="355"/>
    </row>
    <row r="3525" spans="13:19" x14ac:dyDescent="0.25">
      <c r="M3525" s="514"/>
      <c r="Q3525" s="293"/>
      <c r="R3525" s="316"/>
      <c r="S3525" s="355"/>
    </row>
    <row r="3526" spans="13:19" x14ac:dyDescent="0.25">
      <c r="M3526" s="514"/>
      <c r="Q3526" s="293"/>
      <c r="R3526" s="316"/>
      <c r="S3526" s="355"/>
    </row>
    <row r="3527" spans="13:19" x14ac:dyDescent="0.25">
      <c r="M3527" s="514"/>
      <c r="Q3527" s="293"/>
      <c r="R3527" s="316"/>
      <c r="S3527" s="355"/>
    </row>
    <row r="3528" spans="13:19" x14ac:dyDescent="0.25">
      <c r="M3528" s="514"/>
      <c r="Q3528" s="293"/>
      <c r="R3528" s="316"/>
      <c r="S3528" s="355"/>
    </row>
    <row r="3529" spans="13:19" x14ac:dyDescent="0.25">
      <c r="M3529" s="514"/>
      <c r="Q3529" s="293"/>
      <c r="R3529" s="316"/>
      <c r="S3529" s="355"/>
    </row>
    <row r="3530" spans="13:19" x14ac:dyDescent="0.25">
      <c r="M3530" s="514"/>
      <c r="Q3530" s="293"/>
      <c r="R3530" s="316"/>
      <c r="S3530" s="355"/>
    </row>
    <row r="3531" spans="13:19" x14ac:dyDescent="0.25">
      <c r="M3531" s="514"/>
      <c r="Q3531" s="293"/>
      <c r="R3531" s="316"/>
      <c r="S3531" s="355"/>
    </row>
    <row r="3532" spans="13:19" x14ac:dyDescent="0.25">
      <c r="M3532" s="514"/>
      <c r="Q3532" s="293"/>
      <c r="R3532" s="316"/>
      <c r="S3532" s="355"/>
    </row>
    <row r="3533" spans="13:19" x14ac:dyDescent="0.25">
      <c r="M3533" s="514"/>
      <c r="Q3533" s="293"/>
      <c r="R3533" s="316"/>
      <c r="S3533" s="355"/>
    </row>
    <row r="3534" spans="13:19" x14ac:dyDescent="0.25">
      <c r="M3534" s="514"/>
      <c r="Q3534" s="293"/>
      <c r="R3534" s="316"/>
      <c r="S3534" s="355"/>
    </row>
    <row r="3535" spans="13:19" x14ac:dyDescent="0.25">
      <c r="M3535" s="514"/>
      <c r="Q3535" s="293"/>
      <c r="R3535" s="316"/>
      <c r="S3535" s="355"/>
    </row>
    <row r="3536" spans="13:19" x14ac:dyDescent="0.25">
      <c r="M3536" s="514"/>
      <c r="Q3536" s="293"/>
      <c r="R3536" s="316"/>
      <c r="S3536" s="355"/>
    </row>
    <row r="3537" spans="13:19" x14ac:dyDescent="0.25">
      <c r="M3537" s="514"/>
      <c r="Q3537" s="293"/>
      <c r="R3537" s="316"/>
      <c r="S3537" s="355"/>
    </row>
    <row r="3538" spans="13:19" x14ac:dyDescent="0.25">
      <c r="M3538" s="514"/>
      <c r="Q3538" s="293"/>
      <c r="R3538" s="316"/>
      <c r="S3538" s="355"/>
    </row>
    <row r="3539" spans="13:19" x14ac:dyDescent="0.25">
      <c r="M3539" s="514"/>
      <c r="Q3539" s="293"/>
      <c r="R3539" s="316"/>
      <c r="S3539" s="355"/>
    </row>
    <row r="3540" spans="13:19" x14ac:dyDescent="0.25">
      <c r="M3540" s="514"/>
      <c r="Q3540" s="293"/>
      <c r="R3540" s="316"/>
      <c r="S3540" s="355"/>
    </row>
    <row r="3541" spans="13:19" x14ac:dyDescent="0.25">
      <c r="M3541" s="514"/>
      <c r="Q3541" s="293"/>
      <c r="R3541" s="316"/>
      <c r="S3541" s="355"/>
    </row>
    <row r="3542" spans="13:19" x14ac:dyDescent="0.25">
      <c r="M3542" s="514"/>
      <c r="Q3542" s="293"/>
      <c r="R3542" s="316"/>
      <c r="S3542" s="355"/>
    </row>
    <row r="3543" spans="13:19" x14ac:dyDescent="0.25">
      <c r="M3543" s="514"/>
      <c r="Q3543" s="293"/>
      <c r="R3543" s="316"/>
      <c r="S3543" s="355"/>
    </row>
    <row r="3544" spans="13:19" x14ac:dyDescent="0.25">
      <c r="M3544" s="514"/>
      <c r="Q3544" s="293"/>
      <c r="R3544" s="316"/>
      <c r="S3544" s="355"/>
    </row>
    <row r="3545" spans="13:19" x14ac:dyDescent="0.25">
      <c r="M3545" s="514"/>
      <c r="Q3545" s="293"/>
      <c r="R3545" s="316"/>
      <c r="S3545" s="355"/>
    </row>
    <row r="3546" spans="13:19" x14ac:dyDescent="0.25">
      <c r="M3546" s="514"/>
      <c r="Q3546" s="293"/>
      <c r="R3546" s="316"/>
      <c r="S3546" s="355"/>
    </row>
    <row r="3547" spans="13:19" x14ac:dyDescent="0.25">
      <c r="M3547" s="514"/>
      <c r="Q3547" s="293"/>
      <c r="R3547" s="316"/>
      <c r="S3547" s="355"/>
    </row>
    <row r="3548" spans="13:19" x14ac:dyDescent="0.25">
      <c r="M3548" s="514"/>
      <c r="Q3548" s="293"/>
      <c r="R3548" s="316"/>
      <c r="S3548" s="355"/>
    </row>
    <row r="3549" spans="13:19" x14ac:dyDescent="0.25">
      <c r="M3549" s="514"/>
      <c r="Q3549" s="293"/>
      <c r="R3549" s="316"/>
      <c r="S3549" s="355"/>
    </row>
    <row r="3550" spans="13:19" x14ac:dyDescent="0.25">
      <c r="M3550" s="514"/>
      <c r="Q3550" s="293"/>
      <c r="R3550" s="316"/>
      <c r="S3550" s="355"/>
    </row>
    <row r="3551" spans="13:19" x14ac:dyDescent="0.25">
      <c r="M3551" s="514"/>
      <c r="Q3551" s="293"/>
      <c r="R3551" s="316"/>
      <c r="S3551" s="355"/>
    </row>
    <row r="3552" spans="13:19" x14ac:dyDescent="0.25">
      <c r="M3552" s="514"/>
      <c r="Q3552" s="293"/>
      <c r="R3552" s="316"/>
      <c r="S3552" s="355"/>
    </row>
    <row r="3553" spans="13:19" x14ac:dyDescent="0.25">
      <c r="M3553" s="514"/>
      <c r="Q3553" s="293"/>
      <c r="R3553" s="316"/>
      <c r="S3553" s="355"/>
    </row>
    <row r="3554" spans="13:19" x14ac:dyDescent="0.25">
      <c r="M3554" s="514"/>
      <c r="Q3554" s="293"/>
      <c r="R3554" s="316"/>
      <c r="S3554" s="355"/>
    </row>
    <row r="3555" spans="13:19" x14ac:dyDescent="0.25">
      <c r="M3555" s="514"/>
      <c r="Q3555" s="293"/>
      <c r="R3555" s="316"/>
      <c r="S3555" s="355"/>
    </row>
    <row r="3556" spans="13:19" x14ac:dyDescent="0.25">
      <c r="M3556" s="514"/>
      <c r="Q3556" s="293"/>
      <c r="R3556" s="316"/>
      <c r="S3556" s="355"/>
    </row>
    <row r="3557" spans="13:19" x14ac:dyDescent="0.25">
      <c r="M3557" s="514"/>
      <c r="Q3557" s="293"/>
      <c r="R3557" s="316"/>
      <c r="S3557" s="355"/>
    </row>
    <row r="3558" spans="13:19" x14ac:dyDescent="0.25">
      <c r="M3558" s="514"/>
      <c r="Q3558" s="293"/>
      <c r="R3558" s="316"/>
      <c r="S3558" s="355"/>
    </row>
    <row r="3559" spans="13:19" x14ac:dyDescent="0.25">
      <c r="M3559" s="514"/>
      <c r="Q3559" s="293"/>
      <c r="R3559" s="316"/>
      <c r="S3559" s="355"/>
    </row>
    <row r="3560" spans="13:19" x14ac:dyDescent="0.25">
      <c r="M3560" s="514"/>
      <c r="Q3560" s="293"/>
      <c r="R3560" s="316"/>
      <c r="S3560" s="355"/>
    </row>
    <row r="3561" spans="13:19" x14ac:dyDescent="0.25">
      <c r="M3561" s="514"/>
      <c r="Q3561" s="293"/>
      <c r="R3561" s="316"/>
      <c r="S3561" s="355"/>
    </row>
    <row r="3562" spans="13:19" x14ac:dyDescent="0.25">
      <c r="M3562" s="514"/>
      <c r="Q3562" s="293"/>
      <c r="R3562" s="316"/>
      <c r="S3562" s="355"/>
    </row>
    <row r="3563" spans="13:19" x14ac:dyDescent="0.25">
      <c r="M3563" s="514"/>
      <c r="Q3563" s="293"/>
      <c r="R3563" s="316"/>
      <c r="S3563" s="355"/>
    </row>
    <row r="3564" spans="13:19" x14ac:dyDescent="0.25">
      <c r="M3564" s="514"/>
      <c r="Q3564" s="293"/>
      <c r="R3564" s="316"/>
      <c r="S3564" s="355"/>
    </row>
    <row r="3565" spans="13:19" x14ac:dyDescent="0.25">
      <c r="M3565" s="514"/>
      <c r="Q3565" s="293"/>
      <c r="R3565" s="316"/>
      <c r="S3565" s="355"/>
    </row>
    <row r="3566" spans="13:19" x14ac:dyDescent="0.25">
      <c r="M3566" s="514"/>
      <c r="Q3566" s="293"/>
      <c r="R3566" s="316"/>
      <c r="S3566" s="355"/>
    </row>
    <row r="3567" spans="13:19" x14ac:dyDescent="0.25">
      <c r="M3567" s="514"/>
      <c r="Q3567" s="293"/>
      <c r="R3567" s="316"/>
      <c r="S3567" s="355"/>
    </row>
    <row r="3568" spans="13:19" x14ac:dyDescent="0.25">
      <c r="M3568" s="514"/>
      <c r="Q3568" s="293"/>
      <c r="R3568" s="316"/>
      <c r="S3568" s="355"/>
    </row>
    <row r="3569" spans="13:19" x14ac:dyDescent="0.25">
      <c r="M3569" s="514"/>
      <c r="Q3569" s="293"/>
      <c r="R3569" s="316"/>
      <c r="S3569" s="355"/>
    </row>
    <row r="3570" spans="13:19" x14ac:dyDescent="0.25">
      <c r="M3570" s="514"/>
      <c r="Q3570" s="293"/>
      <c r="R3570" s="316"/>
      <c r="S3570" s="355"/>
    </row>
    <row r="3571" spans="13:19" x14ac:dyDescent="0.25">
      <c r="M3571" s="514"/>
      <c r="Q3571" s="293"/>
      <c r="R3571" s="316"/>
      <c r="S3571" s="355"/>
    </row>
    <row r="3572" spans="13:19" x14ac:dyDescent="0.25">
      <c r="M3572" s="514"/>
      <c r="Q3572" s="293"/>
      <c r="R3572" s="316"/>
      <c r="S3572" s="355"/>
    </row>
    <row r="3573" spans="13:19" x14ac:dyDescent="0.25">
      <c r="M3573" s="514"/>
      <c r="Q3573" s="293"/>
      <c r="R3573" s="316"/>
      <c r="S3573" s="355"/>
    </row>
    <row r="3574" spans="13:19" x14ac:dyDescent="0.25">
      <c r="M3574" s="514"/>
      <c r="Q3574" s="293"/>
      <c r="R3574" s="316"/>
      <c r="S3574" s="355"/>
    </row>
    <row r="3575" spans="13:19" x14ac:dyDescent="0.25">
      <c r="M3575" s="514"/>
      <c r="Q3575" s="293"/>
      <c r="R3575" s="316"/>
      <c r="S3575" s="355"/>
    </row>
    <row r="3576" spans="13:19" x14ac:dyDescent="0.25">
      <c r="M3576" s="514"/>
      <c r="Q3576" s="293"/>
      <c r="R3576" s="316"/>
      <c r="S3576" s="355"/>
    </row>
    <row r="3577" spans="13:19" x14ac:dyDescent="0.25">
      <c r="M3577" s="514"/>
      <c r="Q3577" s="293"/>
      <c r="R3577" s="316"/>
      <c r="S3577" s="355"/>
    </row>
    <row r="3578" spans="13:19" x14ac:dyDescent="0.25">
      <c r="M3578" s="514"/>
      <c r="Q3578" s="293"/>
      <c r="R3578" s="316"/>
      <c r="S3578" s="355"/>
    </row>
    <row r="3579" spans="13:19" x14ac:dyDescent="0.25">
      <c r="M3579" s="514"/>
      <c r="Q3579" s="293"/>
      <c r="R3579" s="316"/>
      <c r="S3579" s="355"/>
    </row>
    <row r="3580" spans="13:19" x14ac:dyDescent="0.25">
      <c r="M3580" s="514"/>
      <c r="Q3580" s="293"/>
      <c r="R3580" s="316"/>
      <c r="S3580" s="355"/>
    </row>
    <row r="3581" spans="13:19" x14ac:dyDescent="0.25">
      <c r="M3581" s="514"/>
      <c r="Q3581" s="293"/>
      <c r="R3581" s="316"/>
      <c r="S3581" s="355"/>
    </row>
    <row r="3582" spans="13:19" x14ac:dyDescent="0.25">
      <c r="M3582" s="514"/>
      <c r="Q3582" s="293"/>
      <c r="R3582" s="316"/>
      <c r="S3582" s="355"/>
    </row>
    <row r="3583" spans="13:19" x14ac:dyDescent="0.25">
      <c r="M3583" s="514"/>
      <c r="Q3583" s="293"/>
      <c r="R3583" s="316"/>
      <c r="S3583" s="355"/>
    </row>
    <row r="3584" spans="13:19" x14ac:dyDescent="0.25">
      <c r="M3584" s="514"/>
      <c r="Q3584" s="293"/>
      <c r="R3584" s="316"/>
      <c r="S3584" s="355"/>
    </row>
    <row r="3585" spans="13:19" x14ac:dyDescent="0.25">
      <c r="M3585" s="514"/>
      <c r="Q3585" s="293"/>
      <c r="R3585" s="316"/>
      <c r="S3585" s="355"/>
    </row>
    <row r="3586" spans="13:19" x14ac:dyDescent="0.25">
      <c r="M3586" s="514"/>
      <c r="Q3586" s="293"/>
      <c r="R3586" s="316"/>
      <c r="S3586" s="355"/>
    </row>
    <row r="3587" spans="13:19" x14ac:dyDescent="0.25">
      <c r="M3587" s="514"/>
      <c r="Q3587" s="293"/>
      <c r="R3587" s="316"/>
      <c r="S3587" s="355"/>
    </row>
    <row r="3588" spans="13:19" x14ac:dyDescent="0.25">
      <c r="M3588" s="514"/>
      <c r="Q3588" s="293"/>
      <c r="R3588" s="316"/>
      <c r="S3588" s="355"/>
    </row>
    <row r="3589" spans="13:19" x14ac:dyDescent="0.25">
      <c r="M3589" s="514"/>
      <c r="Q3589" s="293"/>
      <c r="R3589" s="316"/>
      <c r="S3589" s="355"/>
    </row>
    <row r="3590" spans="13:19" x14ac:dyDescent="0.25">
      <c r="M3590" s="514"/>
      <c r="Q3590" s="293"/>
      <c r="R3590" s="316"/>
      <c r="S3590" s="355"/>
    </row>
    <row r="3591" spans="13:19" x14ac:dyDescent="0.25">
      <c r="M3591" s="514"/>
      <c r="Q3591" s="293"/>
      <c r="R3591" s="316"/>
      <c r="S3591" s="355"/>
    </row>
    <row r="3592" spans="13:19" x14ac:dyDescent="0.25">
      <c r="M3592" s="514"/>
      <c r="Q3592" s="293"/>
      <c r="R3592" s="316"/>
      <c r="S3592" s="355"/>
    </row>
    <row r="3593" spans="13:19" x14ac:dyDescent="0.25">
      <c r="M3593" s="514"/>
      <c r="Q3593" s="293"/>
      <c r="R3593" s="316"/>
      <c r="S3593" s="355"/>
    </row>
    <row r="3594" spans="13:19" x14ac:dyDescent="0.25">
      <c r="M3594" s="514"/>
      <c r="Q3594" s="293"/>
      <c r="R3594" s="316"/>
      <c r="S3594" s="355"/>
    </row>
    <row r="3595" spans="13:19" x14ac:dyDescent="0.25">
      <c r="M3595" s="514"/>
      <c r="Q3595" s="293"/>
      <c r="R3595" s="316"/>
      <c r="S3595" s="355"/>
    </row>
    <row r="3596" spans="13:19" x14ac:dyDescent="0.25">
      <c r="M3596" s="514"/>
      <c r="Q3596" s="293"/>
      <c r="R3596" s="316"/>
      <c r="S3596" s="355"/>
    </row>
    <row r="3597" spans="13:19" x14ac:dyDescent="0.25">
      <c r="M3597" s="514"/>
      <c r="Q3597" s="293"/>
      <c r="R3597" s="316"/>
      <c r="S3597" s="355"/>
    </row>
    <row r="3598" spans="13:19" x14ac:dyDescent="0.25">
      <c r="M3598" s="514"/>
      <c r="Q3598" s="293"/>
      <c r="R3598" s="316"/>
      <c r="S3598" s="355"/>
    </row>
    <row r="3599" spans="13:19" x14ac:dyDescent="0.25">
      <c r="M3599" s="514"/>
      <c r="Q3599" s="293"/>
      <c r="R3599" s="316"/>
      <c r="S3599" s="355"/>
    </row>
    <row r="3600" spans="13:19" x14ac:dyDescent="0.25">
      <c r="M3600" s="514"/>
      <c r="Q3600" s="293"/>
      <c r="R3600" s="316"/>
      <c r="S3600" s="355"/>
    </row>
    <row r="3601" spans="13:19" x14ac:dyDescent="0.25">
      <c r="M3601" s="514"/>
      <c r="Q3601" s="293"/>
      <c r="R3601" s="316"/>
      <c r="S3601" s="355"/>
    </row>
    <row r="3602" spans="13:19" x14ac:dyDescent="0.25">
      <c r="M3602" s="514"/>
      <c r="Q3602" s="293"/>
      <c r="R3602" s="316"/>
      <c r="S3602" s="355"/>
    </row>
    <row r="3603" spans="13:19" x14ac:dyDescent="0.25">
      <c r="M3603" s="514"/>
      <c r="Q3603" s="293"/>
      <c r="R3603" s="316"/>
      <c r="S3603" s="355"/>
    </row>
    <row r="3604" spans="13:19" x14ac:dyDescent="0.25">
      <c r="M3604" s="514"/>
      <c r="Q3604" s="293"/>
      <c r="R3604" s="316"/>
      <c r="S3604" s="355"/>
    </row>
    <row r="3605" spans="13:19" x14ac:dyDescent="0.25">
      <c r="M3605" s="514"/>
      <c r="Q3605" s="293"/>
      <c r="R3605" s="316"/>
      <c r="S3605" s="355"/>
    </row>
    <row r="3606" spans="13:19" x14ac:dyDescent="0.25">
      <c r="M3606" s="514"/>
      <c r="Q3606" s="293"/>
      <c r="R3606" s="316"/>
      <c r="S3606" s="355"/>
    </row>
    <row r="3607" spans="13:19" x14ac:dyDescent="0.25">
      <c r="M3607" s="514"/>
      <c r="Q3607" s="293"/>
      <c r="R3607" s="316"/>
      <c r="S3607" s="355"/>
    </row>
    <row r="3608" spans="13:19" x14ac:dyDescent="0.25">
      <c r="M3608" s="514"/>
      <c r="Q3608" s="293"/>
      <c r="R3608" s="316"/>
      <c r="S3608" s="355"/>
    </row>
    <row r="3609" spans="13:19" x14ac:dyDescent="0.25">
      <c r="M3609" s="514"/>
      <c r="Q3609" s="293"/>
      <c r="R3609" s="316"/>
      <c r="S3609" s="355"/>
    </row>
    <row r="3610" spans="13:19" x14ac:dyDescent="0.25">
      <c r="M3610" s="514"/>
      <c r="Q3610" s="293"/>
      <c r="R3610" s="316"/>
      <c r="S3610" s="355"/>
    </row>
    <row r="3611" spans="13:19" x14ac:dyDescent="0.25">
      <c r="M3611" s="514"/>
      <c r="Q3611" s="293"/>
      <c r="R3611" s="316"/>
      <c r="S3611" s="355"/>
    </row>
    <row r="3612" spans="13:19" x14ac:dyDescent="0.25">
      <c r="M3612" s="514"/>
      <c r="Q3612" s="293"/>
      <c r="R3612" s="316"/>
      <c r="S3612" s="355"/>
    </row>
    <row r="3613" spans="13:19" x14ac:dyDescent="0.25">
      <c r="M3613" s="514"/>
      <c r="Q3613" s="293"/>
      <c r="R3613" s="316"/>
      <c r="S3613" s="355"/>
    </row>
    <row r="3614" spans="13:19" x14ac:dyDescent="0.25">
      <c r="M3614" s="514"/>
      <c r="Q3614" s="293"/>
      <c r="R3614" s="316"/>
      <c r="S3614" s="355"/>
    </row>
    <row r="3615" spans="13:19" x14ac:dyDescent="0.25">
      <c r="M3615" s="514"/>
      <c r="Q3615" s="293"/>
      <c r="R3615" s="316"/>
      <c r="S3615" s="355"/>
    </row>
    <row r="3616" spans="13:19" x14ac:dyDescent="0.25">
      <c r="M3616" s="514"/>
      <c r="Q3616" s="293"/>
      <c r="R3616" s="316"/>
      <c r="S3616" s="355"/>
    </row>
    <row r="3617" spans="13:19" x14ac:dyDescent="0.25">
      <c r="M3617" s="514"/>
      <c r="Q3617" s="293"/>
      <c r="R3617" s="316"/>
      <c r="S3617" s="355"/>
    </row>
    <row r="3618" spans="13:19" x14ac:dyDescent="0.25">
      <c r="M3618" s="514"/>
      <c r="Q3618" s="293"/>
      <c r="R3618" s="316"/>
      <c r="S3618" s="355"/>
    </row>
    <row r="3619" spans="13:19" x14ac:dyDescent="0.25">
      <c r="M3619" s="514"/>
      <c r="Q3619" s="293"/>
      <c r="R3619" s="316"/>
      <c r="S3619" s="355"/>
    </row>
    <row r="3620" spans="13:19" x14ac:dyDescent="0.25">
      <c r="M3620" s="514"/>
      <c r="Q3620" s="293"/>
      <c r="R3620" s="316"/>
      <c r="S3620" s="355"/>
    </row>
    <row r="3621" spans="13:19" x14ac:dyDescent="0.25">
      <c r="M3621" s="514"/>
      <c r="Q3621" s="293"/>
      <c r="R3621" s="316"/>
      <c r="S3621" s="355"/>
    </row>
    <row r="3622" spans="13:19" x14ac:dyDescent="0.25">
      <c r="M3622" s="514"/>
      <c r="Q3622" s="293"/>
      <c r="R3622" s="316"/>
      <c r="S3622" s="355"/>
    </row>
    <row r="3623" spans="13:19" x14ac:dyDescent="0.25">
      <c r="M3623" s="514"/>
      <c r="Q3623" s="293"/>
      <c r="R3623" s="316"/>
      <c r="S3623" s="355"/>
    </row>
    <row r="3624" spans="13:19" x14ac:dyDescent="0.25">
      <c r="M3624" s="514"/>
      <c r="Q3624" s="293"/>
      <c r="R3624" s="316"/>
      <c r="S3624" s="355"/>
    </row>
    <row r="3625" spans="13:19" x14ac:dyDescent="0.25">
      <c r="M3625" s="514"/>
      <c r="Q3625" s="293"/>
      <c r="R3625" s="316"/>
      <c r="S3625" s="355"/>
    </row>
    <row r="3626" spans="13:19" x14ac:dyDescent="0.25">
      <c r="M3626" s="514"/>
      <c r="Q3626" s="293"/>
      <c r="R3626" s="316"/>
      <c r="S3626" s="355"/>
    </row>
    <row r="3627" spans="13:19" x14ac:dyDescent="0.25">
      <c r="M3627" s="514"/>
      <c r="Q3627" s="293"/>
      <c r="R3627" s="316"/>
      <c r="S3627" s="355"/>
    </row>
    <row r="3628" spans="13:19" x14ac:dyDescent="0.25">
      <c r="M3628" s="514"/>
      <c r="Q3628" s="293"/>
      <c r="R3628" s="316"/>
      <c r="S3628" s="355"/>
    </row>
    <row r="3629" spans="13:19" x14ac:dyDescent="0.25">
      <c r="M3629" s="514"/>
      <c r="Q3629" s="293"/>
      <c r="R3629" s="316"/>
      <c r="S3629" s="355"/>
    </row>
    <row r="3630" spans="13:19" x14ac:dyDescent="0.25">
      <c r="M3630" s="514"/>
      <c r="Q3630" s="293"/>
      <c r="R3630" s="316"/>
      <c r="S3630" s="355"/>
    </row>
    <row r="3631" spans="13:19" x14ac:dyDescent="0.25">
      <c r="M3631" s="514"/>
      <c r="Q3631" s="293"/>
      <c r="R3631" s="316"/>
      <c r="S3631" s="355"/>
    </row>
    <row r="3632" spans="13:19" x14ac:dyDescent="0.25">
      <c r="M3632" s="514"/>
      <c r="Q3632" s="293"/>
      <c r="R3632" s="316"/>
      <c r="S3632" s="355"/>
    </row>
    <row r="3633" spans="13:19" x14ac:dyDescent="0.25">
      <c r="M3633" s="514"/>
      <c r="Q3633" s="293"/>
      <c r="R3633" s="316"/>
      <c r="S3633" s="355"/>
    </row>
    <row r="3634" spans="13:19" x14ac:dyDescent="0.25">
      <c r="M3634" s="514"/>
      <c r="Q3634" s="293"/>
      <c r="R3634" s="316"/>
      <c r="S3634" s="355"/>
    </row>
    <row r="3635" spans="13:19" x14ac:dyDescent="0.25">
      <c r="M3635" s="514"/>
      <c r="Q3635" s="293"/>
      <c r="R3635" s="316"/>
      <c r="S3635" s="355"/>
    </row>
    <row r="3636" spans="13:19" x14ac:dyDescent="0.25">
      <c r="M3636" s="514"/>
      <c r="Q3636" s="293"/>
      <c r="R3636" s="316"/>
      <c r="S3636" s="355"/>
    </row>
    <row r="3637" spans="13:19" x14ac:dyDescent="0.25">
      <c r="M3637" s="514"/>
      <c r="Q3637" s="293"/>
      <c r="R3637" s="316"/>
      <c r="S3637" s="355"/>
    </row>
    <row r="3638" spans="13:19" x14ac:dyDescent="0.25">
      <c r="M3638" s="514"/>
      <c r="Q3638" s="293"/>
      <c r="R3638" s="316"/>
      <c r="S3638" s="355"/>
    </row>
    <row r="3639" spans="13:19" x14ac:dyDescent="0.25">
      <c r="M3639" s="514"/>
      <c r="Q3639" s="293"/>
      <c r="R3639" s="316"/>
      <c r="S3639" s="355"/>
    </row>
    <row r="3640" spans="13:19" x14ac:dyDescent="0.25">
      <c r="M3640" s="514"/>
      <c r="Q3640" s="293"/>
      <c r="R3640" s="316"/>
      <c r="S3640" s="355"/>
    </row>
    <row r="3641" spans="13:19" x14ac:dyDescent="0.25">
      <c r="M3641" s="514"/>
      <c r="Q3641" s="293"/>
      <c r="R3641" s="316"/>
      <c r="S3641" s="355"/>
    </row>
    <row r="3642" spans="13:19" x14ac:dyDescent="0.25">
      <c r="M3642" s="514"/>
      <c r="Q3642" s="293"/>
      <c r="R3642" s="316"/>
      <c r="S3642" s="355"/>
    </row>
    <row r="3643" spans="13:19" x14ac:dyDescent="0.25">
      <c r="M3643" s="514"/>
      <c r="Q3643" s="293"/>
      <c r="R3643" s="316"/>
      <c r="S3643" s="355"/>
    </row>
    <row r="3644" spans="13:19" x14ac:dyDescent="0.25">
      <c r="M3644" s="514"/>
      <c r="Q3644" s="293"/>
      <c r="R3644" s="316"/>
      <c r="S3644" s="355"/>
    </row>
    <row r="3645" spans="13:19" x14ac:dyDescent="0.25">
      <c r="M3645" s="514"/>
      <c r="Q3645" s="293"/>
      <c r="R3645" s="316"/>
      <c r="S3645" s="355"/>
    </row>
    <row r="3646" spans="13:19" x14ac:dyDescent="0.25">
      <c r="M3646" s="514"/>
      <c r="Q3646" s="293"/>
      <c r="R3646" s="316"/>
      <c r="S3646" s="355"/>
    </row>
    <row r="3647" spans="13:19" x14ac:dyDescent="0.25">
      <c r="M3647" s="514"/>
      <c r="Q3647" s="293"/>
      <c r="R3647" s="316"/>
      <c r="S3647" s="355"/>
    </row>
    <row r="3648" spans="13:19" x14ac:dyDescent="0.25">
      <c r="M3648" s="514"/>
      <c r="Q3648" s="293"/>
      <c r="R3648" s="316"/>
      <c r="S3648" s="355"/>
    </row>
    <row r="3649" spans="13:19" x14ac:dyDescent="0.25">
      <c r="M3649" s="514"/>
      <c r="Q3649" s="293"/>
      <c r="R3649" s="316"/>
      <c r="S3649" s="355"/>
    </row>
    <row r="3650" spans="13:19" x14ac:dyDescent="0.25">
      <c r="M3650" s="514"/>
      <c r="Q3650" s="293"/>
      <c r="R3650" s="316"/>
      <c r="S3650" s="355"/>
    </row>
    <row r="3651" spans="13:19" x14ac:dyDescent="0.25">
      <c r="M3651" s="514"/>
      <c r="Q3651" s="293"/>
      <c r="R3651" s="316"/>
      <c r="S3651" s="355"/>
    </row>
    <row r="3652" spans="13:19" x14ac:dyDescent="0.25">
      <c r="M3652" s="514"/>
      <c r="Q3652" s="293"/>
      <c r="R3652" s="316"/>
      <c r="S3652" s="355"/>
    </row>
    <row r="3653" spans="13:19" x14ac:dyDescent="0.25">
      <c r="M3653" s="514"/>
      <c r="Q3653" s="293"/>
      <c r="R3653" s="316"/>
      <c r="S3653" s="355"/>
    </row>
    <row r="3654" spans="13:19" x14ac:dyDescent="0.25">
      <c r="M3654" s="514"/>
      <c r="Q3654" s="293"/>
      <c r="R3654" s="316"/>
      <c r="S3654" s="355"/>
    </row>
    <row r="3655" spans="13:19" x14ac:dyDescent="0.25">
      <c r="M3655" s="514"/>
      <c r="Q3655" s="293"/>
      <c r="R3655" s="316"/>
      <c r="S3655" s="355"/>
    </row>
    <row r="3656" spans="13:19" x14ac:dyDescent="0.25">
      <c r="M3656" s="514"/>
      <c r="Q3656" s="293"/>
      <c r="R3656" s="316"/>
      <c r="S3656" s="355"/>
    </row>
    <row r="3657" spans="13:19" x14ac:dyDescent="0.25">
      <c r="M3657" s="514"/>
      <c r="Q3657" s="293"/>
      <c r="R3657" s="316"/>
      <c r="S3657" s="355"/>
    </row>
    <row r="3658" spans="13:19" x14ac:dyDescent="0.25">
      <c r="M3658" s="514"/>
      <c r="Q3658" s="293"/>
      <c r="R3658" s="316"/>
      <c r="S3658" s="355"/>
    </row>
    <row r="3659" spans="13:19" x14ac:dyDescent="0.25">
      <c r="M3659" s="514"/>
      <c r="Q3659" s="293"/>
      <c r="R3659" s="316"/>
      <c r="S3659" s="355"/>
    </row>
    <row r="3660" spans="13:19" x14ac:dyDescent="0.25">
      <c r="M3660" s="514"/>
      <c r="Q3660" s="293"/>
      <c r="R3660" s="316"/>
      <c r="S3660" s="355"/>
    </row>
    <row r="3661" spans="13:19" x14ac:dyDescent="0.25">
      <c r="M3661" s="514"/>
      <c r="Q3661" s="293"/>
      <c r="R3661" s="316"/>
      <c r="S3661" s="355"/>
    </row>
    <row r="3662" spans="13:19" x14ac:dyDescent="0.25">
      <c r="M3662" s="514"/>
      <c r="Q3662" s="293"/>
      <c r="R3662" s="316"/>
      <c r="S3662" s="355"/>
    </row>
    <row r="3663" spans="13:19" x14ac:dyDescent="0.25">
      <c r="M3663" s="514"/>
      <c r="Q3663" s="293"/>
      <c r="R3663" s="316"/>
      <c r="S3663" s="355"/>
    </row>
    <row r="3664" spans="13:19" x14ac:dyDescent="0.25">
      <c r="M3664" s="514"/>
      <c r="Q3664" s="293"/>
      <c r="R3664" s="316"/>
      <c r="S3664" s="355"/>
    </row>
    <row r="3665" spans="13:19" x14ac:dyDescent="0.25">
      <c r="M3665" s="514"/>
      <c r="Q3665" s="293"/>
      <c r="R3665" s="316"/>
      <c r="S3665" s="355"/>
    </row>
    <row r="3666" spans="13:19" x14ac:dyDescent="0.25">
      <c r="M3666" s="514"/>
      <c r="Q3666" s="293"/>
      <c r="R3666" s="316"/>
      <c r="S3666" s="355"/>
    </row>
    <row r="3667" spans="13:19" x14ac:dyDescent="0.25">
      <c r="M3667" s="514"/>
      <c r="Q3667" s="293"/>
      <c r="R3667" s="316"/>
      <c r="S3667" s="355"/>
    </row>
    <row r="3668" spans="13:19" x14ac:dyDescent="0.25">
      <c r="M3668" s="514"/>
      <c r="Q3668" s="293"/>
      <c r="R3668" s="316"/>
      <c r="S3668" s="355"/>
    </row>
    <row r="3669" spans="13:19" x14ac:dyDescent="0.25">
      <c r="M3669" s="514"/>
      <c r="Q3669" s="293"/>
      <c r="R3669" s="316"/>
      <c r="S3669" s="355"/>
    </row>
    <row r="3670" spans="13:19" x14ac:dyDescent="0.25">
      <c r="M3670" s="514"/>
      <c r="Q3670" s="293"/>
      <c r="R3670" s="316"/>
      <c r="S3670" s="355"/>
    </row>
    <row r="3671" spans="13:19" x14ac:dyDescent="0.25">
      <c r="M3671" s="514"/>
      <c r="Q3671" s="293"/>
      <c r="R3671" s="316"/>
      <c r="S3671" s="355"/>
    </row>
    <row r="3672" spans="13:19" x14ac:dyDescent="0.25">
      <c r="M3672" s="514"/>
      <c r="Q3672" s="293"/>
      <c r="R3672" s="316"/>
      <c r="S3672" s="355"/>
    </row>
    <row r="3673" spans="13:19" x14ac:dyDescent="0.25">
      <c r="M3673" s="514"/>
      <c r="Q3673" s="293"/>
      <c r="R3673" s="316"/>
      <c r="S3673" s="355"/>
    </row>
    <row r="3674" spans="13:19" x14ac:dyDescent="0.25">
      <c r="M3674" s="514"/>
      <c r="Q3674" s="293"/>
      <c r="R3674" s="316"/>
      <c r="S3674" s="355"/>
    </row>
    <row r="3675" spans="13:19" x14ac:dyDescent="0.25">
      <c r="M3675" s="514"/>
      <c r="Q3675" s="293"/>
      <c r="R3675" s="316"/>
      <c r="S3675" s="355"/>
    </row>
    <row r="3676" spans="13:19" x14ac:dyDescent="0.25">
      <c r="M3676" s="514"/>
      <c r="Q3676" s="293"/>
      <c r="R3676" s="316"/>
      <c r="S3676" s="355"/>
    </row>
    <row r="3677" spans="13:19" x14ac:dyDescent="0.25">
      <c r="M3677" s="514"/>
      <c r="Q3677" s="293"/>
      <c r="R3677" s="316"/>
      <c r="S3677" s="355"/>
    </row>
    <row r="3678" spans="13:19" x14ac:dyDescent="0.25">
      <c r="M3678" s="514"/>
      <c r="Q3678" s="293"/>
      <c r="R3678" s="316"/>
      <c r="S3678" s="355"/>
    </row>
    <row r="3679" spans="13:19" x14ac:dyDescent="0.25">
      <c r="M3679" s="514"/>
      <c r="Q3679" s="293"/>
      <c r="R3679" s="316"/>
      <c r="S3679" s="355"/>
    </row>
    <row r="3680" spans="13:19" x14ac:dyDescent="0.25">
      <c r="M3680" s="514"/>
      <c r="Q3680" s="293"/>
      <c r="R3680" s="316"/>
      <c r="S3680" s="355"/>
    </row>
    <row r="3681" spans="13:19" x14ac:dyDescent="0.25">
      <c r="M3681" s="514"/>
      <c r="Q3681" s="293"/>
      <c r="R3681" s="316"/>
      <c r="S3681" s="355"/>
    </row>
    <row r="3682" spans="13:19" x14ac:dyDescent="0.25">
      <c r="M3682" s="514"/>
      <c r="Q3682" s="293"/>
      <c r="R3682" s="316"/>
      <c r="S3682" s="355"/>
    </row>
    <row r="3683" spans="13:19" x14ac:dyDescent="0.25">
      <c r="M3683" s="514"/>
      <c r="Q3683" s="293"/>
      <c r="R3683" s="316"/>
      <c r="S3683" s="355"/>
    </row>
    <row r="3684" spans="13:19" x14ac:dyDescent="0.25">
      <c r="M3684" s="514"/>
      <c r="Q3684" s="293"/>
      <c r="R3684" s="316"/>
      <c r="S3684" s="355"/>
    </row>
    <row r="3685" spans="13:19" x14ac:dyDescent="0.25">
      <c r="M3685" s="514"/>
      <c r="Q3685" s="293"/>
      <c r="R3685" s="316"/>
      <c r="S3685" s="355"/>
    </row>
    <row r="3686" spans="13:19" x14ac:dyDescent="0.25">
      <c r="M3686" s="514"/>
      <c r="Q3686" s="293"/>
      <c r="R3686" s="316"/>
      <c r="S3686" s="355"/>
    </row>
    <row r="3687" spans="13:19" x14ac:dyDescent="0.25">
      <c r="M3687" s="514"/>
      <c r="Q3687" s="293"/>
      <c r="R3687" s="316"/>
      <c r="S3687" s="355"/>
    </row>
    <row r="3688" spans="13:19" x14ac:dyDescent="0.25">
      <c r="M3688" s="514"/>
      <c r="Q3688" s="293"/>
      <c r="R3688" s="316"/>
      <c r="S3688" s="355"/>
    </row>
    <row r="3689" spans="13:19" x14ac:dyDescent="0.25">
      <c r="M3689" s="514"/>
      <c r="Q3689" s="293"/>
      <c r="R3689" s="316"/>
      <c r="S3689" s="355"/>
    </row>
    <row r="3690" spans="13:19" x14ac:dyDescent="0.25">
      <c r="M3690" s="514"/>
      <c r="Q3690" s="293"/>
      <c r="R3690" s="316"/>
      <c r="S3690" s="355"/>
    </row>
    <row r="3691" spans="13:19" x14ac:dyDescent="0.25">
      <c r="M3691" s="514"/>
      <c r="Q3691" s="293"/>
      <c r="R3691" s="316"/>
      <c r="S3691" s="355"/>
    </row>
    <row r="3692" spans="13:19" x14ac:dyDescent="0.25">
      <c r="M3692" s="514"/>
      <c r="Q3692" s="293"/>
      <c r="R3692" s="316"/>
      <c r="S3692" s="355"/>
    </row>
    <row r="3693" spans="13:19" x14ac:dyDescent="0.25">
      <c r="M3693" s="514"/>
      <c r="Q3693" s="293"/>
      <c r="R3693" s="316"/>
      <c r="S3693" s="355"/>
    </row>
    <row r="3694" spans="13:19" x14ac:dyDescent="0.25">
      <c r="M3694" s="514"/>
      <c r="Q3694" s="293"/>
      <c r="R3694" s="316"/>
      <c r="S3694" s="355"/>
    </row>
    <row r="3695" spans="13:19" x14ac:dyDescent="0.25">
      <c r="M3695" s="514"/>
      <c r="Q3695" s="293"/>
      <c r="R3695" s="316"/>
      <c r="S3695" s="355"/>
    </row>
    <row r="3696" spans="13:19" x14ac:dyDescent="0.25">
      <c r="M3696" s="514"/>
      <c r="Q3696" s="293"/>
      <c r="R3696" s="316"/>
      <c r="S3696" s="355"/>
    </row>
    <row r="3697" spans="13:19" x14ac:dyDescent="0.25">
      <c r="M3697" s="514"/>
      <c r="Q3697" s="293"/>
      <c r="R3697" s="316"/>
      <c r="S3697" s="355"/>
    </row>
    <row r="3698" spans="13:19" x14ac:dyDescent="0.25">
      <c r="M3698" s="514"/>
      <c r="Q3698" s="293"/>
      <c r="R3698" s="316"/>
      <c r="S3698" s="355"/>
    </row>
    <row r="3699" spans="13:19" x14ac:dyDescent="0.25">
      <c r="M3699" s="514"/>
      <c r="Q3699" s="293"/>
      <c r="R3699" s="316"/>
      <c r="S3699" s="355"/>
    </row>
    <row r="3700" spans="13:19" x14ac:dyDescent="0.25">
      <c r="M3700" s="514"/>
      <c r="Q3700" s="293"/>
      <c r="R3700" s="316"/>
      <c r="S3700" s="355"/>
    </row>
    <row r="3701" spans="13:19" x14ac:dyDescent="0.25">
      <c r="M3701" s="514"/>
      <c r="Q3701" s="293"/>
      <c r="R3701" s="316"/>
      <c r="S3701" s="355"/>
    </row>
    <row r="3702" spans="13:19" x14ac:dyDescent="0.25">
      <c r="M3702" s="514"/>
      <c r="Q3702" s="293"/>
      <c r="R3702" s="316"/>
      <c r="S3702" s="355"/>
    </row>
    <row r="3703" spans="13:19" x14ac:dyDescent="0.25">
      <c r="M3703" s="514"/>
      <c r="Q3703" s="293"/>
      <c r="R3703" s="316"/>
      <c r="S3703" s="355"/>
    </row>
    <row r="3704" spans="13:19" x14ac:dyDescent="0.25">
      <c r="M3704" s="514"/>
      <c r="Q3704" s="293"/>
      <c r="R3704" s="316"/>
      <c r="S3704" s="355"/>
    </row>
    <row r="3705" spans="13:19" x14ac:dyDescent="0.25">
      <c r="M3705" s="514"/>
      <c r="Q3705" s="293"/>
      <c r="R3705" s="316"/>
      <c r="S3705" s="355"/>
    </row>
    <row r="3706" spans="13:19" x14ac:dyDescent="0.25">
      <c r="M3706" s="514"/>
      <c r="Q3706" s="293"/>
      <c r="R3706" s="316"/>
      <c r="S3706" s="355"/>
    </row>
    <row r="3707" spans="13:19" x14ac:dyDescent="0.25">
      <c r="M3707" s="514"/>
      <c r="Q3707" s="293"/>
      <c r="R3707" s="316"/>
      <c r="S3707" s="355"/>
    </row>
    <row r="3708" spans="13:19" x14ac:dyDescent="0.25">
      <c r="M3708" s="514"/>
      <c r="Q3708" s="293"/>
      <c r="R3708" s="316"/>
      <c r="S3708" s="355"/>
    </row>
    <row r="3709" spans="13:19" x14ac:dyDescent="0.25">
      <c r="M3709" s="514"/>
      <c r="Q3709" s="293"/>
      <c r="R3709" s="316"/>
      <c r="S3709" s="355"/>
    </row>
    <row r="3710" spans="13:19" x14ac:dyDescent="0.25">
      <c r="M3710" s="514"/>
      <c r="Q3710" s="293"/>
      <c r="R3710" s="316"/>
      <c r="S3710" s="355"/>
    </row>
    <row r="3711" spans="13:19" x14ac:dyDescent="0.25">
      <c r="M3711" s="514"/>
      <c r="Q3711" s="293"/>
      <c r="R3711" s="316"/>
      <c r="S3711" s="355"/>
    </row>
    <row r="3712" spans="13:19" x14ac:dyDescent="0.25">
      <c r="M3712" s="514"/>
      <c r="Q3712" s="293"/>
      <c r="R3712" s="316"/>
      <c r="S3712" s="355"/>
    </row>
    <row r="3713" spans="13:19" x14ac:dyDescent="0.25">
      <c r="M3713" s="514"/>
      <c r="Q3713" s="293"/>
      <c r="R3713" s="316"/>
      <c r="S3713" s="355"/>
    </row>
    <row r="3714" spans="13:19" x14ac:dyDescent="0.25">
      <c r="M3714" s="514"/>
      <c r="Q3714" s="293"/>
      <c r="R3714" s="316"/>
      <c r="S3714" s="355"/>
    </row>
    <row r="3715" spans="13:19" x14ac:dyDescent="0.25">
      <c r="M3715" s="514"/>
      <c r="Q3715" s="293"/>
      <c r="R3715" s="316"/>
      <c r="S3715" s="355"/>
    </row>
    <row r="3716" spans="13:19" x14ac:dyDescent="0.25">
      <c r="M3716" s="514"/>
      <c r="Q3716" s="293"/>
      <c r="R3716" s="316"/>
      <c r="S3716" s="355"/>
    </row>
    <row r="3717" spans="13:19" x14ac:dyDescent="0.25">
      <c r="M3717" s="514"/>
      <c r="Q3717" s="293"/>
      <c r="R3717" s="316"/>
      <c r="S3717" s="355"/>
    </row>
    <row r="3718" spans="13:19" x14ac:dyDescent="0.25">
      <c r="M3718" s="514"/>
      <c r="Q3718" s="293"/>
      <c r="R3718" s="316"/>
      <c r="S3718" s="355"/>
    </row>
    <row r="3719" spans="13:19" x14ac:dyDescent="0.25">
      <c r="M3719" s="514"/>
      <c r="Q3719" s="293"/>
      <c r="R3719" s="316"/>
      <c r="S3719" s="355"/>
    </row>
    <row r="3720" spans="13:19" x14ac:dyDescent="0.25">
      <c r="M3720" s="514"/>
      <c r="Q3720" s="293"/>
      <c r="R3720" s="316"/>
      <c r="S3720" s="355"/>
    </row>
    <row r="3721" spans="13:19" x14ac:dyDescent="0.25">
      <c r="M3721" s="514"/>
      <c r="Q3721" s="293"/>
      <c r="R3721" s="316"/>
      <c r="S3721" s="355"/>
    </row>
    <row r="3722" spans="13:19" x14ac:dyDescent="0.25">
      <c r="M3722" s="514"/>
      <c r="Q3722" s="293"/>
      <c r="R3722" s="316"/>
      <c r="S3722" s="355"/>
    </row>
    <row r="3723" spans="13:19" x14ac:dyDescent="0.25">
      <c r="M3723" s="514"/>
      <c r="Q3723" s="293"/>
      <c r="R3723" s="316"/>
      <c r="S3723" s="355"/>
    </row>
    <row r="3724" spans="13:19" x14ac:dyDescent="0.25">
      <c r="M3724" s="514"/>
      <c r="Q3724" s="293"/>
      <c r="R3724" s="316"/>
      <c r="S3724" s="355"/>
    </row>
    <row r="3725" spans="13:19" x14ac:dyDescent="0.25">
      <c r="M3725" s="514"/>
      <c r="Q3725" s="293"/>
      <c r="R3725" s="316"/>
      <c r="S3725" s="355"/>
    </row>
    <row r="3726" spans="13:19" x14ac:dyDescent="0.25">
      <c r="M3726" s="514"/>
      <c r="Q3726" s="293"/>
      <c r="R3726" s="316"/>
      <c r="S3726" s="355"/>
    </row>
    <row r="3727" spans="13:19" x14ac:dyDescent="0.25">
      <c r="M3727" s="514"/>
      <c r="Q3727" s="293"/>
      <c r="R3727" s="316"/>
      <c r="S3727" s="355"/>
    </row>
    <row r="3728" spans="13:19" x14ac:dyDescent="0.25">
      <c r="M3728" s="514"/>
      <c r="Q3728" s="293"/>
      <c r="R3728" s="316"/>
      <c r="S3728" s="355"/>
    </row>
    <row r="3729" spans="13:19" x14ac:dyDescent="0.25">
      <c r="M3729" s="514"/>
      <c r="Q3729" s="293"/>
      <c r="R3729" s="316"/>
      <c r="S3729" s="355"/>
    </row>
    <row r="3730" spans="13:19" x14ac:dyDescent="0.25">
      <c r="M3730" s="514"/>
      <c r="Q3730" s="293"/>
      <c r="R3730" s="316"/>
      <c r="S3730" s="355"/>
    </row>
    <row r="3731" spans="13:19" x14ac:dyDescent="0.25">
      <c r="M3731" s="514"/>
      <c r="Q3731" s="293"/>
      <c r="R3731" s="316"/>
      <c r="S3731" s="355"/>
    </row>
    <row r="3732" spans="13:19" x14ac:dyDescent="0.25">
      <c r="M3732" s="514"/>
      <c r="Q3732" s="293"/>
      <c r="R3732" s="316"/>
      <c r="S3732" s="355"/>
    </row>
    <row r="3733" spans="13:19" x14ac:dyDescent="0.25">
      <c r="M3733" s="514"/>
      <c r="Q3733" s="293"/>
      <c r="R3733" s="316"/>
      <c r="S3733" s="355"/>
    </row>
    <row r="3734" spans="13:19" x14ac:dyDescent="0.25">
      <c r="M3734" s="514"/>
      <c r="Q3734" s="293"/>
      <c r="R3734" s="316"/>
      <c r="S3734" s="355"/>
    </row>
    <row r="3735" spans="13:19" x14ac:dyDescent="0.25">
      <c r="M3735" s="514"/>
      <c r="Q3735" s="293"/>
      <c r="R3735" s="316"/>
      <c r="S3735" s="355"/>
    </row>
    <row r="3736" spans="13:19" x14ac:dyDescent="0.25">
      <c r="M3736" s="514"/>
      <c r="Q3736" s="293"/>
      <c r="R3736" s="316"/>
      <c r="S3736" s="355"/>
    </row>
    <row r="3737" spans="13:19" x14ac:dyDescent="0.25">
      <c r="M3737" s="514"/>
      <c r="Q3737" s="293"/>
      <c r="R3737" s="316"/>
      <c r="S3737" s="355"/>
    </row>
    <row r="3738" spans="13:19" x14ac:dyDescent="0.25">
      <c r="M3738" s="514"/>
      <c r="Q3738" s="293"/>
      <c r="R3738" s="316"/>
      <c r="S3738" s="355"/>
    </row>
    <row r="3739" spans="13:19" x14ac:dyDescent="0.25">
      <c r="M3739" s="514"/>
      <c r="Q3739" s="293"/>
      <c r="R3739" s="316"/>
      <c r="S3739" s="355"/>
    </row>
    <row r="3740" spans="13:19" x14ac:dyDescent="0.25">
      <c r="M3740" s="514"/>
      <c r="Q3740" s="293"/>
      <c r="R3740" s="316"/>
      <c r="S3740" s="355"/>
    </row>
    <row r="3741" spans="13:19" x14ac:dyDescent="0.25">
      <c r="M3741" s="514"/>
      <c r="Q3741" s="293"/>
      <c r="R3741" s="316"/>
      <c r="S3741" s="355"/>
    </row>
    <row r="3742" spans="13:19" x14ac:dyDescent="0.25">
      <c r="M3742" s="514"/>
      <c r="Q3742" s="293"/>
      <c r="R3742" s="316"/>
      <c r="S3742" s="355"/>
    </row>
    <row r="3743" spans="13:19" x14ac:dyDescent="0.25">
      <c r="M3743" s="514"/>
      <c r="Q3743" s="293"/>
      <c r="R3743" s="316"/>
      <c r="S3743" s="355"/>
    </row>
    <row r="3744" spans="13:19" x14ac:dyDescent="0.25">
      <c r="M3744" s="514"/>
      <c r="Q3744" s="293"/>
      <c r="R3744" s="316"/>
      <c r="S3744" s="355"/>
    </row>
    <row r="3745" spans="13:19" x14ac:dyDescent="0.25">
      <c r="M3745" s="514"/>
      <c r="Q3745" s="293"/>
      <c r="R3745" s="316"/>
      <c r="S3745" s="355"/>
    </row>
    <row r="3746" spans="13:19" x14ac:dyDescent="0.25">
      <c r="M3746" s="514"/>
      <c r="Q3746" s="293"/>
      <c r="R3746" s="316"/>
      <c r="S3746" s="355"/>
    </row>
    <row r="3747" spans="13:19" x14ac:dyDescent="0.25">
      <c r="M3747" s="514"/>
      <c r="Q3747" s="293"/>
      <c r="R3747" s="316"/>
      <c r="S3747" s="355"/>
    </row>
    <row r="3748" spans="13:19" x14ac:dyDescent="0.25">
      <c r="M3748" s="514"/>
      <c r="Q3748" s="293"/>
      <c r="R3748" s="316"/>
      <c r="S3748" s="355"/>
    </row>
    <row r="3749" spans="13:19" x14ac:dyDescent="0.25">
      <c r="M3749" s="514"/>
      <c r="Q3749" s="293"/>
      <c r="R3749" s="316"/>
      <c r="S3749" s="355"/>
    </row>
    <row r="3750" spans="13:19" x14ac:dyDescent="0.25">
      <c r="M3750" s="514"/>
      <c r="Q3750" s="293"/>
      <c r="R3750" s="316"/>
      <c r="S3750" s="355"/>
    </row>
    <row r="3751" spans="13:19" x14ac:dyDescent="0.25">
      <c r="M3751" s="514"/>
      <c r="Q3751" s="293"/>
      <c r="R3751" s="316"/>
      <c r="S3751" s="355"/>
    </row>
    <row r="3752" spans="13:19" x14ac:dyDescent="0.25">
      <c r="M3752" s="514"/>
      <c r="Q3752" s="293"/>
      <c r="R3752" s="316"/>
      <c r="S3752" s="355"/>
    </row>
    <row r="3753" spans="13:19" x14ac:dyDescent="0.25">
      <c r="M3753" s="514"/>
      <c r="Q3753" s="293"/>
      <c r="R3753" s="316"/>
      <c r="S3753" s="355"/>
    </row>
    <row r="3754" spans="13:19" x14ac:dyDescent="0.25">
      <c r="M3754" s="514"/>
      <c r="Q3754" s="293"/>
      <c r="R3754" s="316"/>
      <c r="S3754" s="355"/>
    </row>
    <row r="3755" spans="13:19" x14ac:dyDescent="0.25">
      <c r="M3755" s="514"/>
      <c r="Q3755" s="293"/>
      <c r="R3755" s="316"/>
      <c r="S3755" s="355"/>
    </row>
    <row r="3756" spans="13:19" x14ac:dyDescent="0.25">
      <c r="M3756" s="514"/>
      <c r="Q3756" s="293"/>
      <c r="R3756" s="316"/>
      <c r="S3756" s="355"/>
    </row>
    <row r="3757" spans="13:19" x14ac:dyDescent="0.25">
      <c r="M3757" s="514"/>
      <c r="Q3757" s="293"/>
      <c r="R3757" s="316"/>
      <c r="S3757" s="355"/>
    </row>
    <row r="3758" spans="13:19" x14ac:dyDescent="0.25">
      <c r="M3758" s="514"/>
      <c r="Q3758" s="293"/>
      <c r="R3758" s="316"/>
      <c r="S3758" s="355"/>
    </row>
    <row r="3759" spans="13:19" x14ac:dyDescent="0.25">
      <c r="M3759" s="514"/>
      <c r="Q3759" s="293"/>
      <c r="R3759" s="316"/>
      <c r="S3759" s="355"/>
    </row>
    <row r="3760" spans="13:19" x14ac:dyDescent="0.25">
      <c r="M3760" s="514"/>
      <c r="Q3760" s="293"/>
      <c r="R3760" s="316"/>
      <c r="S3760" s="355"/>
    </row>
    <row r="3761" spans="13:19" x14ac:dyDescent="0.25">
      <c r="M3761" s="514"/>
      <c r="Q3761" s="293"/>
      <c r="R3761" s="316"/>
      <c r="S3761" s="355"/>
    </row>
    <row r="3762" spans="13:19" x14ac:dyDescent="0.25">
      <c r="M3762" s="514"/>
      <c r="Q3762" s="293"/>
      <c r="R3762" s="316"/>
      <c r="S3762" s="355"/>
    </row>
    <row r="3763" spans="13:19" x14ac:dyDescent="0.25">
      <c r="M3763" s="514"/>
      <c r="Q3763" s="293"/>
      <c r="R3763" s="316"/>
      <c r="S3763" s="355"/>
    </row>
    <row r="3764" spans="13:19" x14ac:dyDescent="0.25">
      <c r="M3764" s="514"/>
      <c r="Q3764" s="293"/>
      <c r="R3764" s="316"/>
      <c r="S3764" s="355"/>
    </row>
    <row r="3765" spans="13:19" x14ac:dyDescent="0.25">
      <c r="M3765" s="514"/>
      <c r="Q3765" s="293"/>
      <c r="R3765" s="316"/>
      <c r="S3765" s="355"/>
    </row>
    <row r="3766" spans="13:19" x14ac:dyDescent="0.25">
      <c r="M3766" s="514"/>
      <c r="Q3766" s="293"/>
      <c r="R3766" s="316"/>
      <c r="S3766" s="355"/>
    </row>
    <row r="3767" spans="13:19" x14ac:dyDescent="0.25">
      <c r="M3767" s="514"/>
      <c r="Q3767" s="293"/>
      <c r="R3767" s="316"/>
      <c r="S3767" s="355"/>
    </row>
    <row r="3768" spans="13:19" x14ac:dyDescent="0.25">
      <c r="M3768" s="514"/>
      <c r="Q3768" s="293"/>
      <c r="R3768" s="316"/>
      <c r="S3768" s="355"/>
    </row>
    <row r="3769" spans="13:19" x14ac:dyDescent="0.25">
      <c r="M3769" s="514"/>
      <c r="Q3769" s="293"/>
      <c r="R3769" s="316"/>
      <c r="S3769" s="355"/>
    </row>
    <row r="3770" spans="13:19" x14ac:dyDescent="0.25">
      <c r="M3770" s="514"/>
      <c r="Q3770" s="293"/>
      <c r="R3770" s="316"/>
      <c r="S3770" s="355"/>
    </row>
    <row r="3771" spans="13:19" x14ac:dyDescent="0.25">
      <c r="M3771" s="514"/>
      <c r="Q3771" s="293"/>
      <c r="R3771" s="316"/>
      <c r="S3771" s="355"/>
    </row>
    <row r="3772" spans="13:19" x14ac:dyDescent="0.25">
      <c r="M3772" s="514"/>
      <c r="Q3772" s="293"/>
      <c r="R3772" s="316"/>
      <c r="S3772" s="355"/>
    </row>
    <row r="3773" spans="13:19" x14ac:dyDescent="0.25">
      <c r="M3773" s="514"/>
      <c r="Q3773" s="293"/>
      <c r="R3773" s="316"/>
      <c r="S3773" s="355"/>
    </row>
    <row r="3774" spans="13:19" x14ac:dyDescent="0.25">
      <c r="M3774" s="514"/>
      <c r="Q3774" s="293"/>
      <c r="R3774" s="316"/>
      <c r="S3774" s="355"/>
    </row>
    <row r="3775" spans="13:19" x14ac:dyDescent="0.25">
      <c r="M3775" s="514"/>
      <c r="Q3775" s="293"/>
      <c r="R3775" s="316"/>
      <c r="S3775" s="355"/>
    </row>
    <row r="3776" spans="13:19" x14ac:dyDescent="0.25">
      <c r="M3776" s="514"/>
      <c r="Q3776" s="293"/>
      <c r="R3776" s="316"/>
      <c r="S3776" s="355"/>
    </row>
    <row r="3777" spans="13:19" x14ac:dyDescent="0.25">
      <c r="M3777" s="514"/>
      <c r="Q3777" s="293"/>
      <c r="R3777" s="316"/>
      <c r="S3777" s="355"/>
    </row>
    <row r="3778" spans="13:19" x14ac:dyDescent="0.25">
      <c r="M3778" s="514"/>
      <c r="Q3778" s="293"/>
      <c r="R3778" s="316"/>
      <c r="S3778" s="355"/>
    </row>
    <row r="3779" spans="13:19" x14ac:dyDescent="0.25">
      <c r="M3779" s="514"/>
      <c r="Q3779" s="293"/>
      <c r="R3779" s="316"/>
      <c r="S3779" s="355"/>
    </row>
    <row r="3780" spans="13:19" x14ac:dyDescent="0.25">
      <c r="M3780" s="514"/>
      <c r="Q3780" s="293"/>
      <c r="R3780" s="316"/>
      <c r="S3780" s="355"/>
    </row>
    <row r="3781" spans="13:19" x14ac:dyDescent="0.25">
      <c r="M3781" s="514"/>
      <c r="Q3781" s="293"/>
      <c r="R3781" s="316"/>
      <c r="S3781" s="355"/>
    </row>
    <row r="3782" spans="13:19" x14ac:dyDescent="0.25">
      <c r="M3782" s="514"/>
      <c r="Q3782" s="293"/>
      <c r="R3782" s="316"/>
      <c r="S3782" s="355"/>
    </row>
    <row r="3783" spans="13:19" x14ac:dyDescent="0.25">
      <c r="M3783" s="514"/>
      <c r="Q3783" s="293"/>
      <c r="R3783" s="316"/>
      <c r="S3783" s="355"/>
    </row>
    <row r="3784" spans="13:19" x14ac:dyDescent="0.25">
      <c r="M3784" s="514"/>
      <c r="Q3784" s="293"/>
      <c r="R3784" s="316"/>
      <c r="S3784" s="355"/>
    </row>
    <row r="3785" spans="13:19" x14ac:dyDescent="0.25">
      <c r="M3785" s="514"/>
      <c r="Q3785" s="293"/>
      <c r="R3785" s="316"/>
      <c r="S3785" s="355"/>
    </row>
    <row r="3786" spans="13:19" x14ac:dyDescent="0.25">
      <c r="M3786" s="514"/>
      <c r="Q3786" s="293"/>
      <c r="R3786" s="316"/>
      <c r="S3786" s="355"/>
    </row>
    <row r="3787" spans="13:19" x14ac:dyDescent="0.25">
      <c r="M3787" s="514"/>
      <c r="Q3787" s="293"/>
      <c r="R3787" s="316"/>
      <c r="S3787" s="355"/>
    </row>
    <row r="3788" spans="13:19" x14ac:dyDescent="0.25">
      <c r="M3788" s="514"/>
      <c r="Q3788" s="293"/>
      <c r="R3788" s="316"/>
      <c r="S3788" s="355"/>
    </row>
    <row r="3789" spans="13:19" x14ac:dyDescent="0.25">
      <c r="M3789" s="514"/>
      <c r="Q3789" s="293"/>
      <c r="R3789" s="316"/>
      <c r="S3789" s="355"/>
    </row>
    <row r="3790" spans="13:19" x14ac:dyDescent="0.25">
      <c r="M3790" s="514"/>
      <c r="Q3790" s="293"/>
      <c r="R3790" s="316"/>
      <c r="S3790" s="355"/>
    </row>
    <row r="3791" spans="13:19" x14ac:dyDescent="0.25">
      <c r="M3791" s="514"/>
      <c r="Q3791" s="293"/>
      <c r="R3791" s="316"/>
      <c r="S3791" s="355"/>
    </row>
    <row r="3792" spans="13:19" x14ac:dyDescent="0.25">
      <c r="M3792" s="514"/>
      <c r="Q3792" s="293"/>
      <c r="R3792" s="316"/>
      <c r="S3792" s="355"/>
    </row>
    <row r="3793" spans="13:19" x14ac:dyDescent="0.25">
      <c r="M3793" s="514"/>
      <c r="Q3793" s="293"/>
      <c r="R3793" s="316"/>
      <c r="S3793" s="355"/>
    </row>
    <row r="3794" spans="13:19" x14ac:dyDescent="0.25">
      <c r="M3794" s="514"/>
      <c r="Q3794" s="293"/>
      <c r="R3794" s="316"/>
      <c r="S3794" s="355"/>
    </row>
    <row r="3795" spans="13:19" x14ac:dyDescent="0.25">
      <c r="M3795" s="514"/>
      <c r="Q3795" s="293"/>
      <c r="R3795" s="316"/>
      <c r="S3795" s="355"/>
    </row>
    <row r="3796" spans="13:19" x14ac:dyDescent="0.25">
      <c r="M3796" s="514"/>
      <c r="Q3796" s="293"/>
      <c r="R3796" s="316"/>
      <c r="S3796" s="355"/>
    </row>
    <row r="3797" spans="13:19" x14ac:dyDescent="0.25">
      <c r="M3797" s="514"/>
      <c r="Q3797" s="293"/>
      <c r="R3797" s="316"/>
      <c r="S3797" s="355"/>
    </row>
    <row r="3798" spans="13:19" x14ac:dyDescent="0.25">
      <c r="M3798" s="514"/>
      <c r="Q3798" s="293"/>
      <c r="R3798" s="316"/>
      <c r="S3798" s="355"/>
    </row>
    <row r="3799" spans="13:19" x14ac:dyDescent="0.25">
      <c r="M3799" s="514"/>
      <c r="Q3799" s="293"/>
      <c r="R3799" s="316"/>
      <c r="S3799" s="355"/>
    </row>
    <row r="3800" spans="13:19" x14ac:dyDescent="0.25">
      <c r="M3800" s="514"/>
      <c r="Q3800" s="293"/>
      <c r="R3800" s="316"/>
      <c r="S3800" s="355"/>
    </row>
    <row r="3801" spans="13:19" x14ac:dyDescent="0.25">
      <c r="M3801" s="514"/>
      <c r="Q3801" s="293"/>
      <c r="R3801" s="316"/>
      <c r="S3801" s="355"/>
    </row>
    <row r="3802" spans="13:19" x14ac:dyDescent="0.25">
      <c r="M3802" s="514"/>
      <c r="Q3802" s="293"/>
      <c r="R3802" s="316"/>
      <c r="S3802" s="355"/>
    </row>
    <row r="3803" spans="13:19" x14ac:dyDescent="0.25">
      <c r="M3803" s="514"/>
      <c r="Q3803" s="293"/>
      <c r="R3803" s="316"/>
      <c r="S3803" s="355"/>
    </row>
    <row r="3804" spans="13:19" x14ac:dyDescent="0.25">
      <c r="M3804" s="514"/>
      <c r="Q3804" s="293"/>
      <c r="R3804" s="316"/>
      <c r="S3804" s="355"/>
    </row>
    <row r="3805" spans="13:19" x14ac:dyDescent="0.25">
      <c r="M3805" s="514"/>
      <c r="Q3805" s="293"/>
      <c r="R3805" s="316"/>
      <c r="S3805" s="355"/>
    </row>
    <row r="3806" spans="13:19" x14ac:dyDescent="0.25">
      <c r="M3806" s="514"/>
      <c r="Q3806" s="293"/>
      <c r="R3806" s="316"/>
      <c r="S3806" s="355"/>
    </row>
    <row r="3807" spans="13:19" x14ac:dyDescent="0.25">
      <c r="M3807" s="514"/>
      <c r="Q3807" s="293"/>
      <c r="R3807" s="316"/>
      <c r="S3807" s="355"/>
    </row>
    <row r="3808" spans="13:19" x14ac:dyDescent="0.25">
      <c r="M3808" s="514"/>
      <c r="Q3808" s="293"/>
      <c r="R3808" s="316"/>
      <c r="S3808" s="355"/>
    </row>
    <row r="3809" spans="13:19" x14ac:dyDescent="0.25">
      <c r="M3809" s="514"/>
      <c r="Q3809" s="293"/>
      <c r="R3809" s="316"/>
      <c r="S3809" s="355"/>
    </row>
    <row r="3810" spans="13:19" x14ac:dyDescent="0.25">
      <c r="M3810" s="514"/>
      <c r="Q3810" s="293"/>
      <c r="R3810" s="316"/>
      <c r="S3810" s="355"/>
    </row>
    <row r="3811" spans="13:19" x14ac:dyDescent="0.25">
      <c r="M3811" s="514"/>
      <c r="Q3811" s="293"/>
      <c r="R3811" s="316"/>
      <c r="S3811" s="355"/>
    </row>
    <row r="3812" spans="13:19" x14ac:dyDescent="0.25">
      <c r="M3812" s="514"/>
      <c r="Q3812" s="293"/>
      <c r="R3812" s="316"/>
      <c r="S3812" s="355"/>
    </row>
    <row r="3813" spans="13:19" x14ac:dyDescent="0.25">
      <c r="M3813" s="514"/>
      <c r="Q3813" s="293"/>
      <c r="R3813" s="316"/>
      <c r="S3813" s="355"/>
    </row>
    <row r="3814" spans="13:19" x14ac:dyDescent="0.25">
      <c r="M3814" s="514"/>
      <c r="Q3814" s="293"/>
      <c r="R3814" s="316"/>
      <c r="S3814" s="355"/>
    </row>
    <row r="3815" spans="13:19" x14ac:dyDescent="0.25">
      <c r="M3815" s="514"/>
      <c r="Q3815" s="293"/>
      <c r="R3815" s="316"/>
      <c r="S3815" s="355"/>
    </row>
    <row r="3816" spans="13:19" x14ac:dyDescent="0.25">
      <c r="M3816" s="514"/>
      <c r="Q3816" s="293"/>
      <c r="R3816" s="316"/>
      <c r="S3816" s="355"/>
    </row>
    <row r="3817" spans="13:19" x14ac:dyDescent="0.25">
      <c r="M3817" s="514"/>
      <c r="Q3817" s="293"/>
      <c r="R3817" s="316"/>
      <c r="S3817" s="355"/>
    </row>
    <row r="3818" spans="13:19" x14ac:dyDescent="0.25">
      <c r="M3818" s="514"/>
      <c r="Q3818" s="293"/>
      <c r="R3818" s="316"/>
      <c r="S3818" s="355"/>
    </row>
    <row r="3819" spans="13:19" x14ac:dyDescent="0.25">
      <c r="M3819" s="514"/>
      <c r="Q3819" s="293"/>
      <c r="R3819" s="316"/>
      <c r="S3819" s="355"/>
    </row>
    <row r="3820" spans="13:19" x14ac:dyDescent="0.25">
      <c r="M3820" s="514"/>
      <c r="Q3820" s="293"/>
      <c r="R3820" s="316"/>
      <c r="S3820" s="355"/>
    </row>
    <row r="3821" spans="13:19" x14ac:dyDescent="0.25">
      <c r="M3821" s="514"/>
      <c r="Q3821" s="293"/>
      <c r="R3821" s="316"/>
      <c r="S3821" s="355"/>
    </row>
    <row r="3822" spans="13:19" x14ac:dyDescent="0.25">
      <c r="M3822" s="514"/>
      <c r="Q3822" s="293"/>
      <c r="R3822" s="316"/>
      <c r="S3822" s="355"/>
    </row>
    <row r="3823" spans="13:19" x14ac:dyDescent="0.25">
      <c r="M3823" s="514"/>
      <c r="Q3823" s="293"/>
      <c r="R3823" s="316"/>
      <c r="S3823" s="355"/>
    </row>
    <row r="3824" spans="13:19" x14ac:dyDescent="0.25">
      <c r="M3824" s="514"/>
      <c r="Q3824" s="293"/>
      <c r="R3824" s="316"/>
      <c r="S3824" s="355"/>
    </row>
    <row r="3825" spans="13:19" x14ac:dyDescent="0.25">
      <c r="M3825" s="514"/>
      <c r="Q3825" s="293"/>
      <c r="R3825" s="316"/>
      <c r="S3825" s="355"/>
    </row>
    <row r="3826" spans="13:19" x14ac:dyDescent="0.25">
      <c r="M3826" s="514"/>
      <c r="Q3826" s="293"/>
      <c r="R3826" s="316"/>
      <c r="S3826" s="355"/>
    </row>
    <row r="3827" spans="13:19" x14ac:dyDescent="0.25">
      <c r="M3827" s="514"/>
      <c r="Q3827" s="293"/>
      <c r="R3827" s="316"/>
      <c r="S3827" s="355"/>
    </row>
    <row r="3828" spans="13:19" x14ac:dyDescent="0.25">
      <c r="M3828" s="514"/>
      <c r="Q3828" s="293"/>
      <c r="R3828" s="316"/>
      <c r="S3828" s="355"/>
    </row>
    <row r="3829" spans="13:19" x14ac:dyDescent="0.25">
      <c r="M3829" s="514"/>
      <c r="Q3829" s="293"/>
      <c r="R3829" s="316"/>
      <c r="S3829" s="355"/>
    </row>
    <row r="3830" spans="13:19" x14ac:dyDescent="0.25">
      <c r="M3830" s="514"/>
      <c r="Q3830" s="293"/>
      <c r="R3830" s="316"/>
      <c r="S3830" s="355"/>
    </row>
    <row r="3831" spans="13:19" x14ac:dyDescent="0.25">
      <c r="M3831" s="514"/>
      <c r="Q3831" s="293"/>
      <c r="R3831" s="316"/>
      <c r="S3831" s="355"/>
    </row>
    <row r="3832" spans="13:19" x14ac:dyDescent="0.25">
      <c r="M3832" s="514"/>
      <c r="Q3832" s="293"/>
      <c r="R3832" s="316"/>
      <c r="S3832" s="355"/>
    </row>
    <row r="3833" spans="13:19" x14ac:dyDescent="0.25">
      <c r="M3833" s="514"/>
      <c r="Q3833" s="293"/>
      <c r="R3833" s="316"/>
      <c r="S3833" s="355"/>
    </row>
    <row r="3834" spans="13:19" x14ac:dyDescent="0.25">
      <c r="M3834" s="514"/>
      <c r="Q3834" s="293"/>
      <c r="R3834" s="316"/>
      <c r="S3834" s="355"/>
    </row>
    <row r="3835" spans="13:19" x14ac:dyDescent="0.25">
      <c r="M3835" s="514"/>
      <c r="Q3835" s="293"/>
      <c r="R3835" s="316"/>
      <c r="S3835" s="355"/>
    </row>
    <row r="3836" spans="13:19" x14ac:dyDescent="0.25">
      <c r="M3836" s="514"/>
      <c r="Q3836" s="293"/>
      <c r="R3836" s="316"/>
      <c r="S3836" s="355"/>
    </row>
    <row r="3837" spans="13:19" x14ac:dyDescent="0.25">
      <c r="M3837" s="514"/>
      <c r="Q3837" s="293"/>
      <c r="R3837" s="316"/>
      <c r="S3837" s="355"/>
    </row>
    <row r="3838" spans="13:19" x14ac:dyDescent="0.25">
      <c r="M3838" s="514"/>
      <c r="Q3838" s="293"/>
      <c r="R3838" s="316"/>
      <c r="S3838" s="355"/>
    </row>
    <row r="3839" spans="13:19" x14ac:dyDescent="0.25">
      <c r="M3839" s="514"/>
      <c r="Q3839" s="293"/>
      <c r="R3839" s="316"/>
      <c r="S3839" s="355"/>
    </row>
    <row r="3840" spans="13:19" x14ac:dyDescent="0.25">
      <c r="M3840" s="514"/>
      <c r="Q3840" s="293"/>
      <c r="R3840" s="316"/>
      <c r="S3840" s="355"/>
    </row>
    <row r="3841" spans="13:19" x14ac:dyDescent="0.25">
      <c r="M3841" s="514"/>
      <c r="Q3841" s="293"/>
      <c r="R3841" s="316"/>
      <c r="S3841" s="355"/>
    </row>
    <row r="3842" spans="13:19" x14ac:dyDescent="0.25">
      <c r="M3842" s="514"/>
      <c r="Q3842" s="293"/>
      <c r="R3842" s="316"/>
      <c r="S3842" s="355"/>
    </row>
    <row r="3843" spans="13:19" x14ac:dyDescent="0.25">
      <c r="M3843" s="514"/>
      <c r="Q3843" s="293"/>
      <c r="R3843" s="316"/>
      <c r="S3843" s="355"/>
    </row>
    <row r="3844" spans="13:19" x14ac:dyDescent="0.25">
      <c r="M3844" s="514"/>
      <c r="Q3844" s="293"/>
      <c r="R3844" s="316"/>
      <c r="S3844" s="355"/>
    </row>
    <row r="3845" spans="13:19" x14ac:dyDescent="0.25">
      <c r="M3845" s="514"/>
      <c r="Q3845" s="293"/>
      <c r="R3845" s="316"/>
      <c r="S3845" s="355"/>
    </row>
    <row r="3846" spans="13:19" x14ac:dyDescent="0.25">
      <c r="M3846" s="514"/>
      <c r="Q3846" s="293"/>
      <c r="R3846" s="316"/>
      <c r="S3846" s="355"/>
    </row>
    <row r="3847" spans="13:19" x14ac:dyDescent="0.25">
      <c r="M3847" s="514"/>
      <c r="Q3847" s="293"/>
      <c r="R3847" s="316"/>
      <c r="S3847" s="355"/>
    </row>
    <row r="3848" spans="13:19" x14ac:dyDescent="0.25">
      <c r="M3848" s="514"/>
      <c r="Q3848" s="293"/>
      <c r="R3848" s="316"/>
      <c r="S3848" s="355"/>
    </row>
    <row r="3849" spans="13:19" x14ac:dyDescent="0.25">
      <c r="M3849" s="514"/>
      <c r="Q3849" s="293"/>
      <c r="R3849" s="316"/>
      <c r="S3849" s="355"/>
    </row>
    <row r="3850" spans="13:19" x14ac:dyDescent="0.25">
      <c r="M3850" s="514"/>
      <c r="Q3850" s="293"/>
      <c r="R3850" s="316"/>
      <c r="S3850" s="355"/>
    </row>
    <row r="3851" spans="13:19" x14ac:dyDescent="0.25">
      <c r="M3851" s="514"/>
      <c r="Q3851" s="293"/>
      <c r="R3851" s="316"/>
      <c r="S3851" s="355"/>
    </row>
    <row r="3852" spans="13:19" x14ac:dyDescent="0.25">
      <c r="M3852" s="514"/>
      <c r="Q3852" s="293"/>
      <c r="R3852" s="316"/>
      <c r="S3852" s="355"/>
    </row>
    <row r="3853" spans="13:19" x14ac:dyDescent="0.25">
      <c r="M3853" s="514"/>
      <c r="Q3853" s="293"/>
      <c r="R3853" s="316"/>
      <c r="S3853" s="355"/>
    </row>
    <row r="3854" spans="13:19" x14ac:dyDescent="0.25">
      <c r="M3854" s="514"/>
      <c r="Q3854" s="293"/>
      <c r="R3854" s="316"/>
      <c r="S3854" s="355"/>
    </row>
    <row r="3855" spans="13:19" x14ac:dyDescent="0.25">
      <c r="M3855" s="514"/>
      <c r="Q3855" s="293"/>
      <c r="R3855" s="316"/>
      <c r="S3855" s="355"/>
    </row>
    <row r="3856" spans="13:19" x14ac:dyDescent="0.25">
      <c r="M3856" s="514"/>
      <c r="Q3856" s="293"/>
      <c r="R3856" s="316"/>
      <c r="S3856" s="355"/>
    </row>
    <row r="3857" spans="13:19" x14ac:dyDescent="0.25">
      <c r="M3857" s="514"/>
      <c r="Q3857" s="293"/>
      <c r="R3857" s="316"/>
      <c r="S3857" s="355"/>
    </row>
    <row r="3858" spans="13:19" x14ac:dyDescent="0.25">
      <c r="M3858" s="514"/>
      <c r="Q3858" s="293"/>
      <c r="R3858" s="316"/>
      <c r="S3858" s="355"/>
    </row>
    <row r="3859" spans="13:19" x14ac:dyDescent="0.25">
      <c r="M3859" s="514"/>
      <c r="Q3859" s="293"/>
      <c r="R3859" s="316"/>
      <c r="S3859" s="355"/>
    </row>
    <row r="3860" spans="13:19" x14ac:dyDescent="0.25">
      <c r="M3860" s="514"/>
      <c r="Q3860" s="293"/>
      <c r="R3860" s="316"/>
      <c r="S3860" s="355"/>
    </row>
    <row r="3861" spans="13:19" x14ac:dyDescent="0.25">
      <c r="M3861" s="514"/>
      <c r="Q3861" s="293"/>
      <c r="R3861" s="316"/>
      <c r="S3861" s="355"/>
    </row>
    <row r="3862" spans="13:19" x14ac:dyDescent="0.25">
      <c r="M3862" s="514"/>
      <c r="Q3862" s="293"/>
      <c r="R3862" s="316"/>
      <c r="S3862" s="355"/>
    </row>
    <row r="3863" spans="13:19" x14ac:dyDescent="0.25">
      <c r="M3863" s="514"/>
      <c r="Q3863" s="293"/>
      <c r="R3863" s="316"/>
      <c r="S3863" s="355"/>
    </row>
    <row r="3864" spans="13:19" x14ac:dyDescent="0.25">
      <c r="M3864" s="514"/>
      <c r="Q3864" s="293"/>
      <c r="R3864" s="316"/>
      <c r="S3864" s="355"/>
    </row>
    <row r="3865" spans="13:19" x14ac:dyDescent="0.25">
      <c r="M3865" s="514"/>
      <c r="Q3865" s="293"/>
      <c r="R3865" s="316"/>
      <c r="S3865" s="355"/>
    </row>
    <row r="3866" spans="13:19" x14ac:dyDescent="0.25">
      <c r="M3866" s="514"/>
      <c r="Q3866" s="293"/>
      <c r="R3866" s="316"/>
      <c r="S3866" s="355"/>
    </row>
    <row r="3867" spans="13:19" x14ac:dyDescent="0.25">
      <c r="M3867" s="514"/>
      <c r="Q3867" s="293"/>
      <c r="R3867" s="316"/>
      <c r="S3867" s="355"/>
    </row>
    <row r="3868" spans="13:19" x14ac:dyDescent="0.25">
      <c r="M3868" s="514"/>
      <c r="Q3868" s="293"/>
      <c r="R3868" s="316"/>
      <c r="S3868" s="355"/>
    </row>
    <row r="3869" spans="13:19" x14ac:dyDescent="0.25">
      <c r="M3869" s="514"/>
      <c r="Q3869" s="293"/>
      <c r="R3869" s="316"/>
      <c r="S3869" s="355"/>
    </row>
    <row r="3870" spans="13:19" x14ac:dyDescent="0.25">
      <c r="M3870" s="514"/>
      <c r="Q3870" s="293"/>
      <c r="R3870" s="316"/>
      <c r="S3870" s="355"/>
    </row>
    <row r="3871" spans="13:19" x14ac:dyDescent="0.25">
      <c r="M3871" s="514"/>
      <c r="Q3871" s="293"/>
      <c r="R3871" s="316"/>
      <c r="S3871" s="355"/>
    </row>
    <row r="3872" spans="13:19" x14ac:dyDescent="0.25">
      <c r="M3872" s="514"/>
      <c r="Q3872" s="293"/>
      <c r="R3872" s="316"/>
      <c r="S3872" s="355"/>
    </row>
    <row r="3873" spans="13:19" x14ac:dyDescent="0.25">
      <c r="M3873" s="514"/>
      <c r="Q3873" s="293"/>
      <c r="R3873" s="316"/>
      <c r="S3873" s="355"/>
    </row>
    <row r="3874" spans="13:19" x14ac:dyDescent="0.25">
      <c r="M3874" s="514"/>
      <c r="Q3874" s="293"/>
      <c r="R3874" s="316"/>
      <c r="S3874" s="355"/>
    </row>
    <row r="3875" spans="13:19" x14ac:dyDescent="0.25">
      <c r="M3875" s="514"/>
      <c r="Q3875" s="293"/>
      <c r="R3875" s="316"/>
      <c r="S3875" s="355"/>
    </row>
    <row r="3876" spans="13:19" x14ac:dyDescent="0.25">
      <c r="M3876" s="514"/>
      <c r="Q3876" s="293"/>
      <c r="R3876" s="316"/>
      <c r="S3876" s="355"/>
    </row>
    <row r="3877" spans="13:19" x14ac:dyDescent="0.25">
      <c r="M3877" s="514"/>
      <c r="Q3877" s="293"/>
      <c r="R3877" s="316"/>
      <c r="S3877" s="355"/>
    </row>
    <row r="3878" spans="13:19" x14ac:dyDescent="0.25">
      <c r="M3878" s="514"/>
      <c r="Q3878" s="293"/>
      <c r="R3878" s="316"/>
      <c r="S3878" s="355"/>
    </row>
    <row r="3879" spans="13:19" x14ac:dyDescent="0.25">
      <c r="M3879" s="514"/>
      <c r="Q3879" s="293"/>
      <c r="R3879" s="316"/>
      <c r="S3879" s="355"/>
    </row>
    <row r="3880" spans="13:19" x14ac:dyDescent="0.25">
      <c r="M3880" s="514"/>
      <c r="Q3880" s="293"/>
      <c r="R3880" s="316"/>
      <c r="S3880" s="355"/>
    </row>
    <row r="3881" spans="13:19" x14ac:dyDescent="0.25">
      <c r="M3881" s="514"/>
      <c r="Q3881" s="293"/>
      <c r="R3881" s="316"/>
      <c r="S3881" s="355"/>
    </row>
    <row r="3882" spans="13:19" x14ac:dyDescent="0.25">
      <c r="M3882" s="514"/>
      <c r="Q3882" s="293"/>
      <c r="R3882" s="316"/>
      <c r="S3882" s="355"/>
    </row>
    <row r="3883" spans="13:19" x14ac:dyDescent="0.25">
      <c r="M3883" s="514"/>
      <c r="Q3883" s="293"/>
      <c r="R3883" s="316"/>
      <c r="S3883" s="355"/>
    </row>
    <row r="3884" spans="13:19" x14ac:dyDescent="0.25">
      <c r="M3884" s="514"/>
      <c r="Q3884" s="293"/>
      <c r="R3884" s="316"/>
      <c r="S3884" s="355"/>
    </row>
    <row r="3885" spans="13:19" x14ac:dyDescent="0.25">
      <c r="M3885" s="514"/>
      <c r="Q3885" s="293"/>
      <c r="R3885" s="316"/>
      <c r="S3885" s="355"/>
    </row>
    <row r="3886" spans="13:19" x14ac:dyDescent="0.25">
      <c r="M3886" s="514"/>
      <c r="Q3886" s="293"/>
      <c r="R3886" s="316"/>
      <c r="S3886" s="355"/>
    </row>
    <row r="3887" spans="13:19" x14ac:dyDescent="0.25">
      <c r="M3887" s="514"/>
      <c r="Q3887" s="293"/>
      <c r="R3887" s="316"/>
      <c r="S3887" s="355"/>
    </row>
    <row r="3888" spans="13:19" x14ac:dyDescent="0.25">
      <c r="M3888" s="514"/>
      <c r="Q3888" s="293"/>
      <c r="R3888" s="316"/>
      <c r="S3888" s="355"/>
    </row>
    <row r="3889" spans="13:19" x14ac:dyDescent="0.25">
      <c r="M3889" s="514"/>
      <c r="Q3889" s="293"/>
      <c r="R3889" s="316"/>
      <c r="S3889" s="355"/>
    </row>
    <row r="3890" spans="13:19" x14ac:dyDescent="0.25">
      <c r="M3890" s="514"/>
      <c r="Q3890" s="293"/>
      <c r="R3890" s="316"/>
      <c r="S3890" s="355"/>
    </row>
    <row r="3891" spans="13:19" x14ac:dyDescent="0.25">
      <c r="M3891" s="514"/>
      <c r="Q3891" s="293"/>
      <c r="R3891" s="316"/>
      <c r="S3891" s="355"/>
    </row>
    <row r="3892" spans="13:19" x14ac:dyDescent="0.25">
      <c r="M3892" s="514"/>
      <c r="Q3892" s="293"/>
      <c r="R3892" s="316"/>
      <c r="S3892" s="355"/>
    </row>
    <row r="3893" spans="13:19" x14ac:dyDescent="0.25">
      <c r="M3893" s="514"/>
      <c r="Q3893" s="293"/>
      <c r="R3893" s="316"/>
      <c r="S3893" s="355"/>
    </row>
    <row r="3894" spans="13:19" x14ac:dyDescent="0.25">
      <c r="M3894" s="514"/>
      <c r="Q3894" s="293"/>
      <c r="R3894" s="316"/>
      <c r="S3894" s="355"/>
    </row>
    <row r="3895" spans="13:19" x14ac:dyDescent="0.25">
      <c r="M3895" s="514"/>
      <c r="Q3895" s="293"/>
      <c r="R3895" s="316"/>
      <c r="S3895" s="355"/>
    </row>
    <row r="3896" spans="13:19" x14ac:dyDescent="0.25">
      <c r="M3896" s="514"/>
      <c r="Q3896" s="293"/>
      <c r="R3896" s="316"/>
      <c r="S3896" s="355"/>
    </row>
    <row r="3897" spans="13:19" x14ac:dyDescent="0.25">
      <c r="M3897" s="514"/>
      <c r="Q3897" s="293"/>
      <c r="R3897" s="316"/>
      <c r="S3897" s="355"/>
    </row>
    <row r="3898" spans="13:19" x14ac:dyDescent="0.25">
      <c r="M3898" s="514"/>
      <c r="Q3898" s="293"/>
      <c r="R3898" s="316"/>
      <c r="S3898" s="355"/>
    </row>
    <row r="3899" spans="13:19" x14ac:dyDescent="0.25">
      <c r="M3899" s="514"/>
      <c r="Q3899" s="293"/>
      <c r="R3899" s="316"/>
      <c r="S3899" s="355"/>
    </row>
    <row r="3900" spans="13:19" x14ac:dyDescent="0.25">
      <c r="M3900" s="514"/>
      <c r="Q3900" s="293"/>
      <c r="R3900" s="316"/>
      <c r="S3900" s="355"/>
    </row>
    <row r="3901" spans="13:19" x14ac:dyDescent="0.25">
      <c r="M3901" s="514"/>
      <c r="Q3901" s="293"/>
      <c r="R3901" s="316"/>
      <c r="S3901" s="355"/>
    </row>
    <row r="3902" spans="13:19" x14ac:dyDescent="0.25">
      <c r="M3902" s="514"/>
      <c r="Q3902" s="293"/>
      <c r="R3902" s="316"/>
      <c r="S3902" s="355"/>
    </row>
    <row r="3903" spans="13:19" x14ac:dyDescent="0.25">
      <c r="M3903" s="514"/>
      <c r="Q3903" s="293"/>
      <c r="R3903" s="316"/>
      <c r="S3903" s="355"/>
    </row>
    <row r="3904" spans="13:19" x14ac:dyDescent="0.25">
      <c r="M3904" s="514"/>
      <c r="Q3904" s="293"/>
      <c r="R3904" s="316"/>
      <c r="S3904" s="355"/>
    </row>
    <row r="3905" spans="13:19" x14ac:dyDescent="0.25">
      <c r="M3905" s="514"/>
      <c r="Q3905" s="293"/>
      <c r="R3905" s="316"/>
      <c r="S3905" s="355"/>
    </row>
    <row r="3906" spans="13:19" x14ac:dyDescent="0.25">
      <c r="M3906" s="514"/>
      <c r="Q3906" s="293"/>
      <c r="R3906" s="316"/>
      <c r="S3906" s="355"/>
    </row>
    <row r="3907" spans="13:19" x14ac:dyDescent="0.25">
      <c r="M3907" s="514"/>
      <c r="Q3907" s="293"/>
      <c r="R3907" s="316"/>
      <c r="S3907" s="355"/>
    </row>
    <row r="3908" spans="13:19" x14ac:dyDescent="0.25">
      <c r="M3908" s="514"/>
      <c r="Q3908" s="293"/>
      <c r="R3908" s="316"/>
      <c r="S3908" s="355"/>
    </row>
    <row r="3909" spans="13:19" x14ac:dyDescent="0.25">
      <c r="M3909" s="514"/>
      <c r="Q3909" s="293"/>
      <c r="R3909" s="316"/>
      <c r="S3909" s="355"/>
    </row>
    <row r="3910" spans="13:19" x14ac:dyDescent="0.25">
      <c r="M3910" s="514"/>
      <c r="Q3910" s="293"/>
      <c r="R3910" s="316"/>
      <c r="S3910" s="355"/>
    </row>
    <row r="3911" spans="13:19" x14ac:dyDescent="0.25">
      <c r="M3911" s="514"/>
      <c r="Q3911" s="293"/>
      <c r="R3911" s="316"/>
      <c r="S3911" s="355"/>
    </row>
    <row r="3912" spans="13:19" x14ac:dyDescent="0.25">
      <c r="M3912" s="514"/>
      <c r="Q3912" s="293"/>
      <c r="R3912" s="316"/>
      <c r="S3912" s="355"/>
    </row>
    <row r="3913" spans="13:19" x14ac:dyDescent="0.25">
      <c r="M3913" s="514"/>
      <c r="Q3913" s="293"/>
      <c r="R3913" s="316"/>
      <c r="S3913" s="355"/>
    </row>
    <row r="3914" spans="13:19" x14ac:dyDescent="0.25">
      <c r="M3914" s="514"/>
      <c r="Q3914" s="293"/>
      <c r="R3914" s="316"/>
      <c r="S3914" s="355"/>
    </row>
    <row r="3915" spans="13:19" x14ac:dyDescent="0.25">
      <c r="M3915" s="514"/>
      <c r="Q3915" s="293"/>
      <c r="R3915" s="316"/>
      <c r="S3915" s="355"/>
    </row>
    <row r="3916" spans="13:19" x14ac:dyDescent="0.25">
      <c r="M3916" s="514"/>
      <c r="Q3916" s="293"/>
      <c r="R3916" s="316"/>
      <c r="S3916" s="355"/>
    </row>
    <row r="3917" spans="13:19" x14ac:dyDescent="0.25">
      <c r="M3917" s="514"/>
      <c r="Q3917" s="293"/>
      <c r="R3917" s="316"/>
      <c r="S3917" s="355"/>
    </row>
    <row r="3918" spans="13:19" x14ac:dyDescent="0.25">
      <c r="M3918" s="514"/>
      <c r="Q3918" s="293"/>
      <c r="R3918" s="316"/>
      <c r="S3918" s="355"/>
    </row>
    <row r="3919" spans="13:19" x14ac:dyDescent="0.25">
      <c r="M3919" s="514"/>
      <c r="Q3919" s="293"/>
      <c r="R3919" s="316"/>
      <c r="S3919" s="355"/>
    </row>
    <row r="3920" spans="13:19" x14ac:dyDescent="0.25">
      <c r="M3920" s="514"/>
      <c r="Q3920" s="293"/>
      <c r="R3920" s="316"/>
      <c r="S3920" s="355"/>
    </row>
    <row r="3921" spans="13:19" x14ac:dyDescent="0.25">
      <c r="M3921" s="514"/>
      <c r="Q3921" s="293"/>
      <c r="R3921" s="316"/>
      <c r="S3921" s="355"/>
    </row>
    <row r="3922" spans="13:19" x14ac:dyDescent="0.25">
      <c r="M3922" s="514"/>
      <c r="Q3922" s="293"/>
      <c r="R3922" s="316"/>
      <c r="S3922" s="355"/>
    </row>
    <row r="3923" spans="13:19" x14ac:dyDescent="0.25">
      <c r="M3923" s="514"/>
      <c r="Q3923" s="293"/>
      <c r="R3923" s="316"/>
      <c r="S3923" s="355"/>
    </row>
    <row r="3924" spans="13:19" x14ac:dyDescent="0.25">
      <c r="M3924" s="514"/>
      <c r="Q3924" s="293"/>
      <c r="R3924" s="316"/>
      <c r="S3924" s="355"/>
    </row>
    <row r="3925" spans="13:19" x14ac:dyDescent="0.25">
      <c r="M3925" s="514"/>
      <c r="Q3925" s="293"/>
      <c r="R3925" s="316"/>
      <c r="S3925" s="355"/>
    </row>
    <row r="3926" spans="13:19" x14ac:dyDescent="0.25">
      <c r="M3926" s="514"/>
      <c r="Q3926" s="293"/>
      <c r="R3926" s="316"/>
      <c r="S3926" s="355"/>
    </row>
    <row r="3927" spans="13:19" x14ac:dyDescent="0.25">
      <c r="M3927" s="514"/>
      <c r="Q3927" s="293"/>
      <c r="R3927" s="316"/>
      <c r="S3927" s="355"/>
    </row>
    <row r="3928" spans="13:19" x14ac:dyDescent="0.25">
      <c r="M3928" s="514"/>
      <c r="Q3928" s="293"/>
      <c r="R3928" s="316"/>
      <c r="S3928" s="355"/>
    </row>
    <row r="3929" spans="13:19" x14ac:dyDescent="0.25">
      <c r="M3929" s="514"/>
      <c r="Q3929" s="293"/>
      <c r="R3929" s="316"/>
      <c r="S3929" s="355"/>
    </row>
    <row r="3930" spans="13:19" x14ac:dyDescent="0.25">
      <c r="M3930" s="514"/>
      <c r="Q3930" s="293"/>
      <c r="R3930" s="316"/>
      <c r="S3930" s="355"/>
    </row>
    <row r="3931" spans="13:19" x14ac:dyDescent="0.25">
      <c r="M3931" s="514"/>
      <c r="Q3931" s="293"/>
      <c r="R3931" s="316"/>
      <c r="S3931" s="355"/>
    </row>
    <row r="3932" spans="13:19" x14ac:dyDescent="0.25">
      <c r="M3932" s="514"/>
      <c r="Q3932" s="293"/>
      <c r="R3932" s="316"/>
      <c r="S3932" s="355"/>
    </row>
    <row r="3933" spans="13:19" x14ac:dyDescent="0.25">
      <c r="M3933" s="514"/>
      <c r="Q3933" s="293"/>
      <c r="R3933" s="316"/>
      <c r="S3933" s="355"/>
    </row>
    <row r="3934" spans="13:19" x14ac:dyDescent="0.25">
      <c r="M3934" s="514"/>
      <c r="Q3934" s="293"/>
      <c r="R3934" s="316"/>
      <c r="S3934" s="355"/>
    </row>
    <row r="3935" spans="13:19" x14ac:dyDescent="0.25">
      <c r="M3935" s="514"/>
      <c r="Q3935" s="293"/>
      <c r="R3935" s="316"/>
      <c r="S3935" s="355"/>
    </row>
    <row r="3936" spans="13:19" x14ac:dyDescent="0.25">
      <c r="M3936" s="514"/>
      <c r="Q3936" s="293"/>
      <c r="R3936" s="316"/>
      <c r="S3936" s="355"/>
    </row>
    <row r="3937" spans="13:19" x14ac:dyDescent="0.25">
      <c r="M3937" s="514"/>
      <c r="Q3937" s="293"/>
      <c r="R3937" s="316"/>
      <c r="S3937" s="355"/>
    </row>
    <row r="3938" spans="13:19" x14ac:dyDescent="0.25">
      <c r="M3938" s="514"/>
      <c r="Q3938" s="293"/>
      <c r="R3938" s="316"/>
      <c r="S3938" s="355"/>
    </row>
    <row r="3939" spans="13:19" x14ac:dyDescent="0.25">
      <c r="M3939" s="514"/>
      <c r="Q3939" s="293"/>
      <c r="R3939" s="316"/>
      <c r="S3939" s="355"/>
    </row>
    <row r="3940" spans="13:19" x14ac:dyDescent="0.25">
      <c r="M3940" s="514"/>
      <c r="Q3940" s="293"/>
      <c r="R3940" s="316"/>
      <c r="S3940" s="355"/>
    </row>
    <row r="3941" spans="13:19" x14ac:dyDescent="0.25">
      <c r="M3941" s="514"/>
      <c r="Q3941" s="293"/>
      <c r="R3941" s="316"/>
      <c r="S3941" s="355"/>
    </row>
    <row r="3942" spans="13:19" x14ac:dyDescent="0.25">
      <c r="M3942" s="514"/>
      <c r="Q3942" s="293"/>
      <c r="R3942" s="316"/>
      <c r="S3942" s="355"/>
    </row>
    <row r="3943" spans="13:19" x14ac:dyDescent="0.25">
      <c r="M3943" s="514"/>
      <c r="Q3943" s="293"/>
      <c r="R3943" s="316"/>
      <c r="S3943" s="355"/>
    </row>
    <row r="3944" spans="13:19" x14ac:dyDescent="0.25">
      <c r="M3944" s="514"/>
      <c r="Q3944" s="293"/>
      <c r="R3944" s="316"/>
      <c r="S3944" s="355"/>
    </row>
    <row r="3945" spans="13:19" x14ac:dyDescent="0.25">
      <c r="M3945" s="514"/>
      <c r="Q3945" s="293"/>
      <c r="R3945" s="316"/>
      <c r="S3945" s="355"/>
    </row>
    <row r="3946" spans="13:19" x14ac:dyDescent="0.25">
      <c r="M3946" s="514"/>
      <c r="Q3946" s="293"/>
      <c r="R3946" s="316"/>
      <c r="S3946" s="355"/>
    </row>
    <row r="3947" spans="13:19" x14ac:dyDescent="0.25">
      <c r="M3947" s="514"/>
      <c r="Q3947" s="293"/>
      <c r="R3947" s="316"/>
      <c r="S3947" s="355"/>
    </row>
    <row r="3948" spans="13:19" x14ac:dyDescent="0.25">
      <c r="M3948" s="514"/>
      <c r="Q3948" s="293"/>
      <c r="R3948" s="316"/>
      <c r="S3948" s="355"/>
    </row>
    <row r="3949" spans="13:19" x14ac:dyDescent="0.25">
      <c r="M3949" s="514"/>
      <c r="Q3949" s="293"/>
      <c r="R3949" s="316"/>
      <c r="S3949" s="355"/>
    </row>
    <row r="3950" spans="13:19" x14ac:dyDescent="0.25">
      <c r="M3950" s="514"/>
      <c r="Q3950" s="293"/>
      <c r="R3950" s="316"/>
      <c r="S3950" s="355"/>
    </row>
    <row r="3951" spans="13:19" x14ac:dyDescent="0.25">
      <c r="M3951" s="514"/>
      <c r="Q3951" s="293"/>
      <c r="R3951" s="316"/>
      <c r="S3951" s="355"/>
    </row>
    <row r="3952" spans="13:19" x14ac:dyDescent="0.25">
      <c r="M3952" s="514"/>
      <c r="Q3952" s="293"/>
      <c r="R3952" s="316"/>
      <c r="S3952" s="355"/>
    </row>
    <row r="3953" spans="13:19" x14ac:dyDescent="0.25">
      <c r="M3953" s="514"/>
      <c r="Q3953" s="293"/>
      <c r="R3953" s="316"/>
      <c r="S3953" s="355"/>
    </row>
    <row r="3954" spans="13:19" x14ac:dyDescent="0.25">
      <c r="M3954" s="514"/>
      <c r="Q3954" s="293"/>
      <c r="R3954" s="316"/>
      <c r="S3954" s="355"/>
    </row>
    <row r="3955" spans="13:19" x14ac:dyDescent="0.25">
      <c r="M3955" s="514"/>
      <c r="Q3955" s="293"/>
      <c r="R3955" s="316"/>
      <c r="S3955" s="355"/>
    </row>
    <row r="3956" spans="13:19" x14ac:dyDescent="0.25">
      <c r="M3956" s="514"/>
      <c r="Q3956" s="293"/>
      <c r="R3956" s="316"/>
      <c r="S3956" s="355"/>
    </row>
    <row r="3957" spans="13:19" x14ac:dyDescent="0.25">
      <c r="M3957" s="514"/>
      <c r="Q3957" s="293"/>
      <c r="R3957" s="316"/>
      <c r="S3957" s="355"/>
    </row>
    <row r="3958" spans="13:19" x14ac:dyDescent="0.25">
      <c r="M3958" s="514"/>
      <c r="Q3958" s="293"/>
      <c r="R3958" s="316"/>
      <c r="S3958" s="355"/>
    </row>
    <row r="3959" spans="13:19" x14ac:dyDescent="0.25">
      <c r="M3959" s="514"/>
      <c r="Q3959" s="293"/>
      <c r="R3959" s="316"/>
      <c r="S3959" s="355"/>
    </row>
    <row r="3960" spans="13:19" x14ac:dyDescent="0.25">
      <c r="M3960" s="514"/>
      <c r="Q3960" s="293"/>
      <c r="R3960" s="316"/>
      <c r="S3960" s="355"/>
    </row>
    <row r="3961" spans="13:19" x14ac:dyDescent="0.25">
      <c r="M3961" s="514"/>
      <c r="Q3961" s="293"/>
      <c r="R3961" s="316"/>
      <c r="S3961" s="355"/>
    </row>
    <row r="3962" spans="13:19" x14ac:dyDescent="0.25">
      <c r="M3962" s="514"/>
      <c r="Q3962" s="293"/>
      <c r="R3962" s="316"/>
      <c r="S3962" s="355"/>
    </row>
    <row r="3963" spans="13:19" x14ac:dyDescent="0.25">
      <c r="M3963" s="514"/>
      <c r="Q3963" s="293"/>
      <c r="R3963" s="316"/>
      <c r="S3963" s="355"/>
    </row>
    <row r="3964" spans="13:19" x14ac:dyDescent="0.25">
      <c r="M3964" s="514"/>
      <c r="Q3964" s="293"/>
      <c r="R3964" s="316"/>
      <c r="S3964" s="355"/>
    </row>
    <row r="3965" spans="13:19" x14ac:dyDescent="0.25">
      <c r="M3965" s="514"/>
      <c r="Q3965" s="293"/>
      <c r="R3965" s="316"/>
      <c r="S3965" s="355"/>
    </row>
    <row r="3966" spans="13:19" x14ac:dyDescent="0.25">
      <c r="M3966" s="514"/>
      <c r="Q3966" s="293"/>
      <c r="R3966" s="316"/>
      <c r="S3966" s="355"/>
    </row>
    <row r="3967" spans="13:19" x14ac:dyDescent="0.25">
      <c r="M3967" s="514"/>
      <c r="Q3967" s="293"/>
      <c r="R3967" s="316"/>
      <c r="S3967" s="355"/>
    </row>
    <row r="3968" spans="13:19" x14ac:dyDescent="0.25">
      <c r="M3968" s="514"/>
      <c r="Q3968" s="293"/>
      <c r="R3968" s="316"/>
      <c r="S3968" s="355"/>
    </row>
    <row r="3969" spans="13:19" x14ac:dyDescent="0.25">
      <c r="M3969" s="514"/>
      <c r="Q3969" s="293"/>
      <c r="R3969" s="316"/>
      <c r="S3969" s="355"/>
    </row>
    <row r="3970" spans="13:19" x14ac:dyDescent="0.25">
      <c r="M3970" s="514"/>
      <c r="Q3970" s="293"/>
      <c r="R3970" s="316"/>
      <c r="S3970" s="355"/>
    </row>
    <row r="3971" spans="13:19" x14ac:dyDescent="0.25">
      <c r="M3971" s="514"/>
      <c r="Q3971" s="293"/>
      <c r="R3971" s="316"/>
      <c r="S3971" s="355"/>
    </row>
    <row r="3972" spans="13:19" x14ac:dyDescent="0.25">
      <c r="M3972" s="514"/>
      <c r="Q3972" s="293"/>
      <c r="R3972" s="316"/>
      <c r="S3972" s="355"/>
    </row>
    <row r="3973" spans="13:19" x14ac:dyDescent="0.25">
      <c r="M3973" s="514"/>
      <c r="Q3973" s="293"/>
      <c r="R3973" s="316"/>
      <c r="S3973" s="355"/>
    </row>
    <row r="3974" spans="13:19" x14ac:dyDescent="0.25">
      <c r="M3974" s="514"/>
      <c r="Q3974" s="293"/>
      <c r="R3974" s="316"/>
      <c r="S3974" s="355"/>
    </row>
    <row r="3975" spans="13:19" x14ac:dyDescent="0.25">
      <c r="M3975" s="514"/>
      <c r="Q3975" s="293"/>
      <c r="R3975" s="316"/>
      <c r="S3975" s="355"/>
    </row>
    <row r="3976" spans="13:19" x14ac:dyDescent="0.25">
      <c r="M3976" s="514"/>
      <c r="Q3976" s="293"/>
      <c r="R3976" s="316"/>
      <c r="S3976" s="355"/>
    </row>
    <row r="3977" spans="13:19" x14ac:dyDescent="0.25">
      <c r="M3977" s="514"/>
      <c r="Q3977" s="293"/>
      <c r="R3977" s="316"/>
      <c r="S3977" s="355"/>
    </row>
    <row r="3978" spans="13:19" x14ac:dyDescent="0.25">
      <c r="M3978" s="514"/>
      <c r="Q3978" s="293"/>
      <c r="R3978" s="316"/>
      <c r="S3978" s="355"/>
    </row>
    <row r="3979" spans="13:19" x14ac:dyDescent="0.25">
      <c r="M3979" s="514"/>
      <c r="Q3979" s="293"/>
      <c r="R3979" s="316"/>
      <c r="S3979" s="355"/>
    </row>
    <row r="3980" spans="13:19" x14ac:dyDescent="0.25">
      <c r="M3980" s="514"/>
      <c r="Q3980" s="293"/>
      <c r="R3980" s="316"/>
      <c r="S3980" s="355"/>
    </row>
    <row r="3981" spans="13:19" x14ac:dyDescent="0.25">
      <c r="M3981" s="514"/>
      <c r="Q3981" s="293"/>
      <c r="R3981" s="316"/>
      <c r="S3981" s="355"/>
    </row>
    <row r="3982" spans="13:19" x14ac:dyDescent="0.25">
      <c r="M3982" s="514"/>
      <c r="Q3982" s="293"/>
      <c r="R3982" s="316"/>
      <c r="S3982" s="355"/>
    </row>
    <row r="3983" spans="13:19" x14ac:dyDescent="0.25">
      <c r="M3983" s="514"/>
      <c r="Q3983" s="293"/>
      <c r="R3983" s="316"/>
      <c r="S3983" s="355"/>
    </row>
    <row r="3984" spans="13:19" x14ac:dyDescent="0.25">
      <c r="M3984" s="514"/>
      <c r="Q3984" s="293"/>
      <c r="R3984" s="316"/>
      <c r="S3984" s="355"/>
    </row>
    <row r="3985" spans="13:19" x14ac:dyDescent="0.25">
      <c r="M3985" s="514"/>
      <c r="Q3985" s="293"/>
      <c r="R3985" s="316"/>
      <c r="S3985" s="355"/>
    </row>
    <row r="3986" spans="13:19" x14ac:dyDescent="0.25">
      <c r="M3986" s="514"/>
      <c r="Q3986" s="293"/>
      <c r="R3986" s="316"/>
      <c r="S3986" s="355"/>
    </row>
    <row r="3987" spans="13:19" x14ac:dyDescent="0.25">
      <c r="M3987" s="514"/>
      <c r="Q3987" s="293"/>
      <c r="R3987" s="316"/>
      <c r="S3987" s="355"/>
    </row>
    <row r="3988" spans="13:19" x14ac:dyDescent="0.25">
      <c r="M3988" s="514"/>
      <c r="Q3988" s="293"/>
      <c r="R3988" s="316"/>
      <c r="S3988" s="355"/>
    </row>
    <row r="3989" spans="13:19" x14ac:dyDescent="0.25">
      <c r="M3989" s="514"/>
      <c r="Q3989" s="293"/>
      <c r="R3989" s="316"/>
      <c r="S3989" s="355"/>
    </row>
    <row r="3990" spans="13:19" x14ac:dyDescent="0.25">
      <c r="M3990" s="514"/>
      <c r="Q3990" s="293"/>
      <c r="R3990" s="316"/>
      <c r="S3990" s="355"/>
    </row>
    <row r="3991" spans="13:19" x14ac:dyDescent="0.25">
      <c r="M3991" s="514"/>
      <c r="Q3991" s="293"/>
      <c r="R3991" s="316"/>
      <c r="S3991" s="355"/>
    </row>
    <row r="3992" spans="13:19" x14ac:dyDescent="0.25">
      <c r="M3992" s="514"/>
      <c r="Q3992" s="293"/>
      <c r="R3992" s="316"/>
      <c r="S3992" s="355"/>
    </row>
    <row r="3993" spans="13:19" x14ac:dyDescent="0.25">
      <c r="M3993" s="514"/>
      <c r="Q3993" s="293"/>
      <c r="R3993" s="316"/>
      <c r="S3993" s="355"/>
    </row>
    <row r="3994" spans="13:19" x14ac:dyDescent="0.25">
      <c r="M3994" s="514"/>
      <c r="Q3994" s="293"/>
      <c r="R3994" s="316"/>
      <c r="S3994" s="355"/>
    </row>
    <row r="3995" spans="13:19" x14ac:dyDescent="0.25">
      <c r="M3995" s="514"/>
      <c r="Q3995" s="293"/>
      <c r="R3995" s="316"/>
      <c r="S3995" s="355"/>
    </row>
    <row r="3996" spans="13:19" x14ac:dyDescent="0.25">
      <c r="M3996" s="514"/>
      <c r="Q3996" s="293"/>
      <c r="R3996" s="316"/>
      <c r="S3996" s="355"/>
    </row>
    <row r="3997" spans="13:19" x14ac:dyDescent="0.25">
      <c r="M3997" s="514"/>
      <c r="Q3997" s="293"/>
      <c r="R3997" s="316"/>
      <c r="S3997" s="355"/>
    </row>
    <row r="3998" spans="13:19" x14ac:dyDescent="0.25">
      <c r="M3998" s="514"/>
      <c r="Q3998" s="293"/>
      <c r="R3998" s="316"/>
      <c r="S3998" s="355"/>
    </row>
    <row r="3999" spans="13:19" x14ac:dyDescent="0.25">
      <c r="M3999" s="514"/>
      <c r="Q3999" s="293"/>
      <c r="R3999" s="316"/>
      <c r="S3999" s="355"/>
    </row>
    <row r="4000" spans="13:19" x14ac:dyDescent="0.25">
      <c r="M4000" s="514"/>
      <c r="Q4000" s="293"/>
      <c r="R4000" s="316"/>
      <c r="S4000" s="355"/>
    </row>
    <row r="4001" spans="13:19" x14ac:dyDescent="0.25">
      <c r="M4001" s="514"/>
      <c r="Q4001" s="293"/>
      <c r="R4001" s="316"/>
      <c r="S4001" s="355"/>
    </row>
    <row r="4002" spans="13:19" x14ac:dyDescent="0.25">
      <c r="M4002" s="514"/>
      <c r="Q4002" s="293"/>
      <c r="R4002" s="316"/>
      <c r="S4002" s="355"/>
    </row>
    <row r="4003" spans="13:19" x14ac:dyDescent="0.25">
      <c r="M4003" s="514"/>
      <c r="Q4003" s="293"/>
      <c r="R4003" s="316"/>
      <c r="S4003" s="355"/>
    </row>
    <row r="4004" spans="13:19" x14ac:dyDescent="0.25">
      <c r="M4004" s="514"/>
      <c r="Q4004" s="293"/>
      <c r="R4004" s="316"/>
      <c r="S4004" s="355"/>
    </row>
    <row r="4005" spans="13:19" x14ac:dyDescent="0.25">
      <c r="M4005" s="514"/>
      <c r="Q4005" s="293"/>
      <c r="R4005" s="316"/>
      <c r="S4005" s="355"/>
    </row>
    <row r="4006" spans="13:19" x14ac:dyDescent="0.25">
      <c r="M4006" s="514"/>
      <c r="Q4006" s="293"/>
      <c r="R4006" s="316"/>
      <c r="S4006" s="355"/>
    </row>
    <row r="4007" spans="13:19" x14ac:dyDescent="0.25">
      <c r="M4007" s="514"/>
      <c r="Q4007" s="293"/>
      <c r="R4007" s="316"/>
      <c r="S4007" s="355"/>
    </row>
    <row r="4008" spans="13:19" x14ac:dyDescent="0.25">
      <c r="M4008" s="514"/>
      <c r="Q4008" s="293"/>
      <c r="R4008" s="316"/>
      <c r="S4008" s="355"/>
    </row>
    <row r="4009" spans="13:19" x14ac:dyDescent="0.25">
      <c r="M4009" s="514"/>
      <c r="Q4009" s="293"/>
      <c r="R4009" s="316"/>
      <c r="S4009" s="355"/>
    </row>
    <row r="4010" spans="13:19" x14ac:dyDescent="0.25">
      <c r="M4010" s="514"/>
      <c r="Q4010" s="293"/>
      <c r="R4010" s="316"/>
      <c r="S4010" s="355"/>
    </row>
    <row r="4011" spans="13:19" x14ac:dyDescent="0.25">
      <c r="M4011" s="514"/>
      <c r="Q4011" s="293"/>
      <c r="R4011" s="316"/>
      <c r="S4011" s="355"/>
    </row>
    <row r="4012" spans="13:19" x14ac:dyDescent="0.25">
      <c r="M4012" s="514"/>
      <c r="Q4012" s="293"/>
      <c r="R4012" s="316"/>
      <c r="S4012" s="355"/>
    </row>
    <row r="4013" spans="13:19" x14ac:dyDescent="0.25">
      <c r="M4013" s="514"/>
      <c r="Q4013" s="293"/>
      <c r="R4013" s="316"/>
      <c r="S4013" s="355"/>
    </row>
    <row r="4014" spans="13:19" x14ac:dyDescent="0.25">
      <c r="M4014" s="514"/>
      <c r="Q4014" s="293"/>
      <c r="R4014" s="316"/>
      <c r="S4014" s="355"/>
    </row>
    <row r="4015" spans="13:19" x14ac:dyDescent="0.25">
      <c r="M4015" s="514"/>
      <c r="Q4015" s="293"/>
      <c r="R4015" s="316"/>
      <c r="S4015" s="355"/>
    </row>
    <row r="4016" spans="13:19" x14ac:dyDescent="0.25">
      <c r="M4016" s="514"/>
      <c r="Q4016" s="293"/>
      <c r="R4016" s="316"/>
      <c r="S4016" s="355"/>
    </row>
    <row r="4017" spans="13:19" x14ac:dyDescent="0.25">
      <c r="M4017" s="514"/>
      <c r="Q4017" s="293"/>
      <c r="R4017" s="316"/>
      <c r="S4017" s="355"/>
    </row>
    <row r="4018" spans="13:19" x14ac:dyDescent="0.25">
      <c r="M4018" s="514"/>
      <c r="Q4018" s="293"/>
      <c r="R4018" s="316"/>
      <c r="S4018" s="355"/>
    </row>
    <row r="4019" spans="13:19" x14ac:dyDescent="0.25">
      <c r="M4019" s="514"/>
      <c r="Q4019" s="293"/>
      <c r="R4019" s="316"/>
      <c r="S4019" s="355"/>
    </row>
    <row r="4020" spans="13:19" x14ac:dyDescent="0.25">
      <c r="M4020" s="514"/>
      <c r="Q4020" s="293"/>
      <c r="R4020" s="316"/>
      <c r="S4020" s="355"/>
    </row>
    <row r="4021" spans="13:19" x14ac:dyDescent="0.25">
      <c r="M4021" s="514"/>
      <c r="Q4021" s="293"/>
      <c r="R4021" s="316"/>
      <c r="S4021" s="355"/>
    </row>
    <row r="4022" spans="13:19" x14ac:dyDescent="0.25">
      <c r="M4022" s="514"/>
      <c r="Q4022" s="293"/>
      <c r="R4022" s="316"/>
      <c r="S4022" s="355"/>
    </row>
    <row r="4023" spans="13:19" x14ac:dyDescent="0.25">
      <c r="M4023" s="514"/>
      <c r="Q4023" s="293"/>
      <c r="R4023" s="316"/>
      <c r="S4023" s="355"/>
    </row>
    <row r="4024" spans="13:19" x14ac:dyDescent="0.25">
      <c r="M4024" s="514"/>
      <c r="Q4024" s="293"/>
      <c r="R4024" s="316"/>
      <c r="S4024" s="355"/>
    </row>
    <row r="4025" spans="13:19" x14ac:dyDescent="0.25">
      <c r="M4025" s="514"/>
      <c r="Q4025" s="293"/>
      <c r="R4025" s="316"/>
      <c r="S4025" s="355"/>
    </row>
    <row r="4026" spans="13:19" x14ac:dyDescent="0.25">
      <c r="M4026" s="514"/>
      <c r="Q4026" s="293"/>
      <c r="R4026" s="316"/>
      <c r="S4026" s="355"/>
    </row>
    <row r="4027" spans="13:19" x14ac:dyDescent="0.25">
      <c r="M4027" s="514"/>
      <c r="Q4027" s="293"/>
      <c r="R4027" s="316"/>
      <c r="S4027" s="355"/>
    </row>
    <row r="4028" spans="13:19" x14ac:dyDescent="0.25">
      <c r="M4028" s="514"/>
      <c r="Q4028" s="293"/>
      <c r="R4028" s="316"/>
      <c r="S4028" s="355"/>
    </row>
    <row r="4029" spans="13:19" x14ac:dyDescent="0.25">
      <c r="M4029" s="514"/>
      <c r="Q4029" s="293"/>
      <c r="R4029" s="316"/>
      <c r="S4029" s="355"/>
    </row>
    <row r="4030" spans="13:19" x14ac:dyDescent="0.25">
      <c r="M4030" s="514"/>
      <c r="Q4030" s="293"/>
      <c r="R4030" s="316"/>
      <c r="S4030" s="355"/>
    </row>
    <row r="4031" spans="13:19" x14ac:dyDescent="0.25">
      <c r="M4031" s="514"/>
      <c r="Q4031" s="293"/>
      <c r="R4031" s="316"/>
      <c r="S4031" s="355"/>
    </row>
    <row r="4032" spans="13:19" x14ac:dyDescent="0.25">
      <c r="M4032" s="514"/>
      <c r="Q4032" s="293"/>
      <c r="R4032" s="316"/>
      <c r="S4032" s="355"/>
    </row>
    <row r="4033" spans="13:19" x14ac:dyDescent="0.25">
      <c r="M4033" s="514"/>
      <c r="Q4033" s="293"/>
      <c r="R4033" s="316"/>
      <c r="S4033" s="355"/>
    </row>
    <row r="4034" spans="13:19" x14ac:dyDescent="0.25">
      <c r="M4034" s="514"/>
      <c r="Q4034" s="293"/>
      <c r="R4034" s="316"/>
      <c r="S4034" s="355"/>
    </row>
    <row r="4035" spans="13:19" x14ac:dyDescent="0.25">
      <c r="M4035" s="514"/>
      <c r="Q4035" s="293"/>
      <c r="R4035" s="316"/>
      <c r="S4035" s="355"/>
    </row>
    <row r="4036" spans="13:19" x14ac:dyDescent="0.25">
      <c r="M4036" s="514"/>
      <c r="Q4036" s="293"/>
      <c r="R4036" s="316"/>
      <c r="S4036" s="355"/>
    </row>
    <row r="4037" spans="13:19" x14ac:dyDescent="0.25">
      <c r="M4037" s="514"/>
      <c r="Q4037" s="293"/>
      <c r="R4037" s="316"/>
      <c r="S4037" s="355"/>
    </row>
    <row r="4038" spans="13:19" x14ac:dyDescent="0.25">
      <c r="M4038" s="514"/>
      <c r="Q4038" s="293"/>
      <c r="R4038" s="316"/>
      <c r="S4038" s="355"/>
    </row>
    <row r="4039" spans="13:19" x14ac:dyDescent="0.25">
      <c r="M4039" s="514"/>
      <c r="Q4039" s="293"/>
      <c r="R4039" s="316"/>
      <c r="S4039" s="355"/>
    </row>
    <row r="4040" spans="13:19" x14ac:dyDescent="0.25">
      <c r="M4040" s="514"/>
      <c r="Q4040" s="293"/>
      <c r="R4040" s="316"/>
      <c r="S4040" s="355"/>
    </row>
    <row r="4041" spans="13:19" x14ac:dyDescent="0.25">
      <c r="M4041" s="514"/>
      <c r="Q4041" s="293"/>
      <c r="R4041" s="316"/>
      <c r="S4041" s="355"/>
    </row>
    <row r="4042" spans="13:19" x14ac:dyDescent="0.25">
      <c r="M4042" s="514"/>
      <c r="Q4042" s="293"/>
      <c r="R4042" s="316"/>
      <c r="S4042" s="355"/>
    </row>
    <row r="4043" spans="13:19" x14ac:dyDescent="0.25">
      <c r="M4043" s="514"/>
      <c r="Q4043" s="293"/>
      <c r="R4043" s="316"/>
      <c r="S4043" s="355"/>
    </row>
    <row r="4044" spans="13:19" x14ac:dyDescent="0.25">
      <c r="M4044" s="514"/>
      <c r="Q4044" s="293"/>
      <c r="R4044" s="316"/>
      <c r="S4044" s="355"/>
    </row>
    <row r="4045" spans="13:19" x14ac:dyDescent="0.25">
      <c r="M4045" s="514"/>
      <c r="Q4045" s="293"/>
      <c r="R4045" s="316"/>
      <c r="S4045" s="355"/>
    </row>
    <row r="4046" spans="13:19" x14ac:dyDescent="0.25">
      <c r="M4046" s="514"/>
      <c r="Q4046" s="293"/>
      <c r="R4046" s="316"/>
      <c r="S4046" s="355"/>
    </row>
    <row r="4047" spans="13:19" x14ac:dyDescent="0.25">
      <c r="M4047" s="514"/>
      <c r="Q4047" s="293"/>
      <c r="R4047" s="316"/>
      <c r="S4047" s="355"/>
    </row>
    <row r="4048" spans="13:19" x14ac:dyDescent="0.25">
      <c r="M4048" s="514"/>
      <c r="Q4048" s="293"/>
      <c r="R4048" s="316"/>
      <c r="S4048" s="355"/>
    </row>
    <row r="4049" spans="13:19" x14ac:dyDescent="0.25">
      <c r="M4049" s="514"/>
      <c r="Q4049" s="293"/>
      <c r="R4049" s="316"/>
      <c r="S4049" s="355"/>
    </row>
    <row r="4050" spans="13:19" x14ac:dyDescent="0.25">
      <c r="M4050" s="514"/>
      <c r="Q4050" s="293"/>
      <c r="R4050" s="316"/>
      <c r="S4050" s="355"/>
    </row>
    <row r="4051" spans="13:19" x14ac:dyDescent="0.25">
      <c r="M4051" s="514"/>
      <c r="Q4051" s="293"/>
      <c r="R4051" s="316"/>
      <c r="S4051" s="355"/>
    </row>
    <row r="4052" spans="13:19" x14ac:dyDescent="0.25">
      <c r="M4052" s="514"/>
      <c r="Q4052" s="293"/>
      <c r="R4052" s="316"/>
      <c r="S4052" s="355"/>
    </row>
    <row r="4053" spans="13:19" x14ac:dyDescent="0.25">
      <c r="M4053" s="514"/>
      <c r="Q4053" s="293"/>
      <c r="R4053" s="316"/>
      <c r="S4053" s="355"/>
    </row>
    <row r="4054" spans="13:19" x14ac:dyDescent="0.25">
      <c r="M4054" s="514"/>
      <c r="Q4054" s="293"/>
      <c r="R4054" s="316"/>
      <c r="S4054" s="355"/>
    </row>
    <row r="4055" spans="13:19" x14ac:dyDescent="0.25">
      <c r="M4055" s="514"/>
      <c r="Q4055" s="293"/>
      <c r="R4055" s="316"/>
      <c r="S4055" s="355"/>
    </row>
    <row r="4056" spans="13:19" x14ac:dyDescent="0.25">
      <c r="M4056" s="514"/>
      <c r="Q4056" s="293"/>
      <c r="R4056" s="316"/>
      <c r="S4056" s="355"/>
    </row>
    <row r="4057" spans="13:19" x14ac:dyDescent="0.25">
      <c r="M4057" s="514"/>
      <c r="Q4057" s="293"/>
      <c r="R4057" s="316"/>
      <c r="S4057" s="355"/>
    </row>
    <row r="4058" spans="13:19" x14ac:dyDescent="0.25">
      <c r="M4058" s="514"/>
      <c r="Q4058" s="293"/>
      <c r="R4058" s="316"/>
      <c r="S4058" s="355"/>
    </row>
    <row r="4059" spans="13:19" x14ac:dyDescent="0.25">
      <c r="M4059" s="514"/>
      <c r="Q4059" s="293"/>
      <c r="R4059" s="316"/>
      <c r="S4059" s="355"/>
    </row>
    <row r="4060" spans="13:19" x14ac:dyDescent="0.25">
      <c r="M4060" s="514"/>
      <c r="Q4060" s="293"/>
      <c r="R4060" s="316"/>
      <c r="S4060" s="355"/>
    </row>
    <row r="4061" spans="13:19" x14ac:dyDescent="0.25">
      <c r="M4061" s="514"/>
      <c r="Q4061" s="293"/>
      <c r="R4061" s="316"/>
      <c r="S4061" s="355"/>
    </row>
    <row r="4062" spans="13:19" x14ac:dyDescent="0.25">
      <c r="M4062" s="514"/>
      <c r="Q4062" s="293"/>
      <c r="R4062" s="316"/>
      <c r="S4062" s="355"/>
    </row>
    <row r="4063" spans="13:19" x14ac:dyDescent="0.25">
      <c r="M4063" s="514"/>
      <c r="Q4063" s="293"/>
      <c r="R4063" s="316"/>
      <c r="S4063" s="355"/>
    </row>
    <row r="4064" spans="13:19" x14ac:dyDescent="0.25">
      <c r="M4064" s="514"/>
      <c r="Q4064" s="293"/>
      <c r="R4064" s="316"/>
      <c r="S4064" s="355"/>
    </row>
    <row r="4065" spans="13:19" x14ac:dyDescent="0.25">
      <c r="M4065" s="514"/>
      <c r="Q4065" s="293"/>
      <c r="R4065" s="316"/>
      <c r="S4065" s="355"/>
    </row>
    <row r="4066" spans="13:19" x14ac:dyDescent="0.25">
      <c r="M4066" s="514"/>
      <c r="Q4066" s="293"/>
      <c r="R4066" s="316"/>
      <c r="S4066" s="355"/>
    </row>
    <row r="4067" spans="13:19" x14ac:dyDescent="0.25">
      <c r="M4067" s="514"/>
      <c r="Q4067" s="293"/>
      <c r="R4067" s="316"/>
      <c r="S4067" s="355"/>
    </row>
    <row r="4068" spans="13:19" x14ac:dyDescent="0.25">
      <c r="M4068" s="514"/>
      <c r="Q4068" s="293"/>
      <c r="R4068" s="316"/>
      <c r="S4068" s="355"/>
    </row>
    <row r="4069" spans="13:19" x14ac:dyDescent="0.25">
      <c r="M4069" s="514"/>
      <c r="Q4069" s="293"/>
      <c r="R4069" s="316"/>
      <c r="S4069" s="355"/>
    </row>
    <row r="4070" spans="13:19" x14ac:dyDescent="0.25">
      <c r="M4070" s="514"/>
      <c r="Q4070" s="293"/>
      <c r="R4070" s="316"/>
      <c r="S4070" s="355"/>
    </row>
    <row r="4071" spans="13:19" x14ac:dyDescent="0.25">
      <c r="M4071" s="514"/>
      <c r="Q4071" s="293"/>
      <c r="R4071" s="316"/>
      <c r="S4071" s="355"/>
    </row>
    <row r="4072" spans="13:19" x14ac:dyDescent="0.25">
      <c r="M4072" s="514"/>
      <c r="Q4072" s="293"/>
      <c r="R4072" s="316"/>
      <c r="S4072" s="355"/>
    </row>
    <row r="4073" spans="13:19" x14ac:dyDescent="0.25">
      <c r="M4073" s="514"/>
      <c r="Q4073" s="293"/>
      <c r="R4073" s="316"/>
      <c r="S4073" s="355"/>
    </row>
    <row r="4074" spans="13:19" x14ac:dyDescent="0.25">
      <c r="M4074" s="514"/>
      <c r="Q4074" s="293"/>
      <c r="R4074" s="316"/>
      <c r="S4074" s="355"/>
    </row>
    <row r="4075" spans="13:19" x14ac:dyDescent="0.25">
      <c r="M4075" s="514"/>
      <c r="Q4075" s="293"/>
      <c r="R4075" s="316"/>
      <c r="S4075" s="355"/>
    </row>
    <row r="4076" spans="13:19" x14ac:dyDescent="0.25">
      <c r="M4076" s="514"/>
      <c r="Q4076" s="293"/>
      <c r="R4076" s="316"/>
      <c r="S4076" s="355"/>
    </row>
    <row r="4077" spans="13:19" x14ac:dyDescent="0.25">
      <c r="M4077" s="514"/>
      <c r="Q4077" s="293"/>
      <c r="R4077" s="316"/>
      <c r="S4077" s="355"/>
    </row>
    <row r="4078" spans="13:19" x14ac:dyDescent="0.25">
      <c r="M4078" s="514"/>
      <c r="Q4078" s="293"/>
      <c r="R4078" s="316"/>
      <c r="S4078" s="355"/>
    </row>
    <row r="4079" spans="13:19" x14ac:dyDescent="0.25">
      <c r="M4079" s="514"/>
      <c r="Q4079" s="293"/>
      <c r="R4079" s="316"/>
      <c r="S4079" s="355"/>
    </row>
    <row r="4080" spans="13:19" x14ac:dyDescent="0.25">
      <c r="M4080" s="514"/>
      <c r="Q4080" s="293"/>
      <c r="R4080" s="316"/>
      <c r="S4080" s="355"/>
    </row>
    <row r="4081" spans="13:19" x14ac:dyDescent="0.25">
      <c r="M4081" s="514"/>
      <c r="Q4081" s="293"/>
      <c r="R4081" s="316"/>
      <c r="S4081" s="355"/>
    </row>
    <row r="4082" spans="13:19" x14ac:dyDescent="0.25">
      <c r="M4082" s="514"/>
      <c r="Q4082" s="293"/>
      <c r="R4082" s="316"/>
      <c r="S4082" s="355"/>
    </row>
    <row r="4083" spans="13:19" x14ac:dyDescent="0.25">
      <c r="M4083" s="514"/>
      <c r="Q4083" s="293"/>
      <c r="R4083" s="316"/>
      <c r="S4083" s="355"/>
    </row>
    <row r="4084" spans="13:19" x14ac:dyDescent="0.25">
      <c r="M4084" s="514"/>
      <c r="Q4084" s="293"/>
      <c r="R4084" s="316"/>
      <c r="S4084" s="355"/>
    </row>
    <row r="4085" spans="13:19" x14ac:dyDescent="0.25">
      <c r="M4085" s="514"/>
      <c r="Q4085" s="293"/>
      <c r="R4085" s="316"/>
      <c r="S4085" s="355"/>
    </row>
    <row r="4086" spans="13:19" x14ac:dyDescent="0.25">
      <c r="M4086" s="514"/>
      <c r="Q4086" s="293"/>
      <c r="R4086" s="316"/>
      <c r="S4086" s="355"/>
    </row>
    <row r="4087" spans="13:19" x14ac:dyDescent="0.25">
      <c r="M4087" s="514"/>
      <c r="Q4087" s="293"/>
      <c r="R4087" s="316"/>
      <c r="S4087" s="355"/>
    </row>
    <row r="4088" spans="13:19" x14ac:dyDescent="0.25">
      <c r="M4088" s="514"/>
      <c r="Q4088" s="293"/>
      <c r="R4088" s="316"/>
      <c r="S4088" s="355"/>
    </row>
    <row r="4089" spans="13:19" x14ac:dyDescent="0.25">
      <c r="M4089" s="514"/>
      <c r="Q4089" s="293"/>
      <c r="R4089" s="316"/>
      <c r="S4089" s="355"/>
    </row>
    <row r="4090" spans="13:19" x14ac:dyDescent="0.25">
      <c r="M4090" s="514"/>
      <c r="Q4090" s="293"/>
      <c r="R4090" s="316"/>
      <c r="S4090" s="355"/>
    </row>
    <row r="4091" spans="13:19" x14ac:dyDescent="0.25">
      <c r="M4091" s="514"/>
      <c r="Q4091" s="293"/>
      <c r="R4091" s="316"/>
      <c r="S4091" s="355"/>
    </row>
    <row r="4092" spans="13:19" x14ac:dyDescent="0.25">
      <c r="M4092" s="514"/>
      <c r="Q4092" s="293"/>
      <c r="R4092" s="316"/>
      <c r="S4092" s="355"/>
    </row>
    <row r="4093" spans="13:19" x14ac:dyDescent="0.25">
      <c r="M4093" s="514"/>
      <c r="Q4093" s="293"/>
      <c r="R4093" s="316"/>
      <c r="S4093" s="355"/>
    </row>
    <row r="4094" spans="13:19" x14ac:dyDescent="0.25">
      <c r="M4094" s="514"/>
      <c r="Q4094" s="293"/>
      <c r="R4094" s="316"/>
      <c r="S4094" s="355"/>
    </row>
    <row r="4095" spans="13:19" x14ac:dyDescent="0.25">
      <c r="M4095" s="514"/>
      <c r="Q4095" s="293"/>
      <c r="R4095" s="316"/>
      <c r="S4095" s="355"/>
    </row>
    <row r="4096" spans="13:19" x14ac:dyDescent="0.25">
      <c r="M4096" s="514"/>
      <c r="Q4096" s="293"/>
      <c r="R4096" s="316"/>
      <c r="S4096" s="355"/>
    </row>
    <row r="4097" spans="13:19" x14ac:dyDescent="0.25">
      <c r="M4097" s="514"/>
      <c r="Q4097" s="293"/>
      <c r="R4097" s="316"/>
      <c r="S4097" s="355"/>
    </row>
    <row r="4098" spans="13:19" x14ac:dyDescent="0.25">
      <c r="M4098" s="514"/>
      <c r="Q4098" s="293"/>
      <c r="R4098" s="316"/>
      <c r="S4098" s="355"/>
    </row>
    <row r="4099" spans="13:19" x14ac:dyDescent="0.25">
      <c r="M4099" s="514"/>
      <c r="Q4099" s="293"/>
      <c r="R4099" s="316"/>
      <c r="S4099" s="355"/>
    </row>
    <row r="4100" spans="13:19" x14ac:dyDescent="0.25">
      <c r="M4100" s="514"/>
      <c r="Q4100" s="293"/>
      <c r="R4100" s="316"/>
      <c r="S4100" s="355"/>
    </row>
    <row r="4101" spans="13:19" x14ac:dyDescent="0.25">
      <c r="M4101" s="514"/>
      <c r="Q4101" s="293"/>
      <c r="R4101" s="316"/>
      <c r="S4101" s="355"/>
    </row>
    <row r="4102" spans="13:19" x14ac:dyDescent="0.25">
      <c r="M4102" s="514"/>
      <c r="Q4102" s="293"/>
      <c r="R4102" s="316"/>
      <c r="S4102" s="355"/>
    </row>
    <row r="4103" spans="13:19" x14ac:dyDescent="0.25">
      <c r="M4103" s="514"/>
      <c r="Q4103" s="293"/>
      <c r="R4103" s="316"/>
      <c r="S4103" s="355"/>
    </row>
    <row r="4104" spans="13:19" x14ac:dyDescent="0.25">
      <c r="M4104" s="514"/>
      <c r="Q4104" s="293"/>
      <c r="R4104" s="316"/>
      <c r="S4104" s="355"/>
    </row>
    <row r="4105" spans="13:19" x14ac:dyDescent="0.25">
      <c r="M4105" s="514"/>
      <c r="Q4105" s="293"/>
      <c r="R4105" s="316"/>
      <c r="S4105" s="355"/>
    </row>
    <row r="4106" spans="13:19" x14ac:dyDescent="0.25">
      <c r="M4106" s="514"/>
      <c r="Q4106" s="293"/>
      <c r="R4106" s="316"/>
      <c r="S4106" s="355"/>
    </row>
    <row r="4107" spans="13:19" x14ac:dyDescent="0.25">
      <c r="M4107" s="514"/>
      <c r="Q4107" s="293"/>
      <c r="R4107" s="316"/>
      <c r="S4107" s="355"/>
    </row>
    <row r="4108" spans="13:19" x14ac:dyDescent="0.25">
      <c r="M4108" s="514"/>
      <c r="Q4108" s="293"/>
      <c r="R4108" s="316"/>
      <c r="S4108" s="355"/>
    </row>
    <row r="4109" spans="13:19" x14ac:dyDescent="0.25">
      <c r="M4109" s="514"/>
      <c r="Q4109" s="293"/>
      <c r="R4109" s="316"/>
      <c r="S4109" s="355"/>
    </row>
    <row r="4110" spans="13:19" x14ac:dyDescent="0.25">
      <c r="M4110" s="514"/>
      <c r="Q4110" s="293"/>
      <c r="R4110" s="316"/>
      <c r="S4110" s="355"/>
    </row>
    <row r="4111" spans="13:19" x14ac:dyDescent="0.25">
      <c r="M4111" s="514"/>
      <c r="Q4111" s="293"/>
      <c r="R4111" s="316"/>
      <c r="S4111" s="355"/>
    </row>
    <row r="4112" spans="13:19" x14ac:dyDescent="0.25">
      <c r="M4112" s="514"/>
      <c r="Q4112" s="293"/>
      <c r="R4112" s="316"/>
      <c r="S4112" s="355"/>
    </row>
    <row r="4113" spans="13:19" x14ac:dyDescent="0.25">
      <c r="M4113" s="514"/>
      <c r="Q4113" s="293"/>
      <c r="R4113" s="316"/>
      <c r="S4113" s="355"/>
    </row>
    <row r="4114" spans="13:19" x14ac:dyDescent="0.25">
      <c r="M4114" s="514"/>
      <c r="Q4114" s="293"/>
      <c r="R4114" s="316"/>
      <c r="S4114" s="355"/>
    </row>
    <row r="4115" spans="13:19" x14ac:dyDescent="0.25">
      <c r="M4115" s="514"/>
      <c r="Q4115" s="293"/>
      <c r="R4115" s="316"/>
      <c r="S4115" s="355"/>
    </row>
    <row r="4116" spans="13:19" x14ac:dyDescent="0.25">
      <c r="M4116" s="514"/>
      <c r="Q4116" s="293"/>
      <c r="R4116" s="316"/>
      <c r="S4116" s="355"/>
    </row>
    <row r="4117" spans="13:19" x14ac:dyDescent="0.25">
      <c r="M4117" s="514"/>
      <c r="Q4117" s="293"/>
      <c r="R4117" s="316"/>
      <c r="S4117" s="355"/>
    </row>
    <row r="4118" spans="13:19" x14ac:dyDescent="0.25">
      <c r="M4118" s="514"/>
      <c r="Q4118" s="293"/>
      <c r="R4118" s="316"/>
      <c r="S4118" s="355"/>
    </row>
    <row r="4119" spans="13:19" x14ac:dyDescent="0.25">
      <c r="M4119" s="514"/>
      <c r="Q4119" s="293"/>
      <c r="R4119" s="316"/>
      <c r="S4119" s="355"/>
    </row>
    <row r="4120" spans="13:19" x14ac:dyDescent="0.25">
      <c r="M4120" s="514"/>
      <c r="Q4120" s="293"/>
      <c r="R4120" s="316"/>
      <c r="S4120" s="355"/>
    </row>
    <row r="4121" spans="13:19" x14ac:dyDescent="0.25">
      <c r="M4121" s="514"/>
      <c r="Q4121" s="293"/>
      <c r="R4121" s="316"/>
      <c r="S4121" s="355"/>
    </row>
    <row r="4122" spans="13:19" x14ac:dyDescent="0.25">
      <c r="M4122" s="514"/>
      <c r="Q4122" s="293"/>
      <c r="R4122" s="316"/>
      <c r="S4122" s="355"/>
    </row>
    <row r="4123" spans="13:19" x14ac:dyDescent="0.25">
      <c r="M4123" s="514"/>
      <c r="Q4123" s="293"/>
      <c r="R4123" s="316"/>
      <c r="S4123" s="355"/>
    </row>
    <row r="4124" spans="13:19" x14ac:dyDescent="0.25">
      <c r="M4124" s="514"/>
      <c r="Q4124" s="293"/>
      <c r="R4124" s="316"/>
      <c r="S4124" s="355"/>
    </row>
    <row r="4125" spans="13:19" x14ac:dyDescent="0.25">
      <c r="M4125" s="514"/>
      <c r="Q4125" s="293"/>
      <c r="R4125" s="316"/>
      <c r="S4125" s="355"/>
    </row>
    <row r="4126" spans="13:19" x14ac:dyDescent="0.25">
      <c r="M4126" s="514"/>
      <c r="Q4126" s="293"/>
      <c r="R4126" s="316"/>
      <c r="S4126" s="355"/>
    </row>
    <row r="4127" spans="13:19" x14ac:dyDescent="0.25">
      <c r="M4127" s="514"/>
      <c r="Q4127" s="293"/>
      <c r="R4127" s="316"/>
      <c r="S4127" s="355"/>
    </row>
    <row r="4128" spans="13:19" x14ac:dyDescent="0.25">
      <c r="M4128" s="514"/>
      <c r="Q4128" s="293"/>
      <c r="R4128" s="316"/>
      <c r="S4128" s="355"/>
    </row>
    <row r="4129" spans="13:19" x14ac:dyDescent="0.25">
      <c r="M4129" s="514"/>
      <c r="Q4129" s="293"/>
      <c r="R4129" s="316"/>
      <c r="S4129" s="355"/>
    </row>
    <row r="4130" spans="13:19" x14ac:dyDescent="0.25">
      <c r="M4130" s="514"/>
      <c r="Q4130" s="293"/>
      <c r="R4130" s="316"/>
      <c r="S4130" s="355"/>
    </row>
    <row r="4131" spans="13:19" x14ac:dyDescent="0.25">
      <c r="M4131" s="514"/>
      <c r="Q4131" s="293"/>
      <c r="R4131" s="316"/>
      <c r="S4131" s="355"/>
    </row>
    <row r="4132" spans="13:19" x14ac:dyDescent="0.25">
      <c r="M4132" s="514"/>
      <c r="Q4132" s="293"/>
      <c r="R4132" s="316"/>
      <c r="S4132" s="355"/>
    </row>
    <row r="4133" spans="13:19" x14ac:dyDescent="0.25">
      <c r="M4133" s="514"/>
      <c r="Q4133" s="293"/>
      <c r="R4133" s="316"/>
      <c r="S4133" s="355"/>
    </row>
    <row r="4134" spans="13:19" x14ac:dyDescent="0.25">
      <c r="M4134" s="514"/>
      <c r="Q4134" s="293"/>
      <c r="R4134" s="316"/>
      <c r="S4134" s="355"/>
    </row>
    <row r="4135" spans="13:19" x14ac:dyDescent="0.25">
      <c r="M4135" s="514"/>
      <c r="Q4135" s="293"/>
      <c r="R4135" s="316"/>
      <c r="S4135" s="355"/>
    </row>
    <row r="4136" spans="13:19" x14ac:dyDescent="0.25">
      <c r="M4136" s="514"/>
      <c r="Q4136" s="293"/>
      <c r="R4136" s="316"/>
      <c r="S4136" s="355"/>
    </row>
    <row r="4137" spans="13:19" x14ac:dyDescent="0.25">
      <c r="M4137" s="514"/>
      <c r="Q4137" s="293"/>
      <c r="R4137" s="316"/>
      <c r="S4137" s="355"/>
    </row>
    <row r="4138" spans="13:19" x14ac:dyDescent="0.25">
      <c r="M4138" s="514"/>
      <c r="Q4138" s="293"/>
      <c r="R4138" s="316"/>
      <c r="S4138" s="355"/>
    </row>
    <row r="4139" spans="13:19" x14ac:dyDescent="0.25">
      <c r="M4139" s="514"/>
      <c r="Q4139" s="293"/>
      <c r="R4139" s="316"/>
      <c r="S4139" s="355"/>
    </row>
    <row r="4140" spans="13:19" x14ac:dyDescent="0.25">
      <c r="M4140" s="514"/>
      <c r="Q4140" s="293"/>
      <c r="R4140" s="316"/>
      <c r="S4140" s="355"/>
    </row>
    <row r="4141" spans="13:19" x14ac:dyDescent="0.25">
      <c r="M4141" s="514"/>
      <c r="Q4141" s="293"/>
      <c r="R4141" s="316"/>
      <c r="S4141" s="355"/>
    </row>
    <row r="4142" spans="13:19" x14ac:dyDescent="0.25">
      <c r="M4142" s="514"/>
      <c r="Q4142" s="293"/>
      <c r="R4142" s="316"/>
      <c r="S4142" s="355"/>
    </row>
    <row r="4143" spans="13:19" x14ac:dyDescent="0.25">
      <c r="M4143" s="514"/>
      <c r="Q4143" s="293"/>
      <c r="R4143" s="316"/>
      <c r="S4143" s="355"/>
    </row>
    <row r="4144" spans="13:19" x14ac:dyDescent="0.25">
      <c r="M4144" s="514"/>
      <c r="Q4144" s="293"/>
      <c r="R4144" s="316"/>
      <c r="S4144" s="355"/>
    </row>
    <row r="4145" spans="13:19" x14ac:dyDescent="0.25">
      <c r="M4145" s="514"/>
      <c r="Q4145" s="293"/>
      <c r="R4145" s="316"/>
      <c r="S4145" s="355"/>
    </row>
    <row r="4146" spans="13:19" x14ac:dyDescent="0.25">
      <c r="M4146" s="514"/>
      <c r="Q4146" s="293"/>
      <c r="R4146" s="316"/>
      <c r="S4146" s="355"/>
    </row>
    <row r="4147" spans="13:19" x14ac:dyDescent="0.25">
      <c r="M4147" s="514"/>
      <c r="Q4147" s="293"/>
      <c r="R4147" s="316"/>
      <c r="S4147" s="355"/>
    </row>
    <row r="4148" spans="13:19" x14ac:dyDescent="0.25">
      <c r="M4148" s="514"/>
      <c r="Q4148" s="293"/>
      <c r="R4148" s="316"/>
      <c r="S4148" s="355"/>
    </row>
    <row r="4149" spans="13:19" x14ac:dyDescent="0.25">
      <c r="M4149" s="514"/>
      <c r="Q4149" s="293"/>
      <c r="R4149" s="316"/>
      <c r="S4149" s="355"/>
    </row>
    <row r="4150" spans="13:19" x14ac:dyDescent="0.25">
      <c r="M4150" s="514"/>
      <c r="Q4150" s="293"/>
      <c r="R4150" s="316"/>
      <c r="S4150" s="355"/>
    </row>
    <row r="4151" spans="13:19" x14ac:dyDescent="0.25">
      <c r="M4151" s="514"/>
      <c r="Q4151" s="293"/>
      <c r="R4151" s="316"/>
      <c r="S4151" s="355"/>
    </row>
    <row r="4152" spans="13:19" x14ac:dyDescent="0.25">
      <c r="M4152" s="514"/>
      <c r="Q4152" s="293"/>
      <c r="R4152" s="316"/>
      <c r="S4152" s="355"/>
    </row>
    <row r="4153" spans="13:19" x14ac:dyDescent="0.25">
      <c r="M4153" s="514"/>
      <c r="Q4153" s="293"/>
      <c r="R4153" s="316"/>
      <c r="S4153" s="355"/>
    </row>
    <row r="4154" spans="13:19" x14ac:dyDescent="0.25">
      <c r="M4154" s="514"/>
      <c r="Q4154" s="293"/>
      <c r="R4154" s="316"/>
      <c r="S4154" s="355"/>
    </row>
    <row r="4155" spans="13:19" x14ac:dyDescent="0.25">
      <c r="M4155" s="514"/>
      <c r="Q4155" s="293"/>
      <c r="R4155" s="316"/>
      <c r="S4155" s="355"/>
    </row>
    <row r="4156" spans="13:19" x14ac:dyDescent="0.25">
      <c r="M4156" s="514"/>
      <c r="Q4156" s="293"/>
      <c r="R4156" s="316"/>
      <c r="S4156" s="355"/>
    </row>
    <row r="4157" spans="13:19" x14ac:dyDescent="0.25">
      <c r="M4157" s="514"/>
      <c r="Q4157" s="293"/>
      <c r="R4157" s="316"/>
      <c r="S4157" s="355"/>
    </row>
    <row r="4158" spans="13:19" x14ac:dyDescent="0.25">
      <c r="M4158" s="514"/>
      <c r="Q4158" s="293"/>
      <c r="R4158" s="316"/>
      <c r="S4158" s="355"/>
    </row>
    <row r="4159" spans="13:19" x14ac:dyDescent="0.25">
      <c r="M4159" s="514"/>
      <c r="Q4159" s="293"/>
      <c r="R4159" s="316"/>
      <c r="S4159" s="355"/>
    </row>
    <row r="4160" spans="13:19" x14ac:dyDescent="0.25">
      <c r="M4160" s="514"/>
      <c r="Q4160" s="293"/>
      <c r="R4160" s="316"/>
      <c r="S4160" s="355"/>
    </row>
    <row r="4161" spans="13:19" x14ac:dyDescent="0.25">
      <c r="M4161" s="514"/>
      <c r="Q4161" s="293"/>
      <c r="R4161" s="316"/>
      <c r="S4161" s="355"/>
    </row>
    <row r="4162" spans="13:19" x14ac:dyDescent="0.25">
      <c r="M4162" s="514"/>
      <c r="Q4162" s="293"/>
      <c r="R4162" s="316"/>
      <c r="S4162" s="355"/>
    </row>
    <row r="4163" spans="13:19" x14ac:dyDescent="0.25">
      <c r="M4163" s="514"/>
      <c r="Q4163" s="293"/>
      <c r="R4163" s="316"/>
      <c r="S4163" s="355"/>
    </row>
    <row r="4164" spans="13:19" x14ac:dyDescent="0.25">
      <c r="M4164" s="514"/>
      <c r="Q4164" s="293"/>
      <c r="R4164" s="316"/>
      <c r="S4164" s="355"/>
    </row>
    <row r="4165" spans="13:19" x14ac:dyDescent="0.25">
      <c r="M4165" s="514"/>
      <c r="Q4165" s="293"/>
      <c r="R4165" s="316"/>
      <c r="S4165" s="355"/>
    </row>
    <row r="4166" spans="13:19" x14ac:dyDescent="0.25">
      <c r="M4166" s="514"/>
      <c r="Q4166" s="293"/>
      <c r="R4166" s="316"/>
      <c r="S4166" s="355"/>
    </row>
    <row r="4167" spans="13:19" x14ac:dyDescent="0.25">
      <c r="M4167" s="514"/>
      <c r="Q4167" s="293"/>
      <c r="R4167" s="316"/>
      <c r="S4167" s="355"/>
    </row>
    <row r="4168" spans="13:19" x14ac:dyDescent="0.25">
      <c r="M4168" s="514"/>
      <c r="Q4168" s="293"/>
      <c r="R4168" s="316"/>
      <c r="S4168" s="355"/>
    </row>
    <row r="4169" spans="13:19" x14ac:dyDescent="0.25">
      <c r="M4169" s="514"/>
      <c r="Q4169" s="293"/>
      <c r="R4169" s="316"/>
      <c r="S4169" s="355"/>
    </row>
    <row r="4170" spans="13:19" x14ac:dyDescent="0.25">
      <c r="M4170" s="514"/>
      <c r="Q4170" s="293"/>
      <c r="R4170" s="316"/>
      <c r="S4170" s="355"/>
    </row>
    <row r="4171" spans="13:19" x14ac:dyDescent="0.25">
      <c r="M4171" s="514"/>
      <c r="Q4171" s="293"/>
      <c r="R4171" s="316"/>
      <c r="S4171" s="355"/>
    </row>
    <row r="4172" spans="13:19" x14ac:dyDescent="0.25">
      <c r="M4172" s="514"/>
      <c r="Q4172" s="293"/>
      <c r="R4172" s="316"/>
      <c r="S4172" s="355"/>
    </row>
    <row r="4173" spans="13:19" x14ac:dyDescent="0.25">
      <c r="M4173" s="514"/>
      <c r="Q4173" s="293"/>
      <c r="R4173" s="316"/>
      <c r="S4173" s="355"/>
    </row>
    <row r="4174" spans="13:19" x14ac:dyDescent="0.25">
      <c r="M4174" s="514"/>
      <c r="Q4174" s="293"/>
      <c r="R4174" s="316"/>
      <c r="S4174" s="355"/>
    </row>
    <row r="4175" spans="13:19" x14ac:dyDescent="0.25">
      <c r="M4175" s="514"/>
      <c r="Q4175" s="293"/>
      <c r="R4175" s="316"/>
      <c r="S4175" s="355"/>
    </row>
    <row r="4176" spans="13:19" x14ac:dyDescent="0.25">
      <c r="M4176" s="514"/>
      <c r="Q4176" s="293"/>
      <c r="R4176" s="316"/>
      <c r="S4176" s="355"/>
    </row>
    <row r="4177" spans="13:19" x14ac:dyDescent="0.25">
      <c r="M4177" s="514"/>
      <c r="Q4177" s="293"/>
      <c r="R4177" s="316"/>
      <c r="S4177" s="355"/>
    </row>
    <row r="4178" spans="13:19" x14ac:dyDescent="0.25">
      <c r="M4178" s="514"/>
      <c r="Q4178" s="293"/>
      <c r="R4178" s="316"/>
      <c r="S4178" s="355"/>
    </row>
    <row r="4179" spans="13:19" x14ac:dyDescent="0.25">
      <c r="M4179" s="514"/>
      <c r="Q4179" s="293"/>
      <c r="R4179" s="316"/>
      <c r="S4179" s="355"/>
    </row>
    <row r="4180" spans="13:19" x14ac:dyDescent="0.25">
      <c r="M4180" s="514"/>
      <c r="Q4180" s="293"/>
      <c r="R4180" s="316"/>
      <c r="S4180" s="355"/>
    </row>
    <row r="4181" spans="13:19" x14ac:dyDescent="0.25">
      <c r="M4181" s="514"/>
      <c r="Q4181" s="293"/>
      <c r="R4181" s="316"/>
      <c r="S4181" s="355"/>
    </row>
    <row r="4182" spans="13:19" x14ac:dyDescent="0.25">
      <c r="M4182" s="514"/>
      <c r="Q4182" s="293"/>
      <c r="R4182" s="316"/>
      <c r="S4182" s="355"/>
    </row>
    <row r="4183" spans="13:19" x14ac:dyDescent="0.25">
      <c r="M4183" s="514"/>
      <c r="Q4183" s="293"/>
      <c r="R4183" s="316"/>
      <c r="S4183" s="355"/>
    </row>
    <row r="4184" spans="13:19" x14ac:dyDescent="0.25">
      <c r="M4184" s="514"/>
      <c r="Q4184" s="293"/>
      <c r="R4184" s="316"/>
      <c r="S4184" s="355"/>
    </row>
    <row r="4185" spans="13:19" x14ac:dyDescent="0.25">
      <c r="M4185" s="514"/>
      <c r="Q4185" s="293"/>
      <c r="R4185" s="316"/>
      <c r="S4185" s="355"/>
    </row>
    <row r="4186" spans="13:19" x14ac:dyDescent="0.25">
      <c r="M4186" s="514"/>
      <c r="Q4186" s="293"/>
      <c r="R4186" s="316"/>
      <c r="S4186" s="355"/>
    </row>
    <row r="4187" spans="13:19" x14ac:dyDescent="0.25">
      <c r="M4187" s="514"/>
      <c r="Q4187" s="293"/>
      <c r="R4187" s="316"/>
      <c r="S4187" s="355"/>
    </row>
    <row r="4188" spans="13:19" x14ac:dyDescent="0.25">
      <c r="M4188" s="514"/>
      <c r="Q4188" s="293"/>
      <c r="R4188" s="316"/>
      <c r="S4188" s="355"/>
    </row>
    <row r="4189" spans="13:19" x14ac:dyDescent="0.25">
      <c r="M4189" s="514"/>
      <c r="Q4189" s="293"/>
      <c r="R4189" s="316"/>
      <c r="S4189" s="355"/>
    </row>
    <row r="4190" spans="13:19" x14ac:dyDescent="0.25">
      <c r="M4190" s="514"/>
      <c r="Q4190" s="293"/>
      <c r="R4190" s="316"/>
      <c r="S4190" s="355"/>
    </row>
    <row r="4191" spans="13:19" x14ac:dyDescent="0.25">
      <c r="M4191" s="514"/>
      <c r="Q4191" s="293"/>
      <c r="R4191" s="316"/>
      <c r="S4191" s="355"/>
    </row>
    <row r="4192" spans="13:19" x14ac:dyDescent="0.25">
      <c r="M4192" s="514"/>
      <c r="Q4192" s="293"/>
      <c r="R4192" s="316"/>
      <c r="S4192" s="355"/>
    </row>
    <row r="4193" spans="13:19" x14ac:dyDescent="0.25">
      <c r="M4193" s="514"/>
      <c r="Q4193" s="293"/>
      <c r="R4193" s="316"/>
      <c r="S4193" s="355"/>
    </row>
    <row r="4194" spans="13:19" x14ac:dyDescent="0.25">
      <c r="M4194" s="514"/>
      <c r="Q4194" s="293"/>
      <c r="R4194" s="316"/>
      <c r="S4194" s="355"/>
    </row>
    <row r="4195" spans="13:19" x14ac:dyDescent="0.25">
      <c r="M4195" s="514"/>
      <c r="Q4195" s="293"/>
      <c r="R4195" s="316"/>
      <c r="S4195" s="355"/>
    </row>
    <row r="4196" spans="13:19" x14ac:dyDescent="0.25">
      <c r="M4196" s="514"/>
      <c r="Q4196" s="293"/>
      <c r="R4196" s="316"/>
      <c r="S4196" s="355"/>
    </row>
    <row r="4197" spans="13:19" x14ac:dyDescent="0.25">
      <c r="M4197" s="514"/>
      <c r="Q4197" s="293"/>
      <c r="R4197" s="316"/>
      <c r="S4197" s="355"/>
    </row>
    <row r="4198" spans="13:19" x14ac:dyDescent="0.25">
      <c r="M4198" s="514"/>
      <c r="Q4198" s="293"/>
      <c r="R4198" s="316"/>
      <c r="S4198" s="355"/>
    </row>
    <row r="4199" spans="13:19" x14ac:dyDescent="0.25">
      <c r="M4199" s="514"/>
      <c r="Q4199" s="293"/>
      <c r="R4199" s="316"/>
      <c r="S4199" s="355"/>
    </row>
    <row r="4200" spans="13:19" x14ac:dyDescent="0.25">
      <c r="M4200" s="514"/>
      <c r="Q4200" s="293"/>
      <c r="R4200" s="316"/>
      <c r="S4200" s="355"/>
    </row>
    <row r="4201" spans="13:19" x14ac:dyDescent="0.25">
      <c r="M4201" s="514"/>
      <c r="Q4201" s="293"/>
      <c r="R4201" s="316"/>
      <c r="S4201" s="355"/>
    </row>
    <row r="4202" spans="13:19" x14ac:dyDescent="0.25">
      <c r="M4202" s="514"/>
      <c r="Q4202" s="293"/>
      <c r="R4202" s="316"/>
      <c r="S4202" s="355"/>
    </row>
    <row r="4203" spans="13:19" x14ac:dyDescent="0.25">
      <c r="M4203" s="514"/>
      <c r="Q4203" s="293"/>
      <c r="R4203" s="316"/>
      <c r="S4203" s="355"/>
    </row>
    <row r="4204" spans="13:19" x14ac:dyDescent="0.25">
      <c r="M4204" s="514"/>
      <c r="Q4204" s="293"/>
      <c r="R4204" s="316"/>
      <c r="S4204" s="355"/>
    </row>
    <row r="4205" spans="13:19" x14ac:dyDescent="0.25">
      <c r="M4205" s="514"/>
      <c r="Q4205" s="293"/>
      <c r="R4205" s="316"/>
      <c r="S4205" s="355"/>
    </row>
    <row r="4206" spans="13:19" x14ac:dyDescent="0.25">
      <c r="M4206" s="514"/>
      <c r="Q4206" s="293"/>
      <c r="R4206" s="316"/>
      <c r="S4206" s="355"/>
    </row>
    <row r="4207" spans="13:19" x14ac:dyDescent="0.25">
      <c r="M4207" s="514"/>
      <c r="Q4207" s="293"/>
      <c r="R4207" s="316"/>
      <c r="S4207" s="355"/>
    </row>
    <row r="4208" spans="13:19" x14ac:dyDescent="0.25">
      <c r="M4208" s="514"/>
      <c r="Q4208" s="293"/>
      <c r="R4208" s="316"/>
      <c r="S4208" s="355"/>
    </row>
    <row r="4209" spans="13:19" x14ac:dyDescent="0.25">
      <c r="M4209" s="514"/>
      <c r="Q4209" s="293"/>
      <c r="R4209" s="316"/>
      <c r="S4209" s="355"/>
    </row>
    <row r="4210" spans="13:19" x14ac:dyDescent="0.25">
      <c r="M4210" s="514"/>
      <c r="Q4210" s="293"/>
      <c r="R4210" s="316"/>
      <c r="S4210" s="355"/>
    </row>
    <row r="4211" spans="13:19" x14ac:dyDescent="0.25">
      <c r="M4211" s="514"/>
      <c r="Q4211" s="293"/>
      <c r="R4211" s="316"/>
      <c r="S4211" s="355"/>
    </row>
    <row r="4212" spans="13:19" x14ac:dyDescent="0.25">
      <c r="M4212" s="514"/>
      <c r="Q4212" s="293"/>
      <c r="R4212" s="316"/>
      <c r="S4212" s="355"/>
    </row>
    <row r="4213" spans="13:19" x14ac:dyDescent="0.25">
      <c r="M4213" s="514"/>
      <c r="Q4213" s="293"/>
      <c r="R4213" s="316"/>
      <c r="S4213" s="355"/>
    </row>
    <row r="4214" spans="13:19" x14ac:dyDescent="0.25">
      <c r="M4214" s="514"/>
      <c r="Q4214" s="293"/>
      <c r="R4214" s="316"/>
      <c r="S4214" s="355"/>
    </row>
    <row r="4215" spans="13:19" x14ac:dyDescent="0.25">
      <c r="M4215" s="514"/>
      <c r="Q4215" s="293"/>
      <c r="R4215" s="316"/>
      <c r="S4215" s="355"/>
    </row>
    <row r="4216" spans="13:19" x14ac:dyDescent="0.25">
      <c r="M4216" s="514"/>
      <c r="Q4216" s="293"/>
      <c r="R4216" s="316"/>
      <c r="S4216" s="355"/>
    </row>
    <row r="4217" spans="13:19" x14ac:dyDescent="0.25">
      <c r="M4217" s="514"/>
      <c r="Q4217" s="293"/>
      <c r="R4217" s="316"/>
      <c r="S4217" s="355"/>
    </row>
    <row r="4218" spans="13:19" x14ac:dyDescent="0.25">
      <c r="M4218" s="514"/>
      <c r="Q4218" s="293"/>
      <c r="R4218" s="316"/>
      <c r="S4218" s="355"/>
    </row>
    <row r="4219" spans="13:19" x14ac:dyDescent="0.25">
      <c r="M4219" s="514"/>
      <c r="Q4219" s="293"/>
      <c r="R4219" s="316"/>
      <c r="S4219" s="355"/>
    </row>
    <row r="4220" spans="13:19" x14ac:dyDescent="0.25">
      <c r="M4220" s="514"/>
      <c r="Q4220" s="293"/>
      <c r="R4220" s="316"/>
      <c r="S4220" s="355"/>
    </row>
    <row r="4221" spans="13:19" x14ac:dyDescent="0.25">
      <c r="M4221" s="514"/>
      <c r="Q4221" s="293"/>
      <c r="R4221" s="316"/>
      <c r="S4221" s="355"/>
    </row>
    <row r="4222" spans="13:19" x14ac:dyDescent="0.25">
      <c r="M4222" s="514"/>
      <c r="Q4222" s="293"/>
      <c r="R4222" s="316"/>
      <c r="S4222" s="355"/>
    </row>
    <row r="4223" spans="13:19" x14ac:dyDescent="0.25">
      <c r="M4223" s="514"/>
      <c r="Q4223" s="293"/>
      <c r="R4223" s="316"/>
      <c r="S4223" s="355"/>
    </row>
    <row r="4224" spans="13:19" x14ac:dyDescent="0.25">
      <c r="M4224" s="514"/>
      <c r="Q4224" s="293"/>
      <c r="R4224" s="316"/>
      <c r="S4224" s="355"/>
    </row>
    <row r="4225" spans="13:19" x14ac:dyDescent="0.25">
      <c r="M4225" s="514"/>
      <c r="Q4225" s="293"/>
      <c r="R4225" s="316"/>
      <c r="S4225" s="355"/>
    </row>
    <row r="4226" spans="13:19" x14ac:dyDescent="0.25">
      <c r="M4226" s="514"/>
      <c r="Q4226" s="293"/>
      <c r="R4226" s="316"/>
      <c r="S4226" s="355"/>
    </row>
    <row r="4227" spans="13:19" x14ac:dyDescent="0.25">
      <c r="M4227" s="514"/>
      <c r="Q4227" s="293"/>
      <c r="R4227" s="316"/>
      <c r="S4227" s="355"/>
    </row>
    <row r="4228" spans="13:19" x14ac:dyDescent="0.25">
      <c r="M4228" s="514"/>
      <c r="Q4228" s="293"/>
      <c r="R4228" s="316"/>
      <c r="S4228" s="355"/>
    </row>
    <row r="4229" spans="13:19" x14ac:dyDescent="0.25">
      <c r="M4229" s="514"/>
      <c r="Q4229" s="293"/>
      <c r="R4229" s="316"/>
      <c r="S4229" s="355"/>
    </row>
    <row r="4230" spans="13:19" x14ac:dyDescent="0.25">
      <c r="M4230" s="514"/>
      <c r="Q4230" s="293"/>
      <c r="R4230" s="316"/>
      <c r="S4230" s="355"/>
    </row>
    <row r="4231" spans="13:19" x14ac:dyDescent="0.25">
      <c r="M4231" s="514"/>
      <c r="Q4231" s="293"/>
      <c r="R4231" s="316"/>
      <c r="S4231" s="355"/>
    </row>
    <row r="4232" spans="13:19" x14ac:dyDescent="0.25">
      <c r="M4232" s="514"/>
      <c r="Q4232" s="293"/>
      <c r="R4232" s="316"/>
      <c r="S4232" s="355"/>
    </row>
    <row r="4233" spans="13:19" x14ac:dyDescent="0.25">
      <c r="M4233" s="514"/>
      <c r="Q4233" s="293"/>
      <c r="R4233" s="316"/>
      <c r="S4233" s="355"/>
    </row>
    <row r="4234" spans="13:19" x14ac:dyDescent="0.25">
      <c r="M4234" s="514"/>
      <c r="Q4234" s="293"/>
      <c r="R4234" s="316"/>
      <c r="S4234" s="355"/>
    </row>
    <row r="4235" spans="13:19" x14ac:dyDescent="0.25">
      <c r="M4235" s="514"/>
      <c r="Q4235" s="293"/>
      <c r="R4235" s="316"/>
      <c r="S4235" s="355"/>
    </row>
    <row r="4236" spans="13:19" x14ac:dyDescent="0.25">
      <c r="M4236" s="514"/>
      <c r="Q4236" s="293"/>
      <c r="R4236" s="316"/>
      <c r="S4236" s="355"/>
    </row>
    <row r="4237" spans="13:19" x14ac:dyDescent="0.25">
      <c r="M4237" s="514"/>
      <c r="Q4237" s="293"/>
      <c r="R4237" s="316"/>
      <c r="S4237" s="355"/>
    </row>
    <row r="4238" spans="13:19" x14ac:dyDescent="0.25">
      <c r="M4238" s="514"/>
      <c r="Q4238" s="293"/>
      <c r="R4238" s="316"/>
      <c r="S4238" s="355"/>
    </row>
    <row r="4239" spans="13:19" x14ac:dyDescent="0.25">
      <c r="M4239" s="514"/>
      <c r="Q4239" s="293"/>
      <c r="R4239" s="316"/>
      <c r="S4239" s="355"/>
    </row>
    <row r="4240" spans="13:19" x14ac:dyDescent="0.25">
      <c r="M4240" s="514"/>
      <c r="Q4240" s="293"/>
      <c r="R4240" s="316"/>
      <c r="S4240" s="355"/>
    </row>
    <row r="4241" spans="13:19" x14ac:dyDescent="0.25">
      <c r="M4241" s="514"/>
      <c r="Q4241" s="293"/>
      <c r="R4241" s="316"/>
      <c r="S4241" s="355"/>
    </row>
    <row r="4242" spans="13:19" x14ac:dyDescent="0.25">
      <c r="M4242" s="514"/>
      <c r="Q4242" s="293"/>
      <c r="R4242" s="316"/>
      <c r="S4242" s="355"/>
    </row>
    <row r="4243" spans="13:19" x14ac:dyDescent="0.25">
      <c r="M4243" s="514"/>
      <c r="Q4243" s="293"/>
      <c r="R4243" s="316"/>
      <c r="S4243" s="355"/>
    </row>
    <row r="4244" spans="13:19" x14ac:dyDescent="0.25">
      <c r="M4244" s="514"/>
      <c r="Q4244" s="293"/>
      <c r="R4244" s="316"/>
      <c r="S4244" s="355"/>
    </row>
    <row r="4245" spans="13:19" x14ac:dyDescent="0.25">
      <c r="M4245" s="514"/>
      <c r="Q4245" s="293"/>
      <c r="R4245" s="316"/>
      <c r="S4245" s="355"/>
    </row>
    <row r="4246" spans="13:19" x14ac:dyDescent="0.25">
      <c r="M4246" s="514"/>
      <c r="Q4246" s="293"/>
      <c r="R4246" s="316"/>
      <c r="S4246" s="355"/>
    </row>
    <row r="4247" spans="13:19" x14ac:dyDescent="0.25">
      <c r="M4247" s="514"/>
      <c r="Q4247" s="293"/>
      <c r="R4247" s="316"/>
      <c r="S4247" s="355"/>
    </row>
    <row r="4248" spans="13:19" x14ac:dyDescent="0.25">
      <c r="M4248" s="514"/>
      <c r="Q4248" s="293"/>
      <c r="R4248" s="316"/>
      <c r="S4248" s="355"/>
    </row>
    <row r="4249" spans="13:19" x14ac:dyDescent="0.25">
      <c r="M4249" s="514"/>
      <c r="Q4249" s="293"/>
      <c r="R4249" s="316"/>
      <c r="S4249" s="355"/>
    </row>
    <row r="4250" spans="13:19" x14ac:dyDescent="0.25">
      <c r="M4250" s="514"/>
      <c r="Q4250" s="293"/>
      <c r="R4250" s="316"/>
      <c r="S4250" s="355"/>
    </row>
    <row r="4251" spans="13:19" x14ac:dyDescent="0.25">
      <c r="M4251" s="514"/>
      <c r="Q4251" s="293"/>
      <c r="R4251" s="316"/>
      <c r="S4251" s="355"/>
    </row>
    <row r="4252" spans="13:19" x14ac:dyDescent="0.25">
      <c r="M4252" s="514"/>
      <c r="Q4252" s="293"/>
      <c r="R4252" s="316"/>
      <c r="S4252" s="355"/>
    </row>
    <row r="4253" spans="13:19" x14ac:dyDescent="0.25">
      <c r="M4253" s="514"/>
      <c r="Q4253" s="293"/>
      <c r="R4253" s="316"/>
      <c r="S4253" s="355"/>
    </row>
    <row r="4254" spans="13:19" x14ac:dyDescent="0.25">
      <c r="M4254" s="514"/>
      <c r="Q4254" s="293"/>
      <c r="R4254" s="316"/>
      <c r="S4254" s="355"/>
    </row>
    <row r="4255" spans="13:19" x14ac:dyDescent="0.25">
      <c r="M4255" s="514"/>
      <c r="Q4255" s="293"/>
      <c r="R4255" s="316"/>
      <c r="S4255" s="355"/>
    </row>
    <row r="4256" spans="13:19" x14ac:dyDescent="0.25">
      <c r="M4256" s="514"/>
      <c r="Q4256" s="293"/>
      <c r="R4256" s="316"/>
      <c r="S4256" s="355"/>
    </row>
    <row r="4257" spans="13:19" x14ac:dyDescent="0.25">
      <c r="M4257" s="514"/>
      <c r="Q4257" s="293"/>
      <c r="R4257" s="316"/>
      <c r="S4257" s="355"/>
    </row>
    <row r="4258" spans="13:19" x14ac:dyDescent="0.25">
      <c r="M4258" s="514"/>
      <c r="Q4258" s="293"/>
      <c r="R4258" s="316"/>
      <c r="S4258" s="355"/>
    </row>
    <row r="4259" spans="13:19" x14ac:dyDescent="0.25">
      <c r="M4259" s="514"/>
      <c r="Q4259" s="293"/>
      <c r="R4259" s="316"/>
      <c r="S4259" s="355"/>
    </row>
    <row r="4260" spans="13:19" x14ac:dyDescent="0.25">
      <c r="M4260" s="514"/>
      <c r="Q4260" s="293"/>
      <c r="R4260" s="316"/>
      <c r="S4260" s="355"/>
    </row>
    <row r="4261" spans="13:19" x14ac:dyDescent="0.25">
      <c r="M4261" s="514"/>
      <c r="Q4261" s="293"/>
      <c r="R4261" s="316"/>
      <c r="S4261" s="355"/>
    </row>
    <row r="4262" spans="13:19" x14ac:dyDescent="0.25">
      <c r="M4262" s="514"/>
      <c r="Q4262" s="293"/>
      <c r="R4262" s="316"/>
      <c r="S4262" s="355"/>
    </row>
    <row r="4263" spans="13:19" x14ac:dyDescent="0.25">
      <c r="M4263" s="514"/>
      <c r="Q4263" s="293"/>
      <c r="R4263" s="316"/>
      <c r="S4263" s="355"/>
    </row>
    <row r="4264" spans="13:19" x14ac:dyDescent="0.25">
      <c r="M4264" s="514"/>
      <c r="Q4264" s="293"/>
      <c r="R4264" s="316"/>
      <c r="S4264" s="355"/>
    </row>
    <row r="4265" spans="13:19" x14ac:dyDescent="0.25">
      <c r="M4265" s="514"/>
      <c r="Q4265" s="293"/>
      <c r="R4265" s="316"/>
      <c r="S4265" s="355"/>
    </row>
    <row r="4266" spans="13:19" x14ac:dyDescent="0.25">
      <c r="M4266" s="514"/>
      <c r="Q4266" s="293"/>
      <c r="R4266" s="316"/>
      <c r="S4266" s="355"/>
    </row>
    <row r="4267" spans="13:19" x14ac:dyDescent="0.25">
      <c r="M4267" s="514"/>
      <c r="Q4267" s="293"/>
      <c r="R4267" s="316"/>
      <c r="S4267" s="355"/>
    </row>
    <row r="4268" spans="13:19" x14ac:dyDescent="0.25">
      <c r="M4268" s="514"/>
      <c r="Q4268" s="293"/>
      <c r="R4268" s="316"/>
      <c r="S4268" s="355"/>
    </row>
    <row r="4269" spans="13:19" x14ac:dyDescent="0.25">
      <c r="M4269" s="514"/>
      <c r="Q4269" s="293"/>
      <c r="R4269" s="316"/>
      <c r="S4269" s="355"/>
    </row>
    <row r="4270" spans="13:19" x14ac:dyDescent="0.25">
      <c r="M4270" s="514"/>
      <c r="Q4270" s="293"/>
      <c r="R4270" s="316"/>
      <c r="S4270" s="355"/>
    </row>
    <row r="4271" spans="13:19" x14ac:dyDescent="0.25">
      <c r="M4271" s="514"/>
      <c r="Q4271" s="293"/>
      <c r="R4271" s="316"/>
      <c r="S4271" s="355"/>
    </row>
    <row r="4272" spans="13:19" x14ac:dyDescent="0.25">
      <c r="M4272" s="514"/>
      <c r="Q4272" s="293"/>
      <c r="R4272" s="316"/>
      <c r="S4272" s="355"/>
    </row>
    <row r="4273" spans="13:19" x14ac:dyDescent="0.25">
      <c r="M4273" s="514"/>
      <c r="Q4273" s="293"/>
      <c r="R4273" s="316"/>
      <c r="S4273" s="355"/>
    </row>
    <row r="4274" spans="13:19" x14ac:dyDescent="0.25">
      <c r="M4274" s="514"/>
      <c r="Q4274" s="293"/>
      <c r="R4274" s="316"/>
      <c r="S4274" s="355"/>
    </row>
    <row r="4275" spans="13:19" x14ac:dyDescent="0.25">
      <c r="M4275" s="514"/>
      <c r="Q4275" s="293"/>
      <c r="R4275" s="316"/>
      <c r="S4275" s="355"/>
    </row>
    <row r="4276" spans="13:19" x14ac:dyDescent="0.25">
      <c r="M4276" s="514"/>
      <c r="Q4276" s="293"/>
      <c r="R4276" s="316"/>
      <c r="S4276" s="355"/>
    </row>
    <row r="4277" spans="13:19" x14ac:dyDescent="0.25">
      <c r="M4277" s="514"/>
      <c r="Q4277" s="293"/>
      <c r="R4277" s="316"/>
      <c r="S4277" s="355"/>
    </row>
    <row r="4278" spans="13:19" x14ac:dyDescent="0.25">
      <c r="M4278" s="514"/>
      <c r="Q4278" s="293"/>
      <c r="R4278" s="316"/>
      <c r="S4278" s="355"/>
    </row>
    <row r="4279" spans="13:19" x14ac:dyDescent="0.25">
      <c r="M4279" s="514"/>
      <c r="Q4279" s="293"/>
      <c r="R4279" s="316"/>
      <c r="S4279" s="355"/>
    </row>
    <row r="4280" spans="13:19" x14ac:dyDescent="0.25">
      <c r="M4280" s="514"/>
      <c r="Q4280" s="293"/>
      <c r="R4280" s="316"/>
      <c r="S4280" s="355"/>
    </row>
    <row r="4281" spans="13:19" x14ac:dyDescent="0.25">
      <c r="M4281" s="514"/>
      <c r="Q4281" s="293"/>
      <c r="R4281" s="316"/>
      <c r="S4281" s="355"/>
    </row>
    <row r="4282" spans="13:19" x14ac:dyDescent="0.25">
      <c r="M4282" s="514"/>
      <c r="Q4282" s="293"/>
      <c r="R4282" s="316"/>
      <c r="S4282" s="355"/>
    </row>
    <row r="4283" spans="13:19" x14ac:dyDescent="0.25">
      <c r="M4283" s="514"/>
      <c r="Q4283" s="293"/>
      <c r="R4283" s="316"/>
      <c r="S4283" s="355"/>
    </row>
    <row r="4284" spans="13:19" x14ac:dyDescent="0.25">
      <c r="M4284" s="514"/>
      <c r="Q4284" s="293"/>
      <c r="R4284" s="316"/>
      <c r="S4284" s="355"/>
    </row>
    <row r="4285" spans="13:19" x14ac:dyDescent="0.25">
      <c r="M4285" s="514"/>
      <c r="Q4285" s="293"/>
      <c r="R4285" s="316"/>
      <c r="S4285" s="355"/>
    </row>
    <row r="4286" spans="13:19" x14ac:dyDescent="0.25">
      <c r="M4286" s="514"/>
      <c r="Q4286" s="293"/>
      <c r="R4286" s="316"/>
      <c r="S4286" s="355"/>
    </row>
    <row r="4287" spans="13:19" x14ac:dyDescent="0.25">
      <c r="M4287" s="514"/>
      <c r="Q4287" s="293"/>
      <c r="R4287" s="316"/>
      <c r="S4287" s="355"/>
    </row>
    <row r="4288" spans="13:19" x14ac:dyDescent="0.25">
      <c r="M4288" s="514"/>
      <c r="Q4288" s="293"/>
      <c r="R4288" s="316"/>
      <c r="S4288" s="355"/>
    </row>
    <row r="4289" spans="13:19" x14ac:dyDescent="0.25">
      <c r="M4289" s="514"/>
      <c r="Q4289" s="293"/>
      <c r="R4289" s="316"/>
      <c r="S4289" s="355"/>
    </row>
    <row r="4290" spans="13:19" x14ac:dyDescent="0.25">
      <c r="M4290" s="514"/>
      <c r="Q4290" s="293"/>
      <c r="R4290" s="316"/>
      <c r="S4290" s="355"/>
    </row>
    <row r="4291" spans="13:19" x14ac:dyDescent="0.25">
      <c r="M4291" s="514"/>
      <c r="Q4291" s="293"/>
      <c r="R4291" s="316"/>
      <c r="S4291" s="355"/>
    </row>
    <row r="4292" spans="13:19" x14ac:dyDescent="0.25">
      <c r="M4292" s="514"/>
      <c r="Q4292" s="293"/>
      <c r="R4292" s="316"/>
      <c r="S4292" s="355"/>
    </row>
    <row r="4293" spans="13:19" x14ac:dyDescent="0.25">
      <c r="M4293" s="514"/>
      <c r="Q4293" s="293"/>
      <c r="R4293" s="316"/>
      <c r="S4293" s="355"/>
    </row>
    <row r="4294" spans="13:19" x14ac:dyDescent="0.25">
      <c r="M4294" s="514"/>
      <c r="Q4294" s="293"/>
      <c r="R4294" s="316"/>
      <c r="S4294" s="355"/>
    </row>
    <row r="4295" spans="13:19" x14ac:dyDescent="0.25">
      <c r="M4295" s="514"/>
      <c r="Q4295" s="293"/>
      <c r="R4295" s="316"/>
      <c r="S4295" s="355"/>
    </row>
    <row r="4296" spans="13:19" x14ac:dyDescent="0.25">
      <c r="M4296" s="514"/>
      <c r="Q4296" s="293"/>
      <c r="R4296" s="316"/>
      <c r="S4296" s="355"/>
    </row>
    <row r="4297" spans="13:19" x14ac:dyDescent="0.25">
      <c r="M4297" s="514"/>
      <c r="Q4297" s="293"/>
      <c r="R4297" s="316"/>
      <c r="S4297" s="355"/>
    </row>
    <row r="4298" spans="13:19" x14ac:dyDescent="0.25">
      <c r="M4298" s="514"/>
      <c r="Q4298" s="293"/>
      <c r="R4298" s="316"/>
      <c r="S4298" s="355"/>
    </row>
    <row r="4299" spans="13:19" x14ac:dyDescent="0.25">
      <c r="M4299" s="514"/>
      <c r="Q4299" s="293"/>
      <c r="R4299" s="316"/>
      <c r="S4299" s="355"/>
    </row>
    <row r="4300" spans="13:19" x14ac:dyDescent="0.25">
      <c r="M4300" s="514"/>
      <c r="Q4300" s="293"/>
      <c r="R4300" s="316"/>
      <c r="S4300" s="355"/>
    </row>
    <row r="4301" spans="13:19" x14ac:dyDescent="0.25">
      <c r="M4301" s="514"/>
      <c r="Q4301" s="293"/>
      <c r="R4301" s="316"/>
      <c r="S4301" s="355"/>
    </row>
    <row r="4302" spans="13:19" x14ac:dyDescent="0.25">
      <c r="M4302" s="514"/>
      <c r="Q4302" s="293"/>
      <c r="R4302" s="316"/>
      <c r="S4302" s="355"/>
    </row>
    <row r="4303" spans="13:19" x14ac:dyDescent="0.25">
      <c r="M4303" s="514"/>
      <c r="Q4303" s="293"/>
      <c r="R4303" s="316"/>
      <c r="S4303" s="355"/>
    </row>
    <row r="4304" spans="13:19" x14ac:dyDescent="0.25">
      <c r="M4304" s="514"/>
      <c r="Q4304" s="293"/>
      <c r="R4304" s="316"/>
      <c r="S4304" s="355"/>
    </row>
    <row r="4305" spans="13:19" x14ac:dyDescent="0.25">
      <c r="M4305" s="514"/>
      <c r="Q4305" s="293"/>
      <c r="R4305" s="316"/>
      <c r="S4305" s="355"/>
    </row>
    <row r="4306" spans="13:19" x14ac:dyDescent="0.25">
      <c r="M4306" s="514"/>
      <c r="Q4306" s="293"/>
      <c r="R4306" s="316"/>
      <c r="S4306" s="355"/>
    </row>
    <row r="4307" spans="13:19" x14ac:dyDescent="0.25">
      <c r="M4307" s="514"/>
      <c r="Q4307" s="293"/>
      <c r="R4307" s="316"/>
      <c r="S4307" s="355"/>
    </row>
    <row r="4308" spans="13:19" x14ac:dyDescent="0.25">
      <c r="M4308" s="514"/>
      <c r="Q4308" s="293"/>
      <c r="R4308" s="316"/>
      <c r="S4308" s="355"/>
    </row>
    <row r="4309" spans="13:19" x14ac:dyDescent="0.25">
      <c r="M4309" s="514"/>
      <c r="Q4309" s="293"/>
      <c r="R4309" s="316"/>
      <c r="S4309" s="355"/>
    </row>
    <row r="4310" spans="13:19" x14ac:dyDescent="0.25">
      <c r="M4310" s="514"/>
      <c r="Q4310" s="293"/>
      <c r="R4310" s="316"/>
      <c r="S4310" s="355"/>
    </row>
    <row r="4311" spans="13:19" x14ac:dyDescent="0.25">
      <c r="M4311" s="514"/>
      <c r="Q4311" s="293"/>
      <c r="R4311" s="316"/>
      <c r="S4311" s="355"/>
    </row>
    <row r="4312" spans="13:19" x14ac:dyDescent="0.25">
      <c r="M4312" s="514"/>
      <c r="Q4312" s="293"/>
      <c r="R4312" s="316"/>
      <c r="S4312" s="355"/>
    </row>
    <row r="4313" spans="13:19" x14ac:dyDescent="0.25">
      <c r="M4313" s="514"/>
      <c r="Q4313" s="293"/>
      <c r="R4313" s="316"/>
      <c r="S4313" s="355"/>
    </row>
    <row r="4314" spans="13:19" x14ac:dyDescent="0.25">
      <c r="M4314" s="514"/>
      <c r="Q4314" s="293"/>
      <c r="R4314" s="316"/>
      <c r="S4314" s="355"/>
    </row>
    <row r="4315" spans="13:19" x14ac:dyDescent="0.25">
      <c r="M4315" s="514"/>
      <c r="Q4315" s="293"/>
      <c r="R4315" s="316"/>
      <c r="S4315" s="355"/>
    </row>
    <row r="4316" spans="13:19" x14ac:dyDescent="0.25">
      <c r="M4316" s="514"/>
      <c r="Q4316" s="293"/>
      <c r="R4316" s="316"/>
      <c r="S4316" s="355"/>
    </row>
    <row r="4317" spans="13:19" x14ac:dyDescent="0.25">
      <c r="M4317" s="514"/>
      <c r="Q4317" s="293"/>
      <c r="R4317" s="316"/>
      <c r="S4317" s="355"/>
    </row>
    <row r="4318" spans="13:19" x14ac:dyDescent="0.25">
      <c r="M4318" s="514"/>
      <c r="Q4318" s="293"/>
      <c r="R4318" s="316"/>
      <c r="S4318" s="355"/>
    </row>
    <row r="4319" spans="13:19" x14ac:dyDescent="0.25">
      <c r="M4319" s="514"/>
      <c r="Q4319" s="293"/>
      <c r="R4319" s="316"/>
      <c r="S4319" s="355"/>
    </row>
    <row r="4320" spans="13:19" x14ac:dyDescent="0.25">
      <c r="M4320" s="514"/>
      <c r="Q4320" s="293"/>
      <c r="R4320" s="316"/>
      <c r="S4320" s="355"/>
    </row>
    <row r="4321" spans="13:19" x14ac:dyDescent="0.25">
      <c r="M4321" s="514"/>
      <c r="Q4321" s="293"/>
      <c r="R4321" s="316"/>
      <c r="S4321" s="355"/>
    </row>
    <row r="4322" spans="13:19" x14ac:dyDescent="0.25">
      <c r="M4322" s="514"/>
      <c r="Q4322" s="293"/>
      <c r="R4322" s="316"/>
      <c r="S4322" s="355"/>
    </row>
    <row r="4323" spans="13:19" x14ac:dyDescent="0.25">
      <c r="M4323" s="514"/>
      <c r="Q4323" s="293"/>
      <c r="R4323" s="316"/>
      <c r="S4323" s="355"/>
    </row>
    <row r="4324" spans="13:19" x14ac:dyDescent="0.25">
      <c r="M4324" s="514"/>
      <c r="Q4324" s="293"/>
      <c r="R4324" s="316"/>
      <c r="S4324" s="355"/>
    </row>
    <row r="4325" spans="13:19" x14ac:dyDescent="0.25">
      <c r="M4325" s="514"/>
      <c r="Q4325" s="293"/>
      <c r="R4325" s="316"/>
      <c r="S4325" s="355"/>
    </row>
    <row r="4326" spans="13:19" x14ac:dyDescent="0.25">
      <c r="M4326" s="514"/>
      <c r="Q4326" s="293"/>
      <c r="R4326" s="316"/>
      <c r="S4326" s="355"/>
    </row>
    <row r="4327" spans="13:19" x14ac:dyDescent="0.25">
      <c r="M4327" s="514"/>
      <c r="Q4327" s="293"/>
      <c r="R4327" s="316"/>
      <c r="S4327" s="355"/>
    </row>
    <row r="4328" spans="13:19" x14ac:dyDescent="0.25">
      <c r="M4328" s="514"/>
      <c r="Q4328" s="293"/>
      <c r="R4328" s="316"/>
      <c r="S4328" s="355"/>
    </row>
    <row r="4329" spans="13:19" x14ac:dyDescent="0.25">
      <c r="M4329" s="514"/>
      <c r="Q4329" s="293"/>
      <c r="R4329" s="316"/>
      <c r="S4329" s="355"/>
    </row>
    <row r="4330" spans="13:19" x14ac:dyDescent="0.25">
      <c r="M4330" s="514"/>
      <c r="Q4330" s="293"/>
      <c r="R4330" s="316"/>
      <c r="S4330" s="355"/>
    </row>
    <row r="4331" spans="13:19" x14ac:dyDescent="0.25">
      <c r="M4331" s="514"/>
      <c r="Q4331" s="293"/>
      <c r="R4331" s="316"/>
      <c r="S4331" s="355"/>
    </row>
    <row r="4332" spans="13:19" x14ac:dyDescent="0.25">
      <c r="M4332" s="514"/>
      <c r="Q4332" s="293"/>
      <c r="R4332" s="316"/>
      <c r="S4332" s="355"/>
    </row>
    <row r="4333" spans="13:19" x14ac:dyDescent="0.25">
      <c r="M4333" s="514"/>
      <c r="Q4333" s="293"/>
      <c r="R4333" s="316"/>
      <c r="S4333" s="355"/>
    </row>
    <row r="4334" spans="13:19" x14ac:dyDescent="0.25">
      <c r="M4334" s="514"/>
      <c r="Q4334" s="293"/>
      <c r="R4334" s="316"/>
      <c r="S4334" s="355"/>
    </row>
    <row r="4335" spans="13:19" x14ac:dyDescent="0.25">
      <c r="M4335" s="514"/>
      <c r="Q4335" s="293"/>
      <c r="R4335" s="316"/>
      <c r="S4335" s="355"/>
    </row>
    <row r="4336" spans="13:19" x14ac:dyDescent="0.25">
      <c r="M4336" s="514"/>
      <c r="Q4336" s="293"/>
      <c r="R4336" s="316"/>
      <c r="S4336" s="355"/>
    </row>
    <row r="4337" spans="13:19" x14ac:dyDescent="0.25">
      <c r="M4337" s="514"/>
      <c r="Q4337" s="293"/>
      <c r="R4337" s="316"/>
      <c r="S4337" s="355"/>
    </row>
    <row r="4338" spans="13:19" x14ac:dyDescent="0.25">
      <c r="M4338" s="514"/>
      <c r="Q4338" s="293"/>
      <c r="R4338" s="316"/>
      <c r="S4338" s="355"/>
    </row>
    <row r="4339" spans="13:19" x14ac:dyDescent="0.25">
      <c r="M4339" s="514"/>
      <c r="Q4339" s="293"/>
      <c r="R4339" s="316"/>
      <c r="S4339" s="355"/>
    </row>
    <row r="4340" spans="13:19" x14ac:dyDescent="0.25">
      <c r="M4340" s="514"/>
      <c r="Q4340" s="293"/>
      <c r="R4340" s="316"/>
      <c r="S4340" s="355"/>
    </row>
    <row r="4341" spans="13:19" x14ac:dyDescent="0.25">
      <c r="M4341" s="514"/>
      <c r="Q4341" s="293"/>
      <c r="R4341" s="316"/>
      <c r="S4341" s="355"/>
    </row>
    <row r="4342" spans="13:19" x14ac:dyDescent="0.25">
      <c r="M4342" s="514"/>
      <c r="Q4342" s="293"/>
      <c r="R4342" s="316"/>
      <c r="S4342" s="355"/>
    </row>
    <row r="4343" spans="13:19" x14ac:dyDescent="0.25">
      <c r="M4343" s="514"/>
      <c r="Q4343" s="293"/>
      <c r="R4343" s="316"/>
      <c r="S4343" s="355"/>
    </row>
    <row r="4344" spans="13:19" x14ac:dyDescent="0.25">
      <c r="M4344" s="514"/>
      <c r="Q4344" s="293"/>
      <c r="R4344" s="316"/>
      <c r="S4344" s="355"/>
    </row>
    <row r="4345" spans="13:19" x14ac:dyDescent="0.25">
      <c r="M4345" s="514"/>
      <c r="Q4345" s="293"/>
      <c r="R4345" s="316"/>
      <c r="S4345" s="355"/>
    </row>
    <row r="4346" spans="13:19" x14ac:dyDescent="0.25">
      <c r="M4346" s="514"/>
      <c r="Q4346" s="293"/>
      <c r="R4346" s="316"/>
      <c r="S4346" s="355"/>
    </row>
    <row r="4347" spans="13:19" x14ac:dyDescent="0.25">
      <c r="M4347" s="514"/>
      <c r="Q4347" s="293"/>
      <c r="R4347" s="316"/>
      <c r="S4347" s="355"/>
    </row>
    <row r="4348" spans="13:19" x14ac:dyDescent="0.25">
      <c r="M4348" s="514"/>
      <c r="Q4348" s="293"/>
      <c r="R4348" s="316"/>
      <c r="S4348" s="355"/>
    </row>
    <row r="4349" spans="13:19" x14ac:dyDescent="0.25">
      <c r="M4349" s="514"/>
      <c r="Q4349" s="293"/>
      <c r="R4349" s="316"/>
      <c r="S4349" s="355"/>
    </row>
    <row r="4350" spans="13:19" x14ac:dyDescent="0.25">
      <c r="M4350" s="514"/>
      <c r="Q4350" s="293"/>
      <c r="R4350" s="316"/>
      <c r="S4350" s="355"/>
    </row>
    <row r="4351" spans="13:19" x14ac:dyDescent="0.25">
      <c r="M4351" s="514"/>
      <c r="Q4351" s="293"/>
      <c r="R4351" s="316"/>
      <c r="S4351" s="355"/>
    </row>
    <row r="4352" spans="13:19" x14ac:dyDescent="0.25">
      <c r="M4352" s="514"/>
      <c r="Q4352" s="293"/>
      <c r="R4352" s="316"/>
      <c r="S4352" s="355"/>
    </row>
    <row r="4353" spans="13:19" x14ac:dyDescent="0.25">
      <c r="M4353" s="514"/>
      <c r="Q4353" s="293"/>
      <c r="R4353" s="316"/>
      <c r="S4353" s="355"/>
    </row>
    <row r="4354" spans="13:19" x14ac:dyDescent="0.25">
      <c r="M4354" s="514"/>
      <c r="Q4354" s="293"/>
      <c r="R4354" s="316"/>
      <c r="S4354" s="355"/>
    </row>
    <row r="4355" spans="13:19" x14ac:dyDescent="0.25">
      <c r="M4355" s="514"/>
      <c r="Q4355" s="293"/>
      <c r="R4355" s="316"/>
      <c r="S4355" s="355"/>
    </row>
    <row r="4356" spans="13:19" x14ac:dyDescent="0.25">
      <c r="M4356" s="514"/>
      <c r="Q4356" s="293"/>
      <c r="R4356" s="316"/>
      <c r="S4356" s="355"/>
    </row>
    <row r="4357" spans="13:19" x14ac:dyDescent="0.25">
      <c r="M4357" s="514"/>
      <c r="Q4357" s="293"/>
      <c r="R4357" s="316"/>
      <c r="S4357" s="355"/>
    </row>
    <row r="4358" spans="13:19" x14ac:dyDescent="0.25">
      <c r="M4358" s="514"/>
      <c r="Q4358" s="293"/>
      <c r="R4358" s="316"/>
      <c r="S4358" s="355"/>
    </row>
    <row r="4359" spans="13:19" x14ac:dyDescent="0.25">
      <c r="M4359" s="514"/>
      <c r="Q4359" s="293"/>
      <c r="R4359" s="316"/>
      <c r="S4359" s="355"/>
    </row>
    <row r="4360" spans="13:19" x14ac:dyDescent="0.25">
      <c r="M4360" s="514"/>
      <c r="Q4360" s="293"/>
      <c r="R4360" s="316"/>
      <c r="S4360" s="355"/>
    </row>
    <row r="4361" spans="13:19" x14ac:dyDescent="0.25">
      <c r="M4361" s="514"/>
      <c r="Q4361" s="293"/>
      <c r="R4361" s="316"/>
      <c r="S4361" s="355"/>
    </row>
    <row r="4362" spans="13:19" x14ac:dyDescent="0.25">
      <c r="M4362" s="514"/>
      <c r="Q4362" s="293"/>
      <c r="R4362" s="316"/>
      <c r="S4362" s="355"/>
    </row>
    <row r="4363" spans="13:19" x14ac:dyDescent="0.25">
      <c r="M4363" s="514"/>
      <c r="Q4363" s="293"/>
      <c r="R4363" s="316"/>
      <c r="S4363" s="355"/>
    </row>
    <row r="4364" spans="13:19" x14ac:dyDescent="0.25">
      <c r="M4364" s="514"/>
      <c r="Q4364" s="293"/>
      <c r="R4364" s="316"/>
      <c r="S4364" s="355"/>
    </row>
    <row r="4365" spans="13:19" x14ac:dyDescent="0.25">
      <c r="M4365" s="514"/>
      <c r="Q4365" s="293"/>
      <c r="R4365" s="316"/>
      <c r="S4365" s="355"/>
    </row>
    <row r="4366" spans="13:19" x14ac:dyDescent="0.25">
      <c r="M4366" s="514"/>
      <c r="Q4366" s="293"/>
      <c r="R4366" s="316"/>
      <c r="S4366" s="355"/>
    </row>
    <row r="4367" spans="13:19" x14ac:dyDescent="0.25">
      <c r="M4367" s="514"/>
      <c r="Q4367" s="293"/>
      <c r="R4367" s="316"/>
      <c r="S4367" s="355"/>
    </row>
    <row r="4368" spans="13:19" x14ac:dyDescent="0.25">
      <c r="M4368" s="514"/>
      <c r="Q4368" s="293"/>
      <c r="R4368" s="316"/>
      <c r="S4368" s="355"/>
    </row>
    <row r="4369" spans="13:19" x14ac:dyDescent="0.25">
      <c r="M4369" s="514"/>
      <c r="Q4369" s="293"/>
      <c r="R4369" s="316"/>
      <c r="S4369" s="355"/>
    </row>
    <row r="4370" spans="13:19" x14ac:dyDescent="0.25">
      <c r="M4370" s="514"/>
      <c r="Q4370" s="293"/>
      <c r="R4370" s="316"/>
      <c r="S4370" s="355"/>
    </row>
    <row r="4371" spans="13:19" x14ac:dyDescent="0.25">
      <c r="M4371" s="514"/>
      <c r="Q4371" s="293"/>
      <c r="R4371" s="316"/>
      <c r="S4371" s="355"/>
    </row>
    <row r="4372" spans="13:19" x14ac:dyDescent="0.25">
      <c r="M4372" s="514"/>
      <c r="Q4372" s="293"/>
      <c r="R4372" s="316"/>
      <c r="S4372" s="355"/>
    </row>
    <row r="4373" spans="13:19" x14ac:dyDescent="0.25">
      <c r="M4373" s="514"/>
      <c r="Q4373" s="293"/>
      <c r="R4373" s="316"/>
      <c r="S4373" s="355"/>
    </row>
    <row r="4374" spans="13:19" x14ac:dyDescent="0.25">
      <c r="M4374" s="514"/>
      <c r="Q4374" s="293"/>
      <c r="R4374" s="316"/>
      <c r="S4374" s="355"/>
    </row>
    <row r="4375" spans="13:19" x14ac:dyDescent="0.25">
      <c r="M4375" s="514"/>
      <c r="Q4375" s="293"/>
      <c r="R4375" s="316"/>
      <c r="S4375" s="355"/>
    </row>
    <row r="4376" spans="13:19" x14ac:dyDescent="0.25">
      <c r="M4376" s="514"/>
      <c r="Q4376" s="293"/>
      <c r="R4376" s="316"/>
      <c r="S4376" s="355"/>
    </row>
    <row r="4377" spans="13:19" x14ac:dyDescent="0.25">
      <c r="M4377" s="514"/>
      <c r="Q4377" s="293"/>
      <c r="R4377" s="316"/>
      <c r="S4377" s="355"/>
    </row>
    <row r="4378" spans="13:19" x14ac:dyDescent="0.25">
      <c r="M4378" s="514"/>
      <c r="Q4378" s="293"/>
      <c r="R4378" s="316"/>
      <c r="S4378" s="355"/>
    </row>
    <row r="4379" spans="13:19" x14ac:dyDescent="0.25">
      <c r="M4379" s="514"/>
      <c r="Q4379" s="293"/>
      <c r="R4379" s="316"/>
      <c r="S4379" s="355"/>
    </row>
    <row r="4380" spans="13:19" x14ac:dyDescent="0.25">
      <c r="M4380" s="514"/>
      <c r="Q4380" s="293"/>
      <c r="R4380" s="316"/>
      <c r="S4380" s="355"/>
    </row>
    <row r="4381" spans="13:19" x14ac:dyDescent="0.25">
      <c r="M4381" s="514"/>
      <c r="Q4381" s="293"/>
      <c r="R4381" s="316"/>
      <c r="S4381" s="355"/>
    </row>
    <row r="4382" spans="13:19" x14ac:dyDescent="0.25">
      <c r="M4382" s="514"/>
      <c r="Q4382" s="293"/>
      <c r="R4382" s="316"/>
      <c r="S4382" s="355"/>
    </row>
    <row r="4383" spans="13:19" x14ac:dyDescent="0.25">
      <c r="M4383" s="514"/>
      <c r="Q4383" s="293"/>
      <c r="R4383" s="316"/>
      <c r="S4383" s="355"/>
    </row>
    <row r="4384" spans="13:19" x14ac:dyDescent="0.25">
      <c r="M4384" s="514"/>
      <c r="Q4384" s="293"/>
      <c r="R4384" s="316"/>
      <c r="S4384" s="355"/>
    </row>
    <row r="4385" spans="13:19" x14ac:dyDescent="0.25">
      <c r="M4385" s="514"/>
      <c r="Q4385" s="293"/>
      <c r="R4385" s="316"/>
      <c r="S4385" s="355"/>
    </row>
    <row r="4386" spans="13:19" x14ac:dyDescent="0.25">
      <c r="M4386" s="514"/>
      <c r="Q4386" s="293"/>
      <c r="R4386" s="316"/>
      <c r="S4386" s="355"/>
    </row>
    <row r="4387" spans="13:19" x14ac:dyDescent="0.25">
      <c r="M4387" s="514"/>
      <c r="Q4387" s="293"/>
      <c r="R4387" s="316"/>
      <c r="S4387" s="355"/>
    </row>
    <row r="4388" spans="13:19" x14ac:dyDescent="0.25">
      <c r="M4388" s="514"/>
      <c r="Q4388" s="293"/>
      <c r="R4388" s="316"/>
      <c r="S4388" s="355"/>
    </row>
    <row r="4389" spans="13:19" x14ac:dyDescent="0.25">
      <c r="M4389" s="514"/>
      <c r="Q4389" s="293"/>
      <c r="R4389" s="316"/>
      <c r="S4389" s="355"/>
    </row>
    <row r="4390" spans="13:19" x14ac:dyDescent="0.25">
      <c r="M4390" s="514"/>
      <c r="Q4390" s="293"/>
      <c r="R4390" s="316"/>
      <c r="S4390" s="355"/>
    </row>
    <row r="4391" spans="13:19" x14ac:dyDescent="0.25">
      <c r="M4391" s="514"/>
      <c r="Q4391" s="293"/>
      <c r="R4391" s="316"/>
      <c r="S4391" s="355"/>
    </row>
    <row r="4392" spans="13:19" x14ac:dyDescent="0.25">
      <c r="M4392" s="514"/>
      <c r="Q4392" s="293"/>
      <c r="R4392" s="316"/>
      <c r="S4392" s="355"/>
    </row>
    <row r="4393" spans="13:19" x14ac:dyDescent="0.25">
      <c r="M4393" s="514"/>
      <c r="Q4393" s="293"/>
      <c r="R4393" s="316"/>
      <c r="S4393" s="355"/>
    </row>
    <row r="4394" spans="13:19" x14ac:dyDescent="0.25">
      <c r="M4394" s="514"/>
      <c r="Q4394" s="293"/>
      <c r="R4394" s="316"/>
      <c r="S4394" s="355"/>
    </row>
    <row r="4395" spans="13:19" x14ac:dyDescent="0.25">
      <c r="M4395" s="514"/>
      <c r="Q4395" s="293"/>
      <c r="R4395" s="316"/>
      <c r="S4395" s="355"/>
    </row>
    <row r="4396" spans="13:19" x14ac:dyDescent="0.25">
      <c r="M4396" s="514"/>
      <c r="Q4396" s="293"/>
      <c r="R4396" s="316"/>
      <c r="S4396" s="355"/>
    </row>
    <row r="4397" spans="13:19" x14ac:dyDescent="0.25">
      <c r="M4397" s="514"/>
      <c r="Q4397" s="293"/>
      <c r="R4397" s="316"/>
      <c r="S4397" s="355"/>
    </row>
    <row r="4398" spans="13:19" x14ac:dyDescent="0.25">
      <c r="M4398" s="514"/>
      <c r="Q4398" s="293"/>
      <c r="R4398" s="316"/>
      <c r="S4398" s="355"/>
    </row>
    <row r="4399" spans="13:19" x14ac:dyDescent="0.25">
      <c r="M4399" s="514"/>
      <c r="Q4399" s="293"/>
      <c r="R4399" s="316"/>
      <c r="S4399" s="355"/>
    </row>
    <row r="4400" spans="13:19" x14ac:dyDescent="0.25">
      <c r="M4400" s="514"/>
      <c r="Q4400" s="293"/>
      <c r="R4400" s="316"/>
      <c r="S4400" s="355"/>
    </row>
    <row r="4401" spans="13:19" x14ac:dyDescent="0.25">
      <c r="M4401" s="514"/>
      <c r="Q4401" s="293"/>
      <c r="R4401" s="316"/>
      <c r="S4401" s="355"/>
    </row>
    <row r="4402" spans="13:19" x14ac:dyDescent="0.25">
      <c r="M4402" s="514"/>
      <c r="Q4402" s="293"/>
      <c r="R4402" s="316"/>
      <c r="S4402" s="355"/>
    </row>
    <row r="4403" spans="13:19" x14ac:dyDescent="0.25">
      <c r="M4403" s="514"/>
      <c r="Q4403" s="293"/>
      <c r="R4403" s="316"/>
      <c r="S4403" s="355"/>
    </row>
    <row r="4404" spans="13:19" x14ac:dyDescent="0.25">
      <c r="M4404" s="514"/>
      <c r="Q4404" s="293"/>
      <c r="R4404" s="316"/>
      <c r="S4404" s="355"/>
    </row>
    <row r="4405" spans="13:19" x14ac:dyDescent="0.25">
      <c r="M4405" s="514"/>
      <c r="Q4405" s="293"/>
      <c r="R4405" s="316"/>
      <c r="S4405" s="355"/>
    </row>
    <row r="4406" spans="13:19" x14ac:dyDescent="0.25">
      <c r="M4406" s="514"/>
      <c r="Q4406" s="293"/>
      <c r="R4406" s="316"/>
      <c r="S4406" s="355"/>
    </row>
    <row r="4407" spans="13:19" x14ac:dyDescent="0.25">
      <c r="M4407" s="514"/>
      <c r="Q4407" s="293"/>
      <c r="R4407" s="316"/>
      <c r="S4407" s="355"/>
    </row>
    <row r="4408" spans="13:19" x14ac:dyDescent="0.25">
      <c r="M4408" s="514"/>
      <c r="Q4408" s="293"/>
      <c r="R4408" s="316"/>
      <c r="S4408" s="355"/>
    </row>
    <row r="4409" spans="13:19" x14ac:dyDescent="0.25">
      <c r="M4409" s="514"/>
      <c r="Q4409" s="293"/>
      <c r="R4409" s="316"/>
      <c r="S4409" s="355"/>
    </row>
    <row r="4410" spans="13:19" x14ac:dyDescent="0.25">
      <c r="M4410" s="514"/>
      <c r="Q4410" s="293"/>
      <c r="R4410" s="316"/>
      <c r="S4410" s="355"/>
    </row>
    <row r="4411" spans="13:19" x14ac:dyDescent="0.25">
      <c r="M4411" s="514"/>
      <c r="Q4411" s="293"/>
      <c r="R4411" s="316"/>
      <c r="S4411" s="355"/>
    </row>
    <row r="4412" spans="13:19" x14ac:dyDescent="0.25">
      <c r="M4412" s="514"/>
      <c r="Q4412" s="293"/>
      <c r="R4412" s="316"/>
      <c r="S4412" s="355"/>
    </row>
    <row r="4413" spans="13:19" x14ac:dyDescent="0.25">
      <c r="M4413" s="514"/>
      <c r="Q4413" s="293"/>
      <c r="R4413" s="316"/>
      <c r="S4413" s="355"/>
    </row>
    <row r="4414" spans="13:19" x14ac:dyDescent="0.25">
      <c r="M4414" s="514"/>
      <c r="Q4414" s="293"/>
      <c r="R4414" s="316"/>
      <c r="S4414" s="355"/>
    </row>
    <row r="4415" spans="13:19" x14ac:dyDescent="0.25">
      <c r="M4415" s="514"/>
      <c r="Q4415" s="293"/>
      <c r="R4415" s="316"/>
      <c r="S4415" s="355"/>
    </row>
    <row r="4416" spans="13:19" x14ac:dyDescent="0.25">
      <c r="M4416" s="514"/>
      <c r="Q4416" s="293"/>
      <c r="R4416" s="316"/>
      <c r="S4416" s="355"/>
    </row>
    <row r="4417" spans="13:19" x14ac:dyDescent="0.25">
      <c r="M4417" s="514"/>
      <c r="Q4417" s="293"/>
      <c r="R4417" s="316"/>
      <c r="S4417" s="355"/>
    </row>
    <row r="4418" spans="13:19" x14ac:dyDescent="0.25">
      <c r="M4418" s="514"/>
      <c r="Q4418" s="293"/>
      <c r="R4418" s="316"/>
      <c r="S4418" s="355"/>
    </row>
    <row r="4419" spans="13:19" x14ac:dyDescent="0.25">
      <c r="M4419" s="514"/>
      <c r="Q4419" s="293"/>
      <c r="R4419" s="316"/>
      <c r="S4419" s="355"/>
    </row>
    <row r="4420" spans="13:19" x14ac:dyDescent="0.25">
      <c r="M4420" s="514"/>
      <c r="Q4420" s="293"/>
      <c r="R4420" s="316"/>
      <c r="S4420" s="355"/>
    </row>
    <row r="4421" spans="13:19" x14ac:dyDescent="0.25">
      <c r="M4421" s="514"/>
      <c r="Q4421" s="293"/>
      <c r="R4421" s="316"/>
      <c r="S4421" s="355"/>
    </row>
    <row r="4422" spans="13:19" x14ac:dyDescent="0.25">
      <c r="M4422" s="514"/>
      <c r="Q4422" s="293"/>
      <c r="R4422" s="316"/>
      <c r="S4422" s="355"/>
    </row>
    <row r="4423" spans="13:19" x14ac:dyDescent="0.25">
      <c r="M4423" s="514"/>
      <c r="Q4423" s="293"/>
      <c r="R4423" s="316"/>
      <c r="S4423" s="355"/>
    </row>
    <row r="4424" spans="13:19" x14ac:dyDescent="0.25">
      <c r="M4424" s="514"/>
      <c r="Q4424" s="293"/>
      <c r="R4424" s="316"/>
      <c r="S4424" s="355"/>
    </row>
    <row r="4425" spans="13:19" x14ac:dyDescent="0.25">
      <c r="M4425" s="514"/>
      <c r="Q4425" s="293"/>
      <c r="R4425" s="316"/>
      <c r="S4425" s="355"/>
    </row>
    <row r="4426" spans="13:19" x14ac:dyDescent="0.25">
      <c r="M4426" s="514"/>
      <c r="Q4426" s="293"/>
      <c r="R4426" s="316"/>
      <c r="S4426" s="355"/>
    </row>
    <row r="4427" spans="13:19" x14ac:dyDescent="0.25">
      <c r="M4427" s="514"/>
      <c r="Q4427" s="293"/>
      <c r="R4427" s="316"/>
      <c r="S4427" s="355"/>
    </row>
    <row r="4428" spans="13:19" x14ac:dyDescent="0.25">
      <c r="M4428" s="514"/>
      <c r="Q4428" s="293"/>
      <c r="R4428" s="316"/>
      <c r="S4428" s="355"/>
    </row>
    <row r="4429" spans="13:19" x14ac:dyDescent="0.25">
      <c r="M4429" s="514"/>
      <c r="Q4429" s="293"/>
      <c r="R4429" s="316"/>
      <c r="S4429" s="355"/>
    </row>
    <row r="4430" spans="13:19" x14ac:dyDescent="0.25">
      <c r="M4430" s="514"/>
      <c r="Q4430" s="293"/>
      <c r="R4430" s="316"/>
      <c r="S4430" s="355"/>
    </row>
    <row r="4431" spans="13:19" x14ac:dyDescent="0.25">
      <c r="M4431" s="514"/>
      <c r="Q4431" s="293"/>
      <c r="R4431" s="316"/>
      <c r="S4431" s="355"/>
    </row>
    <row r="4432" spans="13:19" x14ac:dyDescent="0.25">
      <c r="M4432" s="514"/>
      <c r="Q4432" s="293"/>
      <c r="R4432" s="316"/>
      <c r="S4432" s="355"/>
    </row>
    <row r="4433" spans="13:19" x14ac:dyDescent="0.25">
      <c r="M4433" s="514"/>
      <c r="Q4433" s="293"/>
      <c r="R4433" s="316"/>
      <c r="S4433" s="355"/>
    </row>
    <row r="4434" spans="13:19" x14ac:dyDescent="0.25">
      <c r="M4434" s="514"/>
      <c r="Q4434" s="293"/>
      <c r="R4434" s="316"/>
      <c r="S4434" s="355"/>
    </row>
    <row r="4435" spans="13:19" x14ac:dyDescent="0.25">
      <c r="M4435" s="514"/>
      <c r="Q4435" s="293"/>
      <c r="R4435" s="316"/>
      <c r="S4435" s="355"/>
    </row>
    <row r="4436" spans="13:19" x14ac:dyDescent="0.25">
      <c r="M4436" s="514"/>
      <c r="Q4436" s="293"/>
      <c r="R4436" s="316"/>
      <c r="S4436" s="355"/>
    </row>
    <row r="4437" spans="13:19" x14ac:dyDescent="0.25">
      <c r="M4437" s="514"/>
      <c r="Q4437" s="293"/>
      <c r="R4437" s="316"/>
      <c r="S4437" s="355"/>
    </row>
    <row r="4438" spans="13:19" x14ac:dyDescent="0.25">
      <c r="M4438" s="514"/>
      <c r="Q4438" s="293"/>
      <c r="R4438" s="316"/>
      <c r="S4438" s="355"/>
    </row>
    <row r="4439" spans="13:19" x14ac:dyDescent="0.25">
      <c r="M4439" s="514"/>
      <c r="Q4439" s="293"/>
      <c r="R4439" s="316"/>
      <c r="S4439" s="355"/>
    </row>
    <row r="4440" spans="13:19" x14ac:dyDescent="0.25">
      <c r="M4440" s="514"/>
      <c r="Q4440" s="293"/>
      <c r="R4440" s="316"/>
      <c r="S4440" s="355"/>
    </row>
    <row r="4441" spans="13:19" x14ac:dyDescent="0.25">
      <c r="M4441" s="514"/>
      <c r="Q4441" s="293"/>
      <c r="R4441" s="316"/>
      <c r="S4441" s="355"/>
    </row>
    <row r="4442" spans="13:19" x14ac:dyDescent="0.25">
      <c r="M4442" s="514"/>
      <c r="Q4442" s="293"/>
      <c r="R4442" s="316"/>
      <c r="S4442" s="355"/>
    </row>
    <row r="4443" spans="13:19" x14ac:dyDescent="0.25">
      <c r="M4443" s="514"/>
      <c r="Q4443" s="293"/>
      <c r="R4443" s="316"/>
      <c r="S4443" s="355"/>
    </row>
    <row r="4444" spans="13:19" x14ac:dyDescent="0.25">
      <c r="M4444" s="514"/>
      <c r="Q4444" s="293"/>
      <c r="R4444" s="316"/>
      <c r="S4444" s="355"/>
    </row>
    <row r="4445" spans="13:19" x14ac:dyDescent="0.25">
      <c r="M4445" s="514"/>
      <c r="Q4445" s="293"/>
      <c r="R4445" s="316"/>
      <c r="S4445" s="355"/>
    </row>
    <row r="4446" spans="13:19" x14ac:dyDescent="0.25">
      <c r="M4446" s="514"/>
      <c r="Q4446" s="293"/>
      <c r="R4446" s="316"/>
      <c r="S4446" s="355"/>
    </row>
    <row r="4447" spans="13:19" x14ac:dyDescent="0.25">
      <c r="M4447" s="514"/>
      <c r="Q4447" s="293"/>
      <c r="R4447" s="316"/>
      <c r="S4447" s="355"/>
    </row>
    <row r="4448" spans="13:19" x14ac:dyDescent="0.25">
      <c r="M4448" s="514"/>
      <c r="Q4448" s="293"/>
      <c r="R4448" s="316"/>
      <c r="S4448" s="355"/>
    </row>
    <row r="4449" spans="13:19" x14ac:dyDescent="0.25">
      <c r="M4449" s="514"/>
      <c r="Q4449" s="293"/>
      <c r="R4449" s="316"/>
      <c r="S4449" s="355"/>
    </row>
    <row r="4450" spans="13:19" x14ac:dyDescent="0.25">
      <c r="M4450" s="514"/>
      <c r="Q4450" s="293"/>
      <c r="R4450" s="316"/>
      <c r="S4450" s="355"/>
    </row>
    <row r="4451" spans="13:19" x14ac:dyDescent="0.25">
      <c r="M4451" s="514"/>
      <c r="Q4451" s="293"/>
      <c r="R4451" s="316"/>
      <c r="S4451" s="355"/>
    </row>
    <row r="4452" spans="13:19" x14ac:dyDescent="0.25">
      <c r="M4452" s="514"/>
      <c r="Q4452" s="293"/>
      <c r="R4452" s="316"/>
      <c r="S4452" s="355"/>
    </row>
    <row r="4453" spans="13:19" x14ac:dyDescent="0.25">
      <c r="M4453" s="514"/>
      <c r="Q4453" s="293"/>
      <c r="R4453" s="316"/>
      <c r="S4453" s="355"/>
    </row>
    <row r="4454" spans="13:19" x14ac:dyDescent="0.25">
      <c r="M4454" s="514"/>
      <c r="Q4454" s="293"/>
      <c r="R4454" s="316"/>
      <c r="S4454" s="355"/>
    </row>
    <row r="4455" spans="13:19" x14ac:dyDescent="0.25">
      <c r="M4455" s="514"/>
      <c r="Q4455" s="293"/>
      <c r="R4455" s="316"/>
      <c r="S4455" s="355"/>
    </row>
    <row r="4456" spans="13:19" x14ac:dyDescent="0.25">
      <c r="M4456" s="514"/>
      <c r="Q4456" s="293"/>
      <c r="R4456" s="316"/>
      <c r="S4456" s="355"/>
    </row>
    <row r="4457" spans="13:19" x14ac:dyDescent="0.25">
      <c r="M4457" s="514"/>
      <c r="Q4457" s="293"/>
      <c r="R4457" s="316"/>
      <c r="S4457" s="355"/>
    </row>
    <row r="4458" spans="13:19" x14ac:dyDescent="0.25">
      <c r="M4458" s="514"/>
      <c r="Q4458" s="293"/>
      <c r="R4458" s="316"/>
      <c r="S4458" s="355"/>
    </row>
    <row r="4459" spans="13:19" x14ac:dyDescent="0.25">
      <c r="M4459" s="514"/>
      <c r="Q4459" s="293"/>
      <c r="R4459" s="316"/>
      <c r="S4459" s="355"/>
    </row>
    <row r="4460" spans="13:19" x14ac:dyDescent="0.25">
      <c r="M4460" s="514"/>
      <c r="Q4460" s="293"/>
      <c r="R4460" s="316"/>
      <c r="S4460" s="355"/>
    </row>
    <row r="4461" spans="13:19" x14ac:dyDescent="0.25">
      <c r="M4461" s="514"/>
      <c r="Q4461" s="293"/>
      <c r="R4461" s="316"/>
      <c r="S4461" s="355"/>
    </row>
    <row r="4462" spans="13:19" x14ac:dyDescent="0.25">
      <c r="M4462" s="514"/>
      <c r="Q4462" s="293"/>
      <c r="R4462" s="316"/>
      <c r="S4462" s="355"/>
    </row>
    <row r="4463" spans="13:19" x14ac:dyDescent="0.25">
      <c r="M4463" s="514"/>
      <c r="Q4463" s="293"/>
      <c r="R4463" s="316"/>
      <c r="S4463" s="355"/>
    </row>
    <row r="4464" spans="13:19" x14ac:dyDescent="0.25">
      <c r="M4464" s="514"/>
      <c r="Q4464" s="293"/>
      <c r="R4464" s="316"/>
      <c r="S4464" s="355"/>
    </row>
    <row r="4465" spans="13:19" x14ac:dyDescent="0.25">
      <c r="M4465" s="514"/>
      <c r="Q4465" s="293"/>
      <c r="R4465" s="316"/>
      <c r="S4465" s="355"/>
    </row>
    <row r="4466" spans="13:19" x14ac:dyDescent="0.25">
      <c r="M4466" s="514"/>
      <c r="Q4466" s="293"/>
      <c r="R4466" s="316"/>
      <c r="S4466" s="355"/>
    </row>
    <row r="4467" spans="13:19" x14ac:dyDescent="0.25">
      <c r="M4467" s="514"/>
      <c r="Q4467" s="293"/>
      <c r="R4467" s="316"/>
      <c r="S4467" s="355"/>
    </row>
    <row r="4468" spans="13:19" x14ac:dyDescent="0.25">
      <c r="M4468" s="514"/>
      <c r="Q4468" s="293"/>
      <c r="R4468" s="316"/>
      <c r="S4468" s="355"/>
    </row>
    <row r="4469" spans="13:19" x14ac:dyDescent="0.25">
      <c r="M4469" s="514"/>
      <c r="Q4469" s="293"/>
      <c r="R4469" s="316"/>
      <c r="S4469" s="355"/>
    </row>
    <row r="4470" spans="13:19" x14ac:dyDescent="0.25">
      <c r="M4470" s="514"/>
      <c r="Q4470" s="293"/>
      <c r="R4470" s="316"/>
      <c r="S4470" s="355"/>
    </row>
    <row r="4471" spans="13:19" x14ac:dyDescent="0.25">
      <c r="M4471" s="514"/>
      <c r="Q4471" s="293"/>
      <c r="R4471" s="316"/>
      <c r="S4471" s="355"/>
    </row>
    <row r="4472" spans="13:19" x14ac:dyDescent="0.25">
      <c r="M4472" s="514"/>
      <c r="Q4472" s="293"/>
      <c r="R4472" s="316"/>
      <c r="S4472" s="355"/>
    </row>
    <row r="4473" spans="13:19" x14ac:dyDescent="0.25">
      <c r="M4473" s="514"/>
      <c r="Q4473" s="293"/>
      <c r="R4473" s="316"/>
      <c r="S4473" s="355"/>
    </row>
    <row r="4474" spans="13:19" x14ac:dyDescent="0.25">
      <c r="M4474" s="514"/>
      <c r="Q4474" s="293"/>
      <c r="R4474" s="316"/>
      <c r="S4474" s="355"/>
    </row>
    <row r="4475" spans="13:19" x14ac:dyDescent="0.25">
      <c r="M4475" s="514"/>
      <c r="Q4475" s="293"/>
      <c r="R4475" s="316"/>
      <c r="S4475" s="355"/>
    </row>
    <row r="4476" spans="13:19" x14ac:dyDescent="0.25">
      <c r="M4476" s="514"/>
      <c r="Q4476" s="293"/>
      <c r="R4476" s="316"/>
      <c r="S4476" s="355"/>
    </row>
    <row r="4477" spans="13:19" x14ac:dyDescent="0.25">
      <c r="M4477" s="514"/>
      <c r="Q4477" s="293"/>
      <c r="R4477" s="316"/>
      <c r="S4477" s="355"/>
    </row>
    <row r="4478" spans="13:19" x14ac:dyDescent="0.25">
      <c r="M4478" s="514"/>
      <c r="Q4478" s="293"/>
      <c r="R4478" s="316"/>
      <c r="S4478" s="355"/>
    </row>
    <row r="4479" spans="13:19" x14ac:dyDescent="0.25">
      <c r="M4479" s="514"/>
      <c r="Q4479" s="293"/>
      <c r="R4479" s="316"/>
      <c r="S4479" s="355"/>
    </row>
    <row r="4480" spans="13:19" x14ac:dyDescent="0.25">
      <c r="M4480" s="514"/>
      <c r="Q4480" s="293"/>
      <c r="R4480" s="316"/>
      <c r="S4480" s="355"/>
    </row>
    <row r="4481" spans="13:19" x14ac:dyDescent="0.25">
      <c r="M4481" s="514"/>
      <c r="Q4481" s="293"/>
      <c r="R4481" s="316"/>
      <c r="S4481" s="355"/>
    </row>
    <row r="4482" spans="13:19" x14ac:dyDescent="0.25">
      <c r="M4482" s="514"/>
      <c r="Q4482" s="293"/>
      <c r="R4482" s="316"/>
      <c r="S4482" s="355"/>
    </row>
    <row r="4483" spans="13:19" x14ac:dyDescent="0.25">
      <c r="M4483" s="514"/>
      <c r="Q4483" s="293"/>
      <c r="R4483" s="316"/>
      <c r="S4483" s="355"/>
    </row>
    <row r="4484" spans="13:19" x14ac:dyDescent="0.25">
      <c r="M4484" s="514"/>
      <c r="Q4484" s="293"/>
      <c r="R4484" s="316"/>
      <c r="S4484" s="355"/>
    </row>
    <row r="4485" spans="13:19" x14ac:dyDescent="0.25">
      <c r="M4485" s="514"/>
      <c r="Q4485" s="293"/>
      <c r="R4485" s="316"/>
      <c r="S4485" s="355"/>
    </row>
    <row r="4486" spans="13:19" x14ac:dyDescent="0.25">
      <c r="M4486" s="514"/>
      <c r="Q4486" s="293"/>
      <c r="R4486" s="316"/>
      <c r="S4486" s="355"/>
    </row>
    <row r="4487" spans="13:19" x14ac:dyDescent="0.25">
      <c r="M4487" s="514"/>
      <c r="Q4487" s="293"/>
      <c r="R4487" s="316"/>
      <c r="S4487" s="355"/>
    </row>
    <row r="4488" spans="13:19" x14ac:dyDescent="0.25">
      <c r="M4488" s="514"/>
      <c r="Q4488" s="293"/>
      <c r="R4488" s="316"/>
      <c r="S4488" s="355"/>
    </row>
    <row r="4489" spans="13:19" x14ac:dyDescent="0.25">
      <c r="M4489" s="514"/>
      <c r="Q4489" s="293"/>
      <c r="R4489" s="316"/>
      <c r="S4489" s="355"/>
    </row>
    <row r="4490" spans="13:19" x14ac:dyDescent="0.25">
      <c r="M4490" s="514"/>
      <c r="Q4490" s="293"/>
      <c r="R4490" s="316"/>
      <c r="S4490" s="355"/>
    </row>
    <row r="4491" spans="13:19" x14ac:dyDescent="0.25">
      <c r="M4491" s="514"/>
      <c r="Q4491" s="293"/>
      <c r="R4491" s="316"/>
      <c r="S4491" s="355"/>
    </row>
    <row r="4492" spans="13:19" x14ac:dyDescent="0.25">
      <c r="M4492" s="514"/>
      <c r="Q4492" s="293"/>
      <c r="R4492" s="316"/>
      <c r="S4492" s="355"/>
    </row>
    <row r="4493" spans="13:19" x14ac:dyDescent="0.25">
      <c r="M4493" s="514"/>
      <c r="Q4493" s="293"/>
      <c r="R4493" s="316"/>
      <c r="S4493" s="355"/>
    </row>
    <row r="4494" spans="13:19" x14ac:dyDescent="0.25">
      <c r="M4494" s="514"/>
      <c r="Q4494" s="293"/>
      <c r="R4494" s="316"/>
      <c r="S4494" s="355"/>
    </row>
    <row r="4495" spans="13:19" x14ac:dyDescent="0.25">
      <c r="M4495" s="514"/>
      <c r="Q4495" s="293"/>
      <c r="R4495" s="316"/>
      <c r="S4495" s="355"/>
    </row>
    <row r="4496" spans="13:19" x14ac:dyDescent="0.25">
      <c r="M4496" s="514"/>
      <c r="Q4496" s="293"/>
      <c r="R4496" s="316"/>
      <c r="S4496" s="355"/>
    </row>
    <row r="4497" spans="13:19" x14ac:dyDescent="0.25">
      <c r="M4497" s="514"/>
      <c r="Q4497" s="293"/>
      <c r="R4497" s="316"/>
      <c r="S4497" s="355"/>
    </row>
    <row r="4498" spans="13:19" x14ac:dyDescent="0.25">
      <c r="M4498" s="514"/>
      <c r="Q4498" s="293"/>
      <c r="R4498" s="316"/>
      <c r="S4498" s="355"/>
    </row>
    <row r="4499" spans="13:19" x14ac:dyDescent="0.25">
      <c r="M4499" s="514"/>
      <c r="Q4499" s="293"/>
      <c r="R4499" s="316"/>
      <c r="S4499" s="355"/>
    </row>
    <row r="4500" spans="13:19" x14ac:dyDescent="0.25">
      <c r="M4500" s="514"/>
      <c r="Q4500" s="293"/>
      <c r="R4500" s="316"/>
      <c r="S4500" s="355"/>
    </row>
    <row r="4501" spans="13:19" x14ac:dyDescent="0.25">
      <c r="M4501" s="514"/>
      <c r="Q4501" s="293"/>
      <c r="R4501" s="316"/>
      <c r="S4501" s="355"/>
    </row>
    <row r="4502" spans="13:19" x14ac:dyDescent="0.25">
      <c r="M4502" s="514"/>
      <c r="Q4502" s="293"/>
      <c r="R4502" s="316"/>
      <c r="S4502" s="355"/>
    </row>
    <row r="4503" spans="13:19" x14ac:dyDescent="0.25">
      <c r="M4503" s="514"/>
      <c r="Q4503" s="293"/>
      <c r="R4503" s="316"/>
      <c r="S4503" s="355"/>
    </row>
    <row r="4504" spans="13:19" x14ac:dyDescent="0.25">
      <c r="M4504" s="514"/>
      <c r="Q4504" s="293"/>
      <c r="R4504" s="316"/>
      <c r="S4504" s="355"/>
    </row>
    <row r="4505" spans="13:19" x14ac:dyDescent="0.25">
      <c r="M4505" s="514"/>
      <c r="Q4505" s="293"/>
      <c r="R4505" s="316"/>
      <c r="S4505" s="355"/>
    </row>
    <row r="4506" spans="13:19" x14ac:dyDescent="0.25">
      <c r="M4506" s="514"/>
      <c r="Q4506" s="293"/>
      <c r="R4506" s="316"/>
      <c r="S4506" s="355"/>
    </row>
    <row r="4507" spans="13:19" x14ac:dyDescent="0.25">
      <c r="M4507" s="514"/>
      <c r="Q4507" s="293"/>
      <c r="R4507" s="316"/>
      <c r="S4507" s="355"/>
    </row>
    <row r="4508" spans="13:19" x14ac:dyDescent="0.25">
      <c r="M4508" s="514"/>
      <c r="Q4508" s="293"/>
      <c r="R4508" s="316"/>
      <c r="S4508" s="355"/>
    </row>
    <row r="4509" spans="13:19" x14ac:dyDescent="0.25">
      <c r="M4509" s="514"/>
      <c r="Q4509" s="293"/>
      <c r="R4509" s="316"/>
      <c r="S4509" s="355"/>
    </row>
    <row r="4510" spans="13:19" x14ac:dyDescent="0.25">
      <c r="M4510" s="514"/>
      <c r="Q4510" s="293"/>
      <c r="R4510" s="316"/>
      <c r="S4510" s="355"/>
    </row>
    <row r="4511" spans="13:19" x14ac:dyDescent="0.25">
      <c r="M4511" s="514"/>
      <c r="Q4511" s="293"/>
      <c r="R4511" s="316"/>
      <c r="S4511" s="355"/>
    </row>
    <row r="4512" spans="13:19" x14ac:dyDescent="0.25">
      <c r="M4512" s="514"/>
      <c r="Q4512" s="293"/>
      <c r="R4512" s="316"/>
      <c r="S4512" s="355"/>
    </row>
    <row r="4513" spans="13:19" x14ac:dyDescent="0.25">
      <c r="M4513" s="514"/>
      <c r="Q4513" s="293"/>
      <c r="R4513" s="316"/>
      <c r="S4513" s="355"/>
    </row>
    <row r="4514" spans="13:19" x14ac:dyDescent="0.25">
      <c r="M4514" s="514"/>
      <c r="Q4514" s="293"/>
      <c r="R4514" s="316"/>
      <c r="S4514" s="355"/>
    </row>
    <row r="4515" spans="13:19" x14ac:dyDescent="0.25">
      <c r="M4515" s="514"/>
      <c r="Q4515" s="293"/>
      <c r="R4515" s="316"/>
      <c r="S4515" s="355"/>
    </row>
    <row r="4516" spans="13:19" x14ac:dyDescent="0.25">
      <c r="M4516" s="514"/>
      <c r="Q4516" s="293"/>
      <c r="R4516" s="316"/>
      <c r="S4516" s="355"/>
    </row>
    <row r="4517" spans="13:19" x14ac:dyDescent="0.25">
      <c r="M4517" s="514"/>
      <c r="Q4517" s="293"/>
      <c r="R4517" s="316"/>
      <c r="S4517" s="355"/>
    </row>
    <row r="4518" spans="13:19" x14ac:dyDescent="0.25">
      <c r="M4518" s="514"/>
      <c r="Q4518" s="293"/>
      <c r="R4518" s="316"/>
      <c r="S4518" s="355"/>
    </row>
    <row r="4519" spans="13:19" x14ac:dyDescent="0.25">
      <c r="M4519" s="514"/>
      <c r="Q4519" s="293"/>
      <c r="R4519" s="316"/>
      <c r="S4519" s="355"/>
    </row>
    <row r="4520" spans="13:19" x14ac:dyDescent="0.25">
      <c r="M4520" s="514"/>
      <c r="Q4520" s="293"/>
      <c r="R4520" s="316"/>
      <c r="S4520" s="355"/>
    </row>
    <row r="4521" spans="13:19" x14ac:dyDescent="0.25">
      <c r="M4521" s="514"/>
      <c r="Q4521" s="293"/>
      <c r="R4521" s="316"/>
      <c r="S4521" s="355"/>
    </row>
    <row r="4522" spans="13:19" x14ac:dyDescent="0.25">
      <c r="M4522" s="514"/>
      <c r="Q4522" s="293"/>
      <c r="R4522" s="316"/>
      <c r="S4522" s="355"/>
    </row>
    <row r="4523" spans="13:19" x14ac:dyDescent="0.25">
      <c r="M4523" s="514"/>
      <c r="Q4523" s="293"/>
      <c r="R4523" s="316"/>
      <c r="S4523" s="355"/>
    </row>
    <row r="4524" spans="13:19" x14ac:dyDescent="0.25">
      <c r="M4524" s="514"/>
      <c r="Q4524" s="293"/>
      <c r="R4524" s="316"/>
      <c r="S4524" s="355"/>
    </row>
    <row r="4525" spans="13:19" x14ac:dyDescent="0.25">
      <c r="M4525" s="514"/>
      <c r="Q4525" s="293"/>
      <c r="R4525" s="316"/>
      <c r="S4525" s="355"/>
    </row>
    <row r="4526" spans="13:19" x14ac:dyDescent="0.25">
      <c r="M4526" s="514"/>
      <c r="Q4526" s="293"/>
      <c r="R4526" s="316"/>
      <c r="S4526" s="355"/>
    </row>
    <row r="4527" spans="13:19" x14ac:dyDescent="0.25">
      <c r="M4527" s="514"/>
      <c r="Q4527" s="293"/>
      <c r="R4527" s="316"/>
      <c r="S4527" s="355"/>
    </row>
    <row r="4528" spans="13:19" x14ac:dyDescent="0.25">
      <c r="M4528" s="514"/>
      <c r="Q4528" s="293"/>
      <c r="R4528" s="316"/>
      <c r="S4528" s="355"/>
    </row>
    <row r="4529" spans="13:19" x14ac:dyDescent="0.25">
      <c r="M4529" s="514"/>
      <c r="Q4529" s="293"/>
      <c r="R4529" s="316"/>
      <c r="S4529" s="355"/>
    </row>
    <row r="4530" spans="13:19" x14ac:dyDescent="0.25">
      <c r="M4530" s="514"/>
      <c r="Q4530" s="293"/>
      <c r="R4530" s="316"/>
      <c r="S4530" s="355"/>
    </row>
    <row r="4531" spans="13:19" x14ac:dyDescent="0.25">
      <c r="M4531" s="514"/>
      <c r="Q4531" s="293"/>
      <c r="R4531" s="316"/>
      <c r="S4531" s="355"/>
    </row>
    <row r="4532" spans="13:19" x14ac:dyDescent="0.25">
      <c r="M4532" s="514"/>
      <c r="Q4532" s="293"/>
      <c r="R4532" s="316"/>
      <c r="S4532" s="355"/>
    </row>
    <row r="4533" spans="13:19" x14ac:dyDescent="0.25">
      <c r="M4533" s="514"/>
      <c r="Q4533" s="293"/>
      <c r="R4533" s="316"/>
      <c r="S4533" s="355"/>
    </row>
    <row r="4534" spans="13:19" x14ac:dyDescent="0.25">
      <c r="M4534" s="514"/>
      <c r="Q4534" s="293"/>
      <c r="R4534" s="316"/>
      <c r="S4534" s="355"/>
    </row>
    <row r="4535" spans="13:19" x14ac:dyDescent="0.25">
      <c r="M4535" s="514"/>
      <c r="Q4535" s="293"/>
      <c r="R4535" s="316"/>
      <c r="S4535" s="355"/>
    </row>
    <row r="4536" spans="13:19" x14ac:dyDescent="0.25">
      <c r="M4536" s="514"/>
      <c r="Q4536" s="293"/>
      <c r="R4536" s="316"/>
      <c r="S4536" s="355"/>
    </row>
    <row r="4537" spans="13:19" x14ac:dyDescent="0.25">
      <c r="M4537" s="514"/>
      <c r="Q4537" s="293"/>
      <c r="R4537" s="316"/>
      <c r="S4537" s="355"/>
    </row>
    <row r="4538" spans="13:19" x14ac:dyDescent="0.25">
      <c r="M4538" s="514"/>
      <c r="Q4538" s="293"/>
      <c r="R4538" s="316"/>
      <c r="S4538" s="355"/>
    </row>
    <row r="4539" spans="13:19" x14ac:dyDescent="0.25">
      <c r="M4539" s="514"/>
      <c r="Q4539" s="293"/>
      <c r="R4539" s="316"/>
      <c r="S4539" s="355"/>
    </row>
    <row r="4540" spans="13:19" x14ac:dyDescent="0.25">
      <c r="M4540" s="514"/>
      <c r="Q4540" s="293"/>
      <c r="R4540" s="316"/>
      <c r="S4540" s="355"/>
    </row>
    <row r="4541" spans="13:19" x14ac:dyDescent="0.25">
      <c r="M4541" s="514"/>
      <c r="Q4541" s="293"/>
      <c r="R4541" s="316"/>
      <c r="S4541" s="355"/>
    </row>
    <row r="4542" spans="13:19" x14ac:dyDescent="0.25">
      <c r="M4542" s="514"/>
      <c r="Q4542" s="293"/>
      <c r="R4542" s="316"/>
      <c r="S4542" s="355"/>
    </row>
    <row r="4543" spans="13:19" x14ac:dyDescent="0.25">
      <c r="M4543" s="514"/>
      <c r="Q4543" s="293"/>
      <c r="R4543" s="316"/>
      <c r="S4543" s="355"/>
    </row>
    <row r="4544" spans="13:19" x14ac:dyDescent="0.25">
      <c r="M4544" s="514"/>
      <c r="Q4544" s="293"/>
      <c r="R4544" s="316"/>
      <c r="S4544" s="355"/>
    </row>
    <row r="4545" spans="13:19" x14ac:dyDescent="0.25">
      <c r="M4545" s="514"/>
      <c r="Q4545" s="293"/>
      <c r="R4545" s="316"/>
      <c r="S4545" s="355"/>
    </row>
    <row r="4546" spans="13:19" x14ac:dyDescent="0.25">
      <c r="M4546" s="514"/>
      <c r="Q4546" s="293"/>
      <c r="R4546" s="316"/>
      <c r="S4546" s="355"/>
    </row>
    <row r="4547" spans="13:19" x14ac:dyDescent="0.25">
      <c r="M4547" s="514"/>
      <c r="Q4547" s="293"/>
      <c r="R4547" s="316"/>
      <c r="S4547" s="355"/>
    </row>
    <row r="4548" spans="13:19" x14ac:dyDescent="0.25">
      <c r="M4548" s="514"/>
      <c r="Q4548" s="293"/>
      <c r="R4548" s="316"/>
      <c r="S4548" s="355"/>
    </row>
    <row r="4549" spans="13:19" x14ac:dyDescent="0.25">
      <c r="M4549" s="514"/>
      <c r="Q4549" s="293"/>
      <c r="R4549" s="316"/>
      <c r="S4549" s="355"/>
    </row>
    <row r="4550" spans="13:19" x14ac:dyDescent="0.25">
      <c r="M4550" s="514"/>
      <c r="Q4550" s="293"/>
      <c r="R4550" s="316"/>
      <c r="S4550" s="355"/>
    </row>
    <row r="4551" spans="13:19" x14ac:dyDescent="0.25">
      <c r="M4551" s="514"/>
      <c r="Q4551" s="293"/>
      <c r="R4551" s="316"/>
      <c r="S4551" s="355"/>
    </row>
    <row r="4552" spans="13:19" x14ac:dyDescent="0.25">
      <c r="M4552" s="514"/>
      <c r="Q4552" s="293"/>
      <c r="R4552" s="316"/>
      <c r="S4552" s="355"/>
    </row>
    <row r="4553" spans="13:19" x14ac:dyDescent="0.25">
      <c r="M4553" s="514"/>
      <c r="Q4553" s="293"/>
      <c r="R4553" s="316"/>
      <c r="S4553" s="355"/>
    </row>
    <row r="4554" spans="13:19" x14ac:dyDescent="0.25">
      <c r="M4554" s="514"/>
      <c r="Q4554" s="293"/>
      <c r="R4554" s="316"/>
      <c r="S4554" s="355"/>
    </row>
    <row r="4555" spans="13:19" x14ac:dyDescent="0.25">
      <c r="M4555" s="514"/>
      <c r="Q4555" s="293"/>
      <c r="R4555" s="316"/>
      <c r="S4555" s="355"/>
    </row>
    <row r="4556" spans="13:19" x14ac:dyDescent="0.25">
      <c r="M4556" s="514"/>
      <c r="Q4556" s="293"/>
      <c r="R4556" s="316"/>
      <c r="S4556" s="355"/>
    </row>
    <row r="4557" spans="13:19" x14ac:dyDescent="0.25">
      <c r="M4557" s="514"/>
      <c r="Q4557" s="293"/>
      <c r="R4557" s="316"/>
      <c r="S4557" s="355"/>
    </row>
    <row r="4558" spans="13:19" x14ac:dyDescent="0.25">
      <c r="M4558" s="514"/>
      <c r="Q4558" s="293"/>
      <c r="R4558" s="316"/>
      <c r="S4558" s="355"/>
    </row>
    <row r="4559" spans="13:19" x14ac:dyDescent="0.25">
      <c r="M4559" s="514"/>
      <c r="Q4559" s="293"/>
      <c r="R4559" s="316"/>
      <c r="S4559" s="355"/>
    </row>
    <row r="4560" spans="13:19" x14ac:dyDescent="0.25">
      <c r="M4560" s="514"/>
      <c r="Q4560" s="293"/>
      <c r="R4560" s="316"/>
      <c r="S4560" s="355"/>
    </row>
    <row r="4561" spans="13:19" x14ac:dyDescent="0.25">
      <c r="M4561" s="514"/>
      <c r="Q4561" s="293"/>
      <c r="R4561" s="316"/>
      <c r="S4561" s="355"/>
    </row>
    <row r="4562" spans="13:19" x14ac:dyDescent="0.25">
      <c r="M4562" s="514"/>
      <c r="Q4562" s="293"/>
      <c r="R4562" s="316"/>
      <c r="S4562" s="355"/>
    </row>
    <row r="4563" spans="13:19" x14ac:dyDescent="0.25">
      <c r="M4563" s="514"/>
      <c r="Q4563" s="293"/>
      <c r="R4563" s="316"/>
      <c r="S4563" s="355"/>
    </row>
    <row r="4564" spans="13:19" x14ac:dyDescent="0.25">
      <c r="M4564" s="514"/>
      <c r="Q4564" s="293"/>
      <c r="R4564" s="316"/>
      <c r="S4564" s="355"/>
    </row>
    <row r="4565" spans="13:19" x14ac:dyDescent="0.25">
      <c r="M4565" s="514"/>
      <c r="Q4565" s="293"/>
      <c r="R4565" s="316"/>
      <c r="S4565" s="355"/>
    </row>
    <row r="4566" spans="13:19" x14ac:dyDescent="0.25">
      <c r="M4566" s="514"/>
      <c r="Q4566" s="293"/>
      <c r="R4566" s="316"/>
      <c r="S4566" s="355"/>
    </row>
    <row r="4567" spans="13:19" x14ac:dyDescent="0.25">
      <c r="M4567" s="514"/>
      <c r="Q4567" s="293"/>
      <c r="R4567" s="316"/>
      <c r="S4567" s="355"/>
    </row>
    <row r="4568" spans="13:19" x14ac:dyDescent="0.25">
      <c r="M4568" s="514"/>
      <c r="Q4568" s="293"/>
      <c r="R4568" s="316"/>
      <c r="S4568" s="355"/>
    </row>
    <row r="4569" spans="13:19" x14ac:dyDescent="0.25">
      <c r="M4569" s="514"/>
      <c r="Q4569" s="293"/>
      <c r="R4569" s="316"/>
      <c r="S4569" s="355"/>
    </row>
    <row r="4570" spans="13:19" x14ac:dyDescent="0.25">
      <c r="M4570" s="514"/>
      <c r="Q4570" s="293"/>
      <c r="R4570" s="316"/>
      <c r="S4570" s="355"/>
    </row>
    <row r="4571" spans="13:19" x14ac:dyDescent="0.25">
      <c r="M4571" s="514"/>
      <c r="Q4571" s="293"/>
      <c r="R4571" s="316"/>
      <c r="S4571" s="355"/>
    </row>
    <row r="4572" spans="13:19" x14ac:dyDescent="0.25">
      <c r="M4572" s="514"/>
      <c r="Q4572" s="293"/>
      <c r="R4572" s="316"/>
      <c r="S4572" s="355"/>
    </row>
    <row r="4573" spans="13:19" x14ac:dyDescent="0.25">
      <c r="M4573" s="514"/>
      <c r="Q4573" s="293"/>
      <c r="R4573" s="316"/>
      <c r="S4573" s="355"/>
    </row>
    <row r="4574" spans="13:19" x14ac:dyDescent="0.25">
      <c r="M4574" s="514"/>
      <c r="Q4574" s="293"/>
      <c r="R4574" s="316"/>
      <c r="S4574" s="355"/>
    </row>
    <row r="4575" spans="13:19" x14ac:dyDescent="0.25">
      <c r="M4575" s="514"/>
      <c r="Q4575" s="293"/>
      <c r="R4575" s="316"/>
      <c r="S4575" s="355"/>
    </row>
    <row r="4576" spans="13:19" x14ac:dyDescent="0.25">
      <c r="M4576" s="514"/>
      <c r="Q4576" s="293"/>
      <c r="R4576" s="316"/>
      <c r="S4576" s="355"/>
    </row>
    <row r="4577" spans="13:19" x14ac:dyDescent="0.25">
      <c r="M4577" s="514"/>
      <c r="Q4577" s="293"/>
      <c r="R4577" s="316"/>
      <c r="S4577" s="355"/>
    </row>
    <row r="4578" spans="13:19" x14ac:dyDescent="0.25">
      <c r="M4578" s="514"/>
      <c r="Q4578" s="293"/>
      <c r="R4578" s="316"/>
      <c r="S4578" s="355"/>
    </row>
    <row r="4579" spans="13:19" x14ac:dyDescent="0.25">
      <c r="M4579" s="514"/>
      <c r="Q4579" s="293"/>
      <c r="R4579" s="316"/>
      <c r="S4579" s="355"/>
    </row>
    <row r="4580" spans="13:19" x14ac:dyDescent="0.25">
      <c r="M4580" s="514"/>
      <c r="Q4580" s="293"/>
      <c r="R4580" s="316"/>
      <c r="S4580" s="355"/>
    </row>
    <row r="4581" spans="13:19" x14ac:dyDescent="0.25">
      <c r="M4581" s="514"/>
      <c r="Q4581" s="293"/>
      <c r="R4581" s="316"/>
      <c r="S4581" s="355"/>
    </row>
    <row r="4582" spans="13:19" x14ac:dyDescent="0.25">
      <c r="M4582" s="514"/>
      <c r="Q4582" s="293"/>
      <c r="R4582" s="316"/>
      <c r="S4582" s="355"/>
    </row>
    <row r="4583" spans="13:19" x14ac:dyDescent="0.25">
      <c r="M4583" s="514"/>
      <c r="Q4583" s="293"/>
      <c r="R4583" s="316"/>
      <c r="S4583" s="355"/>
    </row>
    <row r="4584" spans="13:19" x14ac:dyDescent="0.25">
      <c r="M4584" s="514"/>
      <c r="Q4584" s="293"/>
      <c r="R4584" s="316"/>
      <c r="S4584" s="355"/>
    </row>
    <row r="4585" spans="13:19" x14ac:dyDescent="0.25">
      <c r="M4585" s="514"/>
      <c r="Q4585" s="293"/>
      <c r="R4585" s="316"/>
      <c r="S4585" s="355"/>
    </row>
    <row r="4586" spans="13:19" x14ac:dyDescent="0.25">
      <c r="M4586" s="514"/>
      <c r="Q4586" s="293"/>
      <c r="R4586" s="316"/>
      <c r="S4586" s="355"/>
    </row>
    <row r="4587" spans="13:19" x14ac:dyDescent="0.25">
      <c r="M4587" s="514"/>
      <c r="Q4587" s="293"/>
      <c r="R4587" s="316"/>
      <c r="S4587" s="355"/>
    </row>
    <row r="4588" spans="13:19" x14ac:dyDescent="0.25">
      <c r="M4588" s="514"/>
      <c r="Q4588" s="293"/>
      <c r="R4588" s="316"/>
      <c r="S4588" s="355"/>
    </row>
    <row r="4589" spans="13:19" x14ac:dyDescent="0.25">
      <c r="M4589" s="514"/>
      <c r="Q4589" s="293"/>
      <c r="R4589" s="316"/>
      <c r="S4589" s="355"/>
    </row>
    <row r="4590" spans="13:19" x14ac:dyDescent="0.25">
      <c r="M4590" s="514"/>
      <c r="Q4590" s="293"/>
      <c r="R4590" s="316"/>
      <c r="S4590" s="355"/>
    </row>
    <row r="4591" spans="13:19" x14ac:dyDescent="0.25">
      <c r="M4591" s="514"/>
      <c r="Q4591" s="293"/>
      <c r="R4591" s="316"/>
      <c r="S4591" s="355"/>
    </row>
    <row r="4592" spans="13:19" x14ac:dyDescent="0.25">
      <c r="M4592" s="514"/>
      <c r="Q4592" s="293"/>
      <c r="R4592" s="316"/>
      <c r="S4592" s="355"/>
    </row>
    <row r="4593" spans="13:19" x14ac:dyDescent="0.25">
      <c r="M4593" s="514"/>
      <c r="Q4593" s="293"/>
      <c r="R4593" s="316"/>
      <c r="S4593" s="355"/>
    </row>
    <row r="4594" spans="13:19" x14ac:dyDescent="0.25">
      <c r="M4594" s="514"/>
      <c r="Q4594" s="293"/>
      <c r="R4594" s="316"/>
      <c r="S4594" s="355"/>
    </row>
    <row r="4595" spans="13:19" x14ac:dyDescent="0.25">
      <c r="M4595" s="514"/>
      <c r="Q4595" s="293"/>
      <c r="R4595" s="316"/>
      <c r="S4595" s="355"/>
    </row>
    <row r="4596" spans="13:19" x14ac:dyDescent="0.25">
      <c r="M4596" s="514"/>
      <c r="Q4596" s="293"/>
      <c r="R4596" s="316"/>
      <c r="S4596" s="355"/>
    </row>
    <row r="4597" spans="13:19" x14ac:dyDescent="0.25">
      <c r="M4597" s="514"/>
      <c r="Q4597" s="293"/>
      <c r="R4597" s="316"/>
      <c r="S4597" s="355"/>
    </row>
    <row r="4598" spans="13:19" x14ac:dyDescent="0.25">
      <c r="M4598" s="514"/>
      <c r="Q4598" s="293"/>
      <c r="R4598" s="316"/>
      <c r="S4598" s="355"/>
    </row>
    <row r="4599" spans="13:19" x14ac:dyDescent="0.25">
      <c r="M4599" s="514"/>
      <c r="Q4599" s="293"/>
      <c r="R4599" s="316"/>
      <c r="S4599" s="355"/>
    </row>
    <row r="4600" spans="13:19" x14ac:dyDescent="0.25">
      <c r="M4600" s="514"/>
      <c r="Q4600" s="293"/>
      <c r="R4600" s="316"/>
      <c r="S4600" s="355"/>
    </row>
    <row r="4601" spans="13:19" x14ac:dyDescent="0.25">
      <c r="M4601" s="514"/>
      <c r="Q4601" s="293"/>
      <c r="R4601" s="316"/>
      <c r="S4601" s="355"/>
    </row>
    <row r="4602" spans="13:19" x14ac:dyDescent="0.25">
      <c r="M4602" s="514"/>
      <c r="Q4602" s="293"/>
      <c r="R4602" s="316"/>
      <c r="S4602" s="355"/>
    </row>
    <row r="4603" spans="13:19" x14ac:dyDescent="0.25">
      <c r="M4603" s="514"/>
      <c r="Q4603" s="293"/>
      <c r="R4603" s="316"/>
      <c r="S4603" s="355"/>
    </row>
    <row r="4604" spans="13:19" x14ac:dyDescent="0.25">
      <c r="M4604" s="514"/>
      <c r="Q4604" s="293"/>
      <c r="R4604" s="316"/>
      <c r="S4604" s="355"/>
    </row>
    <row r="4605" spans="13:19" x14ac:dyDescent="0.25">
      <c r="M4605" s="514"/>
      <c r="Q4605" s="293"/>
      <c r="R4605" s="316"/>
      <c r="S4605" s="355"/>
    </row>
    <row r="4606" spans="13:19" x14ac:dyDescent="0.25">
      <c r="M4606" s="514"/>
      <c r="Q4606" s="293"/>
      <c r="R4606" s="316"/>
      <c r="S4606" s="355"/>
    </row>
    <row r="4607" spans="13:19" x14ac:dyDescent="0.25">
      <c r="M4607" s="514"/>
      <c r="Q4607" s="293"/>
      <c r="R4607" s="316"/>
      <c r="S4607" s="355"/>
    </row>
    <row r="4608" spans="13:19" x14ac:dyDescent="0.25">
      <c r="M4608" s="514"/>
      <c r="Q4608" s="293"/>
      <c r="R4608" s="316"/>
      <c r="S4608" s="355"/>
    </row>
    <row r="4609" spans="13:19" x14ac:dyDescent="0.25">
      <c r="M4609" s="514"/>
      <c r="Q4609" s="293"/>
      <c r="R4609" s="316"/>
      <c r="S4609" s="355"/>
    </row>
    <row r="4610" spans="13:19" x14ac:dyDescent="0.25">
      <c r="M4610" s="514"/>
      <c r="Q4610" s="293"/>
      <c r="R4610" s="316"/>
      <c r="S4610" s="355"/>
    </row>
    <row r="4611" spans="13:19" x14ac:dyDescent="0.25">
      <c r="M4611" s="514"/>
      <c r="Q4611" s="293"/>
      <c r="R4611" s="316"/>
      <c r="S4611" s="355"/>
    </row>
    <row r="4612" spans="13:19" x14ac:dyDescent="0.25">
      <c r="M4612" s="514"/>
      <c r="Q4612" s="293"/>
      <c r="R4612" s="316"/>
      <c r="S4612" s="355"/>
    </row>
    <row r="4613" spans="13:19" x14ac:dyDescent="0.25">
      <c r="M4613" s="514"/>
      <c r="Q4613" s="293"/>
      <c r="R4613" s="316"/>
      <c r="S4613" s="355"/>
    </row>
    <row r="4614" spans="13:19" x14ac:dyDescent="0.25">
      <c r="M4614" s="514"/>
      <c r="Q4614" s="293"/>
      <c r="R4614" s="316"/>
      <c r="S4614" s="355"/>
    </row>
    <row r="4615" spans="13:19" x14ac:dyDescent="0.25">
      <c r="M4615" s="514"/>
      <c r="Q4615" s="293"/>
      <c r="R4615" s="316"/>
      <c r="S4615" s="355"/>
    </row>
    <row r="4616" spans="13:19" x14ac:dyDescent="0.25">
      <c r="M4616" s="514"/>
      <c r="Q4616" s="293"/>
      <c r="R4616" s="316"/>
      <c r="S4616" s="355"/>
    </row>
    <row r="4617" spans="13:19" x14ac:dyDescent="0.25">
      <c r="M4617" s="514"/>
      <c r="Q4617" s="293"/>
      <c r="R4617" s="316"/>
      <c r="S4617" s="355"/>
    </row>
    <row r="4618" spans="13:19" x14ac:dyDescent="0.25">
      <c r="M4618" s="514"/>
      <c r="Q4618" s="293"/>
      <c r="R4618" s="316"/>
      <c r="S4618" s="355"/>
    </row>
    <row r="4619" spans="13:19" x14ac:dyDescent="0.25">
      <c r="M4619" s="514"/>
      <c r="Q4619" s="293"/>
      <c r="R4619" s="316"/>
      <c r="S4619" s="355"/>
    </row>
    <row r="4620" spans="13:19" x14ac:dyDescent="0.25">
      <c r="M4620" s="514"/>
      <c r="Q4620" s="293"/>
      <c r="R4620" s="316"/>
      <c r="S4620" s="355"/>
    </row>
    <row r="4621" spans="13:19" x14ac:dyDescent="0.25">
      <c r="M4621" s="514"/>
      <c r="Q4621" s="293"/>
      <c r="R4621" s="316"/>
      <c r="S4621" s="355"/>
    </row>
    <row r="4622" spans="13:19" x14ac:dyDescent="0.25">
      <c r="M4622" s="514"/>
      <c r="Q4622" s="293"/>
      <c r="R4622" s="316"/>
      <c r="S4622" s="355"/>
    </row>
    <row r="4623" spans="13:19" x14ac:dyDescent="0.25">
      <c r="M4623" s="514"/>
      <c r="Q4623" s="293"/>
      <c r="R4623" s="316"/>
      <c r="S4623" s="355"/>
    </row>
    <row r="4624" spans="13:19" x14ac:dyDescent="0.25">
      <c r="M4624" s="514"/>
      <c r="Q4624" s="293"/>
      <c r="R4624" s="316"/>
      <c r="S4624" s="355"/>
    </row>
    <row r="4625" spans="13:19" x14ac:dyDescent="0.25">
      <c r="M4625" s="514"/>
      <c r="Q4625" s="293"/>
      <c r="R4625" s="316"/>
      <c r="S4625" s="355"/>
    </row>
    <row r="4626" spans="13:19" x14ac:dyDescent="0.25">
      <c r="M4626" s="514"/>
      <c r="Q4626" s="293"/>
      <c r="R4626" s="316"/>
      <c r="S4626" s="355"/>
    </row>
    <row r="4627" spans="13:19" x14ac:dyDescent="0.25">
      <c r="M4627" s="514"/>
      <c r="Q4627" s="293"/>
      <c r="R4627" s="316"/>
      <c r="S4627" s="355"/>
    </row>
    <row r="4628" spans="13:19" x14ac:dyDescent="0.25">
      <c r="M4628" s="514"/>
      <c r="Q4628" s="293"/>
      <c r="R4628" s="316"/>
      <c r="S4628" s="355"/>
    </row>
    <row r="4629" spans="13:19" x14ac:dyDescent="0.25">
      <c r="M4629" s="514"/>
      <c r="Q4629" s="293"/>
      <c r="R4629" s="316"/>
      <c r="S4629" s="355"/>
    </row>
    <row r="4630" spans="13:19" x14ac:dyDescent="0.25">
      <c r="M4630" s="514"/>
      <c r="Q4630" s="293"/>
      <c r="R4630" s="316"/>
      <c r="S4630" s="355"/>
    </row>
    <row r="4631" spans="13:19" x14ac:dyDescent="0.25">
      <c r="M4631" s="514"/>
      <c r="Q4631" s="293"/>
      <c r="R4631" s="316"/>
      <c r="S4631" s="355"/>
    </row>
    <row r="4632" spans="13:19" x14ac:dyDescent="0.25">
      <c r="M4632" s="514"/>
      <c r="Q4632" s="293"/>
      <c r="R4632" s="316"/>
      <c r="S4632" s="355"/>
    </row>
    <row r="4633" spans="13:19" x14ac:dyDescent="0.25">
      <c r="M4633" s="514"/>
      <c r="Q4633" s="293"/>
      <c r="R4633" s="316"/>
      <c r="S4633" s="355"/>
    </row>
    <row r="4634" spans="13:19" x14ac:dyDescent="0.25">
      <c r="M4634" s="514"/>
      <c r="Q4634" s="293"/>
      <c r="R4634" s="316"/>
      <c r="S4634" s="355"/>
    </row>
    <row r="4635" spans="13:19" x14ac:dyDescent="0.25">
      <c r="M4635" s="514"/>
      <c r="Q4635" s="293"/>
      <c r="R4635" s="316"/>
      <c r="S4635" s="355"/>
    </row>
    <row r="4636" spans="13:19" x14ac:dyDescent="0.25">
      <c r="M4636" s="514"/>
      <c r="Q4636" s="293"/>
      <c r="R4636" s="316"/>
      <c r="S4636" s="355"/>
    </row>
    <row r="4637" spans="13:19" x14ac:dyDescent="0.25">
      <c r="M4637" s="514"/>
      <c r="Q4637" s="293"/>
      <c r="R4637" s="316"/>
      <c r="S4637" s="355"/>
    </row>
    <row r="4638" spans="13:19" x14ac:dyDescent="0.25">
      <c r="M4638" s="514"/>
      <c r="Q4638" s="293"/>
      <c r="R4638" s="316"/>
      <c r="S4638" s="355"/>
    </row>
    <row r="4639" spans="13:19" x14ac:dyDescent="0.25">
      <c r="M4639" s="514"/>
      <c r="Q4639" s="293"/>
      <c r="R4639" s="316"/>
      <c r="S4639" s="355"/>
    </row>
    <row r="4640" spans="13:19" x14ac:dyDescent="0.25">
      <c r="M4640" s="514"/>
      <c r="Q4640" s="293"/>
      <c r="R4640" s="316"/>
      <c r="S4640" s="355"/>
    </row>
    <row r="4641" spans="13:19" x14ac:dyDescent="0.25">
      <c r="M4641" s="514"/>
      <c r="Q4641" s="293"/>
      <c r="R4641" s="316"/>
      <c r="S4641" s="355"/>
    </row>
    <row r="4642" spans="13:19" x14ac:dyDescent="0.25">
      <c r="M4642" s="514"/>
      <c r="Q4642" s="293"/>
      <c r="R4642" s="316"/>
      <c r="S4642" s="355"/>
    </row>
    <row r="4643" spans="13:19" x14ac:dyDescent="0.25">
      <c r="M4643" s="514"/>
      <c r="Q4643" s="293"/>
      <c r="R4643" s="316"/>
      <c r="S4643" s="355"/>
    </row>
    <row r="4644" spans="13:19" x14ac:dyDescent="0.25">
      <c r="M4644" s="514"/>
      <c r="Q4644" s="293"/>
      <c r="R4644" s="316"/>
      <c r="S4644" s="355"/>
    </row>
    <row r="4645" spans="13:19" x14ac:dyDescent="0.25">
      <c r="M4645" s="514"/>
      <c r="Q4645" s="293"/>
      <c r="R4645" s="316"/>
      <c r="S4645" s="355"/>
    </row>
    <row r="4646" spans="13:19" x14ac:dyDescent="0.25">
      <c r="M4646" s="514"/>
      <c r="Q4646" s="293"/>
      <c r="R4646" s="316"/>
      <c r="S4646" s="355"/>
    </row>
    <row r="4647" spans="13:19" x14ac:dyDescent="0.25">
      <c r="M4647" s="514"/>
      <c r="Q4647" s="293"/>
      <c r="R4647" s="316"/>
      <c r="S4647" s="355"/>
    </row>
    <row r="4648" spans="13:19" x14ac:dyDescent="0.25">
      <c r="M4648" s="514"/>
      <c r="Q4648" s="293"/>
      <c r="R4648" s="316"/>
      <c r="S4648" s="355"/>
    </row>
    <row r="4649" spans="13:19" x14ac:dyDescent="0.25">
      <c r="M4649" s="514"/>
      <c r="Q4649" s="293"/>
      <c r="R4649" s="316"/>
      <c r="S4649" s="355"/>
    </row>
    <row r="4650" spans="13:19" x14ac:dyDescent="0.25">
      <c r="M4650" s="514"/>
      <c r="Q4650" s="293"/>
      <c r="R4650" s="316"/>
      <c r="S4650" s="355"/>
    </row>
    <row r="4651" spans="13:19" x14ac:dyDescent="0.25">
      <c r="M4651" s="514"/>
      <c r="Q4651" s="293"/>
      <c r="R4651" s="316"/>
      <c r="S4651" s="355"/>
    </row>
    <row r="4652" spans="13:19" x14ac:dyDescent="0.25">
      <c r="M4652" s="514"/>
      <c r="Q4652" s="293"/>
      <c r="R4652" s="316"/>
      <c r="S4652" s="355"/>
    </row>
    <row r="4653" spans="13:19" x14ac:dyDescent="0.25">
      <c r="M4653" s="514"/>
      <c r="Q4653" s="293"/>
      <c r="R4653" s="316"/>
      <c r="S4653" s="355"/>
    </row>
    <row r="4654" spans="13:19" x14ac:dyDescent="0.25">
      <c r="M4654" s="514"/>
      <c r="Q4654" s="293"/>
      <c r="R4654" s="316"/>
      <c r="S4654" s="355"/>
    </row>
    <row r="4655" spans="13:19" x14ac:dyDescent="0.25">
      <c r="M4655" s="514"/>
      <c r="Q4655" s="293"/>
      <c r="R4655" s="316"/>
      <c r="S4655" s="355"/>
    </row>
    <row r="4656" spans="13:19" x14ac:dyDescent="0.25">
      <c r="M4656" s="514"/>
      <c r="Q4656" s="293"/>
      <c r="R4656" s="316"/>
      <c r="S4656" s="355"/>
    </row>
    <row r="4657" spans="13:19" x14ac:dyDescent="0.25">
      <c r="M4657" s="514"/>
      <c r="Q4657" s="293"/>
      <c r="R4657" s="316"/>
      <c r="S4657" s="355"/>
    </row>
    <row r="4658" spans="13:19" x14ac:dyDescent="0.25">
      <c r="M4658" s="514"/>
      <c r="Q4658" s="293"/>
      <c r="R4658" s="316"/>
      <c r="S4658" s="355"/>
    </row>
    <row r="4659" spans="13:19" x14ac:dyDescent="0.25">
      <c r="M4659" s="514"/>
      <c r="Q4659" s="293"/>
      <c r="R4659" s="316"/>
      <c r="S4659" s="355"/>
    </row>
    <row r="4660" spans="13:19" x14ac:dyDescent="0.25">
      <c r="M4660" s="514"/>
      <c r="Q4660" s="293"/>
      <c r="R4660" s="316"/>
      <c r="S4660" s="355"/>
    </row>
    <row r="4661" spans="13:19" x14ac:dyDescent="0.25">
      <c r="M4661" s="514"/>
      <c r="Q4661" s="293"/>
      <c r="R4661" s="316"/>
      <c r="S4661" s="355"/>
    </row>
    <row r="4662" spans="13:19" x14ac:dyDescent="0.25">
      <c r="M4662" s="514"/>
      <c r="Q4662" s="293"/>
      <c r="R4662" s="316"/>
      <c r="S4662" s="355"/>
    </row>
    <row r="4663" spans="13:19" x14ac:dyDescent="0.25">
      <c r="M4663" s="514"/>
      <c r="Q4663" s="293"/>
      <c r="R4663" s="316"/>
      <c r="S4663" s="355"/>
    </row>
    <row r="4664" spans="13:19" x14ac:dyDescent="0.25">
      <c r="M4664" s="514"/>
      <c r="Q4664" s="293"/>
      <c r="R4664" s="316"/>
      <c r="S4664" s="355"/>
    </row>
    <row r="4665" spans="13:19" x14ac:dyDescent="0.25">
      <c r="M4665" s="514"/>
      <c r="Q4665" s="293"/>
      <c r="R4665" s="316"/>
      <c r="S4665" s="355"/>
    </row>
    <row r="4666" spans="13:19" x14ac:dyDescent="0.25">
      <c r="M4666" s="514"/>
      <c r="Q4666" s="293"/>
      <c r="R4666" s="316"/>
      <c r="S4666" s="355"/>
    </row>
    <row r="4667" spans="13:19" x14ac:dyDescent="0.25">
      <c r="M4667" s="514"/>
      <c r="Q4667" s="293"/>
      <c r="R4667" s="316"/>
      <c r="S4667" s="355"/>
    </row>
    <row r="4668" spans="13:19" x14ac:dyDescent="0.25">
      <c r="M4668" s="514"/>
      <c r="Q4668" s="293"/>
      <c r="R4668" s="316"/>
      <c r="S4668" s="355"/>
    </row>
    <row r="4669" spans="13:19" x14ac:dyDescent="0.25">
      <c r="M4669" s="514"/>
      <c r="Q4669" s="293"/>
      <c r="R4669" s="316"/>
      <c r="S4669" s="355"/>
    </row>
    <row r="4670" spans="13:19" x14ac:dyDescent="0.25">
      <c r="M4670" s="514"/>
      <c r="Q4670" s="293"/>
      <c r="R4670" s="316"/>
      <c r="S4670" s="355"/>
    </row>
    <row r="4671" spans="13:19" x14ac:dyDescent="0.25">
      <c r="M4671" s="514"/>
      <c r="Q4671" s="293"/>
      <c r="R4671" s="316"/>
      <c r="S4671" s="355"/>
    </row>
    <row r="4672" spans="13:19" x14ac:dyDescent="0.25">
      <c r="M4672" s="514"/>
      <c r="Q4672" s="293"/>
      <c r="R4672" s="316"/>
      <c r="S4672" s="355"/>
    </row>
    <row r="4673" spans="13:19" x14ac:dyDescent="0.25">
      <c r="M4673" s="514"/>
      <c r="Q4673" s="293"/>
      <c r="R4673" s="316"/>
      <c r="S4673" s="355"/>
    </row>
    <row r="4674" spans="13:19" x14ac:dyDescent="0.25">
      <c r="M4674" s="514"/>
      <c r="Q4674" s="293"/>
      <c r="R4674" s="316"/>
      <c r="S4674" s="355"/>
    </row>
    <row r="4675" spans="13:19" x14ac:dyDescent="0.25">
      <c r="M4675" s="514"/>
      <c r="Q4675" s="293"/>
      <c r="R4675" s="316"/>
      <c r="S4675" s="355"/>
    </row>
    <row r="4676" spans="13:19" x14ac:dyDescent="0.25">
      <c r="M4676" s="514"/>
      <c r="Q4676" s="293"/>
      <c r="R4676" s="316"/>
      <c r="S4676" s="355"/>
    </row>
    <row r="4677" spans="13:19" x14ac:dyDescent="0.25">
      <c r="M4677" s="514"/>
      <c r="Q4677" s="293"/>
      <c r="R4677" s="316"/>
      <c r="S4677" s="355"/>
    </row>
    <row r="4678" spans="13:19" x14ac:dyDescent="0.25">
      <c r="M4678" s="514"/>
      <c r="Q4678" s="293"/>
      <c r="R4678" s="316"/>
      <c r="S4678" s="355"/>
    </row>
    <row r="4679" spans="13:19" x14ac:dyDescent="0.25">
      <c r="M4679" s="514"/>
      <c r="Q4679" s="293"/>
      <c r="R4679" s="316"/>
      <c r="S4679" s="355"/>
    </row>
    <row r="4680" spans="13:19" x14ac:dyDescent="0.25">
      <c r="M4680" s="514"/>
      <c r="Q4680" s="293"/>
      <c r="R4680" s="316"/>
      <c r="S4680" s="355"/>
    </row>
    <row r="4681" spans="13:19" x14ac:dyDescent="0.25">
      <c r="M4681" s="514"/>
      <c r="Q4681" s="293"/>
      <c r="R4681" s="316"/>
      <c r="S4681" s="355"/>
    </row>
    <row r="4682" spans="13:19" x14ac:dyDescent="0.25">
      <c r="M4682" s="514"/>
      <c r="Q4682" s="293"/>
      <c r="R4682" s="316"/>
      <c r="S4682" s="355"/>
    </row>
    <row r="4683" spans="13:19" x14ac:dyDescent="0.25">
      <c r="M4683" s="514"/>
      <c r="Q4683" s="293"/>
      <c r="R4683" s="316"/>
      <c r="S4683" s="355"/>
    </row>
    <row r="4684" spans="13:19" x14ac:dyDescent="0.25">
      <c r="M4684" s="514"/>
      <c r="Q4684" s="293"/>
      <c r="R4684" s="316"/>
      <c r="S4684" s="355"/>
    </row>
    <row r="4685" spans="13:19" x14ac:dyDescent="0.25">
      <c r="M4685" s="514"/>
      <c r="Q4685" s="293"/>
      <c r="R4685" s="316"/>
      <c r="S4685" s="355"/>
    </row>
    <row r="4686" spans="13:19" x14ac:dyDescent="0.25">
      <c r="M4686" s="514"/>
      <c r="Q4686" s="293"/>
      <c r="R4686" s="316"/>
      <c r="S4686" s="355"/>
    </row>
    <row r="4687" spans="13:19" x14ac:dyDescent="0.25">
      <c r="M4687" s="514"/>
      <c r="Q4687" s="293"/>
      <c r="R4687" s="316"/>
      <c r="S4687" s="355"/>
    </row>
    <row r="4688" spans="13:19" x14ac:dyDescent="0.25">
      <c r="M4688" s="514"/>
      <c r="Q4688" s="293"/>
      <c r="R4688" s="316"/>
      <c r="S4688" s="355"/>
    </row>
    <row r="4689" spans="13:19" x14ac:dyDescent="0.25">
      <c r="M4689" s="514"/>
      <c r="Q4689" s="293"/>
      <c r="R4689" s="316"/>
      <c r="S4689" s="355"/>
    </row>
    <row r="4690" spans="13:19" x14ac:dyDescent="0.25">
      <c r="M4690" s="514"/>
      <c r="Q4690" s="293"/>
      <c r="R4690" s="316"/>
      <c r="S4690" s="355"/>
    </row>
    <row r="4691" spans="13:19" x14ac:dyDescent="0.25">
      <c r="M4691" s="514"/>
      <c r="Q4691" s="293"/>
      <c r="R4691" s="316"/>
      <c r="S4691" s="355"/>
    </row>
    <row r="4692" spans="13:19" x14ac:dyDescent="0.25">
      <c r="M4692" s="514"/>
      <c r="Q4692" s="293"/>
      <c r="R4692" s="316"/>
      <c r="S4692" s="355"/>
    </row>
    <row r="4693" spans="13:19" x14ac:dyDescent="0.25">
      <c r="M4693" s="514"/>
      <c r="Q4693" s="293"/>
      <c r="R4693" s="316"/>
      <c r="S4693" s="355"/>
    </row>
    <row r="4694" spans="13:19" x14ac:dyDescent="0.25">
      <c r="M4694" s="514"/>
      <c r="Q4694" s="293"/>
      <c r="R4694" s="316"/>
      <c r="S4694" s="355"/>
    </row>
    <row r="4695" spans="13:19" x14ac:dyDescent="0.25">
      <c r="M4695" s="514"/>
      <c r="Q4695" s="293"/>
      <c r="R4695" s="316"/>
      <c r="S4695" s="355"/>
    </row>
    <row r="4696" spans="13:19" x14ac:dyDescent="0.25">
      <c r="M4696" s="514"/>
      <c r="Q4696" s="293"/>
      <c r="R4696" s="316"/>
      <c r="S4696" s="355"/>
    </row>
    <row r="4697" spans="13:19" x14ac:dyDescent="0.25">
      <c r="M4697" s="514"/>
      <c r="Q4697" s="293"/>
      <c r="R4697" s="316"/>
      <c r="S4697" s="355"/>
    </row>
    <row r="4698" spans="13:19" x14ac:dyDescent="0.25">
      <c r="M4698" s="514"/>
      <c r="Q4698" s="293"/>
      <c r="R4698" s="316"/>
      <c r="S4698" s="355"/>
    </row>
    <row r="4699" spans="13:19" x14ac:dyDescent="0.25">
      <c r="M4699" s="514"/>
      <c r="Q4699" s="293"/>
      <c r="R4699" s="316"/>
      <c r="S4699" s="355"/>
    </row>
    <row r="4700" spans="13:19" x14ac:dyDescent="0.25">
      <c r="M4700" s="514"/>
      <c r="Q4700" s="293"/>
      <c r="R4700" s="316"/>
      <c r="S4700" s="355"/>
    </row>
    <row r="4701" spans="13:19" x14ac:dyDescent="0.25">
      <c r="M4701" s="514"/>
      <c r="Q4701" s="293"/>
      <c r="R4701" s="316"/>
      <c r="S4701" s="355"/>
    </row>
    <row r="4702" spans="13:19" x14ac:dyDescent="0.25">
      <c r="M4702" s="514"/>
      <c r="Q4702" s="293"/>
      <c r="R4702" s="316"/>
      <c r="S4702" s="355"/>
    </row>
    <row r="4703" spans="13:19" x14ac:dyDescent="0.25">
      <c r="M4703" s="514"/>
      <c r="Q4703" s="293"/>
      <c r="R4703" s="316"/>
      <c r="S4703" s="355"/>
    </row>
    <row r="4704" spans="13:19" x14ac:dyDescent="0.25">
      <c r="M4704" s="514"/>
      <c r="Q4704" s="293"/>
      <c r="R4704" s="316"/>
      <c r="S4704" s="355"/>
    </row>
    <row r="4705" spans="13:19" x14ac:dyDescent="0.25">
      <c r="M4705" s="514"/>
      <c r="Q4705" s="293"/>
      <c r="R4705" s="316"/>
      <c r="S4705" s="355"/>
    </row>
    <row r="4706" spans="13:19" x14ac:dyDescent="0.25">
      <c r="M4706" s="514"/>
      <c r="Q4706" s="293"/>
      <c r="R4706" s="316"/>
      <c r="S4706" s="355"/>
    </row>
    <row r="4707" spans="13:19" x14ac:dyDescent="0.25">
      <c r="M4707" s="514"/>
      <c r="Q4707" s="293"/>
      <c r="R4707" s="316"/>
      <c r="S4707" s="355"/>
    </row>
    <row r="4708" spans="13:19" x14ac:dyDescent="0.25">
      <c r="M4708" s="514"/>
      <c r="Q4708" s="293"/>
      <c r="R4708" s="316"/>
      <c r="S4708" s="355"/>
    </row>
    <row r="4709" spans="13:19" x14ac:dyDescent="0.25">
      <c r="M4709" s="514"/>
      <c r="Q4709" s="293"/>
      <c r="R4709" s="316"/>
      <c r="S4709" s="355"/>
    </row>
    <row r="4710" spans="13:19" x14ac:dyDescent="0.25">
      <c r="M4710" s="514"/>
      <c r="Q4710" s="293"/>
      <c r="R4710" s="316"/>
      <c r="S4710" s="355"/>
    </row>
    <row r="4711" spans="13:19" x14ac:dyDescent="0.25">
      <c r="M4711" s="514"/>
      <c r="Q4711" s="293"/>
      <c r="R4711" s="316"/>
      <c r="S4711" s="355"/>
    </row>
    <row r="4712" spans="13:19" x14ac:dyDescent="0.25">
      <c r="M4712" s="514"/>
      <c r="Q4712" s="293"/>
      <c r="R4712" s="316"/>
      <c r="S4712" s="355"/>
    </row>
    <row r="4713" spans="13:19" x14ac:dyDescent="0.25">
      <c r="M4713" s="514"/>
      <c r="Q4713" s="293"/>
      <c r="R4713" s="316"/>
      <c r="S4713" s="355"/>
    </row>
    <row r="4714" spans="13:19" x14ac:dyDescent="0.25">
      <c r="M4714" s="514"/>
      <c r="Q4714" s="293"/>
      <c r="R4714" s="316"/>
      <c r="S4714" s="355"/>
    </row>
    <row r="4715" spans="13:19" x14ac:dyDescent="0.25">
      <c r="M4715" s="514"/>
      <c r="Q4715" s="293"/>
      <c r="R4715" s="316"/>
      <c r="S4715" s="355"/>
    </row>
    <row r="4716" spans="13:19" x14ac:dyDescent="0.25">
      <c r="M4716" s="514"/>
      <c r="Q4716" s="293"/>
      <c r="R4716" s="316"/>
      <c r="S4716" s="355"/>
    </row>
    <row r="4717" spans="13:19" x14ac:dyDescent="0.25">
      <c r="M4717" s="514"/>
      <c r="Q4717" s="293"/>
      <c r="R4717" s="316"/>
      <c r="S4717" s="355"/>
    </row>
    <row r="4718" spans="13:19" x14ac:dyDescent="0.25">
      <c r="M4718" s="514"/>
      <c r="Q4718" s="293"/>
      <c r="R4718" s="316"/>
      <c r="S4718" s="355"/>
    </row>
    <row r="4719" spans="13:19" x14ac:dyDescent="0.25">
      <c r="M4719" s="514"/>
      <c r="Q4719" s="293"/>
      <c r="R4719" s="316"/>
      <c r="S4719" s="355"/>
    </row>
    <row r="4720" spans="13:19" x14ac:dyDescent="0.25">
      <c r="M4720" s="514"/>
      <c r="Q4720" s="293"/>
      <c r="R4720" s="316"/>
      <c r="S4720" s="355"/>
    </row>
    <row r="4721" spans="13:19" x14ac:dyDescent="0.25">
      <c r="M4721" s="514"/>
      <c r="Q4721" s="293"/>
      <c r="R4721" s="316"/>
      <c r="S4721" s="355"/>
    </row>
    <row r="4722" spans="13:19" x14ac:dyDescent="0.25">
      <c r="M4722" s="514"/>
      <c r="Q4722" s="293"/>
      <c r="R4722" s="316"/>
      <c r="S4722" s="355"/>
    </row>
    <row r="4723" spans="13:19" x14ac:dyDescent="0.25">
      <c r="M4723" s="514"/>
      <c r="Q4723" s="293"/>
      <c r="R4723" s="316"/>
      <c r="S4723" s="355"/>
    </row>
    <row r="4724" spans="13:19" x14ac:dyDescent="0.25">
      <c r="M4724" s="514"/>
      <c r="Q4724" s="293"/>
      <c r="R4724" s="316"/>
      <c r="S4724" s="355"/>
    </row>
    <row r="4725" spans="13:19" x14ac:dyDescent="0.25">
      <c r="M4725" s="514"/>
      <c r="Q4725" s="293"/>
      <c r="R4725" s="316"/>
      <c r="S4725" s="355"/>
    </row>
    <row r="4726" spans="13:19" x14ac:dyDescent="0.25">
      <c r="M4726" s="514"/>
      <c r="Q4726" s="293"/>
      <c r="R4726" s="316"/>
      <c r="S4726" s="355"/>
    </row>
    <row r="4727" spans="13:19" x14ac:dyDescent="0.25">
      <c r="M4727" s="514"/>
      <c r="Q4727" s="293"/>
      <c r="R4727" s="316"/>
      <c r="S4727" s="355"/>
    </row>
    <row r="4728" spans="13:19" x14ac:dyDescent="0.25">
      <c r="M4728" s="514"/>
      <c r="Q4728" s="293"/>
      <c r="R4728" s="316"/>
      <c r="S4728" s="355"/>
    </row>
    <row r="4729" spans="13:19" x14ac:dyDescent="0.25">
      <c r="M4729" s="514"/>
      <c r="Q4729" s="293"/>
      <c r="R4729" s="316"/>
      <c r="S4729" s="355"/>
    </row>
    <row r="4730" spans="13:19" x14ac:dyDescent="0.25">
      <c r="M4730" s="514"/>
      <c r="Q4730" s="293"/>
      <c r="R4730" s="316"/>
      <c r="S4730" s="355"/>
    </row>
    <row r="4731" spans="13:19" x14ac:dyDescent="0.25">
      <c r="M4731" s="514"/>
      <c r="Q4731" s="293"/>
      <c r="R4731" s="316"/>
      <c r="S4731" s="355"/>
    </row>
    <row r="4732" spans="13:19" x14ac:dyDescent="0.25">
      <c r="M4732" s="514"/>
      <c r="Q4732" s="293"/>
      <c r="R4732" s="316"/>
      <c r="S4732" s="355"/>
    </row>
    <row r="4733" spans="13:19" x14ac:dyDescent="0.25">
      <c r="M4733" s="514"/>
      <c r="Q4733" s="293"/>
      <c r="R4733" s="316"/>
      <c r="S4733" s="355"/>
    </row>
    <row r="4734" spans="13:19" x14ac:dyDescent="0.25">
      <c r="M4734" s="514"/>
      <c r="Q4734" s="293"/>
      <c r="R4734" s="316"/>
      <c r="S4734" s="355"/>
    </row>
    <row r="4735" spans="13:19" x14ac:dyDescent="0.25">
      <c r="M4735" s="514"/>
      <c r="Q4735" s="293"/>
      <c r="R4735" s="316"/>
      <c r="S4735" s="355"/>
    </row>
    <row r="4736" spans="13:19" x14ac:dyDescent="0.25">
      <c r="M4736" s="514"/>
      <c r="Q4736" s="293"/>
      <c r="R4736" s="316"/>
      <c r="S4736" s="355"/>
    </row>
    <row r="4737" spans="13:19" x14ac:dyDescent="0.25">
      <c r="M4737" s="514"/>
      <c r="Q4737" s="293"/>
      <c r="R4737" s="316"/>
      <c r="S4737" s="355"/>
    </row>
    <row r="4738" spans="13:19" x14ac:dyDescent="0.25">
      <c r="M4738" s="514"/>
      <c r="Q4738" s="293"/>
      <c r="R4738" s="316"/>
      <c r="S4738" s="355"/>
    </row>
    <row r="4739" spans="13:19" x14ac:dyDescent="0.25">
      <c r="M4739" s="514"/>
      <c r="Q4739" s="293"/>
      <c r="R4739" s="316"/>
      <c r="S4739" s="355"/>
    </row>
    <row r="4740" spans="13:19" x14ac:dyDescent="0.25">
      <c r="M4740" s="514"/>
      <c r="Q4740" s="293"/>
      <c r="R4740" s="316"/>
      <c r="S4740" s="355"/>
    </row>
    <row r="4741" spans="13:19" x14ac:dyDescent="0.25">
      <c r="M4741" s="514"/>
      <c r="Q4741" s="293"/>
      <c r="R4741" s="316"/>
      <c r="S4741" s="355"/>
    </row>
    <row r="4742" spans="13:19" x14ac:dyDescent="0.25">
      <c r="M4742" s="514"/>
      <c r="Q4742" s="293"/>
      <c r="R4742" s="316"/>
      <c r="S4742" s="355"/>
    </row>
    <row r="4743" spans="13:19" x14ac:dyDescent="0.25">
      <c r="M4743" s="514"/>
      <c r="Q4743" s="293"/>
      <c r="R4743" s="316"/>
      <c r="S4743" s="355"/>
    </row>
    <row r="4744" spans="13:19" x14ac:dyDescent="0.25">
      <c r="M4744" s="514"/>
      <c r="Q4744" s="293"/>
      <c r="R4744" s="316"/>
      <c r="S4744" s="355"/>
    </row>
    <row r="4745" spans="13:19" x14ac:dyDescent="0.25">
      <c r="M4745" s="514"/>
      <c r="Q4745" s="293"/>
      <c r="R4745" s="316"/>
      <c r="S4745" s="355"/>
    </row>
    <row r="4746" spans="13:19" x14ac:dyDescent="0.25">
      <c r="M4746" s="514"/>
      <c r="Q4746" s="293"/>
      <c r="R4746" s="316"/>
      <c r="S4746" s="355"/>
    </row>
    <row r="4747" spans="13:19" x14ac:dyDescent="0.25">
      <c r="M4747" s="514"/>
      <c r="Q4747" s="293"/>
      <c r="R4747" s="316"/>
      <c r="S4747" s="355"/>
    </row>
    <row r="4748" spans="13:19" x14ac:dyDescent="0.25">
      <c r="M4748" s="514"/>
      <c r="Q4748" s="293"/>
      <c r="R4748" s="316"/>
      <c r="S4748" s="355"/>
    </row>
    <row r="4749" spans="13:19" x14ac:dyDescent="0.25">
      <c r="M4749" s="514"/>
      <c r="Q4749" s="293"/>
      <c r="R4749" s="316"/>
      <c r="S4749" s="355"/>
    </row>
    <row r="4750" spans="13:19" x14ac:dyDescent="0.25">
      <c r="M4750" s="514"/>
      <c r="Q4750" s="293"/>
      <c r="R4750" s="316"/>
      <c r="S4750" s="355"/>
    </row>
    <row r="4751" spans="13:19" x14ac:dyDescent="0.25">
      <c r="M4751" s="514"/>
      <c r="Q4751" s="293"/>
      <c r="R4751" s="316"/>
      <c r="S4751" s="355"/>
    </row>
    <row r="4752" spans="13:19" x14ac:dyDescent="0.25">
      <c r="M4752" s="514"/>
      <c r="Q4752" s="293"/>
      <c r="R4752" s="316"/>
      <c r="S4752" s="355"/>
    </row>
    <row r="4753" spans="13:19" x14ac:dyDescent="0.25">
      <c r="M4753" s="514"/>
      <c r="Q4753" s="293"/>
      <c r="R4753" s="316"/>
      <c r="S4753" s="355"/>
    </row>
    <row r="4754" spans="13:19" x14ac:dyDescent="0.25">
      <c r="M4754" s="514"/>
      <c r="Q4754" s="293"/>
      <c r="R4754" s="316"/>
      <c r="S4754" s="355"/>
    </row>
    <row r="4755" spans="13:19" x14ac:dyDescent="0.25">
      <c r="M4755" s="514"/>
      <c r="Q4755" s="293"/>
      <c r="R4755" s="316"/>
      <c r="S4755" s="355"/>
    </row>
    <row r="4756" spans="13:19" x14ac:dyDescent="0.25">
      <c r="M4756" s="514"/>
      <c r="Q4756" s="293"/>
      <c r="R4756" s="316"/>
      <c r="S4756" s="355"/>
    </row>
    <row r="4757" spans="13:19" x14ac:dyDescent="0.25">
      <c r="M4757" s="514"/>
      <c r="Q4757" s="293"/>
      <c r="R4757" s="316"/>
      <c r="S4757" s="355"/>
    </row>
    <row r="4758" spans="13:19" x14ac:dyDescent="0.25">
      <c r="M4758" s="514"/>
      <c r="Q4758" s="293"/>
      <c r="R4758" s="316"/>
      <c r="S4758" s="355"/>
    </row>
    <row r="4759" spans="13:19" x14ac:dyDescent="0.25">
      <c r="M4759" s="514"/>
      <c r="Q4759" s="293"/>
      <c r="R4759" s="316"/>
      <c r="S4759" s="355"/>
    </row>
    <row r="4760" spans="13:19" x14ac:dyDescent="0.25">
      <c r="M4760" s="514"/>
      <c r="Q4760" s="293"/>
      <c r="R4760" s="316"/>
      <c r="S4760" s="355"/>
    </row>
    <row r="4761" spans="13:19" x14ac:dyDescent="0.25">
      <c r="M4761" s="514"/>
      <c r="Q4761" s="293"/>
      <c r="R4761" s="316"/>
      <c r="S4761" s="355"/>
    </row>
    <row r="4762" spans="13:19" x14ac:dyDescent="0.25">
      <c r="M4762" s="514"/>
      <c r="Q4762" s="293"/>
      <c r="R4762" s="316"/>
      <c r="S4762" s="355"/>
    </row>
    <row r="4763" spans="13:19" x14ac:dyDescent="0.25">
      <c r="M4763" s="514"/>
      <c r="Q4763" s="293"/>
      <c r="R4763" s="316"/>
      <c r="S4763" s="355"/>
    </row>
    <row r="4764" spans="13:19" x14ac:dyDescent="0.25">
      <c r="M4764" s="514"/>
      <c r="Q4764" s="293"/>
      <c r="R4764" s="316"/>
      <c r="S4764" s="355"/>
    </row>
    <row r="4765" spans="13:19" x14ac:dyDescent="0.25">
      <c r="M4765" s="514"/>
      <c r="Q4765" s="293"/>
      <c r="R4765" s="316"/>
      <c r="S4765" s="355"/>
    </row>
    <row r="4766" spans="13:19" x14ac:dyDescent="0.25">
      <c r="M4766" s="514"/>
      <c r="Q4766" s="293"/>
      <c r="R4766" s="316"/>
      <c r="S4766" s="355"/>
    </row>
    <row r="4767" spans="13:19" x14ac:dyDescent="0.25">
      <c r="M4767" s="514"/>
      <c r="Q4767" s="293"/>
      <c r="R4767" s="316"/>
      <c r="S4767" s="355"/>
    </row>
    <row r="4768" spans="13:19" x14ac:dyDescent="0.25">
      <c r="M4768" s="514"/>
      <c r="Q4768" s="293"/>
      <c r="R4768" s="316"/>
      <c r="S4768" s="355"/>
    </row>
    <row r="4769" spans="13:19" x14ac:dyDescent="0.25">
      <c r="M4769" s="514"/>
      <c r="Q4769" s="293"/>
      <c r="R4769" s="316"/>
      <c r="S4769" s="355"/>
    </row>
    <row r="4770" spans="13:19" x14ac:dyDescent="0.25">
      <c r="M4770" s="514"/>
      <c r="Q4770" s="293"/>
      <c r="R4770" s="316"/>
      <c r="S4770" s="355"/>
    </row>
    <row r="4771" spans="13:19" x14ac:dyDescent="0.25">
      <c r="M4771" s="514"/>
      <c r="Q4771" s="293"/>
      <c r="R4771" s="316"/>
      <c r="S4771" s="355"/>
    </row>
    <row r="4772" spans="13:19" x14ac:dyDescent="0.25">
      <c r="M4772" s="514"/>
      <c r="Q4772" s="293"/>
      <c r="R4772" s="316"/>
      <c r="S4772" s="355"/>
    </row>
    <row r="4773" spans="13:19" x14ac:dyDescent="0.25">
      <c r="M4773" s="514"/>
      <c r="Q4773" s="293"/>
      <c r="R4773" s="316"/>
      <c r="S4773" s="355"/>
    </row>
    <row r="4774" spans="13:19" x14ac:dyDescent="0.25">
      <c r="M4774" s="514"/>
      <c r="Q4774" s="293"/>
      <c r="R4774" s="316"/>
      <c r="S4774" s="355"/>
    </row>
    <row r="4775" spans="13:19" x14ac:dyDescent="0.25">
      <c r="M4775" s="514"/>
      <c r="Q4775" s="293"/>
      <c r="R4775" s="316"/>
      <c r="S4775" s="355"/>
    </row>
    <row r="4776" spans="13:19" x14ac:dyDescent="0.25">
      <c r="M4776" s="514"/>
      <c r="Q4776" s="293"/>
      <c r="R4776" s="316"/>
      <c r="S4776" s="355"/>
    </row>
    <row r="4777" spans="13:19" x14ac:dyDescent="0.25">
      <c r="M4777" s="514"/>
      <c r="Q4777" s="293"/>
      <c r="R4777" s="316"/>
      <c r="S4777" s="355"/>
    </row>
    <row r="4778" spans="13:19" x14ac:dyDescent="0.25">
      <c r="M4778" s="514"/>
      <c r="Q4778" s="293"/>
      <c r="R4778" s="316"/>
      <c r="S4778" s="355"/>
    </row>
    <row r="4779" spans="13:19" x14ac:dyDescent="0.25">
      <c r="M4779" s="514"/>
      <c r="Q4779" s="293"/>
      <c r="R4779" s="316"/>
      <c r="S4779" s="355"/>
    </row>
    <row r="4780" spans="13:19" x14ac:dyDescent="0.25">
      <c r="M4780" s="514"/>
      <c r="Q4780" s="293"/>
      <c r="R4780" s="316"/>
      <c r="S4780" s="355"/>
    </row>
    <row r="4781" spans="13:19" x14ac:dyDescent="0.25">
      <c r="M4781" s="514"/>
      <c r="Q4781" s="293"/>
      <c r="R4781" s="316"/>
      <c r="S4781" s="355"/>
    </row>
    <row r="4782" spans="13:19" x14ac:dyDescent="0.25">
      <c r="M4782" s="514"/>
      <c r="Q4782" s="293"/>
      <c r="R4782" s="316"/>
      <c r="S4782" s="355"/>
    </row>
    <row r="4783" spans="13:19" x14ac:dyDescent="0.25">
      <c r="M4783" s="514"/>
      <c r="Q4783" s="293"/>
      <c r="R4783" s="316"/>
      <c r="S4783" s="355"/>
    </row>
    <row r="4784" spans="13:19" x14ac:dyDescent="0.25">
      <c r="M4784" s="514"/>
      <c r="Q4784" s="293"/>
      <c r="R4784" s="316"/>
      <c r="S4784" s="355"/>
    </row>
    <row r="4785" spans="13:19" x14ac:dyDescent="0.25">
      <c r="M4785" s="514"/>
      <c r="Q4785" s="293"/>
      <c r="R4785" s="316"/>
      <c r="S4785" s="355"/>
    </row>
    <row r="4786" spans="13:19" x14ac:dyDescent="0.25">
      <c r="M4786" s="514"/>
      <c r="Q4786" s="293"/>
      <c r="R4786" s="316"/>
      <c r="S4786" s="355"/>
    </row>
    <row r="4787" spans="13:19" x14ac:dyDescent="0.25">
      <c r="M4787" s="514"/>
      <c r="Q4787" s="293"/>
      <c r="R4787" s="316"/>
      <c r="S4787" s="355"/>
    </row>
    <row r="4788" spans="13:19" x14ac:dyDescent="0.25">
      <c r="M4788" s="514"/>
      <c r="Q4788" s="293"/>
      <c r="R4788" s="316"/>
      <c r="S4788" s="355"/>
    </row>
    <row r="4789" spans="13:19" x14ac:dyDescent="0.25">
      <c r="M4789" s="514"/>
      <c r="Q4789" s="293"/>
      <c r="R4789" s="316"/>
      <c r="S4789" s="355"/>
    </row>
    <row r="4790" spans="13:19" x14ac:dyDescent="0.25">
      <c r="M4790" s="514"/>
      <c r="Q4790" s="293"/>
      <c r="R4790" s="316"/>
      <c r="S4790" s="355"/>
    </row>
    <row r="4791" spans="13:19" x14ac:dyDescent="0.25">
      <c r="M4791" s="514"/>
      <c r="Q4791" s="293"/>
      <c r="R4791" s="316"/>
      <c r="S4791" s="355"/>
    </row>
    <row r="4792" spans="13:19" x14ac:dyDescent="0.25">
      <c r="M4792" s="514"/>
      <c r="Q4792" s="293"/>
      <c r="R4792" s="316"/>
      <c r="S4792" s="355"/>
    </row>
    <row r="4793" spans="13:19" x14ac:dyDescent="0.25">
      <c r="M4793" s="514"/>
      <c r="Q4793" s="293"/>
      <c r="R4793" s="316"/>
      <c r="S4793" s="355"/>
    </row>
    <row r="4794" spans="13:19" x14ac:dyDescent="0.25">
      <c r="M4794" s="514"/>
      <c r="Q4794" s="293"/>
      <c r="R4794" s="316"/>
      <c r="S4794" s="355"/>
    </row>
    <row r="4795" spans="13:19" x14ac:dyDescent="0.25">
      <c r="M4795" s="514"/>
      <c r="Q4795" s="293"/>
      <c r="R4795" s="316"/>
      <c r="S4795" s="355"/>
    </row>
    <row r="4796" spans="13:19" x14ac:dyDescent="0.25">
      <c r="M4796" s="514"/>
      <c r="Q4796" s="293"/>
      <c r="R4796" s="316"/>
      <c r="S4796" s="355"/>
    </row>
    <row r="4797" spans="13:19" x14ac:dyDescent="0.25">
      <c r="M4797" s="514"/>
      <c r="Q4797" s="293"/>
      <c r="R4797" s="316"/>
      <c r="S4797" s="355"/>
    </row>
    <row r="4798" spans="13:19" x14ac:dyDescent="0.25">
      <c r="M4798" s="514"/>
      <c r="Q4798" s="293"/>
      <c r="R4798" s="316"/>
      <c r="S4798" s="355"/>
    </row>
    <row r="4799" spans="13:19" x14ac:dyDescent="0.25">
      <c r="M4799" s="514"/>
      <c r="Q4799" s="293"/>
      <c r="R4799" s="316"/>
      <c r="S4799" s="355"/>
    </row>
    <row r="4800" spans="13:19" x14ac:dyDescent="0.25">
      <c r="M4800" s="514"/>
      <c r="Q4800" s="293"/>
      <c r="R4800" s="316"/>
      <c r="S4800" s="355"/>
    </row>
    <row r="4801" spans="13:19" x14ac:dyDescent="0.25">
      <c r="M4801" s="514"/>
      <c r="Q4801" s="293"/>
      <c r="R4801" s="316"/>
      <c r="S4801" s="355"/>
    </row>
    <row r="4802" spans="13:19" x14ac:dyDescent="0.25">
      <c r="M4802" s="514"/>
      <c r="Q4802" s="293"/>
      <c r="R4802" s="316"/>
      <c r="S4802" s="355"/>
    </row>
    <row r="4803" spans="13:19" x14ac:dyDescent="0.25">
      <c r="M4803" s="514"/>
      <c r="Q4803" s="293"/>
      <c r="R4803" s="316"/>
      <c r="S4803" s="355"/>
    </row>
    <row r="4804" spans="13:19" x14ac:dyDescent="0.25">
      <c r="M4804" s="514"/>
      <c r="Q4804" s="293"/>
      <c r="R4804" s="316"/>
      <c r="S4804" s="355"/>
    </row>
    <row r="4805" spans="13:19" x14ac:dyDescent="0.25">
      <c r="M4805" s="514"/>
      <c r="Q4805" s="293"/>
      <c r="R4805" s="316"/>
      <c r="S4805" s="355"/>
    </row>
    <row r="4806" spans="13:19" x14ac:dyDescent="0.25">
      <c r="M4806" s="514"/>
      <c r="Q4806" s="293"/>
      <c r="R4806" s="316"/>
      <c r="S4806" s="355"/>
    </row>
    <row r="4807" spans="13:19" x14ac:dyDescent="0.25">
      <c r="M4807" s="514"/>
      <c r="Q4807" s="293"/>
      <c r="R4807" s="316"/>
      <c r="S4807" s="355"/>
    </row>
    <row r="4808" spans="13:19" x14ac:dyDescent="0.25">
      <c r="M4808" s="514"/>
      <c r="Q4808" s="293"/>
      <c r="R4808" s="316"/>
      <c r="S4808" s="355"/>
    </row>
    <row r="4809" spans="13:19" x14ac:dyDescent="0.25">
      <c r="M4809" s="514"/>
      <c r="Q4809" s="293"/>
      <c r="R4809" s="316"/>
      <c r="S4809" s="355"/>
    </row>
    <row r="4810" spans="13:19" x14ac:dyDescent="0.25">
      <c r="M4810" s="514"/>
      <c r="Q4810" s="293"/>
      <c r="R4810" s="316"/>
      <c r="S4810" s="355"/>
    </row>
    <row r="4811" spans="13:19" x14ac:dyDescent="0.25">
      <c r="M4811" s="514"/>
      <c r="Q4811" s="293"/>
      <c r="R4811" s="316"/>
      <c r="S4811" s="355"/>
    </row>
    <row r="4812" spans="13:19" x14ac:dyDescent="0.25">
      <c r="M4812" s="514"/>
      <c r="Q4812" s="293"/>
      <c r="R4812" s="316"/>
      <c r="S4812" s="355"/>
    </row>
    <row r="4813" spans="13:19" x14ac:dyDescent="0.25">
      <c r="M4813" s="514"/>
      <c r="Q4813" s="293"/>
      <c r="R4813" s="316"/>
      <c r="S4813" s="355"/>
    </row>
    <row r="4814" spans="13:19" x14ac:dyDescent="0.25">
      <c r="M4814" s="514"/>
      <c r="Q4814" s="293"/>
      <c r="R4814" s="316"/>
      <c r="S4814" s="355"/>
    </row>
    <row r="4815" spans="13:19" x14ac:dyDescent="0.25">
      <c r="M4815" s="514"/>
      <c r="Q4815" s="293"/>
      <c r="R4815" s="316"/>
      <c r="S4815" s="355"/>
    </row>
    <row r="4816" spans="13:19" x14ac:dyDescent="0.25">
      <c r="M4816" s="514"/>
      <c r="Q4816" s="293"/>
      <c r="R4816" s="316"/>
      <c r="S4816" s="355"/>
    </row>
    <row r="4817" spans="13:19" x14ac:dyDescent="0.25">
      <c r="M4817" s="514"/>
      <c r="Q4817" s="293"/>
      <c r="R4817" s="316"/>
      <c r="S4817" s="355"/>
    </row>
    <row r="4818" spans="13:19" x14ac:dyDescent="0.25">
      <c r="M4818" s="514"/>
      <c r="Q4818" s="293"/>
      <c r="R4818" s="316"/>
      <c r="S4818" s="355"/>
    </row>
    <row r="4819" spans="13:19" x14ac:dyDescent="0.25">
      <c r="M4819" s="514"/>
      <c r="Q4819" s="293"/>
      <c r="R4819" s="316"/>
      <c r="S4819" s="355"/>
    </row>
    <row r="4820" spans="13:19" x14ac:dyDescent="0.25">
      <c r="M4820" s="514"/>
      <c r="Q4820" s="293"/>
      <c r="R4820" s="316"/>
      <c r="S4820" s="355"/>
    </row>
    <row r="4821" spans="13:19" x14ac:dyDescent="0.25">
      <c r="M4821" s="514"/>
      <c r="Q4821" s="293"/>
      <c r="R4821" s="316"/>
      <c r="S4821" s="355"/>
    </row>
    <row r="4822" spans="13:19" x14ac:dyDescent="0.25">
      <c r="M4822" s="514"/>
      <c r="Q4822" s="293"/>
      <c r="R4822" s="316"/>
      <c r="S4822" s="355"/>
    </row>
    <row r="4823" spans="13:19" x14ac:dyDescent="0.25">
      <c r="M4823" s="514"/>
      <c r="Q4823" s="293"/>
      <c r="R4823" s="316"/>
      <c r="S4823" s="355"/>
    </row>
    <row r="4824" spans="13:19" x14ac:dyDescent="0.25">
      <c r="M4824" s="514"/>
      <c r="Q4824" s="293"/>
      <c r="R4824" s="316"/>
      <c r="S4824" s="355"/>
    </row>
    <row r="4825" spans="13:19" x14ac:dyDescent="0.25">
      <c r="M4825" s="514"/>
      <c r="Q4825" s="293"/>
      <c r="R4825" s="316"/>
      <c r="S4825" s="355"/>
    </row>
    <row r="4826" spans="13:19" x14ac:dyDescent="0.25">
      <c r="M4826" s="514"/>
      <c r="Q4826" s="293"/>
      <c r="R4826" s="316"/>
      <c r="S4826" s="355"/>
    </row>
    <row r="4827" spans="13:19" x14ac:dyDescent="0.25">
      <c r="M4827" s="514"/>
      <c r="Q4827" s="293"/>
      <c r="R4827" s="316"/>
      <c r="S4827" s="355"/>
    </row>
    <row r="4828" spans="13:19" x14ac:dyDescent="0.25">
      <c r="M4828" s="514"/>
      <c r="Q4828" s="293"/>
      <c r="R4828" s="316"/>
      <c r="S4828" s="355"/>
    </row>
    <row r="4829" spans="13:19" x14ac:dyDescent="0.25">
      <c r="M4829" s="514"/>
      <c r="Q4829" s="293"/>
      <c r="R4829" s="316"/>
      <c r="S4829" s="355"/>
    </row>
    <row r="4830" spans="13:19" x14ac:dyDescent="0.25">
      <c r="M4830" s="514"/>
      <c r="Q4830" s="293"/>
      <c r="R4830" s="316"/>
      <c r="S4830" s="355"/>
    </row>
    <row r="4831" spans="13:19" x14ac:dyDescent="0.25">
      <c r="M4831" s="514"/>
      <c r="Q4831" s="293"/>
      <c r="R4831" s="316"/>
      <c r="S4831" s="355"/>
    </row>
    <row r="4832" spans="13:19" x14ac:dyDescent="0.25">
      <c r="M4832" s="514"/>
      <c r="Q4832" s="293"/>
      <c r="R4832" s="316"/>
      <c r="S4832" s="355"/>
    </row>
    <row r="4833" spans="13:19" x14ac:dyDescent="0.25">
      <c r="M4833" s="514"/>
      <c r="Q4833" s="293"/>
      <c r="R4833" s="316"/>
      <c r="S4833" s="355"/>
    </row>
    <row r="4834" spans="13:19" x14ac:dyDescent="0.25">
      <c r="M4834" s="514"/>
      <c r="Q4834" s="293"/>
      <c r="R4834" s="316"/>
      <c r="S4834" s="355"/>
    </row>
    <row r="4835" spans="13:19" x14ac:dyDescent="0.25">
      <c r="M4835" s="514"/>
      <c r="Q4835" s="293"/>
      <c r="R4835" s="316"/>
      <c r="S4835" s="355"/>
    </row>
    <row r="4836" spans="13:19" x14ac:dyDescent="0.25">
      <c r="M4836" s="514"/>
      <c r="Q4836" s="293"/>
      <c r="R4836" s="316"/>
      <c r="S4836" s="355"/>
    </row>
    <row r="4837" spans="13:19" x14ac:dyDescent="0.25">
      <c r="M4837" s="514"/>
      <c r="Q4837" s="293"/>
      <c r="R4837" s="316"/>
      <c r="S4837" s="355"/>
    </row>
    <row r="4838" spans="13:19" x14ac:dyDescent="0.25">
      <c r="M4838" s="514"/>
      <c r="Q4838" s="293"/>
      <c r="R4838" s="316"/>
      <c r="S4838" s="355"/>
    </row>
    <row r="4839" spans="13:19" x14ac:dyDescent="0.25">
      <c r="M4839" s="514"/>
      <c r="Q4839" s="293"/>
      <c r="R4839" s="316"/>
      <c r="S4839" s="355"/>
    </row>
    <row r="4840" spans="13:19" x14ac:dyDescent="0.25">
      <c r="M4840" s="514"/>
      <c r="Q4840" s="293"/>
      <c r="R4840" s="316"/>
      <c r="S4840" s="355"/>
    </row>
    <row r="4841" spans="13:19" x14ac:dyDescent="0.25">
      <c r="M4841" s="514"/>
      <c r="Q4841" s="293"/>
      <c r="R4841" s="316"/>
      <c r="S4841" s="355"/>
    </row>
    <row r="4842" spans="13:19" x14ac:dyDescent="0.25">
      <c r="M4842" s="514"/>
      <c r="Q4842" s="293"/>
      <c r="R4842" s="316"/>
      <c r="S4842" s="355"/>
    </row>
    <row r="4843" spans="13:19" x14ac:dyDescent="0.25">
      <c r="M4843" s="514"/>
      <c r="Q4843" s="293"/>
      <c r="R4843" s="316"/>
      <c r="S4843" s="355"/>
    </row>
    <row r="4844" spans="13:19" x14ac:dyDescent="0.25">
      <c r="M4844" s="514"/>
      <c r="Q4844" s="293"/>
      <c r="R4844" s="316"/>
      <c r="S4844" s="355"/>
    </row>
    <row r="4845" spans="13:19" x14ac:dyDescent="0.25">
      <c r="M4845" s="514"/>
      <c r="Q4845" s="293"/>
      <c r="R4845" s="316"/>
      <c r="S4845" s="355"/>
    </row>
    <row r="4846" spans="13:19" x14ac:dyDescent="0.25">
      <c r="M4846" s="514"/>
      <c r="Q4846" s="293"/>
      <c r="R4846" s="316"/>
      <c r="S4846" s="355"/>
    </row>
    <row r="4847" spans="13:19" x14ac:dyDescent="0.25">
      <c r="M4847" s="514"/>
      <c r="Q4847" s="293"/>
      <c r="R4847" s="316"/>
      <c r="S4847" s="355"/>
    </row>
    <row r="4848" spans="13:19" x14ac:dyDescent="0.25">
      <c r="M4848" s="514"/>
      <c r="Q4848" s="293"/>
      <c r="R4848" s="316"/>
      <c r="S4848" s="355"/>
    </row>
    <row r="4849" spans="13:19" x14ac:dyDescent="0.25">
      <c r="M4849" s="514"/>
      <c r="Q4849" s="293"/>
      <c r="R4849" s="316"/>
      <c r="S4849" s="355"/>
    </row>
    <row r="4850" spans="13:19" x14ac:dyDescent="0.25">
      <c r="M4850" s="514"/>
      <c r="Q4850" s="293"/>
      <c r="R4850" s="316"/>
      <c r="S4850" s="355"/>
    </row>
    <row r="4851" spans="13:19" x14ac:dyDescent="0.25">
      <c r="M4851" s="514"/>
      <c r="Q4851" s="293"/>
      <c r="R4851" s="316"/>
      <c r="S4851" s="355"/>
    </row>
    <row r="4852" spans="13:19" x14ac:dyDescent="0.25">
      <c r="M4852" s="514"/>
      <c r="Q4852" s="293"/>
      <c r="R4852" s="316"/>
      <c r="S4852" s="355"/>
    </row>
    <row r="4853" spans="13:19" x14ac:dyDescent="0.25">
      <c r="M4853" s="514"/>
      <c r="Q4853" s="293"/>
      <c r="R4853" s="316"/>
      <c r="S4853" s="355"/>
    </row>
    <row r="4854" spans="13:19" x14ac:dyDescent="0.25">
      <c r="M4854" s="514"/>
      <c r="Q4854" s="293"/>
      <c r="R4854" s="316"/>
      <c r="S4854" s="355"/>
    </row>
    <row r="4855" spans="13:19" x14ac:dyDescent="0.25">
      <c r="M4855" s="514"/>
      <c r="Q4855" s="293"/>
      <c r="R4855" s="316"/>
      <c r="S4855" s="355"/>
    </row>
    <row r="4856" spans="13:19" x14ac:dyDescent="0.25">
      <c r="M4856" s="514"/>
      <c r="Q4856" s="293"/>
      <c r="R4856" s="316"/>
      <c r="S4856" s="355"/>
    </row>
    <row r="4857" spans="13:19" x14ac:dyDescent="0.25">
      <c r="M4857" s="514"/>
      <c r="Q4857" s="293"/>
      <c r="R4857" s="316"/>
      <c r="S4857" s="355"/>
    </row>
    <row r="4858" spans="13:19" x14ac:dyDescent="0.25">
      <c r="M4858" s="514"/>
      <c r="Q4858" s="293"/>
      <c r="R4858" s="316"/>
      <c r="S4858" s="355"/>
    </row>
    <row r="4859" spans="13:19" x14ac:dyDescent="0.25">
      <c r="M4859" s="514"/>
      <c r="Q4859" s="293"/>
      <c r="R4859" s="316"/>
      <c r="S4859" s="355"/>
    </row>
    <row r="4860" spans="13:19" x14ac:dyDescent="0.25">
      <c r="M4860" s="514"/>
      <c r="Q4860" s="293"/>
      <c r="R4860" s="316"/>
      <c r="S4860" s="355"/>
    </row>
    <row r="4861" spans="13:19" x14ac:dyDescent="0.25">
      <c r="M4861" s="514"/>
      <c r="Q4861" s="293"/>
      <c r="R4861" s="316"/>
      <c r="S4861" s="355"/>
    </row>
    <row r="4862" spans="13:19" x14ac:dyDescent="0.25">
      <c r="M4862" s="514"/>
      <c r="Q4862" s="293"/>
      <c r="R4862" s="316"/>
      <c r="S4862" s="355"/>
    </row>
    <row r="4863" spans="13:19" x14ac:dyDescent="0.25">
      <c r="M4863" s="514"/>
      <c r="Q4863" s="293"/>
      <c r="R4863" s="316"/>
      <c r="S4863" s="355"/>
    </row>
    <row r="4864" spans="13:19" x14ac:dyDescent="0.25">
      <c r="M4864" s="514"/>
      <c r="Q4864" s="293"/>
      <c r="R4864" s="316"/>
      <c r="S4864" s="355"/>
    </row>
    <row r="4865" spans="13:19" x14ac:dyDescent="0.25">
      <c r="M4865" s="514"/>
      <c r="Q4865" s="293"/>
      <c r="R4865" s="316"/>
      <c r="S4865" s="355"/>
    </row>
    <row r="4866" spans="13:19" x14ac:dyDescent="0.25">
      <c r="M4866" s="514"/>
      <c r="Q4866" s="293"/>
      <c r="R4866" s="316"/>
      <c r="S4866" s="355"/>
    </row>
    <row r="4867" spans="13:19" x14ac:dyDescent="0.25">
      <c r="M4867" s="514"/>
      <c r="Q4867" s="293"/>
      <c r="R4867" s="316"/>
      <c r="S4867" s="355"/>
    </row>
    <row r="4868" spans="13:19" x14ac:dyDescent="0.25">
      <c r="M4868" s="514"/>
      <c r="Q4868" s="293"/>
      <c r="R4868" s="316"/>
      <c r="S4868" s="355"/>
    </row>
    <row r="4869" spans="13:19" x14ac:dyDescent="0.25">
      <c r="M4869" s="514"/>
      <c r="Q4869" s="293"/>
      <c r="R4869" s="316"/>
      <c r="S4869" s="355"/>
    </row>
    <row r="4870" spans="13:19" x14ac:dyDescent="0.25">
      <c r="M4870" s="514"/>
      <c r="Q4870" s="293"/>
      <c r="R4870" s="316"/>
      <c r="S4870" s="355"/>
    </row>
    <row r="4871" spans="13:19" x14ac:dyDescent="0.25">
      <c r="M4871" s="514"/>
      <c r="Q4871" s="293"/>
      <c r="R4871" s="316"/>
      <c r="S4871" s="355"/>
    </row>
    <row r="4872" spans="13:19" x14ac:dyDescent="0.25">
      <c r="M4872" s="514"/>
      <c r="Q4872" s="293"/>
      <c r="R4872" s="316"/>
      <c r="S4872" s="355"/>
    </row>
    <row r="4873" spans="13:19" x14ac:dyDescent="0.25">
      <c r="M4873" s="514"/>
      <c r="Q4873" s="293"/>
      <c r="R4873" s="316"/>
      <c r="S4873" s="355"/>
    </row>
    <row r="4874" spans="13:19" x14ac:dyDescent="0.25">
      <c r="M4874" s="514"/>
      <c r="Q4874" s="293"/>
      <c r="R4874" s="316"/>
      <c r="S4874" s="355"/>
    </row>
    <row r="4875" spans="13:19" x14ac:dyDescent="0.25">
      <c r="M4875" s="514"/>
      <c r="Q4875" s="293"/>
      <c r="R4875" s="316"/>
      <c r="S4875" s="355"/>
    </row>
    <row r="4876" spans="13:19" x14ac:dyDescent="0.25">
      <c r="M4876" s="514"/>
      <c r="Q4876" s="293"/>
      <c r="R4876" s="316"/>
      <c r="S4876" s="355"/>
    </row>
    <row r="4877" spans="13:19" x14ac:dyDescent="0.25">
      <c r="M4877" s="514"/>
      <c r="Q4877" s="293"/>
      <c r="R4877" s="316"/>
      <c r="S4877" s="355"/>
    </row>
    <row r="4878" spans="13:19" x14ac:dyDescent="0.25">
      <c r="M4878" s="514"/>
      <c r="Q4878" s="293"/>
      <c r="R4878" s="316"/>
      <c r="S4878" s="355"/>
    </row>
    <row r="4879" spans="13:19" x14ac:dyDescent="0.25">
      <c r="M4879" s="514"/>
      <c r="Q4879" s="293"/>
      <c r="R4879" s="316"/>
      <c r="S4879" s="355"/>
    </row>
    <row r="4880" spans="13:19" x14ac:dyDescent="0.25">
      <c r="M4880" s="514"/>
      <c r="Q4880" s="293"/>
      <c r="R4880" s="316"/>
      <c r="S4880" s="355"/>
    </row>
    <row r="4881" spans="13:19" x14ac:dyDescent="0.25">
      <c r="M4881" s="514"/>
      <c r="Q4881" s="293"/>
      <c r="R4881" s="316"/>
      <c r="S4881" s="355"/>
    </row>
    <row r="4882" spans="13:19" x14ac:dyDescent="0.25">
      <c r="M4882" s="514"/>
      <c r="Q4882" s="293"/>
      <c r="R4882" s="316"/>
      <c r="S4882" s="355"/>
    </row>
    <row r="4883" spans="13:19" x14ac:dyDescent="0.25">
      <c r="M4883" s="514"/>
      <c r="Q4883" s="293"/>
      <c r="R4883" s="316"/>
      <c r="S4883" s="355"/>
    </row>
    <row r="4884" spans="13:19" x14ac:dyDescent="0.25">
      <c r="M4884" s="514"/>
      <c r="Q4884" s="293"/>
      <c r="R4884" s="316"/>
      <c r="S4884" s="355"/>
    </row>
    <row r="4885" spans="13:19" x14ac:dyDescent="0.25">
      <c r="M4885" s="514"/>
      <c r="Q4885" s="293"/>
      <c r="R4885" s="316"/>
      <c r="S4885" s="355"/>
    </row>
    <row r="4886" spans="13:19" x14ac:dyDescent="0.25">
      <c r="M4886" s="514"/>
      <c r="Q4886" s="293"/>
      <c r="R4886" s="316"/>
      <c r="S4886" s="355"/>
    </row>
    <row r="4887" spans="13:19" x14ac:dyDescent="0.25">
      <c r="M4887" s="514"/>
      <c r="Q4887" s="293"/>
      <c r="R4887" s="316"/>
      <c r="S4887" s="355"/>
    </row>
    <row r="4888" spans="13:19" x14ac:dyDescent="0.25">
      <c r="M4888" s="514"/>
      <c r="Q4888" s="293"/>
      <c r="R4888" s="316"/>
      <c r="S4888" s="355"/>
    </row>
    <row r="4889" spans="13:19" x14ac:dyDescent="0.25">
      <c r="M4889" s="514"/>
      <c r="Q4889" s="293"/>
      <c r="R4889" s="316"/>
      <c r="S4889" s="355"/>
    </row>
    <row r="4890" spans="13:19" x14ac:dyDescent="0.25">
      <c r="M4890" s="514"/>
      <c r="Q4890" s="293"/>
      <c r="R4890" s="316"/>
      <c r="S4890" s="355"/>
    </row>
    <row r="4891" spans="13:19" x14ac:dyDescent="0.25">
      <c r="M4891" s="514"/>
      <c r="Q4891" s="293"/>
      <c r="R4891" s="316"/>
      <c r="S4891" s="355"/>
    </row>
    <row r="4892" spans="13:19" x14ac:dyDescent="0.25">
      <c r="M4892" s="514"/>
      <c r="Q4892" s="293"/>
      <c r="R4892" s="316"/>
      <c r="S4892" s="355"/>
    </row>
    <row r="4893" spans="13:19" x14ac:dyDescent="0.25">
      <c r="M4893" s="514"/>
      <c r="Q4893" s="293"/>
      <c r="R4893" s="316"/>
      <c r="S4893" s="355"/>
    </row>
    <row r="4894" spans="13:19" x14ac:dyDescent="0.25">
      <c r="M4894" s="514"/>
      <c r="Q4894" s="293"/>
      <c r="R4894" s="316"/>
      <c r="S4894" s="355"/>
    </row>
    <row r="4895" spans="13:19" x14ac:dyDescent="0.25">
      <c r="M4895" s="514"/>
      <c r="Q4895" s="293"/>
      <c r="R4895" s="316"/>
      <c r="S4895" s="355"/>
    </row>
    <row r="4896" spans="13:19" x14ac:dyDescent="0.25">
      <c r="M4896" s="514"/>
      <c r="Q4896" s="293"/>
      <c r="R4896" s="316"/>
      <c r="S4896" s="355"/>
    </row>
    <row r="4897" spans="13:19" x14ac:dyDescent="0.25">
      <c r="M4897" s="514"/>
      <c r="Q4897" s="293"/>
      <c r="R4897" s="316"/>
      <c r="S4897" s="355"/>
    </row>
    <row r="4898" spans="13:19" x14ac:dyDescent="0.25">
      <c r="M4898" s="514"/>
      <c r="Q4898" s="293"/>
      <c r="R4898" s="316"/>
      <c r="S4898" s="355"/>
    </row>
    <row r="4899" spans="13:19" x14ac:dyDescent="0.25">
      <c r="M4899" s="514"/>
      <c r="Q4899" s="293"/>
      <c r="R4899" s="316"/>
      <c r="S4899" s="355"/>
    </row>
    <row r="4900" spans="13:19" x14ac:dyDescent="0.25">
      <c r="M4900" s="514"/>
      <c r="Q4900" s="293"/>
      <c r="R4900" s="316"/>
      <c r="S4900" s="355"/>
    </row>
    <row r="4901" spans="13:19" x14ac:dyDescent="0.25">
      <c r="M4901" s="514"/>
      <c r="Q4901" s="293"/>
      <c r="R4901" s="316"/>
      <c r="S4901" s="355"/>
    </row>
    <row r="4902" spans="13:19" x14ac:dyDescent="0.25">
      <c r="M4902" s="514"/>
      <c r="Q4902" s="293"/>
      <c r="R4902" s="316"/>
      <c r="S4902" s="355"/>
    </row>
    <row r="4903" spans="13:19" x14ac:dyDescent="0.25">
      <c r="M4903" s="514"/>
      <c r="Q4903" s="293"/>
      <c r="R4903" s="316"/>
      <c r="S4903" s="355"/>
    </row>
    <row r="4904" spans="13:19" x14ac:dyDescent="0.25">
      <c r="M4904" s="514"/>
      <c r="Q4904" s="293"/>
      <c r="R4904" s="316"/>
      <c r="S4904" s="355"/>
    </row>
    <row r="4905" spans="13:19" x14ac:dyDescent="0.25">
      <c r="M4905" s="514"/>
      <c r="Q4905" s="293"/>
      <c r="R4905" s="316"/>
      <c r="S4905" s="355"/>
    </row>
    <row r="4906" spans="13:19" x14ac:dyDescent="0.25">
      <c r="M4906" s="514"/>
      <c r="Q4906" s="293"/>
      <c r="R4906" s="316"/>
      <c r="S4906" s="355"/>
    </row>
    <row r="4907" spans="13:19" x14ac:dyDescent="0.25">
      <c r="M4907" s="514"/>
      <c r="Q4907" s="293"/>
      <c r="R4907" s="316"/>
      <c r="S4907" s="355"/>
    </row>
    <row r="4908" spans="13:19" x14ac:dyDescent="0.25">
      <c r="M4908" s="514"/>
      <c r="Q4908" s="293"/>
      <c r="R4908" s="316"/>
      <c r="S4908" s="355"/>
    </row>
    <row r="4909" spans="13:19" x14ac:dyDescent="0.25">
      <c r="M4909" s="514"/>
      <c r="Q4909" s="293"/>
      <c r="R4909" s="316"/>
      <c r="S4909" s="355"/>
    </row>
    <row r="4910" spans="13:19" x14ac:dyDescent="0.25">
      <c r="M4910" s="514"/>
      <c r="Q4910" s="293"/>
      <c r="R4910" s="316"/>
      <c r="S4910" s="355"/>
    </row>
    <row r="4911" spans="13:19" x14ac:dyDescent="0.25">
      <c r="M4911" s="514"/>
      <c r="Q4911" s="293"/>
      <c r="R4911" s="316"/>
      <c r="S4911" s="355"/>
    </row>
    <row r="4912" spans="13:19" x14ac:dyDescent="0.25">
      <c r="M4912" s="514"/>
      <c r="Q4912" s="293"/>
      <c r="R4912" s="316"/>
      <c r="S4912" s="355"/>
    </row>
    <row r="4913" spans="13:19" x14ac:dyDescent="0.25">
      <c r="M4913" s="514"/>
      <c r="Q4913" s="293"/>
      <c r="R4913" s="316"/>
      <c r="S4913" s="355"/>
    </row>
    <row r="4914" spans="13:19" x14ac:dyDescent="0.25">
      <c r="M4914" s="514"/>
      <c r="Q4914" s="293"/>
      <c r="R4914" s="316"/>
      <c r="S4914" s="355"/>
    </row>
    <row r="4915" spans="13:19" x14ac:dyDescent="0.25">
      <c r="M4915" s="514"/>
      <c r="Q4915" s="293"/>
      <c r="R4915" s="316"/>
      <c r="S4915" s="355"/>
    </row>
    <row r="4916" spans="13:19" x14ac:dyDescent="0.25">
      <c r="M4916" s="514"/>
      <c r="Q4916" s="293"/>
      <c r="R4916" s="316"/>
      <c r="S4916" s="355"/>
    </row>
    <row r="4917" spans="13:19" x14ac:dyDescent="0.25">
      <c r="M4917" s="514"/>
      <c r="Q4917" s="293"/>
      <c r="R4917" s="316"/>
      <c r="S4917" s="355"/>
    </row>
    <row r="4918" spans="13:19" x14ac:dyDescent="0.25">
      <c r="M4918" s="514"/>
      <c r="Q4918" s="293"/>
      <c r="R4918" s="316"/>
      <c r="S4918" s="355"/>
    </row>
    <row r="4919" spans="13:19" x14ac:dyDescent="0.25">
      <c r="M4919" s="514"/>
      <c r="Q4919" s="293"/>
      <c r="R4919" s="316"/>
      <c r="S4919" s="355"/>
    </row>
    <row r="4920" spans="13:19" x14ac:dyDescent="0.25">
      <c r="M4920" s="514"/>
      <c r="Q4920" s="293"/>
      <c r="R4920" s="316"/>
      <c r="S4920" s="355"/>
    </row>
    <row r="4921" spans="13:19" x14ac:dyDescent="0.25">
      <c r="M4921" s="514"/>
      <c r="Q4921" s="293"/>
      <c r="R4921" s="316"/>
      <c r="S4921" s="355"/>
    </row>
    <row r="4922" spans="13:19" x14ac:dyDescent="0.25">
      <c r="M4922" s="514"/>
      <c r="Q4922" s="293"/>
      <c r="R4922" s="316"/>
      <c r="S4922" s="355"/>
    </row>
    <row r="4923" spans="13:19" x14ac:dyDescent="0.25">
      <c r="M4923" s="514"/>
      <c r="Q4923" s="293"/>
      <c r="R4923" s="316"/>
      <c r="S4923" s="355"/>
    </row>
    <row r="4924" spans="13:19" x14ac:dyDescent="0.25">
      <c r="M4924" s="514"/>
      <c r="Q4924" s="293"/>
      <c r="R4924" s="316"/>
      <c r="S4924" s="355"/>
    </row>
    <row r="4925" spans="13:19" x14ac:dyDescent="0.25">
      <c r="M4925" s="514"/>
      <c r="Q4925" s="293"/>
      <c r="R4925" s="316"/>
      <c r="S4925" s="355"/>
    </row>
    <row r="4926" spans="13:19" x14ac:dyDescent="0.25">
      <c r="M4926" s="514"/>
      <c r="Q4926" s="293"/>
      <c r="R4926" s="316"/>
      <c r="S4926" s="355"/>
    </row>
    <row r="4927" spans="13:19" x14ac:dyDescent="0.25">
      <c r="M4927" s="514"/>
      <c r="Q4927" s="293"/>
      <c r="R4927" s="316"/>
      <c r="S4927" s="355"/>
    </row>
    <row r="4928" spans="13:19" x14ac:dyDescent="0.25">
      <c r="M4928" s="514"/>
      <c r="Q4928" s="293"/>
      <c r="R4928" s="316"/>
      <c r="S4928" s="355"/>
    </row>
    <row r="4929" spans="13:19" x14ac:dyDescent="0.25">
      <c r="M4929" s="514"/>
      <c r="Q4929" s="293"/>
      <c r="R4929" s="316"/>
      <c r="S4929" s="355"/>
    </row>
    <row r="4930" spans="13:19" x14ac:dyDescent="0.25">
      <c r="M4930" s="514"/>
      <c r="Q4930" s="293"/>
      <c r="R4930" s="316"/>
      <c r="S4930" s="355"/>
    </row>
    <row r="4931" spans="13:19" x14ac:dyDescent="0.25">
      <c r="M4931" s="514"/>
      <c r="Q4931" s="293"/>
      <c r="R4931" s="316"/>
      <c r="S4931" s="355"/>
    </row>
    <row r="4932" spans="13:19" x14ac:dyDescent="0.25">
      <c r="M4932" s="514"/>
      <c r="Q4932" s="293"/>
      <c r="R4932" s="316"/>
      <c r="S4932" s="355"/>
    </row>
    <row r="4933" spans="13:19" x14ac:dyDescent="0.25">
      <c r="M4933" s="514"/>
      <c r="Q4933" s="293"/>
      <c r="R4933" s="316"/>
      <c r="S4933" s="355"/>
    </row>
    <row r="4934" spans="13:19" x14ac:dyDescent="0.25">
      <c r="M4934" s="514"/>
      <c r="Q4934" s="293"/>
      <c r="R4934" s="316"/>
      <c r="S4934" s="355"/>
    </row>
    <row r="4935" spans="13:19" x14ac:dyDescent="0.25">
      <c r="M4935" s="514"/>
      <c r="Q4935" s="293"/>
      <c r="R4935" s="316"/>
      <c r="S4935" s="355"/>
    </row>
    <row r="4936" spans="13:19" x14ac:dyDescent="0.25">
      <c r="M4936" s="514"/>
      <c r="Q4936" s="293"/>
      <c r="R4936" s="316"/>
      <c r="S4936" s="355"/>
    </row>
    <row r="4937" spans="13:19" x14ac:dyDescent="0.25">
      <c r="M4937" s="514"/>
      <c r="Q4937" s="293"/>
      <c r="R4937" s="316"/>
      <c r="S4937" s="355"/>
    </row>
    <row r="4938" spans="13:19" x14ac:dyDescent="0.25">
      <c r="M4938" s="514"/>
      <c r="Q4938" s="293"/>
      <c r="R4938" s="316"/>
      <c r="S4938" s="355"/>
    </row>
    <row r="4939" spans="13:19" x14ac:dyDescent="0.25">
      <c r="M4939" s="514"/>
      <c r="Q4939" s="293"/>
      <c r="R4939" s="316"/>
      <c r="S4939" s="355"/>
    </row>
    <row r="4940" spans="13:19" x14ac:dyDescent="0.25">
      <c r="M4940" s="514"/>
      <c r="Q4940" s="293"/>
      <c r="R4940" s="316"/>
      <c r="S4940" s="355"/>
    </row>
    <row r="4941" spans="13:19" x14ac:dyDescent="0.25">
      <c r="M4941" s="514"/>
      <c r="Q4941" s="293"/>
      <c r="R4941" s="316"/>
      <c r="S4941" s="355"/>
    </row>
    <row r="4942" spans="13:19" x14ac:dyDescent="0.25">
      <c r="M4942" s="514"/>
      <c r="Q4942" s="293"/>
      <c r="R4942" s="316"/>
      <c r="S4942" s="355"/>
    </row>
    <row r="4943" spans="13:19" x14ac:dyDescent="0.25">
      <c r="M4943" s="514"/>
      <c r="Q4943" s="293"/>
      <c r="R4943" s="316"/>
      <c r="S4943" s="355"/>
    </row>
    <row r="4944" spans="13:19" x14ac:dyDescent="0.25">
      <c r="M4944" s="514"/>
      <c r="Q4944" s="293"/>
      <c r="R4944" s="316"/>
      <c r="S4944" s="355"/>
    </row>
    <row r="4945" spans="13:19" x14ac:dyDescent="0.25">
      <c r="M4945" s="514"/>
      <c r="Q4945" s="293"/>
      <c r="R4945" s="316"/>
      <c r="S4945" s="355"/>
    </row>
    <row r="4946" spans="13:19" x14ac:dyDescent="0.25">
      <c r="M4946" s="514"/>
      <c r="Q4946" s="293"/>
      <c r="R4946" s="316"/>
      <c r="S4946" s="355"/>
    </row>
    <row r="4947" spans="13:19" x14ac:dyDescent="0.25">
      <c r="M4947" s="514"/>
      <c r="Q4947" s="293"/>
      <c r="R4947" s="316"/>
      <c r="S4947" s="355"/>
    </row>
    <row r="4948" spans="13:19" x14ac:dyDescent="0.25">
      <c r="M4948" s="514"/>
      <c r="Q4948" s="293"/>
      <c r="R4948" s="316"/>
      <c r="S4948" s="355"/>
    </row>
    <row r="4949" spans="13:19" x14ac:dyDescent="0.25">
      <c r="M4949" s="514"/>
      <c r="Q4949" s="293"/>
      <c r="R4949" s="316"/>
      <c r="S4949" s="355"/>
    </row>
    <row r="4950" spans="13:19" x14ac:dyDescent="0.25">
      <c r="M4950" s="514"/>
      <c r="Q4950" s="293"/>
      <c r="R4950" s="316"/>
      <c r="S4950" s="355"/>
    </row>
    <row r="4951" spans="13:19" x14ac:dyDescent="0.25">
      <c r="M4951" s="514"/>
      <c r="Q4951" s="293"/>
      <c r="R4951" s="316"/>
      <c r="S4951" s="355"/>
    </row>
    <row r="4952" spans="13:19" x14ac:dyDescent="0.25">
      <c r="M4952" s="514"/>
      <c r="Q4952" s="293"/>
      <c r="R4952" s="316"/>
      <c r="S4952" s="355"/>
    </row>
    <row r="4953" spans="13:19" x14ac:dyDescent="0.25">
      <c r="M4953" s="514"/>
      <c r="Q4953" s="293"/>
      <c r="R4953" s="316"/>
      <c r="S4953" s="355"/>
    </row>
    <row r="4954" spans="13:19" x14ac:dyDescent="0.25">
      <c r="M4954" s="514"/>
      <c r="Q4954" s="293"/>
      <c r="R4954" s="316"/>
      <c r="S4954" s="355"/>
    </row>
    <row r="4955" spans="13:19" x14ac:dyDescent="0.25">
      <c r="M4955" s="514"/>
      <c r="Q4955" s="293"/>
      <c r="R4955" s="316"/>
      <c r="S4955" s="355"/>
    </row>
    <row r="4956" spans="13:19" x14ac:dyDescent="0.25">
      <c r="M4956" s="514"/>
      <c r="Q4956" s="293"/>
      <c r="R4956" s="316"/>
      <c r="S4956" s="355"/>
    </row>
    <row r="4957" spans="13:19" x14ac:dyDescent="0.25">
      <c r="M4957" s="514"/>
      <c r="Q4957" s="293"/>
      <c r="R4957" s="316"/>
      <c r="S4957" s="355"/>
    </row>
    <row r="4958" spans="13:19" x14ac:dyDescent="0.25">
      <c r="M4958" s="514"/>
      <c r="Q4958" s="293"/>
      <c r="R4958" s="316"/>
      <c r="S4958" s="355"/>
    </row>
    <row r="4959" spans="13:19" x14ac:dyDescent="0.25">
      <c r="M4959" s="514"/>
      <c r="Q4959" s="293"/>
      <c r="R4959" s="316"/>
      <c r="S4959" s="355"/>
    </row>
    <row r="4960" spans="13:19" x14ac:dyDescent="0.25">
      <c r="M4960" s="514"/>
      <c r="Q4960" s="293"/>
      <c r="R4960" s="316"/>
      <c r="S4960" s="355"/>
    </row>
    <row r="4961" spans="13:19" x14ac:dyDescent="0.25">
      <c r="M4961" s="514"/>
      <c r="Q4961" s="293"/>
      <c r="R4961" s="316"/>
      <c r="S4961" s="355"/>
    </row>
    <row r="4962" spans="13:19" x14ac:dyDescent="0.25">
      <c r="M4962" s="514"/>
      <c r="Q4962" s="293"/>
      <c r="R4962" s="316"/>
      <c r="S4962" s="355"/>
    </row>
    <row r="4963" spans="13:19" x14ac:dyDescent="0.25">
      <c r="M4963" s="514"/>
      <c r="Q4963" s="293"/>
      <c r="R4963" s="316"/>
      <c r="S4963" s="355"/>
    </row>
    <row r="4964" spans="13:19" x14ac:dyDescent="0.25">
      <c r="M4964" s="514"/>
      <c r="Q4964" s="293"/>
      <c r="R4964" s="316"/>
      <c r="S4964" s="355"/>
    </row>
    <row r="4965" spans="13:19" x14ac:dyDescent="0.25">
      <c r="M4965" s="514"/>
      <c r="Q4965" s="293"/>
      <c r="R4965" s="316"/>
      <c r="S4965" s="355"/>
    </row>
    <row r="4966" spans="13:19" x14ac:dyDescent="0.25">
      <c r="M4966" s="514"/>
      <c r="Q4966" s="293"/>
      <c r="R4966" s="316"/>
      <c r="S4966" s="355"/>
    </row>
    <row r="4967" spans="13:19" x14ac:dyDescent="0.25">
      <c r="M4967" s="514"/>
      <c r="Q4967" s="293"/>
      <c r="R4967" s="316"/>
      <c r="S4967" s="355"/>
    </row>
    <row r="4968" spans="13:19" x14ac:dyDescent="0.25">
      <c r="M4968" s="514"/>
      <c r="Q4968" s="293"/>
      <c r="R4968" s="316"/>
      <c r="S4968" s="355"/>
    </row>
    <row r="4969" spans="13:19" x14ac:dyDescent="0.25">
      <c r="M4969" s="514"/>
      <c r="Q4969" s="293"/>
      <c r="R4969" s="316"/>
      <c r="S4969" s="355"/>
    </row>
    <row r="4970" spans="13:19" x14ac:dyDescent="0.25">
      <c r="M4970" s="514"/>
      <c r="Q4970" s="293"/>
      <c r="R4970" s="316"/>
      <c r="S4970" s="355"/>
    </row>
    <row r="4971" spans="13:19" x14ac:dyDescent="0.25">
      <c r="M4971" s="514"/>
      <c r="Q4971" s="293"/>
      <c r="R4971" s="316"/>
      <c r="S4971" s="355"/>
    </row>
    <row r="4972" spans="13:19" x14ac:dyDescent="0.25">
      <c r="M4972" s="514"/>
      <c r="Q4972" s="293"/>
      <c r="R4972" s="316"/>
      <c r="S4972" s="355"/>
    </row>
    <row r="4973" spans="13:19" x14ac:dyDescent="0.25">
      <c r="M4973" s="514"/>
      <c r="Q4973" s="293"/>
      <c r="R4973" s="316"/>
      <c r="S4973" s="355"/>
    </row>
    <row r="4974" spans="13:19" x14ac:dyDescent="0.25">
      <c r="M4974" s="514"/>
      <c r="Q4974" s="293"/>
      <c r="R4974" s="316"/>
      <c r="S4974" s="355"/>
    </row>
    <row r="4975" spans="13:19" x14ac:dyDescent="0.25">
      <c r="M4975" s="514"/>
      <c r="Q4975" s="293"/>
      <c r="R4975" s="316"/>
      <c r="S4975" s="355"/>
    </row>
    <row r="4976" spans="13:19" x14ac:dyDescent="0.25">
      <c r="M4976" s="514"/>
      <c r="Q4976" s="293"/>
      <c r="R4976" s="316"/>
      <c r="S4976" s="355"/>
    </row>
    <row r="4977" spans="13:19" x14ac:dyDescent="0.25">
      <c r="M4977" s="514"/>
      <c r="Q4977" s="293"/>
      <c r="R4977" s="316"/>
      <c r="S4977" s="355"/>
    </row>
    <row r="4978" spans="13:19" x14ac:dyDescent="0.25">
      <c r="M4978" s="514"/>
      <c r="Q4978" s="293"/>
      <c r="R4978" s="316"/>
      <c r="S4978" s="355"/>
    </row>
    <row r="4979" spans="13:19" x14ac:dyDescent="0.25">
      <c r="M4979" s="514"/>
      <c r="Q4979" s="293"/>
      <c r="R4979" s="316"/>
      <c r="S4979" s="355"/>
    </row>
    <row r="4980" spans="13:19" x14ac:dyDescent="0.25">
      <c r="M4980" s="514"/>
      <c r="Q4980" s="293"/>
      <c r="R4980" s="316"/>
      <c r="S4980" s="355"/>
    </row>
    <row r="4981" spans="13:19" x14ac:dyDescent="0.25">
      <c r="M4981" s="514"/>
      <c r="Q4981" s="293"/>
      <c r="R4981" s="316"/>
      <c r="S4981" s="355"/>
    </row>
    <row r="4982" spans="13:19" x14ac:dyDescent="0.25">
      <c r="M4982" s="514"/>
      <c r="Q4982" s="293"/>
      <c r="R4982" s="316"/>
      <c r="S4982" s="355"/>
    </row>
    <row r="4983" spans="13:19" x14ac:dyDescent="0.25">
      <c r="M4983" s="514"/>
      <c r="Q4983" s="293"/>
      <c r="R4983" s="316"/>
      <c r="S4983" s="355"/>
    </row>
    <row r="4984" spans="13:19" x14ac:dyDescent="0.25">
      <c r="M4984" s="514"/>
      <c r="Q4984" s="293"/>
      <c r="R4984" s="316"/>
      <c r="S4984" s="355"/>
    </row>
    <row r="4985" spans="13:19" x14ac:dyDescent="0.25">
      <c r="M4985" s="514"/>
      <c r="Q4985" s="293"/>
      <c r="R4985" s="316"/>
      <c r="S4985" s="355"/>
    </row>
    <row r="4986" spans="13:19" x14ac:dyDescent="0.25">
      <c r="M4986" s="514"/>
      <c r="Q4986" s="293"/>
      <c r="R4986" s="316"/>
      <c r="S4986" s="355"/>
    </row>
    <row r="4987" spans="13:19" x14ac:dyDescent="0.25">
      <c r="M4987" s="514"/>
      <c r="Q4987" s="293"/>
      <c r="R4987" s="316"/>
      <c r="S4987" s="355"/>
    </row>
    <row r="4988" spans="13:19" x14ac:dyDescent="0.25">
      <c r="M4988" s="514"/>
      <c r="Q4988" s="293"/>
      <c r="R4988" s="316"/>
      <c r="S4988" s="355"/>
    </row>
    <row r="4989" spans="13:19" x14ac:dyDescent="0.25">
      <c r="M4989" s="514"/>
      <c r="Q4989" s="293"/>
      <c r="R4989" s="316"/>
      <c r="S4989" s="355"/>
    </row>
    <row r="4990" spans="13:19" x14ac:dyDescent="0.25">
      <c r="M4990" s="514"/>
      <c r="Q4990" s="293"/>
      <c r="R4990" s="316"/>
      <c r="S4990" s="355"/>
    </row>
    <row r="4991" spans="13:19" x14ac:dyDescent="0.25">
      <c r="M4991" s="514"/>
      <c r="Q4991" s="293"/>
      <c r="R4991" s="316"/>
      <c r="S4991" s="355"/>
    </row>
    <row r="4992" spans="13:19" x14ac:dyDescent="0.25">
      <c r="M4992" s="514"/>
      <c r="Q4992" s="293"/>
      <c r="R4992" s="316"/>
      <c r="S4992" s="355"/>
    </row>
    <row r="4993" spans="13:19" x14ac:dyDescent="0.25">
      <c r="M4993" s="514"/>
      <c r="Q4993" s="293"/>
      <c r="R4993" s="316"/>
      <c r="S4993" s="355"/>
    </row>
    <row r="4994" spans="13:19" x14ac:dyDescent="0.25">
      <c r="M4994" s="514"/>
      <c r="Q4994" s="293"/>
      <c r="R4994" s="316"/>
      <c r="S4994" s="355"/>
    </row>
    <row r="4995" spans="13:19" x14ac:dyDescent="0.25">
      <c r="M4995" s="514"/>
      <c r="Q4995" s="293"/>
      <c r="R4995" s="316"/>
      <c r="S4995" s="355"/>
    </row>
    <row r="4996" spans="13:19" x14ac:dyDescent="0.25">
      <c r="M4996" s="514"/>
      <c r="Q4996" s="293"/>
      <c r="R4996" s="316"/>
      <c r="S4996" s="355"/>
    </row>
    <row r="4997" spans="13:19" x14ac:dyDescent="0.25">
      <c r="M4997" s="514"/>
      <c r="Q4997" s="293"/>
      <c r="R4997" s="316"/>
      <c r="S4997" s="355"/>
    </row>
    <row r="4998" spans="13:19" x14ac:dyDescent="0.25">
      <c r="M4998" s="514"/>
      <c r="Q4998" s="293"/>
      <c r="R4998" s="316"/>
      <c r="S4998" s="355"/>
    </row>
    <row r="4999" spans="13:19" x14ac:dyDescent="0.25">
      <c r="M4999" s="514"/>
      <c r="Q4999" s="293"/>
      <c r="R4999" s="316"/>
      <c r="S4999" s="355"/>
    </row>
    <row r="5000" spans="13:19" x14ac:dyDescent="0.25">
      <c r="M5000" s="514"/>
      <c r="Q5000" s="293"/>
      <c r="R5000" s="316"/>
      <c r="S5000" s="355"/>
    </row>
    <row r="5001" spans="13:19" x14ac:dyDescent="0.25">
      <c r="M5001" s="514"/>
      <c r="Q5001" s="293"/>
      <c r="R5001" s="316"/>
      <c r="S5001" s="355"/>
    </row>
    <row r="5002" spans="13:19" x14ac:dyDescent="0.25">
      <c r="M5002" s="514"/>
      <c r="Q5002" s="293"/>
      <c r="R5002" s="316"/>
      <c r="S5002" s="355"/>
    </row>
    <row r="5003" spans="13:19" x14ac:dyDescent="0.25">
      <c r="M5003" s="514"/>
      <c r="Q5003" s="293"/>
      <c r="R5003" s="316"/>
      <c r="S5003" s="355"/>
    </row>
    <row r="5004" spans="13:19" x14ac:dyDescent="0.25">
      <c r="M5004" s="514"/>
      <c r="Q5004" s="293"/>
      <c r="R5004" s="316"/>
      <c r="S5004" s="355"/>
    </row>
    <row r="5005" spans="13:19" x14ac:dyDescent="0.25">
      <c r="M5005" s="514"/>
      <c r="Q5005" s="293"/>
      <c r="R5005" s="316"/>
      <c r="S5005" s="355"/>
    </row>
    <row r="5006" spans="13:19" x14ac:dyDescent="0.25">
      <c r="M5006" s="514"/>
      <c r="Q5006" s="293"/>
      <c r="R5006" s="316"/>
      <c r="S5006" s="355"/>
    </row>
    <row r="5007" spans="13:19" x14ac:dyDescent="0.25">
      <c r="M5007" s="514"/>
      <c r="Q5007" s="293"/>
      <c r="R5007" s="316"/>
      <c r="S5007" s="355"/>
    </row>
    <row r="5008" spans="13:19" x14ac:dyDescent="0.25">
      <c r="M5008" s="514"/>
      <c r="Q5008" s="293"/>
      <c r="R5008" s="316"/>
      <c r="S5008" s="355"/>
    </row>
    <row r="5009" spans="13:19" x14ac:dyDescent="0.25">
      <c r="M5009" s="514"/>
      <c r="Q5009" s="293"/>
      <c r="R5009" s="316"/>
      <c r="S5009" s="355"/>
    </row>
    <row r="5010" spans="13:19" x14ac:dyDescent="0.25">
      <c r="M5010" s="514"/>
      <c r="Q5010" s="293"/>
      <c r="R5010" s="316"/>
      <c r="S5010" s="355"/>
    </row>
    <row r="5011" spans="13:19" x14ac:dyDescent="0.25">
      <c r="M5011" s="514"/>
      <c r="Q5011" s="293"/>
      <c r="R5011" s="316"/>
      <c r="S5011" s="355"/>
    </row>
    <row r="5012" spans="13:19" x14ac:dyDescent="0.25">
      <c r="M5012" s="514"/>
      <c r="Q5012" s="293"/>
      <c r="R5012" s="316"/>
      <c r="S5012" s="355"/>
    </row>
    <row r="5013" spans="13:19" x14ac:dyDescent="0.25">
      <c r="M5013" s="514"/>
      <c r="Q5013" s="293"/>
      <c r="R5013" s="316"/>
      <c r="S5013" s="355"/>
    </row>
    <row r="5014" spans="13:19" x14ac:dyDescent="0.25">
      <c r="M5014" s="514"/>
      <c r="Q5014" s="293"/>
      <c r="R5014" s="316"/>
      <c r="S5014" s="355"/>
    </row>
    <row r="5015" spans="13:19" x14ac:dyDescent="0.25">
      <c r="M5015" s="514"/>
      <c r="Q5015" s="293"/>
      <c r="R5015" s="316"/>
      <c r="S5015" s="355"/>
    </row>
    <row r="5016" spans="13:19" x14ac:dyDescent="0.25">
      <c r="M5016" s="514"/>
      <c r="Q5016" s="293"/>
      <c r="R5016" s="316"/>
      <c r="S5016" s="355"/>
    </row>
    <row r="5017" spans="13:19" x14ac:dyDescent="0.25">
      <c r="M5017" s="514"/>
      <c r="Q5017" s="293"/>
      <c r="R5017" s="316"/>
      <c r="S5017" s="355"/>
    </row>
    <row r="5018" spans="13:19" x14ac:dyDescent="0.25">
      <c r="M5018" s="514"/>
      <c r="Q5018" s="293"/>
      <c r="R5018" s="316"/>
      <c r="S5018" s="355"/>
    </row>
    <row r="5019" spans="13:19" x14ac:dyDescent="0.25">
      <c r="M5019" s="514"/>
      <c r="Q5019" s="293"/>
      <c r="R5019" s="316"/>
      <c r="S5019" s="355"/>
    </row>
    <row r="5020" spans="13:19" x14ac:dyDescent="0.25">
      <c r="M5020" s="514"/>
      <c r="Q5020" s="293"/>
      <c r="R5020" s="316"/>
      <c r="S5020" s="355"/>
    </row>
    <row r="5021" spans="13:19" x14ac:dyDescent="0.25">
      <c r="M5021" s="514"/>
      <c r="Q5021" s="293"/>
      <c r="R5021" s="316"/>
      <c r="S5021" s="355"/>
    </row>
    <row r="5022" spans="13:19" x14ac:dyDescent="0.25">
      <c r="M5022" s="514"/>
      <c r="Q5022" s="293"/>
      <c r="R5022" s="316"/>
      <c r="S5022" s="355"/>
    </row>
    <row r="5023" spans="13:19" x14ac:dyDescent="0.25">
      <c r="M5023" s="514"/>
      <c r="Q5023" s="293"/>
      <c r="R5023" s="316"/>
      <c r="S5023" s="355"/>
    </row>
    <row r="5024" spans="13:19" x14ac:dyDescent="0.25">
      <c r="M5024" s="514"/>
      <c r="Q5024" s="293"/>
      <c r="R5024" s="316"/>
      <c r="S5024" s="355"/>
    </row>
    <row r="5025" spans="13:19" x14ac:dyDescent="0.25">
      <c r="M5025" s="514"/>
      <c r="Q5025" s="293"/>
      <c r="R5025" s="316"/>
      <c r="S5025" s="355"/>
    </row>
    <row r="5026" spans="13:19" x14ac:dyDescent="0.25">
      <c r="M5026" s="514"/>
      <c r="Q5026" s="293"/>
      <c r="R5026" s="316"/>
      <c r="S5026" s="355"/>
    </row>
    <row r="5027" spans="13:19" x14ac:dyDescent="0.25">
      <c r="M5027" s="514"/>
      <c r="Q5027" s="293"/>
      <c r="R5027" s="316"/>
      <c r="S5027" s="355"/>
    </row>
    <row r="5028" spans="13:19" x14ac:dyDescent="0.25">
      <c r="M5028" s="514"/>
      <c r="Q5028" s="293"/>
      <c r="R5028" s="316"/>
      <c r="S5028" s="355"/>
    </row>
    <row r="5029" spans="13:19" x14ac:dyDescent="0.25">
      <c r="M5029" s="514"/>
      <c r="Q5029" s="293"/>
      <c r="R5029" s="316"/>
      <c r="S5029" s="355"/>
    </row>
    <row r="5030" spans="13:19" x14ac:dyDescent="0.25">
      <c r="M5030" s="514"/>
      <c r="Q5030" s="293"/>
      <c r="R5030" s="316"/>
      <c r="S5030" s="355"/>
    </row>
    <row r="5031" spans="13:19" x14ac:dyDescent="0.25">
      <c r="M5031" s="514"/>
      <c r="Q5031" s="293"/>
      <c r="R5031" s="316"/>
      <c r="S5031" s="355"/>
    </row>
    <row r="5032" spans="13:19" x14ac:dyDescent="0.25">
      <c r="M5032" s="514"/>
      <c r="Q5032" s="293"/>
      <c r="R5032" s="316"/>
      <c r="S5032" s="355"/>
    </row>
    <row r="5033" spans="13:19" x14ac:dyDescent="0.25">
      <c r="M5033" s="514"/>
      <c r="Q5033" s="293"/>
      <c r="R5033" s="316"/>
      <c r="S5033" s="355"/>
    </row>
    <row r="5034" spans="13:19" x14ac:dyDescent="0.25">
      <c r="M5034" s="514"/>
      <c r="Q5034" s="293"/>
      <c r="R5034" s="316"/>
      <c r="S5034" s="355"/>
    </row>
    <row r="5035" spans="13:19" x14ac:dyDescent="0.25">
      <c r="M5035" s="514"/>
      <c r="Q5035" s="293"/>
      <c r="R5035" s="316"/>
      <c r="S5035" s="355"/>
    </row>
    <row r="5036" spans="13:19" x14ac:dyDescent="0.25">
      <c r="M5036" s="514"/>
      <c r="Q5036" s="293"/>
      <c r="R5036" s="316"/>
      <c r="S5036" s="355"/>
    </row>
    <row r="5037" spans="13:19" x14ac:dyDescent="0.25">
      <c r="M5037" s="514"/>
      <c r="Q5037" s="293"/>
      <c r="R5037" s="316"/>
      <c r="S5037" s="355"/>
    </row>
    <row r="5038" spans="13:19" x14ac:dyDescent="0.25">
      <c r="M5038" s="514"/>
      <c r="Q5038" s="293"/>
      <c r="R5038" s="316"/>
      <c r="S5038" s="355"/>
    </row>
    <row r="5039" spans="13:19" x14ac:dyDescent="0.25">
      <c r="M5039" s="514"/>
      <c r="Q5039" s="293"/>
      <c r="R5039" s="316"/>
      <c r="S5039" s="355"/>
    </row>
    <row r="5040" spans="13:19" x14ac:dyDescent="0.25">
      <c r="M5040" s="514"/>
      <c r="Q5040" s="293"/>
      <c r="R5040" s="316"/>
      <c r="S5040" s="355"/>
    </row>
    <row r="5041" spans="13:19" x14ac:dyDescent="0.25">
      <c r="M5041" s="514"/>
      <c r="Q5041" s="293"/>
      <c r="R5041" s="316"/>
      <c r="S5041" s="355"/>
    </row>
    <row r="5042" spans="13:19" x14ac:dyDescent="0.25">
      <c r="M5042" s="514"/>
      <c r="Q5042" s="293"/>
      <c r="R5042" s="316"/>
      <c r="S5042" s="355"/>
    </row>
    <row r="5043" spans="13:19" x14ac:dyDescent="0.25">
      <c r="M5043" s="514"/>
      <c r="Q5043" s="293"/>
      <c r="R5043" s="316"/>
      <c r="S5043" s="355"/>
    </row>
    <row r="5044" spans="13:19" x14ac:dyDescent="0.25">
      <c r="M5044" s="514"/>
      <c r="Q5044" s="293"/>
      <c r="R5044" s="316"/>
      <c r="S5044" s="355"/>
    </row>
    <row r="5045" spans="13:19" x14ac:dyDescent="0.25">
      <c r="M5045" s="514"/>
      <c r="Q5045" s="293"/>
      <c r="R5045" s="316"/>
      <c r="S5045" s="355"/>
    </row>
    <row r="5046" spans="13:19" x14ac:dyDescent="0.25">
      <c r="M5046" s="514"/>
      <c r="Q5046" s="293"/>
      <c r="R5046" s="316"/>
      <c r="S5046" s="355"/>
    </row>
    <row r="5047" spans="13:19" x14ac:dyDescent="0.25">
      <c r="M5047" s="514"/>
      <c r="Q5047" s="293"/>
      <c r="R5047" s="316"/>
      <c r="S5047" s="355"/>
    </row>
    <row r="5048" spans="13:19" x14ac:dyDescent="0.25">
      <c r="M5048" s="514"/>
      <c r="Q5048" s="293"/>
      <c r="R5048" s="316"/>
      <c r="S5048" s="355"/>
    </row>
    <row r="5049" spans="13:19" x14ac:dyDescent="0.25">
      <c r="M5049" s="514"/>
      <c r="Q5049" s="293"/>
      <c r="R5049" s="316"/>
      <c r="S5049" s="355"/>
    </row>
    <row r="5050" spans="13:19" x14ac:dyDescent="0.25">
      <c r="M5050" s="514"/>
      <c r="Q5050" s="293"/>
      <c r="R5050" s="316"/>
      <c r="S5050" s="355"/>
    </row>
    <row r="5051" spans="13:19" x14ac:dyDescent="0.25">
      <c r="M5051" s="514"/>
      <c r="Q5051" s="293"/>
      <c r="R5051" s="316"/>
      <c r="S5051" s="355"/>
    </row>
    <row r="5052" spans="13:19" x14ac:dyDescent="0.25">
      <c r="M5052" s="514"/>
      <c r="Q5052" s="293"/>
      <c r="R5052" s="316"/>
      <c r="S5052" s="355"/>
    </row>
    <row r="5053" spans="13:19" x14ac:dyDescent="0.25">
      <c r="M5053" s="514"/>
      <c r="Q5053" s="293"/>
      <c r="R5053" s="316"/>
      <c r="S5053" s="355"/>
    </row>
    <row r="5054" spans="13:19" x14ac:dyDescent="0.25">
      <c r="M5054" s="514"/>
      <c r="Q5054" s="293"/>
      <c r="R5054" s="316"/>
      <c r="S5054" s="355"/>
    </row>
    <row r="5055" spans="13:19" x14ac:dyDescent="0.25">
      <c r="M5055" s="514"/>
      <c r="Q5055" s="293"/>
      <c r="R5055" s="316"/>
      <c r="S5055" s="355"/>
    </row>
    <row r="5056" spans="13:19" x14ac:dyDescent="0.25">
      <c r="M5056" s="514"/>
      <c r="Q5056" s="293"/>
      <c r="R5056" s="316"/>
      <c r="S5056" s="355"/>
    </row>
    <row r="5057" spans="13:19" x14ac:dyDescent="0.25">
      <c r="M5057" s="514"/>
      <c r="Q5057" s="293"/>
      <c r="R5057" s="316"/>
      <c r="S5057" s="355"/>
    </row>
    <row r="5058" spans="13:19" x14ac:dyDescent="0.25">
      <c r="M5058" s="514"/>
      <c r="Q5058" s="293"/>
      <c r="R5058" s="316"/>
      <c r="S5058" s="355"/>
    </row>
    <row r="5059" spans="13:19" x14ac:dyDescent="0.25">
      <c r="M5059" s="514"/>
      <c r="Q5059" s="293"/>
      <c r="R5059" s="316"/>
      <c r="S5059" s="355"/>
    </row>
    <row r="5060" spans="13:19" x14ac:dyDescent="0.25">
      <c r="M5060" s="514"/>
      <c r="Q5060" s="293"/>
      <c r="R5060" s="316"/>
      <c r="S5060" s="355"/>
    </row>
    <row r="5061" spans="13:19" x14ac:dyDescent="0.25">
      <c r="M5061" s="514"/>
      <c r="Q5061" s="293"/>
      <c r="R5061" s="316"/>
      <c r="S5061" s="355"/>
    </row>
    <row r="5062" spans="13:19" x14ac:dyDescent="0.25">
      <c r="M5062" s="514"/>
      <c r="Q5062" s="293"/>
      <c r="R5062" s="316"/>
      <c r="S5062" s="355"/>
    </row>
    <row r="5063" spans="13:19" x14ac:dyDescent="0.25">
      <c r="M5063" s="514"/>
      <c r="Q5063" s="293"/>
      <c r="R5063" s="316"/>
      <c r="S5063" s="355"/>
    </row>
    <row r="5064" spans="13:19" x14ac:dyDescent="0.25">
      <c r="M5064" s="514"/>
      <c r="Q5064" s="293"/>
      <c r="R5064" s="316"/>
      <c r="S5064" s="355"/>
    </row>
    <row r="5065" spans="13:19" x14ac:dyDescent="0.25">
      <c r="M5065" s="514"/>
      <c r="Q5065" s="293"/>
      <c r="R5065" s="316"/>
      <c r="S5065" s="355"/>
    </row>
    <row r="5066" spans="13:19" x14ac:dyDescent="0.25">
      <c r="M5066" s="514"/>
      <c r="Q5066" s="293"/>
      <c r="R5066" s="316"/>
      <c r="S5066" s="355"/>
    </row>
    <row r="5067" spans="13:19" x14ac:dyDescent="0.25">
      <c r="M5067" s="514"/>
      <c r="Q5067" s="293"/>
      <c r="R5067" s="316"/>
      <c r="S5067" s="355"/>
    </row>
    <row r="5068" spans="13:19" x14ac:dyDescent="0.25">
      <c r="M5068" s="514"/>
      <c r="Q5068" s="293"/>
      <c r="R5068" s="316"/>
      <c r="S5068" s="355"/>
    </row>
    <row r="5069" spans="13:19" x14ac:dyDescent="0.25">
      <c r="M5069" s="514"/>
      <c r="Q5069" s="293"/>
      <c r="R5069" s="316"/>
      <c r="S5069" s="355"/>
    </row>
    <row r="5070" spans="13:19" x14ac:dyDescent="0.25">
      <c r="M5070" s="514"/>
      <c r="Q5070" s="293"/>
      <c r="R5070" s="316"/>
      <c r="S5070" s="355"/>
    </row>
    <row r="5071" spans="13:19" x14ac:dyDescent="0.25">
      <c r="M5071" s="514"/>
      <c r="Q5071" s="293"/>
      <c r="R5071" s="316"/>
      <c r="S5071" s="355"/>
    </row>
    <row r="5072" spans="13:19" x14ac:dyDescent="0.25">
      <c r="M5072" s="514"/>
      <c r="Q5072" s="293"/>
      <c r="R5072" s="316"/>
      <c r="S5072" s="355"/>
    </row>
    <row r="5073" spans="13:19" x14ac:dyDescent="0.25">
      <c r="M5073" s="514"/>
      <c r="Q5073" s="293"/>
      <c r="R5073" s="316"/>
      <c r="S5073" s="355"/>
    </row>
    <row r="5074" spans="13:19" x14ac:dyDescent="0.25">
      <c r="M5074" s="514"/>
      <c r="Q5074" s="293"/>
      <c r="R5074" s="316"/>
      <c r="S5074" s="355"/>
    </row>
    <row r="5075" spans="13:19" x14ac:dyDescent="0.25">
      <c r="M5075" s="514"/>
      <c r="Q5075" s="293"/>
      <c r="R5075" s="316"/>
      <c r="S5075" s="355"/>
    </row>
    <row r="5076" spans="13:19" x14ac:dyDescent="0.25">
      <c r="M5076" s="514"/>
      <c r="Q5076" s="293"/>
      <c r="R5076" s="316"/>
      <c r="S5076" s="355"/>
    </row>
    <row r="5077" spans="13:19" x14ac:dyDescent="0.25">
      <c r="M5077" s="514"/>
      <c r="Q5077" s="293"/>
      <c r="R5077" s="316"/>
      <c r="S5077" s="355"/>
    </row>
    <row r="5078" spans="13:19" x14ac:dyDescent="0.25">
      <c r="M5078" s="514"/>
      <c r="Q5078" s="293"/>
      <c r="R5078" s="316"/>
      <c r="S5078" s="355"/>
    </row>
    <row r="5079" spans="13:19" x14ac:dyDescent="0.25">
      <c r="M5079" s="514"/>
      <c r="Q5079" s="293"/>
      <c r="R5079" s="316"/>
      <c r="S5079" s="355"/>
    </row>
    <row r="5080" spans="13:19" x14ac:dyDescent="0.25">
      <c r="M5080" s="514"/>
      <c r="Q5080" s="293"/>
      <c r="R5080" s="316"/>
      <c r="S5080" s="355"/>
    </row>
    <row r="5081" spans="13:19" x14ac:dyDescent="0.25">
      <c r="M5081" s="514"/>
      <c r="Q5081" s="293"/>
      <c r="R5081" s="316"/>
      <c r="S5081" s="355"/>
    </row>
    <row r="5082" spans="13:19" x14ac:dyDescent="0.25">
      <c r="M5082" s="514"/>
      <c r="Q5082" s="293"/>
      <c r="R5082" s="316"/>
      <c r="S5082" s="355"/>
    </row>
    <row r="5083" spans="13:19" x14ac:dyDescent="0.25">
      <c r="M5083" s="514"/>
      <c r="Q5083" s="293"/>
      <c r="R5083" s="316"/>
      <c r="S5083" s="355"/>
    </row>
    <row r="5084" spans="13:19" x14ac:dyDescent="0.25">
      <c r="M5084" s="514"/>
      <c r="Q5084" s="293"/>
      <c r="R5084" s="316"/>
      <c r="S5084" s="355"/>
    </row>
    <row r="5085" spans="13:19" x14ac:dyDescent="0.25">
      <c r="M5085" s="514"/>
      <c r="Q5085" s="293"/>
      <c r="R5085" s="316"/>
      <c r="S5085" s="355"/>
    </row>
    <row r="5086" spans="13:19" x14ac:dyDescent="0.25">
      <c r="M5086" s="514"/>
      <c r="Q5086" s="293"/>
      <c r="R5086" s="316"/>
      <c r="S5086" s="355"/>
    </row>
    <row r="5087" spans="13:19" x14ac:dyDescent="0.25">
      <c r="M5087" s="514"/>
      <c r="Q5087" s="293"/>
      <c r="R5087" s="316"/>
      <c r="S5087" s="355"/>
    </row>
    <row r="5088" spans="13:19" x14ac:dyDescent="0.25">
      <c r="M5088" s="514"/>
      <c r="Q5088" s="293"/>
      <c r="R5088" s="316"/>
      <c r="S5088" s="355"/>
    </row>
    <row r="5089" spans="13:19" x14ac:dyDescent="0.25">
      <c r="M5089" s="514"/>
      <c r="Q5089" s="293"/>
      <c r="R5089" s="316"/>
      <c r="S5089" s="355"/>
    </row>
    <row r="5090" spans="13:19" x14ac:dyDescent="0.25">
      <c r="M5090" s="514"/>
      <c r="Q5090" s="293"/>
      <c r="R5090" s="316"/>
      <c r="S5090" s="355"/>
    </row>
    <row r="5091" spans="13:19" x14ac:dyDescent="0.25">
      <c r="M5091" s="514"/>
      <c r="Q5091" s="293"/>
      <c r="R5091" s="316"/>
      <c r="S5091" s="355"/>
    </row>
    <row r="5092" spans="13:19" x14ac:dyDescent="0.25">
      <c r="M5092" s="514"/>
      <c r="Q5092" s="293"/>
      <c r="R5092" s="316"/>
      <c r="S5092" s="355"/>
    </row>
    <row r="5093" spans="13:19" x14ac:dyDescent="0.25">
      <c r="M5093" s="514"/>
      <c r="Q5093" s="293"/>
      <c r="R5093" s="316"/>
      <c r="S5093" s="355"/>
    </row>
    <row r="5094" spans="13:19" x14ac:dyDescent="0.25">
      <c r="M5094" s="514"/>
      <c r="Q5094" s="293"/>
      <c r="R5094" s="316"/>
      <c r="S5094" s="355"/>
    </row>
    <row r="5095" spans="13:19" x14ac:dyDescent="0.25">
      <c r="M5095" s="514"/>
      <c r="Q5095" s="293"/>
      <c r="R5095" s="316"/>
      <c r="S5095" s="355"/>
    </row>
    <row r="5096" spans="13:19" x14ac:dyDescent="0.25">
      <c r="M5096" s="514"/>
      <c r="Q5096" s="293"/>
      <c r="R5096" s="316"/>
      <c r="S5096" s="355"/>
    </row>
    <row r="5097" spans="13:19" x14ac:dyDescent="0.25">
      <c r="M5097" s="514"/>
      <c r="Q5097" s="293"/>
      <c r="R5097" s="316"/>
      <c r="S5097" s="355"/>
    </row>
    <row r="5098" spans="13:19" x14ac:dyDescent="0.25">
      <c r="M5098" s="514"/>
      <c r="Q5098" s="293"/>
      <c r="R5098" s="316"/>
      <c r="S5098" s="355"/>
    </row>
    <row r="5099" spans="13:19" x14ac:dyDescent="0.25">
      <c r="M5099" s="514"/>
      <c r="Q5099" s="293"/>
      <c r="R5099" s="316"/>
      <c r="S5099" s="355"/>
    </row>
    <row r="5100" spans="13:19" x14ac:dyDescent="0.25">
      <c r="M5100" s="514"/>
      <c r="Q5100" s="293"/>
      <c r="R5100" s="316"/>
      <c r="S5100" s="355"/>
    </row>
    <row r="5101" spans="13:19" x14ac:dyDescent="0.25">
      <c r="M5101" s="514"/>
      <c r="Q5101" s="293"/>
      <c r="R5101" s="316"/>
      <c r="S5101" s="355"/>
    </row>
    <row r="5102" spans="13:19" x14ac:dyDescent="0.25">
      <c r="M5102" s="514"/>
      <c r="Q5102" s="293"/>
      <c r="R5102" s="316"/>
      <c r="S5102" s="355"/>
    </row>
    <row r="5103" spans="13:19" x14ac:dyDescent="0.25">
      <c r="M5103" s="514"/>
      <c r="Q5103" s="293"/>
      <c r="R5103" s="316"/>
      <c r="S5103" s="355"/>
    </row>
    <row r="5104" spans="13:19" x14ac:dyDescent="0.25">
      <c r="M5104" s="514"/>
      <c r="Q5104" s="293"/>
      <c r="R5104" s="316"/>
      <c r="S5104" s="355"/>
    </row>
    <row r="5105" spans="13:19" x14ac:dyDescent="0.25">
      <c r="M5105" s="514"/>
      <c r="Q5105" s="293"/>
      <c r="R5105" s="316"/>
      <c r="S5105" s="355"/>
    </row>
    <row r="5106" spans="13:19" x14ac:dyDescent="0.25">
      <c r="M5106" s="514"/>
      <c r="Q5106" s="293"/>
      <c r="R5106" s="316"/>
      <c r="S5106" s="355"/>
    </row>
    <row r="5107" spans="13:19" x14ac:dyDescent="0.25">
      <c r="M5107" s="514"/>
      <c r="Q5107" s="293"/>
      <c r="R5107" s="316"/>
      <c r="S5107" s="355"/>
    </row>
    <row r="5108" spans="13:19" x14ac:dyDescent="0.25">
      <c r="M5108" s="514"/>
      <c r="Q5108" s="293"/>
      <c r="R5108" s="316"/>
      <c r="S5108" s="355"/>
    </row>
    <row r="5109" spans="13:19" x14ac:dyDescent="0.25">
      <c r="M5109" s="514"/>
      <c r="Q5109" s="293"/>
      <c r="R5109" s="316"/>
      <c r="S5109" s="355"/>
    </row>
    <row r="5110" spans="13:19" x14ac:dyDescent="0.25">
      <c r="M5110" s="514"/>
      <c r="Q5110" s="293"/>
      <c r="R5110" s="316"/>
      <c r="S5110" s="355"/>
    </row>
    <row r="5111" spans="13:19" x14ac:dyDescent="0.25">
      <c r="M5111" s="514"/>
      <c r="Q5111" s="293"/>
      <c r="R5111" s="316"/>
      <c r="S5111" s="355"/>
    </row>
    <row r="5112" spans="13:19" x14ac:dyDescent="0.25">
      <c r="M5112" s="514"/>
      <c r="Q5112" s="293"/>
      <c r="R5112" s="316"/>
      <c r="S5112" s="355"/>
    </row>
    <row r="5113" spans="13:19" x14ac:dyDescent="0.25">
      <c r="M5113" s="514"/>
      <c r="Q5113" s="293"/>
      <c r="R5113" s="316"/>
      <c r="S5113" s="355"/>
    </row>
    <row r="5114" spans="13:19" x14ac:dyDescent="0.25">
      <c r="M5114" s="514"/>
      <c r="Q5114" s="293"/>
      <c r="R5114" s="316"/>
      <c r="S5114" s="355"/>
    </row>
    <row r="5115" spans="13:19" x14ac:dyDescent="0.25">
      <c r="M5115" s="514"/>
      <c r="Q5115" s="293"/>
      <c r="R5115" s="316"/>
      <c r="S5115" s="355"/>
    </row>
    <row r="5116" spans="13:19" x14ac:dyDescent="0.25">
      <c r="M5116" s="514"/>
      <c r="Q5116" s="293"/>
      <c r="R5116" s="316"/>
      <c r="S5116" s="355"/>
    </row>
    <row r="5117" spans="13:19" x14ac:dyDescent="0.25">
      <c r="M5117" s="514"/>
      <c r="Q5117" s="293"/>
      <c r="R5117" s="316"/>
      <c r="S5117" s="355"/>
    </row>
    <row r="5118" spans="13:19" x14ac:dyDescent="0.25">
      <c r="M5118" s="514"/>
      <c r="Q5118" s="293"/>
      <c r="R5118" s="316"/>
      <c r="S5118" s="355"/>
    </row>
    <row r="5119" spans="13:19" x14ac:dyDescent="0.25">
      <c r="M5119" s="514"/>
      <c r="Q5119" s="293"/>
      <c r="R5119" s="316"/>
      <c r="S5119" s="355"/>
    </row>
    <row r="5120" spans="13:19" x14ac:dyDescent="0.25">
      <c r="M5120" s="514"/>
      <c r="Q5120" s="293"/>
      <c r="R5120" s="316"/>
      <c r="S5120" s="355"/>
    </row>
    <row r="5121" spans="13:19" x14ac:dyDescent="0.25">
      <c r="M5121" s="514"/>
      <c r="Q5121" s="293"/>
      <c r="R5121" s="316"/>
      <c r="S5121" s="355"/>
    </row>
    <row r="5122" spans="13:19" x14ac:dyDescent="0.25">
      <c r="M5122" s="514"/>
      <c r="Q5122" s="293"/>
      <c r="R5122" s="316"/>
      <c r="S5122" s="355"/>
    </row>
    <row r="5123" spans="13:19" x14ac:dyDescent="0.25">
      <c r="M5123" s="514"/>
      <c r="Q5123" s="293"/>
      <c r="R5123" s="316"/>
      <c r="S5123" s="355"/>
    </row>
    <row r="5124" spans="13:19" x14ac:dyDescent="0.25">
      <c r="M5124" s="514"/>
      <c r="Q5124" s="293"/>
      <c r="R5124" s="316"/>
      <c r="S5124" s="355"/>
    </row>
    <row r="5125" spans="13:19" x14ac:dyDescent="0.25">
      <c r="M5125" s="514"/>
      <c r="Q5125" s="293"/>
      <c r="R5125" s="316"/>
      <c r="S5125" s="355"/>
    </row>
    <row r="5126" spans="13:19" x14ac:dyDescent="0.25">
      <c r="M5126" s="514"/>
      <c r="Q5126" s="293"/>
      <c r="R5126" s="316"/>
      <c r="S5126" s="355"/>
    </row>
    <row r="5127" spans="13:19" x14ac:dyDescent="0.25">
      <c r="M5127" s="514"/>
      <c r="Q5127" s="293"/>
      <c r="R5127" s="316"/>
      <c r="S5127" s="355"/>
    </row>
    <row r="5128" spans="13:19" x14ac:dyDescent="0.25">
      <c r="M5128" s="514"/>
      <c r="Q5128" s="293"/>
      <c r="R5128" s="316"/>
      <c r="S5128" s="355"/>
    </row>
    <row r="5129" spans="13:19" x14ac:dyDescent="0.25">
      <c r="M5129" s="514"/>
      <c r="Q5129" s="293"/>
      <c r="R5129" s="316"/>
      <c r="S5129" s="355"/>
    </row>
    <row r="5130" spans="13:19" x14ac:dyDescent="0.25">
      <c r="M5130" s="514"/>
      <c r="Q5130" s="293"/>
      <c r="R5130" s="316"/>
      <c r="S5130" s="355"/>
    </row>
    <row r="5131" spans="13:19" x14ac:dyDescent="0.25">
      <c r="M5131" s="514"/>
      <c r="Q5131" s="293"/>
      <c r="R5131" s="316"/>
      <c r="S5131" s="355"/>
    </row>
    <row r="5132" spans="13:19" x14ac:dyDescent="0.25">
      <c r="M5132" s="514"/>
      <c r="Q5132" s="293"/>
      <c r="R5132" s="316"/>
      <c r="S5132" s="355"/>
    </row>
    <row r="5133" spans="13:19" x14ac:dyDescent="0.25">
      <c r="M5133" s="514"/>
      <c r="Q5133" s="293"/>
      <c r="R5133" s="316"/>
      <c r="S5133" s="355"/>
    </row>
    <row r="5134" spans="13:19" x14ac:dyDescent="0.25">
      <c r="M5134" s="514"/>
      <c r="Q5134" s="293"/>
      <c r="R5134" s="316"/>
      <c r="S5134" s="355"/>
    </row>
    <row r="5135" spans="13:19" x14ac:dyDescent="0.25">
      <c r="M5135" s="514"/>
      <c r="Q5135" s="293"/>
      <c r="R5135" s="316"/>
      <c r="S5135" s="355"/>
    </row>
    <row r="5136" spans="13:19" x14ac:dyDescent="0.25">
      <c r="M5136" s="514"/>
      <c r="Q5136" s="293"/>
      <c r="R5136" s="316"/>
      <c r="S5136" s="355"/>
    </row>
    <row r="5137" spans="13:19" x14ac:dyDescent="0.25">
      <c r="M5137" s="514"/>
      <c r="Q5137" s="293"/>
      <c r="R5137" s="316"/>
      <c r="S5137" s="355"/>
    </row>
    <row r="5138" spans="13:19" x14ac:dyDescent="0.25">
      <c r="M5138" s="514"/>
      <c r="Q5138" s="293"/>
      <c r="R5138" s="316"/>
      <c r="S5138" s="355"/>
    </row>
    <row r="5139" spans="13:19" x14ac:dyDescent="0.25">
      <c r="M5139" s="514"/>
      <c r="Q5139" s="293"/>
      <c r="R5139" s="316"/>
      <c r="S5139" s="355"/>
    </row>
    <row r="5140" spans="13:19" x14ac:dyDescent="0.25">
      <c r="M5140" s="514"/>
      <c r="Q5140" s="293"/>
      <c r="R5140" s="316"/>
      <c r="S5140" s="355"/>
    </row>
    <row r="5141" spans="13:19" x14ac:dyDescent="0.25">
      <c r="M5141" s="514"/>
      <c r="Q5141" s="293"/>
      <c r="R5141" s="316"/>
      <c r="S5141" s="355"/>
    </row>
    <row r="5142" spans="13:19" x14ac:dyDescent="0.25">
      <c r="M5142" s="514"/>
      <c r="Q5142" s="293"/>
      <c r="R5142" s="316"/>
      <c r="S5142" s="355"/>
    </row>
    <row r="5143" spans="13:19" x14ac:dyDescent="0.25">
      <c r="M5143" s="514"/>
      <c r="Q5143" s="293"/>
      <c r="R5143" s="316"/>
      <c r="S5143" s="355"/>
    </row>
    <row r="5144" spans="13:19" x14ac:dyDescent="0.25">
      <c r="M5144" s="514"/>
      <c r="Q5144" s="293"/>
      <c r="R5144" s="316"/>
      <c r="S5144" s="355"/>
    </row>
    <row r="5145" spans="13:19" x14ac:dyDescent="0.25">
      <c r="M5145" s="514"/>
      <c r="Q5145" s="293"/>
      <c r="R5145" s="316"/>
      <c r="S5145" s="355"/>
    </row>
    <row r="5146" spans="13:19" x14ac:dyDescent="0.25">
      <c r="M5146" s="514"/>
      <c r="Q5146" s="293"/>
      <c r="R5146" s="316"/>
      <c r="S5146" s="355"/>
    </row>
    <row r="5147" spans="13:19" x14ac:dyDescent="0.25">
      <c r="M5147" s="514"/>
      <c r="Q5147" s="293"/>
      <c r="R5147" s="316"/>
      <c r="S5147" s="355"/>
    </row>
    <row r="5148" spans="13:19" x14ac:dyDescent="0.25">
      <c r="M5148" s="514"/>
      <c r="Q5148" s="293"/>
      <c r="R5148" s="316"/>
      <c r="S5148" s="355"/>
    </row>
    <row r="5149" spans="13:19" x14ac:dyDescent="0.25">
      <c r="M5149" s="514"/>
      <c r="Q5149" s="293"/>
      <c r="R5149" s="316"/>
      <c r="S5149" s="355"/>
    </row>
    <row r="5150" spans="13:19" x14ac:dyDescent="0.25">
      <c r="M5150" s="514"/>
      <c r="Q5150" s="293"/>
      <c r="R5150" s="316"/>
      <c r="S5150" s="355"/>
    </row>
    <row r="5151" spans="13:19" x14ac:dyDescent="0.25">
      <c r="M5151" s="514"/>
      <c r="Q5151" s="293"/>
      <c r="R5151" s="316"/>
      <c r="S5151" s="355"/>
    </row>
    <row r="5152" spans="13:19" x14ac:dyDescent="0.25">
      <c r="M5152" s="514"/>
      <c r="Q5152" s="293"/>
      <c r="R5152" s="316"/>
      <c r="S5152" s="355"/>
    </row>
    <row r="5153" spans="13:19" x14ac:dyDescent="0.25">
      <c r="M5153" s="514"/>
      <c r="Q5153" s="293"/>
      <c r="R5153" s="316"/>
      <c r="S5153" s="355"/>
    </row>
    <row r="5154" spans="13:19" x14ac:dyDescent="0.25">
      <c r="M5154" s="514"/>
      <c r="Q5154" s="293"/>
      <c r="R5154" s="316"/>
      <c r="S5154" s="355"/>
    </row>
    <row r="5155" spans="13:19" x14ac:dyDescent="0.25">
      <c r="M5155" s="514"/>
      <c r="Q5155" s="293"/>
      <c r="R5155" s="316"/>
      <c r="S5155" s="355"/>
    </row>
    <row r="5156" spans="13:19" x14ac:dyDescent="0.25">
      <c r="M5156" s="514"/>
      <c r="Q5156" s="293"/>
      <c r="R5156" s="316"/>
      <c r="S5156" s="355"/>
    </row>
    <row r="5157" spans="13:19" x14ac:dyDescent="0.25">
      <c r="M5157" s="514"/>
      <c r="Q5157" s="293"/>
      <c r="R5157" s="316"/>
      <c r="S5157" s="355"/>
    </row>
    <row r="5158" spans="13:19" x14ac:dyDescent="0.25">
      <c r="M5158" s="514"/>
      <c r="Q5158" s="293"/>
      <c r="R5158" s="316"/>
      <c r="S5158" s="355"/>
    </row>
    <row r="5159" spans="13:19" x14ac:dyDescent="0.25">
      <c r="M5159" s="514"/>
      <c r="Q5159" s="293"/>
      <c r="R5159" s="316"/>
      <c r="S5159" s="355"/>
    </row>
    <row r="5160" spans="13:19" x14ac:dyDescent="0.25">
      <c r="M5160" s="514"/>
      <c r="Q5160" s="293"/>
      <c r="R5160" s="316"/>
      <c r="S5160" s="355"/>
    </row>
    <row r="5161" spans="13:19" x14ac:dyDescent="0.25">
      <c r="M5161" s="514"/>
      <c r="Q5161" s="293"/>
      <c r="R5161" s="316"/>
      <c r="S5161" s="355"/>
    </row>
    <row r="5162" spans="13:19" x14ac:dyDescent="0.25">
      <c r="M5162" s="514"/>
      <c r="Q5162" s="293"/>
      <c r="R5162" s="316"/>
      <c r="S5162" s="355"/>
    </row>
    <row r="5163" spans="13:19" x14ac:dyDescent="0.25">
      <c r="M5163" s="514"/>
      <c r="Q5163" s="293"/>
      <c r="R5163" s="316"/>
      <c r="S5163" s="355"/>
    </row>
    <row r="5164" spans="13:19" x14ac:dyDescent="0.25">
      <c r="M5164" s="514"/>
      <c r="Q5164" s="293"/>
      <c r="R5164" s="316"/>
      <c r="S5164" s="355"/>
    </row>
    <row r="5165" spans="13:19" x14ac:dyDescent="0.25">
      <c r="M5165" s="514"/>
      <c r="Q5165" s="293"/>
      <c r="R5165" s="316"/>
      <c r="S5165" s="355"/>
    </row>
    <row r="5166" spans="13:19" x14ac:dyDescent="0.25">
      <c r="M5166" s="514"/>
      <c r="Q5166" s="293"/>
      <c r="R5166" s="316"/>
      <c r="S5166" s="355"/>
    </row>
    <row r="5167" spans="13:19" x14ac:dyDescent="0.25">
      <c r="M5167" s="514"/>
      <c r="Q5167" s="293"/>
      <c r="R5167" s="316"/>
      <c r="S5167" s="355"/>
    </row>
    <row r="5168" spans="13:19" x14ac:dyDescent="0.25">
      <c r="M5168" s="514"/>
      <c r="Q5168" s="293"/>
      <c r="R5168" s="316"/>
      <c r="S5168" s="355"/>
    </row>
    <row r="5169" spans="13:19" x14ac:dyDescent="0.25">
      <c r="M5169" s="514"/>
      <c r="Q5169" s="293"/>
      <c r="R5169" s="316"/>
      <c r="S5169" s="355"/>
    </row>
    <row r="5170" spans="13:19" x14ac:dyDescent="0.25">
      <c r="M5170" s="514"/>
      <c r="Q5170" s="293"/>
      <c r="R5170" s="316"/>
      <c r="S5170" s="355"/>
    </row>
    <row r="5171" spans="13:19" x14ac:dyDescent="0.25">
      <c r="M5171" s="514"/>
      <c r="Q5171" s="293"/>
      <c r="R5171" s="316"/>
      <c r="S5171" s="355"/>
    </row>
    <row r="5172" spans="13:19" x14ac:dyDescent="0.25">
      <c r="M5172" s="514"/>
      <c r="Q5172" s="293"/>
      <c r="R5172" s="316"/>
      <c r="S5172" s="355"/>
    </row>
    <row r="5173" spans="13:19" x14ac:dyDescent="0.25">
      <c r="M5173" s="514"/>
      <c r="Q5173" s="293"/>
      <c r="R5173" s="316"/>
      <c r="S5173" s="355"/>
    </row>
    <row r="5174" spans="13:19" x14ac:dyDescent="0.25">
      <c r="M5174" s="514"/>
      <c r="Q5174" s="293"/>
      <c r="R5174" s="316"/>
      <c r="S5174" s="355"/>
    </row>
    <row r="5175" spans="13:19" x14ac:dyDescent="0.25">
      <c r="M5175" s="514"/>
      <c r="Q5175" s="293"/>
      <c r="R5175" s="316"/>
      <c r="S5175" s="355"/>
    </row>
    <row r="5176" spans="13:19" x14ac:dyDescent="0.25">
      <c r="M5176" s="514"/>
      <c r="Q5176" s="293"/>
      <c r="R5176" s="316"/>
      <c r="S5176" s="355"/>
    </row>
    <row r="5177" spans="13:19" x14ac:dyDescent="0.25">
      <c r="M5177" s="514"/>
      <c r="Q5177" s="293"/>
      <c r="R5177" s="316"/>
      <c r="S5177" s="355"/>
    </row>
    <row r="5178" spans="13:19" x14ac:dyDescent="0.25">
      <c r="M5178" s="514"/>
      <c r="Q5178" s="293"/>
      <c r="R5178" s="316"/>
      <c r="S5178" s="355"/>
    </row>
    <row r="5179" spans="13:19" x14ac:dyDescent="0.25">
      <c r="M5179" s="514"/>
      <c r="Q5179" s="293"/>
      <c r="R5179" s="316"/>
      <c r="S5179" s="355"/>
    </row>
    <row r="5180" spans="13:19" x14ac:dyDescent="0.25">
      <c r="M5180" s="514"/>
      <c r="Q5180" s="293"/>
      <c r="R5180" s="316"/>
      <c r="S5180" s="355"/>
    </row>
    <row r="5181" spans="13:19" x14ac:dyDescent="0.25">
      <c r="M5181" s="514"/>
      <c r="Q5181" s="293"/>
      <c r="R5181" s="316"/>
      <c r="S5181" s="355"/>
    </row>
    <row r="5182" spans="13:19" x14ac:dyDescent="0.25">
      <c r="M5182" s="514"/>
      <c r="Q5182" s="293"/>
      <c r="R5182" s="316"/>
      <c r="S5182" s="355"/>
    </row>
    <row r="5183" spans="13:19" x14ac:dyDescent="0.25">
      <c r="M5183" s="514"/>
      <c r="Q5183" s="293"/>
      <c r="R5183" s="316"/>
      <c r="S5183" s="355"/>
    </row>
    <row r="5184" spans="13:19" x14ac:dyDescent="0.25">
      <c r="M5184" s="514"/>
      <c r="Q5184" s="293"/>
      <c r="R5184" s="316"/>
      <c r="S5184" s="355"/>
    </row>
    <row r="5185" spans="13:19" x14ac:dyDescent="0.25">
      <c r="M5185" s="514"/>
      <c r="Q5185" s="293"/>
      <c r="R5185" s="316"/>
      <c r="S5185" s="355"/>
    </row>
    <row r="5186" spans="13:19" x14ac:dyDescent="0.25">
      <c r="M5186" s="514"/>
      <c r="Q5186" s="293"/>
      <c r="R5186" s="316"/>
      <c r="S5186" s="355"/>
    </row>
    <row r="5187" spans="13:19" x14ac:dyDescent="0.25">
      <c r="M5187" s="514"/>
      <c r="Q5187" s="293"/>
      <c r="R5187" s="316"/>
      <c r="S5187" s="355"/>
    </row>
    <row r="5188" spans="13:19" x14ac:dyDescent="0.25">
      <c r="M5188" s="514"/>
      <c r="Q5188" s="293"/>
      <c r="R5188" s="316"/>
      <c r="S5188" s="355"/>
    </row>
    <row r="5189" spans="13:19" x14ac:dyDescent="0.25">
      <c r="M5189" s="514"/>
      <c r="Q5189" s="293"/>
      <c r="R5189" s="316"/>
      <c r="S5189" s="355"/>
    </row>
    <row r="5190" spans="13:19" x14ac:dyDescent="0.25">
      <c r="M5190" s="514"/>
      <c r="Q5190" s="293"/>
      <c r="R5190" s="316"/>
      <c r="S5190" s="355"/>
    </row>
    <row r="5191" spans="13:19" x14ac:dyDescent="0.25">
      <c r="M5191" s="514"/>
      <c r="Q5191" s="293"/>
      <c r="R5191" s="316"/>
      <c r="S5191" s="355"/>
    </row>
    <row r="5192" spans="13:19" x14ac:dyDescent="0.25">
      <c r="M5192" s="514"/>
      <c r="Q5192" s="293"/>
      <c r="R5192" s="316"/>
      <c r="S5192" s="355"/>
    </row>
    <row r="5193" spans="13:19" x14ac:dyDescent="0.25">
      <c r="M5193" s="514"/>
      <c r="Q5193" s="293"/>
      <c r="R5193" s="316"/>
      <c r="S5193" s="355"/>
    </row>
    <row r="5194" spans="13:19" x14ac:dyDescent="0.25">
      <c r="M5194" s="514"/>
      <c r="Q5194" s="293"/>
      <c r="R5194" s="316"/>
      <c r="S5194" s="355"/>
    </row>
    <row r="5195" spans="13:19" x14ac:dyDescent="0.25">
      <c r="M5195" s="514"/>
      <c r="Q5195" s="293"/>
      <c r="R5195" s="316"/>
      <c r="S5195" s="355"/>
    </row>
    <row r="5196" spans="13:19" x14ac:dyDescent="0.25">
      <c r="M5196" s="514"/>
      <c r="Q5196" s="293"/>
      <c r="R5196" s="316"/>
      <c r="S5196" s="355"/>
    </row>
    <row r="5197" spans="13:19" x14ac:dyDescent="0.25">
      <c r="M5197" s="514"/>
      <c r="Q5197" s="293"/>
      <c r="R5197" s="316"/>
      <c r="S5197" s="355"/>
    </row>
    <row r="5198" spans="13:19" x14ac:dyDescent="0.25">
      <c r="M5198" s="514"/>
      <c r="Q5198" s="293"/>
      <c r="R5198" s="316"/>
      <c r="S5198" s="355"/>
    </row>
    <row r="5199" spans="13:19" x14ac:dyDescent="0.25">
      <c r="M5199" s="514"/>
      <c r="Q5199" s="293"/>
      <c r="R5199" s="316"/>
      <c r="S5199" s="355"/>
    </row>
    <row r="5200" spans="13:19" x14ac:dyDescent="0.25">
      <c r="M5200" s="514"/>
      <c r="Q5200" s="293"/>
      <c r="R5200" s="316"/>
      <c r="S5200" s="355"/>
    </row>
    <row r="5201" spans="13:19" x14ac:dyDescent="0.25">
      <c r="M5201" s="514"/>
      <c r="Q5201" s="293"/>
      <c r="R5201" s="316"/>
      <c r="S5201" s="355"/>
    </row>
    <row r="5202" spans="13:19" x14ac:dyDescent="0.25">
      <c r="M5202" s="514"/>
      <c r="Q5202" s="293"/>
      <c r="R5202" s="316"/>
      <c r="S5202" s="355"/>
    </row>
    <row r="5203" spans="13:19" x14ac:dyDescent="0.25">
      <c r="M5203" s="514"/>
      <c r="Q5203" s="293"/>
      <c r="R5203" s="316"/>
      <c r="S5203" s="355"/>
    </row>
    <row r="5204" spans="13:19" x14ac:dyDescent="0.25">
      <c r="M5204" s="514"/>
      <c r="Q5204" s="293"/>
      <c r="R5204" s="316"/>
      <c r="S5204" s="355"/>
    </row>
    <row r="5205" spans="13:19" x14ac:dyDescent="0.25">
      <c r="M5205" s="514"/>
      <c r="Q5205" s="293"/>
      <c r="R5205" s="316"/>
      <c r="S5205" s="355"/>
    </row>
    <row r="5206" spans="13:19" x14ac:dyDescent="0.25">
      <c r="M5206" s="514"/>
      <c r="Q5206" s="293"/>
      <c r="R5206" s="316"/>
      <c r="S5206" s="355"/>
    </row>
    <row r="5207" spans="13:19" x14ac:dyDescent="0.25">
      <c r="M5207" s="514"/>
      <c r="Q5207" s="293"/>
      <c r="R5207" s="316"/>
      <c r="S5207" s="355"/>
    </row>
    <row r="5208" spans="13:19" x14ac:dyDescent="0.25">
      <c r="M5208" s="514"/>
      <c r="Q5208" s="293"/>
      <c r="R5208" s="316"/>
      <c r="S5208" s="355"/>
    </row>
    <row r="5209" spans="13:19" x14ac:dyDescent="0.25">
      <c r="M5209" s="514"/>
      <c r="Q5209" s="293"/>
      <c r="R5209" s="316"/>
      <c r="S5209" s="355"/>
    </row>
    <row r="5210" spans="13:19" x14ac:dyDescent="0.25">
      <c r="M5210" s="514"/>
      <c r="Q5210" s="293"/>
      <c r="R5210" s="316"/>
      <c r="S5210" s="355"/>
    </row>
    <row r="5211" spans="13:19" x14ac:dyDescent="0.25">
      <c r="M5211" s="514"/>
      <c r="Q5211" s="293"/>
      <c r="R5211" s="316"/>
      <c r="S5211" s="355"/>
    </row>
    <row r="5212" spans="13:19" x14ac:dyDescent="0.25">
      <c r="M5212" s="514"/>
      <c r="Q5212" s="293"/>
      <c r="R5212" s="316"/>
      <c r="S5212" s="355"/>
    </row>
    <row r="5213" spans="13:19" x14ac:dyDescent="0.25">
      <c r="M5213" s="514"/>
      <c r="Q5213" s="293"/>
      <c r="R5213" s="316"/>
      <c r="S5213" s="355"/>
    </row>
    <row r="5214" spans="13:19" x14ac:dyDescent="0.25">
      <c r="M5214" s="514"/>
      <c r="Q5214" s="293"/>
      <c r="R5214" s="316"/>
      <c r="S5214" s="355"/>
    </row>
    <row r="5215" spans="13:19" x14ac:dyDescent="0.25">
      <c r="M5215" s="514"/>
      <c r="Q5215" s="293"/>
      <c r="R5215" s="316"/>
      <c r="S5215" s="355"/>
    </row>
    <row r="5216" spans="13:19" x14ac:dyDescent="0.25">
      <c r="M5216" s="514"/>
      <c r="Q5216" s="293"/>
      <c r="R5216" s="316"/>
      <c r="S5216" s="355"/>
    </row>
    <row r="5217" spans="13:19" x14ac:dyDescent="0.25">
      <c r="M5217" s="514"/>
      <c r="Q5217" s="293"/>
      <c r="R5217" s="316"/>
      <c r="S5217" s="355"/>
    </row>
    <row r="5218" spans="13:19" x14ac:dyDescent="0.25">
      <c r="M5218" s="514"/>
      <c r="Q5218" s="293"/>
      <c r="R5218" s="316"/>
      <c r="S5218" s="355"/>
    </row>
    <row r="5219" spans="13:19" x14ac:dyDescent="0.25">
      <c r="M5219" s="514"/>
      <c r="Q5219" s="293"/>
      <c r="R5219" s="316"/>
      <c r="S5219" s="355"/>
    </row>
    <row r="5220" spans="13:19" x14ac:dyDescent="0.25">
      <c r="M5220" s="514"/>
      <c r="Q5220" s="293"/>
      <c r="R5220" s="316"/>
      <c r="S5220" s="355"/>
    </row>
    <row r="5221" spans="13:19" x14ac:dyDescent="0.25">
      <c r="M5221" s="514"/>
      <c r="Q5221" s="293"/>
      <c r="R5221" s="316"/>
      <c r="S5221" s="355"/>
    </row>
    <row r="5222" spans="13:19" x14ac:dyDescent="0.25">
      <c r="M5222" s="514"/>
      <c r="Q5222" s="293"/>
      <c r="R5222" s="316"/>
      <c r="S5222" s="355"/>
    </row>
    <row r="5223" spans="13:19" x14ac:dyDescent="0.25">
      <c r="M5223" s="514"/>
      <c r="Q5223" s="293"/>
      <c r="R5223" s="316"/>
      <c r="S5223" s="355"/>
    </row>
    <row r="5224" spans="13:19" x14ac:dyDescent="0.25">
      <c r="M5224" s="514"/>
      <c r="Q5224" s="293"/>
      <c r="R5224" s="316"/>
      <c r="S5224" s="355"/>
    </row>
    <row r="5225" spans="13:19" x14ac:dyDescent="0.25">
      <c r="M5225" s="514"/>
      <c r="Q5225" s="293"/>
      <c r="R5225" s="316"/>
      <c r="S5225" s="355"/>
    </row>
    <row r="5226" spans="13:19" x14ac:dyDescent="0.25">
      <c r="M5226" s="514"/>
      <c r="Q5226" s="293"/>
      <c r="R5226" s="316"/>
      <c r="S5226" s="355"/>
    </row>
    <row r="5227" spans="13:19" x14ac:dyDescent="0.25">
      <c r="M5227" s="514"/>
      <c r="Q5227" s="293"/>
      <c r="R5227" s="316"/>
      <c r="S5227" s="355"/>
    </row>
    <row r="5228" spans="13:19" x14ac:dyDescent="0.25">
      <c r="M5228" s="514"/>
      <c r="Q5228" s="293"/>
      <c r="R5228" s="316"/>
      <c r="S5228" s="355"/>
    </row>
    <row r="5229" spans="13:19" x14ac:dyDescent="0.25">
      <c r="M5229" s="514"/>
      <c r="Q5229" s="293"/>
      <c r="R5229" s="316"/>
      <c r="S5229" s="355"/>
    </row>
    <row r="5230" spans="13:19" x14ac:dyDescent="0.25">
      <c r="M5230" s="514"/>
      <c r="Q5230" s="293"/>
      <c r="R5230" s="316"/>
      <c r="S5230" s="355"/>
    </row>
    <row r="5231" spans="13:19" x14ac:dyDescent="0.25">
      <c r="M5231" s="514"/>
      <c r="Q5231" s="293"/>
      <c r="R5231" s="316"/>
      <c r="S5231" s="355"/>
    </row>
    <row r="5232" spans="13:19" x14ac:dyDescent="0.25">
      <c r="M5232" s="514"/>
      <c r="Q5232" s="293"/>
      <c r="R5232" s="316"/>
      <c r="S5232" s="355"/>
    </row>
    <row r="5233" spans="13:19" x14ac:dyDescent="0.25">
      <c r="M5233" s="514"/>
      <c r="Q5233" s="293"/>
      <c r="R5233" s="316"/>
      <c r="S5233" s="355"/>
    </row>
    <row r="5234" spans="13:19" x14ac:dyDescent="0.25">
      <c r="M5234" s="514"/>
      <c r="Q5234" s="293"/>
      <c r="R5234" s="316"/>
      <c r="S5234" s="355"/>
    </row>
    <row r="5235" spans="13:19" x14ac:dyDescent="0.25">
      <c r="M5235" s="514"/>
      <c r="Q5235" s="293"/>
      <c r="R5235" s="316"/>
      <c r="S5235" s="355"/>
    </row>
    <row r="5236" spans="13:19" x14ac:dyDescent="0.25">
      <c r="M5236" s="514"/>
      <c r="Q5236" s="293"/>
      <c r="R5236" s="316"/>
      <c r="S5236" s="355"/>
    </row>
    <row r="5237" spans="13:19" x14ac:dyDescent="0.25">
      <c r="M5237" s="514"/>
      <c r="Q5237" s="293"/>
      <c r="R5237" s="316"/>
      <c r="S5237" s="355"/>
    </row>
    <row r="5238" spans="13:19" x14ac:dyDescent="0.25">
      <c r="M5238" s="514"/>
      <c r="Q5238" s="293"/>
      <c r="R5238" s="316"/>
      <c r="S5238" s="355"/>
    </row>
    <row r="5239" spans="13:19" x14ac:dyDescent="0.25">
      <c r="M5239" s="514"/>
      <c r="Q5239" s="293"/>
      <c r="R5239" s="316"/>
      <c r="S5239" s="355"/>
    </row>
    <row r="5240" spans="13:19" x14ac:dyDescent="0.25">
      <c r="M5240" s="514"/>
      <c r="Q5240" s="293"/>
      <c r="R5240" s="316"/>
      <c r="S5240" s="355"/>
    </row>
    <row r="5241" spans="13:19" x14ac:dyDescent="0.25">
      <c r="M5241" s="514"/>
      <c r="Q5241" s="293"/>
      <c r="R5241" s="316"/>
      <c r="S5241" s="355"/>
    </row>
    <row r="5242" spans="13:19" x14ac:dyDescent="0.25">
      <c r="M5242" s="514"/>
      <c r="Q5242" s="293"/>
      <c r="R5242" s="316"/>
      <c r="S5242" s="355"/>
    </row>
    <row r="5243" spans="13:19" x14ac:dyDescent="0.25">
      <c r="M5243" s="514"/>
      <c r="Q5243" s="293"/>
      <c r="R5243" s="316"/>
      <c r="S5243" s="355"/>
    </row>
    <row r="5244" spans="13:19" x14ac:dyDescent="0.25">
      <c r="M5244" s="514"/>
      <c r="Q5244" s="293"/>
      <c r="R5244" s="316"/>
      <c r="S5244" s="355"/>
    </row>
    <row r="5245" spans="13:19" x14ac:dyDescent="0.25">
      <c r="M5245" s="514"/>
      <c r="Q5245" s="293"/>
      <c r="R5245" s="316"/>
      <c r="S5245" s="355"/>
    </row>
    <row r="5246" spans="13:19" x14ac:dyDescent="0.25">
      <c r="M5246" s="514"/>
      <c r="Q5246" s="293"/>
      <c r="R5246" s="316"/>
      <c r="S5246" s="355"/>
    </row>
    <row r="5247" spans="13:19" x14ac:dyDescent="0.25">
      <c r="M5247" s="514"/>
      <c r="Q5247" s="293"/>
      <c r="R5247" s="316"/>
      <c r="S5247" s="355"/>
    </row>
    <row r="5248" spans="13:19" x14ac:dyDescent="0.25">
      <c r="M5248" s="514"/>
      <c r="Q5248" s="293"/>
      <c r="R5248" s="316"/>
      <c r="S5248" s="355"/>
    </row>
    <row r="5249" spans="13:19" x14ac:dyDescent="0.25">
      <c r="M5249" s="514"/>
      <c r="Q5249" s="293"/>
      <c r="R5249" s="316"/>
      <c r="S5249" s="355"/>
    </row>
    <row r="5250" spans="13:19" x14ac:dyDescent="0.25">
      <c r="M5250" s="514"/>
      <c r="Q5250" s="293"/>
      <c r="R5250" s="316"/>
      <c r="S5250" s="355"/>
    </row>
    <row r="5251" spans="13:19" x14ac:dyDescent="0.25">
      <c r="M5251" s="514"/>
      <c r="Q5251" s="293"/>
      <c r="R5251" s="316"/>
      <c r="S5251" s="355"/>
    </row>
    <row r="5252" spans="13:19" x14ac:dyDescent="0.25">
      <c r="M5252" s="514"/>
      <c r="Q5252" s="293"/>
      <c r="R5252" s="316"/>
      <c r="S5252" s="355"/>
    </row>
    <row r="5253" spans="13:19" x14ac:dyDescent="0.25">
      <c r="M5253" s="514"/>
      <c r="Q5253" s="293"/>
      <c r="R5253" s="316"/>
      <c r="S5253" s="355"/>
    </row>
    <row r="5254" spans="13:19" x14ac:dyDescent="0.25">
      <c r="M5254" s="514"/>
      <c r="Q5254" s="293"/>
      <c r="R5254" s="316"/>
      <c r="S5254" s="355"/>
    </row>
    <row r="5255" spans="13:19" x14ac:dyDescent="0.25">
      <c r="M5255" s="514"/>
      <c r="Q5255" s="293"/>
      <c r="R5255" s="316"/>
      <c r="S5255" s="355"/>
    </row>
    <row r="5256" spans="13:19" x14ac:dyDescent="0.25">
      <c r="M5256" s="514"/>
      <c r="Q5256" s="293"/>
      <c r="R5256" s="316"/>
      <c r="S5256" s="355"/>
    </row>
    <row r="5257" spans="13:19" x14ac:dyDescent="0.25">
      <c r="M5257" s="514"/>
      <c r="Q5257" s="293"/>
      <c r="R5257" s="316"/>
      <c r="S5257" s="355"/>
    </row>
    <row r="5258" spans="13:19" x14ac:dyDescent="0.25">
      <c r="M5258" s="514"/>
      <c r="Q5258" s="293"/>
      <c r="R5258" s="316"/>
      <c r="S5258" s="355"/>
    </row>
    <row r="5259" spans="13:19" x14ac:dyDescent="0.25">
      <c r="M5259" s="514"/>
      <c r="Q5259" s="293"/>
      <c r="R5259" s="316"/>
      <c r="S5259" s="355"/>
    </row>
    <row r="5260" spans="13:19" x14ac:dyDescent="0.25">
      <c r="M5260" s="514"/>
      <c r="Q5260" s="293"/>
      <c r="R5260" s="316"/>
      <c r="S5260" s="355"/>
    </row>
    <row r="5261" spans="13:19" x14ac:dyDescent="0.25">
      <c r="M5261" s="514"/>
      <c r="Q5261" s="293"/>
      <c r="R5261" s="316"/>
      <c r="S5261" s="355"/>
    </row>
    <row r="5262" spans="13:19" x14ac:dyDescent="0.25">
      <c r="M5262" s="514"/>
      <c r="Q5262" s="293"/>
      <c r="R5262" s="316"/>
      <c r="S5262" s="355"/>
    </row>
    <row r="5263" spans="13:19" x14ac:dyDescent="0.25">
      <c r="M5263" s="514"/>
      <c r="Q5263" s="293"/>
      <c r="R5263" s="316"/>
      <c r="S5263" s="355"/>
    </row>
    <row r="5264" spans="13:19" x14ac:dyDescent="0.25">
      <c r="M5264" s="514"/>
      <c r="Q5264" s="293"/>
      <c r="R5264" s="316"/>
      <c r="S5264" s="355"/>
    </row>
    <row r="5265" spans="13:19" x14ac:dyDescent="0.25">
      <c r="M5265" s="514"/>
      <c r="Q5265" s="293"/>
      <c r="R5265" s="316"/>
      <c r="S5265" s="355"/>
    </row>
    <row r="5266" spans="13:19" x14ac:dyDescent="0.25">
      <c r="M5266" s="514"/>
      <c r="Q5266" s="293"/>
      <c r="R5266" s="316"/>
      <c r="S5266" s="355"/>
    </row>
    <row r="5267" spans="13:19" x14ac:dyDescent="0.25">
      <c r="M5267" s="514"/>
      <c r="Q5267" s="293"/>
      <c r="R5267" s="316"/>
      <c r="S5267" s="355"/>
    </row>
    <row r="5268" spans="13:19" x14ac:dyDescent="0.25">
      <c r="M5268" s="514"/>
      <c r="Q5268" s="293"/>
      <c r="R5268" s="316"/>
      <c r="S5268" s="355"/>
    </row>
    <row r="5269" spans="13:19" x14ac:dyDescent="0.25">
      <c r="M5269" s="514"/>
      <c r="Q5269" s="293"/>
      <c r="R5269" s="316"/>
      <c r="S5269" s="355"/>
    </row>
    <row r="5270" spans="13:19" x14ac:dyDescent="0.25">
      <c r="M5270" s="514"/>
      <c r="Q5270" s="293"/>
      <c r="R5270" s="316"/>
      <c r="S5270" s="355"/>
    </row>
    <row r="5271" spans="13:19" x14ac:dyDescent="0.25">
      <c r="M5271" s="514"/>
      <c r="Q5271" s="293"/>
      <c r="R5271" s="316"/>
      <c r="S5271" s="355"/>
    </row>
    <row r="5272" spans="13:19" x14ac:dyDescent="0.25">
      <c r="M5272" s="514"/>
      <c r="Q5272" s="293"/>
      <c r="R5272" s="316"/>
      <c r="S5272" s="355"/>
    </row>
    <row r="5273" spans="13:19" x14ac:dyDescent="0.25">
      <c r="M5273" s="514"/>
      <c r="Q5273" s="293"/>
      <c r="R5273" s="316"/>
      <c r="S5273" s="355"/>
    </row>
    <row r="5274" spans="13:19" x14ac:dyDescent="0.25">
      <c r="M5274" s="514"/>
      <c r="Q5274" s="293"/>
      <c r="R5274" s="316"/>
      <c r="S5274" s="355"/>
    </row>
    <row r="5275" spans="13:19" x14ac:dyDescent="0.25">
      <c r="M5275" s="514"/>
      <c r="Q5275" s="293"/>
      <c r="R5275" s="316"/>
      <c r="S5275" s="355"/>
    </row>
    <row r="5276" spans="13:19" x14ac:dyDescent="0.25">
      <c r="M5276" s="514"/>
      <c r="Q5276" s="293"/>
      <c r="R5276" s="316"/>
      <c r="S5276" s="355"/>
    </row>
    <row r="5277" spans="13:19" x14ac:dyDescent="0.25">
      <c r="M5277" s="514"/>
      <c r="Q5277" s="293"/>
      <c r="R5277" s="316"/>
      <c r="S5277" s="355"/>
    </row>
    <row r="5278" spans="13:19" x14ac:dyDescent="0.25">
      <c r="M5278" s="514"/>
      <c r="Q5278" s="293"/>
      <c r="R5278" s="316"/>
      <c r="S5278" s="355"/>
    </row>
    <row r="5279" spans="13:19" x14ac:dyDescent="0.25">
      <c r="M5279" s="514"/>
      <c r="Q5279" s="293"/>
      <c r="R5279" s="316"/>
      <c r="S5279" s="355"/>
    </row>
    <row r="5280" spans="13:19" x14ac:dyDescent="0.25">
      <c r="M5280" s="514"/>
      <c r="Q5280" s="293"/>
      <c r="R5280" s="316"/>
      <c r="S5280" s="355"/>
    </row>
    <row r="5281" spans="13:19" x14ac:dyDescent="0.25">
      <c r="M5281" s="514"/>
      <c r="Q5281" s="293"/>
      <c r="R5281" s="316"/>
      <c r="S5281" s="355"/>
    </row>
    <row r="5282" spans="13:19" x14ac:dyDescent="0.25">
      <c r="M5282" s="514"/>
      <c r="Q5282" s="293"/>
      <c r="R5282" s="316"/>
      <c r="S5282" s="355"/>
    </row>
    <row r="5283" spans="13:19" x14ac:dyDescent="0.25">
      <c r="M5283" s="514"/>
      <c r="Q5283" s="293"/>
      <c r="R5283" s="316"/>
      <c r="S5283" s="355"/>
    </row>
    <row r="5284" spans="13:19" x14ac:dyDescent="0.25">
      <c r="M5284" s="514"/>
      <c r="Q5284" s="293"/>
      <c r="R5284" s="316"/>
      <c r="S5284" s="355"/>
    </row>
    <row r="5285" spans="13:19" x14ac:dyDescent="0.25">
      <c r="M5285" s="514"/>
      <c r="Q5285" s="293"/>
      <c r="R5285" s="316"/>
      <c r="S5285" s="355"/>
    </row>
    <row r="5286" spans="13:19" x14ac:dyDescent="0.25">
      <c r="M5286" s="514"/>
      <c r="Q5286" s="293"/>
      <c r="R5286" s="316"/>
      <c r="S5286" s="355"/>
    </row>
    <row r="5287" spans="13:19" x14ac:dyDescent="0.25">
      <c r="M5287" s="514"/>
      <c r="Q5287" s="293"/>
      <c r="R5287" s="316"/>
      <c r="S5287" s="355"/>
    </row>
    <row r="5288" spans="13:19" x14ac:dyDescent="0.25">
      <c r="M5288" s="514"/>
      <c r="Q5288" s="293"/>
      <c r="R5288" s="316"/>
      <c r="S5288" s="355"/>
    </row>
    <row r="5289" spans="13:19" x14ac:dyDescent="0.25">
      <c r="M5289" s="514"/>
      <c r="Q5289" s="293"/>
      <c r="R5289" s="316"/>
      <c r="S5289" s="355"/>
    </row>
    <row r="5290" spans="13:19" x14ac:dyDescent="0.25">
      <c r="M5290" s="514"/>
      <c r="Q5290" s="293"/>
      <c r="R5290" s="316"/>
      <c r="S5290" s="355"/>
    </row>
    <row r="5291" spans="13:19" x14ac:dyDescent="0.25">
      <c r="M5291" s="514"/>
      <c r="Q5291" s="293"/>
      <c r="R5291" s="316"/>
      <c r="S5291" s="355"/>
    </row>
    <row r="5292" spans="13:19" x14ac:dyDescent="0.25">
      <c r="M5292" s="514"/>
      <c r="Q5292" s="293"/>
      <c r="R5292" s="316"/>
      <c r="S5292" s="355"/>
    </row>
    <row r="5293" spans="13:19" x14ac:dyDescent="0.25">
      <c r="M5293" s="514"/>
      <c r="Q5293" s="293"/>
      <c r="R5293" s="316"/>
      <c r="S5293" s="355"/>
    </row>
    <row r="5294" spans="13:19" x14ac:dyDescent="0.25">
      <c r="M5294" s="514"/>
      <c r="Q5294" s="293"/>
      <c r="R5294" s="316"/>
      <c r="S5294" s="355"/>
    </row>
    <row r="5295" spans="13:19" x14ac:dyDescent="0.25">
      <c r="M5295" s="514"/>
      <c r="Q5295" s="293"/>
      <c r="R5295" s="316"/>
      <c r="S5295" s="355"/>
    </row>
    <row r="5296" spans="13:19" x14ac:dyDescent="0.25">
      <c r="M5296" s="514"/>
      <c r="Q5296" s="293"/>
      <c r="R5296" s="316"/>
      <c r="S5296" s="355"/>
    </row>
    <row r="5297" spans="13:19" x14ac:dyDescent="0.25">
      <c r="M5297" s="514"/>
      <c r="Q5297" s="293"/>
      <c r="R5297" s="316"/>
      <c r="S5297" s="355"/>
    </row>
    <row r="5298" spans="13:19" x14ac:dyDescent="0.25">
      <c r="M5298" s="514"/>
      <c r="Q5298" s="293"/>
      <c r="R5298" s="316"/>
      <c r="S5298" s="355"/>
    </row>
    <row r="5299" spans="13:19" x14ac:dyDescent="0.25">
      <c r="M5299" s="514"/>
      <c r="Q5299" s="293"/>
      <c r="R5299" s="316"/>
      <c r="S5299" s="355"/>
    </row>
    <row r="5300" spans="13:19" x14ac:dyDescent="0.25">
      <c r="M5300" s="514"/>
      <c r="Q5300" s="293"/>
      <c r="R5300" s="316"/>
      <c r="S5300" s="355"/>
    </row>
    <row r="5301" spans="13:19" x14ac:dyDescent="0.25">
      <c r="M5301" s="514"/>
      <c r="Q5301" s="293"/>
      <c r="R5301" s="316"/>
      <c r="S5301" s="355"/>
    </row>
    <row r="5302" spans="13:19" x14ac:dyDescent="0.25">
      <c r="M5302" s="514"/>
      <c r="Q5302" s="293"/>
      <c r="R5302" s="316"/>
      <c r="S5302" s="355"/>
    </row>
    <row r="5303" spans="13:19" x14ac:dyDescent="0.25">
      <c r="M5303" s="514"/>
      <c r="Q5303" s="293"/>
      <c r="R5303" s="316"/>
      <c r="S5303" s="355"/>
    </row>
    <row r="5304" spans="13:19" x14ac:dyDescent="0.25">
      <c r="M5304" s="514"/>
      <c r="Q5304" s="293"/>
      <c r="R5304" s="316"/>
      <c r="S5304" s="355"/>
    </row>
    <row r="5305" spans="13:19" x14ac:dyDescent="0.25">
      <c r="M5305" s="514"/>
      <c r="Q5305" s="293"/>
      <c r="R5305" s="316"/>
      <c r="S5305" s="355"/>
    </row>
    <row r="5306" spans="13:19" x14ac:dyDescent="0.25">
      <c r="M5306" s="514"/>
      <c r="Q5306" s="293"/>
      <c r="R5306" s="316"/>
      <c r="S5306" s="355"/>
    </row>
    <row r="5307" spans="13:19" x14ac:dyDescent="0.25">
      <c r="M5307" s="514"/>
      <c r="Q5307" s="293"/>
      <c r="R5307" s="316"/>
      <c r="S5307" s="355"/>
    </row>
    <row r="5308" spans="13:19" x14ac:dyDescent="0.25">
      <c r="M5308" s="514"/>
      <c r="Q5308" s="293"/>
      <c r="R5308" s="316"/>
      <c r="S5308" s="355"/>
    </row>
    <row r="5309" spans="13:19" x14ac:dyDescent="0.25">
      <c r="M5309" s="514"/>
      <c r="Q5309" s="293"/>
      <c r="R5309" s="316"/>
      <c r="S5309" s="355"/>
    </row>
    <row r="5310" spans="13:19" x14ac:dyDescent="0.25">
      <c r="M5310" s="514"/>
      <c r="Q5310" s="293"/>
      <c r="R5310" s="316"/>
      <c r="S5310" s="355"/>
    </row>
    <row r="5311" spans="13:19" x14ac:dyDescent="0.25">
      <c r="M5311" s="514"/>
      <c r="Q5311" s="293"/>
      <c r="R5311" s="316"/>
      <c r="S5311" s="355"/>
    </row>
    <row r="5312" spans="13:19" x14ac:dyDescent="0.25">
      <c r="M5312" s="514"/>
      <c r="Q5312" s="293"/>
      <c r="R5312" s="316"/>
      <c r="S5312" s="355"/>
    </row>
    <row r="5313" spans="13:19" x14ac:dyDescent="0.25">
      <c r="M5313" s="514"/>
      <c r="Q5313" s="293"/>
      <c r="R5313" s="316"/>
      <c r="S5313" s="355"/>
    </row>
    <row r="5314" spans="13:19" x14ac:dyDescent="0.25">
      <c r="M5314" s="514"/>
      <c r="Q5314" s="293"/>
      <c r="R5314" s="316"/>
      <c r="S5314" s="355"/>
    </row>
    <row r="5315" spans="13:19" x14ac:dyDescent="0.25">
      <c r="M5315" s="514"/>
      <c r="Q5315" s="293"/>
      <c r="R5315" s="316"/>
      <c r="S5315" s="355"/>
    </row>
    <row r="5316" spans="13:19" x14ac:dyDescent="0.25">
      <c r="M5316" s="514"/>
      <c r="Q5316" s="293"/>
      <c r="R5316" s="316"/>
      <c r="S5316" s="355"/>
    </row>
    <row r="5317" spans="13:19" x14ac:dyDescent="0.25">
      <c r="M5317" s="514"/>
      <c r="Q5317" s="293"/>
      <c r="R5317" s="316"/>
      <c r="S5317" s="355"/>
    </row>
    <row r="5318" spans="13:19" x14ac:dyDescent="0.25">
      <c r="M5318" s="514"/>
      <c r="Q5318" s="293"/>
      <c r="R5318" s="316"/>
      <c r="S5318" s="355"/>
    </row>
    <row r="5319" spans="13:19" x14ac:dyDescent="0.25">
      <c r="M5319" s="514"/>
      <c r="Q5319" s="293"/>
      <c r="R5319" s="316"/>
      <c r="S5319" s="355"/>
    </row>
    <row r="5320" spans="13:19" x14ac:dyDescent="0.25">
      <c r="M5320" s="514"/>
      <c r="Q5320" s="293"/>
      <c r="R5320" s="316"/>
      <c r="S5320" s="355"/>
    </row>
    <row r="5321" spans="13:19" x14ac:dyDescent="0.25">
      <c r="M5321" s="514"/>
      <c r="Q5321" s="293"/>
      <c r="R5321" s="316"/>
      <c r="S5321" s="355"/>
    </row>
    <row r="5322" spans="13:19" x14ac:dyDescent="0.25">
      <c r="M5322" s="514"/>
      <c r="Q5322" s="293"/>
      <c r="R5322" s="316"/>
      <c r="S5322" s="355"/>
    </row>
    <row r="5323" spans="13:19" x14ac:dyDescent="0.25">
      <c r="M5323" s="514"/>
      <c r="Q5323" s="293"/>
      <c r="R5323" s="316"/>
      <c r="S5323" s="355"/>
    </row>
    <row r="5324" spans="13:19" x14ac:dyDescent="0.25">
      <c r="M5324" s="514"/>
      <c r="Q5324" s="293"/>
      <c r="R5324" s="316"/>
      <c r="S5324" s="355"/>
    </row>
    <row r="5325" spans="13:19" x14ac:dyDescent="0.25">
      <c r="M5325" s="514"/>
      <c r="Q5325" s="293"/>
      <c r="R5325" s="316"/>
      <c r="S5325" s="355"/>
    </row>
    <row r="5326" spans="13:19" x14ac:dyDescent="0.25">
      <c r="M5326" s="514"/>
      <c r="Q5326" s="293"/>
      <c r="R5326" s="316"/>
      <c r="S5326" s="355"/>
    </row>
    <row r="5327" spans="13:19" x14ac:dyDescent="0.25">
      <c r="M5327" s="514"/>
      <c r="Q5327" s="293"/>
      <c r="R5327" s="316"/>
      <c r="S5327" s="355"/>
    </row>
    <row r="5328" spans="13:19" x14ac:dyDescent="0.25">
      <c r="M5328" s="514"/>
      <c r="Q5328" s="293"/>
      <c r="R5328" s="316"/>
      <c r="S5328" s="355"/>
    </row>
    <row r="5329" spans="13:19" x14ac:dyDescent="0.25">
      <c r="M5329" s="514"/>
      <c r="Q5329" s="293"/>
      <c r="R5329" s="316"/>
      <c r="S5329" s="355"/>
    </row>
    <row r="5330" spans="13:19" x14ac:dyDescent="0.25">
      <c r="M5330" s="514"/>
      <c r="Q5330" s="293"/>
      <c r="R5330" s="316"/>
      <c r="S5330" s="355"/>
    </row>
    <row r="5331" spans="13:19" x14ac:dyDescent="0.25">
      <c r="M5331" s="514"/>
      <c r="Q5331" s="293"/>
      <c r="R5331" s="316"/>
      <c r="S5331" s="355"/>
    </row>
    <row r="5332" spans="13:19" x14ac:dyDescent="0.25">
      <c r="M5332" s="514"/>
      <c r="Q5332" s="293"/>
      <c r="R5332" s="316"/>
      <c r="S5332" s="355"/>
    </row>
    <row r="5333" spans="13:19" x14ac:dyDescent="0.25">
      <c r="M5333" s="514"/>
      <c r="Q5333" s="293"/>
      <c r="R5333" s="316"/>
      <c r="S5333" s="355"/>
    </row>
    <row r="5334" spans="13:19" x14ac:dyDescent="0.25">
      <c r="M5334" s="514"/>
      <c r="Q5334" s="293"/>
      <c r="R5334" s="316"/>
      <c r="S5334" s="355"/>
    </row>
    <row r="5335" spans="13:19" x14ac:dyDescent="0.25">
      <c r="M5335" s="514"/>
      <c r="Q5335" s="293"/>
      <c r="R5335" s="316"/>
      <c r="S5335" s="355"/>
    </row>
    <row r="5336" spans="13:19" x14ac:dyDescent="0.25">
      <c r="M5336" s="514"/>
      <c r="Q5336" s="293"/>
      <c r="R5336" s="316"/>
      <c r="S5336" s="355"/>
    </row>
    <row r="5337" spans="13:19" x14ac:dyDescent="0.25">
      <c r="M5337" s="514"/>
      <c r="Q5337" s="293"/>
      <c r="R5337" s="316"/>
      <c r="S5337" s="355"/>
    </row>
    <row r="5338" spans="13:19" x14ac:dyDescent="0.25">
      <c r="M5338" s="514"/>
      <c r="Q5338" s="293"/>
      <c r="R5338" s="316"/>
      <c r="S5338" s="355"/>
    </row>
    <row r="5339" spans="13:19" x14ac:dyDescent="0.25">
      <c r="M5339" s="514"/>
      <c r="Q5339" s="293"/>
      <c r="R5339" s="316"/>
      <c r="S5339" s="355"/>
    </row>
    <row r="5340" spans="13:19" x14ac:dyDescent="0.25">
      <c r="M5340" s="514"/>
      <c r="Q5340" s="293"/>
      <c r="R5340" s="316"/>
      <c r="S5340" s="355"/>
    </row>
    <row r="5341" spans="13:19" x14ac:dyDescent="0.25">
      <c r="M5341" s="514"/>
      <c r="Q5341" s="293"/>
      <c r="R5341" s="316"/>
      <c r="S5341" s="355"/>
    </row>
    <row r="5342" spans="13:19" x14ac:dyDescent="0.25">
      <c r="M5342" s="514"/>
      <c r="Q5342" s="293"/>
      <c r="R5342" s="316"/>
      <c r="S5342" s="355"/>
    </row>
    <row r="5343" spans="13:19" x14ac:dyDescent="0.25">
      <c r="M5343" s="514"/>
      <c r="Q5343" s="293"/>
      <c r="R5343" s="316"/>
      <c r="S5343" s="355"/>
    </row>
    <row r="5344" spans="13:19" x14ac:dyDescent="0.25">
      <c r="M5344" s="514"/>
      <c r="Q5344" s="293"/>
      <c r="R5344" s="316"/>
      <c r="S5344" s="355"/>
    </row>
    <row r="5345" spans="13:19" x14ac:dyDescent="0.25">
      <c r="M5345" s="514"/>
      <c r="Q5345" s="293"/>
      <c r="R5345" s="316"/>
      <c r="S5345" s="355"/>
    </row>
    <row r="5346" spans="13:19" x14ac:dyDescent="0.25">
      <c r="M5346" s="514"/>
      <c r="Q5346" s="293"/>
      <c r="R5346" s="316"/>
      <c r="S5346" s="355"/>
    </row>
    <row r="5347" spans="13:19" x14ac:dyDescent="0.25">
      <c r="M5347" s="514"/>
      <c r="Q5347" s="293"/>
      <c r="R5347" s="316"/>
      <c r="S5347" s="355"/>
    </row>
    <row r="5348" spans="13:19" x14ac:dyDescent="0.25">
      <c r="M5348" s="514"/>
      <c r="Q5348" s="293"/>
      <c r="R5348" s="316"/>
      <c r="S5348" s="355"/>
    </row>
    <row r="5349" spans="13:19" x14ac:dyDescent="0.25">
      <c r="M5349" s="514"/>
      <c r="Q5349" s="293"/>
      <c r="R5349" s="316"/>
      <c r="S5349" s="355"/>
    </row>
    <row r="5350" spans="13:19" x14ac:dyDescent="0.25">
      <c r="M5350" s="514"/>
      <c r="Q5350" s="293"/>
      <c r="R5350" s="316"/>
      <c r="S5350" s="355"/>
    </row>
    <row r="5351" spans="13:19" x14ac:dyDescent="0.25">
      <c r="M5351" s="514"/>
      <c r="Q5351" s="293"/>
      <c r="R5351" s="316"/>
      <c r="S5351" s="355"/>
    </row>
    <row r="5352" spans="13:19" x14ac:dyDescent="0.25">
      <c r="M5352" s="514"/>
      <c r="Q5352" s="293"/>
      <c r="R5352" s="316"/>
      <c r="S5352" s="355"/>
    </row>
    <row r="5353" spans="13:19" x14ac:dyDescent="0.25">
      <c r="M5353" s="514"/>
      <c r="Q5353" s="293"/>
      <c r="R5353" s="316"/>
      <c r="S5353" s="355"/>
    </row>
    <row r="5354" spans="13:19" x14ac:dyDescent="0.25">
      <c r="M5354" s="514"/>
      <c r="Q5354" s="293"/>
      <c r="R5354" s="316"/>
      <c r="S5354" s="355"/>
    </row>
    <row r="5355" spans="13:19" x14ac:dyDescent="0.25">
      <c r="M5355" s="514"/>
      <c r="Q5355" s="293"/>
      <c r="R5355" s="316"/>
      <c r="S5355" s="355"/>
    </row>
    <row r="5356" spans="13:19" x14ac:dyDescent="0.25">
      <c r="M5356" s="514"/>
      <c r="Q5356" s="293"/>
      <c r="R5356" s="316"/>
      <c r="S5356" s="355"/>
    </row>
    <row r="5357" spans="13:19" x14ac:dyDescent="0.25">
      <c r="M5357" s="514"/>
      <c r="Q5357" s="293"/>
      <c r="R5357" s="316"/>
      <c r="S5357" s="355"/>
    </row>
    <row r="5358" spans="13:19" x14ac:dyDescent="0.25">
      <c r="M5358" s="514"/>
      <c r="Q5358" s="293"/>
      <c r="R5358" s="316"/>
      <c r="S5358" s="355"/>
    </row>
    <row r="5359" spans="13:19" x14ac:dyDescent="0.25">
      <c r="M5359" s="514"/>
      <c r="Q5359" s="293"/>
      <c r="R5359" s="316"/>
      <c r="S5359" s="355"/>
    </row>
    <row r="5360" spans="13:19" x14ac:dyDescent="0.25">
      <c r="M5360" s="514"/>
      <c r="Q5360" s="293"/>
      <c r="R5360" s="316"/>
      <c r="S5360" s="355"/>
    </row>
    <row r="5361" spans="13:19" x14ac:dyDescent="0.25">
      <c r="M5361" s="514"/>
      <c r="Q5361" s="293"/>
      <c r="R5361" s="316"/>
      <c r="S5361" s="355"/>
    </row>
    <row r="5362" spans="13:19" x14ac:dyDescent="0.25">
      <c r="M5362" s="514"/>
      <c r="Q5362" s="293"/>
      <c r="R5362" s="316"/>
      <c r="S5362" s="355"/>
    </row>
    <row r="5363" spans="13:19" x14ac:dyDescent="0.25">
      <c r="M5363" s="514"/>
      <c r="Q5363" s="293"/>
      <c r="R5363" s="316"/>
      <c r="S5363" s="355"/>
    </row>
    <row r="5364" spans="13:19" x14ac:dyDescent="0.25">
      <c r="M5364" s="514"/>
      <c r="Q5364" s="293"/>
      <c r="R5364" s="316"/>
      <c r="S5364" s="355"/>
    </row>
    <row r="5365" spans="13:19" x14ac:dyDescent="0.25">
      <c r="M5365" s="514"/>
      <c r="Q5365" s="293"/>
      <c r="R5365" s="316"/>
      <c r="S5365" s="355"/>
    </row>
    <row r="5366" spans="13:19" x14ac:dyDescent="0.25">
      <c r="M5366" s="514"/>
      <c r="Q5366" s="293"/>
      <c r="R5366" s="316"/>
      <c r="S5366" s="355"/>
    </row>
    <row r="5367" spans="13:19" x14ac:dyDescent="0.25">
      <c r="M5367" s="514"/>
      <c r="Q5367" s="293"/>
      <c r="R5367" s="316"/>
      <c r="S5367" s="355"/>
    </row>
    <row r="5368" spans="13:19" x14ac:dyDescent="0.25">
      <c r="M5368" s="514"/>
      <c r="Q5368" s="293"/>
      <c r="R5368" s="316"/>
      <c r="S5368" s="355"/>
    </row>
    <row r="5369" spans="13:19" x14ac:dyDescent="0.25">
      <c r="M5369" s="514"/>
      <c r="Q5369" s="293"/>
      <c r="R5369" s="316"/>
      <c r="S5369" s="355"/>
    </row>
    <row r="5370" spans="13:19" x14ac:dyDescent="0.25">
      <c r="M5370" s="514"/>
      <c r="Q5370" s="293"/>
      <c r="R5370" s="316"/>
      <c r="S5370" s="355"/>
    </row>
    <row r="5371" spans="13:19" x14ac:dyDescent="0.25">
      <c r="M5371" s="514"/>
      <c r="Q5371" s="293"/>
      <c r="R5371" s="316"/>
      <c r="S5371" s="355"/>
    </row>
    <row r="5372" spans="13:19" x14ac:dyDescent="0.25">
      <c r="M5372" s="514"/>
      <c r="Q5372" s="293"/>
      <c r="R5372" s="316"/>
      <c r="S5372" s="355"/>
    </row>
    <row r="5373" spans="13:19" x14ac:dyDescent="0.25">
      <c r="M5373" s="514"/>
      <c r="Q5373" s="293"/>
      <c r="R5373" s="316"/>
      <c r="S5373" s="355"/>
    </row>
    <row r="5374" spans="13:19" x14ac:dyDescent="0.25">
      <c r="M5374" s="514"/>
      <c r="Q5374" s="293"/>
      <c r="R5374" s="316"/>
      <c r="S5374" s="355"/>
    </row>
    <row r="5375" spans="13:19" x14ac:dyDescent="0.25">
      <c r="M5375" s="514"/>
      <c r="Q5375" s="293"/>
      <c r="R5375" s="316"/>
      <c r="S5375" s="355"/>
    </row>
    <row r="5376" spans="13:19" x14ac:dyDescent="0.25">
      <c r="M5376" s="514"/>
      <c r="Q5376" s="293"/>
      <c r="R5376" s="316"/>
      <c r="S5376" s="355"/>
    </row>
    <row r="5377" spans="13:19" x14ac:dyDescent="0.25">
      <c r="M5377" s="514"/>
      <c r="Q5377" s="293"/>
      <c r="R5377" s="316"/>
      <c r="S5377" s="355"/>
    </row>
    <row r="5378" spans="13:19" x14ac:dyDescent="0.25">
      <c r="M5378" s="514"/>
      <c r="Q5378" s="293"/>
      <c r="R5378" s="316"/>
      <c r="S5378" s="355"/>
    </row>
    <row r="5379" spans="13:19" x14ac:dyDescent="0.25">
      <c r="M5379" s="514"/>
      <c r="Q5379" s="293"/>
      <c r="R5379" s="316"/>
      <c r="S5379" s="355"/>
    </row>
    <row r="5380" spans="13:19" x14ac:dyDescent="0.25">
      <c r="M5380" s="514"/>
      <c r="Q5380" s="293"/>
      <c r="R5380" s="316"/>
      <c r="S5380" s="355"/>
    </row>
    <row r="5381" spans="13:19" x14ac:dyDescent="0.25">
      <c r="M5381" s="514"/>
      <c r="Q5381" s="293"/>
      <c r="R5381" s="316"/>
      <c r="S5381" s="355"/>
    </row>
    <row r="5382" spans="13:19" x14ac:dyDescent="0.25">
      <c r="M5382" s="514"/>
      <c r="Q5382" s="293"/>
      <c r="R5382" s="316"/>
      <c r="S5382" s="355"/>
    </row>
    <row r="5383" spans="13:19" x14ac:dyDescent="0.25">
      <c r="M5383" s="514"/>
      <c r="Q5383" s="293"/>
      <c r="R5383" s="316"/>
      <c r="S5383" s="355"/>
    </row>
    <row r="5384" spans="13:19" x14ac:dyDescent="0.25">
      <c r="M5384" s="514"/>
      <c r="Q5384" s="293"/>
      <c r="R5384" s="316"/>
      <c r="S5384" s="355"/>
    </row>
    <row r="5385" spans="13:19" x14ac:dyDescent="0.25">
      <c r="M5385" s="514"/>
      <c r="Q5385" s="293"/>
      <c r="R5385" s="316"/>
      <c r="S5385" s="355"/>
    </row>
    <row r="5386" spans="13:19" x14ac:dyDescent="0.25">
      <c r="M5386" s="514"/>
      <c r="Q5386" s="293"/>
      <c r="R5386" s="316"/>
      <c r="S5386" s="355"/>
    </row>
    <row r="5387" spans="13:19" x14ac:dyDescent="0.25">
      <c r="M5387" s="514"/>
      <c r="Q5387" s="293"/>
      <c r="R5387" s="316"/>
      <c r="S5387" s="355"/>
    </row>
    <row r="5388" spans="13:19" x14ac:dyDescent="0.25">
      <c r="M5388" s="514"/>
      <c r="Q5388" s="293"/>
      <c r="R5388" s="316"/>
      <c r="S5388" s="355"/>
    </row>
    <row r="5389" spans="13:19" x14ac:dyDescent="0.25">
      <c r="M5389" s="514"/>
      <c r="Q5389" s="293"/>
      <c r="R5389" s="316"/>
      <c r="S5389" s="355"/>
    </row>
    <row r="5390" spans="13:19" x14ac:dyDescent="0.25">
      <c r="M5390" s="514"/>
      <c r="Q5390" s="293"/>
      <c r="R5390" s="316"/>
      <c r="S5390" s="355"/>
    </row>
    <row r="5391" spans="13:19" x14ac:dyDescent="0.25">
      <c r="M5391" s="514"/>
      <c r="Q5391" s="293"/>
      <c r="R5391" s="316"/>
      <c r="S5391" s="355"/>
    </row>
    <row r="5392" spans="13:19" x14ac:dyDescent="0.25">
      <c r="M5392" s="514"/>
      <c r="Q5392" s="293"/>
      <c r="R5392" s="316"/>
      <c r="S5392" s="355"/>
    </row>
    <row r="5393" spans="13:19" x14ac:dyDescent="0.25">
      <c r="M5393" s="514"/>
      <c r="Q5393" s="293"/>
      <c r="R5393" s="316"/>
      <c r="S5393" s="355"/>
    </row>
    <row r="5394" spans="13:19" x14ac:dyDescent="0.25">
      <c r="M5394" s="514"/>
      <c r="Q5394" s="293"/>
      <c r="R5394" s="316"/>
      <c r="S5394" s="355"/>
    </row>
    <row r="5395" spans="13:19" x14ac:dyDescent="0.25">
      <c r="M5395" s="514"/>
      <c r="Q5395" s="293"/>
      <c r="R5395" s="316"/>
      <c r="S5395" s="355"/>
    </row>
    <row r="5396" spans="13:19" x14ac:dyDescent="0.25">
      <c r="M5396" s="514"/>
      <c r="Q5396" s="293"/>
      <c r="R5396" s="316"/>
      <c r="S5396" s="355"/>
    </row>
    <row r="5397" spans="13:19" x14ac:dyDescent="0.25">
      <c r="M5397" s="514"/>
      <c r="Q5397" s="293"/>
      <c r="R5397" s="316"/>
      <c r="S5397" s="355"/>
    </row>
    <row r="5398" spans="13:19" x14ac:dyDescent="0.25">
      <c r="M5398" s="514"/>
      <c r="Q5398" s="293"/>
      <c r="R5398" s="316"/>
      <c r="S5398" s="355"/>
    </row>
    <row r="5399" spans="13:19" x14ac:dyDescent="0.25">
      <c r="M5399" s="514"/>
      <c r="Q5399" s="293"/>
      <c r="R5399" s="316"/>
      <c r="S5399" s="355"/>
    </row>
    <row r="5400" spans="13:19" x14ac:dyDescent="0.25">
      <c r="M5400" s="514"/>
      <c r="Q5400" s="293"/>
      <c r="R5400" s="316"/>
      <c r="S5400" s="355"/>
    </row>
    <row r="5401" spans="13:19" x14ac:dyDescent="0.25">
      <c r="M5401" s="514"/>
      <c r="Q5401" s="293"/>
      <c r="R5401" s="316"/>
      <c r="S5401" s="355"/>
    </row>
    <row r="5402" spans="13:19" x14ac:dyDescent="0.25">
      <c r="M5402" s="514"/>
      <c r="Q5402" s="293"/>
      <c r="R5402" s="316"/>
      <c r="S5402" s="355"/>
    </row>
    <row r="5403" spans="13:19" x14ac:dyDescent="0.25">
      <c r="M5403" s="514"/>
      <c r="Q5403" s="293"/>
      <c r="R5403" s="316"/>
      <c r="S5403" s="355"/>
    </row>
    <row r="5404" spans="13:19" x14ac:dyDescent="0.25">
      <c r="M5404" s="514"/>
      <c r="Q5404" s="293"/>
      <c r="R5404" s="316"/>
      <c r="S5404" s="355"/>
    </row>
    <row r="5405" spans="13:19" x14ac:dyDescent="0.25">
      <c r="M5405" s="514"/>
      <c r="Q5405" s="293"/>
      <c r="R5405" s="316"/>
      <c r="S5405" s="355"/>
    </row>
    <row r="5406" spans="13:19" x14ac:dyDescent="0.25">
      <c r="M5406" s="514"/>
      <c r="Q5406" s="293"/>
      <c r="R5406" s="316"/>
      <c r="S5406" s="355"/>
    </row>
    <row r="5407" spans="13:19" x14ac:dyDescent="0.25">
      <c r="M5407" s="514"/>
      <c r="Q5407" s="293"/>
      <c r="R5407" s="316"/>
      <c r="S5407" s="355"/>
    </row>
    <row r="5408" spans="13:19" x14ac:dyDescent="0.25">
      <c r="M5408" s="514"/>
      <c r="Q5408" s="293"/>
      <c r="R5408" s="316"/>
      <c r="S5408" s="355"/>
    </row>
    <row r="5409" spans="13:19" x14ac:dyDescent="0.25">
      <c r="M5409" s="514"/>
      <c r="Q5409" s="293"/>
      <c r="R5409" s="316"/>
      <c r="S5409" s="355"/>
    </row>
    <row r="5410" spans="13:19" x14ac:dyDescent="0.25">
      <c r="M5410" s="514"/>
      <c r="Q5410" s="293"/>
      <c r="R5410" s="316"/>
      <c r="S5410" s="355"/>
    </row>
    <row r="5411" spans="13:19" x14ac:dyDescent="0.25">
      <c r="M5411" s="514"/>
      <c r="Q5411" s="293"/>
      <c r="R5411" s="316"/>
      <c r="S5411" s="355"/>
    </row>
    <row r="5412" spans="13:19" x14ac:dyDescent="0.25">
      <c r="M5412" s="514"/>
      <c r="Q5412" s="293"/>
      <c r="R5412" s="316"/>
      <c r="S5412" s="355"/>
    </row>
    <row r="5413" spans="13:19" x14ac:dyDescent="0.25">
      <c r="M5413" s="514"/>
      <c r="Q5413" s="293"/>
      <c r="R5413" s="316"/>
      <c r="S5413" s="355"/>
    </row>
    <row r="5414" spans="13:19" x14ac:dyDescent="0.25">
      <c r="M5414" s="514"/>
      <c r="Q5414" s="293"/>
      <c r="R5414" s="316"/>
      <c r="S5414" s="355"/>
    </row>
    <row r="5415" spans="13:19" x14ac:dyDescent="0.25">
      <c r="M5415" s="514"/>
      <c r="Q5415" s="293"/>
      <c r="R5415" s="316"/>
      <c r="S5415" s="355"/>
    </row>
    <row r="5416" spans="13:19" x14ac:dyDescent="0.25">
      <c r="M5416" s="514"/>
      <c r="Q5416" s="293"/>
      <c r="R5416" s="316"/>
      <c r="S5416" s="355"/>
    </row>
    <row r="5417" spans="13:19" x14ac:dyDescent="0.25">
      <c r="M5417" s="514"/>
      <c r="Q5417" s="293"/>
      <c r="R5417" s="316"/>
      <c r="S5417" s="355"/>
    </row>
    <row r="5418" spans="13:19" x14ac:dyDescent="0.25">
      <c r="M5418" s="514"/>
      <c r="Q5418" s="293"/>
      <c r="R5418" s="316"/>
      <c r="S5418" s="355"/>
    </row>
    <row r="5419" spans="13:19" x14ac:dyDescent="0.25">
      <c r="M5419" s="514"/>
      <c r="Q5419" s="293"/>
      <c r="R5419" s="316"/>
      <c r="S5419" s="355"/>
    </row>
    <row r="5420" spans="13:19" x14ac:dyDescent="0.25">
      <c r="M5420" s="514"/>
      <c r="Q5420" s="293"/>
      <c r="R5420" s="316"/>
      <c r="S5420" s="355"/>
    </row>
    <row r="5421" spans="13:19" x14ac:dyDescent="0.25">
      <c r="M5421" s="514"/>
      <c r="Q5421" s="293"/>
      <c r="R5421" s="316"/>
      <c r="S5421" s="355"/>
    </row>
    <row r="5422" spans="13:19" x14ac:dyDescent="0.25">
      <c r="M5422" s="514"/>
      <c r="Q5422" s="293"/>
      <c r="R5422" s="316"/>
      <c r="S5422" s="355"/>
    </row>
    <row r="5423" spans="13:19" x14ac:dyDescent="0.25">
      <c r="M5423" s="514"/>
      <c r="Q5423" s="293"/>
      <c r="R5423" s="316"/>
      <c r="S5423" s="355"/>
    </row>
    <row r="5424" spans="13:19" x14ac:dyDescent="0.25">
      <c r="M5424" s="514"/>
      <c r="Q5424" s="293"/>
      <c r="R5424" s="316"/>
      <c r="S5424" s="355"/>
    </row>
    <row r="5425" spans="13:19" x14ac:dyDescent="0.25">
      <c r="M5425" s="514"/>
      <c r="Q5425" s="293"/>
      <c r="R5425" s="316"/>
      <c r="S5425" s="355"/>
    </row>
    <row r="5426" spans="13:19" x14ac:dyDescent="0.25">
      <c r="M5426" s="514"/>
      <c r="Q5426" s="293"/>
      <c r="R5426" s="316"/>
      <c r="S5426" s="355"/>
    </row>
    <row r="5427" spans="13:19" x14ac:dyDescent="0.25">
      <c r="M5427" s="514"/>
      <c r="Q5427" s="293"/>
      <c r="R5427" s="316"/>
      <c r="S5427" s="355"/>
    </row>
    <row r="5428" spans="13:19" x14ac:dyDescent="0.25">
      <c r="M5428" s="514"/>
      <c r="Q5428" s="293"/>
      <c r="R5428" s="316"/>
      <c r="S5428" s="355"/>
    </row>
    <row r="5429" spans="13:19" x14ac:dyDescent="0.25">
      <c r="M5429" s="514"/>
      <c r="Q5429" s="293"/>
      <c r="R5429" s="316"/>
      <c r="S5429" s="355"/>
    </row>
    <row r="5430" spans="13:19" x14ac:dyDescent="0.25">
      <c r="M5430" s="514"/>
      <c r="Q5430" s="293"/>
      <c r="R5430" s="316"/>
      <c r="S5430" s="355"/>
    </row>
    <row r="5431" spans="13:19" x14ac:dyDescent="0.25">
      <c r="M5431" s="514"/>
      <c r="Q5431" s="293"/>
      <c r="R5431" s="316"/>
      <c r="S5431" s="355"/>
    </row>
    <row r="5432" spans="13:19" x14ac:dyDescent="0.25">
      <c r="M5432" s="514"/>
      <c r="Q5432" s="293"/>
      <c r="R5432" s="316"/>
      <c r="S5432" s="355"/>
    </row>
    <row r="5433" spans="13:19" x14ac:dyDescent="0.25">
      <c r="M5433" s="514"/>
      <c r="Q5433" s="293"/>
      <c r="R5433" s="316"/>
      <c r="S5433" s="355"/>
    </row>
    <row r="5434" spans="13:19" x14ac:dyDescent="0.25">
      <c r="M5434" s="514"/>
      <c r="Q5434" s="293"/>
      <c r="R5434" s="316"/>
      <c r="S5434" s="355"/>
    </row>
    <row r="5435" spans="13:19" x14ac:dyDescent="0.25">
      <c r="M5435" s="514"/>
      <c r="Q5435" s="293"/>
      <c r="R5435" s="316"/>
      <c r="S5435" s="355"/>
    </row>
    <row r="5436" spans="13:19" x14ac:dyDescent="0.25">
      <c r="M5436" s="514"/>
      <c r="Q5436" s="293"/>
      <c r="R5436" s="316"/>
      <c r="S5436" s="355"/>
    </row>
    <row r="5437" spans="13:19" x14ac:dyDescent="0.25">
      <c r="M5437" s="514"/>
      <c r="Q5437" s="293"/>
      <c r="R5437" s="316"/>
      <c r="S5437" s="355"/>
    </row>
    <row r="5438" spans="13:19" x14ac:dyDescent="0.25">
      <c r="M5438" s="514"/>
      <c r="Q5438" s="293"/>
      <c r="R5438" s="316"/>
      <c r="S5438" s="355"/>
    </row>
    <row r="5439" spans="13:19" x14ac:dyDescent="0.25">
      <c r="M5439" s="514"/>
      <c r="Q5439" s="293"/>
      <c r="R5439" s="316"/>
      <c r="S5439" s="355"/>
    </row>
    <row r="5440" spans="13:19" x14ac:dyDescent="0.25">
      <c r="M5440" s="514"/>
      <c r="Q5440" s="293"/>
      <c r="R5440" s="316"/>
      <c r="S5440" s="355"/>
    </row>
    <row r="5441" spans="13:19" x14ac:dyDescent="0.25">
      <c r="M5441" s="514"/>
      <c r="Q5441" s="293"/>
      <c r="R5441" s="316"/>
      <c r="S5441" s="355"/>
    </row>
    <row r="5442" spans="13:19" x14ac:dyDescent="0.25">
      <c r="M5442" s="514"/>
      <c r="Q5442" s="293"/>
      <c r="R5442" s="316"/>
      <c r="S5442" s="355"/>
    </row>
    <row r="5443" spans="13:19" x14ac:dyDescent="0.25">
      <c r="M5443" s="514"/>
      <c r="Q5443" s="293"/>
      <c r="R5443" s="316"/>
      <c r="S5443" s="355"/>
    </row>
    <row r="5444" spans="13:19" x14ac:dyDescent="0.25">
      <c r="M5444" s="514"/>
      <c r="Q5444" s="293"/>
      <c r="R5444" s="316"/>
      <c r="S5444" s="355"/>
    </row>
    <row r="5445" spans="13:19" x14ac:dyDescent="0.25">
      <c r="M5445" s="514"/>
      <c r="Q5445" s="293"/>
      <c r="R5445" s="316"/>
      <c r="S5445" s="355"/>
    </row>
    <row r="5446" spans="13:19" x14ac:dyDescent="0.25">
      <c r="M5446" s="514"/>
      <c r="Q5446" s="293"/>
      <c r="R5446" s="316"/>
      <c r="S5446" s="355"/>
    </row>
    <row r="5447" spans="13:19" x14ac:dyDescent="0.25">
      <c r="M5447" s="514"/>
      <c r="Q5447" s="293"/>
      <c r="R5447" s="316"/>
      <c r="S5447" s="355"/>
    </row>
    <row r="5448" spans="13:19" x14ac:dyDescent="0.25">
      <c r="M5448" s="514"/>
      <c r="Q5448" s="293"/>
      <c r="R5448" s="316"/>
      <c r="S5448" s="355"/>
    </row>
    <row r="5449" spans="13:19" x14ac:dyDescent="0.25">
      <c r="M5449" s="514"/>
      <c r="Q5449" s="293"/>
      <c r="R5449" s="316"/>
      <c r="S5449" s="355"/>
    </row>
    <row r="5450" spans="13:19" x14ac:dyDescent="0.25">
      <c r="M5450" s="514"/>
      <c r="Q5450" s="293"/>
      <c r="R5450" s="316"/>
      <c r="S5450" s="355"/>
    </row>
    <row r="5451" spans="13:19" x14ac:dyDescent="0.25">
      <c r="M5451" s="514"/>
      <c r="Q5451" s="293"/>
      <c r="R5451" s="316"/>
      <c r="S5451" s="355"/>
    </row>
    <row r="5452" spans="13:19" x14ac:dyDescent="0.25">
      <c r="M5452" s="514"/>
      <c r="Q5452" s="293"/>
      <c r="R5452" s="316"/>
      <c r="S5452" s="355"/>
    </row>
    <row r="5453" spans="13:19" x14ac:dyDescent="0.25">
      <c r="M5453" s="514"/>
      <c r="Q5453" s="293"/>
      <c r="R5453" s="316"/>
      <c r="S5453" s="355"/>
    </row>
    <row r="5454" spans="13:19" x14ac:dyDescent="0.25">
      <c r="M5454" s="514"/>
      <c r="Q5454" s="293"/>
      <c r="R5454" s="316"/>
      <c r="S5454" s="355"/>
    </row>
    <row r="5455" spans="13:19" x14ac:dyDescent="0.25">
      <c r="M5455" s="514"/>
      <c r="Q5455" s="293"/>
      <c r="R5455" s="316"/>
      <c r="S5455" s="355"/>
    </row>
    <row r="5456" spans="13:19" x14ac:dyDescent="0.25">
      <c r="M5456" s="514"/>
      <c r="Q5456" s="293"/>
      <c r="R5456" s="316"/>
      <c r="S5456" s="355"/>
    </row>
    <row r="5457" spans="13:19" x14ac:dyDescent="0.25">
      <c r="M5457" s="514"/>
      <c r="Q5457" s="293"/>
      <c r="R5457" s="316"/>
      <c r="S5457" s="355"/>
    </row>
    <row r="5458" spans="13:19" x14ac:dyDescent="0.25">
      <c r="M5458" s="514"/>
      <c r="Q5458" s="293"/>
      <c r="R5458" s="316"/>
      <c r="S5458" s="355"/>
    </row>
    <row r="5459" spans="13:19" x14ac:dyDescent="0.25">
      <c r="M5459" s="514"/>
      <c r="Q5459" s="293"/>
      <c r="R5459" s="316"/>
      <c r="S5459" s="355"/>
    </row>
    <row r="5460" spans="13:19" x14ac:dyDescent="0.25">
      <c r="M5460" s="514"/>
      <c r="Q5460" s="293"/>
      <c r="R5460" s="316"/>
      <c r="S5460" s="355"/>
    </row>
    <row r="5461" spans="13:19" x14ac:dyDescent="0.25">
      <c r="M5461" s="514"/>
      <c r="Q5461" s="293"/>
      <c r="R5461" s="316"/>
      <c r="S5461" s="355"/>
    </row>
    <row r="5462" spans="13:19" x14ac:dyDescent="0.25">
      <c r="M5462" s="514"/>
      <c r="Q5462" s="293"/>
      <c r="R5462" s="316"/>
      <c r="S5462" s="355"/>
    </row>
    <row r="5463" spans="13:19" x14ac:dyDescent="0.25">
      <c r="M5463" s="514"/>
      <c r="Q5463" s="293"/>
      <c r="R5463" s="316"/>
      <c r="S5463" s="355"/>
    </row>
    <row r="5464" spans="13:19" x14ac:dyDescent="0.25">
      <c r="M5464" s="514"/>
      <c r="Q5464" s="293"/>
      <c r="R5464" s="316"/>
      <c r="S5464" s="355"/>
    </row>
    <row r="5465" spans="13:19" x14ac:dyDescent="0.25">
      <c r="M5465" s="514"/>
      <c r="Q5465" s="293"/>
      <c r="R5465" s="316"/>
      <c r="S5465" s="355"/>
    </row>
    <row r="5466" spans="13:19" x14ac:dyDescent="0.25">
      <c r="M5466" s="514"/>
      <c r="Q5466" s="293"/>
      <c r="R5466" s="316"/>
      <c r="S5466" s="355"/>
    </row>
    <row r="5467" spans="13:19" x14ac:dyDescent="0.25">
      <c r="M5467" s="514"/>
      <c r="Q5467" s="293"/>
      <c r="R5467" s="316"/>
      <c r="S5467" s="355"/>
    </row>
    <row r="5468" spans="13:19" x14ac:dyDescent="0.25">
      <c r="M5468" s="514"/>
      <c r="Q5468" s="293"/>
      <c r="R5468" s="316"/>
      <c r="S5468" s="355"/>
    </row>
    <row r="5469" spans="13:19" x14ac:dyDescent="0.25">
      <c r="M5469" s="514"/>
      <c r="Q5469" s="293"/>
      <c r="R5469" s="316"/>
      <c r="S5469" s="355"/>
    </row>
    <row r="5470" spans="13:19" x14ac:dyDescent="0.25">
      <c r="M5470" s="514"/>
      <c r="Q5470" s="293"/>
      <c r="R5470" s="316"/>
      <c r="S5470" s="355"/>
    </row>
    <row r="5471" spans="13:19" x14ac:dyDescent="0.25">
      <c r="M5471" s="514"/>
      <c r="Q5471" s="293"/>
      <c r="R5471" s="316"/>
      <c r="S5471" s="355"/>
    </row>
    <row r="5472" spans="13:19" x14ac:dyDescent="0.25">
      <c r="M5472" s="514"/>
      <c r="Q5472" s="293"/>
      <c r="R5472" s="316"/>
      <c r="S5472" s="355"/>
    </row>
    <row r="5473" spans="13:19" x14ac:dyDescent="0.25">
      <c r="M5473" s="514"/>
      <c r="Q5473" s="293"/>
      <c r="R5473" s="316"/>
      <c r="S5473" s="355"/>
    </row>
    <row r="5474" spans="13:19" x14ac:dyDescent="0.25">
      <c r="M5474" s="514"/>
      <c r="Q5474" s="293"/>
      <c r="R5474" s="316"/>
      <c r="S5474" s="355"/>
    </row>
    <row r="5475" spans="13:19" x14ac:dyDescent="0.25">
      <c r="M5475" s="514"/>
      <c r="Q5475" s="293"/>
      <c r="R5475" s="316"/>
      <c r="S5475" s="355"/>
    </row>
    <row r="5476" spans="13:19" x14ac:dyDescent="0.25">
      <c r="M5476" s="514"/>
      <c r="Q5476" s="293"/>
      <c r="R5476" s="316"/>
      <c r="S5476" s="355"/>
    </row>
    <row r="5477" spans="13:19" x14ac:dyDescent="0.25">
      <c r="M5477" s="514"/>
      <c r="Q5477" s="293"/>
      <c r="R5477" s="316"/>
      <c r="S5477" s="355"/>
    </row>
    <row r="5478" spans="13:19" x14ac:dyDescent="0.25">
      <c r="M5478" s="514"/>
      <c r="Q5478" s="293"/>
      <c r="R5478" s="316"/>
      <c r="S5478" s="355"/>
    </row>
    <row r="5479" spans="13:19" x14ac:dyDescent="0.25">
      <c r="M5479" s="514"/>
      <c r="Q5479" s="293"/>
      <c r="R5479" s="316"/>
      <c r="S5479" s="355"/>
    </row>
    <row r="5480" spans="13:19" x14ac:dyDescent="0.25">
      <c r="M5480" s="514"/>
      <c r="Q5480" s="293"/>
      <c r="R5480" s="316"/>
      <c r="S5480" s="355"/>
    </row>
    <row r="5481" spans="13:19" x14ac:dyDescent="0.25">
      <c r="M5481" s="514"/>
      <c r="Q5481" s="293"/>
      <c r="R5481" s="316"/>
      <c r="S5481" s="355"/>
    </row>
    <row r="5482" spans="13:19" x14ac:dyDescent="0.25">
      <c r="M5482" s="514"/>
      <c r="Q5482" s="293"/>
      <c r="R5482" s="316"/>
      <c r="S5482" s="355"/>
    </row>
    <row r="5483" spans="13:19" x14ac:dyDescent="0.25">
      <c r="M5483" s="514"/>
      <c r="Q5483" s="293"/>
      <c r="R5483" s="316"/>
      <c r="S5483" s="355"/>
    </row>
    <row r="5484" spans="13:19" x14ac:dyDescent="0.25">
      <c r="M5484" s="514"/>
      <c r="Q5484" s="293"/>
      <c r="R5484" s="316"/>
      <c r="S5484" s="355"/>
    </row>
    <row r="5485" spans="13:19" x14ac:dyDescent="0.25">
      <c r="M5485" s="514"/>
      <c r="Q5485" s="293"/>
      <c r="R5485" s="316"/>
      <c r="S5485" s="355"/>
    </row>
    <row r="5486" spans="13:19" x14ac:dyDescent="0.25">
      <c r="M5486" s="514"/>
      <c r="Q5486" s="293"/>
      <c r="R5486" s="316"/>
      <c r="S5486" s="355"/>
    </row>
    <row r="5487" spans="13:19" x14ac:dyDescent="0.25">
      <c r="M5487" s="514"/>
      <c r="Q5487" s="293"/>
      <c r="R5487" s="316"/>
      <c r="S5487" s="355"/>
    </row>
    <row r="5488" spans="13:19" x14ac:dyDescent="0.25">
      <c r="M5488" s="514"/>
      <c r="Q5488" s="293"/>
      <c r="R5488" s="316"/>
      <c r="S5488" s="355"/>
    </row>
    <row r="5489" spans="13:19" x14ac:dyDescent="0.25">
      <c r="M5489" s="514"/>
      <c r="Q5489" s="293"/>
      <c r="R5489" s="316"/>
      <c r="S5489" s="355"/>
    </row>
    <row r="5490" spans="13:19" x14ac:dyDescent="0.25">
      <c r="M5490" s="514"/>
      <c r="Q5490" s="293"/>
      <c r="R5490" s="316"/>
      <c r="S5490" s="355"/>
    </row>
    <row r="5491" spans="13:19" x14ac:dyDescent="0.25">
      <c r="M5491" s="514"/>
      <c r="Q5491" s="293"/>
      <c r="R5491" s="316"/>
      <c r="S5491" s="355"/>
    </row>
    <row r="5492" spans="13:19" x14ac:dyDescent="0.25">
      <c r="M5492" s="514"/>
      <c r="Q5492" s="293"/>
      <c r="R5492" s="316"/>
      <c r="S5492" s="355"/>
    </row>
    <row r="5493" spans="13:19" x14ac:dyDescent="0.25">
      <c r="M5493" s="514"/>
      <c r="Q5493" s="293"/>
      <c r="R5493" s="316"/>
      <c r="S5493" s="355"/>
    </row>
    <row r="5494" spans="13:19" x14ac:dyDescent="0.25">
      <c r="M5494" s="514"/>
      <c r="Q5494" s="293"/>
      <c r="R5494" s="316"/>
      <c r="S5494" s="355"/>
    </row>
    <row r="5495" spans="13:19" x14ac:dyDescent="0.25">
      <c r="M5495" s="514"/>
      <c r="Q5495" s="293"/>
      <c r="R5495" s="316"/>
      <c r="S5495" s="355"/>
    </row>
    <row r="5496" spans="13:19" x14ac:dyDescent="0.25">
      <c r="M5496" s="514"/>
      <c r="Q5496" s="293"/>
      <c r="R5496" s="316"/>
      <c r="S5496" s="355"/>
    </row>
    <row r="5497" spans="13:19" x14ac:dyDescent="0.25">
      <c r="M5497" s="514"/>
      <c r="Q5497" s="293"/>
      <c r="R5497" s="316"/>
      <c r="S5497" s="355"/>
    </row>
    <row r="5498" spans="13:19" x14ac:dyDescent="0.25">
      <c r="M5498" s="514"/>
      <c r="Q5498" s="293"/>
      <c r="R5498" s="316"/>
      <c r="S5498" s="355"/>
    </row>
    <row r="5499" spans="13:19" x14ac:dyDescent="0.25">
      <c r="M5499" s="514"/>
      <c r="Q5499" s="293"/>
      <c r="R5499" s="316"/>
      <c r="S5499" s="355"/>
    </row>
    <row r="5500" spans="13:19" x14ac:dyDescent="0.25">
      <c r="M5500" s="514"/>
      <c r="Q5500" s="293"/>
      <c r="R5500" s="316"/>
      <c r="S5500" s="355"/>
    </row>
    <row r="5501" spans="13:19" x14ac:dyDescent="0.25">
      <c r="M5501" s="514"/>
      <c r="Q5501" s="293"/>
      <c r="R5501" s="316"/>
      <c r="S5501" s="355"/>
    </row>
    <row r="5502" spans="13:19" x14ac:dyDescent="0.25">
      <c r="M5502" s="514"/>
      <c r="Q5502" s="293"/>
      <c r="R5502" s="316"/>
      <c r="S5502" s="355"/>
    </row>
    <row r="5503" spans="13:19" x14ac:dyDescent="0.25">
      <c r="M5503" s="514"/>
      <c r="Q5503" s="293"/>
      <c r="R5503" s="316"/>
      <c r="S5503" s="355"/>
    </row>
    <row r="5504" spans="13:19" x14ac:dyDescent="0.25">
      <c r="M5504" s="514"/>
      <c r="Q5504" s="293"/>
      <c r="R5504" s="316"/>
      <c r="S5504" s="355"/>
    </row>
    <row r="5505" spans="13:19" x14ac:dyDescent="0.25">
      <c r="M5505" s="514"/>
      <c r="Q5505" s="293"/>
      <c r="R5505" s="316"/>
      <c r="S5505" s="355"/>
    </row>
    <row r="5506" spans="13:19" x14ac:dyDescent="0.25">
      <c r="M5506" s="514"/>
      <c r="Q5506" s="293"/>
      <c r="R5506" s="316"/>
      <c r="S5506" s="355"/>
    </row>
    <row r="5507" spans="13:19" x14ac:dyDescent="0.25">
      <c r="M5507" s="514"/>
      <c r="Q5507" s="293"/>
      <c r="R5507" s="316"/>
      <c r="S5507" s="355"/>
    </row>
    <row r="5508" spans="13:19" x14ac:dyDescent="0.25">
      <c r="M5508" s="514"/>
      <c r="Q5508" s="293"/>
      <c r="R5508" s="316"/>
      <c r="S5508" s="355"/>
    </row>
    <row r="5509" spans="13:19" x14ac:dyDescent="0.25">
      <c r="M5509" s="514"/>
      <c r="Q5509" s="293"/>
      <c r="R5509" s="316"/>
      <c r="S5509" s="355"/>
    </row>
    <row r="5510" spans="13:19" x14ac:dyDescent="0.25">
      <c r="M5510" s="514"/>
      <c r="Q5510" s="293"/>
      <c r="R5510" s="316"/>
      <c r="S5510" s="355"/>
    </row>
    <row r="5511" spans="13:19" x14ac:dyDescent="0.25">
      <c r="M5511" s="514"/>
      <c r="Q5511" s="293"/>
      <c r="R5511" s="316"/>
      <c r="S5511" s="355"/>
    </row>
    <row r="5512" spans="13:19" x14ac:dyDescent="0.25">
      <c r="M5512" s="514"/>
      <c r="Q5512" s="293"/>
      <c r="R5512" s="316"/>
      <c r="S5512" s="355"/>
    </row>
    <row r="5513" spans="13:19" x14ac:dyDescent="0.25">
      <c r="M5513" s="514"/>
      <c r="Q5513" s="293"/>
      <c r="R5513" s="316"/>
      <c r="S5513" s="355"/>
    </row>
    <row r="5514" spans="13:19" x14ac:dyDescent="0.25">
      <c r="M5514" s="514"/>
      <c r="Q5514" s="293"/>
      <c r="R5514" s="316"/>
      <c r="S5514" s="355"/>
    </row>
    <row r="5515" spans="13:19" x14ac:dyDescent="0.25">
      <c r="M5515" s="514"/>
      <c r="Q5515" s="293"/>
      <c r="R5515" s="316"/>
      <c r="S5515" s="355"/>
    </row>
    <row r="5516" spans="13:19" x14ac:dyDescent="0.25">
      <c r="M5516" s="514"/>
      <c r="Q5516" s="293"/>
      <c r="R5516" s="316"/>
      <c r="S5516" s="355"/>
    </row>
    <row r="5517" spans="13:19" x14ac:dyDescent="0.25">
      <c r="M5517" s="514"/>
      <c r="Q5517" s="293"/>
      <c r="R5517" s="316"/>
      <c r="S5517" s="355"/>
    </row>
    <row r="5518" spans="13:19" x14ac:dyDescent="0.25">
      <c r="M5518" s="514"/>
      <c r="Q5518" s="293"/>
      <c r="R5518" s="316"/>
      <c r="S5518" s="355"/>
    </row>
    <row r="5519" spans="13:19" x14ac:dyDescent="0.25">
      <c r="M5519" s="514"/>
      <c r="Q5519" s="293"/>
      <c r="R5519" s="316"/>
      <c r="S5519" s="355"/>
    </row>
    <row r="5520" spans="13:19" x14ac:dyDescent="0.25">
      <c r="M5520" s="514"/>
      <c r="Q5520" s="293"/>
      <c r="R5520" s="316"/>
      <c r="S5520" s="355"/>
    </row>
    <row r="5521" spans="13:19" x14ac:dyDescent="0.25">
      <c r="M5521" s="514"/>
      <c r="Q5521" s="293"/>
      <c r="R5521" s="316"/>
      <c r="S5521" s="355"/>
    </row>
    <row r="5522" spans="13:19" x14ac:dyDescent="0.25">
      <c r="M5522" s="514"/>
      <c r="Q5522" s="293"/>
      <c r="R5522" s="316"/>
      <c r="S5522" s="355"/>
    </row>
    <row r="5523" spans="13:19" x14ac:dyDescent="0.25">
      <c r="M5523" s="514"/>
      <c r="Q5523" s="293"/>
      <c r="R5523" s="316"/>
      <c r="S5523" s="355"/>
    </row>
    <row r="5524" spans="13:19" x14ac:dyDescent="0.25">
      <c r="M5524" s="514"/>
      <c r="Q5524" s="293"/>
      <c r="R5524" s="316"/>
      <c r="S5524" s="355"/>
    </row>
    <row r="5525" spans="13:19" x14ac:dyDescent="0.25">
      <c r="M5525" s="514"/>
      <c r="Q5525" s="293"/>
      <c r="R5525" s="316"/>
      <c r="S5525" s="355"/>
    </row>
    <row r="5526" spans="13:19" x14ac:dyDescent="0.25">
      <c r="M5526" s="514"/>
      <c r="Q5526" s="293"/>
      <c r="R5526" s="316"/>
      <c r="S5526" s="355"/>
    </row>
    <row r="5527" spans="13:19" x14ac:dyDescent="0.25">
      <c r="M5527" s="514"/>
      <c r="Q5527" s="293"/>
      <c r="R5527" s="316"/>
      <c r="S5527" s="355"/>
    </row>
    <row r="5528" spans="13:19" x14ac:dyDescent="0.25">
      <c r="M5528" s="514"/>
      <c r="Q5528" s="293"/>
      <c r="R5528" s="316"/>
      <c r="S5528" s="355"/>
    </row>
    <row r="5529" spans="13:19" x14ac:dyDescent="0.25">
      <c r="M5529" s="514"/>
      <c r="Q5529" s="293"/>
      <c r="R5529" s="316"/>
      <c r="S5529" s="355"/>
    </row>
    <row r="5530" spans="13:19" x14ac:dyDescent="0.25">
      <c r="M5530" s="514"/>
      <c r="Q5530" s="293"/>
      <c r="R5530" s="316"/>
      <c r="S5530" s="355"/>
    </row>
    <row r="5531" spans="13:19" x14ac:dyDescent="0.25">
      <c r="M5531" s="514"/>
      <c r="Q5531" s="293"/>
      <c r="R5531" s="316"/>
      <c r="S5531" s="355"/>
    </row>
    <row r="5532" spans="13:19" x14ac:dyDescent="0.25">
      <c r="M5532" s="514"/>
      <c r="Q5532" s="293"/>
      <c r="R5532" s="316"/>
      <c r="S5532" s="355"/>
    </row>
    <row r="5533" spans="13:19" x14ac:dyDescent="0.25">
      <c r="M5533" s="514"/>
      <c r="Q5533" s="293"/>
      <c r="R5533" s="316"/>
      <c r="S5533" s="355"/>
    </row>
    <row r="5534" spans="13:19" x14ac:dyDescent="0.25">
      <c r="M5534" s="514"/>
      <c r="Q5534" s="293"/>
      <c r="R5534" s="316"/>
      <c r="S5534" s="355"/>
    </row>
    <row r="5535" spans="13:19" x14ac:dyDescent="0.25">
      <c r="M5535" s="514"/>
      <c r="Q5535" s="293"/>
      <c r="R5535" s="316"/>
      <c r="S5535" s="355"/>
    </row>
    <row r="5536" spans="13:19" x14ac:dyDescent="0.25">
      <c r="M5536" s="514"/>
      <c r="Q5536" s="293"/>
      <c r="R5536" s="316"/>
      <c r="S5536" s="355"/>
    </row>
    <row r="5537" spans="13:19" x14ac:dyDescent="0.25">
      <c r="M5537" s="514"/>
      <c r="Q5537" s="293"/>
      <c r="R5537" s="316"/>
      <c r="S5537" s="355"/>
    </row>
    <row r="5538" spans="13:19" x14ac:dyDescent="0.25">
      <c r="M5538" s="514"/>
      <c r="Q5538" s="293"/>
      <c r="R5538" s="316"/>
      <c r="S5538" s="355"/>
    </row>
    <row r="5539" spans="13:19" x14ac:dyDescent="0.25">
      <c r="M5539" s="514"/>
      <c r="Q5539" s="293"/>
      <c r="R5539" s="316"/>
      <c r="S5539" s="355"/>
    </row>
    <row r="5540" spans="13:19" x14ac:dyDescent="0.25">
      <c r="M5540" s="514"/>
      <c r="Q5540" s="293"/>
      <c r="R5540" s="316"/>
      <c r="S5540" s="355"/>
    </row>
    <row r="5541" spans="13:19" x14ac:dyDescent="0.25">
      <c r="M5541" s="514"/>
      <c r="Q5541" s="293"/>
      <c r="R5541" s="316"/>
      <c r="S5541" s="355"/>
    </row>
    <row r="5542" spans="13:19" x14ac:dyDescent="0.25">
      <c r="M5542" s="514"/>
      <c r="Q5542" s="293"/>
      <c r="R5542" s="316"/>
      <c r="S5542" s="355"/>
    </row>
    <row r="5543" spans="13:19" x14ac:dyDescent="0.25">
      <c r="M5543" s="514"/>
      <c r="Q5543" s="293"/>
      <c r="R5543" s="316"/>
      <c r="S5543" s="355"/>
    </row>
    <row r="5544" spans="13:19" x14ac:dyDescent="0.25">
      <c r="M5544" s="514"/>
      <c r="Q5544" s="293"/>
      <c r="R5544" s="316"/>
      <c r="S5544" s="355"/>
    </row>
    <row r="5545" spans="13:19" x14ac:dyDescent="0.25">
      <c r="M5545" s="514"/>
      <c r="Q5545" s="293"/>
      <c r="R5545" s="316"/>
      <c r="S5545" s="355"/>
    </row>
    <row r="5546" spans="13:19" x14ac:dyDescent="0.25">
      <c r="M5546" s="514"/>
      <c r="Q5546" s="293"/>
      <c r="R5546" s="316"/>
      <c r="S5546" s="355"/>
    </row>
    <row r="5547" spans="13:19" x14ac:dyDescent="0.25">
      <c r="M5547" s="514"/>
      <c r="Q5547" s="293"/>
      <c r="R5547" s="316"/>
      <c r="S5547" s="355"/>
    </row>
    <row r="5548" spans="13:19" x14ac:dyDescent="0.25">
      <c r="M5548" s="514"/>
      <c r="Q5548" s="293"/>
      <c r="R5548" s="316"/>
      <c r="S5548" s="355"/>
    </row>
    <row r="5549" spans="13:19" x14ac:dyDescent="0.25">
      <c r="M5549" s="514"/>
      <c r="Q5549" s="293"/>
      <c r="R5549" s="316"/>
      <c r="S5549" s="355"/>
    </row>
    <row r="5550" spans="13:19" x14ac:dyDescent="0.25">
      <c r="M5550" s="514"/>
      <c r="Q5550" s="293"/>
      <c r="R5550" s="316"/>
      <c r="S5550" s="355"/>
    </row>
    <row r="5551" spans="13:19" x14ac:dyDescent="0.25">
      <c r="M5551" s="514"/>
      <c r="Q5551" s="293"/>
      <c r="R5551" s="316"/>
      <c r="S5551" s="355"/>
    </row>
    <row r="5552" spans="13:19" x14ac:dyDescent="0.25">
      <c r="M5552" s="514"/>
      <c r="Q5552" s="293"/>
      <c r="R5552" s="316"/>
      <c r="S5552" s="355"/>
    </row>
    <row r="5553" spans="13:19" x14ac:dyDescent="0.25">
      <c r="M5553" s="514"/>
      <c r="Q5553" s="293"/>
      <c r="R5553" s="316"/>
      <c r="S5553" s="355"/>
    </row>
    <row r="5554" spans="13:19" x14ac:dyDescent="0.25">
      <c r="M5554" s="514"/>
      <c r="Q5554" s="293"/>
      <c r="R5554" s="316"/>
      <c r="S5554" s="355"/>
    </row>
    <row r="5555" spans="13:19" x14ac:dyDescent="0.25">
      <c r="M5555" s="514"/>
      <c r="Q5555" s="293"/>
      <c r="R5555" s="316"/>
      <c r="S5555" s="355"/>
    </row>
    <row r="5556" spans="13:19" x14ac:dyDescent="0.25">
      <c r="M5556" s="514"/>
      <c r="Q5556" s="293"/>
      <c r="R5556" s="316"/>
      <c r="S5556" s="355"/>
    </row>
    <row r="5557" spans="13:19" x14ac:dyDescent="0.25">
      <c r="M5557" s="514"/>
      <c r="Q5557" s="293"/>
      <c r="R5557" s="316"/>
      <c r="S5557" s="355"/>
    </row>
    <row r="5558" spans="13:19" x14ac:dyDescent="0.25">
      <c r="M5558" s="514"/>
      <c r="Q5558" s="293"/>
      <c r="R5558" s="316"/>
      <c r="S5558" s="355"/>
    </row>
    <row r="5559" spans="13:19" x14ac:dyDescent="0.25">
      <c r="M5559" s="514"/>
      <c r="Q5559" s="293"/>
      <c r="R5559" s="316"/>
      <c r="S5559" s="355"/>
    </row>
    <row r="5560" spans="13:19" x14ac:dyDescent="0.25">
      <c r="M5560" s="514"/>
      <c r="Q5560" s="293"/>
      <c r="R5560" s="316"/>
      <c r="S5560" s="355"/>
    </row>
    <row r="5561" spans="13:19" x14ac:dyDescent="0.25">
      <c r="M5561" s="514"/>
      <c r="Q5561" s="293"/>
      <c r="R5561" s="316"/>
      <c r="S5561" s="355"/>
    </row>
    <row r="5562" spans="13:19" x14ac:dyDescent="0.25">
      <c r="M5562" s="514"/>
      <c r="Q5562" s="293"/>
      <c r="R5562" s="316"/>
      <c r="S5562" s="355"/>
    </row>
    <row r="5563" spans="13:19" x14ac:dyDescent="0.25">
      <c r="M5563" s="514"/>
      <c r="Q5563" s="293"/>
      <c r="R5563" s="316"/>
      <c r="S5563" s="355"/>
    </row>
    <row r="5564" spans="13:19" x14ac:dyDescent="0.25">
      <c r="M5564" s="514"/>
      <c r="Q5564" s="293"/>
      <c r="R5564" s="316"/>
      <c r="S5564" s="355"/>
    </row>
    <row r="5565" spans="13:19" x14ac:dyDescent="0.25">
      <c r="M5565" s="514"/>
      <c r="Q5565" s="293"/>
      <c r="R5565" s="316"/>
      <c r="S5565" s="355"/>
    </row>
    <row r="5566" spans="13:19" x14ac:dyDescent="0.25">
      <c r="M5566" s="514"/>
      <c r="Q5566" s="293"/>
      <c r="R5566" s="316"/>
      <c r="S5566" s="355"/>
    </row>
    <row r="5567" spans="13:19" x14ac:dyDescent="0.25">
      <c r="M5567" s="514"/>
      <c r="Q5567" s="293"/>
      <c r="R5567" s="316"/>
      <c r="S5567" s="355"/>
    </row>
    <row r="5568" spans="13:19" x14ac:dyDescent="0.25">
      <c r="M5568" s="514"/>
      <c r="Q5568" s="293"/>
      <c r="R5568" s="316"/>
      <c r="S5568" s="355"/>
    </row>
    <row r="5569" spans="13:19" x14ac:dyDescent="0.25">
      <c r="M5569" s="514"/>
      <c r="Q5569" s="293"/>
      <c r="R5569" s="316"/>
      <c r="S5569" s="355"/>
    </row>
    <row r="5570" spans="13:19" x14ac:dyDescent="0.25">
      <c r="M5570" s="514"/>
      <c r="Q5570" s="293"/>
      <c r="R5570" s="316"/>
      <c r="S5570" s="355"/>
    </row>
    <row r="5571" spans="13:19" x14ac:dyDescent="0.25">
      <c r="M5571" s="514"/>
      <c r="Q5571" s="293"/>
      <c r="R5571" s="316"/>
      <c r="S5571" s="355"/>
    </row>
    <row r="5572" spans="13:19" x14ac:dyDescent="0.25">
      <c r="M5572" s="514"/>
      <c r="Q5572" s="293"/>
      <c r="R5572" s="316"/>
      <c r="S5572" s="355"/>
    </row>
    <row r="5573" spans="13:19" x14ac:dyDescent="0.25">
      <c r="M5573" s="514"/>
      <c r="Q5573" s="293"/>
      <c r="R5573" s="316"/>
      <c r="S5573" s="355"/>
    </row>
    <row r="5574" spans="13:19" x14ac:dyDescent="0.25">
      <c r="M5574" s="514"/>
      <c r="Q5574" s="293"/>
      <c r="R5574" s="316"/>
      <c r="S5574" s="355"/>
    </row>
    <row r="5575" spans="13:19" x14ac:dyDescent="0.25">
      <c r="M5575" s="514"/>
      <c r="Q5575" s="293"/>
      <c r="R5575" s="316"/>
      <c r="S5575" s="355"/>
    </row>
    <row r="5576" spans="13:19" x14ac:dyDescent="0.25">
      <c r="M5576" s="514"/>
      <c r="Q5576" s="293"/>
      <c r="R5576" s="316"/>
      <c r="S5576" s="355"/>
    </row>
    <row r="5577" spans="13:19" x14ac:dyDescent="0.25">
      <c r="M5577" s="514"/>
      <c r="Q5577" s="293"/>
      <c r="R5577" s="316"/>
      <c r="S5577" s="355"/>
    </row>
    <row r="5578" spans="13:19" x14ac:dyDescent="0.25">
      <c r="M5578" s="514"/>
      <c r="Q5578" s="293"/>
      <c r="R5578" s="316"/>
      <c r="S5578" s="355"/>
    </row>
    <row r="5579" spans="13:19" x14ac:dyDescent="0.25">
      <c r="M5579" s="514"/>
      <c r="Q5579" s="293"/>
      <c r="R5579" s="316"/>
      <c r="S5579" s="355"/>
    </row>
    <row r="5580" spans="13:19" x14ac:dyDescent="0.25">
      <c r="M5580" s="514"/>
      <c r="Q5580" s="293"/>
      <c r="R5580" s="316"/>
      <c r="S5580" s="355"/>
    </row>
    <row r="5581" spans="13:19" x14ac:dyDescent="0.25">
      <c r="M5581" s="514"/>
      <c r="Q5581" s="293"/>
      <c r="R5581" s="316"/>
      <c r="S5581" s="355"/>
    </row>
    <row r="5582" spans="13:19" x14ac:dyDescent="0.25">
      <c r="M5582" s="514"/>
      <c r="Q5582" s="293"/>
      <c r="R5582" s="316"/>
      <c r="S5582" s="355"/>
    </row>
    <row r="5583" spans="13:19" x14ac:dyDescent="0.25">
      <c r="M5583" s="514"/>
      <c r="Q5583" s="293"/>
      <c r="R5583" s="316"/>
      <c r="S5583" s="355"/>
    </row>
    <row r="5584" spans="13:19" x14ac:dyDescent="0.25">
      <c r="M5584" s="514"/>
      <c r="Q5584" s="293"/>
      <c r="R5584" s="316"/>
      <c r="S5584" s="355"/>
    </row>
    <row r="5585" spans="13:19" x14ac:dyDescent="0.25">
      <c r="M5585" s="514"/>
      <c r="Q5585" s="293"/>
      <c r="R5585" s="316"/>
      <c r="S5585" s="355"/>
    </row>
    <row r="5586" spans="13:19" x14ac:dyDescent="0.25">
      <c r="M5586" s="514"/>
      <c r="Q5586" s="293"/>
      <c r="R5586" s="316"/>
      <c r="S5586" s="355"/>
    </row>
    <row r="5587" spans="13:19" x14ac:dyDescent="0.25">
      <c r="M5587" s="514"/>
      <c r="Q5587" s="293"/>
      <c r="R5587" s="316"/>
      <c r="S5587" s="355"/>
    </row>
    <row r="5588" spans="13:19" x14ac:dyDescent="0.25">
      <c r="M5588" s="514"/>
      <c r="Q5588" s="293"/>
      <c r="R5588" s="316"/>
      <c r="S5588" s="355"/>
    </row>
    <row r="5589" spans="13:19" x14ac:dyDescent="0.25">
      <c r="M5589" s="514"/>
      <c r="Q5589" s="293"/>
      <c r="R5589" s="316"/>
      <c r="S5589" s="355"/>
    </row>
    <row r="5590" spans="13:19" x14ac:dyDescent="0.25">
      <c r="M5590" s="514"/>
      <c r="Q5590" s="293"/>
      <c r="R5590" s="316"/>
      <c r="S5590" s="355"/>
    </row>
    <row r="5591" spans="13:19" x14ac:dyDescent="0.25">
      <c r="M5591" s="514"/>
      <c r="Q5591" s="293"/>
      <c r="R5591" s="316"/>
      <c r="S5591" s="355"/>
    </row>
    <row r="5592" spans="13:19" x14ac:dyDescent="0.25">
      <c r="M5592" s="514"/>
      <c r="Q5592" s="293"/>
      <c r="R5592" s="316"/>
      <c r="S5592" s="355"/>
    </row>
    <row r="5593" spans="13:19" x14ac:dyDescent="0.25">
      <c r="M5593" s="514"/>
      <c r="Q5593" s="293"/>
      <c r="R5593" s="316"/>
      <c r="S5593" s="355"/>
    </row>
    <row r="5594" spans="13:19" x14ac:dyDescent="0.25">
      <c r="M5594" s="514"/>
      <c r="Q5594" s="293"/>
      <c r="R5594" s="316"/>
      <c r="S5594" s="355"/>
    </row>
    <row r="5595" spans="13:19" x14ac:dyDescent="0.25">
      <c r="M5595" s="514"/>
      <c r="Q5595" s="293"/>
      <c r="R5595" s="316"/>
      <c r="S5595" s="355"/>
    </row>
    <row r="5596" spans="13:19" x14ac:dyDescent="0.25">
      <c r="M5596" s="514"/>
      <c r="Q5596" s="293"/>
      <c r="R5596" s="316"/>
      <c r="S5596" s="355"/>
    </row>
    <row r="5597" spans="13:19" x14ac:dyDescent="0.25">
      <c r="M5597" s="514"/>
      <c r="Q5597" s="293"/>
      <c r="R5597" s="316"/>
      <c r="S5597" s="355"/>
    </row>
    <row r="5598" spans="13:19" x14ac:dyDescent="0.25">
      <c r="M5598" s="514"/>
      <c r="Q5598" s="293"/>
      <c r="R5598" s="316"/>
      <c r="S5598" s="355"/>
    </row>
    <row r="5599" spans="13:19" x14ac:dyDescent="0.25">
      <c r="M5599" s="514"/>
      <c r="Q5599" s="293"/>
      <c r="R5599" s="316"/>
      <c r="S5599" s="355"/>
    </row>
    <row r="5600" spans="13:19" x14ac:dyDescent="0.25">
      <c r="M5600" s="514"/>
      <c r="Q5600" s="293"/>
      <c r="R5600" s="316"/>
      <c r="S5600" s="355"/>
    </row>
    <row r="5601" spans="13:19" x14ac:dyDescent="0.25">
      <c r="M5601" s="514"/>
      <c r="Q5601" s="293"/>
      <c r="R5601" s="316"/>
      <c r="S5601" s="355"/>
    </row>
    <row r="5602" spans="13:19" x14ac:dyDescent="0.25">
      <c r="M5602" s="514"/>
      <c r="Q5602" s="293"/>
      <c r="R5602" s="316"/>
      <c r="S5602" s="355"/>
    </row>
    <row r="5603" spans="13:19" x14ac:dyDescent="0.25">
      <c r="M5603" s="514"/>
      <c r="Q5603" s="293"/>
      <c r="R5603" s="316"/>
      <c r="S5603" s="355"/>
    </row>
    <row r="5604" spans="13:19" x14ac:dyDescent="0.25">
      <c r="M5604" s="514"/>
      <c r="Q5604" s="293"/>
      <c r="R5604" s="316"/>
      <c r="S5604" s="355"/>
    </row>
    <row r="5605" spans="13:19" x14ac:dyDescent="0.25">
      <c r="M5605" s="514"/>
      <c r="Q5605" s="293"/>
      <c r="R5605" s="316"/>
      <c r="S5605" s="355"/>
    </row>
    <row r="5606" spans="13:19" x14ac:dyDescent="0.25">
      <c r="M5606" s="514"/>
      <c r="Q5606" s="293"/>
      <c r="R5606" s="316"/>
      <c r="S5606" s="355"/>
    </row>
    <row r="5607" spans="13:19" x14ac:dyDescent="0.25">
      <c r="M5607" s="514"/>
      <c r="Q5607" s="293"/>
      <c r="R5607" s="316"/>
      <c r="S5607" s="355"/>
    </row>
    <row r="5608" spans="13:19" x14ac:dyDescent="0.25">
      <c r="M5608" s="514"/>
      <c r="Q5608" s="293"/>
      <c r="R5608" s="316"/>
      <c r="S5608" s="355"/>
    </row>
    <row r="5609" spans="13:19" x14ac:dyDescent="0.25">
      <c r="M5609" s="514"/>
      <c r="Q5609" s="293"/>
      <c r="R5609" s="316"/>
      <c r="S5609" s="355"/>
    </row>
    <row r="5610" spans="13:19" x14ac:dyDescent="0.25">
      <c r="M5610" s="514"/>
      <c r="Q5610" s="293"/>
      <c r="R5610" s="316"/>
      <c r="S5610" s="355"/>
    </row>
    <row r="5611" spans="13:19" x14ac:dyDescent="0.25">
      <c r="M5611" s="514"/>
      <c r="Q5611" s="293"/>
      <c r="R5611" s="316"/>
      <c r="S5611" s="355"/>
    </row>
    <row r="5612" spans="13:19" x14ac:dyDescent="0.25">
      <c r="M5612" s="514"/>
      <c r="Q5612" s="293"/>
      <c r="R5612" s="316"/>
      <c r="S5612" s="355"/>
    </row>
    <row r="5613" spans="13:19" x14ac:dyDescent="0.25">
      <c r="M5613" s="514"/>
      <c r="Q5613" s="293"/>
      <c r="R5613" s="316"/>
      <c r="S5613" s="355"/>
    </row>
    <row r="5614" spans="13:19" x14ac:dyDescent="0.25">
      <c r="M5614" s="514"/>
      <c r="Q5614" s="293"/>
      <c r="R5614" s="316"/>
      <c r="S5614" s="355"/>
    </row>
    <row r="5615" spans="13:19" x14ac:dyDescent="0.25">
      <c r="M5615" s="514"/>
      <c r="Q5615" s="293"/>
      <c r="R5615" s="316"/>
      <c r="S5615" s="355"/>
    </row>
    <row r="5616" spans="13:19" x14ac:dyDescent="0.25">
      <c r="M5616" s="514"/>
      <c r="Q5616" s="293"/>
      <c r="R5616" s="316"/>
      <c r="S5616" s="355"/>
    </row>
    <row r="5617" spans="13:19" x14ac:dyDescent="0.25">
      <c r="M5617" s="514"/>
      <c r="Q5617" s="293"/>
      <c r="R5617" s="316"/>
      <c r="S5617" s="355"/>
    </row>
    <row r="5618" spans="13:19" x14ac:dyDescent="0.25">
      <c r="M5618" s="514"/>
      <c r="Q5618" s="293"/>
      <c r="R5618" s="316"/>
      <c r="S5618" s="355"/>
    </row>
    <row r="5619" spans="13:19" x14ac:dyDescent="0.25">
      <c r="M5619" s="514"/>
      <c r="Q5619" s="293"/>
      <c r="R5619" s="316"/>
      <c r="S5619" s="355"/>
    </row>
    <row r="5620" spans="13:19" x14ac:dyDescent="0.25">
      <c r="M5620" s="514"/>
      <c r="Q5620" s="293"/>
      <c r="R5620" s="316"/>
      <c r="S5620" s="355"/>
    </row>
    <row r="5621" spans="13:19" x14ac:dyDescent="0.25">
      <c r="M5621" s="514"/>
      <c r="Q5621" s="293"/>
      <c r="R5621" s="316"/>
      <c r="S5621" s="355"/>
    </row>
    <row r="5622" spans="13:19" x14ac:dyDescent="0.25">
      <c r="M5622" s="514"/>
      <c r="Q5622" s="293"/>
      <c r="R5622" s="316"/>
      <c r="S5622" s="355"/>
    </row>
    <row r="5623" spans="13:19" x14ac:dyDescent="0.25">
      <c r="M5623" s="514"/>
      <c r="Q5623" s="293"/>
      <c r="R5623" s="316"/>
      <c r="S5623" s="355"/>
    </row>
    <row r="5624" spans="13:19" x14ac:dyDescent="0.25">
      <c r="M5624" s="514"/>
      <c r="Q5624" s="293"/>
      <c r="R5624" s="316"/>
      <c r="S5624" s="355"/>
    </row>
    <row r="5625" spans="13:19" x14ac:dyDescent="0.25">
      <c r="M5625" s="514"/>
      <c r="Q5625" s="293"/>
      <c r="R5625" s="316"/>
      <c r="S5625" s="355"/>
    </row>
    <row r="5626" spans="13:19" x14ac:dyDescent="0.25">
      <c r="M5626" s="514"/>
      <c r="Q5626" s="293"/>
      <c r="R5626" s="316"/>
      <c r="S5626" s="355"/>
    </row>
    <row r="5627" spans="13:19" x14ac:dyDescent="0.25">
      <c r="M5627" s="514"/>
      <c r="Q5627" s="293"/>
      <c r="R5627" s="316"/>
      <c r="S5627" s="355"/>
    </row>
    <row r="5628" spans="13:19" x14ac:dyDescent="0.25">
      <c r="M5628" s="514"/>
      <c r="Q5628" s="293"/>
      <c r="R5628" s="316"/>
      <c r="S5628" s="355"/>
    </row>
    <row r="5629" spans="13:19" x14ac:dyDescent="0.25">
      <c r="M5629" s="514"/>
      <c r="Q5629" s="293"/>
      <c r="R5629" s="316"/>
      <c r="S5629" s="355"/>
    </row>
    <row r="5630" spans="13:19" x14ac:dyDescent="0.25">
      <c r="M5630" s="514"/>
      <c r="Q5630" s="293"/>
      <c r="R5630" s="316"/>
      <c r="S5630" s="355"/>
    </row>
    <row r="5631" spans="13:19" x14ac:dyDescent="0.25">
      <c r="M5631" s="514"/>
      <c r="Q5631" s="293"/>
      <c r="R5631" s="316"/>
      <c r="S5631" s="355"/>
    </row>
    <row r="5632" spans="13:19" x14ac:dyDescent="0.25">
      <c r="M5632" s="514"/>
      <c r="Q5632" s="293"/>
      <c r="R5632" s="316"/>
      <c r="S5632" s="355"/>
    </row>
    <row r="5633" spans="13:19" x14ac:dyDescent="0.25">
      <c r="M5633" s="514"/>
      <c r="Q5633" s="293"/>
      <c r="R5633" s="316"/>
      <c r="S5633" s="355"/>
    </row>
    <row r="5634" spans="13:19" x14ac:dyDescent="0.25">
      <c r="M5634" s="514"/>
      <c r="Q5634" s="293"/>
      <c r="R5634" s="316"/>
      <c r="S5634" s="355"/>
    </row>
    <row r="5635" spans="13:19" x14ac:dyDescent="0.25">
      <c r="M5635" s="514"/>
      <c r="Q5635" s="293"/>
      <c r="R5635" s="316"/>
      <c r="S5635" s="355"/>
    </row>
    <row r="5636" spans="13:19" x14ac:dyDescent="0.25">
      <c r="M5636" s="514"/>
      <c r="Q5636" s="293"/>
      <c r="R5636" s="316"/>
      <c r="S5636" s="355"/>
    </row>
    <row r="5637" spans="13:19" x14ac:dyDescent="0.25">
      <c r="M5637" s="514"/>
      <c r="Q5637" s="293"/>
      <c r="R5637" s="316"/>
      <c r="S5637" s="355"/>
    </row>
    <row r="5638" spans="13:19" x14ac:dyDescent="0.25">
      <c r="M5638" s="514"/>
      <c r="Q5638" s="293"/>
      <c r="R5638" s="316"/>
      <c r="S5638" s="355"/>
    </row>
    <row r="5639" spans="13:19" x14ac:dyDescent="0.25">
      <c r="M5639" s="514"/>
      <c r="Q5639" s="293"/>
      <c r="R5639" s="316"/>
      <c r="S5639" s="355"/>
    </row>
    <row r="5640" spans="13:19" x14ac:dyDescent="0.25">
      <c r="M5640" s="514"/>
      <c r="Q5640" s="293"/>
      <c r="R5640" s="316"/>
      <c r="S5640" s="355"/>
    </row>
    <row r="5641" spans="13:19" x14ac:dyDescent="0.25">
      <c r="M5641" s="514"/>
      <c r="Q5641" s="293"/>
      <c r="R5641" s="316"/>
      <c r="S5641" s="355"/>
    </row>
    <row r="5642" spans="13:19" x14ac:dyDescent="0.25">
      <c r="M5642" s="514"/>
      <c r="Q5642" s="293"/>
      <c r="R5642" s="316"/>
      <c r="S5642" s="355"/>
    </row>
    <row r="5643" spans="13:19" x14ac:dyDescent="0.25">
      <c r="M5643" s="514"/>
      <c r="Q5643" s="293"/>
      <c r="R5643" s="316"/>
      <c r="S5643" s="355"/>
    </row>
    <row r="5644" spans="13:19" x14ac:dyDescent="0.25">
      <c r="M5644" s="514"/>
      <c r="Q5644" s="293"/>
      <c r="R5644" s="316"/>
      <c r="S5644" s="355"/>
    </row>
    <row r="5645" spans="13:19" x14ac:dyDescent="0.25">
      <c r="M5645" s="514"/>
      <c r="Q5645" s="293"/>
      <c r="R5645" s="316"/>
      <c r="S5645" s="355"/>
    </row>
    <row r="5646" spans="13:19" x14ac:dyDescent="0.25">
      <c r="M5646" s="514"/>
      <c r="Q5646" s="293"/>
      <c r="R5646" s="316"/>
      <c r="S5646" s="355"/>
    </row>
    <row r="5647" spans="13:19" x14ac:dyDescent="0.25">
      <c r="M5647" s="514"/>
      <c r="Q5647" s="293"/>
      <c r="R5647" s="316"/>
      <c r="S5647" s="355"/>
    </row>
    <row r="5648" spans="13:19" x14ac:dyDescent="0.25">
      <c r="M5648" s="514"/>
      <c r="Q5648" s="293"/>
      <c r="R5648" s="316"/>
      <c r="S5648" s="355"/>
    </row>
    <row r="5649" spans="13:19" x14ac:dyDescent="0.25">
      <c r="M5649" s="514"/>
      <c r="Q5649" s="293"/>
      <c r="R5649" s="316"/>
      <c r="S5649" s="355"/>
    </row>
    <row r="5650" spans="13:19" x14ac:dyDescent="0.25">
      <c r="M5650" s="514"/>
      <c r="Q5650" s="293"/>
      <c r="R5650" s="316"/>
      <c r="S5650" s="355"/>
    </row>
    <row r="5651" spans="13:19" x14ac:dyDescent="0.25">
      <c r="M5651" s="514"/>
      <c r="Q5651" s="293"/>
      <c r="R5651" s="316"/>
      <c r="S5651" s="355"/>
    </row>
    <row r="5652" spans="13:19" x14ac:dyDescent="0.25">
      <c r="M5652" s="514"/>
      <c r="Q5652" s="293"/>
      <c r="R5652" s="316"/>
      <c r="S5652" s="355"/>
    </row>
    <row r="5653" spans="13:19" x14ac:dyDescent="0.25">
      <c r="M5653" s="514"/>
      <c r="Q5653" s="293"/>
      <c r="R5653" s="316"/>
      <c r="S5653" s="355"/>
    </row>
    <row r="5654" spans="13:19" x14ac:dyDescent="0.25">
      <c r="M5654" s="514"/>
      <c r="Q5654" s="293"/>
      <c r="R5654" s="316"/>
      <c r="S5654" s="355"/>
    </row>
    <row r="5655" spans="13:19" x14ac:dyDescent="0.25">
      <c r="M5655" s="514"/>
      <c r="Q5655" s="293"/>
      <c r="R5655" s="316"/>
      <c r="S5655" s="355"/>
    </row>
    <row r="5656" spans="13:19" x14ac:dyDescent="0.25">
      <c r="M5656" s="514"/>
      <c r="Q5656" s="293"/>
      <c r="R5656" s="316"/>
      <c r="S5656" s="355"/>
    </row>
    <row r="5657" spans="13:19" x14ac:dyDescent="0.25">
      <c r="M5657" s="514"/>
      <c r="Q5657" s="293"/>
      <c r="R5657" s="316"/>
      <c r="S5657" s="355"/>
    </row>
    <row r="5658" spans="13:19" x14ac:dyDescent="0.25">
      <c r="M5658" s="514"/>
      <c r="Q5658" s="293"/>
      <c r="R5658" s="316"/>
      <c r="S5658" s="355"/>
    </row>
    <row r="5659" spans="13:19" x14ac:dyDescent="0.25">
      <c r="M5659" s="514"/>
      <c r="Q5659" s="293"/>
      <c r="R5659" s="316"/>
      <c r="S5659" s="355"/>
    </row>
    <row r="5660" spans="13:19" x14ac:dyDescent="0.25">
      <c r="M5660" s="514"/>
      <c r="Q5660" s="293"/>
      <c r="R5660" s="316"/>
      <c r="S5660" s="355"/>
    </row>
    <row r="5661" spans="13:19" x14ac:dyDescent="0.25">
      <c r="M5661" s="514"/>
      <c r="Q5661" s="293"/>
      <c r="R5661" s="316"/>
      <c r="S5661" s="355"/>
    </row>
    <row r="5662" spans="13:19" x14ac:dyDescent="0.25">
      <c r="M5662" s="514"/>
      <c r="Q5662" s="293"/>
      <c r="R5662" s="316"/>
      <c r="S5662" s="355"/>
    </row>
    <row r="5663" spans="13:19" x14ac:dyDescent="0.25">
      <c r="M5663" s="514"/>
      <c r="Q5663" s="293"/>
      <c r="R5663" s="316"/>
      <c r="S5663" s="355"/>
    </row>
    <row r="5664" spans="13:19" x14ac:dyDescent="0.25">
      <c r="M5664" s="514"/>
      <c r="Q5664" s="293"/>
      <c r="R5664" s="316"/>
      <c r="S5664" s="355"/>
    </row>
    <row r="5665" spans="13:19" x14ac:dyDescent="0.25">
      <c r="M5665" s="514"/>
      <c r="Q5665" s="293"/>
      <c r="R5665" s="316"/>
      <c r="S5665" s="355"/>
    </row>
    <row r="5666" spans="13:19" x14ac:dyDescent="0.25">
      <c r="M5666" s="514"/>
      <c r="Q5666" s="293"/>
      <c r="R5666" s="316"/>
      <c r="S5666" s="355"/>
    </row>
    <row r="5667" spans="13:19" x14ac:dyDescent="0.25">
      <c r="M5667" s="514"/>
      <c r="Q5667" s="293"/>
      <c r="R5667" s="316"/>
      <c r="S5667" s="355"/>
    </row>
    <row r="5668" spans="13:19" x14ac:dyDescent="0.25">
      <c r="M5668" s="514"/>
      <c r="Q5668" s="293"/>
      <c r="R5668" s="316"/>
      <c r="S5668" s="355"/>
    </row>
    <row r="5669" spans="13:19" x14ac:dyDescent="0.25">
      <c r="M5669" s="514"/>
      <c r="Q5669" s="293"/>
      <c r="R5669" s="316"/>
      <c r="S5669" s="355"/>
    </row>
    <row r="5670" spans="13:19" x14ac:dyDescent="0.25">
      <c r="M5670" s="514"/>
      <c r="Q5670" s="293"/>
      <c r="R5670" s="316"/>
      <c r="S5670" s="355"/>
    </row>
    <row r="5671" spans="13:19" x14ac:dyDescent="0.25">
      <c r="M5671" s="514"/>
      <c r="Q5671" s="293"/>
      <c r="R5671" s="316"/>
      <c r="S5671" s="355"/>
    </row>
    <row r="5672" spans="13:19" x14ac:dyDescent="0.25">
      <c r="M5672" s="514"/>
      <c r="Q5672" s="293"/>
      <c r="R5672" s="316"/>
      <c r="S5672" s="355"/>
    </row>
    <row r="5673" spans="13:19" x14ac:dyDescent="0.25">
      <c r="M5673" s="514"/>
      <c r="Q5673" s="293"/>
      <c r="R5673" s="316"/>
      <c r="S5673" s="355"/>
    </row>
    <row r="5674" spans="13:19" x14ac:dyDescent="0.25">
      <c r="M5674" s="514"/>
      <c r="Q5674" s="293"/>
      <c r="R5674" s="316"/>
      <c r="S5674" s="355"/>
    </row>
    <row r="5675" spans="13:19" x14ac:dyDescent="0.25">
      <c r="M5675" s="514"/>
      <c r="Q5675" s="293"/>
      <c r="R5675" s="316"/>
      <c r="S5675" s="355"/>
    </row>
    <row r="5676" spans="13:19" x14ac:dyDescent="0.25">
      <c r="M5676" s="514"/>
      <c r="Q5676" s="293"/>
      <c r="R5676" s="316"/>
      <c r="S5676" s="355"/>
    </row>
    <row r="5677" spans="13:19" x14ac:dyDescent="0.25">
      <c r="M5677" s="514"/>
      <c r="Q5677" s="293"/>
      <c r="R5677" s="316"/>
      <c r="S5677" s="355"/>
    </row>
    <row r="5678" spans="13:19" x14ac:dyDescent="0.25">
      <c r="M5678" s="514"/>
      <c r="Q5678" s="293"/>
      <c r="R5678" s="316"/>
      <c r="S5678" s="355"/>
    </row>
    <row r="5679" spans="13:19" x14ac:dyDescent="0.25">
      <c r="M5679" s="514"/>
      <c r="Q5679" s="293"/>
      <c r="R5679" s="316"/>
      <c r="S5679" s="355"/>
    </row>
    <row r="5680" spans="13:19" x14ac:dyDescent="0.25">
      <c r="M5680" s="514"/>
      <c r="Q5680" s="293"/>
      <c r="R5680" s="316"/>
      <c r="S5680" s="355"/>
    </row>
    <row r="5681" spans="13:19" x14ac:dyDescent="0.25">
      <c r="M5681" s="514"/>
      <c r="Q5681" s="293"/>
      <c r="R5681" s="316"/>
      <c r="S5681" s="355"/>
    </row>
    <row r="5682" spans="13:19" x14ac:dyDescent="0.25">
      <c r="M5682" s="514"/>
      <c r="Q5682" s="293"/>
      <c r="R5682" s="316"/>
      <c r="S5682" s="355"/>
    </row>
    <row r="5683" spans="13:19" x14ac:dyDescent="0.25">
      <c r="M5683" s="514"/>
      <c r="Q5683" s="293"/>
      <c r="R5683" s="316"/>
      <c r="S5683" s="355"/>
    </row>
    <row r="5684" spans="13:19" x14ac:dyDescent="0.25">
      <c r="M5684" s="514"/>
      <c r="Q5684" s="293"/>
      <c r="R5684" s="316"/>
      <c r="S5684" s="355"/>
    </row>
    <row r="5685" spans="13:19" x14ac:dyDescent="0.25">
      <c r="M5685" s="514"/>
      <c r="Q5685" s="293"/>
      <c r="R5685" s="316"/>
      <c r="S5685" s="355"/>
    </row>
    <row r="5686" spans="13:19" x14ac:dyDescent="0.25">
      <c r="M5686" s="514"/>
      <c r="Q5686" s="293"/>
      <c r="R5686" s="316"/>
      <c r="S5686" s="355"/>
    </row>
    <row r="5687" spans="13:19" x14ac:dyDescent="0.25">
      <c r="M5687" s="514"/>
      <c r="Q5687" s="293"/>
      <c r="R5687" s="316"/>
      <c r="S5687" s="355"/>
    </row>
    <row r="5688" spans="13:19" x14ac:dyDescent="0.25">
      <c r="M5688" s="514"/>
      <c r="Q5688" s="293"/>
      <c r="R5688" s="316"/>
      <c r="S5688" s="355"/>
    </row>
    <row r="5689" spans="13:19" x14ac:dyDescent="0.25">
      <c r="M5689" s="514"/>
      <c r="Q5689" s="293"/>
      <c r="R5689" s="316"/>
      <c r="S5689" s="355"/>
    </row>
    <row r="5690" spans="13:19" x14ac:dyDescent="0.25">
      <c r="M5690" s="514"/>
      <c r="Q5690" s="293"/>
      <c r="R5690" s="316"/>
      <c r="S5690" s="355"/>
    </row>
    <row r="5691" spans="13:19" x14ac:dyDescent="0.25">
      <c r="M5691" s="514"/>
      <c r="Q5691" s="293"/>
      <c r="R5691" s="316"/>
      <c r="S5691" s="355"/>
    </row>
    <row r="5692" spans="13:19" x14ac:dyDescent="0.25">
      <c r="M5692" s="514"/>
      <c r="Q5692" s="293"/>
      <c r="R5692" s="316"/>
      <c r="S5692" s="355"/>
    </row>
    <row r="5693" spans="13:19" x14ac:dyDescent="0.25">
      <c r="M5693" s="514"/>
      <c r="Q5693" s="293"/>
      <c r="R5693" s="316"/>
      <c r="S5693" s="355"/>
    </row>
    <row r="5694" spans="13:19" x14ac:dyDescent="0.25">
      <c r="M5694" s="514"/>
      <c r="Q5694" s="293"/>
      <c r="R5694" s="316"/>
      <c r="S5694" s="355"/>
    </row>
    <row r="5695" spans="13:19" x14ac:dyDescent="0.25">
      <c r="M5695" s="514"/>
      <c r="Q5695" s="293"/>
      <c r="R5695" s="316"/>
      <c r="S5695" s="355"/>
    </row>
    <row r="5696" spans="13:19" x14ac:dyDescent="0.25">
      <c r="M5696" s="514"/>
      <c r="Q5696" s="293"/>
      <c r="R5696" s="316"/>
      <c r="S5696" s="355"/>
    </row>
    <row r="5697" spans="13:19" x14ac:dyDescent="0.25">
      <c r="M5697" s="514"/>
      <c r="Q5697" s="293"/>
      <c r="R5697" s="316"/>
      <c r="S5697" s="355"/>
    </row>
    <row r="5698" spans="13:19" x14ac:dyDescent="0.25">
      <c r="M5698" s="514"/>
      <c r="Q5698" s="293"/>
      <c r="R5698" s="316"/>
      <c r="S5698" s="355"/>
    </row>
    <row r="5699" spans="13:19" x14ac:dyDescent="0.25">
      <c r="M5699" s="514"/>
      <c r="Q5699" s="293"/>
      <c r="R5699" s="316"/>
      <c r="S5699" s="355"/>
    </row>
    <row r="5700" spans="13:19" x14ac:dyDescent="0.25">
      <c r="M5700" s="514"/>
      <c r="Q5700" s="293"/>
      <c r="R5700" s="316"/>
      <c r="S5700" s="355"/>
    </row>
    <row r="5701" spans="13:19" x14ac:dyDescent="0.25">
      <c r="M5701" s="514"/>
      <c r="Q5701" s="293"/>
      <c r="R5701" s="316"/>
      <c r="S5701" s="355"/>
    </row>
    <row r="5702" spans="13:19" x14ac:dyDescent="0.25">
      <c r="M5702" s="514"/>
      <c r="Q5702" s="293"/>
      <c r="R5702" s="316"/>
      <c r="S5702" s="355"/>
    </row>
    <row r="5703" spans="13:19" x14ac:dyDescent="0.25">
      <c r="M5703" s="514"/>
      <c r="Q5703" s="293"/>
      <c r="R5703" s="316"/>
      <c r="S5703" s="355"/>
    </row>
    <row r="5704" spans="13:19" x14ac:dyDescent="0.25">
      <c r="M5704" s="514"/>
      <c r="Q5704" s="293"/>
      <c r="R5704" s="316"/>
      <c r="S5704" s="355"/>
    </row>
    <row r="5705" spans="13:19" x14ac:dyDescent="0.25">
      <c r="M5705" s="514"/>
      <c r="Q5705" s="293"/>
      <c r="R5705" s="316"/>
      <c r="S5705" s="355"/>
    </row>
    <row r="5706" spans="13:19" x14ac:dyDescent="0.25">
      <c r="M5706" s="514"/>
      <c r="Q5706" s="293"/>
      <c r="R5706" s="316"/>
      <c r="S5706" s="355"/>
    </row>
    <row r="5707" spans="13:19" x14ac:dyDescent="0.25">
      <c r="M5707" s="514"/>
      <c r="Q5707" s="293"/>
      <c r="R5707" s="316"/>
      <c r="S5707" s="355"/>
    </row>
    <row r="5708" spans="13:19" x14ac:dyDescent="0.25">
      <c r="M5708" s="514"/>
      <c r="Q5708" s="293"/>
      <c r="R5708" s="316"/>
      <c r="S5708" s="355"/>
    </row>
    <row r="5709" spans="13:19" x14ac:dyDescent="0.25">
      <c r="M5709" s="514"/>
      <c r="Q5709" s="293"/>
      <c r="R5709" s="316"/>
      <c r="S5709" s="355"/>
    </row>
    <row r="5710" spans="13:19" x14ac:dyDescent="0.25">
      <c r="M5710" s="514"/>
      <c r="Q5710" s="293"/>
      <c r="R5710" s="316"/>
      <c r="S5710" s="355"/>
    </row>
    <row r="5711" spans="13:19" x14ac:dyDescent="0.25">
      <c r="M5711" s="514"/>
      <c r="Q5711" s="293"/>
      <c r="R5711" s="316"/>
      <c r="S5711" s="355"/>
    </row>
    <row r="5712" spans="13:19" x14ac:dyDescent="0.25">
      <c r="M5712" s="514"/>
      <c r="Q5712" s="293"/>
      <c r="R5712" s="316"/>
      <c r="S5712" s="355"/>
    </row>
    <row r="5713" spans="13:19" x14ac:dyDescent="0.25">
      <c r="M5713" s="514"/>
      <c r="Q5713" s="293"/>
      <c r="R5713" s="316"/>
      <c r="S5713" s="355"/>
    </row>
    <row r="5714" spans="13:19" x14ac:dyDescent="0.25">
      <c r="M5714" s="514"/>
      <c r="Q5714" s="293"/>
      <c r="R5714" s="316"/>
      <c r="S5714" s="355"/>
    </row>
    <row r="5715" spans="13:19" x14ac:dyDescent="0.25">
      <c r="M5715" s="514"/>
      <c r="Q5715" s="293"/>
      <c r="R5715" s="316"/>
      <c r="S5715" s="355"/>
    </row>
    <row r="5716" spans="13:19" x14ac:dyDescent="0.25">
      <c r="M5716" s="514"/>
      <c r="Q5716" s="293"/>
      <c r="R5716" s="316"/>
      <c r="S5716" s="355"/>
    </row>
    <row r="5717" spans="13:19" x14ac:dyDescent="0.25">
      <c r="M5717" s="514"/>
      <c r="Q5717" s="293"/>
      <c r="R5717" s="316"/>
      <c r="S5717" s="355"/>
    </row>
    <row r="5718" spans="13:19" x14ac:dyDescent="0.25">
      <c r="M5718" s="514"/>
      <c r="Q5718" s="293"/>
      <c r="R5718" s="316"/>
      <c r="S5718" s="355"/>
    </row>
    <row r="5719" spans="13:19" x14ac:dyDescent="0.25">
      <c r="M5719" s="514"/>
      <c r="Q5719" s="293"/>
      <c r="R5719" s="316"/>
      <c r="S5719" s="355"/>
    </row>
    <row r="5720" spans="13:19" x14ac:dyDescent="0.25">
      <c r="M5720" s="514"/>
      <c r="Q5720" s="293"/>
      <c r="R5720" s="316"/>
      <c r="S5720" s="355"/>
    </row>
    <row r="5721" spans="13:19" x14ac:dyDescent="0.25">
      <c r="M5721" s="514"/>
      <c r="Q5721" s="293"/>
      <c r="R5721" s="316"/>
      <c r="S5721" s="355"/>
    </row>
    <row r="5722" spans="13:19" x14ac:dyDescent="0.25">
      <c r="M5722" s="514"/>
      <c r="Q5722" s="293"/>
      <c r="R5722" s="316"/>
      <c r="S5722" s="355"/>
    </row>
    <row r="5723" spans="13:19" x14ac:dyDescent="0.25">
      <c r="M5723" s="514"/>
      <c r="Q5723" s="293"/>
      <c r="R5723" s="316"/>
      <c r="S5723" s="355"/>
    </row>
    <row r="5724" spans="13:19" x14ac:dyDescent="0.25">
      <c r="M5724" s="514"/>
      <c r="Q5724" s="293"/>
      <c r="R5724" s="316"/>
      <c r="S5724" s="355"/>
    </row>
    <row r="5725" spans="13:19" x14ac:dyDescent="0.25">
      <c r="M5725" s="514"/>
      <c r="Q5725" s="293"/>
      <c r="R5725" s="316"/>
      <c r="S5725" s="355"/>
    </row>
    <row r="5726" spans="13:19" x14ac:dyDescent="0.25">
      <c r="M5726" s="514"/>
      <c r="Q5726" s="293"/>
      <c r="R5726" s="316"/>
      <c r="S5726" s="355"/>
    </row>
    <row r="5727" spans="13:19" x14ac:dyDescent="0.25">
      <c r="M5727" s="514"/>
      <c r="Q5727" s="293"/>
      <c r="R5727" s="316"/>
      <c r="S5727" s="355"/>
    </row>
    <row r="5728" spans="13:19" x14ac:dyDescent="0.25">
      <c r="M5728" s="514"/>
      <c r="Q5728" s="293"/>
      <c r="R5728" s="316"/>
      <c r="S5728" s="355"/>
    </row>
    <row r="5729" spans="13:19" x14ac:dyDescent="0.25">
      <c r="M5729" s="514"/>
      <c r="Q5729" s="293"/>
      <c r="R5729" s="316"/>
      <c r="S5729" s="355"/>
    </row>
    <row r="5730" spans="13:19" x14ac:dyDescent="0.25">
      <c r="M5730" s="514"/>
      <c r="Q5730" s="293"/>
      <c r="R5730" s="316"/>
      <c r="S5730" s="355"/>
    </row>
    <row r="5731" spans="13:19" x14ac:dyDescent="0.25">
      <c r="M5731" s="514"/>
      <c r="Q5731" s="293"/>
      <c r="R5731" s="316"/>
      <c r="S5731" s="355"/>
    </row>
    <row r="5732" spans="13:19" x14ac:dyDescent="0.25">
      <c r="M5732" s="514"/>
      <c r="Q5732" s="293"/>
      <c r="R5732" s="316"/>
      <c r="S5732" s="355"/>
    </row>
    <row r="5733" spans="13:19" x14ac:dyDescent="0.25">
      <c r="M5733" s="514"/>
      <c r="Q5733" s="293"/>
      <c r="R5733" s="316"/>
      <c r="S5733" s="355"/>
    </row>
    <row r="5734" spans="13:19" x14ac:dyDescent="0.25">
      <c r="M5734" s="514"/>
      <c r="Q5734" s="293"/>
      <c r="R5734" s="316"/>
      <c r="S5734" s="355"/>
    </row>
    <row r="5735" spans="13:19" x14ac:dyDescent="0.25">
      <c r="M5735" s="514"/>
      <c r="Q5735" s="293"/>
      <c r="R5735" s="316"/>
      <c r="S5735" s="355"/>
    </row>
    <row r="5736" spans="13:19" x14ac:dyDescent="0.25">
      <c r="M5736" s="514"/>
      <c r="Q5736" s="293"/>
      <c r="R5736" s="316"/>
      <c r="S5736" s="355"/>
    </row>
    <row r="5737" spans="13:19" x14ac:dyDescent="0.25">
      <c r="M5737" s="514"/>
      <c r="Q5737" s="293"/>
      <c r="R5737" s="316"/>
      <c r="S5737" s="355"/>
    </row>
    <row r="5738" spans="13:19" x14ac:dyDescent="0.25">
      <c r="M5738" s="514"/>
      <c r="Q5738" s="293"/>
      <c r="R5738" s="316"/>
      <c r="S5738" s="355"/>
    </row>
    <row r="5739" spans="13:19" x14ac:dyDescent="0.25">
      <c r="M5739" s="514"/>
      <c r="Q5739" s="293"/>
      <c r="R5739" s="316"/>
      <c r="S5739" s="355"/>
    </row>
    <row r="5740" spans="13:19" x14ac:dyDescent="0.25">
      <c r="M5740" s="514"/>
      <c r="Q5740" s="293"/>
      <c r="R5740" s="316"/>
      <c r="S5740" s="355"/>
    </row>
    <row r="5741" spans="13:19" x14ac:dyDescent="0.25">
      <c r="M5741" s="514"/>
      <c r="Q5741" s="293"/>
      <c r="R5741" s="316"/>
      <c r="S5741" s="355"/>
    </row>
    <row r="5742" spans="13:19" x14ac:dyDescent="0.25">
      <c r="M5742" s="514"/>
      <c r="Q5742" s="293"/>
      <c r="R5742" s="316"/>
      <c r="S5742" s="355"/>
    </row>
    <row r="5743" spans="13:19" x14ac:dyDescent="0.25">
      <c r="M5743" s="514"/>
      <c r="Q5743" s="293"/>
      <c r="R5743" s="316"/>
      <c r="S5743" s="355"/>
    </row>
    <row r="5744" spans="13:19" x14ac:dyDescent="0.25">
      <c r="M5744" s="514"/>
      <c r="Q5744" s="293"/>
      <c r="R5744" s="316"/>
      <c r="S5744" s="355"/>
    </row>
    <row r="5745" spans="13:19" x14ac:dyDescent="0.25">
      <c r="M5745" s="514"/>
      <c r="Q5745" s="293"/>
      <c r="R5745" s="316"/>
      <c r="S5745" s="355"/>
    </row>
    <row r="5746" spans="13:19" x14ac:dyDescent="0.25">
      <c r="M5746" s="514"/>
      <c r="Q5746" s="293"/>
      <c r="R5746" s="316"/>
      <c r="S5746" s="355"/>
    </row>
    <row r="5747" spans="13:19" x14ac:dyDescent="0.25">
      <c r="M5747" s="514"/>
      <c r="Q5747" s="293"/>
      <c r="R5747" s="316"/>
      <c r="S5747" s="355"/>
    </row>
    <row r="5748" spans="13:19" x14ac:dyDescent="0.25">
      <c r="M5748" s="514"/>
      <c r="Q5748" s="293"/>
      <c r="R5748" s="316"/>
      <c r="S5748" s="355"/>
    </row>
    <row r="5749" spans="13:19" x14ac:dyDescent="0.25">
      <c r="M5749" s="514"/>
      <c r="Q5749" s="293"/>
      <c r="R5749" s="316"/>
      <c r="S5749" s="355"/>
    </row>
    <row r="5750" spans="13:19" x14ac:dyDescent="0.25">
      <c r="M5750" s="514"/>
      <c r="Q5750" s="293"/>
      <c r="R5750" s="316"/>
      <c r="S5750" s="355"/>
    </row>
    <row r="5751" spans="13:19" x14ac:dyDescent="0.25">
      <c r="M5751" s="514"/>
      <c r="Q5751" s="293"/>
      <c r="R5751" s="316"/>
      <c r="S5751" s="355"/>
    </row>
    <row r="5752" spans="13:19" x14ac:dyDescent="0.25">
      <c r="M5752" s="514"/>
      <c r="Q5752" s="293"/>
      <c r="R5752" s="316"/>
      <c r="S5752" s="355"/>
    </row>
    <row r="5753" spans="13:19" x14ac:dyDescent="0.25">
      <c r="M5753" s="514"/>
      <c r="Q5753" s="293"/>
      <c r="R5753" s="316"/>
      <c r="S5753" s="355"/>
    </row>
    <row r="5754" spans="13:19" x14ac:dyDescent="0.25">
      <c r="M5754" s="514"/>
      <c r="Q5754" s="293"/>
      <c r="R5754" s="316"/>
      <c r="S5754" s="355"/>
    </row>
    <row r="5755" spans="13:19" x14ac:dyDescent="0.25">
      <c r="M5755" s="514"/>
      <c r="Q5755" s="293"/>
      <c r="R5755" s="316"/>
      <c r="S5755" s="355"/>
    </row>
    <row r="5756" spans="13:19" x14ac:dyDescent="0.25">
      <c r="M5756" s="514"/>
      <c r="Q5756" s="293"/>
      <c r="R5756" s="316"/>
      <c r="S5756" s="355"/>
    </row>
    <row r="5757" spans="13:19" x14ac:dyDescent="0.25">
      <c r="M5757" s="514"/>
      <c r="Q5757" s="293"/>
      <c r="R5757" s="316"/>
      <c r="S5757" s="355"/>
    </row>
    <row r="5758" spans="13:19" x14ac:dyDescent="0.25">
      <c r="M5758" s="514"/>
      <c r="Q5758" s="293"/>
      <c r="R5758" s="316"/>
      <c r="S5758" s="355"/>
    </row>
    <row r="5759" spans="13:19" x14ac:dyDescent="0.25">
      <c r="M5759" s="514"/>
      <c r="Q5759" s="293"/>
      <c r="R5759" s="316"/>
      <c r="S5759" s="355"/>
    </row>
    <row r="5760" spans="13:19" x14ac:dyDescent="0.25">
      <c r="M5760" s="514"/>
      <c r="Q5760" s="293"/>
      <c r="R5760" s="316"/>
      <c r="S5760" s="355"/>
    </row>
    <row r="5761" spans="13:19" x14ac:dyDescent="0.25">
      <c r="M5761" s="514"/>
      <c r="Q5761" s="293"/>
      <c r="R5761" s="316"/>
      <c r="S5761" s="355"/>
    </row>
    <row r="5762" spans="13:19" x14ac:dyDescent="0.25">
      <c r="M5762" s="514"/>
      <c r="Q5762" s="293"/>
      <c r="R5762" s="316"/>
      <c r="S5762" s="355"/>
    </row>
    <row r="5763" spans="13:19" x14ac:dyDescent="0.25">
      <c r="M5763" s="514"/>
      <c r="Q5763" s="293"/>
      <c r="R5763" s="316"/>
      <c r="S5763" s="355"/>
    </row>
    <row r="5764" spans="13:19" x14ac:dyDescent="0.25">
      <c r="M5764" s="514"/>
      <c r="Q5764" s="293"/>
      <c r="R5764" s="316"/>
      <c r="S5764" s="355"/>
    </row>
    <row r="5765" spans="13:19" x14ac:dyDescent="0.25">
      <c r="M5765" s="514"/>
      <c r="Q5765" s="293"/>
      <c r="R5765" s="316"/>
      <c r="S5765" s="355"/>
    </row>
    <row r="5766" spans="13:19" x14ac:dyDescent="0.25">
      <c r="M5766" s="514"/>
      <c r="Q5766" s="293"/>
      <c r="R5766" s="316"/>
      <c r="S5766" s="355"/>
    </row>
    <row r="5767" spans="13:19" x14ac:dyDescent="0.25">
      <c r="M5767" s="514"/>
      <c r="Q5767" s="293"/>
      <c r="R5767" s="316"/>
      <c r="S5767" s="355"/>
    </row>
    <row r="5768" spans="13:19" x14ac:dyDescent="0.25">
      <c r="M5768" s="514"/>
      <c r="Q5768" s="293"/>
      <c r="R5768" s="316"/>
      <c r="S5768" s="355"/>
    </row>
    <row r="5769" spans="13:19" x14ac:dyDescent="0.25">
      <c r="M5769" s="514"/>
      <c r="Q5769" s="293"/>
      <c r="R5769" s="316"/>
      <c r="S5769" s="355"/>
    </row>
    <row r="5770" spans="13:19" x14ac:dyDescent="0.25">
      <c r="M5770" s="514"/>
      <c r="Q5770" s="293"/>
      <c r="R5770" s="316"/>
      <c r="S5770" s="355"/>
    </row>
    <row r="5771" spans="13:19" x14ac:dyDescent="0.25">
      <c r="M5771" s="514"/>
      <c r="Q5771" s="293"/>
      <c r="R5771" s="316"/>
      <c r="S5771" s="355"/>
    </row>
    <row r="5772" spans="13:19" x14ac:dyDescent="0.25">
      <c r="M5772" s="514"/>
      <c r="Q5772" s="293"/>
      <c r="R5772" s="316"/>
      <c r="S5772" s="355"/>
    </row>
    <row r="5773" spans="13:19" x14ac:dyDescent="0.25">
      <c r="M5773" s="514"/>
      <c r="Q5773" s="293"/>
      <c r="R5773" s="316"/>
      <c r="S5773" s="355"/>
    </row>
    <row r="5774" spans="13:19" x14ac:dyDescent="0.25">
      <c r="M5774" s="514"/>
      <c r="Q5774" s="293"/>
      <c r="R5774" s="316"/>
      <c r="S5774" s="355"/>
    </row>
    <row r="5775" spans="13:19" x14ac:dyDescent="0.25">
      <c r="M5775" s="514"/>
      <c r="Q5775" s="293"/>
      <c r="R5775" s="316"/>
      <c r="S5775" s="355"/>
    </row>
    <row r="5776" spans="13:19" x14ac:dyDescent="0.25">
      <c r="M5776" s="514"/>
      <c r="Q5776" s="293"/>
      <c r="R5776" s="316"/>
      <c r="S5776" s="355"/>
    </row>
    <row r="5777" spans="13:19" x14ac:dyDescent="0.25">
      <c r="M5777" s="514"/>
      <c r="Q5777" s="293"/>
      <c r="R5777" s="316"/>
      <c r="S5777" s="355"/>
    </row>
    <row r="5778" spans="13:19" x14ac:dyDescent="0.25">
      <c r="M5778" s="514"/>
      <c r="Q5778" s="293"/>
      <c r="R5778" s="316"/>
      <c r="S5778" s="355"/>
    </row>
    <row r="5779" spans="13:19" x14ac:dyDescent="0.25">
      <c r="M5779" s="514"/>
      <c r="Q5779" s="293"/>
      <c r="R5779" s="316"/>
      <c r="S5779" s="355"/>
    </row>
    <row r="5780" spans="13:19" x14ac:dyDescent="0.25">
      <c r="M5780" s="514"/>
      <c r="Q5780" s="293"/>
      <c r="R5780" s="316"/>
      <c r="S5780" s="355"/>
    </row>
    <row r="5781" spans="13:19" x14ac:dyDescent="0.25">
      <c r="M5781" s="514"/>
      <c r="Q5781" s="293"/>
      <c r="R5781" s="316"/>
      <c r="S5781" s="355"/>
    </row>
    <row r="5782" spans="13:19" x14ac:dyDescent="0.25">
      <c r="M5782" s="514"/>
      <c r="Q5782" s="293"/>
      <c r="R5782" s="316"/>
      <c r="S5782" s="355"/>
    </row>
    <row r="5783" spans="13:19" x14ac:dyDescent="0.25">
      <c r="M5783" s="514"/>
      <c r="Q5783" s="293"/>
      <c r="R5783" s="316"/>
      <c r="S5783" s="355"/>
    </row>
    <row r="5784" spans="13:19" x14ac:dyDescent="0.25">
      <c r="M5784" s="514"/>
      <c r="Q5784" s="293"/>
      <c r="R5784" s="316"/>
      <c r="S5784" s="355"/>
    </row>
    <row r="5785" spans="13:19" x14ac:dyDescent="0.25">
      <c r="M5785" s="514"/>
      <c r="Q5785" s="293"/>
      <c r="R5785" s="316"/>
      <c r="S5785" s="355"/>
    </row>
    <row r="5786" spans="13:19" x14ac:dyDescent="0.25">
      <c r="M5786" s="514"/>
      <c r="Q5786" s="293"/>
      <c r="R5786" s="316"/>
      <c r="S5786" s="355"/>
    </row>
    <row r="5787" spans="13:19" x14ac:dyDescent="0.25">
      <c r="M5787" s="514"/>
      <c r="Q5787" s="293"/>
      <c r="R5787" s="316"/>
      <c r="S5787" s="355"/>
    </row>
    <row r="5788" spans="13:19" x14ac:dyDescent="0.25">
      <c r="M5788" s="514"/>
      <c r="Q5788" s="293"/>
      <c r="R5788" s="316"/>
      <c r="S5788" s="355"/>
    </row>
    <row r="5789" spans="13:19" x14ac:dyDescent="0.25">
      <c r="M5789" s="514"/>
      <c r="Q5789" s="293"/>
      <c r="R5789" s="316"/>
      <c r="S5789" s="355"/>
    </row>
    <row r="5790" spans="13:19" x14ac:dyDescent="0.25">
      <c r="M5790" s="514"/>
      <c r="Q5790" s="293"/>
      <c r="R5790" s="316"/>
      <c r="S5790" s="355"/>
    </row>
    <row r="5791" spans="13:19" x14ac:dyDescent="0.25">
      <c r="M5791" s="514"/>
      <c r="Q5791" s="293"/>
      <c r="R5791" s="316"/>
      <c r="S5791" s="355"/>
    </row>
    <row r="5792" spans="13:19" x14ac:dyDescent="0.25">
      <c r="M5792" s="514"/>
      <c r="Q5792" s="293"/>
      <c r="R5792" s="316"/>
      <c r="S5792" s="355"/>
    </row>
    <row r="5793" spans="13:19" x14ac:dyDescent="0.25">
      <c r="M5793" s="514"/>
      <c r="Q5793" s="293"/>
      <c r="R5793" s="316"/>
      <c r="S5793" s="355"/>
    </row>
    <row r="5794" spans="13:19" x14ac:dyDescent="0.25">
      <c r="M5794" s="514"/>
      <c r="Q5794" s="293"/>
      <c r="R5794" s="316"/>
      <c r="S5794" s="355"/>
    </row>
    <row r="5795" spans="13:19" x14ac:dyDescent="0.25">
      <c r="M5795" s="514"/>
      <c r="Q5795" s="293"/>
      <c r="R5795" s="316"/>
      <c r="S5795" s="355"/>
    </row>
    <row r="5796" spans="13:19" x14ac:dyDescent="0.25">
      <c r="M5796" s="514"/>
      <c r="Q5796" s="293"/>
      <c r="R5796" s="316"/>
      <c r="S5796" s="355"/>
    </row>
    <row r="5797" spans="13:19" x14ac:dyDescent="0.25">
      <c r="M5797" s="514"/>
      <c r="Q5797" s="293"/>
      <c r="R5797" s="316"/>
      <c r="S5797" s="355"/>
    </row>
    <row r="5798" spans="13:19" x14ac:dyDescent="0.25">
      <c r="M5798" s="514"/>
      <c r="Q5798" s="293"/>
      <c r="R5798" s="316"/>
      <c r="S5798" s="355"/>
    </row>
    <row r="5799" spans="13:19" x14ac:dyDescent="0.25">
      <c r="M5799" s="514"/>
      <c r="Q5799" s="293"/>
      <c r="R5799" s="316"/>
      <c r="S5799" s="355"/>
    </row>
    <row r="5800" spans="13:19" x14ac:dyDescent="0.25">
      <c r="M5800" s="514"/>
      <c r="Q5800" s="293"/>
      <c r="R5800" s="316"/>
      <c r="S5800" s="355"/>
    </row>
    <row r="5801" spans="13:19" x14ac:dyDescent="0.25">
      <c r="M5801" s="514"/>
      <c r="Q5801" s="293"/>
      <c r="R5801" s="316"/>
      <c r="S5801" s="355"/>
    </row>
    <row r="5802" spans="13:19" x14ac:dyDescent="0.25">
      <c r="M5802" s="514"/>
      <c r="Q5802" s="293"/>
      <c r="R5802" s="316"/>
      <c r="S5802" s="355"/>
    </row>
    <row r="5803" spans="13:19" x14ac:dyDescent="0.25">
      <c r="M5803" s="514"/>
      <c r="Q5803" s="293"/>
      <c r="R5803" s="316"/>
      <c r="S5803" s="355"/>
    </row>
    <row r="5804" spans="13:19" x14ac:dyDescent="0.25">
      <c r="M5804" s="514"/>
      <c r="Q5804" s="293"/>
      <c r="R5804" s="316"/>
      <c r="S5804" s="355"/>
    </row>
    <row r="5805" spans="13:19" x14ac:dyDescent="0.25">
      <c r="M5805" s="514"/>
      <c r="Q5805" s="293"/>
      <c r="R5805" s="316"/>
      <c r="S5805" s="355"/>
    </row>
    <row r="5806" spans="13:19" x14ac:dyDescent="0.25">
      <c r="M5806" s="514"/>
      <c r="Q5806" s="293"/>
      <c r="R5806" s="316"/>
      <c r="S5806" s="355"/>
    </row>
    <row r="5807" spans="13:19" x14ac:dyDescent="0.25">
      <c r="M5807" s="514"/>
      <c r="Q5807" s="293"/>
      <c r="R5807" s="316"/>
      <c r="S5807" s="355"/>
    </row>
    <row r="5808" spans="13:19" x14ac:dyDescent="0.25">
      <c r="M5808" s="514"/>
      <c r="Q5808" s="293"/>
      <c r="R5808" s="316"/>
      <c r="S5808" s="355"/>
    </row>
    <row r="5809" spans="13:19" x14ac:dyDescent="0.25">
      <c r="M5809" s="514"/>
      <c r="Q5809" s="293"/>
      <c r="R5809" s="316"/>
      <c r="S5809" s="355"/>
    </row>
    <row r="5810" spans="13:19" x14ac:dyDescent="0.25">
      <c r="M5810" s="514"/>
      <c r="Q5810" s="293"/>
      <c r="R5810" s="316"/>
      <c r="S5810" s="355"/>
    </row>
    <row r="5811" spans="13:19" x14ac:dyDescent="0.25">
      <c r="M5811" s="514"/>
      <c r="Q5811" s="293"/>
      <c r="R5811" s="316"/>
      <c r="S5811" s="355"/>
    </row>
    <row r="5812" spans="13:19" x14ac:dyDescent="0.25">
      <c r="M5812" s="514"/>
      <c r="Q5812" s="293"/>
      <c r="R5812" s="316"/>
      <c r="S5812" s="355"/>
    </row>
    <row r="5813" spans="13:19" x14ac:dyDescent="0.25">
      <c r="M5813" s="514"/>
      <c r="Q5813" s="293"/>
      <c r="R5813" s="316"/>
      <c r="S5813" s="355"/>
    </row>
    <row r="5814" spans="13:19" x14ac:dyDescent="0.25">
      <c r="M5814" s="514"/>
      <c r="Q5814" s="293"/>
      <c r="R5814" s="316"/>
      <c r="S5814" s="355"/>
    </row>
    <row r="5815" spans="13:19" x14ac:dyDescent="0.25">
      <c r="M5815" s="514"/>
      <c r="Q5815" s="293"/>
      <c r="R5815" s="316"/>
      <c r="S5815" s="355"/>
    </row>
    <row r="5816" spans="13:19" x14ac:dyDescent="0.25">
      <c r="M5816" s="514"/>
      <c r="Q5816" s="293"/>
      <c r="R5816" s="316"/>
      <c r="S5816" s="355"/>
    </row>
    <row r="5817" spans="13:19" x14ac:dyDescent="0.25">
      <c r="M5817" s="514"/>
      <c r="Q5817" s="293"/>
      <c r="R5817" s="316"/>
      <c r="S5817" s="355"/>
    </row>
    <row r="5818" spans="13:19" x14ac:dyDescent="0.25">
      <c r="M5818" s="514"/>
      <c r="Q5818" s="293"/>
      <c r="R5818" s="316"/>
      <c r="S5818" s="355"/>
    </row>
    <row r="5819" spans="13:19" x14ac:dyDescent="0.25">
      <c r="M5819" s="514"/>
      <c r="Q5819" s="293"/>
      <c r="R5819" s="316"/>
      <c r="S5819" s="355"/>
    </row>
    <row r="5820" spans="13:19" x14ac:dyDescent="0.25">
      <c r="M5820" s="514"/>
      <c r="Q5820" s="293"/>
      <c r="R5820" s="316"/>
      <c r="S5820" s="355"/>
    </row>
    <row r="5821" spans="13:19" x14ac:dyDescent="0.25">
      <c r="M5821" s="514"/>
      <c r="Q5821" s="293"/>
      <c r="R5821" s="316"/>
      <c r="S5821" s="355"/>
    </row>
    <row r="5822" spans="13:19" x14ac:dyDescent="0.25">
      <c r="M5822" s="514"/>
      <c r="Q5822" s="293"/>
      <c r="R5822" s="316"/>
      <c r="S5822" s="355"/>
    </row>
    <row r="5823" spans="13:19" x14ac:dyDescent="0.25">
      <c r="M5823" s="514"/>
      <c r="Q5823" s="293"/>
      <c r="R5823" s="316"/>
      <c r="S5823" s="355"/>
    </row>
    <row r="5824" spans="13:19" x14ac:dyDescent="0.25">
      <c r="M5824" s="514"/>
      <c r="Q5824" s="293"/>
      <c r="R5824" s="316"/>
      <c r="S5824" s="355"/>
    </row>
    <row r="5825" spans="13:19" x14ac:dyDescent="0.25">
      <c r="M5825" s="514"/>
      <c r="Q5825" s="293"/>
      <c r="R5825" s="316"/>
      <c r="S5825" s="355"/>
    </row>
    <row r="5826" spans="13:19" x14ac:dyDescent="0.25">
      <c r="M5826" s="514"/>
      <c r="Q5826" s="293"/>
      <c r="R5826" s="316"/>
      <c r="S5826" s="355"/>
    </row>
    <row r="5827" spans="13:19" x14ac:dyDescent="0.25">
      <c r="M5827" s="514"/>
      <c r="Q5827" s="293"/>
      <c r="R5827" s="316"/>
      <c r="S5827" s="355"/>
    </row>
    <row r="5828" spans="13:19" x14ac:dyDescent="0.25">
      <c r="M5828" s="514"/>
      <c r="Q5828" s="293"/>
      <c r="R5828" s="316"/>
      <c r="S5828" s="355"/>
    </row>
    <row r="5829" spans="13:19" x14ac:dyDescent="0.25">
      <c r="M5829" s="514"/>
      <c r="Q5829" s="293"/>
      <c r="R5829" s="316"/>
      <c r="S5829" s="355"/>
    </row>
    <row r="5830" spans="13:19" x14ac:dyDescent="0.25">
      <c r="M5830" s="514"/>
      <c r="Q5830" s="293"/>
      <c r="R5830" s="316"/>
      <c r="S5830" s="355"/>
    </row>
    <row r="5831" spans="13:19" x14ac:dyDescent="0.25">
      <c r="M5831" s="514"/>
      <c r="Q5831" s="293"/>
      <c r="R5831" s="316"/>
      <c r="S5831" s="355"/>
    </row>
    <row r="5832" spans="13:19" x14ac:dyDescent="0.25">
      <c r="M5832" s="514"/>
      <c r="Q5832" s="293"/>
      <c r="R5832" s="316"/>
      <c r="S5832" s="355"/>
    </row>
    <row r="5833" spans="13:19" x14ac:dyDescent="0.25">
      <c r="M5833" s="514"/>
      <c r="Q5833" s="293"/>
      <c r="R5833" s="316"/>
      <c r="S5833" s="355"/>
    </row>
    <row r="5834" spans="13:19" x14ac:dyDescent="0.25">
      <c r="M5834" s="514"/>
      <c r="Q5834" s="293"/>
      <c r="R5834" s="316"/>
      <c r="S5834" s="355"/>
    </row>
    <row r="5835" spans="13:19" x14ac:dyDescent="0.25">
      <c r="M5835" s="514"/>
      <c r="Q5835" s="293"/>
      <c r="R5835" s="316"/>
      <c r="S5835" s="355"/>
    </row>
    <row r="5836" spans="13:19" x14ac:dyDescent="0.25">
      <c r="M5836" s="514"/>
      <c r="Q5836" s="293"/>
      <c r="R5836" s="316"/>
      <c r="S5836" s="355"/>
    </row>
    <row r="5837" spans="13:19" x14ac:dyDescent="0.25">
      <c r="M5837" s="514"/>
      <c r="Q5837" s="293"/>
      <c r="R5837" s="316"/>
      <c r="S5837" s="355"/>
    </row>
    <row r="5838" spans="13:19" x14ac:dyDescent="0.25">
      <c r="M5838" s="514"/>
      <c r="Q5838" s="293"/>
      <c r="R5838" s="316"/>
      <c r="S5838" s="355"/>
    </row>
    <row r="5839" spans="13:19" x14ac:dyDescent="0.25">
      <c r="M5839" s="514"/>
      <c r="Q5839" s="293"/>
      <c r="R5839" s="316"/>
      <c r="S5839" s="355"/>
    </row>
    <row r="5840" spans="13:19" x14ac:dyDescent="0.25">
      <c r="M5840" s="514"/>
      <c r="Q5840" s="293"/>
      <c r="R5840" s="316"/>
      <c r="S5840" s="355"/>
    </row>
    <row r="5841" spans="13:19" x14ac:dyDescent="0.25">
      <c r="M5841" s="514"/>
      <c r="Q5841" s="293"/>
      <c r="R5841" s="316"/>
      <c r="S5841" s="355"/>
    </row>
    <row r="5842" spans="13:19" x14ac:dyDescent="0.25">
      <c r="M5842" s="514"/>
      <c r="Q5842" s="293"/>
      <c r="R5842" s="316"/>
      <c r="S5842" s="355"/>
    </row>
    <row r="5843" spans="13:19" x14ac:dyDescent="0.25">
      <c r="M5843" s="514"/>
      <c r="Q5843" s="293"/>
      <c r="R5843" s="316"/>
      <c r="S5843" s="355"/>
    </row>
    <row r="5844" spans="13:19" x14ac:dyDescent="0.25">
      <c r="M5844" s="514"/>
      <c r="Q5844" s="293"/>
      <c r="R5844" s="316"/>
      <c r="S5844" s="355"/>
    </row>
    <row r="5845" spans="13:19" x14ac:dyDescent="0.25">
      <c r="M5845" s="514"/>
      <c r="Q5845" s="293"/>
      <c r="R5845" s="316"/>
      <c r="S5845" s="355"/>
    </row>
    <row r="5846" spans="13:19" x14ac:dyDescent="0.25">
      <c r="M5846" s="514"/>
      <c r="Q5846" s="293"/>
      <c r="R5846" s="316"/>
      <c r="S5846" s="355"/>
    </row>
    <row r="5847" spans="13:19" x14ac:dyDescent="0.25">
      <c r="M5847" s="514"/>
      <c r="Q5847" s="293"/>
      <c r="R5847" s="316"/>
      <c r="S5847" s="355"/>
    </row>
    <row r="5848" spans="13:19" x14ac:dyDescent="0.25">
      <c r="M5848" s="514"/>
      <c r="Q5848" s="293"/>
      <c r="R5848" s="316"/>
      <c r="S5848" s="355"/>
    </row>
    <row r="5849" spans="13:19" x14ac:dyDescent="0.25">
      <c r="M5849" s="514"/>
      <c r="Q5849" s="293"/>
      <c r="R5849" s="316"/>
      <c r="S5849" s="355"/>
    </row>
    <row r="5850" spans="13:19" x14ac:dyDescent="0.25">
      <c r="M5850" s="514"/>
      <c r="Q5850" s="293"/>
      <c r="R5850" s="316"/>
      <c r="S5850" s="355"/>
    </row>
    <row r="5851" spans="13:19" x14ac:dyDescent="0.25">
      <c r="M5851" s="514"/>
      <c r="Q5851" s="293"/>
      <c r="R5851" s="316"/>
      <c r="S5851" s="355"/>
    </row>
    <row r="5852" spans="13:19" x14ac:dyDescent="0.25">
      <c r="M5852" s="514"/>
      <c r="Q5852" s="293"/>
      <c r="R5852" s="316"/>
      <c r="S5852" s="355"/>
    </row>
    <row r="5853" spans="13:19" x14ac:dyDescent="0.25">
      <c r="M5853" s="514"/>
      <c r="Q5853" s="293"/>
      <c r="R5853" s="316"/>
      <c r="S5853" s="355"/>
    </row>
    <row r="5854" spans="13:19" x14ac:dyDescent="0.25">
      <c r="M5854" s="514"/>
      <c r="Q5854" s="293"/>
      <c r="R5854" s="316"/>
      <c r="S5854" s="355"/>
    </row>
    <row r="5855" spans="13:19" x14ac:dyDescent="0.25">
      <c r="M5855" s="514"/>
      <c r="Q5855" s="293"/>
      <c r="R5855" s="316"/>
      <c r="S5855" s="355"/>
    </row>
    <row r="5856" spans="13:19" x14ac:dyDescent="0.25">
      <c r="M5856" s="514"/>
      <c r="Q5856" s="293"/>
      <c r="R5856" s="316"/>
      <c r="S5856" s="355"/>
    </row>
    <row r="5857" spans="13:19" x14ac:dyDescent="0.25">
      <c r="M5857" s="514"/>
      <c r="Q5857" s="293"/>
      <c r="R5857" s="316"/>
      <c r="S5857" s="355"/>
    </row>
    <row r="5858" spans="13:19" x14ac:dyDescent="0.25">
      <c r="M5858" s="514"/>
      <c r="Q5858" s="293"/>
      <c r="R5858" s="316"/>
      <c r="S5858" s="355"/>
    </row>
    <row r="5859" spans="13:19" x14ac:dyDescent="0.25">
      <c r="M5859" s="514"/>
      <c r="Q5859" s="293"/>
      <c r="R5859" s="316"/>
      <c r="S5859" s="355"/>
    </row>
    <row r="5860" spans="13:19" x14ac:dyDescent="0.25">
      <c r="M5860" s="514"/>
      <c r="Q5860" s="293"/>
      <c r="R5860" s="316"/>
      <c r="S5860" s="355"/>
    </row>
    <row r="5861" spans="13:19" x14ac:dyDescent="0.25">
      <c r="M5861" s="514"/>
      <c r="Q5861" s="293"/>
      <c r="R5861" s="316"/>
      <c r="S5861" s="355"/>
    </row>
    <row r="5862" spans="13:19" x14ac:dyDescent="0.25">
      <c r="M5862" s="514"/>
      <c r="Q5862" s="293"/>
      <c r="R5862" s="316"/>
      <c r="S5862" s="355"/>
    </row>
    <row r="5863" spans="13:19" x14ac:dyDescent="0.25">
      <c r="M5863" s="514"/>
      <c r="Q5863" s="293"/>
      <c r="R5863" s="316"/>
      <c r="S5863" s="355"/>
    </row>
    <row r="5864" spans="13:19" x14ac:dyDescent="0.25">
      <c r="M5864" s="514"/>
      <c r="Q5864" s="293"/>
      <c r="R5864" s="316"/>
      <c r="S5864" s="355"/>
    </row>
    <row r="5865" spans="13:19" x14ac:dyDescent="0.25">
      <c r="M5865" s="514"/>
      <c r="Q5865" s="293"/>
      <c r="R5865" s="316"/>
      <c r="S5865" s="355"/>
    </row>
    <row r="5866" spans="13:19" x14ac:dyDescent="0.25">
      <c r="M5866" s="514"/>
      <c r="Q5866" s="293"/>
      <c r="R5866" s="316"/>
      <c r="S5866" s="355"/>
    </row>
    <row r="5867" spans="13:19" x14ac:dyDescent="0.25">
      <c r="M5867" s="514"/>
      <c r="Q5867" s="293"/>
      <c r="R5867" s="316"/>
      <c r="S5867" s="355"/>
    </row>
    <row r="5868" spans="13:19" x14ac:dyDescent="0.25">
      <c r="M5868" s="514"/>
      <c r="Q5868" s="293"/>
      <c r="R5868" s="316"/>
      <c r="S5868" s="355"/>
    </row>
    <row r="5869" spans="13:19" x14ac:dyDescent="0.25">
      <c r="M5869" s="514"/>
      <c r="Q5869" s="293"/>
      <c r="R5869" s="316"/>
      <c r="S5869" s="355"/>
    </row>
    <row r="5870" spans="13:19" x14ac:dyDescent="0.25">
      <c r="M5870" s="514"/>
      <c r="Q5870" s="293"/>
      <c r="R5870" s="316"/>
      <c r="S5870" s="355"/>
    </row>
    <row r="5871" spans="13:19" x14ac:dyDescent="0.25">
      <c r="M5871" s="514"/>
      <c r="Q5871" s="293"/>
      <c r="R5871" s="316"/>
      <c r="S5871" s="355"/>
    </row>
    <row r="5872" spans="13:19" x14ac:dyDescent="0.25">
      <c r="M5872" s="514"/>
      <c r="Q5872" s="293"/>
      <c r="R5872" s="316"/>
      <c r="S5872" s="355"/>
    </row>
    <row r="5873" spans="13:19" x14ac:dyDescent="0.25">
      <c r="M5873" s="514"/>
      <c r="Q5873" s="293"/>
      <c r="R5873" s="316"/>
      <c r="S5873" s="355"/>
    </row>
    <row r="5874" spans="13:19" x14ac:dyDescent="0.25">
      <c r="M5874" s="514"/>
      <c r="Q5874" s="293"/>
      <c r="R5874" s="316"/>
      <c r="S5874" s="355"/>
    </row>
    <row r="5875" spans="13:19" x14ac:dyDescent="0.25">
      <c r="M5875" s="514"/>
      <c r="Q5875" s="293"/>
      <c r="R5875" s="316"/>
      <c r="S5875" s="355"/>
    </row>
    <row r="5876" spans="13:19" x14ac:dyDescent="0.25">
      <c r="M5876" s="514"/>
      <c r="Q5876" s="293"/>
      <c r="R5876" s="316"/>
      <c r="S5876" s="355"/>
    </row>
    <row r="5877" spans="13:19" x14ac:dyDescent="0.25">
      <c r="M5877" s="514"/>
      <c r="Q5877" s="293"/>
      <c r="R5877" s="316"/>
      <c r="S5877" s="355"/>
    </row>
    <row r="5878" spans="13:19" x14ac:dyDescent="0.25">
      <c r="M5878" s="514"/>
      <c r="Q5878" s="293"/>
      <c r="R5878" s="316"/>
      <c r="S5878" s="355"/>
    </row>
    <row r="5879" spans="13:19" x14ac:dyDescent="0.25">
      <c r="M5879" s="514"/>
      <c r="Q5879" s="293"/>
      <c r="R5879" s="316"/>
      <c r="S5879" s="355"/>
    </row>
    <row r="5880" spans="13:19" x14ac:dyDescent="0.25">
      <c r="M5880" s="514"/>
      <c r="Q5880" s="293"/>
      <c r="R5880" s="316"/>
      <c r="S5880" s="355"/>
    </row>
    <row r="5881" spans="13:19" x14ac:dyDescent="0.25">
      <c r="M5881" s="514"/>
      <c r="Q5881" s="293"/>
      <c r="R5881" s="316"/>
      <c r="S5881" s="355"/>
    </row>
    <row r="5882" spans="13:19" x14ac:dyDescent="0.25">
      <c r="M5882" s="514"/>
      <c r="Q5882" s="293"/>
      <c r="R5882" s="316"/>
      <c r="S5882" s="355"/>
    </row>
    <row r="5883" spans="13:19" x14ac:dyDescent="0.25">
      <c r="M5883" s="514"/>
      <c r="Q5883" s="293"/>
      <c r="R5883" s="316"/>
      <c r="S5883" s="355"/>
    </row>
    <row r="5884" spans="13:19" x14ac:dyDescent="0.25">
      <c r="M5884" s="514"/>
      <c r="Q5884" s="293"/>
      <c r="R5884" s="316"/>
      <c r="S5884" s="355"/>
    </row>
    <row r="5885" spans="13:19" x14ac:dyDescent="0.25">
      <c r="M5885" s="514"/>
      <c r="Q5885" s="293"/>
      <c r="R5885" s="316"/>
      <c r="S5885" s="355"/>
    </row>
    <row r="5886" spans="13:19" x14ac:dyDescent="0.25">
      <c r="M5886" s="514"/>
      <c r="Q5886" s="293"/>
      <c r="R5886" s="316"/>
      <c r="S5886" s="355"/>
    </row>
    <row r="5887" spans="13:19" x14ac:dyDescent="0.25">
      <c r="M5887" s="514"/>
      <c r="Q5887" s="293"/>
      <c r="R5887" s="316"/>
      <c r="S5887" s="355"/>
    </row>
    <row r="5888" spans="13:19" x14ac:dyDescent="0.25">
      <c r="M5888" s="514"/>
      <c r="Q5888" s="293"/>
      <c r="R5888" s="316"/>
      <c r="S5888" s="355"/>
    </row>
    <row r="5889" spans="13:19" x14ac:dyDescent="0.25">
      <c r="M5889" s="514"/>
      <c r="Q5889" s="293"/>
      <c r="R5889" s="316"/>
      <c r="S5889" s="355"/>
    </row>
    <row r="5890" spans="13:19" x14ac:dyDescent="0.25">
      <c r="M5890" s="514"/>
      <c r="Q5890" s="293"/>
      <c r="R5890" s="316"/>
      <c r="S5890" s="355"/>
    </row>
    <row r="5891" spans="13:19" x14ac:dyDescent="0.25">
      <c r="M5891" s="514"/>
      <c r="Q5891" s="293"/>
      <c r="R5891" s="316"/>
      <c r="S5891" s="355"/>
    </row>
    <row r="5892" spans="13:19" x14ac:dyDescent="0.25">
      <c r="M5892" s="514"/>
      <c r="Q5892" s="293"/>
      <c r="R5892" s="316"/>
      <c r="S5892" s="355"/>
    </row>
    <row r="5893" spans="13:19" x14ac:dyDescent="0.25">
      <c r="M5893" s="514"/>
      <c r="Q5893" s="293"/>
      <c r="R5893" s="316"/>
      <c r="S5893" s="355"/>
    </row>
    <row r="5894" spans="13:19" x14ac:dyDescent="0.25">
      <c r="M5894" s="514"/>
      <c r="Q5894" s="293"/>
      <c r="R5894" s="316"/>
      <c r="S5894" s="355"/>
    </row>
    <row r="5895" spans="13:19" x14ac:dyDescent="0.25">
      <c r="M5895" s="514"/>
      <c r="Q5895" s="293"/>
      <c r="R5895" s="316"/>
      <c r="S5895" s="355"/>
    </row>
    <row r="5896" spans="13:19" x14ac:dyDescent="0.25">
      <c r="M5896" s="514"/>
      <c r="Q5896" s="293"/>
      <c r="R5896" s="316"/>
      <c r="S5896" s="355"/>
    </row>
    <row r="5897" spans="13:19" x14ac:dyDescent="0.25">
      <c r="M5897" s="514"/>
      <c r="Q5897" s="293"/>
      <c r="R5897" s="316"/>
      <c r="S5897" s="355"/>
    </row>
    <row r="5898" spans="13:19" x14ac:dyDescent="0.25">
      <c r="M5898" s="514"/>
      <c r="Q5898" s="293"/>
      <c r="R5898" s="316"/>
      <c r="S5898" s="355"/>
    </row>
    <row r="5899" spans="13:19" x14ac:dyDescent="0.25">
      <c r="M5899" s="514"/>
      <c r="Q5899" s="293"/>
      <c r="R5899" s="316"/>
      <c r="S5899" s="355"/>
    </row>
    <row r="5900" spans="13:19" x14ac:dyDescent="0.25">
      <c r="M5900" s="514"/>
      <c r="Q5900" s="293"/>
      <c r="R5900" s="316"/>
      <c r="S5900" s="355"/>
    </row>
    <row r="5901" spans="13:19" x14ac:dyDescent="0.25">
      <c r="M5901" s="514"/>
      <c r="Q5901" s="293"/>
      <c r="R5901" s="316"/>
      <c r="S5901" s="355"/>
    </row>
    <row r="5902" spans="13:19" x14ac:dyDescent="0.25">
      <c r="M5902" s="514"/>
      <c r="Q5902" s="293"/>
      <c r="R5902" s="316"/>
      <c r="S5902" s="355"/>
    </row>
    <row r="5903" spans="13:19" x14ac:dyDescent="0.25">
      <c r="M5903" s="514"/>
      <c r="Q5903" s="293"/>
      <c r="R5903" s="316"/>
      <c r="S5903" s="355"/>
    </row>
    <row r="5904" spans="13:19" x14ac:dyDescent="0.25">
      <c r="M5904" s="514"/>
      <c r="Q5904" s="293"/>
      <c r="R5904" s="316"/>
      <c r="S5904" s="355"/>
    </row>
    <row r="5905" spans="13:19" x14ac:dyDescent="0.25">
      <c r="M5905" s="514"/>
      <c r="Q5905" s="293"/>
      <c r="R5905" s="316"/>
      <c r="S5905" s="355"/>
    </row>
    <row r="5906" spans="13:19" x14ac:dyDescent="0.25">
      <c r="M5906" s="514"/>
      <c r="Q5906" s="293"/>
      <c r="R5906" s="316"/>
      <c r="S5906" s="355"/>
    </row>
    <row r="5907" spans="13:19" x14ac:dyDescent="0.25">
      <c r="M5907" s="514"/>
      <c r="Q5907" s="293"/>
      <c r="R5907" s="316"/>
      <c r="S5907" s="355"/>
    </row>
    <row r="5908" spans="13:19" x14ac:dyDescent="0.25">
      <c r="M5908" s="514"/>
      <c r="Q5908" s="293"/>
      <c r="R5908" s="316"/>
      <c r="S5908" s="355"/>
    </row>
    <row r="5909" spans="13:19" x14ac:dyDescent="0.25">
      <c r="M5909" s="514"/>
      <c r="Q5909" s="293"/>
      <c r="R5909" s="316"/>
      <c r="S5909" s="355"/>
    </row>
    <row r="5910" spans="13:19" x14ac:dyDescent="0.25">
      <c r="M5910" s="514"/>
      <c r="Q5910" s="293"/>
      <c r="R5910" s="316"/>
      <c r="S5910" s="355"/>
    </row>
    <row r="5911" spans="13:19" x14ac:dyDescent="0.25">
      <c r="M5911" s="514"/>
      <c r="Q5911" s="293"/>
      <c r="R5911" s="316"/>
      <c r="S5911" s="355"/>
    </row>
    <row r="5912" spans="13:19" x14ac:dyDescent="0.25">
      <c r="M5912" s="514"/>
      <c r="Q5912" s="293"/>
      <c r="R5912" s="316"/>
      <c r="S5912" s="355"/>
    </row>
    <row r="5913" spans="13:19" x14ac:dyDescent="0.25">
      <c r="M5913" s="514"/>
      <c r="Q5913" s="293"/>
      <c r="R5913" s="316"/>
      <c r="S5913" s="355"/>
    </row>
    <row r="5914" spans="13:19" x14ac:dyDescent="0.25">
      <c r="M5914" s="514"/>
      <c r="Q5914" s="293"/>
      <c r="R5914" s="316"/>
      <c r="S5914" s="355"/>
    </row>
    <row r="5915" spans="13:19" x14ac:dyDescent="0.25">
      <c r="M5915" s="514"/>
      <c r="Q5915" s="293"/>
      <c r="R5915" s="316"/>
      <c r="S5915" s="355"/>
    </row>
    <row r="5916" spans="13:19" x14ac:dyDescent="0.25">
      <c r="M5916" s="514"/>
      <c r="Q5916" s="293"/>
      <c r="R5916" s="316"/>
      <c r="S5916" s="355"/>
    </row>
    <row r="5917" spans="13:19" x14ac:dyDescent="0.25">
      <c r="M5917" s="514"/>
      <c r="Q5917" s="293"/>
      <c r="R5917" s="316"/>
      <c r="S5917" s="355"/>
    </row>
    <row r="5918" spans="13:19" x14ac:dyDescent="0.25">
      <c r="M5918" s="514"/>
      <c r="Q5918" s="293"/>
      <c r="R5918" s="316"/>
      <c r="S5918" s="355"/>
    </row>
    <row r="5919" spans="13:19" x14ac:dyDescent="0.25">
      <c r="M5919" s="514"/>
      <c r="Q5919" s="293"/>
      <c r="R5919" s="316"/>
      <c r="S5919" s="355"/>
    </row>
    <row r="5920" spans="13:19" x14ac:dyDescent="0.25">
      <c r="M5920" s="514"/>
      <c r="Q5920" s="293"/>
      <c r="R5920" s="316"/>
      <c r="S5920" s="355"/>
    </row>
    <row r="5921" spans="13:19" x14ac:dyDescent="0.25">
      <c r="M5921" s="514"/>
      <c r="Q5921" s="293"/>
      <c r="R5921" s="316"/>
      <c r="S5921" s="355"/>
    </row>
    <row r="5922" spans="13:19" x14ac:dyDescent="0.25">
      <c r="M5922" s="514"/>
      <c r="Q5922" s="293"/>
      <c r="R5922" s="316"/>
      <c r="S5922" s="355"/>
    </row>
    <row r="5923" spans="13:19" x14ac:dyDescent="0.25">
      <c r="M5923" s="514"/>
      <c r="Q5923" s="293"/>
      <c r="R5923" s="316"/>
      <c r="S5923" s="355"/>
    </row>
    <row r="5924" spans="13:19" x14ac:dyDescent="0.25">
      <c r="M5924" s="514"/>
      <c r="Q5924" s="293"/>
      <c r="R5924" s="316"/>
      <c r="S5924" s="355"/>
    </row>
    <row r="5925" spans="13:19" x14ac:dyDescent="0.25">
      <c r="M5925" s="514"/>
      <c r="Q5925" s="293"/>
      <c r="R5925" s="316"/>
      <c r="S5925" s="355"/>
    </row>
    <row r="5926" spans="13:19" x14ac:dyDescent="0.25">
      <c r="M5926" s="514"/>
      <c r="Q5926" s="293"/>
      <c r="R5926" s="316"/>
      <c r="S5926" s="355"/>
    </row>
    <row r="5927" spans="13:19" x14ac:dyDescent="0.25">
      <c r="M5927" s="514"/>
      <c r="Q5927" s="293"/>
      <c r="R5927" s="316"/>
      <c r="S5927" s="355"/>
    </row>
    <row r="5928" spans="13:19" x14ac:dyDescent="0.25">
      <c r="M5928" s="514"/>
      <c r="Q5928" s="293"/>
      <c r="R5928" s="316"/>
      <c r="S5928" s="355"/>
    </row>
    <row r="5929" spans="13:19" x14ac:dyDescent="0.25">
      <c r="M5929" s="514"/>
      <c r="Q5929" s="293"/>
      <c r="R5929" s="316"/>
      <c r="S5929" s="355"/>
    </row>
    <row r="5930" spans="13:19" x14ac:dyDescent="0.25">
      <c r="M5930" s="514"/>
      <c r="Q5930" s="293"/>
      <c r="R5930" s="316"/>
      <c r="S5930" s="355"/>
    </row>
    <row r="5931" spans="13:19" x14ac:dyDescent="0.25">
      <c r="M5931" s="514"/>
      <c r="Q5931" s="293"/>
      <c r="R5931" s="316"/>
      <c r="S5931" s="355"/>
    </row>
    <row r="5932" spans="13:19" x14ac:dyDescent="0.25">
      <c r="M5932" s="514"/>
      <c r="Q5932" s="293"/>
      <c r="R5932" s="316"/>
      <c r="S5932" s="355"/>
    </row>
    <row r="5933" spans="13:19" x14ac:dyDescent="0.25">
      <c r="M5933" s="514"/>
      <c r="Q5933" s="293"/>
      <c r="R5933" s="316"/>
      <c r="S5933" s="355"/>
    </row>
    <row r="5934" spans="13:19" x14ac:dyDescent="0.25">
      <c r="M5934" s="514"/>
      <c r="Q5934" s="293"/>
      <c r="R5934" s="316"/>
      <c r="S5934" s="355"/>
    </row>
    <row r="5935" spans="13:19" x14ac:dyDescent="0.25">
      <c r="M5935" s="514"/>
      <c r="Q5935" s="293"/>
      <c r="R5935" s="316"/>
      <c r="S5935" s="355"/>
    </row>
    <row r="5936" spans="13:19" x14ac:dyDescent="0.25">
      <c r="M5936" s="514"/>
      <c r="Q5936" s="293"/>
      <c r="R5936" s="316"/>
      <c r="S5936" s="355"/>
    </row>
    <row r="5937" spans="13:19" x14ac:dyDescent="0.25">
      <c r="M5937" s="514"/>
      <c r="Q5937" s="293"/>
      <c r="R5937" s="316"/>
      <c r="S5937" s="355"/>
    </row>
    <row r="5938" spans="13:19" x14ac:dyDescent="0.25">
      <c r="M5938" s="514"/>
      <c r="Q5938" s="293"/>
      <c r="R5938" s="316"/>
      <c r="S5938" s="355"/>
    </row>
    <row r="5939" spans="13:19" x14ac:dyDescent="0.25">
      <c r="M5939" s="514"/>
      <c r="Q5939" s="293"/>
      <c r="R5939" s="316"/>
      <c r="S5939" s="355"/>
    </row>
    <row r="5940" spans="13:19" x14ac:dyDescent="0.25">
      <c r="M5940" s="514"/>
      <c r="Q5940" s="293"/>
      <c r="R5940" s="316"/>
      <c r="S5940" s="355"/>
    </row>
    <row r="5941" spans="13:19" x14ac:dyDescent="0.25">
      <c r="M5941" s="514"/>
      <c r="Q5941" s="293"/>
      <c r="R5941" s="316"/>
      <c r="S5941" s="355"/>
    </row>
    <row r="5942" spans="13:19" x14ac:dyDescent="0.25">
      <c r="M5942" s="514"/>
      <c r="Q5942" s="293"/>
      <c r="R5942" s="316"/>
      <c r="S5942" s="355"/>
    </row>
    <row r="5943" spans="13:19" x14ac:dyDescent="0.25">
      <c r="M5943" s="514"/>
      <c r="Q5943" s="293"/>
      <c r="R5943" s="316"/>
      <c r="S5943" s="355"/>
    </row>
    <row r="5944" spans="13:19" x14ac:dyDescent="0.25">
      <c r="M5944" s="514"/>
      <c r="Q5944" s="293"/>
      <c r="R5944" s="316"/>
      <c r="S5944" s="355"/>
    </row>
    <row r="5945" spans="13:19" x14ac:dyDescent="0.25">
      <c r="M5945" s="514"/>
      <c r="Q5945" s="293"/>
      <c r="R5945" s="316"/>
      <c r="S5945" s="355"/>
    </row>
    <row r="5946" spans="13:19" x14ac:dyDescent="0.25">
      <c r="M5946" s="514"/>
      <c r="Q5946" s="293"/>
      <c r="R5946" s="316"/>
      <c r="S5946" s="355"/>
    </row>
    <row r="5947" spans="13:19" x14ac:dyDescent="0.25">
      <c r="M5947" s="514"/>
      <c r="Q5947" s="293"/>
      <c r="R5947" s="316"/>
      <c r="S5947" s="355"/>
    </row>
    <row r="5948" spans="13:19" x14ac:dyDescent="0.25">
      <c r="M5948" s="514"/>
      <c r="Q5948" s="293"/>
      <c r="R5948" s="316"/>
      <c r="S5948" s="355"/>
    </row>
    <row r="5949" spans="13:19" x14ac:dyDescent="0.25">
      <c r="M5949" s="514"/>
      <c r="Q5949" s="293"/>
      <c r="R5949" s="316"/>
      <c r="S5949" s="355"/>
    </row>
    <row r="5950" spans="13:19" x14ac:dyDescent="0.25">
      <c r="M5950" s="514"/>
      <c r="Q5950" s="293"/>
      <c r="R5950" s="316"/>
      <c r="S5950" s="355"/>
    </row>
    <row r="5951" spans="13:19" x14ac:dyDescent="0.25">
      <c r="M5951" s="514"/>
      <c r="Q5951" s="293"/>
      <c r="R5951" s="316"/>
      <c r="S5951" s="355"/>
    </row>
    <row r="5952" spans="13:19" x14ac:dyDescent="0.25">
      <c r="M5952" s="514"/>
      <c r="Q5952" s="293"/>
      <c r="R5952" s="316"/>
      <c r="S5952" s="355"/>
    </row>
    <row r="5953" spans="13:19" x14ac:dyDescent="0.25">
      <c r="M5953" s="514"/>
      <c r="Q5953" s="293"/>
      <c r="R5953" s="316"/>
      <c r="S5953" s="355"/>
    </row>
    <row r="5954" spans="13:19" x14ac:dyDescent="0.25">
      <c r="M5954" s="514"/>
      <c r="Q5954" s="293"/>
      <c r="R5954" s="316"/>
      <c r="S5954" s="355"/>
    </row>
    <row r="5955" spans="13:19" x14ac:dyDescent="0.25">
      <c r="M5955" s="514"/>
      <c r="Q5955" s="293"/>
      <c r="R5955" s="316"/>
      <c r="S5955" s="355"/>
    </row>
    <row r="5956" spans="13:19" x14ac:dyDescent="0.25">
      <c r="M5956" s="514"/>
      <c r="Q5956" s="293"/>
      <c r="R5956" s="316"/>
      <c r="S5956" s="355"/>
    </row>
    <row r="5957" spans="13:19" x14ac:dyDescent="0.25">
      <c r="M5957" s="514"/>
      <c r="Q5957" s="293"/>
      <c r="R5957" s="316"/>
      <c r="S5957" s="355"/>
    </row>
    <row r="5958" spans="13:19" x14ac:dyDescent="0.25">
      <c r="M5958" s="514"/>
      <c r="Q5958" s="293"/>
      <c r="R5958" s="316"/>
      <c r="S5958" s="355"/>
    </row>
    <row r="5959" spans="13:19" x14ac:dyDescent="0.25">
      <c r="M5959" s="514"/>
      <c r="Q5959" s="293"/>
      <c r="R5959" s="316"/>
      <c r="S5959" s="355"/>
    </row>
    <row r="5960" spans="13:19" x14ac:dyDescent="0.25">
      <c r="M5960" s="514"/>
      <c r="Q5960" s="293"/>
      <c r="R5960" s="316"/>
      <c r="S5960" s="355"/>
    </row>
    <row r="5961" spans="13:19" x14ac:dyDescent="0.25">
      <c r="M5961" s="514"/>
      <c r="Q5961" s="293"/>
      <c r="R5961" s="316"/>
      <c r="S5961" s="355"/>
    </row>
    <row r="5962" spans="13:19" x14ac:dyDescent="0.25">
      <c r="M5962" s="514"/>
      <c r="Q5962" s="293"/>
      <c r="R5962" s="316"/>
      <c r="S5962" s="355"/>
    </row>
    <row r="5963" spans="13:19" x14ac:dyDescent="0.25">
      <c r="M5963" s="514"/>
      <c r="Q5963" s="293"/>
      <c r="R5963" s="316"/>
      <c r="S5963" s="355"/>
    </row>
    <row r="5964" spans="13:19" x14ac:dyDescent="0.25">
      <c r="M5964" s="514"/>
      <c r="Q5964" s="293"/>
      <c r="R5964" s="316"/>
      <c r="S5964" s="355"/>
    </row>
    <row r="5965" spans="13:19" x14ac:dyDescent="0.25">
      <c r="M5965" s="514"/>
      <c r="Q5965" s="293"/>
      <c r="R5965" s="316"/>
      <c r="S5965" s="355"/>
    </row>
    <row r="5966" spans="13:19" x14ac:dyDescent="0.25">
      <c r="M5966" s="514"/>
      <c r="Q5966" s="293"/>
      <c r="R5966" s="316"/>
      <c r="S5966" s="355"/>
    </row>
    <row r="5967" spans="13:19" x14ac:dyDescent="0.25">
      <c r="M5967" s="514"/>
      <c r="Q5967" s="293"/>
      <c r="R5967" s="316"/>
      <c r="S5967" s="355"/>
    </row>
    <row r="5968" spans="13:19" x14ac:dyDescent="0.25">
      <c r="M5968" s="514"/>
      <c r="Q5968" s="293"/>
      <c r="R5968" s="316"/>
      <c r="S5968" s="355"/>
    </row>
    <row r="5969" spans="13:19" x14ac:dyDescent="0.25">
      <c r="M5969" s="514"/>
      <c r="Q5969" s="293"/>
      <c r="R5969" s="316"/>
      <c r="S5969" s="355"/>
    </row>
    <row r="5970" spans="13:19" x14ac:dyDescent="0.25">
      <c r="M5970" s="514"/>
      <c r="Q5970" s="293"/>
      <c r="R5970" s="316"/>
      <c r="S5970" s="355"/>
    </row>
    <row r="5971" spans="13:19" x14ac:dyDescent="0.25">
      <c r="M5971" s="514"/>
      <c r="Q5971" s="293"/>
      <c r="R5971" s="316"/>
      <c r="S5971" s="355"/>
    </row>
    <row r="5972" spans="13:19" x14ac:dyDescent="0.25">
      <c r="M5972" s="514"/>
      <c r="Q5972" s="293"/>
      <c r="R5972" s="316"/>
      <c r="S5972" s="355"/>
    </row>
    <row r="5973" spans="13:19" x14ac:dyDescent="0.25">
      <c r="M5973" s="514"/>
      <c r="Q5973" s="293"/>
      <c r="R5973" s="316"/>
      <c r="S5973" s="355"/>
    </row>
    <row r="5974" spans="13:19" x14ac:dyDescent="0.25">
      <c r="M5974" s="514"/>
      <c r="Q5974" s="293"/>
      <c r="R5974" s="316"/>
      <c r="S5974" s="355"/>
    </row>
    <row r="5975" spans="13:19" x14ac:dyDescent="0.25">
      <c r="M5975" s="514"/>
      <c r="Q5975" s="293"/>
      <c r="R5975" s="316"/>
      <c r="S5975" s="355"/>
    </row>
    <row r="5976" spans="13:19" x14ac:dyDescent="0.25">
      <c r="M5976" s="514"/>
      <c r="Q5976" s="293"/>
      <c r="R5976" s="316"/>
      <c r="S5976" s="355"/>
    </row>
    <row r="5977" spans="13:19" x14ac:dyDescent="0.25">
      <c r="M5977" s="514"/>
      <c r="Q5977" s="293"/>
      <c r="R5977" s="316"/>
      <c r="S5977" s="355"/>
    </row>
    <row r="5978" spans="13:19" x14ac:dyDescent="0.25">
      <c r="M5978" s="514"/>
      <c r="Q5978" s="293"/>
      <c r="R5978" s="316"/>
      <c r="S5978" s="355"/>
    </row>
    <row r="5979" spans="13:19" x14ac:dyDescent="0.25">
      <c r="M5979" s="514"/>
      <c r="Q5979" s="293"/>
      <c r="R5979" s="316"/>
      <c r="S5979" s="355"/>
    </row>
    <row r="5980" spans="13:19" x14ac:dyDescent="0.25">
      <c r="M5980" s="514"/>
      <c r="Q5980" s="293"/>
      <c r="R5980" s="316"/>
      <c r="S5980" s="355"/>
    </row>
    <row r="5981" spans="13:19" x14ac:dyDescent="0.25">
      <c r="M5981" s="514"/>
      <c r="Q5981" s="293"/>
      <c r="R5981" s="316"/>
      <c r="S5981" s="355"/>
    </row>
    <row r="5982" spans="13:19" x14ac:dyDescent="0.25">
      <c r="M5982" s="514"/>
      <c r="Q5982" s="293"/>
      <c r="R5982" s="316"/>
      <c r="S5982" s="355"/>
    </row>
    <row r="5983" spans="13:19" x14ac:dyDescent="0.25">
      <c r="M5983" s="514"/>
      <c r="Q5983" s="293"/>
      <c r="R5983" s="316"/>
      <c r="S5983" s="355"/>
    </row>
    <row r="5984" spans="13:19" x14ac:dyDescent="0.25">
      <c r="M5984" s="514"/>
      <c r="Q5984" s="293"/>
      <c r="R5984" s="316"/>
      <c r="S5984" s="355"/>
    </row>
    <row r="5985" spans="13:19" x14ac:dyDescent="0.25">
      <c r="M5985" s="514"/>
      <c r="Q5985" s="293"/>
      <c r="R5985" s="316"/>
      <c r="S5985" s="355"/>
    </row>
    <row r="5986" spans="13:19" x14ac:dyDescent="0.25">
      <c r="M5986" s="514"/>
      <c r="Q5986" s="293"/>
      <c r="R5986" s="316"/>
      <c r="S5986" s="355"/>
    </row>
    <row r="5987" spans="13:19" x14ac:dyDescent="0.25">
      <c r="M5987" s="514"/>
      <c r="Q5987" s="293"/>
      <c r="R5987" s="316"/>
      <c r="S5987" s="355"/>
    </row>
    <row r="5988" spans="13:19" x14ac:dyDescent="0.25">
      <c r="M5988" s="514"/>
      <c r="Q5988" s="293"/>
      <c r="R5988" s="316"/>
      <c r="S5988" s="355"/>
    </row>
    <row r="5989" spans="13:19" x14ac:dyDescent="0.25">
      <c r="M5989" s="514"/>
      <c r="Q5989" s="293"/>
      <c r="R5989" s="316"/>
      <c r="S5989" s="355"/>
    </row>
    <row r="5990" spans="13:19" x14ac:dyDescent="0.25">
      <c r="M5990" s="514"/>
      <c r="Q5990" s="293"/>
      <c r="R5990" s="316"/>
      <c r="S5990" s="355"/>
    </row>
    <row r="5991" spans="13:19" x14ac:dyDescent="0.25">
      <c r="M5991" s="514"/>
      <c r="Q5991" s="293"/>
      <c r="R5991" s="316"/>
      <c r="S5991" s="355"/>
    </row>
    <row r="5992" spans="13:19" x14ac:dyDescent="0.25">
      <c r="M5992" s="514"/>
      <c r="Q5992" s="293"/>
      <c r="R5992" s="316"/>
      <c r="S5992" s="355"/>
    </row>
    <row r="5993" spans="13:19" x14ac:dyDescent="0.25">
      <c r="M5993" s="514"/>
      <c r="Q5993" s="293"/>
      <c r="R5993" s="316"/>
      <c r="S5993" s="355"/>
    </row>
    <row r="5994" spans="13:19" x14ac:dyDescent="0.25">
      <c r="M5994" s="514"/>
      <c r="Q5994" s="293"/>
      <c r="R5994" s="316"/>
      <c r="S5994" s="355"/>
    </row>
    <row r="5995" spans="13:19" x14ac:dyDescent="0.25">
      <c r="M5995" s="514"/>
      <c r="Q5995" s="293"/>
      <c r="R5995" s="316"/>
      <c r="S5995" s="355"/>
    </row>
    <row r="5996" spans="13:19" x14ac:dyDescent="0.25">
      <c r="M5996" s="514"/>
      <c r="Q5996" s="293"/>
      <c r="R5996" s="316"/>
      <c r="S5996" s="355"/>
    </row>
    <row r="5997" spans="13:19" x14ac:dyDescent="0.25">
      <c r="M5997" s="514"/>
      <c r="Q5997" s="293"/>
      <c r="R5997" s="316"/>
      <c r="S5997" s="355"/>
    </row>
    <row r="5998" spans="13:19" x14ac:dyDescent="0.25">
      <c r="M5998" s="514"/>
      <c r="Q5998" s="293"/>
      <c r="R5998" s="316"/>
      <c r="S5998" s="355"/>
    </row>
    <row r="5999" spans="13:19" x14ac:dyDescent="0.25">
      <c r="M5999" s="514"/>
      <c r="Q5999" s="293"/>
      <c r="R5999" s="316"/>
      <c r="S5999" s="355"/>
    </row>
    <row r="6000" spans="13:19" x14ac:dyDescent="0.25">
      <c r="M6000" s="514"/>
      <c r="Q6000" s="293"/>
      <c r="R6000" s="316"/>
      <c r="S6000" s="355"/>
    </row>
    <row r="6001" spans="13:19" x14ac:dyDescent="0.25">
      <c r="M6001" s="514"/>
      <c r="Q6001" s="293"/>
      <c r="R6001" s="316"/>
      <c r="S6001" s="355"/>
    </row>
    <row r="6002" spans="13:19" x14ac:dyDescent="0.25">
      <c r="M6002" s="514"/>
      <c r="Q6002" s="293"/>
      <c r="R6002" s="316"/>
      <c r="S6002" s="355"/>
    </row>
    <row r="6003" spans="13:19" x14ac:dyDescent="0.25">
      <c r="M6003" s="514"/>
      <c r="Q6003" s="293"/>
      <c r="R6003" s="316"/>
      <c r="S6003" s="355"/>
    </row>
    <row r="6004" spans="13:19" x14ac:dyDescent="0.25">
      <c r="M6004" s="514"/>
      <c r="Q6004" s="293"/>
      <c r="R6004" s="316"/>
      <c r="S6004" s="355"/>
    </row>
    <row r="6005" spans="13:19" x14ac:dyDescent="0.25">
      <c r="M6005" s="514"/>
      <c r="Q6005" s="293"/>
      <c r="R6005" s="316"/>
      <c r="S6005" s="355"/>
    </row>
    <row r="6006" spans="13:19" x14ac:dyDescent="0.25">
      <c r="M6006" s="514"/>
      <c r="Q6006" s="293"/>
      <c r="R6006" s="316"/>
      <c r="S6006" s="355"/>
    </row>
    <row r="6007" spans="13:19" x14ac:dyDescent="0.25">
      <c r="M6007" s="514"/>
      <c r="Q6007" s="293"/>
      <c r="R6007" s="316"/>
      <c r="S6007" s="355"/>
    </row>
    <row r="6008" spans="13:19" x14ac:dyDescent="0.25">
      <c r="M6008" s="514"/>
      <c r="Q6008" s="293"/>
      <c r="R6008" s="316"/>
      <c r="S6008" s="355"/>
    </row>
    <row r="6009" spans="13:19" x14ac:dyDescent="0.25">
      <c r="M6009" s="514"/>
      <c r="Q6009" s="293"/>
      <c r="R6009" s="316"/>
      <c r="S6009" s="355"/>
    </row>
    <row r="6010" spans="13:19" x14ac:dyDescent="0.25">
      <c r="M6010" s="514"/>
      <c r="Q6010" s="293"/>
      <c r="R6010" s="316"/>
      <c r="S6010" s="355"/>
    </row>
    <row r="6011" spans="13:19" x14ac:dyDescent="0.25">
      <c r="M6011" s="514"/>
      <c r="Q6011" s="293"/>
      <c r="R6011" s="316"/>
      <c r="S6011" s="355"/>
    </row>
    <row r="6012" spans="13:19" x14ac:dyDescent="0.25">
      <c r="M6012" s="514"/>
      <c r="Q6012" s="293"/>
      <c r="R6012" s="316"/>
      <c r="S6012" s="355"/>
    </row>
    <row r="6013" spans="13:19" x14ac:dyDescent="0.25">
      <c r="M6013" s="514"/>
      <c r="Q6013" s="293"/>
      <c r="R6013" s="316"/>
      <c r="S6013" s="355"/>
    </row>
    <row r="6014" spans="13:19" x14ac:dyDescent="0.25">
      <c r="M6014" s="514"/>
      <c r="Q6014" s="293"/>
      <c r="R6014" s="316"/>
      <c r="S6014" s="355"/>
    </row>
    <row r="6015" spans="13:19" x14ac:dyDescent="0.25">
      <c r="M6015" s="514"/>
      <c r="Q6015" s="293"/>
      <c r="R6015" s="316"/>
      <c r="S6015" s="355"/>
    </row>
    <row r="6016" spans="13:19" x14ac:dyDescent="0.25">
      <c r="M6016" s="514"/>
      <c r="Q6016" s="293"/>
      <c r="R6016" s="316"/>
      <c r="S6016" s="355"/>
    </row>
    <row r="6017" spans="13:19" x14ac:dyDescent="0.25">
      <c r="M6017" s="514"/>
      <c r="Q6017" s="293"/>
      <c r="R6017" s="316"/>
      <c r="S6017" s="355"/>
    </row>
    <row r="6018" spans="13:19" x14ac:dyDescent="0.25">
      <c r="M6018" s="514"/>
      <c r="Q6018" s="293"/>
      <c r="R6018" s="316"/>
      <c r="S6018" s="355"/>
    </row>
    <row r="6019" spans="13:19" x14ac:dyDescent="0.25">
      <c r="M6019" s="514"/>
      <c r="Q6019" s="293"/>
      <c r="R6019" s="316"/>
      <c r="S6019" s="355"/>
    </row>
    <row r="6020" spans="13:19" x14ac:dyDescent="0.25">
      <c r="M6020" s="514"/>
      <c r="Q6020" s="293"/>
      <c r="R6020" s="316"/>
      <c r="S6020" s="355"/>
    </row>
    <row r="6021" spans="13:19" x14ac:dyDescent="0.25">
      <c r="M6021" s="514"/>
      <c r="Q6021" s="293"/>
      <c r="R6021" s="316"/>
      <c r="S6021" s="355"/>
    </row>
    <row r="6022" spans="13:19" x14ac:dyDescent="0.25">
      <c r="M6022" s="514"/>
      <c r="Q6022" s="293"/>
      <c r="R6022" s="316"/>
      <c r="S6022" s="355"/>
    </row>
    <row r="6023" spans="13:19" x14ac:dyDescent="0.25">
      <c r="M6023" s="514"/>
      <c r="Q6023" s="293"/>
      <c r="R6023" s="316"/>
      <c r="S6023" s="355"/>
    </row>
    <row r="6024" spans="13:19" x14ac:dyDescent="0.25">
      <c r="M6024" s="514"/>
      <c r="Q6024" s="293"/>
      <c r="R6024" s="316"/>
      <c r="S6024" s="355"/>
    </row>
    <row r="6025" spans="13:19" x14ac:dyDescent="0.25">
      <c r="M6025" s="514"/>
      <c r="Q6025" s="293"/>
      <c r="R6025" s="316"/>
      <c r="S6025" s="355"/>
    </row>
    <row r="6026" spans="13:19" x14ac:dyDescent="0.25">
      <c r="M6026" s="514"/>
      <c r="Q6026" s="293"/>
      <c r="R6026" s="316"/>
      <c r="S6026" s="355"/>
    </row>
    <row r="6027" spans="13:19" x14ac:dyDescent="0.25">
      <c r="M6027" s="514"/>
      <c r="Q6027" s="293"/>
      <c r="R6027" s="316"/>
      <c r="S6027" s="355"/>
    </row>
    <row r="6028" spans="13:19" x14ac:dyDescent="0.25">
      <c r="M6028" s="514"/>
      <c r="Q6028" s="293"/>
      <c r="R6028" s="316"/>
      <c r="S6028" s="355"/>
    </row>
    <row r="6029" spans="13:19" x14ac:dyDescent="0.25">
      <c r="M6029" s="514"/>
      <c r="Q6029" s="293"/>
      <c r="R6029" s="316"/>
      <c r="S6029" s="355"/>
    </row>
    <row r="6030" spans="13:19" x14ac:dyDescent="0.25">
      <c r="M6030" s="514"/>
      <c r="Q6030" s="293"/>
      <c r="R6030" s="316"/>
      <c r="S6030" s="355"/>
    </row>
    <row r="6031" spans="13:19" x14ac:dyDescent="0.25">
      <c r="M6031" s="514"/>
      <c r="Q6031" s="293"/>
      <c r="R6031" s="316"/>
      <c r="S6031" s="355"/>
    </row>
    <row r="6032" spans="13:19" x14ac:dyDescent="0.25">
      <c r="M6032" s="514"/>
      <c r="Q6032" s="293"/>
      <c r="R6032" s="316"/>
      <c r="S6032" s="355"/>
    </row>
    <row r="6033" spans="13:19" x14ac:dyDescent="0.25">
      <c r="M6033" s="514"/>
      <c r="Q6033" s="293"/>
      <c r="R6033" s="316"/>
      <c r="S6033" s="355"/>
    </row>
    <row r="6034" spans="13:19" x14ac:dyDescent="0.25">
      <c r="M6034" s="514"/>
      <c r="Q6034" s="293"/>
      <c r="R6034" s="316"/>
      <c r="S6034" s="355"/>
    </row>
    <row r="6035" spans="13:19" x14ac:dyDescent="0.25">
      <c r="M6035" s="514"/>
      <c r="Q6035" s="293"/>
      <c r="R6035" s="316"/>
      <c r="S6035" s="355"/>
    </row>
    <row r="6036" spans="13:19" x14ac:dyDescent="0.25">
      <c r="M6036" s="514"/>
      <c r="Q6036" s="293"/>
      <c r="R6036" s="316"/>
      <c r="S6036" s="355"/>
    </row>
    <row r="6037" spans="13:19" x14ac:dyDescent="0.25">
      <c r="M6037" s="514"/>
      <c r="Q6037" s="293"/>
      <c r="R6037" s="316"/>
      <c r="S6037" s="355"/>
    </row>
    <row r="6038" spans="13:19" x14ac:dyDescent="0.25">
      <c r="M6038" s="514"/>
      <c r="Q6038" s="293"/>
      <c r="R6038" s="316"/>
      <c r="S6038" s="355"/>
    </row>
    <row r="6039" spans="13:19" x14ac:dyDescent="0.25">
      <c r="M6039" s="514"/>
      <c r="Q6039" s="293"/>
      <c r="R6039" s="316"/>
      <c r="S6039" s="355"/>
    </row>
    <row r="6040" spans="13:19" x14ac:dyDescent="0.25">
      <c r="M6040" s="514"/>
      <c r="Q6040" s="293"/>
      <c r="R6040" s="316"/>
      <c r="S6040" s="355"/>
    </row>
    <row r="6041" spans="13:19" x14ac:dyDescent="0.25">
      <c r="M6041" s="514"/>
      <c r="Q6041" s="293"/>
      <c r="R6041" s="316"/>
      <c r="S6041" s="355"/>
    </row>
    <row r="6042" spans="13:19" x14ac:dyDescent="0.25">
      <c r="M6042" s="514"/>
      <c r="Q6042" s="293"/>
      <c r="R6042" s="316"/>
      <c r="S6042" s="355"/>
    </row>
    <row r="6043" spans="13:19" x14ac:dyDescent="0.25">
      <c r="M6043" s="514"/>
      <c r="Q6043" s="293"/>
      <c r="R6043" s="316"/>
      <c r="S6043" s="355"/>
    </row>
    <row r="6044" spans="13:19" x14ac:dyDescent="0.25">
      <c r="M6044" s="514"/>
      <c r="Q6044" s="293"/>
      <c r="R6044" s="316"/>
      <c r="S6044" s="355"/>
    </row>
    <row r="6045" spans="13:19" x14ac:dyDescent="0.25">
      <c r="M6045" s="514"/>
      <c r="Q6045" s="293"/>
      <c r="R6045" s="316"/>
      <c r="S6045" s="355"/>
    </row>
    <row r="6046" spans="13:19" x14ac:dyDescent="0.25">
      <c r="M6046" s="514"/>
      <c r="Q6046" s="293"/>
      <c r="R6046" s="316"/>
      <c r="S6046" s="355"/>
    </row>
    <row r="6047" spans="13:19" x14ac:dyDescent="0.25">
      <c r="M6047" s="514"/>
      <c r="Q6047" s="293"/>
      <c r="R6047" s="316"/>
      <c r="S6047" s="355"/>
    </row>
    <row r="6048" spans="13:19" x14ac:dyDescent="0.25">
      <c r="M6048" s="514"/>
      <c r="Q6048" s="293"/>
      <c r="R6048" s="316"/>
      <c r="S6048" s="355"/>
    </row>
    <row r="6049" spans="13:19" x14ac:dyDescent="0.25">
      <c r="M6049" s="514"/>
      <c r="Q6049" s="293"/>
      <c r="R6049" s="316"/>
      <c r="S6049" s="355"/>
    </row>
    <row r="6050" spans="13:19" x14ac:dyDescent="0.25">
      <c r="M6050" s="514"/>
      <c r="Q6050" s="293"/>
      <c r="R6050" s="316"/>
      <c r="S6050" s="355"/>
    </row>
    <row r="6051" spans="13:19" x14ac:dyDescent="0.25">
      <c r="M6051" s="514"/>
      <c r="Q6051" s="293"/>
      <c r="R6051" s="316"/>
      <c r="S6051" s="355"/>
    </row>
    <row r="6052" spans="13:19" x14ac:dyDescent="0.25">
      <c r="M6052" s="514"/>
      <c r="Q6052" s="293"/>
      <c r="R6052" s="316"/>
      <c r="S6052" s="355"/>
    </row>
    <row r="6053" spans="13:19" x14ac:dyDescent="0.25">
      <c r="M6053" s="514"/>
      <c r="Q6053" s="293"/>
      <c r="R6053" s="316"/>
      <c r="S6053" s="355"/>
    </row>
    <row r="6054" spans="13:19" x14ac:dyDescent="0.25">
      <c r="M6054" s="514"/>
      <c r="Q6054" s="293"/>
      <c r="R6054" s="316"/>
      <c r="S6054" s="355"/>
    </row>
    <row r="6055" spans="13:19" x14ac:dyDescent="0.25">
      <c r="M6055" s="514"/>
      <c r="Q6055" s="293"/>
      <c r="R6055" s="316"/>
      <c r="S6055" s="355"/>
    </row>
    <row r="6056" spans="13:19" x14ac:dyDescent="0.25">
      <c r="M6056" s="514"/>
      <c r="Q6056" s="293"/>
      <c r="R6056" s="316"/>
      <c r="S6056" s="355"/>
    </row>
    <row r="6057" spans="13:19" x14ac:dyDescent="0.25">
      <c r="M6057" s="514"/>
      <c r="Q6057" s="293"/>
      <c r="R6057" s="316"/>
      <c r="S6057" s="355"/>
    </row>
    <row r="6058" spans="13:19" x14ac:dyDescent="0.25">
      <c r="M6058" s="514"/>
      <c r="Q6058" s="293"/>
      <c r="R6058" s="316"/>
      <c r="S6058" s="355"/>
    </row>
    <row r="6059" spans="13:19" x14ac:dyDescent="0.25">
      <c r="M6059" s="514"/>
      <c r="Q6059" s="293"/>
      <c r="R6059" s="316"/>
      <c r="S6059" s="355"/>
    </row>
    <row r="6060" spans="13:19" x14ac:dyDescent="0.25">
      <c r="M6060" s="514"/>
      <c r="Q6060" s="293"/>
      <c r="R6060" s="316"/>
      <c r="S6060" s="355"/>
    </row>
    <row r="6061" spans="13:19" x14ac:dyDescent="0.25">
      <c r="M6061" s="514"/>
      <c r="Q6061" s="293"/>
      <c r="R6061" s="316"/>
      <c r="S6061" s="355"/>
    </row>
    <row r="6062" spans="13:19" x14ac:dyDescent="0.25">
      <c r="M6062" s="514"/>
      <c r="Q6062" s="293"/>
      <c r="R6062" s="316"/>
      <c r="S6062" s="355"/>
    </row>
    <row r="6063" spans="13:19" x14ac:dyDescent="0.25">
      <c r="M6063" s="514"/>
      <c r="Q6063" s="293"/>
      <c r="R6063" s="316"/>
      <c r="S6063" s="355"/>
    </row>
    <row r="6064" spans="13:19" x14ac:dyDescent="0.25">
      <c r="M6064" s="514"/>
      <c r="Q6064" s="293"/>
      <c r="R6064" s="316"/>
      <c r="S6064" s="355"/>
    </row>
    <row r="6065" spans="13:19" x14ac:dyDescent="0.25">
      <c r="M6065" s="514"/>
      <c r="Q6065" s="293"/>
      <c r="R6065" s="316"/>
      <c r="S6065" s="355"/>
    </row>
    <row r="6066" spans="13:19" x14ac:dyDescent="0.25">
      <c r="M6066" s="514"/>
      <c r="Q6066" s="293"/>
      <c r="R6066" s="316"/>
      <c r="S6066" s="355"/>
    </row>
    <row r="6067" spans="13:19" x14ac:dyDescent="0.25">
      <c r="M6067" s="514"/>
      <c r="Q6067" s="293"/>
      <c r="R6067" s="316"/>
      <c r="S6067" s="355"/>
    </row>
    <row r="6068" spans="13:19" x14ac:dyDescent="0.25">
      <c r="M6068" s="514"/>
      <c r="Q6068" s="293"/>
      <c r="R6068" s="316"/>
      <c r="S6068" s="355"/>
    </row>
    <row r="6069" spans="13:19" x14ac:dyDescent="0.25">
      <c r="M6069" s="514"/>
      <c r="Q6069" s="293"/>
      <c r="R6069" s="316"/>
      <c r="S6069" s="355"/>
    </row>
    <row r="6070" spans="13:19" x14ac:dyDescent="0.25">
      <c r="M6070" s="514"/>
      <c r="Q6070" s="293"/>
      <c r="R6070" s="316"/>
      <c r="S6070" s="355"/>
    </row>
    <row r="6071" spans="13:19" x14ac:dyDescent="0.25">
      <c r="M6071" s="514"/>
      <c r="Q6071" s="293"/>
      <c r="R6071" s="316"/>
      <c r="S6071" s="355"/>
    </row>
    <row r="6072" spans="13:19" x14ac:dyDescent="0.25">
      <c r="M6072" s="514"/>
      <c r="Q6072" s="293"/>
      <c r="R6072" s="316"/>
      <c r="S6072" s="355"/>
    </row>
    <row r="6073" spans="13:19" x14ac:dyDescent="0.25">
      <c r="M6073" s="514"/>
      <c r="Q6073" s="293"/>
      <c r="R6073" s="316"/>
      <c r="S6073" s="355"/>
    </row>
    <row r="6074" spans="13:19" x14ac:dyDescent="0.25">
      <c r="M6074" s="514"/>
      <c r="Q6074" s="293"/>
      <c r="R6074" s="316"/>
      <c r="S6074" s="355"/>
    </row>
    <row r="6075" spans="13:19" x14ac:dyDescent="0.25">
      <c r="M6075" s="514"/>
      <c r="Q6075" s="293"/>
      <c r="R6075" s="316"/>
      <c r="S6075" s="355"/>
    </row>
    <row r="6076" spans="13:19" x14ac:dyDescent="0.25">
      <c r="M6076" s="514"/>
      <c r="Q6076" s="293"/>
      <c r="R6076" s="316"/>
      <c r="S6076" s="355"/>
    </row>
    <row r="6077" spans="13:19" x14ac:dyDescent="0.25">
      <c r="M6077" s="514"/>
      <c r="Q6077" s="293"/>
      <c r="R6077" s="316"/>
      <c r="S6077" s="355"/>
    </row>
    <row r="6078" spans="13:19" x14ac:dyDescent="0.25">
      <c r="M6078" s="514"/>
      <c r="Q6078" s="293"/>
      <c r="R6078" s="316"/>
      <c r="S6078" s="355"/>
    </row>
    <row r="6079" spans="13:19" x14ac:dyDescent="0.25">
      <c r="M6079" s="514"/>
      <c r="Q6079" s="293"/>
      <c r="R6079" s="316"/>
      <c r="S6079" s="355"/>
    </row>
    <row r="6080" spans="13:19" x14ac:dyDescent="0.25">
      <c r="M6080" s="514"/>
      <c r="Q6080" s="293"/>
      <c r="R6080" s="316"/>
      <c r="S6080" s="355"/>
    </row>
    <row r="6081" spans="13:19" x14ac:dyDescent="0.25">
      <c r="M6081" s="514"/>
      <c r="Q6081" s="293"/>
      <c r="R6081" s="316"/>
      <c r="S6081" s="355"/>
    </row>
    <row r="6082" spans="13:19" x14ac:dyDescent="0.25">
      <c r="M6082" s="514"/>
      <c r="Q6082" s="293"/>
      <c r="R6082" s="316"/>
      <c r="S6082" s="355"/>
    </row>
    <row r="6083" spans="13:19" x14ac:dyDescent="0.25">
      <c r="M6083" s="514"/>
      <c r="Q6083" s="293"/>
      <c r="R6083" s="316"/>
      <c r="S6083" s="355"/>
    </row>
    <row r="6084" spans="13:19" x14ac:dyDescent="0.25">
      <c r="M6084" s="514"/>
      <c r="Q6084" s="293"/>
      <c r="R6084" s="316"/>
      <c r="S6084" s="355"/>
    </row>
    <row r="6085" spans="13:19" x14ac:dyDescent="0.25">
      <c r="M6085" s="514"/>
      <c r="Q6085" s="293"/>
      <c r="R6085" s="316"/>
      <c r="S6085" s="355"/>
    </row>
    <row r="6086" spans="13:19" x14ac:dyDescent="0.25">
      <c r="M6086" s="514"/>
      <c r="Q6086" s="293"/>
      <c r="R6086" s="316"/>
      <c r="S6086" s="355"/>
    </row>
    <row r="6087" spans="13:19" x14ac:dyDescent="0.25">
      <c r="M6087" s="514"/>
      <c r="Q6087" s="293"/>
      <c r="R6087" s="316"/>
      <c r="S6087" s="355"/>
    </row>
    <row r="6088" spans="13:19" x14ac:dyDescent="0.25">
      <c r="M6088" s="514"/>
      <c r="Q6088" s="293"/>
      <c r="R6088" s="316"/>
      <c r="S6088" s="355"/>
    </row>
    <row r="6089" spans="13:19" x14ac:dyDescent="0.25">
      <c r="M6089" s="514"/>
      <c r="Q6089" s="293"/>
      <c r="R6089" s="316"/>
      <c r="S6089" s="355"/>
    </row>
    <row r="6090" spans="13:19" x14ac:dyDescent="0.25">
      <c r="M6090" s="514"/>
      <c r="Q6090" s="293"/>
      <c r="R6090" s="316"/>
      <c r="S6090" s="355"/>
    </row>
    <row r="6091" spans="13:19" x14ac:dyDescent="0.25">
      <c r="M6091" s="514"/>
      <c r="Q6091" s="293"/>
      <c r="R6091" s="316"/>
      <c r="S6091" s="355"/>
    </row>
    <row r="6092" spans="13:19" x14ac:dyDescent="0.25">
      <c r="M6092" s="514"/>
      <c r="Q6092" s="293"/>
      <c r="R6092" s="316"/>
      <c r="S6092" s="355"/>
    </row>
    <row r="6093" spans="13:19" x14ac:dyDescent="0.25">
      <c r="M6093" s="514"/>
      <c r="Q6093" s="293"/>
      <c r="R6093" s="316"/>
      <c r="S6093" s="355"/>
    </row>
    <row r="6094" spans="13:19" x14ac:dyDescent="0.25">
      <c r="M6094" s="514"/>
      <c r="Q6094" s="293"/>
      <c r="R6094" s="316"/>
      <c r="S6094" s="355"/>
    </row>
    <row r="6095" spans="13:19" x14ac:dyDescent="0.25">
      <c r="M6095" s="514"/>
      <c r="Q6095" s="293"/>
      <c r="R6095" s="316"/>
      <c r="S6095" s="355"/>
    </row>
    <row r="6096" spans="13:19" x14ac:dyDescent="0.25">
      <c r="M6096" s="514"/>
      <c r="Q6096" s="293"/>
      <c r="R6096" s="316"/>
      <c r="S6096" s="355"/>
    </row>
    <row r="6097" spans="13:19" x14ac:dyDescent="0.25">
      <c r="M6097" s="514"/>
      <c r="Q6097" s="293"/>
      <c r="R6097" s="316"/>
      <c r="S6097" s="355"/>
    </row>
    <row r="6098" spans="13:19" x14ac:dyDescent="0.25">
      <c r="M6098" s="514"/>
      <c r="Q6098" s="293"/>
      <c r="R6098" s="316"/>
      <c r="S6098" s="355"/>
    </row>
    <row r="6099" spans="13:19" x14ac:dyDescent="0.25">
      <c r="M6099" s="514"/>
      <c r="Q6099" s="293"/>
      <c r="R6099" s="316"/>
      <c r="S6099" s="355"/>
    </row>
    <row r="6100" spans="13:19" x14ac:dyDescent="0.25">
      <c r="M6100" s="514"/>
      <c r="Q6100" s="293"/>
      <c r="R6100" s="316"/>
      <c r="S6100" s="355"/>
    </row>
    <row r="6101" spans="13:19" x14ac:dyDescent="0.25">
      <c r="M6101" s="514"/>
      <c r="Q6101" s="293"/>
      <c r="R6101" s="316"/>
      <c r="S6101" s="355"/>
    </row>
    <row r="6102" spans="13:19" x14ac:dyDescent="0.25">
      <c r="M6102" s="514"/>
      <c r="Q6102" s="293"/>
      <c r="R6102" s="316"/>
      <c r="S6102" s="355"/>
    </row>
    <row r="6103" spans="13:19" x14ac:dyDescent="0.25">
      <c r="M6103" s="514"/>
      <c r="Q6103" s="293"/>
      <c r="R6103" s="316"/>
      <c r="S6103" s="355"/>
    </row>
    <row r="6104" spans="13:19" x14ac:dyDescent="0.25">
      <c r="M6104" s="514"/>
      <c r="Q6104" s="293"/>
      <c r="R6104" s="316"/>
      <c r="S6104" s="355"/>
    </row>
    <row r="6105" spans="13:19" x14ac:dyDescent="0.25">
      <c r="M6105" s="514"/>
      <c r="Q6105" s="293"/>
      <c r="R6105" s="316"/>
      <c r="S6105" s="355"/>
    </row>
    <row r="6106" spans="13:19" x14ac:dyDescent="0.25">
      <c r="M6106" s="514"/>
      <c r="Q6106" s="293"/>
      <c r="R6106" s="316"/>
      <c r="S6106" s="355"/>
    </row>
    <row r="6107" spans="13:19" x14ac:dyDescent="0.25">
      <c r="M6107" s="514"/>
      <c r="Q6107" s="293"/>
      <c r="R6107" s="316"/>
      <c r="S6107" s="355"/>
    </row>
    <row r="6108" spans="13:19" x14ac:dyDescent="0.25">
      <c r="M6108" s="514"/>
      <c r="Q6108" s="293"/>
      <c r="R6108" s="316"/>
      <c r="S6108" s="355"/>
    </row>
    <row r="6109" spans="13:19" x14ac:dyDescent="0.25">
      <c r="M6109" s="514"/>
      <c r="Q6109" s="293"/>
      <c r="R6109" s="316"/>
      <c r="S6109" s="355"/>
    </row>
    <row r="6110" spans="13:19" x14ac:dyDescent="0.25">
      <c r="M6110" s="514"/>
      <c r="Q6110" s="293"/>
      <c r="R6110" s="316"/>
      <c r="S6110" s="355"/>
    </row>
    <row r="6111" spans="13:19" x14ac:dyDescent="0.25">
      <c r="M6111" s="514"/>
      <c r="Q6111" s="293"/>
      <c r="R6111" s="316"/>
      <c r="S6111" s="355"/>
    </row>
    <row r="6112" spans="13:19" x14ac:dyDescent="0.25">
      <c r="M6112" s="514"/>
      <c r="Q6112" s="293"/>
      <c r="R6112" s="316"/>
      <c r="S6112" s="355"/>
    </row>
    <row r="6113" spans="13:19" x14ac:dyDescent="0.25">
      <c r="M6113" s="514"/>
      <c r="Q6113" s="293"/>
      <c r="R6113" s="316"/>
      <c r="S6113" s="355"/>
    </row>
    <row r="6114" spans="13:19" x14ac:dyDescent="0.25">
      <c r="M6114" s="514"/>
      <c r="Q6114" s="293"/>
      <c r="R6114" s="316"/>
      <c r="S6114" s="355"/>
    </row>
    <row r="6115" spans="13:19" x14ac:dyDescent="0.25">
      <c r="M6115" s="514"/>
      <c r="Q6115" s="293"/>
      <c r="R6115" s="316"/>
      <c r="S6115" s="355"/>
    </row>
    <row r="6116" spans="13:19" x14ac:dyDescent="0.25">
      <c r="M6116" s="514"/>
      <c r="Q6116" s="293"/>
      <c r="R6116" s="316"/>
      <c r="S6116" s="355"/>
    </row>
    <row r="6117" spans="13:19" x14ac:dyDescent="0.25">
      <c r="M6117" s="514"/>
      <c r="Q6117" s="293"/>
      <c r="R6117" s="316"/>
      <c r="S6117" s="355"/>
    </row>
    <row r="6118" spans="13:19" x14ac:dyDescent="0.25">
      <c r="M6118" s="514"/>
      <c r="Q6118" s="293"/>
      <c r="R6118" s="316"/>
      <c r="S6118" s="355"/>
    </row>
    <row r="6119" spans="13:19" x14ac:dyDescent="0.25">
      <c r="M6119" s="514"/>
      <c r="Q6119" s="293"/>
      <c r="R6119" s="316"/>
      <c r="S6119" s="355"/>
    </row>
    <row r="6120" spans="13:19" x14ac:dyDescent="0.25">
      <c r="M6120" s="514"/>
      <c r="Q6120" s="293"/>
      <c r="R6120" s="316"/>
      <c r="S6120" s="355"/>
    </row>
    <row r="6121" spans="13:19" x14ac:dyDescent="0.25">
      <c r="M6121" s="514"/>
      <c r="Q6121" s="293"/>
      <c r="R6121" s="316"/>
      <c r="S6121" s="355"/>
    </row>
    <row r="6122" spans="13:19" x14ac:dyDescent="0.25">
      <c r="M6122" s="514"/>
      <c r="Q6122" s="293"/>
      <c r="R6122" s="316"/>
      <c r="S6122" s="355"/>
    </row>
    <row r="6123" spans="13:19" x14ac:dyDescent="0.25">
      <c r="M6123" s="514"/>
      <c r="Q6123" s="293"/>
      <c r="R6123" s="316"/>
      <c r="S6123" s="355"/>
    </row>
    <row r="6124" spans="13:19" x14ac:dyDescent="0.25">
      <c r="M6124" s="514"/>
      <c r="Q6124" s="293"/>
      <c r="R6124" s="316"/>
      <c r="S6124" s="355"/>
    </row>
    <row r="6125" spans="13:19" x14ac:dyDescent="0.25">
      <c r="M6125" s="514"/>
      <c r="Q6125" s="293"/>
      <c r="R6125" s="316"/>
      <c r="S6125" s="355"/>
    </row>
    <row r="6126" spans="13:19" x14ac:dyDescent="0.25">
      <c r="M6126" s="514"/>
      <c r="Q6126" s="293"/>
      <c r="R6126" s="316"/>
      <c r="S6126" s="355"/>
    </row>
    <row r="6127" spans="13:19" x14ac:dyDescent="0.25">
      <c r="M6127" s="514"/>
      <c r="Q6127" s="293"/>
      <c r="R6127" s="316"/>
      <c r="S6127" s="355"/>
    </row>
    <row r="6128" spans="13:19" x14ac:dyDescent="0.25">
      <c r="M6128" s="514"/>
      <c r="Q6128" s="293"/>
      <c r="R6128" s="316"/>
      <c r="S6128" s="355"/>
    </row>
    <row r="6129" spans="13:19" x14ac:dyDescent="0.25">
      <c r="M6129" s="514"/>
      <c r="Q6129" s="293"/>
      <c r="R6129" s="316"/>
      <c r="S6129" s="355"/>
    </row>
    <row r="6130" spans="13:19" x14ac:dyDescent="0.25">
      <c r="M6130" s="514"/>
      <c r="Q6130" s="293"/>
      <c r="R6130" s="316"/>
      <c r="S6130" s="355"/>
    </row>
    <row r="6131" spans="13:19" x14ac:dyDescent="0.25">
      <c r="M6131" s="514"/>
      <c r="Q6131" s="293"/>
      <c r="R6131" s="316"/>
      <c r="S6131" s="355"/>
    </row>
    <row r="6132" spans="13:19" x14ac:dyDescent="0.25">
      <c r="M6132" s="514"/>
      <c r="Q6132" s="293"/>
      <c r="R6132" s="316"/>
      <c r="S6132" s="355"/>
    </row>
    <row r="6133" spans="13:19" x14ac:dyDescent="0.25">
      <c r="M6133" s="514"/>
      <c r="Q6133" s="293"/>
      <c r="R6133" s="316"/>
      <c r="S6133" s="355"/>
    </row>
    <row r="6134" spans="13:19" x14ac:dyDescent="0.25">
      <c r="M6134" s="514"/>
      <c r="Q6134" s="293"/>
      <c r="R6134" s="316"/>
      <c r="S6134" s="355"/>
    </row>
    <row r="6135" spans="13:19" x14ac:dyDescent="0.25">
      <c r="M6135" s="514"/>
      <c r="Q6135" s="293"/>
      <c r="R6135" s="316"/>
      <c r="S6135" s="355"/>
    </row>
    <row r="6136" spans="13:19" x14ac:dyDescent="0.25">
      <c r="M6136" s="514"/>
      <c r="Q6136" s="293"/>
      <c r="R6136" s="316"/>
      <c r="S6136" s="355"/>
    </row>
    <row r="6137" spans="13:19" x14ac:dyDescent="0.25">
      <c r="M6137" s="514"/>
      <c r="Q6137" s="293"/>
      <c r="R6137" s="316"/>
      <c r="S6137" s="355"/>
    </row>
    <row r="6138" spans="13:19" x14ac:dyDescent="0.25">
      <c r="M6138" s="514"/>
      <c r="Q6138" s="293"/>
      <c r="R6138" s="316"/>
      <c r="S6138" s="355"/>
    </row>
    <row r="6139" spans="13:19" x14ac:dyDescent="0.25">
      <c r="M6139" s="514"/>
      <c r="Q6139" s="293"/>
      <c r="R6139" s="316"/>
      <c r="S6139" s="355"/>
    </row>
    <row r="6140" spans="13:19" x14ac:dyDescent="0.25">
      <c r="M6140" s="514"/>
      <c r="Q6140" s="293"/>
      <c r="R6140" s="316"/>
      <c r="S6140" s="355"/>
    </row>
    <row r="6141" spans="13:19" x14ac:dyDescent="0.25">
      <c r="M6141" s="514"/>
      <c r="Q6141" s="293"/>
      <c r="R6141" s="316"/>
      <c r="S6141" s="355"/>
    </row>
    <row r="6142" spans="13:19" x14ac:dyDescent="0.25">
      <c r="M6142" s="514"/>
      <c r="Q6142" s="293"/>
      <c r="R6142" s="316"/>
      <c r="S6142" s="355"/>
    </row>
    <row r="6143" spans="13:19" x14ac:dyDescent="0.25">
      <c r="M6143" s="514"/>
      <c r="Q6143" s="293"/>
      <c r="R6143" s="316"/>
      <c r="S6143" s="355"/>
    </row>
    <row r="6144" spans="13:19" x14ac:dyDescent="0.25">
      <c r="M6144" s="514"/>
      <c r="Q6144" s="293"/>
      <c r="R6144" s="316"/>
      <c r="S6144" s="355"/>
    </row>
    <row r="6145" spans="13:19" x14ac:dyDescent="0.25">
      <c r="M6145" s="514"/>
      <c r="Q6145" s="293"/>
      <c r="R6145" s="316"/>
      <c r="S6145" s="355"/>
    </row>
    <row r="6146" spans="13:19" x14ac:dyDescent="0.25">
      <c r="M6146" s="514"/>
      <c r="Q6146" s="293"/>
      <c r="R6146" s="316"/>
      <c r="S6146" s="355"/>
    </row>
    <row r="6147" spans="13:19" x14ac:dyDescent="0.25">
      <c r="M6147" s="514"/>
      <c r="Q6147" s="293"/>
      <c r="R6147" s="316"/>
      <c r="S6147" s="355"/>
    </row>
    <row r="6148" spans="13:19" x14ac:dyDescent="0.25">
      <c r="M6148" s="514"/>
      <c r="Q6148" s="293"/>
      <c r="R6148" s="316"/>
      <c r="S6148" s="355"/>
    </row>
    <row r="6149" spans="13:19" x14ac:dyDescent="0.25">
      <c r="M6149" s="514"/>
      <c r="Q6149" s="293"/>
      <c r="R6149" s="316"/>
      <c r="S6149" s="355"/>
    </row>
    <row r="6150" spans="13:19" x14ac:dyDescent="0.25">
      <c r="M6150" s="514"/>
      <c r="Q6150" s="293"/>
      <c r="R6150" s="316"/>
      <c r="S6150" s="355"/>
    </row>
    <row r="6151" spans="13:19" x14ac:dyDescent="0.25">
      <c r="M6151" s="514"/>
      <c r="Q6151" s="293"/>
      <c r="R6151" s="316"/>
      <c r="S6151" s="355"/>
    </row>
    <row r="6152" spans="13:19" x14ac:dyDescent="0.25">
      <c r="M6152" s="514"/>
      <c r="Q6152" s="293"/>
      <c r="R6152" s="316"/>
      <c r="S6152" s="355"/>
    </row>
    <row r="6153" spans="13:19" x14ac:dyDescent="0.25">
      <c r="M6153" s="514"/>
      <c r="Q6153" s="293"/>
      <c r="R6153" s="316"/>
      <c r="S6153" s="355"/>
    </row>
    <row r="6154" spans="13:19" x14ac:dyDescent="0.25">
      <c r="M6154" s="514"/>
      <c r="Q6154" s="293"/>
      <c r="R6154" s="316"/>
      <c r="S6154" s="355"/>
    </row>
    <row r="6155" spans="13:19" x14ac:dyDescent="0.25">
      <c r="M6155" s="514"/>
      <c r="Q6155" s="293"/>
      <c r="R6155" s="316"/>
      <c r="S6155" s="355"/>
    </row>
    <row r="6156" spans="13:19" x14ac:dyDescent="0.25">
      <c r="M6156" s="514"/>
      <c r="Q6156" s="293"/>
      <c r="R6156" s="316"/>
      <c r="S6156" s="355"/>
    </row>
    <row r="6157" spans="13:19" x14ac:dyDescent="0.25">
      <c r="M6157" s="514"/>
      <c r="Q6157" s="293"/>
      <c r="R6157" s="316"/>
      <c r="S6157" s="355"/>
    </row>
    <row r="6158" spans="13:19" x14ac:dyDescent="0.25">
      <c r="M6158" s="514"/>
      <c r="Q6158" s="293"/>
      <c r="R6158" s="316"/>
      <c r="S6158" s="355"/>
    </row>
    <row r="6159" spans="13:19" x14ac:dyDescent="0.25">
      <c r="M6159" s="514"/>
      <c r="Q6159" s="293"/>
      <c r="R6159" s="316"/>
      <c r="S6159" s="355"/>
    </row>
    <row r="6160" spans="13:19" x14ac:dyDescent="0.25">
      <c r="M6160" s="514"/>
      <c r="Q6160" s="293"/>
      <c r="R6160" s="316"/>
      <c r="S6160" s="355"/>
    </row>
    <row r="6161" spans="13:19" x14ac:dyDescent="0.25">
      <c r="M6161" s="514"/>
      <c r="Q6161" s="293"/>
      <c r="R6161" s="316"/>
      <c r="S6161" s="355"/>
    </row>
    <row r="6162" spans="13:19" x14ac:dyDescent="0.25">
      <c r="M6162" s="514"/>
      <c r="Q6162" s="293"/>
      <c r="R6162" s="316"/>
      <c r="S6162" s="355"/>
    </row>
    <row r="6163" spans="13:19" x14ac:dyDescent="0.25">
      <c r="M6163" s="514"/>
      <c r="Q6163" s="293"/>
      <c r="R6163" s="316"/>
      <c r="S6163" s="355"/>
    </row>
    <row r="6164" spans="13:19" x14ac:dyDescent="0.25">
      <c r="M6164" s="514"/>
      <c r="Q6164" s="293"/>
      <c r="R6164" s="316"/>
      <c r="S6164" s="355"/>
    </row>
    <row r="6165" spans="13:19" x14ac:dyDescent="0.25">
      <c r="M6165" s="514"/>
      <c r="Q6165" s="293"/>
      <c r="R6165" s="316"/>
      <c r="S6165" s="355"/>
    </row>
    <row r="6166" spans="13:19" x14ac:dyDescent="0.25">
      <c r="M6166" s="514"/>
      <c r="Q6166" s="293"/>
      <c r="R6166" s="316"/>
      <c r="S6166" s="355"/>
    </row>
    <row r="6167" spans="13:19" x14ac:dyDescent="0.25">
      <c r="M6167" s="514"/>
      <c r="Q6167" s="293"/>
      <c r="R6167" s="316"/>
      <c r="S6167" s="355"/>
    </row>
    <row r="6168" spans="13:19" x14ac:dyDescent="0.25">
      <c r="M6168" s="514"/>
      <c r="Q6168" s="293"/>
      <c r="R6168" s="316"/>
      <c r="S6168" s="355"/>
    </row>
    <row r="6169" spans="13:19" x14ac:dyDescent="0.25">
      <c r="M6169" s="514"/>
      <c r="Q6169" s="293"/>
      <c r="R6169" s="316"/>
      <c r="S6169" s="355"/>
    </row>
    <row r="6170" spans="13:19" x14ac:dyDescent="0.25">
      <c r="M6170" s="514"/>
      <c r="Q6170" s="293"/>
      <c r="R6170" s="316"/>
      <c r="S6170" s="355"/>
    </row>
    <row r="6171" spans="13:19" x14ac:dyDescent="0.25">
      <c r="M6171" s="514"/>
      <c r="Q6171" s="293"/>
      <c r="R6171" s="316"/>
      <c r="S6171" s="355"/>
    </row>
    <row r="6172" spans="13:19" x14ac:dyDescent="0.25">
      <c r="M6172" s="514"/>
      <c r="Q6172" s="293"/>
      <c r="R6172" s="316"/>
      <c r="S6172" s="355"/>
    </row>
    <row r="6173" spans="13:19" x14ac:dyDescent="0.25">
      <c r="M6173" s="514"/>
      <c r="Q6173" s="293"/>
      <c r="R6173" s="316"/>
      <c r="S6173" s="355"/>
    </row>
    <row r="6174" spans="13:19" x14ac:dyDescent="0.25">
      <c r="M6174" s="514"/>
      <c r="Q6174" s="293"/>
      <c r="R6174" s="316"/>
      <c r="S6174" s="355"/>
    </row>
    <row r="6175" spans="13:19" x14ac:dyDescent="0.25">
      <c r="M6175" s="514"/>
      <c r="Q6175" s="293"/>
      <c r="R6175" s="316"/>
      <c r="S6175" s="355"/>
    </row>
    <row r="6176" spans="13:19" x14ac:dyDescent="0.25">
      <c r="M6176" s="514"/>
      <c r="Q6176" s="293"/>
      <c r="R6176" s="316"/>
      <c r="S6176" s="355"/>
    </row>
    <row r="6177" spans="13:19" x14ac:dyDescent="0.25">
      <c r="M6177" s="514"/>
      <c r="Q6177" s="293"/>
      <c r="R6177" s="316"/>
      <c r="S6177" s="355"/>
    </row>
    <row r="6178" spans="13:19" x14ac:dyDescent="0.25">
      <c r="M6178" s="514"/>
      <c r="Q6178" s="293"/>
      <c r="R6178" s="316"/>
      <c r="S6178" s="355"/>
    </row>
    <row r="6179" spans="13:19" x14ac:dyDescent="0.25">
      <c r="M6179" s="514"/>
      <c r="Q6179" s="293"/>
      <c r="R6179" s="316"/>
      <c r="S6179" s="355"/>
    </row>
    <row r="6180" spans="13:19" x14ac:dyDescent="0.25">
      <c r="M6180" s="514"/>
      <c r="Q6180" s="293"/>
      <c r="R6180" s="316"/>
      <c r="S6180" s="355"/>
    </row>
    <row r="6181" spans="13:19" x14ac:dyDescent="0.25">
      <c r="M6181" s="514"/>
      <c r="Q6181" s="293"/>
      <c r="R6181" s="316"/>
      <c r="S6181" s="355"/>
    </row>
    <row r="6182" spans="13:19" x14ac:dyDescent="0.25">
      <c r="M6182" s="514"/>
      <c r="Q6182" s="293"/>
      <c r="R6182" s="316"/>
      <c r="S6182" s="355"/>
    </row>
    <row r="6183" spans="13:19" x14ac:dyDescent="0.25">
      <c r="M6183" s="514"/>
      <c r="Q6183" s="293"/>
      <c r="R6183" s="316"/>
      <c r="S6183" s="355"/>
    </row>
    <row r="6184" spans="13:19" x14ac:dyDescent="0.25">
      <c r="M6184" s="514"/>
      <c r="Q6184" s="293"/>
      <c r="R6184" s="316"/>
      <c r="S6184" s="355"/>
    </row>
    <row r="6185" spans="13:19" x14ac:dyDescent="0.25">
      <c r="M6185" s="514"/>
      <c r="Q6185" s="293"/>
      <c r="R6185" s="316"/>
      <c r="S6185" s="355"/>
    </row>
    <row r="6186" spans="13:19" x14ac:dyDescent="0.25">
      <c r="M6186" s="514"/>
      <c r="Q6186" s="293"/>
      <c r="R6186" s="316"/>
      <c r="S6186" s="355"/>
    </row>
    <row r="6187" spans="13:19" x14ac:dyDescent="0.25">
      <c r="M6187" s="514"/>
      <c r="Q6187" s="293"/>
      <c r="R6187" s="316"/>
      <c r="S6187" s="355"/>
    </row>
    <row r="6188" spans="13:19" x14ac:dyDescent="0.25">
      <c r="M6188" s="514"/>
      <c r="Q6188" s="293"/>
      <c r="R6188" s="316"/>
      <c r="S6188" s="355"/>
    </row>
    <row r="6189" spans="13:19" x14ac:dyDescent="0.25">
      <c r="M6189" s="514"/>
      <c r="Q6189" s="293"/>
      <c r="R6189" s="316"/>
      <c r="S6189" s="355"/>
    </row>
    <row r="6190" spans="13:19" x14ac:dyDescent="0.25">
      <c r="M6190" s="514"/>
      <c r="Q6190" s="293"/>
      <c r="R6190" s="316"/>
      <c r="S6190" s="355"/>
    </row>
    <row r="6191" spans="13:19" x14ac:dyDescent="0.25">
      <c r="M6191" s="514"/>
      <c r="Q6191" s="293"/>
      <c r="R6191" s="316"/>
      <c r="S6191" s="355"/>
    </row>
    <row r="6192" spans="13:19" x14ac:dyDescent="0.25">
      <c r="M6192" s="514"/>
      <c r="Q6192" s="293"/>
      <c r="R6192" s="316"/>
      <c r="S6192" s="355"/>
    </row>
    <row r="6193" spans="13:19" x14ac:dyDescent="0.25">
      <c r="M6193" s="514"/>
      <c r="Q6193" s="293"/>
      <c r="R6193" s="316"/>
      <c r="S6193" s="355"/>
    </row>
    <row r="6194" spans="13:19" x14ac:dyDescent="0.25">
      <c r="M6194" s="514"/>
      <c r="Q6194" s="293"/>
      <c r="R6194" s="316"/>
      <c r="S6194" s="355"/>
    </row>
    <row r="6195" spans="13:19" x14ac:dyDescent="0.25">
      <c r="M6195" s="514"/>
      <c r="Q6195" s="293"/>
      <c r="R6195" s="316"/>
      <c r="S6195" s="355"/>
    </row>
    <row r="6196" spans="13:19" x14ac:dyDescent="0.25">
      <c r="M6196" s="514"/>
      <c r="Q6196" s="293"/>
      <c r="R6196" s="316"/>
      <c r="S6196" s="355"/>
    </row>
    <row r="6197" spans="13:19" x14ac:dyDescent="0.25">
      <c r="M6197" s="514"/>
      <c r="Q6197" s="293"/>
      <c r="R6197" s="316"/>
      <c r="S6197" s="355"/>
    </row>
    <row r="6198" spans="13:19" x14ac:dyDescent="0.25">
      <c r="M6198" s="514"/>
      <c r="Q6198" s="293"/>
      <c r="R6198" s="316"/>
      <c r="S6198" s="355"/>
    </row>
    <row r="6199" spans="13:19" x14ac:dyDescent="0.25">
      <c r="M6199" s="514"/>
      <c r="Q6199" s="293"/>
      <c r="R6199" s="316"/>
      <c r="S6199" s="355"/>
    </row>
    <row r="6200" spans="13:19" x14ac:dyDescent="0.25">
      <c r="M6200" s="514"/>
      <c r="Q6200" s="293"/>
      <c r="R6200" s="316"/>
      <c r="S6200" s="355"/>
    </row>
    <row r="6201" spans="13:19" x14ac:dyDescent="0.25">
      <c r="M6201" s="514"/>
      <c r="Q6201" s="293"/>
      <c r="R6201" s="316"/>
      <c r="S6201" s="355"/>
    </row>
    <row r="6202" spans="13:19" x14ac:dyDescent="0.25">
      <c r="M6202" s="514"/>
      <c r="Q6202" s="293"/>
      <c r="R6202" s="316"/>
      <c r="S6202" s="355"/>
    </row>
    <row r="6203" spans="13:19" x14ac:dyDescent="0.25">
      <c r="M6203" s="514"/>
      <c r="Q6203" s="293"/>
      <c r="R6203" s="316"/>
      <c r="S6203" s="355"/>
    </row>
    <row r="6204" spans="13:19" x14ac:dyDescent="0.25">
      <c r="M6204" s="514"/>
      <c r="Q6204" s="293"/>
      <c r="R6204" s="316"/>
      <c r="S6204" s="355"/>
    </row>
    <row r="6205" spans="13:19" x14ac:dyDescent="0.25">
      <c r="M6205" s="514"/>
      <c r="Q6205" s="293"/>
      <c r="R6205" s="316"/>
      <c r="S6205" s="355"/>
    </row>
    <row r="6206" spans="13:19" x14ac:dyDescent="0.25">
      <c r="M6206" s="514"/>
      <c r="Q6206" s="293"/>
      <c r="R6206" s="316"/>
      <c r="S6206" s="355"/>
    </row>
    <row r="6207" spans="13:19" x14ac:dyDescent="0.25">
      <c r="M6207" s="514"/>
      <c r="Q6207" s="293"/>
      <c r="R6207" s="316"/>
      <c r="S6207" s="355"/>
    </row>
    <row r="6208" spans="13:19" x14ac:dyDescent="0.25">
      <c r="M6208" s="514"/>
      <c r="Q6208" s="293"/>
      <c r="R6208" s="316"/>
      <c r="S6208" s="355"/>
    </row>
    <row r="6209" spans="13:19" x14ac:dyDescent="0.25">
      <c r="M6209" s="514"/>
      <c r="Q6209" s="293"/>
      <c r="R6209" s="316"/>
      <c r="S6209" s="355"/>
    </row>
    <row r="6210" spans="13:19" x14ac:dyDescent="0.25">
      <c r="M6210" s="514"/>
      <c r="Q6210" s="293"/>
      <c r="R6210" s="316"/>
      <c r="S6210" s="355"/>
    </row>
    <row r="6211" spans="13:19" x14ac:dyDescent="0.25">
      <c r="M6211" s="514"/>
      <c r="Q6211" s="293"/>
      <c r="R6211" s="316"/>
      <c r="S6211" s="355"/>
    </row>
    <row r="6212" spans="13:19" x14ac:dyDescent="0.25">
      <c r="M6212" s="514"/>
      <c r="Q6212" s="293"/>
      <c r="R6212" s="316"/>
      <c r="S6212" s="355"/>
    </row>
    <row r="6213" spans="13:19" x14ac:dyDescent="0.25">
      <c r="M6213" s="514"/>
      <c r="Q6213" s="293"/>
      <c r="R6213" s="316"/>
      <c r="S6213" s="355"/>
    </row>
    <row r="6214" spans="13:19" x14ac:dyDescent="0.25">
      <c r="M6214" s="514"/>
      <c r="Q6214" s="293"/>
      <c r="R6214" s="316"/>
      <c r="S6214" s="355"/>
    </row>
    <row r="6215" spans="13:19" x14ac:dyDescent="0.25">
      <c r="M6215" s="514"/>
      <c r="Q6215" s="293"/>
      <c r="R6215" s="316"/>
      <c r="S6215" s="355"/>
    </row>
    <row r="6216" spans="13:19" x14ac:dyDescent="0.25">
      <c r="M6216" s="514"/>
      <c r="Q6216" s="293"/>
      <c r="R6216" s="316"/>
      <c r="S6216" s="355"/>
    </row>
    <row r="6217" spans="13:19" x14ac:dyDescent="0.25">
      <c r="M6217" s="514"/>
      <c r="Q6217" s="293"/>
      <c r="R6217" s="316"/>
      <c r="S6217" s="355"/>
    </row>
    <row r="6218" spans="13:19" x14ac:dyDescent="0.25">
      <c r="M6218" s="514"/>
      <c r="Q6218" s="293"/>
      <c r="R6218" s="316"/>
      <c r="S6218" s="355"/>
    </row>
    <row r="6219" spans="13:19" x14ac:dyDescent="0.25">
      <c r="M6219" s="514"/>
      <c r="Q6219" s="293"/>
      <c r="R6219" s="316"/>
      <c r="S6219" s="355"/>
    </row>
    <row r="6220" spans="13:19" x14ac:dyDescent="0.25">
      <c r="M6220" s="514"/>
      <c r="Q6220" s="293"/>
      <c r="R6220" s="316"/>
      <c r="S6220" s="355"/>
    </row>
    <row r="6221" spans="13:19" x14ac:dyDescent="0.25">
      <c r="M6221" s="514"/>
      <c r="Q6221" s="293"/>
      <c r="R6221" s="316"/>
      <c r="S6221" s="355"/>
    </row>
    <row r="6222" spans="13:19" x14ac:dyDescent="0.25">
      <c r="M6222" s="514"/>
      <c r="Q6222" s="293"/>
      <c r="R6222" s="316"/>
      <c r="S6222" s="355"/>
    </row>
    <row r="6223" spans="13:19" x14ac:dyDescent="0.25">
      <c r="M6223" s="514"/>
      <c r="Q6223" s="293"/>
      <c r="R6223" s="316"/>
      <c r="S6223" s="355"/>
    </row>
    <row r="6224" spans="13:19" x14ac:dyDescent="0.25">
      <c r="M6224" s="514"/>
      <c r="Q6224" s="293"/>
      <c r="R6224" s="316"/>
      <c r="S6224" s="355"/>
    </row>
    <row r="6225" spans="13:19" x14ac:dyDescent="0.25">
      <c r="M6225" s="514"/>
      <c r="Q6225" s="293"/>
      <c r="R6225" s="316"/>
      <c r="S6225" s="355"/>
    </row>
    <row r="6226" spans="13:19" x14ac:dyDescent="0.25">
      <c r="M6226" s="514"/>
      <c r="Q6226" s="293"/>
      <c r="R6226" s="316"/>
      <c r="S6226" s="355"/>
    </row>
    <row r="6227" spans="13:19" x14ac:dyDescent="0.25">
      <c r="M6227" s="514"/>
      <c r="Q6227" s="293"/>
      <c r="R6227" s="316"/>
      <c r="S6227" s="355"/>
    </row>
    <row r="6228" spans="13:19" x14ac:dyDescent="0.25">
      <c r="M6228" s="514"/>
      <c r="Q6228" s="293"/>
      <c r="R6228" s="316"/>
      <c r="S6228" s="355"/>
    </row>
    <row r="6229" spans="13:19" x14ac:dyDescent="0.25">
      <c r="M6229" s="514"/>
      <c r="Q6229" s="293"/>
      <c r="R6229" s="316"/>
      <c r="S6229" s="355"/>
    </row>
    <row r="6230" spans="13:19" x14ac:dyDescent="0.25">
      <c r="M6230" s="514"/>
      <c r="Q6230" s="293"/>
      <c r="R6230" s="316"/>
      <c r="S6230" s="355"/>
    </row>
    <row r="6231" spans="13:19" x14ac:dyDescent="0.25">
      <c r="M6231" s="514"/>
      <c r="Q6231" s="293"/>
      <c r="R6231" s="316"/>
      <c r="S6231" s="355"/>
    </row>
    <row r="6232" spans="13:19" x14ac:dyDescent="0.25">
      <c r="M6232" s="514"/>
      <c r="Q6232" s="293"/>
      <c r="R6232" s="316"/>
      <c r="S6232" s="355"/>
    </row>
    <row r="6233" spans="13:19" x14ac:dyDescent="0.25">
      <c r="M6233" s="514"/>
      <c r="Q6233" s="293"/>
      <c r="R6233" s="316"/>
      <c r="S6233" s="355"/>
    </row>
    <row r="6234" spans="13:19" x14ac:dyDescent="0.25">
      <c r="M6234" s="514"/>
      <c r="Q6234" s="293"/>
      <c r="R6234" s="316"/>
      <c r="S6234" s="355"/>
    </row>
    <row r="6235" spans="13:19" x14ac:dyDescent="0.25">
      <c r="M6235" s="514"/>
      <c r="Q6235" s="293"/>
      <c r="R6235" s="316"/>
      <c r="S6235" s="355"/>
    </row>
    <row r="6236" spans="13:19" x14ac:dyDescent="0.25">
      <c r="M6236" s="514"/>
      <c r="Q6236" s="293"/>
      <c r="R6236" s="316"/>
      <c r="S6236" s="355"/>
    </row>
    <row r="6237" spans="13:19" x14ac:dyDescent="0.25">
      <c r="M6237" s="514"/>
      <c r="Q6237" s="293"/>
      <c r="R6237" s="316"/>
      <c r="S6237" s="355"/>
    </row>
    <row r="6238" spans="13:19" x14ac:dyDescent="0.25">
      <c r="M6238" s="514"/>
      <c r="Q6238" s="293"/>
      <c r="R6238" s="316"/>
      <c r="S6238" s="355"/>
    </row>
    <row r="6239" spans="13:19" x14ac:dyDescent="0.25">
      <c r="M6239" s="514"/>
      <c r="Q6239" s="293"/>
      <c r="R6239" s="316"/>
      <c r="S6239" s="355"/>
    </row>
    <row r="6240" spans="13:19" x14ac:dyDescent="0.25">
      <c r="M6240" s="514"/>
      <c r="Q6240" s="293"/>
      <c r="R6240" s="316"/>
      <c r="S6240" s="355"/>
    </row>
    <row r="6241" spans="13:19" x14ac:dyDescent="0.25">
      <c r="M6241" s="514"/>
      <c r="Q6241" s="293"/>
      <c r="R6241" s="316"/>
      <c r="S6241" s="355"/>
    </row>
    <row r="6242" spans="13:19" x14ac:dyDescent="0.25">
      <c r="M6242" s="514"/>
      <c r="Q6242" s="293"/>
      <c r="R6242" s="316"/>
      <c r="S6242" s="355"/>
    </row>
    <row r="6243" spans="13:19" x14ac:dyDescent="0.25">
      <c r="M6243" s="514"/>
      <c r="Q6243" s="293"/>
      <c r="R6243" s="316"/>
      <c r="S6243" s="355"/>
    </row>
    <row r="6244" spans="13:19" x14ac:dyDescent="0.25">
      <c r="M6244" s="514"/>
      <c r="Q6244" s="293"/>
      <c r="R6244" s="316"/>
      <c r="S6244" s="355"/>
    </row>
    <row r="6245" spans="13:19" x14ac:dyDescent="0.25">
      <c r="M6245" s="514"/>
      <c r="Q6245" s="293"/>
      <c r="R6245" s="316"/>
      <c r="S6245" s="355"/>
    </row>
    <row r="6246" spans="13:19" x14ac:dyDescent="0.25">
      <c r="M6246" s="514"/>
      <c r="Q6246" s="293"/>
      <c r="R6246" s="316"/>
      <c r="S6246" s="355"/>
    </row>
    <row r="6247" spans="13:19" x14ac:dyDescent="0.25">
      <c r="M6247" s="514"/>
      <c r="Q6247" s="293"/>
      <c r="R6247" s="316"/>
      <c r="S6247" s="355"/>
    </row>
    <row r="6248" spans="13:19" x14ac:dyDescent="0.25">
      <c r="M6248" s="514"/>
      <c r="Q6248" s="293"/>
      <c r="R6248" s="316"/>
      <c r="S6248" s="355"/>
    </row>
    <row r="6249" spans="13:19" x14ac:dyDescent="0.25">
      <c r="M6249" s="514"/>
      <c r="Q6249" s="293"/>
      <c r="R6249" s="316"/>
      <c r="S6249" s="355"/>
    </row>
    <row r="6250" spans="13:19" x14ac:dyDescent="0.25">
      <c r="M6250" s="514"/>
      <c r="Q6250" s="293"/>
      <c r="R6250" s="316"/>
      <c r="S6250" s="355"/>
    </row>
    <row r="6251" spans="13:19" x14ac:dyDescent="0.25">
      <c r="M6251" s="514"/>
      <c r="Q6251" s="293"/>
      <c r="R6251" s="316"/>
      <c r="S6251" s="355"/>
    </row>
    <row r="6252" spans="13:19" x14ac:dyDescent="0.25">
      <c r="M6252" s="514"/>
      <c r="Q6252" s="293"/>
      <c r="R6252" s="316"/>
      <c r="S6252" s="355"/>
    </row>
    <row r="6253" spans="13:19" x14ac:dyDescent="0.25">
      <c r="M6253" s="514"/>
      <c r="Q6253" s="293"/>
      <c r="R6253" s="316"/>
      <c r="S6253" s="355"/>
    </row>
    <row r="6254" spans="13:19" x14ac:dyDescent="0.25">
      <c r="M6254" s="514"/>
      <c r="Q6254" s="293"/>
      <c r="R6254" s="316"/>
      <c r="S6254" s="355"/>
    </row>
    <row r="6255" spans="13:19" x14ac:dyDescent="0.25">
      <c r="M6255" s="514"/>
      <c r="Q6255" s="293"/>
      <c r="R6255" s="316"/>
      <c r="S6255" s="355"/>
    </row>
    <row r="6256" spans="13:19" x14ac:dyDescent="0.25">
      <c r="M6256" s="514"/>
      <c r="Q6256" s="293"/>
      <c r="R6256" s="316"/>
      <c r="S6256" s="355"/>
    </row>
    <row r="6257" spans="13:19" x14ac:dyDescent="0.25">
      <c r="M6257" s="514"/>
      <c r="Q6257" s="293"/>
      <c r="R6257" s="316"/>
      <c r="S6257" s="355"/>
    </row>
    <row r="6258" spans="13:19" x14ac:dyDescent="0.25">
      <c r="M6258" s="514"/>
      <c r="Q6258" s="293"/>
      <c r="R6258" s="316"/>
      <c r="S6258" s="355"/>
    </row>
    <row r="6259" spans="13:19" x14ac:dyDescent="0.25">
      <c r="M6259" s="514"/>
      <c r="Q6259" s="293"/>
      <c r="R6259" s="316"/>
      <c r="S6259" s="355"/>
    </row>
    <row r="6260" spans="13:19" x14ac:dyDescent="0.25">
      <c r="M6260" s="514"/>
      <c r="Q6260" s="293"/>
      <c r="R6260" s="316"/>
      <c r="S6260" s="355"/>
    </row>
    <row r="6261" spans="13:19" x14ac:dyDescent="0.25">
      <c r="M6261" s="514"/>
      <c r="Q6261" s="293"/>
      <c r="R6261" s="316"/>
      <c r="S6261" s="355"/>
    </row>
    <row r="6262" spans="13:19" x14ac:dyDescent="0.25">
      <c r="M6262" s="514"/>
      <c r="Q6262" s="293"/>
      <c r="R6262" s="316"/>
      <c r="S6262" s="355"/>
    </row>
    <row r="6263" spans="13:19" x14ac:dyDescent="0.25">
      <c r="M6263" s="514"/>
      <c r="Q6263" s="293"/>
      <c r="R6263" s="316"/>
      <c r="S6263" s="355"/>
    </row>
    <row r="6264" spans="13:19" x14ac:dyDescent="0.25">
      <c r="M6264" s="514"/>
      <c r="Q6264" s="293"/>
      <c r="R6264" s="316"/>
      <c r="S6264" s="355"/>
    </row>
    <row r="6265" spans="13:19" x14ac:dyDescent="0.25">
      <c r="M6265" s="514"/>
      <c r="Q6265" s="293"/>
      <c r="R6265" s="316"/>
      <c r="S6265" s="355"/>
    </row>
    <row r="6266" spans="13:19" x14ac:dyDescent="0.25">
      <c r="M6266" s="514"/>
      <c r="Q6266" s="293"/>
      <c r="R6266" s="316"/>
      <c r="S6266" s="355"/>
    </row>
    <row r="6267" spans="13:19" x14ac:dyDescent="0.25">
      <c r="M6267" s="514"/>
      <c r="Q6267" s="293"/>
      <c r="R6267" s="316"/>
      <c r="S6267" s="355"/>
    </row>
    <row r="6268" spans="13:19" x14ac:dyDescent="0.25">
      <c r="M6268" s="514"/>
      <c r="Q6268" s="293"/>
      <c r="R6268" s="316"/>
      <c r="S6268" s="355"/>
    </row>
    <row r="6269" spans="13:19" x14ac:dyDescent="0.25">
      <c r="M6269" s="514"/>
      <c r="Q6269" s="293"/>
      <c r="R6269" s="316"/>
      <c r="S6269" s="355"/>
    </row>
    <row r="6270" spans="13:19" x14ac:dyDescent="0.25">
      <c r="M6270" s="514"/>
      <c r="Q6270" s="293"/>
      <c r="R6270" s="316"/>
      <c r="S6270" s="355"/>
    </row>
    <row r="6271" spans="13:19" x14ac:dyDescent="0.25">
      <c r="M6271" s="514"/>
      <c r="Q6271" s="293"/>
      <c r="R6271" s="316"/>
      <c r="S6271" s="355"/>
    </row>
    <row r="6272" spans="13:19" x14ac:dyDescent="0.25">
      <c r="M6272" s="514"/>
      <c r="Q6272" s="293"/>
      <c r="R6272" s="316"/>
      <c r="S6272" s="355"/>
    </row>
    <row r="6273" spans="13:19" x14ac:dyDescent="0.25">
      <c r="M6273" s="514"/>
      <c r="Q6273" s="293"/>
      <c r="R6273" s="316"/>
      <c r="S6273" s="355"/>
    </row>
    <row r="6274" spans="13:19" x14ac:dyDescent="0.25">
      <c r="M6274" s="514"/>
      <c r="Q6274" s="293"/>
      <c r="R6274" s="316"/>
      <c r="S6274" s="355"/>
    </row>
    <row r="6275" spans="13:19" x14ac:dyDescent="0.25">
      <c r="M6275" s="514"/>
      <c r="Q6275" s="293"/>
      <c r="R6275" s="316"/>
      <c r="S6275" s="355"/>
    </row>
    <row r="6276" spans="13:19" x14ac:dyDescent="0.25">
      <c r="M6276" s="514"/>
      <c r="Q6276" s="293"/>
      <c r="R6276" s="316"/>
      <c r="S6276" s="355"/>
    </row>
    <row r="6277" spans="13:19" x14ac:dyDescent="0.25">
      <c r="M6277" s="514"/>
      <c r="Q6277" s="293"/>
      <c r="R6277" s="316"/>
      <c r="S6277" s="355"/>
    </row>
    <row r="6278" spans="13:19" x14ac:dyDescent="0.25">
      <c r="M6278" s="514"/>
      <c r="Q6278" s="293"/>
      <c r="R6278" s="316"/>
      <c r="S6278" s="355"/>
    </row>
    <row r="6279" spans="13:19" x14ac:dyDescent="0.25">
      <c r="M6279" s="514"/>
      <c r="Q6279" s="293"/>
      <c r="R6279" s="316"/>
      <c r="S6279" s="355"/>
    </row>
    <row r="6280" spans="13:19" x14ac:dyDescent="0.25">
      <c r="M6280" s="514"/>
      <c r="Q6280" s="293"/>
      <c r="R6280" s="316"/>
      <c r="S6280" s="355"/>
    </row>
    <row r="6281" spans="13:19" x14ac:dyDescent="0.25">
      <c r="M6281" s="514"/>
      <c r="Q6281" s="293"/>
      <c r="R6281" s="316"/>
      <c r="S6281" s="355"/>
    </row>
    <row r="6282" spans="13:19" x14ac:dyDescent="0.25">
      <c r="M6282" s="514"/>
      <c r="Q6282" s="293"/>
      <c r="R6282" s="316"/>
      <c r="S6282" s="355"/>
    </row>
    <row r="6283" spans="13:19" x14ac:dyDescent="0.25">
      <c r="M6283" s="514"/>
      <c r="Q6283" s="293"/>
      <c r="R6283" s="316"/>
      <c r="S6283" s="355"/>
    </row>
    <row r="6284" spans="13:19" x14ac:dyDescent="0.25">
      <c r="M6284" s="514"/>
      <c r="Q6284" s="293"/>
      <c r="R6284" s="316"/>
      <c r="S6284" s="355"/>
    </row>
    <row r="6285" spans="13:19" x14ac:dyDescent="0.25">
      <c r="M6285" s="514"/>
      <c r="Q6285" s="293"/>
      <c r="R6285" s="316"/>
      <c r="S6285" s="355"/>
    </row>
    <row r="6286" spans="13:19" x14ac:dyDescent="0.25">
      <c r="M6286" s="514"/>
      <c r="Q6286" s="293"/>
      <c r="R6286" s="316"/>
      <c r="S6286" s="355"/>
    </row>
    <row r="6287" spans="13:19" x14ac:dyDescent="0.25">
      <c r="M6287" s="514"/>
      <c r="Q6287" s="293"/>
      <c r="R6287" s="316"/>
      <c r="S6287" s="355"/>
    </row>
    <row r="6288" spans="13:19" x14ac:dyDescent="0.25">
      <c r="M6288" s="514"/>
      <c r="Q6288" s="293"/>
      <c r="R6288" s="316"/>
      <c r="S6288" s="355"/>
    </row>
    <row r="6289" spans="13:19" x14ac:dyDescent="0.25">
      <c r="M6289" s="514"/>
      <c r="Q6289" s="293"/>
      <c r="R6289" s="316"/>
      <c r="S6289" s="355"/>
    </row>
    <row r="6290" spans="13:19" x14ac:dyDescent="0.25">
      <c r="M6290" s="514"/>
      <c r="Q6290" s="293"/>
      <c r="R6290" s="316"/>
      <c r="S6290" s="355"/>
    </row>
    <row r="6291" spans="13:19" x14ac:dyDescent="0.25">
      <c r="M6291" s="514"/>
      <c r="Q6291" s="293"/>
      <c r="R6291" s="316"/>
      <c r="S6291" s="355"/>
    </row>
    <row r="6292" spans="13:19" x14ac:dyDescent="0.25">
      <c r="M6292" s="514"/>
      <c r="Q6292" s="293"/>
      <c r="R6292" s="316"/>
      <c r="S6292" s="355"/>
    </row>
    <row r="6293" spans="13:19" x14ac:dyDescent="0.25">
      <c r="M6293" s="514"/>
      <c r="Q6293" s="293"/>
      <c r="R6293" s="316"/>
      <c r="S6293" s="355"/>
    </row>
    <row r="6294" spans="13:19" x14ac:dyDescent="0.25">
      <c r="M6294" s="514"/>
      <c r="Q6294" s="293"/>
      <c r="R6294" s="316"/>
      <c r="S6294" s="355"/>
    </row>
    <row r="6295" spans="13:19" x14ac:dyDescent="0.25">
      <c r="M6295" s="514"/>
      <c r="Q6295" s="293"/>
      <c r="R6295" s="316"/>
      <c r="S6295" s="355"/>
    </row>
    <row r="6296" spans="13:19" x14ac:dyDescent="0.25">
      <c r="M6296" s="514"/>
      <c r="Q6296" s="293"/>
      <c r="R6296" s="316"/>
      <c r="S6296" s="355"/>
    </row>
    <row r="6297" spans="13:19" x14ac:dyDescent="0.25">
      <c r="M6297" s="514"/>
      <c r="Q6297" s="293"/>
      <c r="R6297" s="316"/>
      <c r="S6297" s="355"/>
    </row>
    <row r="6298" spans="13:19" x14ac:dyDescent="0.25">
      <c r="M6298" s="514"/>
      <c r="Q6298" s="293"/>
      <c r="R6298" s="316"/>
      <c r="S6298" s="355"/>
    </row>
    <row r="6299" spans="13:19" x14ac:dyDescent="0.25">
      <c r="M6299" s="514"/>
      <c r="Q6299" s="293"/>
      <c r="R6299" s="316"/>
      <c r="S6299" s="355"/>
    </row>
    <row r="6300" spans="13:19" x14ac:dyDescent="0.25">
      <c r="M6300" s="514"/>
      <c r="Q6300" s="293"/>
      <c r="R6300" s="316"/>
      <c r="S6300" s="355"/>
    </row>
    <row r="6301" spans="13:19" x14ac:dyDescent="0.25">
      <c r="M6301" s="514"/>
      <c r="Q6301" s="293"/>
      <c r="R6301" s="316"/>
      <c r="S6301" s="355"/>
    </row>
    <row r="6302" spans="13:19" x14ac:dyDescent="0.25">
      <c r="M6302" s="514"/>
      <c r="Q6302" s="293"/>
      <c r="R6302" s="316"/>
      <c r="S6302" s="355"/>
    </row>
    <row r="6303" spans="13:19" x14ac:dyDescent="0.25">
      <c r="M6303" s="514"/>
      <c r="Q6303" s="293"/>
      <c r="R6303" s="316"/>
      <c r="S6303" s="355"/>
    </row>
    <row r="6304" spans="13:19" x14ac:dyDescent="0.25">
      <c r="M6304" s="514"/>
      <c r="Q6304" s="293"/>
      <c r="R6304" s="316"/>
      <c r="S6304" s="355"/>
    </row>
    <row r="6305" spans="13:19" x14ac:dyDescent="0.25">
      <c r="M6305" s="514"/>
      <c r="Q6305" s="293"/>
      <c r="R6305" s="316"/>
      <c r="S6305" s="355"/>
    </row>
    <row r="6306" spans="13:19" x14ac:dyDescent="0.25">
      <c r="M6306" s="514"/>
      <c r="Q6306" s="293"/>
      <c r="R6306" s="316"/>
      <c r="S6306" s="355"/>
    </row>
    <row r="6307" spans="13:19" x14ac:dyDescent="0.25">
      <c r="M6307" s="514"/>
      <c r="Q6307" s="293"/>
      <c r="R6307" s="316"/>
      <c r="S6307" s="355"/>
    </row>
    <row r="6308" spans="13:19" x14ac:dyDescent="0.25">
      <c r="M6308" s="514"/>
      <c r="Q6308" s="293"/>
      <c r="R6308" s="316"/>
      <c r="S6308" s="355"/>
    </row>
    <row r="6309" spans="13:19" x14ac:dyDescent="0.25">
      <c r="M6309" s="514"/>
      <c r="Q6309" s="293"/>
      <c r="R6309" s="316"/>
      <c r="S6309" s="355"/>
    </row>
    <row r="6310" spans="13:19" x14ac:dyDescent="0.25">
      <c r="M6310" s="514"/>
      <c r="Q6310" s="293"/>
      <c r="R6310" s="316"/>
      <c r="S6310" s="355"/>
    </row>
    <row r="6311" spans="13:19" x14ac:dyDescent="0.25">
      <c r="M6311" s="514"/>
      <c r="Q6311" s="293"/>
      <c r="R6311" s="316"/>
      <c r="S6311" s="355"/>
    </row>
    <row r="6312" spans="13:19" x14ac:dyDescent="0.25">
      <c r="M6312" s="514"/>
      <c r="Q6312" s="293"/>
      <c r="R6312" s="316"/>
      <c r="S6312" s="355"/>
    </row>
    <row r="6313" spans="13:19" x14ac:dyDescent="0.25">
      <c r="M6313" s="514"/>
      <c r="Q6313" s="293"/>
      <c r="R6313" s="316"/>
      <c r="S6313" s="355"/>
    </row>
    <row r="6314" spans="13:19" x14ac:dyDescent="0.25">
      <c r="M6314" s="514"/>
      <c r="Q6314" s="293"/>
      <c r="R6314" s="316"/>
      <c r="S6314" s="355"/>
    </row>
    <row r="6315" spans="13:19" x14ac:dyDescent="0.25">
      <c r="M6315" s="514"/>
      <c r="Q6315" s="293"/>
      <c r="R6315" s="316"/>
      <c r="S6315" s="355"/>
    </row>
    <row r="6316" spans="13:19" x14ac:dyDescent="0.25">
      <c r="M6316" s="514"/>
      <c r="Q6316" s="293"/>
      <c r="R6316" s="316"/>
      <c r="S6316" s="355"/>
    </row>
    <row r="6317" spans="13:19" x14ac:dyDescent="0.25">
      <c r="M6317" s="514"/>
      <c r="Q6317" s="293"/>
      <c r="R6317" s="316"/>
      <c r="S6317" s="355"/>
    </row>
    <row r="6318" spans="13:19" x14ac:dyDescent="0.25">
      <c r="M6318" s="514"/>
      <c r="Q6318" s="293"/>
      <c r="R6318" s="316"/>
      <c r="S6318" s="355"/>
    </row>
    <row r="6319" spans="13:19" x14ac:dyDescent="0.25">
      <c r="M6319" s="514"/>
      <c r="Q6319" s="293"/>
      <c r="R6319" s="316"/>
      <c r="S6319" s="355"/>
    </row>
    <row r="6320" spans="13:19" x14ac:dyDescent="0.25">
      <c r="M6320" s="514"/>
      <c r="Q6320" s="293"/>
      <c r="R6320" s="316"/>
      <c r="S6320" s="355"/>
    </row>
    <row r="6321" spans="13:19" x14ac:dyDescent="0.25">
      <c r="M6321" s="514"/>
      <c r="Q6321" s="293"/>
      <c r="R6321" s="316"/>
      <c r="S6321" s="355"/>
    </row>
    <row r="6322" spans="13:19" x14ac:dyDescent="0.25">
      <c r="M6322" s="514"/>
      <c r="Q6322" s="293"/>
      <c r="R6322" s="316"/>
      <c r="S6322" s="355"/>
    </row>
    <row r="6323" spans="13:19" x14ac:dyDescent="0.25">
      <c r="M6323" s="514"/>
      <c r="Q6323" s="293"/>
      <c r="R6323" s="316"/>
      <c r="S6323" s="355"/>
    </row>
    <row r="6324" spans="13:19" x14ac:dyDescent="0.25">
      <c r="M6324" s="514"/>
      <c r="Q6324" s="293"/>
      <c r="R6324" s="316"/>
      <c r="S6324" s="355"/>
    </row>
    <row r="6325" spans="13:19" x14ac:dyDescent="0.25">
      <c r="M6325" s="514"/>
      <c r="Q6325" s="293"/>
      <c r="R6325" s="316"/>
      <c r="S6325" s="355"/>
    </row>
    <row r="6326" spans="13:19" x14ac:dyDescent="0.25">
      <c r="M6326" s="514"/>
      <c r="Q6326" s="293"/>
      <c r="R6326" s="316"/>
      <c r="S6326" s="355"/>
    </row>
    <row r="6327" spans="13:19" x14ac:dyDescent="0.25">
      <c r="M6327" s="514"/>
      <c r="Q6327" s="293"/>
      <c r="R6327" s="316"/>
      <c r="S6327" s="355"/>
    </row>
    <row r="6328" spans="13:19" x14ac:dyDescent="0.25">
      <c r="M6328" s="514"/>
      <c r="Q6328" s="293"/>
      <c r="R6328" s="316"/>
      <c r="S6328" s="355"/>
    </row>
    <row r="6329" spans="13:19" x14ac:dyDescent="0.25">
      <c r="M6329" s="514"/>
      <c r="Q6329" s="293"/>
      <c r="R6329" s="316"/>
      <c r="S6329" s="355"/>
    </row>
    <row r="6330" spans="13:19" x14ac:dyDescent="0.25">
      <c r="M6330" s="514"/>
      <c r="Q6330" s="293"/>
      <c r="R6330" s="316"/>
      <c r="S6330" s="355"/>
    </row>
    <row r="6331" spans="13:19" x14ac:dyDescent="0.25">
      <c r="M6331" s="514"/>
      <c r="Q6331" s="293"/>
      <c r="R6331" s="316"/>
      <c r="S6331" s="355"/>
    </row>
    <row r="6332" spans="13:19" x14ac:dyDescent="0.25">
      <c r="M6332" s="514"/>
      <c r="Q6332" s="293"/>
      <c r="R6332" s="316"/>
      <c r="S6332" s="355"/>
    </row>
    <row r="6333" spans="13:19" x14ac:dyDescent="0.25">
      <c r="M6333" s="514"/>
      <c r="Q6333" s="293"/>
      <c r="R6333" s="316"/>
      <c r="S6333" s="355"/>
    </row>
    <row r="6334" spans="13:19" x14ac:dyDescent="0.25">
      <c r="M6334" s="514"/>
      <c r="Q6334" s="293"/>
      <c r="R6334" s="316"/>
      <c r="S6334" s="355"/>
    </row>
    <row r="6335" spans="13:19" x14ac:dyDescent="0.25">
      <c r="M6335" s="514"/>
      <c r="Q6335" s="293"/>
      <c r="R6335" s="316"/>
      <c r="S6335" s="355"/>
    </row>
    <row r="6336" spans="13:19" x14ac:dyDescent="0.25">
      <c r="M6336" s="514"/>
      <c r="Q6336" s="293"/>
      <c r="R6336" s="316"/>
      <c r="S6336" s="355"/>
    </row>
    <row r="6337" spans="13:19" x14ac:dyDescent="0.25">
      <c r="M6337" s="514"/>
      <c r="Q6337" s="293"/>
      <c r="R6337" s="316"/>
      <c r="S6337" s="355"/>
    </row>
    <row r="6338" spans="13:19" x14ac:dyDescent="0.25">
      <c r="M6338" s="514"/>
      <c r="Q6338" s="293"/>
      <c r="R6338" s="316"/>
      <c r="S6338" s="355"/>
    </row>
    <row r="6339" spans="13:19" x14ac:dyDescent="0.25">
      <c r="M6339" s="514"/>
      <c r="Q6339" s="293"/>
      <c r="R6339" s="316"/>
      <c r="S6339" s="355"/>
    </row>
    <row r="6340" spans="13:19" x14ac:dyDescent="0.25">
      <c r="M6340" s="514"/>
      <c r="Q6340" s="293"/>
      <c r="R6340" s="316"/>
      <c r="S6340" s="355"/>
    </row>
    <row r="6341" spans="13:19" x14ac:dyDescent="0.25">
      <c r="M6341" s="514"/>
      <c r="Q6341" s="293"/>
      <c r="R6341" s="316"/>
      <c r="S6341" s="355"/>
    </row>
    <row r="6342" spans="13:19" x14ac:dyDescent="0.25">
      <c r="M6342" s="514"/>
      <c r="Q6342" s="293"/>
      <c r="R6342" s="316"/>
      <c r="S6342" s="355"/>
    </row>
    <row r="6343" spans="13:19" x14ac:dyDescent="0.25">
      <c r="M6343" s="514"/>
      <c r="Q6343" s="293"/>
      <c r="R6343" s="316"/>
      <c r="S6343" s="355"/>
    </row>
    <row r="6344" spans="13:19" x14ac:dyDescent="0.25">
      <c r="M6344" s="514"/>
      <c r="Q6344" s="293"/>
      <c r="R6344" s="316"/>
      <c r="S6344" s="355"/>
    </row>
    <row r="6345" spans="13:19" x14ac:dyDescent="0.25">
      <c r="M6345" s="514"/>
      <c r="Q6345" s="293"/>
      <c r="R6345" s="316"/>
      <c r="S6345" s="355"/>
    </row>
    <row r="6346" spans="13:19" x14ac:dyDescent="0.25">
      <c r="M6346" s="514"/>
      <c r="Q6346" s="293"/>
      <c r="R6346" s="316"/>
      <c r="S6346" s="355"/>
    </row>
    <row r="6347" spans="13:19" x14ac:dyDescent="0.25">
      <c r="M6347" s="514"/>
      <c r="Q6347" s="293"/>
      <c r="R6347" s="316"/>
      <c r="S6347" s="355"/>
    </row>
    <row r="6348" spans="13:19" x14ac:dyDescent="0.25">
      <c r="M6348" s="514"/>
      <c r="Q6348" s="293"/>
      <c r="R6348" s="316"/>
      <c r="S6348" s="355"/>
    </row>
    <row r="6349" spans="13:19" x14ac:dyDescent="0.25">
      <c r="M6349" s="514"/>
      <c r="Q6349" s="293"/>
      <c r="R6349" s="316"/>
      <c r="S6349" s="355"/>
    </row>
    <row r="6350" spans="13:19" x14ac:dyDescent="0.25">
      <c r="M6350" s="514"/>
      <c r="Q6350" s="293"/>
      <c r="R6350" s="316"/>
      <c r="S6350" s="355"/>
    </row>
    <row r="6351" spans="13:19" x14ac:dyDescent="0.25">
      <c r="M6351" s="514"/>
      <c r="Q6351" s="293"/>
      <c r="R6351" s="316"/>
      <c r="S6351" s="355"/>
    </row>
    <row r="6352" spans="13:19" x14ac:dyDescent="0.25">
      <c r="M6352" s="514"/>
      <c r="Q6352" s="293"/>
      <c r="R6352" s="316"/>
      <c r="S6352" s="355"/>
    </row>
    <row r="6353" spans="13:19" x14ac:dyDescent="0.25">
      <c r="M6353" s="514"/>
      <c r="Q6353" s="293"/>
      <c r="R6353" s="316"/>
      <c r="S6353" s="355"/>
    </row>
    <row r="6354" spans="13:19" x14ac:dyDescent="0.25">
      <c r="M6354" s="514"/>
      <c r="Q6354" s="293"/>
      <c r="R6354" s="316"/>
      <c r="S6354" s="355"/>
    </row>
    <row r="6355" spans="13:19" x14ac:dyDescent="0.25">
      <c r="M6355" s="514"/>
      <c r="Q6355" s="293"/>
      <c r="R6355" s="316"/>
      <c r="S6355" s="355"/>
    </row>
    <row r="6356" spans="13:19" x14ac:dyDescent="0.25">
      <c r="M6356" s="514"/>
      <c r="Q6356" s="293"/>
      <c r="R6356" s="316"/>
      <c r="S6356" s="355"/>
    </row>
    <row r="6357" spans="13:19" x14ac:dyDescent="0.25">
      <c r="M6357" s="514"/>
      <c r="Q6357" s="293"/>
      <c r="R6357" s="316"/>
      <c r="S6357" s="355"/>
    </row>
    <row r="6358" spans="13:19" x14ac:dyDescent="0.25">
      <c r="M6358" s="514"/>
      <c r="Q6358" s="293"/>
      <c r="R6358" s="316"/>
      <c r="S6358" s="355"/>
    </row>
    <row r="6359" spans="13:19" x14ac:dyDescent="0.25">
      <c r="M6359" s="514"/>
      <c r="Q6359" s="293"/>
      <c r="R6359" s="316"/>
      <c r="S6359" s="355"/>
    </row>
    <row r="6360" spans="13:19" x14ac:dyDescent="0.25">
      <c r="M6360" s="514"/>
      <c r="Q6360" s="293"/>
      <c r="R6360" s="316"/>
      <c r="S6360" s="355"/>
    </row>
    <row r="6361" spans="13:19" x14ac:dyDescent="0.25">
      <c r="M6361" s="514"/>
      <c r="Q6361" s="293"/>
      <c r="R6361" s="316"/>
      <c r="S6361" s="355"/>
    </row>
    <row r="6362" spans="13:19" x14ac:dyDescent="0.25">
      <c r="M6362" s="514"/>
      <c r="Q6362" s="293"/>
      <c r="R6362" s="316"/>
      <c r="S6362" s="355"/>
    </row>
    <row r="6363" spans="13:19" x14ac:dyDescent="0.25">
      <c r="M6363" s="514"/>
      <c r="Q6363" s="293"/>
      <c r="R6363" s="316"/>
      <c r="S6363" s="355"/>
    </row>
    <row r="6364" spans="13:19" x14ac:dyDescent="0.25">
      <c r="M6364" s="514"/>
      <c r="Q6364" s="293"/>
      <c r="R6364" s="316"/>
      <c r="S6364" s="355"/>
    </row>
    <row r="6365" spans="13:19" x14ac:dyDescent="0.25">
      <c r="M6365" s="514"/>
      <c r="Q6365" s="293"/>
      <c r="R6365" s="316"/>
      <c r="S6365" s="355"/>
    </row>
    <row r="6366" spans="13:19" x14ac:dyDescent="0.25">
      <c r="M6366" s="514"/>
      <c r="Q6366" s="293"/>
      <c r="R6366" s="316"/>
      <c r="S6366" s="355"/>
    </row>
    <row r="6367" spans="13:19" x14ac:dyDescent="0.25">
      <c r="M6367" s="514"/>
      <c r="Q6367" s="293"/>
      <c r="R6367" s="316"/>
      <c r="S6367" s="355"/>
    </row>
    <row r="6368" spans="13:19" x14ac:dyDescent="0.25">
      <c r="M6368" s="514"/>
      <c r="Q6368" s="293"/>
      <c r="R6368" s="316"/>
      <c r="S6368" s="355"/>
    </row>
    <row r="6369" spans="13:19" x14ac:dyDescent="0.25">
      <c r="M6369" s="514"/>
      <c r="Q6369" s="293"/>
      <c r="R6369" s="316"/>
      <c r="S6369" s="355"/>
    </row>
    <row r="6370" spans="13:19" x14ac:dyDescent="0.25">
      <c r="M6370" s="514"/>
      <c r="Q6370" s="293"/>
      <c r="R6370" s="316"/>
      <c r="S6370" s="355"/>
    </row>
    <row r="6371" spans="13:19" x14ac:dyDescent="0.25">
      <c r="M6371" s="514"/>
      <c r="Q6371" s="293"/>
      <c r="R6371" s="316"/>
      <c r="S6371" s="355"/>
    </row>
    <row r="6372" spans="13:19" x14ac:dyDescent="0.25">
      <c r="M6372" s="514"/>
      <c r="Q6372" s="293"/>
      <c r="R6372" s="316"/>
      <c r="S6372" s="355"/>
    </row>
    <row r="6373" spans="13:19" x14ac:dyDescent="0.25">
      <c r="M6373" s="514"/>
      <c r="Q6373" s="293"/>
      <c r="R6373" s="316"/>
      <c r="S6373" s="355"/>
    </row>
    <row r="6374" spans="13:19" x14ac:dyDescent="0.25">
      <c r="M6374" s="514"/>
      <c r="Q6374" s="293"/>
      <c r="R6374" s="316"/>
      <c r="S6374" s="355"/>
    </row>
    <row r="6375" spans="13:19" x14ac:dyDescent="0.25">
      <c r="M6375" s="514"/>
      <c r="Q6375" s="293"/>
      <c r="R6375" s="316"/>
      <c r="S6375" s="355"/>
    </row>
    <row r="6376" spans="13:19" x14ac:dyDescent="0.25">
      <c r="M6376" s="514"/>
      <c r="Q6376" s="293"/>
      <c r="R6376" s="316"/>
      <c r="S6376" s="355"/>
    </row>
    <row r="6377" spans="13:19" x14ac:dyDescent="0.25">
      <c r="M6377" s="514"/>
      <c r="Q6377" s="293"/>
      <c r="R6377" s="316"/>
      <c r="S6377" s="355"/>
    </row>
    <row r="6378" spans="13:19" x14ac:dyDescent="0.25">
      <c r="M6378" s="514"/>
      <c r="Q6378" s="293"/>
      <c r="R6378" s="316"/>
      <c r="S6378" s="355"/>
    </row>
    <row r="6379" spans="13:19" x14ac:dyDescent="0.25">
      <c r="M6379" s="514"/>
      <c r="Q6379" s="293"/>
      <c r="R6379" s="316"/>
      <c r="S6379" s="355"/>
    </row>
    <row r="6380" spans="13:19" x14ac:dyDescent="0.25">
      <c r="M6380" s="514"/>
      <c r="Q6380" s="293"/>
      <c r="R6380" s="316"/>
      <c r="S6380" s="355"/>
    </row>
    <row r="6381" spans="13:19" x14ac:dyDescent="0.25">
      <c r="M6381" s="514"/>
      <c r="Q6381" s="293"/>
      <c r="R6381" s="316"/>
      <c r="S6381" s="355"/>
    </row>
    <row r="6382" spans="13:19" x14ac:dyDescent="0.25">
      <c r="M6382" s="514"/>
      <c r="Q6382" s="293"/>
      <c r="R6382" s="316"/>
      <c r="S6382" s="355"/>
    </row>
    <row r="6383" spans="13:19" x14ac:dyDescent="0.25">
      <c r="M6383" s="514"/>
      <c r="Q6383" s="293"/>
      <c r="R6383" s="316"/>
      <c r="S6383" s="355"/>
    </row>
    <row r="6384" spans="13:19" x14ac:dyDescent="0.25">
      <c r="M6384" s="514"/>
      <c r="Q6384" s="293"/>
      <c r="R6384" s="316"/>
      <c r="S6384" s="355"/>
    </row>
    <row r="6385" spans="13:19" x14ac:dyDescent="0.25">
      <c r="M6385" s="514"/>
      <c r="Q6385" s="293"/>
      <c r="R6385" s="316"/>
      <c r="S6385" s="355"/>
    </row>
    <row r="6386" spans="13:19" x14ac:dyDescent="0.25">
      <c r="M6386" s="514"/>
      <c r="Q6386" s="293"/>
      <c r="R6386" s="316"/>
      <c r="S6386" s="355"/>
    </row>
    <row r="6387" spans="13:19" x14ac:dyDescent="0.25">
      <c r="M6387" s="514"/>
      <c r="Q6387" s="293"/>
      <c r="R6387" s="316"/>
      <c r="S6387" s="355"/>
    </row>
    <row r="6388" spans="13:19" x14ac:dyDescent="0.25">
      <c r="M6388" s="514"/>
      <c r="Q6388" s="293"/>
      <c r="R6388" s="316"/>
      <c r="S6388" s="355"/>
    </row>
    <row r="6389" spans="13:19" x14ac:dyDescent="0.25">
      <c r="M6389" s="514"/>
      <c r="Q6389" s="293"/>
      <c r="R6389" s="316"/>
      <c r="S6389" s="355"/>
    </row>
    <row r="6390" spans="13:19" x14ac:dyDescent="0.25">
      <c r="M6390" s="514"/>
      <c r="Q6390" s="293"/>
      <c r="R6390" s="316"/>
      <c r="S6390" s="355"/>
    </row>
    <row r="6391" spans="13:19" x14ac:dyDescent="0.25">
      <c r="M6391" s="514"/>
      <c r="Q6391" s="293"/>
      <c r="R6391" s="316"/>
      <c r="S6391" s="355"/>
    </row>
    <row r="6392" spans="13:19" x14ac:dyDescent="0.25">
      <c r="M6392" s="514"/>
      <c r="Q6392" s="293"/>
      <c r="R6392" s="316"/>
      <c r="S6392" s="355"/>
    </row>
    <row r="6393" spans="13:19" x14ac:dyDescent="0.25">
      <c r="M6393" s="514"/>
      <c r="Q6393" s="293"/>
      <c r="R6393" s="316"/>
      <c r="S6393" s="355"/>
    </row>
    <row r="6394" spans="13:19" x14ac:dyDescent="0.25">
      <c r="M6394" s="514"/>
      <c r="Q6394" s="293"/>
      <c r="R6394" s="316"/>
      <c r="S6394" s="355"/>
    </row>
    <row r="6395" spans="13:19" x14ac:dyDescent="0.25">
      <c r="M6395" s="514"/>
      <c r="Q6395" s="293"/>
      <c r="R6395" s="316"/>
      <c r="S6395" s="355"/>
    </row>
    <row r="6396" spans="13:19" x14ac:dyDescent="0.25">
      <c r="M6396" s="514"/>
      <c r="Q6396" s="293"/>
      <c r="R6396" s="316"/>
      <c r="S6396" s="355"/>
    </row>
    <row r="6397" spans="13:19" x14ac:dyDescent="0.25">
      <c r="M6397" s="514"/>
      <c r="Q6397" s="293"/>
      <c r="R6397" s="316"/>
      <c r="S6397" s="355"/>
    </row>
    <row r="6398" spans="13:19" x14ac:dyDescent="0.25">
      <c r="M6398" s="514"/>
      <c r="Q6398" s="293"/>
      <c r="R6398" s="316"/>
      <c r="S6398" s="355"/>
    </row>
    <row r="6399" spans="13:19" x14ac:dyDescent="0.25">
      <c r="M6399" s="514"/>
      <c r="Q6399" s="293"/>
      <c r="R6399" s="316"/>
      <c r="S6399" s="355"/>
    </row>
    <row r="6400" spans="13:19" x14ac:dyDescent="0.25">
      <c r="M6400" s="514"/>
      <c r="Q6400" s="293"/>
      <c r="R6400" s="316"/>
      <c r="S6400" s="355"/>
    </row>
    <row r="6401" spans="13:19" x14ac:dyDescent="0.25">
      <c r="M6401" s="514"/>
      <c r="Q6401" s="293"/>
      <c r="R6401" s="316"/>
      <c r="S6401" s="355"/>
    </row>
    <row r="6402" spans="13:19" x14ac:dyDescent="0.25">
      <c r="M6402" s="514"/>
      <c r="Q6402" s="293"/>
      <c r="R6402" s="316"/>
      <c r="S6402" s="355"/>
    </row>
    <row r="6403" spans="13:19" x14ac:dyDescent="0.25">
      <c r="M6403" s="514"/>
      <c r="Q6403" s="293"/>
      <c r="R6403" s="316"/>
      <c r="S6403" s="355"/>
    </row>
    <row r="6404" spans="13:19" x14ac:dyDescent="0.25">
      <c r="M6404" s="514"/>
      <c r="Q6404" s="293"/>
      <c r="R6404" s="316"/>
      <c r="S6404" s="355"/>
    </row>
    <row r="6405" spans="13:19" x14ac:dyDescent="0.25">
      <c r="M6405" s="514"/>
      <c r="Q6405" s="293"/>
      <c r="R6405" s="316"/>
      <c r="S6405" s="355"/>
    </row>
    <row r="6406" spans="13:19" x14ac:dyDescent="0.25">
      <c r="M6406" s="514"/>
      <c r="Q6406" s="293"/>
      <c r="R6406" s="316"/>
      <c r="S6406" s="355"/>
    </row>
    <row r="6407" spans="13:19" x14ac:dyDescent="0.25">
      <c r="M6407" s="514"/>
      <c r="Q6407" s="293"/>
      <c r="R6407" s="316"/>
      <c r="S6407" s="355"/>
    </row>
    <row r="6408" spans="13:19" x14ac:dyDescent="0.25">
      <c r="M6408" s="514"/>
      <c r="Q6408" s="293"/>
      <c r="R6408" s="316"/>
      <c r="S6408" s="355"/>
    </row>
    <row r="6409" spans="13:19" x14ac:dyDescent="0.25">
      <c r="M6409" s="514"/>
      <c r="Q6409" s="293"/>
      <c r="R6409" s="316"/>
      <c r="S6409" s="355"/>
    </row>
    <row r="6410" spans="13:19" x14ac:dyDescent="0.25">
      <c r="M6410" s="514"/>
      <c r="Q6410" s="293"/>
      <c r="R6410" s="316"/>
      <c r="S6410" s="355"/>
    </row>
    <row r="6411" spans="13:19" x14ac:dyDescent="0.25">
      <c r="M6411" s="514"/>
      <c r="Q6411" s="293"/>
      <c r="R6411" s="316"/>
      <c r="S6411" s="355"/>
    </row>
    <row r="6412" spans="13:19" x14ac:dyDescent="0.25">
      <c r="M6412" s="514"/>
      <c r="Q6412" s="293"/>
      <c r="R6412" s="316"/>
      <c r="S6412" s="355"/>
    </row>
    <row r="6413" spans="13:19" x14ac:dyDescent="0.25">
      <c r="M6413" s="514"/>
      <c r="Q6413" s="293"/>
      <c r="R6413" s="316"/>
      <c r="S6413" s="355"/>
    </row>
    <row r="6414" spans="13:19" x14ac:dyDescent="0.25">
      <c r="M6414" s="514"/>
      <c r="Q6414" s="293"/>
      <c r="R6414" s="316"/>
      <c r="S6414" s="355"/>
    </row>
    <row r="6415" spans="13:19" x14ac:dyDescent="0.25">
      <c r="M6415" s="514"/>
      <c r="Q6415" s="293"/>
      <c r="R6415" s="316"/>
      <c r="S6415" s="355"/>
    </row>
    <row r="6416" spans="13:19" x14ac:dyDescent="0.25">
      <c r="M6416" s="514"/>
      <c r="Q6416" s="293"/>
      <c r="R6416" s="316"/>
      <c r="S6416" s="355"/>
    </row>
    <row r="6417" spans="13:19" x14ac:dyDescent="0.25">
      <c r="M6417" s="514"/>
      <c r="Q6417" s="293"/>
      <c r="R6417" s="316"/>
      <c r="S6417" s="355"/>
    </row>
    <row r="6418" spans="13:19" x14ac:dyDescent="0.25">
      <c r="M6418" s="514"/>
      <c r="Q6418" s="293"/>
      <c r="R6418" s="316"/>
      <c r="S6418" s="355"/>
    </row>
    <row r="6419" spans="13:19" x14ac:dyDescent="0.25">
      <c r="M6419" s="514"/>
      <c r="Q6419" s="293"/>
      <c r="R6419" s="316"/>
      <c r="S6419" s="355"/>
    </row>
    <row r="6420" spans="13:19" x14ac:dyDescent="0.25">
      <c r="M6420" s="514"/>
      <c r="Q6420" s="293"/>
      <c r="R6420" s="316"/>
      <c r="S6420" s="355"/>
    </row>
    <row r="6421" spans="13:19" x14ac:dyDescent="0.25">
      <c r="M6421" s="514"/>
      <c r="Q6421" s="293"/>
      <c r="R6421" s="316"/>
      <c r="S6421" s="355"/>
    </row>
    <row r="6422" spans="13:19" x14ac:dyDescent="0.25">
      <c r="M6422" s="514"/>
      <c r="Q6422" s="293"/>
      <c r="R6422" s="316"/>
      <c r="S6422" s="355"/>
    </row>
    <row r="6423" spans="13:19" x14ac:dyDescent="0.25">
      <c r="M6423" s="514"/>
      <c r="Q6423" s="293"/>
      <c r="R6423" s="316"/>
      <c r="S6423" s="355"/>
    </row>
    <row r="6424" spans="13:19" x14ac:dyDescent="0.25">
      <c r="M6424" s="514"/>
      <c r="Q6424" s="293"/>
      <c r="R6424" s="316"/>
      <c r="S6424" s="355"/>
    </row>
    <row r="6425" spans="13:19" x14ac:dyDescent="0.25">
      <c r="M6425" s="514"/>
      <c r="Q6425" s="293"/>
      <c r="R6425" s="316"/>
      <c r="S6425" s="355"/>
    </row>
    <row r="6426" spans="13:19" x14ac:dyDescent="0.25">
      <c r="M6426" s="514"/>
      <c r="Q6426" s="293"/>
      <c r="R6426" s="316"/>
      <c r="S6426" s="355"/>
    </row>
    <row r="6427" spans="13:19" x14ac:dyDescent="0.25">
      <c r="M6427" s="514"/>
      <c r="Q6427" s="293"/>
      <c r="R6427" s="316"/>
      <c r="S6427" s="355"/>
    </row>
    <row r="6428" spans="13:19" x14ac:dyDescent="0.25">
      <c r="M6428" s="514"/>
      <c r="Q6428" s="293"/>
      <c r="R6428" s="316"/>
      <c r="S6428" s="355"/>
    </row>
    <row r="6429" spans="13:19" x14ac:dyDescent="0.25">
      <c r="M6429" s="514"/>
      <c r="Q6429" s="293"/>
      <c r="R6429" s="316"/>
      <c r="S6429" s="355"/>
    </row>
    <row r="6430" spans="13:19" x14ac:dyDescent="0.25">
      <c r="M6430" s="514"/>
      <c r="Q6430" s="293"/>
      <c r="R6430" s="316"/>
      <c r="S6430" s="355"/>
    </row>
    <row r="6431" spans="13:19" x14ac:dyDescent="0.25">
      <c r="M6431" s="514"/>
      <c r="Q6431" s="293"/>
      <c r="R6431" s="316"/>
      <c r="S6431" s="355"/>
    </row>
    <row r="6432" spans="13:19" x14ac:dyDescent="0.25">
      <c r="M6432" s="514"/>
      <c r="Q6432" s="293"/>
      <c r="R6432" s="316"/>
      <c r="S6432" s="355"/>
    </row>
    <row r="6433" spans="13:19" x14ac:dyDescent="0.25">
      <c r="M6433" s="514"/>
      <c r="Q6433" s="293"/>
      <c r="R6433" s="316"/>
      <c r="S6433" s="355"/>
    </row>
    <row r="6434" spans="13:19" x14ac:dyDescent="0.25">
      <c r="M6434" s="514"/>
      <c r="Q6434" s="293"/>
      <c r="R6434" s="316"/>
      <c r="S6434" s="355"/>
    </row>
    <row r="6435" spans="13:19" x14ac:dyDescent="0.25">
      <c r="M6435" s="514"/>
      <c r="Q6435" s="293"/>
      <c r="R6435" s="316"/>
      <c r="S6435" s="355"/>
    </row>
    <row r="6436" spans="13:19" x14ac:dyDescent="0.25">
      <c r="M6436" s="514"/>
      <c r="Q6436" s="293"/>
      <c r="R6436" s="316"/>
      <c r="S6436" s="355"/>
    </row>
    <row r="6437" spans="13:19" x14ac:dyDescent="0.25">
      <c r="M6437" s="514"/>
      <c r="Q6437" s="293"/>
      <c r="R6437" s="316"/>
      <c r="S6437" s="355"/>
    </row>
    <row r="6438" spans="13:19" x14ac:dyDescent="0.25">
      <c r="M6438" s="514"/>
      <c r="Q6438" s="293"/>
      <c r="R6438" s="316"/>
      <c r="S6438" s="355"/>
    </row>
    <row r="6439" spans="13:19" x14ac:dyDescent="0.25">
      <c r="M6439" s="514"/>
      <c r="Q6439" s="293"/>
      <c r="R6439" s="316"/>
      <c r="S6439" s="355"/>
    </row>
    <row r="6440" spans="13:19" x14ac:dyDescent="0.25">
      <c r="M6440" s="514"/>
      <c r="Q6440" s="293"/>
      <c r="R6440" s="316"/>
      <c r="S6440" s="355"/>
    </row>
    <row r="6441" spans="13:19" x14ac:dyDescent="0.25">
      <c r="M6441" s="514"/>
      <c r="Q6441" s="293"/>
      <c r="R6441" s="316"/>
      <c r="S6441" s="355"/>
    </row>
    <row r="6442" spans="13:19" x14ac:dyDescent="0.25">
      <c r="M6442" s="514"/>
      <c r="Q6442" s="293"/>
      <c r="R6442" s="316"/>
      <c r="S6442" s="355"/>
    </row>
    <row r="6443" spans="13:19" x14ac:dyDescent="0.25">
      <c r="M6443" s="514"/>
      <c r="Q6443" s="293"/>
      <c r="R6443" s="316"/>
      <c r="S6443" s="355"/>
    </row>
    <row r="6444" spans="13:19" x14ac:dyDescent="0.25">
      <c r="M6444" s="514"/>
      <c r="Q6444" s="293"/>
      <c r="R6444" s="316"/>
      <c r="S6444" s="355"/>
    </row>
    <row r="6445" spans="13:19" x14ac:dyDescent="0.25">
      <c r="M6445" s="514"/>
      <c r="Q6445" s="293"/>
      <c r="R6445" s="316"/>
      <c r="S6445" s="355"/>
    </row>
    <row r="6446" spans="13:19" x14ac:dyDescent="0.25">
      <c r="M6446" s="514"/>
      <c r="Q6446" s="293"/>
      <c r="R6446" s="316"/>
      <c r="S6446" s="355"/>
    </row>
    <row r="6447" spans="13:19" x14ac:dyDescent="0.25">
      <c r="M6447" s="514"/>
      <c r="Q6447" s="293"/>
      <c r="R6447" s="316"/>
      <c r="S6447" s="355"/>
    </row>
    <row r="6448" spans="13:19" x14ac:dyDescent="0.25">
      <c r="M6448" s="514"/>
      <c r="Q6448" s="293"/>
      <c r="R6448" s="316"/>
      <c r="S6448" s="355"/>
    </row>
    <row r="6449" spans="13:19" x14ac:dyDescent="0.25">
      <c r="M6449" s="514"/>
      <c r="Q6449" s="293"/>
      <c r="R6449" s="316"/>
      <c r="S6449" s="355"/>
    </row>
    <row r="6450" spans="13:19" x14ac:dyDescent="0.25">
      <c r="M6450" s="514"/>
      <c r="Q6450" s="293"/>
      <c r="R6450" s="316"/>
      <c r="S6450" s="355"/>
    </row>
    <row r="6451" spans="13:19" x14ac:dyDescent="0.25">
      <c r="M6451" s="514"/>
      <c r="Q6451" s="293"/>
      <c r="R6451" s="316"/>
      <c r="S6451" s="355"/>
    </row>
    <row r="6452" spans="13:19" x14ac:dyDescent="0.25">
      <c r="M6452" s="514"/>
      <c r="Q6452" s="293"/>
      <c r="R6452" s="316"/>
      <c r="S6452" s="355"/>
    </row>
    <row r="6453" spans="13:19" x14ac:dyDescent="0.25">
      <c r="M6453" s="514"/>
      <c r="Q6453" s="293"/>
      <c r="R6453" s="316"/>
      <c r="S6453" s="355"/>
    </row>
    <row r="6454" spans="13:19" x14ac:dyDescent="0.25">
      <c r="M6454" s="514"/>
      <c r="Q6454" s="293"/>
      <c r="R6454" s="316"/>
      <c r="S6454" s="355"/>
    </row>
    <row r="6455" spans="13:19" x14ac:dyDescent="0.25">
      <c r="M6455" s="514"/>
      <c r="Q6455" s="293"/>
      <c r="R6455" s="316"/>
      <c r="S6455" s="355"/>
    </row>
    <row r="6456" spans="13:19" x14ac:dyDescent="0.25">
      <c r="M6456" s="514"/>
      <c r="Q6456" s="293"/>
      <c r="R6456" s="316"/>
      <c r="S6456" s="355"/>
    </row>
    <row r="6457" spans="13:19" x14ac:dyDescent="0.25">
      <c r="M6457" s="514"/>
      <c r="Q6457" s="293"/>
      <c r="R6457" s="316"/>
      <c r="S6457" s="355"/>
    </row>
    <row r="6458" spans="13:19" x14ac:dyDescent="0.25">
      <c r="M6458" s="514"/>
      <c r="Q6458" s="293"/>
      <c r="R6458" s="316"/>
      <c r="S6458" s="355"/>
    </row>
    <row r="6459" spans="13:19" x14ac:dyDescent="0.25">
      <c r="M6459" s="514"/>
      <c r="Q6459" s="293"/>
      <c r="R6459" s="316"/>
      <c r="S6459" s="355"/>
    </row>
    <row r="6460" spans="13:19" x14ac:dyDescent="0.25">
      <c r="M6460" s="514"/>
      <c r="Q6460" s="293"/>
      <c r="R6460" s="316"/>
      <c r="S6460" s="355"/>
    </row>
    <row r="6461" spans="13:19" x14ac:dyDescent="0.25">
      <c r="M6461" s="514"/>
      <c r="Q6461" s="293"/>
      <c r="R6461" s="316"/>
      <c r="S6461" s="355"/>
    </row>
    <row r="6462" spans="13:19" x14ac:dyDescent="0.25">
      <c r="M6462" s="514"/>
      <c r="Q6462" s="293"/>
      <c r="R6462" s="316"/>
      <c r="S6462" s="355"/>
    </row>
    <row r="6463" spans="13:19" x14ac:dyDescent="0.25">
      <c r="M6463" s="514"/>
      <c r="Q6463" s="293"/>
      <c r="R6463" s="316"/>
      <c r="S6463" s="355"/>
    </row>
    <row r="6464" spans="13:19" x14ac:dyDescent="0.25">
      <c r="M6464" s="514"/>
      <c r="Q6464" s="293"/>
      <c r="R6464" s="316"/>
      <c r="S6464" s="355"/>
    </row>
    <row r="6465" spans="13:19" x14ac:dyDescent="0.25">
      <c r="M6465" s="514"/>
      <c r="Q6465" s="293"/>
      <c r="R6465" s="316"/>
      <c r="S6465" s="355"/>
    </row>
    <row r="6466" spans="13:19" x14ac:dyDescent="0.25">
      <c r="M6466" s="514"/>
      <c r="Q6466" s="293"/>
      <c r="R6466" s="316"/>
      <c r="S6466" s="355"/>
    </row>
    <row r="6467" spans="13:19" x14ac:dyDescent="0.25">
      <c r="M6467" s="514"/>
      <c r="Q6467" s="293"/>
      <c r="R6467" s="316"/>
      <c r="S6467" s="355"/>
    </row>
    <row r="6468" spans="13:19" x14ac:dyDescent="0.25">
      <c r="M6468" s="514"/>
      <c r="Q6468" s="293"/>
      <c r="R6468" s="316"/>
      <c r="S6468" s="355"/>
    </row>
    <row r="6469" spans="13:19" x14ac:dyDescent="0.25">
      <c r="M6469" s="514"/>
      <c r="Q6469" s="293"/>
      <c r="R6469" s="316"/>
      <c r="S6469" s="355"/>
    </row>
    <row r="6470" spans="13:19" x14ac:dyDescent="0.25">
      <c r="M6470" s="514"/>
      <c r="Q6470" s="293"/>
      <c r="R6470" s="316"/>
      <c r="S6470" s="355"/>
    </row>
    <row r="6471" spans="13:19" x14ac:dyDescent="0.25">
      <c r="M6471" s="514"/>
      <c r="Q6471" s="293"/>
      <c r="R6471" s="316"/>
      <c r="S6471" s="355"/>
    </row>
    <row r="6472" spans="13:19" x14ac:dyDescent="0.25">
      <c r="M6472" s="514"/>
      <c r="Q6472" s="293"/>
      <c r="R6472" s="316"/>
      <c r="S6472" s="355"/>
    </row>
    <row r="6473" spans="13:19" x14ac:dyDescent="0.25">
      <c r="M6473" s="514"/>
      <c r="Q6473" s="293"/>
      <c r="R6473" s="316"/>
      <c r="S6473" s="355"/>
    </row>
    <row r="6474" spans="13:19" x14ac:dyDescent="0.25">
      <c r="M6474" s="514"/>
      <c r="Q6474" s="293"/>
      <c r="R6474" s="316"/>
      <c r="S6474" s="355"/>
    </row>
    <row r="6475" spans="13:19" x14ac:dyDescent="0.25">
      <c r="M6475" s="514"/>
      <c r="Q6475" s="293"/>
      <c r="R6475" s="316"/>
      <c r="S6475" s="355"/>
    </row>
    <row r="6476" spans="13:19" x14ac:dyDescent="0.25">
      <c r="M6476" s="514"/>
      <c r="Q6476" s="293"/>
      <c r="R6476" s="316"/>
      <c r="S6476" s="355"/>
    </row>
    <row r="6477" spans="13:19" x14ac:dyDescent="0.25">
      <c r="M6477" s="514"/>
      <c r="Q6477" s="293"/>
      <c r="R6477" s="316"/>
      <c r="S6477" s="355"/>
    </row>
    <row r="6478" spans="13:19" x14ac:dyDescent="0.25">
      <c r="M6478" s="514"/>
      <c r="Q6478" s="293"/>
      <c r="R6478" s="316"/>
      <c r="S6478" s="355"/>
    </row>
    <row r="6479" spans="13:19" x14ac:dyDescent="0.25">
      <c r="M6479" s="514"/>
      <c r="Q6479" s="293"/>
      <c r="R6479" s="316"/>
      <c r="S6479" s="355"/>
    </row>
    <row r="6480" spans="13:19" x14ac:dyDescent="0.25">
      <c r="M6480" s="514"/>
      <c r="Q6480" s="293"/>
      <c r="R6480" s="316"/>
      <c r="S6480" s="355"/>
    </row>
    <row r="6481" spans="13:19" x14ac:dyDescent="0.25">
      <c r="M6481" s="514"/>
      <c r="Q6481" s="293"/>
      <c r="R6481" s="316"/>
      <c r="S6481" s="355"/>
    </row>
    <row r="6482" spans="13:19" x14ac:dyDescent="0.25">
      <c r="M6482" s="514"/>
      <c r="Q6482" s="293"/>
      <c r="R6482" s="316"/>
      <c r="S6482" s="355"/>
    </row>
    <row r="6483" spans="13:19" x14ac:dyDescent="0.25">
      <c r="M6483" s="514"/>
      <c r="Q6483" s="293"/>
      <c r="R6483" s="316"/>
      <c r="S6483" s="355"/>
    </row>
    <row r="6484" spans="13:19" x14ac:dyDescent="0.25">
      <c r="M6484" s="514"/>
      <c r="Q6484" s="293"/>
      <c r="R6484" s="316"/>
      <c r="S6484" s="355"/>
    </row>
    <row r="6485" spans="13:19" x14ac:dyDescent="0.25">
      <c r="M6485" s="514"/>
      <c r="Q6485" s="293"/>
      <c r="R6485" s="316"/>
      <c r="S6485" s="355"/>
    </row>
    <row r="6486" spans="13:19" x14ac:dyDescent="0.25">
      <c r="M6486" s="514"/>
      <c r="Q6486" s="293"/>
      <c r="R6486" s="316"/>
      <c r="S6486" s="355"/>
    </row>
    <row r="6487" spans="13:19" x14ac:dyDescent="0.25">
      <c r="M6487" s="514"/>
      <c r="Q6487" s="293"/>
      <c r="R6487" s="316"/>
      <c r="S6487" s="355"/>
    </row>
    <row r="6488" spans="13:19" x14ac:dyDescent="0.25">
      <c r="M6488" s="514"/>
      <c r="Q6488" s="293"/>
      <c r="R6488" s="316"/>
      <c r="S6488" s="355"/>
    </row>
    <row r="6489" spans="13:19" x14ac:dyDescent="0.25">
      <c r="M6489" s="514"/>
      <c r="Q6489" s="293"/>
      <c r="R6489" s="316"/>
      <c r="S6489" s="355"/>
    </row>
    <row r="6490" spans="13:19" x14ac:dyDescent="0.25">
      <c r="M6490" s="514"/>
      <c r="Q6490" s="293"/>
      <c r="R6490" s="316"/>
      <c r="S6490" s="355"/>
    </row>
    <row r="6491" spans="13:19" x14ac:dyDescent="0.25">
      <c r="M6491" s="514"/>
      <c r="Q6491" s="293"/>
      <c r="R6491" s="316"/>
      <c r="S6491" s="355"/>
    </row>
    <row r="6492" spans="13:19" x14ac:dyDescent="0.25">
      <c r="M6492" s="514"/>
      <c r="Q6492" s="293"/>
      <c r="R6492" s="316"/>
      <c r="S6492" s="355"/>
    </row>
    <row r="6493" spans="13:19" x14ac:dyDescent="0.25">
      <c r="M6493" s="514"/>
      <c r="Q6493" s="293"/>
      <c r="R6493" s="316"/>
      <c r="S6493" s="355"/>
    </row>
    <row r="6494" spans="13:19" x14ac:dyDescent="0.25">
      <c r="M6494" s="514"/>
      <c r="Q6494" s="293"/>
      <c r="R6494" s="316"/>
      <c r="S6494" s="355"/>
    </row>
    <row r="6495" spans="13:19" x14ac:dyDescent="0.25">
      <c r="M6495" s="514"/>
      <c r="Q6495" s="293"/>
      <c r="R6495" s="316"/>
      <c r="S6495" s="355"/>
    </row>
    <row r="6496" spans="13:19" x14ac:dyDescent="0.25">
      <c r="M6496" s="514"/>
      <c r="Q6496" s="293"/>
      <c r="R6496" s="316"/>
      <c r="S6496" s="355"/>
    </row>
    <row r="6497" spans="13:19" x14ac:dyDescent="0.25">
      <c r="M6497" s="514"/>
      <c r="Q6497" s="293"/>
      <c r="R6497" s="316"/>
      <c r="S6497" s="355"/>
    </row>
    <row r="6498" spans="13:19" x14ac:dyDescent="0.25">
      <c r="M6498" s="514"/>
      <c r="Q6498" s="293"/>
      <c r="R6498" s="316"/>
      <c r="S6498" s="355"/>
    </row>
    <row r="6499" spans="13:19" x14ac:dyDescent="0.25">
      <c r="M6499" s="514"/>
      <c r="Q6499" s="293"/>
      <c r="R6499" s="316"/>
      <c r="S6499" s="355"/>
    </row>
    <row r="6500" spans="13:19" x14ac:dyDescent="0.25">
      <c r="M6500" s="514"/>
      <c r="Q6500" s="293"/>
      <c r="R6500" s="316"/>
      <c r="S6500" s="355"/>
    </row>
    <row r="6501" spans="13:19" x14ac:dyDescent="0.25">
      <c r="M6501" s="514"/>
      <c r="Q6501" s="293"/>
      <c r="R6501" s="316"/>
      <c r="S6501" s="355"/>
    </row>
    <row r="6502" spans="13:19" x14ac:dyDescent="0.25">
      <c r="M6502" s="514"/>
      <c r="Q6502" s="293"/>
      <c r="R6502" s="316"/>
      <c r="S6502" s="355"/>
    </row>
    <row r="6503" spans="13:19" x14ac:dyDescent="0.25">
      <c r="M6503" s="514"/>
      <c r="Q6503" s="293"/>
      <c r="R6503" s="316"/>
      <c r="S6503" s="355"/>
    </row>
    <row r="6504" spans="13:19" x14ac:dyDescent="0.25">
      <c r="M6504" s="514"/>
      <c r="Q6504" s="293"/>
      <c r="R6504" s="316"/>
      <c r="S6504" s="355"/>
    </row>
    <row r="6505" spans="13:19" x14ac:dyDescent="0.25">
      <c r="M6505" s="514"/>
      <c r="Q6505" s="293"/>
      <c r="R6505" s="316"/>
      <c r="S6505" s="355"/>
    </row>
    <row r="6506" spans="13:19" x14ac:dyDescent="0.25">
      <c r="M6506" s="514"/>
      <c r="Q6506" s="293"/>
      <c r="R6506" s="316"/>
      <c r="S6506" s="355"/>
    </row>
    <row r="6507" spans="13:19" x14ac:dyDescent="0.25">
      <c r="M6507" s="514"/>
      <c r="Q6507" s="293"/>
      <c r="R6507" s="316"/>
      <c r="S6507" s="355"/>
    </row>
    <row r="6508" spans="13:19" x14ac:dyDescent="0.25">
      <c r="M6508" s="514"/>
      <c r="Q6508" s="293"/>
      <c r="R6508" s="316"/>
      <c r="S6508" s="355"/>
    </row>
    <row r="6509" spans="13:19" x14ac:dyDescent="0.25">
      <c r="M6509" s="514"/>
      <c r="Q6509" s="293"/>
      <c r="R6509" s="316"/>
      <c r="S6509" s="355"/>
    </row>
    <row r="6510" spans="13:19" x14ac:dyDescent="0.25">
      <c r="M6510" s="514"/>
      <c r="Q6510" s="293"/>
      <c r="R6510" s="316"/>
      <c r="S6510" s="355"/>
    </row>
    <row r="6511" spans="13:19" x14ac:dyDescent="0.25">
      <c r="M6511" s="514"/>
      <c r="Q6511" s="293"/>
      <c r="R6511" s="316"/>
      <c r="S6511" s="355"/>
    </row>
    <row r="6512" spans="13:19" x14ac:dyDescent="0.25">
      <c r="M6512" s="514"/>
      <c r="Q6512" s="293"/>
      <c r="R6512" s="316"/>
      <c r="S6512" s="355"/>
    </row>
    <row r="6513" spans="13:19" x14ac:dyDescent="0.25">
      <c r="M6513" s="514"/>
      <c r="Q6513" s="293"/>
      <c r="R6513" s="316"/>
      <c r="S6513" s="355"/>
    </row>
    <row r="6514" spans="13:19" x14ac:dyDescent="0.25">
      <c r="M6514" s="514"/>
      <c r="Q6514" s="293"/>
      <c r="R6514" s="316"/>
      <c r="S6514" s="355"/>
    </row>
    <row r="6515" spans="13:19" x14ac:dyDescent="0.25">
      <c r="M6515" s="514"/>
      <c r="Q6515" s="293"/>
      <c r="R6515" s="316"/>
      <c r="S6515" s="355"/>
    </row>
    <row r="6516" spans="13:19" x14ac:dyDescent="0.25">
      <c r="M6516" s="514"/>
      <c r="Q6516" s="293"/>
      <c r="R6516" s="316"/>
      <c r="S6516" s="355"/>
    </row>
    <row r="6517" spans="13:19" x14ac:dyDescent="0.25">
      <c r="M6517" s="514"/>
      <c r="Q6517" s="293"/>
      <c r="R6517" s="316"/>
      <c r="S6517" s="355"/>
    </row>
    <row r="6518" spans="13:19" x14ac:dyDescent="0.25">
      <c r="M6518" s="514"/>
      <c r="Q6518" s="293"/>
      <c r="R6518" s="316"/>
      <c r="S6518" s="355"/>
    </row>
    <row r="6519" spans="13:19" x14ac:dyDescent="0.25">
      <c r="M6519" s="514"/>
      <c r="Q6519" s="293"/>
      <c r="R6519" s="316"/>
      <c r="S6519" s="355"/>
    </row>
    <row r="6520" spans="13:19" x14ac:dyDescent="0.25">
      <c r="M6520" s="514"/>
      <c r="Q6520" s="293"/>
      <c r="R6520" s="316"/>
      <c r="S6520" s="355"/>
    </row>
    <row r="6521" spans="13:19" x14ac:dyDescent="0.25">
      <c r="M6521" s="514"/>
      <c r="Q6521" s="293"/>
      <c r="R6521" s="316"/>
      <c r="S6521" s="355"/>
    </row>
    <row r="6522" spans="13:19" x14ac:dyDescent="0.25">
      <c r="M6522" s="514"/>
      <c r="Q6522" s="293"/>
      <c r="R6522" s="316"/>
      <c r="S6522" s="355"/>
    </row>
    <row r="6523" spans="13:19" x14ac:dyDescent="0.25">
      <c r="M6523" s="514"/>
      <c r="Q6523" s="293"/>
      <c r="R6523" s="316"/>
      <c r="S6523" s="355"/>
    </row>
    <row r="6524" spans="13:19" x14ac:dyDescent="0.25">
      <c r="M6524" s="514"/>
      <c r="Q6524" s="293"/>
      <c r="R6524" s="316"/>
      <c r="S6524" s="355"/>
    </row>
    <row r="6525" spans="13:19" x14ac:dyDescent="0.25">
      <c r="M6525" s="514"/>
      <c r="Q6525" s="293"/>
      <c r="R6525" s="316"/>
      <c r="S6525" s="355"/>
    </row>
    <row r="6526" spans="13:19" x14ac:dyDescent="0.25">
      <c r="M6526" s="514"/>
      <c r="Q6526" s="293"/>
      <c r="R6526" s="316"/>
      <c r="S6526" s="355"/>
    </row>
    <row r="6527" spans="13:19" x14ac:dyDescent="0.25">
      <c r="M6527" s="514"/>
      <c r="Q6527" s="293"/>
      <c r="R6527" s="316"/>
      <c r="S6527" s="355"/>
    </row>
    <row r="6528" spans="13:19" x14ac:dyDescent="0.25">
      <c r="M6528" s="514"/>
      <c r="Q6528" s="293"/>
      <c r="R6528" s="316"/>
      <c r="S6528" s="355"/>
    </row>
    <row r="6529" spans="13:19" x14ac:dyDescent="0.25">
      <c r="M6529" s="514"/>
      <c r="Q6529" s="293"/>
      <c r="R6529" s="316"/>
      <c r="S6529" s="355"/>
    </row>
    <row r="6530" spans="13:19" x14ac:dyDescent="0.25">
      <c r="M6530" s="514"/>
      <c r="Q6530" s="293"/>
      <c r="R6530" s="316"/>
      <c r="S6530" s="355"/>
    </row>
    <row r="6531" spans="13:19" x14ac:dyDescent="0.25">
      <c r="M6531" s="514"/>
      <c r="Q6531" s="293"/>
      <c r="R6531" s="316"/>
      <c r="S6531" s="355"/>
    </row>
    <row r="6532" spans="13:19" x14ac:dyDescent="0.25">
      <c r="M6532" s="514"/>
      <c r="Q6532" s="293"/>
      <c r="R6532" s="316"/>
      <c r="S6532" s="355"/>
    </row>
    <row r="6533" spans="13:19" x14ac:dyDescent="0.25">
      <c r="M6533" s="514"/>
      <c r="Q6533" s="293"/>
      <c r="R6533" s="316"/>
      <c r="S6533" s="355"/>
    </row>
    <row r="6534" spans="13:19" x14ac:dyDescent="0.25">
      <c r="M6534" s="514"/>
      <c r="Q6534" s="293"/>
      <c r="R6534" s="316"/>
      <c r="S6534" s="355"/>
    </row>
    <row r="6535" spans="13:19" x14ac:dyDescent="0.25">
      <c r="M6535" s="514"/>
      <c r="Q6535" s="293"/>
      <c r="R6535" s="316"/>
      <c r="S6535" s="355"/>
    </row>
    <row r="6536" spans="13:19" x14ac:dyDescent="0.25">
      <c r="M6536" s="514"/>
      <c r="Q6536" s="293"/>
      <c r="R6536" s="316"/>
      <c r="S6536" s="355"/>
    </row>
    <row r="6537" spans="13:19" x14ac:dyDescent="0.25">
      <c r="M6537" s="514"/>
      <c r="Q6537" s="293"/>
      <c r="R6537" s="316"/>
      <c r="S6537" s="355"/>
    </row>
    <row r="6538" spans="13:19" x14ac:dyDescent="0.25">
      <c r="M6538" s="514"/>
      <c r="Q6538" s="293"/>
      <c r="R6538" s="316"/>
      <c r="S6538" s="355"/>
    </row>
    <row r="6539" spans="13:19" x14ac:dyDescent="0.25">
      <c r="M6539" s="514"/>
      <c r="Q6539" s="293"/>
      <c r="R6539" s="316"/>
      <c r="S6539" s="355"/>
    </row>
    <row r="6540" spans="13:19" x14ac:dyDescent="0.25">
      <c r="M6540" s="514"/>
      <c r="Q6540" s="293"/>
      <c r="R6540" s="316"/>
      <c r="S6540" s="355"/>
    </row>
    <row r="6541" spans="13:19" x14ac:dyDescent="0.25">
      <c r="M6541" s="514"/>
      <c r="Q6541" s="293"/>
      <c r="R6541" s="316"/>
      <c r="S6541" s="355"/>
    </row>
    <row r="6542" spans="13:19" x14ac:dyDescent="0.25">
      <c r="M6542" s="514"/>
      <c r="Q6542" s="293"/>
      <c r="R6542" s="316"/>
      <c r="S6542" s="355"/>
    </row>
    <row r="6543" spans="13:19" x14ac:dyDescent="0.25">
      <c r="M6543" s="514"/>
      <c r="Q6543" s="293"/>
      <c r="R6543" s="316"/>
      <c r="S6543" s="355"/>
    </row>
    <row r="6544" spans="13:19" x14ac:dyDescent="0.25">
      <c r="M6544" s="514"/>
      <c r="Q6544" s="293"/>
      <c r="R6544" s="316"/>
      <c r="S6544" s="355"/>
    </row>
    <row r="6545" spans="13:19" x14ac:dyDescent="0.25">
      <c r="M6545" s="514"/>
      <c r="Q6545" s="293"/>
      <c r="R6545" s="316"/>
      <c r="S6545" s="355"/>
    </row>
    <row r="6546" spans="13:19" x14ac:dyDescent="0.25">
      <c r="M6546" s="514"/>
      <c r="Q6546" s="293"/>
      <c r="R6546" s="316"/>
      <c r="S6546" s="355"/>
    </row>
    <row r="6547" spans="13:19" x14ac:dyDescent="0.25">
      <c r="M6547" s="514"/>
      <c r="Q6547" s="293"/>
      <c r="R6547" s="316"/>
      <c r="S6547" s="355"/>
    </row>
    <row r="6548" spans="13:19" x14ac:dyDescent="0.25">
      <c r="M6548" s="514"/>
      <c r="Q6548" s="293"/>
      <c r="R6548" s="316"/>
      <c r="S6548" s="355"/>
    </row>
    <row r="6549" spans="13:19" x14ac:dyDescent="0.25">
      <c r="M6549" s="514"/>
      <c r="Q6549" s="293"/>
      <c r="R6549" s="316"/>
      <c r="S6549" s="355"/>
    </row>
    <row r="6550" spans="13:19" x14ac:dyDescent="0.25">
      <c r="M6550" s="514"/>
      <c r="Q6550" s="293"/>
      <c r="R6550" s="316"/>
      <c r="S6550" s="355"/>
    </row>
    <row r="6551" spans="13:19" x14ac:dyDescent="0.25">
      <c r="M6551" s="514"/>
      <c r="Q6551" s="293"/>
      <c r="R6551" s="316"/>
      <c r="S6551" s="355"/>
    </row>
    <row r="6552" spans="13:19" x14ac:dyDescent="0.25">
      <c r="M6552" s="514"/>
      <c r="Q6552" s="293"/>
      <c r="R6552" s="316"/>
      <c r="S6552" s="355"/>
    </row>
    <row r="6553" spans="13:19" x14ac:dyDescent="0.25">
      <c r="M6553" s="514"/>
      <c r="Q6553" s="293"/>
      <c r="R6553" s="316"/>
      <c r="S6553" s="355"/>
    </row>
    <row r="6554" spans="13:19" x14ac:dyDescent="0.25">
      <c r="M6554" s="514"/>
      <c r="Q6554" s="293"/>
      <c r="R6554" s="316"/>
      <c r="S6554" s="355"/>
    </row>
    <row r="6555" spans="13:19" x14ac:dyDescent="0.25">
      <c r="M6555" s="514"/>
      <c r="Q6555" s="293"/>
      <c r="R6555" s="316"/>
      <c r="S6555" s="355"/>
    </row>
    <row r="6556" spans="13:19" x14ac:dyDescent="0.25">
      <c r="M6556" s="514"/>
      <c r="Q6556" s="293"/>
      <c r="R6556" s="316"/>
      <c r="S6556" s="355"/>
    </row>
    <row r="6557" spans="13:19" x14ac:dyDescent="0.25">
      <c r="M6557" s="514"/>
      <c r="Q6557" s="293"/>
      <c r="R6557" s="316"/>
      <c r="S6557" s="355"/>
    </row>
    <row r="6558" spans="13:19" x14ac:dyDescent="0.25">
      <c r="M6558" s="514"/>
      <c r="Q6558" s="293"/>
      <c r="R6558" s="316"/>
      <c r="S6558" s="355"/>
    </row>
    <row r="6559" spans="13:19" x14ac:dyDescent="0.25">
      <c r="M6559" s="514"/>
      <c r="Q6559" s="293"/>
      <c r="R6559" s="316"/>
      <c r="S6559" s="355"/>
    </row>
    <row r="6560" spans="13:19" x14ac:dyDescent="0.25">
      <c r="M6560" s="514"/>
      <c r="Q6560" s="293"/>
      <c r="R6560" s="316"/>
      <c r="S6560" s="355"/>
    </row>
    <row r="6561" spans="13:19" x14ac:dyDescent="0.25">
      <c r="M6561" s="514"/>
      <c r="Q6561" s="293"/>
      <c r="R6561" s="316"/>
      <c r="S6561" s="355"/>
    </row>
    <row r="6562" spans="13:19" x14ac:dyDescent="0.25">
      <c r="M6562" s="514"/>
      <c r="Q6562" s="293"/>
      <c r="R6562" s="316"/>
      <c r="S6562" s="355"/>
    </row>
    <row r="6563" spans="13:19" x14ac:dyDescent="0.25">
      <c r="M6563" s="514"/>
      <c r="Q6563" s="293"/>
      <c r="R6563" s="316"/>
      <c r="S6563" s="355"/>
    </row>
    <row r="6564" spans="13:19" x14ac:dyDescent="0.25">
      <c r="M6564" s="514"/>
      <c r="Q6564" s="293"/>
      <c r="R6564" s="316"/>
      <c r="S6564" s="355"/>
    </row>
    <row r="6565" spans="13:19" x14ac:dyDescent="0.25">
      <c r="M6565" s="514"/>
      <c r="Q6565" s="293"/>
      <c r="R6565" s="316"/>
      <c r="S6565" s="355"/>
    </row>
    <row r="6566" spans="13:19" x14ac:dyDescent="0.25">
      <c r="M6566" s="514"/>
      <c r="Q6566" s="293"/>
      <c r="R6566" s="316"/>
      <c r="S6566" s="355"/>
    </row>
    <row r="6567" spans="13:19" x14ac:dyDescent="0.25">
      <c r="M6567" s="514"/>
      <c r="Q6567" s="293"/>
      <c r="R6567" s="316"/>
      <c r="S6567" s="355"/>
    </row>
    <row r="6568" spans="13:19" x14ac:dyDescent="0.25">
      <c r="M6568" s="514"/>
      <c r="Q6568" s="293"/>
      <c r="R6568" s="316"/>
      <c r="S6568" s="355"/>
    </row>
    <row r="6569" spans="13:19" x14ac:dyDescent="0.25">
      <c r="M6569" s="514"/>
      <c r="Q6569" s="293"/>
      <c r="R6569" s="316"/>
      <c r="S6569" s="355"/>
    </row>
    <row r="6570" spans="13:19" x14ac:dyDescent="0.25">
      <c r="M6570" s="514"/>
      <c r="Q6570" s="293"/>
      <c r="R6570" s="316"/>
      <c r="S6570" s="355"/>
    </row>
    <row r="6571" spans="13:19" x14ac:dyDescent="0.25">
      <c r="M6571" s="514"/>
      <c r="Q6571" s="293"/>
      <c r="R6571" s="316"/>
      <c r="S6571" s="355"/>
    </row>
    <row r="6572" spans="13:19" x14ac:dyDescent="0.25">
      <c r="M6572" s="514"/>
      <c r="Q6572" s="293"/>
      <c r="R6572" s="316"/>
      <c r="S6572" s="355"/>
    </row>
    <row r="6573" spans="13:19" x14ac:dyDescent="0.25">
      <c r="M6573" s="514"/>
      <c r="Q6573" s="293"/>
      <c r="R6573" s="316"/>
      <c r="S6573" s="355"/>
    </row>
    <row r="6574" spans="13:19" x14ac:dyDescent="0.25">
      <c r="M6574" s="514"/>
      <c r="Q6574" s="293"/>
      <c r="R6574" s="316"/>
      <c r="S6574" s="355"/>
    </row>
    <row r="6575" spans="13:19" x14ac:dyDescent="0.25">
      <c r="M6575" s="514"/>
      <c r="Q6575" s="293"/>
      <c r="R6575" s="316"/>
      <c r="S6575" s="355"/>
    </row>
    <row r="6576" spans="13:19" x14ac:dyDescent="0.25">
      <c r="M6576" s="514"/>
      <c r="Q6576" s="293"/>
      <c r="R6576" s="316"/>
      <c r="S6576" s="355"/>
    </row>
    <row r="6577" spans="13:19" x14ac:dyDescent="0.25">
      <c r="M6577" s="514"/>
      <c r="Q6577" s="293"/>
      <c r="R6577" s="316"/>
      <c r="S6577" s="355"/>
    </row>
    <row r="6578" spans="13:19" x14ac:dyDescent="0.25">
      <c r="M6578" s="514"/>
      <c r="Q6578" s="293"/>
      <c r="R6578" s="316"/>
      <c r="S6578" s="355"/>
    </row>
    <row r="6579" spans="13:19" x14ac:dyDescent="0.25">
      <c r="M6579" s="514"/>
      <c r="Q6579" s="293"/>
      <c r="R6579" s="316"/>
      <c r="S6579" s="355"/>
    </row>
    <row r="6580" spans="13:19" x14ac:dyDescent="0.25">
      <c r="M6580" s="514"/>
      <c r="Q6580" s="293"/>
      <c r="R6580" s="316"/>
      <c r="S6580" s="355"/>
    </row>
    <row r="6581" spans="13:19" x14ac:dyDescent="0.25">
      <c r="M6581" s="514"/>
      <c r="Q6581" s="293"/>
      <c r="R6581" s="316"/>
      <c r="S6581" s="355"/>
    </row>
    <row r="6582" spans="13:19" x14ac:dyDescent="0.25">
      <c r="M6582" s="514"/>
      <c r="Q6582" s="293"/>
      <c r="R6582" s="316"/>
      <c r="S6582" s="355"/>
    </row>
    <row r="6583" spans="13:19" x14ac:dyDescent="0.25">
      <c r="M6583" s="514"/>
      <c r="Q6583" s="293"/>
      <c r="R6583" s="316"/>
      <c r="S6583" s="355"/>
    </row>
    <row r="6584" spans="13:19" x14ac:dyDescent="0.25">
      <c r="M6584" s="514"/>
      <c r="Q6584" s="293"/>
      <c r="R6584" s="316"/>
      <c r="S6584" s="355"/>
    </row>
    <row r="6585" spans="13:19" x14ac:dyDescent="0.25">
      <c r="M6585" s="514"/>
      <c r="Q6585" s="293"/>
      <c r="R6585" s="316"/>
      <c r="S6585" s="355"/>
    </row>
    <row r="6586" spans="13:19" x14ac:dyDescent="0.25">
      <c r="M6586" s="514"/>
      <c r="Q6586" s="293"/>
      <c r="R6586" s="316"/>
      <c r="S6586" s="355"/>
    </row>
    <row r="6587" spans="13:19" x14ac:dyDescent="0.25">
      <c r="M6587" s="514"/>
      <c r="Q6587" s="293"/>
      <c r="R6587" s="316"/>
      <c r="S6587" s="355"/>
    </row>
    <row r="6588" spans="13:19" x14ac:dyDescent="0.25">
      <c r="M6588" s="514"/>
      <c r="Q6588" s="293"/>
      <c r="R6588" s="316"/>
      <c r="S6588" s="355"/>
    </row>
    <row r="6589" spans="13:19" x14ac:dyDescent="0.25">
      <c r="M6589" s="514"/>
      <c r="Q6589" s="293"/>
      <c r="R6589" s="316"/>
      <c r="S6589" s="355"/>
    </row>
    <row r="6590" spans="13:19" x14ac:dyDescent="0.25">
      <c r="M6590" s="514"/>
      <c r="Q6590" s="293"/>
      <c r="R6590" s="316"/>
      <c r="S6590" s="355"/>
    </row>
    <row r="6591" spans="13:19" x14ac:dyDescent="0.25">
      <c r="M6591" s="514"/>
      <c r="Q6591" s="293"/>
      <c r="R6591" s="316"/>
      <c r="S6591" s="355"/>
    </row>
    <row r="6592" spans="13:19" x14ac:dyDescent="0.25">
      <c r="M6592" s="514"/>
      <c r="Q6592" s="293"/>
      <c r="R6592" s="316"/>
      <c r="S6592" s="355"/>
    </row>
    <row r="6593" spans="13:19" x14ac:dyDescent="0.25">
      <c r="M6593" s="514"/>
      <c r="Q6593" s="293"/>
      <c r="R6593" s="316"/>
      <c r="S6593" s="355"/>
    </row>
    <row r="6594" spans="13:19" x14ac:dyDescent="0.25">
      <c r="M6594" s="514"/>
      <c r="Q6594" s="293"/>
      <c r="R6594" s="316"/>
      <c r="S6594" s="355"/>
    </row>
    <row r="6595" spans="13:19" x14ac:dyDescent="0.25">
      <c r="M6595" s="514"/>
      <c r="Q6595" s="293"/>
      <c r="R6595" s="316"/>
      <c r="S6595" s="355"/>
    </row>
    <row r="6596" spans="13:19" x14ac:dyDescent="0.25">
      <c r="M6596" s="514"/>
      <c r="Q6596" s="293"/>
      <c r="R6596" s="316"/>
      <c r="S6596" s="355"/>
    </row>
    <row r="6597" spans="13:19" x14ac:dyDescent="0.25">
      <c r="M6597" s="514"/>
      <c r="Q6597" s="293"/>
      <c r="R6597" s="316"/>
      <c r="S6597" s="355"/>
    </row>
    <row r="6598" spans="13:19" x14ac:dyDescent="0.25">
      <c r="M6598" s="514"/>
      <c r="Q6598" s="293"/>
      <c r="R6598" s="316"/>
      <c r="S6598" s="355"/>
    </row>
    <row r="6599" spans="13:19" x14ac:dyDescent="0.25">
      <c r="M6599" s="514"/>
      <c r="Q6599" s="293"/>
      <c r="R6599" s="316"/>
      <c r="S6599" s="355"/>
    </row>
    <row r="6600" spans="13:19" x14ac:dyDescent="0.25">
      <c r="M6600" s="514"/>
      <c r="Q6600" s="293"/>
      <c r="R6600" s="316"/>
      <c r="S6600" s="355"/>
    </row>
    <row r="6601" spans="13:19" x14ac:dyDescent="0.25">
      <c r="M6601" s="514"/>
      <c r="Q6601" s="293"/>
      <c r="R6601" s="316"/>
      <c r="S6601" s="355"/>
    </row>
    <row r="6602" spans="13:19" x14ac:dyDescent="0.25">
      <c r="M6602" s="514"/>
      <c r="Q6602" s="293"/>
      <c r="R6602" s="316"/>
      <c r="S6602" s="355"/>
    </row>
    <row r="6603" spans="13:19" x14ac:dyDescent="0.25">
      <c r="M6603" s="514"/>
      <c r="Q6603" s="293"/>
      <c r="R6603" s="316"/>
      <c r="S6603" s="355"/>
    </row>
    <row r="6604" spans="13:19" x14ac:dyDescent="0.25">
      <c r="M6604" s="514"/>
      <c r="Q6604" s="293"/>
      <c r="R6604" s="316"/>
      <c r="S6604" s="355"/>
    </row>
    <row r="6605" spans="13:19" x14ac:dyDescent="0.25">
      <c r="M6605" s="514"/>
      <c r="Q6605" s="293"/>
      <c r="R6605" s="316"/>
      <c r="S6605" s="355"/>
    </row>
    <row r="6606" spans="13:19" x14ac:dyDescent="0.25">
      <c r="M6606" s="514"/>
      <c r="Q6606" s="293"/>
      <c r="R6606" s="316"/>
      <c r="S6606" s="355"/>
    </row>
    <row r="6607" spans="13:19" x14ac:dyDescent="0.25">
      <c r="M6607" s="514"/>
      <c r="Q6607" s="293"/>
      <c r="R6607" s="316"/>
      <c r="S6607" s="355"/>
    </row>
    <row r="6608" spans="13:19" x14ac:dyDescent="0.25">
      <c r="M6608" s="514"/>
      <c r="Q6608" s="293"/>
      <c r="R6608" s="316"/>
      <c r="S6608" s="355"/>
    </row>
    <row r="6609" spans="13:19" x14ac:dyDescent="0.25">
      <c r="M6609" s="514"/>
      <c r="Q6609" s="293"/>
      <c r="R6609" s="316"/>
      <c r="S6609" s="355"/>
    </row>
    <row r="6610" spans="13:19" x14ac:dyDescent="0.25">
      <c r="M6610" s="514"/>
      <c r="Q6610" s="293"/>
      <c r="R6610" s="316"/>
      <c r="S6610" s="355"/>
    </row>
    <row r="6611" spans="13:19" x14ac:dyDescent="0.25">
      <c r="M6611" s="514"/>
      <c r="Q6611" s="293"/>
      <c r="R6611" s="316"/>
      <c r="S6611" s="355"/>
    </row>
    <row r="6612" spans="13:19" x14ac:dyDescent="0.25">
      <c r="M6612" s="514"/>
      <c r="Q6612" s="293"/>
      <c r="R6612" s="316"/>
      <c r="S6612" s="355"/>
    </row>
    <row r="6613" spans="13:19" x14ac:dyDescent="0.25">
      <c r="M6613" s="514"/>
      <c r="Q6613" s="293"/>
      <c r="R6613" s="316"/>
      <c r="S6613" s="355"/>
    </row>
    <row r="6614" spans="13:19" x14ac:dyDescent="0.25">
      <c r="M6614" s="514"/>
      <c r="Q6614" s="293"/>
      <c r="R6614" s="316"/>
      <c r="S6614" s="355"/>
    </row>
    <row r="6615" spans="13:19" x14ac:dyDescent="0.25">
      <c r="M6615" s="514"/>
      <c r="Q6615" s="293"/>
      <c r="R6615" s="316"/>
      <c r="S6615" s="355"/>
    </row>
    <row r="6616" spans="13:19" x14ac:dyDescent="0.25">
      <c r="M6616" s="514"/>
      <c r="Q6616" s="293"/>
      <c r="R6616" s="316"/>
      <c r="S6616" s="355"/>
    </row>
    <row r="6617" spans="13:19" x14ac:dyDescent="0.25">
      <c r="M6617" s="514"/>
      <c r="Q6617" s="293"/>
      <c r="R6617" s="316"/>
      <c r="S6617" s="355"/>
    </row>
    <row r="6618" spans="13:19" x14ac:dyDescent="0.25">
      <c r="M6618" s="514"/>
      <c r="Q6618" s="293"/>
      <c r="R6618" s="316"/>
      <c r="S6618" s="355"/>
    </row>
    <row r="6619" spans="13:19" x14ac:dyDescent="0.25">
      <c r="M6619" s="514"/>
      <c r="Q6619" s="293"/>
      <c r="R6619" s="316"/>
      <c r="S6619" s="355"/>
    </row>
    <row r="6620" spans="13:19" x14ac:dyDescent="0.25">
      <c r="M6620" s="514"/>
      <c r="Q6620" s="293"/>
      <c r="R6620" s="316"/>
      <c r="S6620" s="355"/>
    </row>
    <row r="6621" spans="13:19" x14ac:dyDescent="0.25">
      <c r="M6621" s="514"/>
      <c r="Q6621" s="293"/>
      <c r="R6621" s="316"/>
      <c r="S6621" s="355"/>
    </row>
    <row r="6622" spans="13:19" x14ac:dyDescent="0.25">
      <c r="M6622" s="514"/>
      <c r="Q6622" s="293"/>
      <c r="R6622" s="316"/>
      <c r="S6622" s="355"/>
    </row>
    <row r="6623" spans="13:19" x14ac:dyDescent="0.25">
      <c r="M6623" s="514"/>
      <c r="Q6623" s="293"/>
      <c r="R6623" s="316"/>
      <c r="S6623" s="355"/>
    </row>
    <row r="6624" spans="13:19" x14ac:dyDescent="0.25">
      <c r="M6624" s="514"/>
      <c r="Q6624" s="293"/>
      <c r="R6624" s="316"/>
      <c r="S6624" s="355"/>
    </row>
    <row r="6625" spans="13:19" x14ac:dyDescent="0.25">
      <c r="M6625" s="514"/>
      <c r="Q6625" s="293"/>
      <c r="R6625" s="316"/>
      <c r="S6625" s="355"/>
    </row>
    <row r="6626" spans="13:19" x14ac:dyDescent="0.25">
      <c r="M6626" s="514"/>
      <c r="Q6626" s="293"/>
      <c r="R6626" s="316"/>
      <c r="S6626" s="355"/>
    </row>
    <row r="6627" spans="13:19" x14ac:dyDescent="0.25">
      <c r="M6627" s="514"/>
      <c r="Q6627" s="293"/>
      <c r="R6627" s="316"/>
      <c r="S6627" s="355"/>
    </row>
    <row r="6628" spans="13:19" x14ac:dyDescent="0.25">
      <c r="M6628" s="514"/>
      <c r="Q6628" s="293"/>
      <c r="R6628" s="316"/>
      <c r="S6628" s="355"/>
    </row>
    <row r="6629" spans="13:19" x14ac:dyDescent="0.25">
      <c r="M6629" s="514"/>
      <c r="Q6629" s="293"/>
      <c r="R6629" s="316"/>
      <c r="S6629" s="355"/>
    </row>
    <row r="6630" spans="13:19" x14ac:dyDescent="0.25">
      <c r="M6630" s="514"/>
      <c r="Q6630" s="293"/>
      <c r="R6630" s="316"/>
      <c r="S6630" s="355"/>
    </row>
    <row r="6631" spans="13:19" x14ac:dyDescent="0.25">
      <c r="M6631" s="514"/>
      <c r="Q6631" s="293"/>
      <c r="R6631" s="316"/>
      <c r="S6631" s="355"/>
    </row>
    <row r="6632" spans="13:19" x14ac:dyDescent="0.25">
      <c r="M6632" s="514"/>
      <c r="Q6632" s="293"/>
      <c r="R6632" s="316"/>
      <c r="S6632" s="355"/>
    </row>
    <row r="6633" spans="13:19" x14ac:dyDescent="0.25">
      <c r="M6633" s="514"/>
      <c r="Q6633" s="293"/>
      <c r="R6633" s="316"/>
      <c r="S6633" s="355"/>
    </row>
    <row r="6634" spans="13:19" x14ac:dyDescent="0.25">
      <c r="M6634" s="514"/>
      <c r="Q6634" s="293"/>
      <c r="R6634" s="316"/>
      <c r="S6634" s="355"/>
    </row>
    <row r="6635" spans="13:19" x14ac:dyDescent="0.25">
      <c r="M6635" s="514"/>
      <c r="Q6635" s="293"/>
      <c r="R6635" s="316"/>
      <c r="S6635" s="355"/>
    </row>
    <row r="6636" spans="13:19" x14ac:dyDescent="0.25">
      <c r="M6636" s="514"/>
      <c r="Q6636" s="293"/>
      <c r="R6636" s="316"/>
      <c r="S6636" s="355"/>
    </row>
    <row r="6637" spans="13:19" x14ac:dyDescent="0.25">
      <c r="M6637" s="514"/>
      <c r="Q6637" s="293"/>
      <c r="R6637" s="316"/>
      <c r="S6637" s="355"/>
    </row>
    <row r="6638" spans="13:19" x14ac:dyDescent="0.25">
      <c r="M6638" s="514"/>
      <c r="Q6638" s="293"/>
      <c r="R6638" s="316"/>
      <c r="S6638" s="355"/>
    </row>
    <row r="6639" spans="13:19" x14ac:dyDescent="0.25">
      <c r="M6639" s="514"/>
      <c r="Q6639" s="293"/>
      <c r="R6639" s="316"/>
      <c r="S6639" s="355"/>
    </row>
    <row r="6640" spans="13:19" x14ac:dyDescent="0.25">
      <c r="M6640" s="514"/>
      <c r="Q6640" s="293"/>
      <c r="R6640" s="316"/>
      <c r="S6640" s="355"/>
    </row>
    <row r="6641" spans="13:19" x14ac:dyDescent="0.25">
      <c r="M6641" s="514"/>
      <c r="Q6641" s="293"/>
      <c r="R6641" s="316"/>
      <c r="S6641" s="355"/>
    </row>
    <row r="6642" spans="13:19" x14ac:dyDescent="0.25">
      <c r="M6642" s="514"/>
      <c r="Q6642" s="293"/>
      <c r="R6642" s="316"/>
      <c r="S6642" s="355"/>
    </row>
    <row r="6643" spans="13:19" x14ac:dyDescent="0.25">
      <c r="M6643" s="514"/>
      <c r="Q6643" s="293"/>
      <c r="R6643" s="316"/>
      <c r="S6643" s="355"/>
    </row>
    <row r="6644" spans="13:19" x14ac:dyDescent="0.25">
      <c r="M6644" s="514"/>
      <c r="Q6644" s="293"/>
      <c r="R6644" s="316"/>
      <c r="S6644" s="355"/>
    </row>
    <row r="6645" spans="13:19" x14ac:dyDescent="0.25">
      <c r="M6645" s="514"/>
      <c r="Q6645" s="293"/>
      <c r="R6645" s="316"/>
      <c r="S6645" s="355"/>
    </row>
    <row r="6646" spans="13:19" x14ac:dyDescent="0.25">
      <c r="M6646" s="514"/>
      <c r="Q6646" s="293"/>
      <c r="R6646" s="316"/>
      <c r="S6646" s="355"/>
    </row>
    <row r="6647" spans="13:19" x14ac:dyDescent="0.25">
      <c r="M6647" s="514"/>
      <c r="Q6647" s="293"/>
      <c r="R6647" s="316"/>
      <c r="S6647" s="355"/>
    </row>
    <row r="6648" spans="13:19" x14ac:dyDescent="0.25">
      <c r="M6648" s="514"/>
      <c r="Q6648" s="293"/>
      <c r="R6648" s="316"/>
      <c r="S6648" s="355"/>
    </row>
    <row r="6649" spans="13:19" x14ac:dyDescent="0.25">
      <c r="M6649" s="514"/>
      <c r="Q6649" s="293"/>
      <c r="R6649" s="316"/>
      <c r="S6649" s="355"/>
    </row>
    <row r="6650" spans="13:19" x14ac:dyDescent="0.25">
      <c r="M6650" s="514"/>
      <c r="Q6650" s="293"/>
      <c r="R6650" s="316"/>
      <c r="S6650" s="355"/>
    </row>
    <row r="6651" spans="13:19" x14ac:dyDescent="0.25">
      <c r="M6651" s="514"/>
      <c r="Q6651" s="293"/>
      <c r="R6651" s="316"/>
      <c r="S6651" s="355"/>
    </row>
    <row r="6652" spans="13:19" x14ac:dyDescent="0.25">
      <c r="M6652" s="514"/>
      <c r="Q6652" s="293"/>
      <c r="R6652" s="316"/>
      <c r="S6652" s="355"/>
    </row>
    <row r="6653" spans="13:19" x14ac:dyDescent="0.25">
      <c r="M6653" s="514"/>
      <c r="Q6653" s="293"/>
      <c r="R6653" s="316"/>
      <c r="S6653" s="355"/>
    </row>
    <row r="6654" spans="13:19" x14ac:dyDescent="0.25">
      <c r="M6654" s="514"/>
      <c r="Q6654" s="293"/>
      <c r="R6654" s="316"/>
      <c r="S6654" s="355"/>
    </row>
    <row r="6655" spans="13:19" x14ac:dyDescent="0.25">
      <c r="M6655" s="514"/>
      <c r="Q6655" s="293"/>
      <c r="R6655" s="316"/>
      <c r="S6655" s="355"/>
    </row>
    <row r="6656" spans="13:19" x14ac:dyDescent="0.25">
      <c r="M6656" s="514"/>
      <c r="Q6656" s="293"/>
      <c r="R6656" s="316"/>
      <c r="S6656" s="355"/>
    </row>
    <row r="6657" spans="13:19" x14ac:dyDescent="0.25">
      <c r="M6657" s="514"/>
      <c r="Q6657" s="293"/>
      <c r="R6657" s="316"/>
      <c r="S6657" s="355"/>
    </row>
    <row r="6658" spans="13:19" x14ac:dyDescent="0.25">
      <c r="M6658" s="514"/>
      <c r="Q6658" s="293"/>
      <c r="R6658" s="316"/>
      <c r="S6658" s="355"/>
    </row>
    <row r="6659" spans="13:19" x14ac:dyDescent="0.25">
      <c r="M6659" s="514"/>
      <c r="Q6659" s="293"/>
      <c r="R6659" s="316"/>
      <c r="S6659" s="355"/>
    </row>
    <row r="6660" spans="13:19" x14ac:dyDescent="0.25">
      <c r="M6660" s="514"/>
      <c r="Q6660" s="293"/>
      <c r="R6660" s="316"/>
      <c r="S6660" s="355"/>
    </row>
    <row r="6661" spans="13:19" x14ac:dyDescent="0.25">
      <c r="M6661" s="514"/>
      <c r="Q6661" s="293"/>
      <c r="R6661" s="316"/>
      <c r="S6661" s="355"/>
    </row>
    <row r="6662" spans="13:19" x14ac:dyDescent="0.25">
      <c r="M6662" s="514"/>
      <c r="Q6662" s="293"/>
      <c r="R6662" s="316"/>
      <c r="S6662" s="355"/>
    </row>
    <row r="6663" spans="13:19" x14ac:dyDescent="0.25">
      <c r="M6663" s="514"/>
      <c r="Q6663" s="293"/>
      <c r="R6663" s="316"/>
      <c r="S6663" s="355"/>
    </row>
    <row r="6664" spans="13:19" x14ac:dyDescent="0.25">
      <c r="M6664" s="514"/>
      <c r="Q6664" s="293"/>
      <c r="R6664" s="316"/>
      <c r="S6664" s="355"/>
    </row>
    <row r="6665" spans="13:19" x14ac:dyDescent="0.25">
      <c r="M6665" s="514"/>
      <c r="Q6665" s="293"/>
      <c r="R6665" s="316"/>
      <c r="S6665" s="355"/>
    </row>
    <row r="6666" spans="13:19" x14ac:dyDescent="0.25">
      <c r="M6666" s="514"/>
      <c r="Q6666" s="293"/>
      <c r="R6666" s="316"/>
      <c r="S6666" s="355"/>
    </row>
    <row r="6667" spans="13:19" x14ac:dyDescent="0.25">
      <c r="M6667" s="514"/>
      <c r="Q6667" s="293"/>
      <c r="R6667" s="316"/>
      <c r="S6667" s="355"/>
    </row>
    <row r="6668" spans="13:19" x14ac:dyDescent="0.25">
      <c r="M6668" s="514"/>
      <c r="Q6668" s="293"/>
      <c r="R6668" s="316"/>
      <c r="S6668" s="355"/>
    </row>
    <row r="6669" spans="13:19" x14ac:dyDescent="0.25">
      <c r="M6669" s="514"/>
      <c r="Q6669" s="293"/>
      <c r="R6669" s="316"/>
      <c r="S6669" s="355"/>
    </row>
    <row r="6670" spans="13:19" x14ac:dyDescent="0.25">
      <c r="M6670" s="514"/>
      <c r="Q6670" s="293"/>
      <c r="R6670" s="316"/>
      <c r="S6670" s="355"/>
    </row>
    <row r="6671" spans="13:19" x14ac:dyDescent="0.25">
      <c r="M6671" s="514"/>
      <c r="Q6671" s="293"/>
      <c r="R6671" s="316"/>
      <c r="S6671" s="355"/>
    </row>
    <row r="6672" spans="13:19" x14ac:dyDescent="0.25">
      <c r="M6672" s="514"/>
      <c r="Q6672" s="293"/>
      <c r="R6672" s="316"/>
      <c r="S6672" s="355"/>
    </row>
    <row r="6673" spans="13:19" x14ac:dyDescent="0.25">
      <c r="M6673" s="514"/>
      <c r="Q6673" s="293"/>
      <c r="R6673" s="316"/>
      <c r="S6673" s="355"/>
    </row>
    <row r="6674" spans="13:19" x14ac:dyDescent="0.25">
      <c r="M6674" s="514"/>
      <c r="Q6674" s="293"/>
      <c r="R6674" s="316"/>
      <c r="S6674" s="355"/>
    </row>
    <row r="6675" spans="13:19" x14ac:dyDescent="0.25">
      <c r="M6675" s="514"/>
      <c r="Q6675" s="293"/>
      <c r="R6675" s="316"/>
      <c r="S6675" s="355"/>
    </row>
    <row r="6676" spans="13:19" x14ac:dyDescent="0.25">
      <c r="M6676" s="514"/>
      <c r="Q6676" s="293"/>
      <c r="R6676" s="316"/>
      <c r="S6676" s="355"/>
    </row>
    <row r="6677" spans="13:19" x14ac:dyDescent="0.25">
      <c r="M6677" s="514"/>
      <c r="Q6677" s="293"/>
      <c r="R6677" s="316"/>
      <c r="S6677" s="355"/>
    </row>
    <row r="6678" spans="13:19" x14ac:dyDescent="0.25">
      <c r="M6678" s="514"/>
      <c r="Q6678" s="293"/>
      <c r="R6678" s="316"/>
      <c r="S6678" s="355"/>
    </row>
    <row r="6679" spans="13:19" x14ac:dyDescent="0.25">
      <c r="M6679" s="514"/>
      <c r="Q6679" s="293"/>
      <c r="R6679" s="316"/>
      <c r="S6679" s="355"/>
    </row>
    <row r="6680" spans="13:19" x14ac:dyDescent="0.25">
      <c r="M6680" s="514"/>
      <c r="Q6680" s="293"/>
      <c r="R6680" s="316"/>
      <c r="S6680" s="355"/>
    </row>
    <row r="6681" spans="13:19" x14ac:dyDescent="0.25">
      <c r="M6681" s="514"/>
      <c r="Q6681" s="293"/>
      <c r="R6681" s="316"/>
      <c r="S6681" s="355"/>
    </row>
    <row r="6682" spans="13:19" x14ac:dyDescent="0.25">
      <c r="M6682" s="514"/>
      <c r="Q6682" s="293"/>
      <c r="R6682" s="316"/>
      <c r="S6682" s="355"/>
    </row>
    <row r="6683" spans="13:19" x14ac:dyDescent="0.25">
      <c r="M6683" s="514"/>
      <c r="Q6683" s="293"/>
      <c r="R6683" s="316"/>
      <c r="S6683" s="355"/>
    </row>
    <row r="6684" spans="13:19" x14ac:dyDescent="0.25">
      <c r="M6684" s="514"/>
      <c r="Q6684" s="293"/>
      <c r="R6684" s="316"/>
      <c r="S6684" s="355"/>
    </row>
    <row r="6685" spans="13:19" x14ac:dyDescent="0.25">
      <c r="M6685" s="514"/>
      <c r="Q6685" s="293"/>
      <c r="R6685" s="316"/>
      <c r="S6685" s="355"/>
    </row>
    <row r="6686" spans="13:19" x14ac:dyDescent="0.25">
      <c r="M6686" s="514"/>
      <c r="Q6686" s="293"/>
      <c r="R6686" s="316"/>
      <c r="S6686" s="355"/>
    </row>
    <row r="6687" spans="13:19" x14ac:dyDescent="0.25">
      <c r="M6687" s="514"/>
      <c r="Q6687" s="293"/>
      <c r="R6687" s="316"/>
      <c r="S6687" s="355"/>
    </row>
    <row r="6688" spans="13:19" x14ac:dyDescent="0.25">
      <c r="M6688" s="514"/>
      <c r="Q6688" s="293"/>
      <c r="R6688" s="316"/>
      <c r="S6688" s="355"/>
    </row>
    <row r="6689" spans="13:19" x14ac:dyDescent="0.25">
      <c r="M6689" s="514"/>
      <c r="Q6689" s="293"/>
      <c r="R6689" s="316"/>
      <c r="S6689" s="355"/>
    </row>
    <row r="6690" spans="13:19" x14ac:dyDescent="0.25">
      <c r="M6690" s="514"/>
      <c r="Q6690" s="293"/>
      <c r="R6690" s="316"/>
      <c r="S6690" s="355"/>
    </row>
    <row r="6691" spans="13:19" x14ac:dyDescent="0.25">
      <c r="M6691" s="514"/>
      <c r="Q6691" s="293"/>
      <c r="R6691" s="316"/>
      <c r="S6691" s="355"/>
    </row>
    <row r="6692" spans="13:19" x14ac:dyDescent="0.25">
      <c r="M6692" s="514"/>
      <c r="Q6692" s="293"/>
      <c r="R6692" s="316"/>
      <c r="S6692" s="355"/>
    </row>
    <row r="6693" spans="13:19" x14ac:dyDescent="0.25">
      <c r="M6693" s="514"/>
      <c r="Q6693" s="293"/>
      <c r="R6693" s="316"/>
      <c r="S6693" s="355"/>
    </row>
    <row r="6694" spans="13:19" x14ac:dyDescent="0.25">
      <c r="M6694" s="514"/>
      <c r="Q6694" s="293"/>
      <c r="R6694" s="316"/>
      <c r="S6694" s="355"/>
    </row>
    <row r="6695" spans="13:19" x14ac:dyDescent="0.25">
      <c r="M6695" s="514"/>
      <c r="Q6695" s="293"/>
      <c r="R6695" s="316"/>
      <c r="S6695" s="355"/>
    </row>
    <row r="6696" spans="13:19" x14ac:dyDescent="0.25">
      <c r="M6696" s="514"/>
      <c r="Q6696" s="293"/>
      <c r="R6696" s="316"/>
      <c r="S6696" s="355"/>
    </row>
    <row r="6697" spans="13:19" x14ac:dyDescent="0.25">
      <c r="M6697" s="514"/>
      <c r="Q6697" s="293"/>
      <c r="R6697" s="316"/>
      <c r="S6697" s="355"/>
    </row>
    <row r="6698" spans="13:19" x14ac:dyDescent="0.25">
      <c r="M6698" s="514"/>
      <c r="Q6698" s="293"/>
      <c r="R6698" s="316"/>
      <c r="S6698" s="355"/>
    </row>
    <row r="6699" spans="13:19" x14ac:dyDescent="0.25">
      <c r="M6699" s="514"/>
      <c r="Q6699" s="293"/>
      <c r="R6699" s="316"/>
      <c r="S6699" s="355"/>
    </row>
    <row r="6700" spans="13:19" x14ac:dyDescent="0.25">
      <c r="M6700" s="514"/>
      <c r="Q6700" s="293"/>
      <c r="R6700" s="316"/>
      <c r="S6700" s="355"/>
    </row>
    <row r="6701" spans="13:19" x14ac:dyDescent="0.25">
      <c r="M6701" s="514"/>
      <c r="Q6701" s="293"/>
      <c r="R6701" s="316"/>
      <c r="S6701" s="355"/>
    </row>
    <row r="6702" spans="13:19" x14ac:dyDescent="0.25">
      <c r="M6702" s="514"/>
      <c r="Q6702" s="293"/>
      <c r="R6702" s="316"/>
      <c r="S6702" s="355"/>
    </row>
    <row r="6703" spans="13:19" x14ac:dyDescent="0.25">
      <c r="M6703" s="514"/>
      <c r="Q6703" s="293"/>
      <c r="R6703" s="316"/>
      <c r="S6703" s="355"/>
    </row>
    <row r="6704" spans="13:19" x14ac:dyDescent="0.25">
      <c r="M6704" s="514"/>
      <c r="Q6704" s="293"/>
      <c r="R6704" s="316"/>
      <c r="S6704" s="355"/>
    </row>
    <row r="6705" spans="13:19" x14ac:dyDescent="0.25">
      <c r="M6705" s="514"/>
      <c r="Q6705" s="293"/>
      <c r="R6705" s="316"/>
      <c r="S6705" s="355"/>
    </row>
    <row r="6706" spans="13:19" x14ac:dyDescent="0.25">
      <c r="M6706" s="514"/>
      <c r="Q6706" s="293"/>
      <c r="R6706" s="316"/>
      <c r="S6706" s="355"/>
    </row>
    <row r="6707" spans="13:19" x14ac:dyDescent="0.25">
      <c r="M6707" s="514"/>
      <c r="Q6707" s="293"/>
      <c r="R6707" s="316"/>
      <c r="S6707" s="355"/>
    </row>
    <row r="6708" spans="13:19" x14ac:dyDescent="0.25">
      <c r="M6708" s="514"/>
      <c r="Q6708" s="293"/>
      <c r="R6708" s="316"/>
      <c r="S6708" s="355"/>
    </row>
    <row r="6709" spans="13:19" x14ac:dyDescent="0.25">
      <c r="M6709" s="514"/>
      <c r="Q6709" s="293"/>
      <c r="R6709" s="316"/>
      <c r="S6709" s="355"/>
    </row>
    <row r="6710" spans="13:19" x14ac:dyDescent="0.25">
      <c r="M6710" s="514"/>
      <c r="Q6710" s="293"/>
      <c r="R6710" s="316"/>
      <c r="S6710" s="355"/>
    </row>
    <row r="6711" spans="13:19" x14ac:dyDescent="0.25">
      <c r="M6711" s="514"/>
      <c r="Q6711" s="293"/>
      <c r="R6711" s="316"/>
      <c r="S6711" s="355"/>
    </row>
    <row r="6712" spans="13:19" x14ac:dyDescent="0.25">
      <c r="M6712" s="514"/>
      <c r="Q6712" s="293"/>
      <c r="R6712" s="316"/>
      <c r="S6712" s="355"/>
    </row>
    <row r="6713" spans="13:19" x14ac:dyDescent="0.25">
      <c r="M6713" s="514"/>
      <c r="Q6713" s="293"/>
      <c r="R6713" s="316"/>
      <c r="S6713" s="355"/>
    </row>
    <row r="6714" spans="13:19" x14ac:dyDescent="0.25">
      <c r="M6714" s="514"/>
      <c r="Q6714" s="293"/>
      <c r="R6714" s="316"/>
      <c r="S6714" s="355"/>
    </row>
    <row r="6715" spans="13:19" x14ac:dyDescent="0.25">
      <c r="M6715" s="514"/>
      <c r="Q6715" s="293"/>
      <c r="R6715" s="316"/>
      <c r="S6715" s="355"/>
    </row>
    <row r="6716" spans="13:19" x14ac:dyDescent="0.25">
      <c r="M6716" s="514"/>
      <c r="Q6716" s="293"/>
      <c r="R6716" s="316"/>
      <c r="S6716" s="355"/>
    </row>
    <row r="6717" spans="13:19" x14ac:dyDescent="0.25">
      <c r="M6717" s="514"/>
      <c r="Q6717" s="293"/>
      <c r="R6717" s="316"/>
      <c r="S6717" s="355"/>
    </row>
    <row r="6718" spans="13:19" x14ac:dyDescent="0.25">
      <c r="M6718" s="514"/>
      <c r="Q6718" s="293"/>
      <c r="R6718" s="316"/>
      <c r="S6718" s="355"/>
    </row>
    <row r="6719" spans="13:19" x14ac:dyDescent="0.25">
      <c r="M6719" s="514"/>
      <c r="Q6719" s="293"/>
      <c r="R6719" s="316"/>
      <c r="S6719" s="355"/>
    </row>
    <row r="6720" spans="13:19" x14ac:dyDescent="0.25">
      <c r="M6720" s="514"/>
      <c r="Q6720" s="293"/>
      <c r="R6720" s="316"/>
      <c r="S6720" s="355"/>
    </row>
    <row r="6721" spans="13:19" x14ac:dyDescent="0.25">
      <c r="M6721" s="514"/>
      <c r="Q6721" s="293"/>
      <c r="R6721" s="316"/>
      <c r="S6721" s="355"/>
    </row>
    <row r="6722" spans="13:19" x14ac:dyDescent="0.25">
      <c r="M6722" s="514"/>
      <c r="Q6722" s="293"/>
      <c r="R6722" s="316"/>
      <c r="S6722" s="355"/>
    </row>
    <row r="6723" spans="13:19" x14ac:dyDescent="0.25">
      <c r="M6723" s="514"/>
      <c r="Q6723" s="293"/>
      <c r="R6723" s="316"/>
      <c r="S6723" s="355"/>
    </row>
    <row r="6724" spans="13:19" x14ac:dyDescent="0.25">
      <c r="M6724" s="514"/>
      <c r="Q6724" s="293"/>
      <c r="R6724" s="316"/>
      <c r="S6724" s="355"/>
    </row>
    <row r="6725" spans="13:19" x14ac:dyDescent="0.25">
      <c r="M6725" s="514"/>
      <c r="Q6725" s="293"/>
      <c r="R6725" s="316"/>
      <c r="S6725" s="355"/>
    </row>
    <row r="6726" spans="13:19" x14ac:dyDescent="0.25">
      <c r="M6726" s="514"/>
      <c r="Q6726" s="293"/>
      <c r="R6726" s="316"/>
      <c r="S6726" s="355"/>
    </row>
    <row r="6727" spans="13:19" x14ac:dyDescent="0.25">
      <c r="M6727" s="514"/>
      <c r="Q6727" s="293"/>
      <c r="R6727" s="316"/>
      <c r="S6727" s="355"/>
    </row>
    <row r="6728" spans="13:19" x14ac:dyDescent="0.25">
      <c r="M6728" s="514"/>
      <c r="Q6728" s="293"/>
      <c r="R6728" s="316"/>
      <c r="S6728" s="355"/>
    </row>
    <row r="6729" spans="13:19" x14ac:dyDescent="0.25">
      <c r="M6729" s="514"/>
      <c r="Q6729" s="293"/>
      <c r="R6729" s="316"/>
      <c r="S6729" s="355"/>
    </row>
    <row r="6730" spans="13:19" x14ac:dyDescent="0.25">
      <c r="M6730" s="514"/>
      <c r="Q6730" s="293"/>
      <c r="R6730" s="316"/>
      <c r="S6730" s="355"/>
    </row>
    <row r="6731" spans="13:19" x14ac:dyDescent="0.25">
      <c r="M6731" s="514"/>
      <c r="Q6731" s="293"/>
      <c r="R6731" s="316"/>
      <c r="S6731" s="355"/>
    </row>
    <row r="6732" spans="13:19" x14ac:dyDescent="0.25">
      <c r="M6732" s="514"/>
      <c r="Q6732" s="293"/>
      <c r="R6732" s="316"/>
      <c r="S6732" s="355"/>
    </row>
    <row r="6733" spans="13:19" x14ac:dyDescent="0.25">
      <c r="M6733" s="514"/>
      <c r="Q6733" s="293"/>
      <c r="R6733" s="316"/>
      <c r="S6733" s="355"/>
    </row>
    <row r="6734" spans="13:19" x14ac:dyDescent="0.25">
      <c r="M6734" s="514"/>
      <c r="Q6734" s="293"/>
      <c r="R6734" s="316"/>
      <c r="S6734" s="355"/>
    </row>
    <row r="6735" spans="13:19" x14ac:dyDescent="0.25">
      <c r="M6735" s="514"/>
      <c r="Q6735" s="293"/>
      <c r="R6735" s="316"/>
      <c r="S6735" s="355"/>
    </row>
    <row r="6736" spans="13:19" x14ac:dyDescent="0.25">
      <c r="M6736" s="514"/>
      <c r="Q6736" s="293"/>
      <c r="R6736" s="316"/>
      <c r="S6736" s="355"/>
    </row>
    <row r="6737" spans="13:19" x14ac:dyDescent="0.25">
      <c r="M6737" s="514"/>
      <c r="Q6737" s="293"/>
      <c r="R6737" s="316"/>
      <c r="S6737" s="355"/>
    </row>
    <row r="6738" spans="13:19" x14ac:dyDescent="0.25">
      <c r="M6738" s="514"/>
      <c r="Q6738" s="293"/>
      <c r="R6738" s="316"/>
      <c r="S6738" s="355"/>
    </row>
    <row r="6739" spans="13:19" x14ac:dyDescent="0.25">
      <c r="M6739" s="514"/>
      <c r="Q6739" s="293"/>
      <c r="R6739" s="316"/>
      <c r="S6739" s="355"/>
    </row>
    <row r="6740" spans="13:19" x14ac:dyDescent="0.25">
      <c r="M6740" s="514"/>
      <c r="Q6740" s="293"/>
      <c r="R6740" s="316"/>
      <c r="S6740" s="355"/>
    </row>
    <row r="6741" spans="13:19" x14ac:dyDescent="0.25">
      <c r="M6741" s="514"/>
      <c r="Q6741" s="293"/>
      <c r="R6741" s="316"/>
      <c r="S6741" s="355"/>
    </row>
    <row r="6742" spans="13:19" x14ac:dyDescent="0.25">
      <c r="M6742" s="514"/>
      <c r="Q6742" s="293"/>
      <c r="R6742" s="316"/>
      <c r="S6742" s="355"/>
    </row>
    <row r="6743" spans="13:19" x14ac:dyDescent="0.25">
      <c r="M6743" s="514"/>
      <c r="Q6743" s="293"/>
      <c r="R6743" s="316"/>
      <c r="S6743" s="355"/>
    </row>
    <row r="6744" spans="13:19" x14ac:dyDescent="0.25">
      <c r="M6744" s="514"/>
      <c r="Q6744" s="293"/>
      <c r="R6744" s="316"/>
      <c r="S6744" s="355"/>
    </row>
    <row r="6745" spans="13:19" x14ac:dyDescent="0.25">
      <c r="M6745" s="514"/>
      <c r="Q6745" s="293"/>
      <c r="R6745" s="316"/>
      <c r="S6745" s="355"/>
    </row>
    <row r="6746" spans="13:19" x14ac:dyDescent="0.25">
      <c r="M6746" s="514"/>
      <c r="Q6746" s="293"/>
      <c r="R6746" s="316"/>
      <c r="S6746" s="355"/>
    </row>
    <row r="6747" spans="13:19" x14ac:dyDescent="0.25">
      <c r="M6747" s="514"/>
      <c r="Q6747" s="293"/>
      <c r="R6747" s="316"/>
      <c r="S6747" s="355"/>
    </row>
    <row r="6748" spans="13:19" x14ac:dyDescent="0.25">
      <c r="M6748" s="514"/>
      <c r="Q6748" s="293"/>
      <c r="R6748" s="316"/>
      <c r="S6748" s="355"/>
    </row>
    <row r="6749" spans="13:19" x14ac:dyDescent="0.25">
      <c r="M6749" s="514"/>
      <c r="Q6749" s="293"/>
      <c r="R6749" s="316"/>
      <c r="S6749" s="355"/>
    </row>
    <row r="6750" spans="13:19" x14ac:dyDescent="0.25">
      <c r="M6750" s="514"/>
      <c r="Q6750" s="293"/>
      <c r="R6750" s="316"/>
      <c r="S6750" s="355"/>
    </row>
    <row r="6751" spans="13:19" x14ac:dyDescent="0.25">
      <c r="M6751" s="514"/>
      <c r="Q6751" s="293"/>
      <c r="R6751" s="316"/>
      <c r="S6751" s="355"/>
    </row>
    <row r="6752" spans="13:19" x14ac:dyDescent="0.25">
      <c r="M6752" s="514"/>
      <c r="Q6752" s="293"/>
      <c r="R6752" s="316"/>
      <c r="S6752" s="355"/>
    </row>
    <row r="6753" spans="13:19" x14ac:dyDescent="0.25">
      <c r="M6753" s="514"/>
      <c r="Q6753" s="293"/>
      <c r="R6753" s="316"/>
      <c r="S6753" s="355"/>
    </row>
    <row r="6754" spans="13:19" x14ac:dyDescent="0.25">
      <c r="M6754" s="514"/>
      <c r="Q6754" s="293"/>
      <c r="R6754" s="316"/>
      <c r="S6754" s="355"/>
    </row>
    <row r="6755" spans="13:19" x14ac:dyDescent="0.25">
      <c r="M6755" s="514"/>
      <c r="Q6755" s="293"/>
      <c r="R6755" s="316"/>
      <c r="S6755" s="355"/>
    </row>
    <row r="6756" spans="13:19" x14ac:dyDescent="0.25">
      <c r="M6756" s="514"/>
      <c r="Q6756" s="293"/>
      <c r="R6756" s="316"/>
      <c r="S6756" s="355"/>
    </row>
    <row r="6757" spans="13:19" x14ac:dyDescent="0.25">
      <c r="M6757" s="514"/>
      <c r="Q6757" s="293"/>
      <c r="R6757" s="316"/>
      <c r="S6757" s="355"/>
    </row>
    <row r="6758" spans="13:19" x14ac:dyDescent="0.25">
      <c r="M6758" s="514"/>
      <c r="Q6758" s="293"/>
      <c r="R6758" s="316"/>
      <c r="S6758" s="355"/>
    </row>
    <row r="6759" spans="13:19" x14ac:dyDescent="0.25">
      <c r="M6759" s="514"/>
      <c r="Q6759" s="293"/>
      <c r="R6759" s="316"/>
      <c r="S6759" s="355"/>
    </row>
    <row r="6760" spans="13:19" x14ac:dyDescent="0.25">
      <c r="M6760" s="514"/>
      <c r="Q6760" s="293"/>
      <c r="R6760" s="316"/>
      <c r="S6760" s="355"/>
    </row>
    <row r="6761" spans="13:19" x14ac:dyDescent="0.25">
      <c r="M6761" s="514"/>
      <c r="Q6761" s="293"/>
      <c r="R6761" s="316"/>
      <c r="S6761" s="355"/>
    </row>
    <row r="6762" spans="13:19" x14ac:dyDescent="0.25">
      <c r="M6762" s="514"/>
      <c r="Q6762" s="293"/>
      <c r="R6762" s="316"/>
      <c r="S6762" s="355"/>
    </row>
    <row r="6763" spans="13:19" x14ac:dyDescent="0.25">
      <c r="M6763" s="514"/>
      <c r="Q6763" s="293"/>
      <c r="R6763" s="316"/>
      <c r="S6763" s="355"/>
    </row>
    <row r="6764" spans="13:19" x14ac:dyDescent="0.25">
      <c r="M6764" s="514"/>
      <c r="Q6764" s="293"/>
      <c r="R6764" s="316"/>
      <c r="S6764" s="355"/>
    </row>
    <row r="6765" spans="13:19" x14ac:dyDescent="0.25">
      <c r="M6765" s="514"/>
      <c r="Q6765" s="293"/>
      <c r="R6765" s="316"/>
      <c r="S6765" s="355"/>
    </row>
    <row r="6766" spans="13:19" x14ac:dyDescent="0.25">
      <c r="M6766" s="514"/>
      <c r="Q6766" s="293"/>
      <c r="R6766" s="316"/>
      <c r="S6766" s="355"/>
    </row>
    <row r="6767" spans="13:19" x14ac:dyDescent="0.25">
      <c r="M6767" s="514"/>
      <c r="Q6767" s="293"/>
      <c r="R6767" s="316"/>
      <c r="S6767" s="355"/>
    </row>
    <row r="6768" spans="13:19" x14ac:dyDescent="0.25">
      <c r="M6768" s="514"/>
      <c r="Q6768" s="293"/>
      <c r="R6768" s="316"/>
      <c r="S6768" s="355"/>
    </row>
    <row r="6769" spans="13:19" x14ac:dyDescent="0.25">
      <c r="M6769" s="514"/>
      <c r="Q6769" s="293"/>
      <c r="R6769" s="316"/>
      <c r="S6769" s="355"/>
    </row>
    <row r="6770" spans="13:19" x14ac:dyDescent="0.25">
      <c r="M6770" s="514"/>
      <c r="Q6770" s="293"/>
      <c r="R6770" s="316"/>
      <c r="S6770" s="355"/>
    </row>
    <row r="6771" spans="13:19" x14ac:dyDescent="0.25">
      <c r="M6771" s="514"/>
      <c r="Q6771" s="293"/>
      <c r="R6771" s="316"/>
      <c r="S6771" s="355"/>
    </row>
    <row r="6772" spans="13:19" x14ac:dyDescent="0.25">
      <c r="M6772" s="514"/>
      <c r="Q6772" s="293"/>
      <c r="R6772" s="316"/>
      <c r="S6772" s="355"/>
    </row>
    <row r="6773" spans="13:19" x14ac:dyDescent="0.25">
      <c r="M6773" s="514"/>
      <c r="Q6773" s="293"/>
      <c r="R6773" s="316"/>
      <c r="S6773" s="355"/>
    </row>
    <row r="6774" spans="13:19" x14ac:dyDescent="0.25">
      <c r="M6774" s="514"/>
      <c r="Q6774" s="293"/>
      <c r="R6774" s="316"/>
      <c r="S6774" s="355"/>
    </row>
    <row r="6775" spans="13:19" x14ac:dyDescent="0.25">
      <c r="M6775" s="514"/>
      <c r="Q6775" s="293"/>
      <c r="R6775" s="316"/>
      <c r="S6775" s="355"/>
    </row>
    <row r="6776" spans="13:19" x14ac:dyDescent="0.25">
      <c r="M6776" s="514"/>
      <c r="Q6776" s="293"/>
      <c r="R6776" s="316"/>
      <c r="S6776" s="355"/>
    </row>
    <row r="6777" spans="13:19" x14ac:dyDescent="0.25">
      <c r="M6777" s="514"/>
      <c r="Q6777" s="293"/>
      <c r="R6777" s="316"/>
      <c r="S6777" s="355"/>
    </row>
    <row r="6778" spans="13:19" x14ac:dyDescent="0.25">
      <c r="M6778" s="514"/>
      <c r="Q6778" s="293"/>
      <c r="R6778" s="316"/>
      <c r="S6778" s="355"/>
    </row>
    <row r="6779" spans="13:19" x14ac:dyDescent="0.25">
      <c r="M6779" s="514"/>
      <c r="Q6779" s="293"/>
      <c r="R6779" s="316"/>
      <c r="S6779" s="355"/>
    </row>
    <row r="6780" spans="13:19" x14ac:dyDescent="0.25">
      <c r="M6780" s="514"/>
      <c r="Q6780" s="293"/>
      <c r="R6780" s="316"/>
      <c r="S6780" s="355"/>
    </row>
    <row r="6781" spans="13:19" x14ac:dyDescent="0.25">
      <c r="M6781" s="514"/>
      <c r="Q6781" s="293"/>
      <c r="R6781" s="316"/>
      <c r="S6781" s="355"/>
    </row>
    <row r="6782" spans="13:19" x14ac:dyDescent="0.25">
      <c r="M6782" s="514"/>
      <c r="Q6782" s="293"/>
      <c r="R6782" s="316"/>
      <c r="S6782" s="355"/>
    </row>
    <row r="6783" spans="13:19" x14ac:dyDescent="0.25">
      <c r="M6783" s="514"/>
      <c r="Q6783" s="293"/>
      <c r="R6783" s="316"/>
      <c r="S6783" s="355"/>
    </row>
    <row r="6784" spans="13:19" x14ac:dyDescent="0.25">
      <c r="M6784" s="514"/>
      <c r="Q6784" s="293"/>
      <c r="R6784" s="316"/>
      <c r="S6784" s="355"/>
    </row>
    <row r="6785" spans="13:19" x14ac:dyDescent="0.25">
      <c r="M6785" s="514"/>
      <c r="Q6785" s="293"/>
      <c r="R6785" s="316"/>
      <c r="S6785" s="355"/>
    </row>
    <row r="6786" spans="13:19" x14ac:dyDescent="0.25">
      <c r="M6786" s="514"/>
      <c r="Q6786" s="293"/>
      <c r="R6786" s="316"/>
      <c r="S6786" s="355"/>
    </row>
    <row r="6787" spans="13:19" x14ac:dyDescent="0.25">
      <c r="M6787" s="514"/>
      <c r="Q6787" s="293"/>
      <c r="R6787" s="316"/>
      <c r="S6787" s="355"/>
    </row>
    <row r="6788" spans="13:19" x14ac:dyDescent="0.25">
      <c r="M6788" s="514"/>
      <c r="Q6788" s="293"/>
      <c r="R6788" s="316"/>
      <c r="S6788" s="355"/>
    </row>
    <row r="6789" spans="13:19" x14ac:dyDescent="0.25">
      <c r="M6789" s="514"/>
      <c r="Q6789" s="293"/>
      <c r="R6789" s="316"/>
      <c r="S6789" s="355"/>
    </row>
    <row r="6790" spans="13:19" x14ac:dyDescent="0.25">
      <c r="M6790" s="514"/>
      <c r="Q6790" s="293"/>
      <c r="R6790" s="316"/>
      <c r="S6790" s="355"/>
    </row>
    <row r="6791" spans="13:19" x14ac:dyDescent="0.25">
      <c r="M6791" s="514"/>
      <c r="Q6791" s="293"/>
      <c r="R6791" s="316"/>
      <c r="S6791" s="355"/>
    </row>
    <row r="6792" spans="13:19" x14ac:dyDescent="0.25">
      <c r="M6792" s="514"/>
      <c r="Q6792" s="293"/>
      <c r="R6792" s="316"/>
      <c r="S6792" s="355"/>
    </row>
    <row r="6793" spans="13:19" x14ac:dyDescent="0.25">
      <c r="M6793" s="514"/>
      <c r="Q6793" s="293"/>
      <c r="R6793" s="316"/>
      <c r="S6793" s="355"/>
    </row>
    <row r="6794" spans="13:19" x14ac:dyDescent="0.25">
      <c r="M6794" s="514"/>
      <c r="Q6794" s="293"/>
      <c r="R6794" s="316"/>
      <c r="S6794" s="355"/>
    </row>
    <row r="6795" spans="13:19" x14ac:dyDescent="0.25">
      <c r="M6795" s="514"/>
      <c r="Q6795" s="293"/>
      <c r="R6795" s="316"/>
      <c r="S6795" s="355"/>
    </row>
    <row r="6796" spans="13:19" x14ac:dyDescent="0.25">
      <c r="M6796" s="514"/>
      <c r="Q6796" s="293"/>
      <c r="R6796" s="316"/>
      <c r="S6796" s="355"/>
    </row>
    <row r="6797" spans="13:19" x14ac:dyDescent="0.25">
      <c r="M6797" s="514"/>
      <c r="Q6797" s="293"/>
      <c r="R6797" s="316"/>
      <c r="S6797" s="355"/>
    </row>
    <row r="6798" spans="13:19" x14ac:dyDescent="0.25">
      <c r="M6798" s="514"/>
      <c r="Q6798" s="293"/>
      <c r="R6798" s="316"/>
      <c r="S6798" s="355"/>
    </row>
    <row r="6799" spans="13:19" x14ac:dyDescent="0.25">
      <c r="M6799" s="514"/>
      <c r="Q6799" s="293"/>
      <c r="R6799" s="316"/>
      <c r="S6799" s="355"/>
    </row>
    <row r="6800" spans="13:19" x14ac:dyDescent="0.25">
      <c r="M6800" s="514"/>
      <c r="Q6800" s="293"/>
      <c r="R6800" s="316"/>
      <c r="S6800" s="355"/>
    </row>
    <row r="6801" spans="13:19" x14ac:dyDescent="0.25">
      <c r="M6801" s="514"/>
      <c r="Q6801" s="293"/>
      <c r="R6801" s="316"/>
      <c r="S6801" s="355"/>
    </row>
    <row r="6802" spans="13:19" x14ac:dyDescent="0.25">
      <c r="M6802" s="514"/>
      <c r="Q6802" s="293"/>
      <c r="R6802" s="316"/>
      <c r="S6802" s="355"/>
    </row>
    <row r="6803" spans="13:19" x14ac:dyDescent="0.25">
      <c r="M6803" s="514"/>
      <c r="Q6803" s="293"/>
      <c r="R6803" s="316"/>
      <c r="S6803" s="355"/>
    </row>
    <row r="6804" spans="13:19" x14ac:dyDescent="0.25">
      <c r="M6804" s="514"/>
      <c r="Q6804" s="293"/>
      <c r="R6804" s="316"/>
      <c r="S6804" s="355"/>
    </row>
    <row r="6805" spans="13:19" x14ac:dyDescent="0.25">
      <c r="M6805" s="514"/>
      <c r="Q6805" s="293"/>
      <c r="R6805" s="316"/>
      <c r="S6805" s="355"/>
    </row>
    <row r="6806" spans="13:19" x14ac:dyDescent="0.25">
      <c r="M6806" s="514"/>
      <c r="Q6806" s="293"/>
      <c r="R6806" s="316"/>
      <c r="S6806" s="355"/>
    </row>
    <row r="6807" spans="13:19" x14ac:dyDescent="0.25">
      <c r="M6807" s="514"/>
      <c r="Q6807" s="293"/>
      <c r="R6807" s="316"/>
      <c r="S6807" s="355"/>
    </row>
    <row r="6808" spans="13:19" x14ac:dyDescent="0.25">
      <c r="M6808" s="514"/>
      <c r="Q6808" s="293"/>
      <c r="R6808" s="316"/>
      <c r="S6808" s="355"/>
    </row>
    <row r="6809" spans="13:19" x14ac:dyDescent="0.25">
      <c r="M6809" s="514"/>
      <c r="Q6809" s="293"/>
      <c r="R6809" s="316"/>
      <c r="S6809" s="355"/>
    </row>
    <row r="6810" spans="13:19" x14ac:dyDescent="0.25">
      <c r="M6810" s="514"/>
      <c r="Q6810" s="293"/>
      <c r="R6810" s="316"/>
      <c r="S6810" s="355"/>
    </row>
    <row r="6811" spans="13:19" x14ac:dyDescent="0.25">
      <c r="M6811" s="514"/>
      <c r="Q6811" s="293"/>
      <c r="R6811" s="316"/>
      <c r="S6811" s="355"/>
    </row>
    <row r="6812" spans="13:19" x14ac:dyDescent="0.25">
      <c r="M6812" s="514"/>
      <c r="Q6812" s="293"/>
      <c r="R6812" s="316"/>
      <c r="S6812" s="355"/>
    </row>
    <row r="6813" spans="13:19" x14ac:dyDescent="0.25">
      <c r="M6813" s="514"/>
      <c r="Q6813" s="293"/>
      <c r="R6813" s="316"/>
      <c r="S6813" s="355"/>
    </row>
    <row r="6814" spans="13:19" x14ac:dyDescent="0.25">
      <c r="M6814" s="514"/>
      <c r="Q6814" s="293"/>
      <c r="R6814" s="316"/>
      <c r="S6814" s="355"/>
    </row>
    <row r="6815" spans="13:19" x14ac:dyDescent="0.25">
      <c r="M6815" s="514"/>
      <c r="Q6815" s="293"/>
      <c r="R6815" s="316"/>
      <c r="S6815" s="355"/>
    </row>
    <row r="6816" spans="13:19" x14ac:dyDescent="0.25">
      <c r="M6816" s="514"/>
      <c r="Q6816" s="293"/>
      <c r="R6816" s="316"/>
      <c r="S6816" s="355"/>
    </row>
    <row r="6817" spans="13:19" x14ac:dyDescent="0.25">
      <c r="M6817" s="514"/>
      <c r="Q6817" s="293"/>
      <c r="R6817" s="316"/>
      <c r="S6817" s="355"/>
    </row>
    <row r="6818" spans="13:19" x14ac:dyDescent="0.25">
      <c r="M6818" s="514"/>
      <c r="Q6818" s="293"/>
      <c r="R6818" s="316"/>
      <c r="S6818" s="355"/>
    </row>
    <row r="6819" spans="13:19" x14ac:dyDescent="0.25">
      <c r="M6819" s="514"/>
      <c r="Q6819" s="293"/>
      <c r="R6819" s="316"/>
      <c r="S6819" s="355"/>
    </row>
    <row r="6820" spans="13:19" x14ac:dyDescent="0.25">
      <c r="M6820" s="514"/>
      <c r="Q6820" s="293"/>
      <c r="R6820" s="316"/>
      <c r="S6820" s="355"/>
    </row>
    <row r="6821" spans="13:19" x14ac:dyDescent="0.25">
      <c r="M6821" s="514"/>
      <c r="Q6821" s="293"/>
      <c r="R6821" s="316"/>
      <c r="S6821" s="355"/>
    </row>
    <row r="6822" spans="13:19" x14ac:dyDescent="0.25">
      <c r="M6822" s="514"/>
      <c r="Q6822" s="293"/>
      <c r="R6822" s="316"/>
      <c r="S6822" s="355"/>
    </row>
    <row r="6823" spans="13:19" x14ac:dyDescent="0.25">
      <c r="M6823" s="514"/>
      <c r="Q6823" s="293"/>
      <c r="R6823" s="316"/>
      <c r="S6823" s="355"/>
    </row>
    <row r="6824" spans="13:19" x14ac:dyDescent="0.25">
      <c r="M6824" s="514"/>
      <c r="Q6824" s="293"/>
      <c r="R6824" s="316"/>
      <c r="S6824" s="355"/>
    </row>
    <row r="6825" spans="13:19" x14ac:dyDescent="0.25">
      <c r="M6825" s="514"/>
      <c r="Q6825" s="293"/>
      <c r="R6825" s="316"/>
      <c r="S6825" s="355"/>
    </row>
    <row r="6826" spans="13:19" x14ac:dyDescent="0.25">
      <c r="M6826" s="514"/>
      <c r="Q6826" s="293"/>
      <c r="R6826" s="316"/>
      <c r="S6826" s="355"/>
    </row>
    <row r="6827" spans="13:19" x14ac:dyDescent="0.25">
      <c r="M6827" s="514"/>
      <c r="Q6827" s="293"/>
      <c r="R6827" s="316"/>
      <c r="S6827" s="355"/>
    </row>
    <row r="6828" spans="13:19" x14ac:dyDescent="0.25">
      <c r="M6828" s="514"/>
      <c r="Q6828" s="293"/>
      <c r="R6828" s="316"/>
      <c r="S6828" s="355"/>
    </row>
    <row r="6829" spans="13:19" x14ac:dyDescent="0.25">
      <c r="M6829" s="514"/>
      <c r="Q6829" s="293"/>
      <c r="R6829" s="316"/>
      <c r="S6829" s="355"/>
    </row>
    <row r="6830" spans="13:19" x14ac:dyDescent="0.25">
      <c r="M6830" s="514"/>
      <c r="Q6830" s="293"/>
      <c r="R6830" s="316"/>
      <c r="S6830" s="355"/>
    </row>
    <row r="6831" spans="13:19" x14ac:dyDescent="0.25">
      <c r="M6831" s="514"/>
      <c r="Q6831" s="293"/>
      <c r="R6831" s="316"/>
      <c r="S6831" s="355"/>
    </row>
    <row r="6832" spans="13:19" x14ac:dyDescent="0.25">
      <c r="M6832" s="514"/>
      <c r="Q6832" s="293"/>
      <c r="R6832" s="316"/>
      <c r="S6832" s="355"/>
    </row>
    <row r="6833" spans="13:19" x14ac:dyDescent="0.25">
      <c r="M6833" s="514"/>
      <c r="Q6833" s="293"/>
      <c r="R6833" s="316"/>
      <c r="S6833" s="355"/>
    </row>
    <row r="6834" spans="13:19" x14ac:dyDescent="0.25">
      <c r="M6834" s="514"/>
      <c r="Q6834" s="293"/>
      <c r="R6834" s="316"/>
      <c r="S6834" s="355"/>
    </row>
    <row r="6835" spans="13:19" x14ac:dyDescent="0.25">
      <c r="M6835" s="514"/>
      <c r="Q6835" s="293"/>
      <c r="R6835" s="316"/>
      <c r="S6835" s="355"/>
    </row>
    <row r="6836" spans="13:19" x14ac:dyDescent="0.25">
      <c r="M6836" s="514"/>
      <c r="Q6836" s="293"/>
      <c r="R6836" s="316"/>
      <c r="S6836" s="355"/>
    </row>
    <row r="6837" spans="13:19" x14ac:dyDescent="0.25">
      <c r="M6837" s="514"/>
      <c r="Q6837" s="293"/>
      <c r="R6837" s="316"/>
      <c r="S6837" s="355"/>
    </row>
    <row r="6838" spans="13:19" x14ac:dyDescent="0.25">
      <c r="M6838" s="514"/>
      <c r="Q6838" s="293"/>
      <c r="R6838" s="316"/>
      <c r="S6838" s="355"/>
    </row>
    <row r="6839" spans="13:19" x14ac:dyDescent="0.25">
      <c r="M6839" s="514"/>
      <c r="Q6839" s="293"/>
      <c r="R6839" s="316"/>
      <c r="S6839" s="355"/>
    </row>
    <row r="6840" spans="13:19" x14ac:dyDescent="0.25">
      <c r="M6840" s="514"/>
      <c r="Q6840" s="293"/>
      <c r="R6840" s="316"/>
      <c r="S6840" s="355"/>
    </row>
    <row r="6841" spans="13:19" x14ac:dyDescent="0.25">
      <c r="M6841" s="514"/>
      <c r="Q6841" s="293"/>
      <c r="R6841" s="316"/>
      <c r="S6841" s="355"/>
    </row>
    <row r="6842" spans="13:19" x14ac:dyDescent="0.25">
      <c r="M6842" s="514"/>
      <c r="Q6842" s="293"/>
      <c r="R6842" s="316"/>
      <c r="S6842" s="355"/>
    </row>
    <row r="6843" spans="13:19" x14ac:dyDescent="0.25">
      <c r="M6843" s="514"/>
      <c r="Q6843" s="293"/>
      <c r="R6843" s="316"/>
      <c r="S6843" s="355"/>
    </row>
    <row r="6844" spans="13:19" x14ac:dyDescent="0.25">
      <c r="M6844" s="514"/>
      <c r="Q6844" s="293"/>
      <c r="R6844" s="316"/>
      <c r="S6844" s="355"/>
    </row>
    <row r="6845" spans="13:19" x14ac:dyDescent="0.25">
      <c r="M6845" s="514"/>
      <c r="Q6845" s="293"/>
      <c r="R6845" s="316"/>
      <c r="S6845" s="355"/>
    </row>
    <row r="6846" spans="13:19" x14ac:dyDescent="0.25">
      <c r="M6846" s="514"/>
      <c r="Q6846" s="293"/>
      <c r="R6846" s="316"/>
      <c r="S6846" s="355"/>
    </row>
    <row r="6847" spans="13:19" x14ac:dyDescent="0.25">
      <c r="M6847" s="514"/>
      <c r="Q6847" s="293"/>
      <c r="R6847" s="316"/>
      <c r="S6847" s="355"/>
    </row>
    <row r="6848" spans="13:19" x14ac:dyDescent="0.25">
      <c r="M6848" s="514"/>
      <c r="Q6848" s="293"/>
      <c r="R6848" s="316"/>
      <c r="S6848" s="355"/>
    </row>
    <row r="6849" spans="13:19" x14ac:dyDescent="0.25">
      <c r="M6849" s="514"/>
      <c r="Q6849" s="293"/>
      <c r="R6849" s="316"/>
      <c r="S6849" s="355"/>
    </row>
    <row r="6850" spans="13:19" x14ac:dyDescent="0.25">
      <c r="M6850" s="514"/>
      <c r="Q6850" s="293"/>
      <c r="R6850" s="316"/>
      <c r="S6850" s="355"/>
    </row>
    <row r="6851" spans="13:19" x14ac:dyDescent="0.25">
      <c r="M6851" s="514"/>
      <c r="Q6851" s="293"/>
      <c r="R6851" s="316"/>
      <c r="S6851" s="355"/>
    </row>
    <row r="6852" spans="13:19" x14ac:dyDescent="0.25">
      <c r="M6852" s="514"/>
      <c r="Q6852" s="293"/>
      <c r="R6852" s="316"/>
      <c r="S6852" s="355"/>
    </row>
    <row r="6853" spans="13:19" x14ac:dyDescent="0.25">
      <c r="M6853" s="514"/>
      <c r="Q6853" s="293"/>
      <c r="R6853" s="316"/>
      <c r="S6853" s="355"/>
    </row>
    <row r="6854" spans="13:19" x14ac:dyDescent="0.25">
      <c r="M6854" s="514"/>
      <c r="Q6854" s="293"/>
      <c r="R6854" s="316"/>
      <c r="S6854" s="355"/>
    </row>
    <row r="6855" spans="13:19" x14ac:dyDescent="0.25">
      <c r="M6855" s="514"/>
      <c r="Q6855" s="293"/>
      <c r="R6855" s="316"/>
      <c r="S6855" s="355"/>
    </row>
    <row r="6856" spans="13:19" x14ac:dyDescent="0.25">
      <c r="M6856" s="514"/>
      <c r="Q6856" s="293"/>
      <c r="R6856" s="316"/>
      <c r="S6856" s="355"/>
    </row>
    <row r="6857" spans="13:19" x14ac:dyDescent="0.25">
      <c r="M6857" s="514"/>
      <c r="Q6857" s="293"/>
      <c r="R6857" s="316"/>
      <c r="S6857" s="355"/>
    </row>
    <row r="6858" spans="13:19" x14ac:dyDescent="0.25">
      <c r="M6858" s="514"/>
      <c r="Q6858" s="293"/>
      <c r="R6858" s="316"/>
      <c r="S6858" s="355"/>
    </row>
    <row r="6859" spans="13:19" x14ac:dyDescent="0.25">
      <c r="M6859" s="514"/>
      <c r="Q6859" s="293"/>
      <c r="R6859" s="316"/>
      <c r="S6859" s="355"/>
    </row>
    <row r="6860" spans="13:19" x14ac:dyDescent="0.25">
      <c r="M6860" s="514"/>
      <c r="Q6860" s="293"/>
      <c r="R6860" s="316"/>
      <c r="S6860" s="355"/>
    </row>
    <row r="6861" spans="13:19" x14ac:dyDescent="0.25">
      <c r="M6861" s="514"/>
      <c r="Q6861" s="293"/>
      <c r="R6861" s="316"/>
      <c r="S6861" s="355"/>
    </row>
    <row r="6862" spans="13:19" x14ac:dyDescent="0.25">
      <c r="M6862" s="514"/>
      <c r="Q6862" s="293"/>
      <c r="R6862" s="316"/>
      <c r="S6862" s="355"/>
    </row>
    <row r="6863" spans="13:19" x14ac:dyDescent="0.25">
      <c r="M6863" s="514"/>
      <c r="Q6863" s="293"/>
      <c r="R6863" s="316"/>
      <c r="S6863" s="355"/>
    </row>
    <row r="6864" spans="13:19" x14ac:dyDescent="0.25">
      <c r="M6864" s="514"/>
      <c r="Q6864" s="293"/>
      <c r="R6864" s="316"/>
      <c r="S6864" s="355"/>
    </row>
    <row r="6865" spans="13:19" x14ac:dyDescent="0.25">
      <c r="M6865" s="514"/>
      <c r="Q6865" s="293"/>
      <c r="R6865" s="316"/>
      <c r="S6865" s="355"/>
    </row>
    <row r="6866" spans="13:19" x14ac:dyDescent="0.25">
      <c r="M6866" s="514"/>
      <c r="Q6866" s="293"/>
      <c r="R6866" s="316"/>
      <c r="S6866" s="355"/>
    </row>
    <row r="6867" spans="13:19" x14ac:dyDescent="0.25">
      <c r="M6867" s="514"/>
      <c r="Q6867" s="293"/>
      <c r="R6867" s="316"/>
      <c r="S6867" s="355"/>
    </row>
    <row r="6868" spans="13:19" x14ac:dyDescent="0.25">
      <c r="M6868" s="514"/>
      <c r="Q6868" s="293"/>
      <c r="R6868" s="316"/>
      <c r="S6868" s="355"/>
    </row>
    <row r="6869" spans="13:19" x14ac:dyDescent="0.25">
      <c r="M6869" s="514"/>
      <c r="Q6869" s="293"/>
      <c r="R6869" s="316"/>
      <c r="S6869" s="355"/>
    </row>
    <row r="6870" spans="13:19" x14ac:dyDescent="0.25">
      <c r="M6870" s="514"/>
      <c r="Q6870" s="293"/>
      <c r="R6870" s="316"/>
      <c r="S6870" s="355"/>
    </row>
    <row r="6871" spans="13:19" x14ac:dyDescent="0.25">
      <c r="M6871" s="514"/>
      <c r="Q6871" s="293"/>
      <c r="R6871" s="316"/>
      <c r="S6871" s="355"/>
    </row>
    <row r="6872" spans="13:19" x14ac:dyDescent="0.25">
      <c r="M6872" s="514"/>
      <c r="Q6872" s="293"/>
      <c r="R6872" s="316"/>
      <c r="S6872" s="355"/>
    </row>
    <row r="6873" spans="13:19" x14ac:dyDescent="0.25">
      <c r="M6873" s="514"/>
      <c r="Q6873" s="293"/>
      <c r="R6873" s="316"/>
      <c r="S6873" s="355"/>
    </row>
    <row r="6874" spans="13:19" x14ac:dyDescent="0.25">
      <c r="M6874" s="514"/>
      <c r="Q6874" s="293"/>
      <c r="R6874" s="316"/>
      <c r="S6874" s="355"/>
    </row>
    <row r="6875" spans="13:19" x14ac:dyDescent="0.25">
      <c r="M6875" s="514"/>
      <c r="Q6875" s="293"/>
      <c r="R6875" s="316"/>
      <c r="S6875" s="355"/>
    </row>
    <row r="6876" spans="13:19" x14ac:dyDescent="0.25">
      <c r="M6876" s="514"/>
      <c r="Q6876" s="293"/>
      <c r="R6876" s="316"/>
      <c r="S6876" s="355"/>
    </row>
    <row r="6877" spans="13:19" x14ac:dyDescent="0.25">
      <c r="M6877" s="514"/>
      <c r="Q6877" s="293"/>
      <c r="R6877" s="316"/>
      <c r="S6877" s="355"/>
    </row>
    <row r="6878" spans="13:19" x14ac:dyDescent="0.25">
      <c r="M6878" s="514"/>
      <c r="Q6878" s="293"/>
      <c r="R6878" s="316"/>
      <c r="S6878" s="355"/>
    </row>
    <row r="6879" spans="13:19" x14ac:dyDescent="0.25">
      <c r="M6879" s="514"/>
      <c r="Q6879" s="293"/>
      <c r="R6879" s="316"/>
      <c r="S6879" s="355"/>
    </row>
    <row r="6880" spans="13:19" x14ac:dyDescent="0.25">
      <c r="M6880" s="514"/>
      <c r="Q6880" s="293"/>
      <c r="R6880" s="316"/>
      <c r="S6880" s="355"/>
    </row>
    <row r="6881" spans="13:19" x14ac:dyDescent="0.25">
      <c r="M6881" s="514"/>
      <c r="Q6881" s="293"/>
      <c r="R6881" s="316"/>
      <c r="S6881" s="355"/>
    </row>
    <row r="6882" spans="13:19" x14ac:dyDescent="0.25">
      <c r="M6882" s="514"/>
      <c r="Q6882" s="293"/>
      <c r="R6882" s="316"/>
      <c r="S6882" s="355"/>
    </row>
    <row r="6883" spans="13:19" x14ac:dyDescent="0.25">
      <c r="M6883" s="514"/>
      <c r="Q6883" s="293"/>
      <c r="R6883" s="316"/>
      <c r="S6883" s="355"/>
    </row>
    <row r="6884" spans="13:19" x14ac:dyDescent="0.25">
      <c r="M6884" s="514"/>
      <c r="Q6884" s="293"/>
      <c r="R6884" s="316"/>
      <c r="S6884" s="355"/>
    </row>
    <row r="6885" spans="13:19" x14ac:dyDescent="0.25">
      <c r="M6885" s="514"/>
      <c r="Q6885" s="293"/>
      <c r="R6885" s="316"/>
      <c r="S6885" s="355"/>
    </row>
    <row r="6886" spans="13:19" x14ac:dyDescent="0.25">
      <c r="M6886" s="514"/>
      <c r="Q6886" s="293"/>
      <c r="R6886" s="316"/>
      <c r="S6886" s="355"/>
    </row>
    <row r="6887" spans="13:19" x14ac:dyDescent="0.25">
      <c r="M6887" s="514"/>
      <c r="Q6887" s="293"/>
      <c r="R6887" s="316"/>
      <c r="S6887" s="355"/>
    </row>
    <row r="6888" spans="13:19" x14ac:dyDescent="0.25">
      <c r="M6888" s="514"/>
      <c r="Q6888" s="293"/>
      <c r="R6888" s="316"/>
      <c r="S6888" s="355"/>
    </row>
    <row r="6889" spans="13:19" x14ac:dyDescent="0.25">
      <c r="M6889" s="514"/>
      <c r="Q6889" s="293"/>
      <c r="R6889" s="316"/>
      <c r="S6889" s="355"/>
    </row>
    <row r="6890" spans="13:19" x14ac:dyDescent="0.25">
      <c r="M6890" s="514"/>
      <c r="Q6890" s="293"/>
      <c r="R6890" s="316"/>
      <c r="S6890" s="355"/>
    </row>
    <row r="6891" spans="13:19" x14ac:dyDescent="0.25">
      <c r="M6891" s="514"/>
      <c r="Q6891" s="293"/>
      <c r="R6891" s="316"/>
      <c r="S6891" s="355"/>
    </row>
    <row r="6892" spans="13:19" x14ac:dyDescent="0.25">
      <c r="M6892" s="514"/>
      <c r="Q6892" s="293"/>
      <c r="R6892" s="316"/>
      <c r="S6892" s="355"/>
    </row>
    <row r="6893" spans="13:19" x14ac:dyDescent="0.25">
      <c r="M6893" s="514"/>
      <c r="Q6893" s="293"/>
      <c r="R6893" s="316"/>
      <c r="S6893" s="355"/>
    </row>
    <row r="6894" spans="13:19" x14ac:dyDescent="0.25">
      <c r="M6894" s="514"/>
      <c r="Q6894" s="293"/>
      <c r="R6894" s="316"/>
      <c r="S6894" s="355"/>
    </row>
    <row r="6895" spans="13:19" x14ac:dyDescent="0.25">
      <c r="M6895" s="514"/>
      <c r="Q6895" s="293"/>
      <c r="R6895" s="316"/>
      <c r="S6895" s="355"/>
    </row>
    <row r="6896" spans="13:19" x14ac:dyDescent="0.25">
      <c r="M6896" s="514"/>
      <c r="Q6896" s="293"/>
      <c r="R6896" s="316"/>
      <c r="S6896" s="355"/>
    </row>
    <row r="6897" spans="13:19" x14ac:dyDescent="0.25">
      <c r="M6897" s="514"/>
      <c r="Q6897" s="293"/>
      <c r="R6897" s="316"/>
      <c r="S6897" s="355"/>
    </row>
    <row r="6898" spans="13:19" x14ac:dyDescent="0.25">
      <c r="M6898" s="514"/>
      <c r="Q6898" s="293"/>
      <c r="R6898" s="316"/>
      <c r="S6898" s="355"/>
    </row>
    <row r="6899" spans="13:19" x14ac:dyDescent="0.25">
      <c r="M6899" s="514"/>
      <c r="Q6899" s="293"/>
      <c r="R6899" s="316"/>
      <c r="S6899" s="355"/>
    </row>
    <row r="6900" spans="13:19" x14ac:dyDescent="0.25">
      <c r="M6900" s="514"/>
      <c r="Q6900" s="293"/>
      <c r="R6900" s="316"/>
      <c r="S6900" s="355"/>
    </row>
    <row r="6901" spans="13:19" x14ac:dyDescent="0.25">
      <c r="M6901" s="514"/>
      <c r="Q6901" s="293"/>
      <c r="R6901" s="316"/>
      <c r="S6901" s="355"/>
    </row>
    <row r="6902" spans="13:19" x14ac:dyDescent="0.25">
      <c r="M6902" s="514"/>
      <c r="Q6902" s="293"/>
      <c r="R6902" s="316"/>
      <c r="S6902" s="355"/>
    </row>
    <row r="6903" spans="13:19" x14ac:dyDescent="0.25">
      <c r="M6903" s="514"/>
      <c r="Q6903" s="293"/>
      <c r="R6903" s="316"/>
      <c r="S6903" s="355"/>
    </row>
    <row r="6904" spans="13:19" x14ac:dyDescent="0.25">
      <c r="M6904" s="514"/>
      <c r="Q6904" s="293"/>
      <c r="R6904" s="316"/>
      <c r="S6904" s="355"/>
    </row>
    <row r="6905" spans="13:19" x14ac:dyDescent="0.25">
      <c r="M6905" s="514"/>
      <c r="Q6905" s="293"/>
      <c r="R6905" s="316"/>
      <c r="S6905" s="355"/>
    </row>
    <row r="6906" spans="13:19" x14ac:dyDescent="0.25">
      <c r="M6906" s="514"/>
      <c r="Q6906" s="293"/>
      <c r="R6906" s="316"/>
      <c r="S6906" s="355"/>
    </row>
    <row r="6907" spans="13:19" x14ac:dyDescent="0.25">
      <c r="M6907" s="514"/>
      <c r="Q6907" s="293"/>
      <c r="R6907" s="316"/>
      <c r="S6907" s="355"/>
    </row>
    <row r="6908" spans="13:19" x14ac:dyDescent="0.25">
      <c r="M6908" s="514"/>
      <c r="Q6908" s="293"/>
      <c r="R6908" s="316"/>
      <c r="S6908" s="355"/>
    </row>
    <row r="6909" spans="13:19" x14ac:dyDescent="0.25">
      <c r="M6909" s="514"/>
      <c r="Q6909" s="293"/>
      <c r="R6909" s="316"/>
      <c r="S6909" s="355"/>
    </row>
    <row r="6910" spans="13:19" x14ac:dyDescent="0.25">
      <c r="M6910" s="514"/>
      <c r="Q6910" s="293"/>
      <c r="R6910" s="316"/>
      <c r="S6910" s="355"/>
    </row>
    <row r="6911" spans="13:19" x14ac:dyDescent="0.25">
      <c r="M6911" s="514"/>
      <c r="Q6911" s="293"/>
      <c r="R6911" s="316"/>
      <c r="S6911" s="355"/>
    </row>
    <row r="6912" spans="13:19" x14ac:dyDescent="0.25">
      <c r="M6912" s="514"/>
      <c r="Q6912" s="293"/>
      <c r="R6912" s="316"/>
      <c r="S6912" s="355"/>
    </row>
    <row r="6913" spans="13:19" x14ac:dyDescent="0.25">
      <c r="M6913" s="514"/>
      <c r="Q6913" s="293"/>
      <c r="R6913" s="316"/>
      <c r="S6913" s="355"/>
    </row>
    <row r="6914" spans="13:19" x14ac:dyDescent="0.25">
      <c r="M6914" s="514"/>
      <c r="Q6914" s="293"/>
      <c r="R6914" s="316"/>
      <c r="S6914" s="355"/>
    </row>
    <row r="6915" spans="13:19" x14ac:dyDescent="0.25">
      <c r="M6915" s="514"/>
      <c r="Q6915" s="293"/>
      <c r="R6915" s="316"/>
      <c r="S6915" s="355"/>
    </row>
    <row r="6916" spans="13:19" x14ac:dyDescent="0.25">
      <c r="M6916" s="514"/>
      <c r="Q6916" s="293"/>
      <c r="R6916" s="316"/>
      <c r="S6916" s="355"/>
    </row>
    <row r="6917" spans="13:19" x14ac:dyDescent="0.25">
      <c r="M6917" s="514"/>
      <c r="Q6917" s="293"/>
      <c r="R6917" s="316"/>
      <c r="S6917" s="355"/>
    </row>
    <row r="6918" spans="13:19" x14ac:dyDescent="0.25">
      <c r="M6918" s="514"/>
      <c r="Q6918" s="293"/>
      <c r="R6918" s="316"/>
      <c r="S6918" s="355"/>
    </row>
    <row r="6919" spans="13:19" x14ac:dyDescent="0.25">
      <c r="M6919" s="514"/>
      <c r="Q6919" s="293"/>
      <c r="R6919" s="316"/>
      <c r="S6919" s="355"/>
    </row>
    <row r="6920" spans="13:19" x14ac:dyDescent="0.25">
      <c r="M6920" s="514"/>
      <c r="Q6920" s="293"/>
      <c r="R6920" s="316"/>
      <c r="S6920" s="355"/>
    </row>
    <row r="6921" spans="13:19" x14ac:dyDescent="0.25">
      <c r="M6921" s="514"/>
      <c r="Q6921" s="293"/>
      <c r="R6921" s="316"/>
      <c r="S6921" s="355"/>
    </row>
    <row r="6922" spans="13:19" x14ac:dyDescent="0.25">
      <c r="M6922" s="514"/>
      <c r="Q6922" s="293"/>
      <c r="R6922" s="316"/>
      <c r="S6922" s="355"/>
    </row>
    <row r="6923" spans="13:19" x14ac:dyDescent="0.25">
      <c r="M6923" s="514"/>
      <c r="Q6923" s="293"/>
      <c r="R6923" s="316"/>
      <c r="S6923" s="355"/>
    </row>
    <row r="6924" spans="13:19" x14ac:dyDescent="0.25">
      <c r="M6924" s="514"/>
      <c r="Q6924" s="293"/>
      <c r="R6924" s="316"/>
      <c r="S6924" s="355"/>
    </row>
    <row r="6925" spans="13:19" x14ac:dyDescent="0.25">
      <c r="M6925" s="514"/>
      <c r="Q6925" s="293"/>
      <c r="R6925" s="316"/>
      <c r="S6925" s="355"/>
    </row>
    <row r="6926" spans="13:19" x14ac:dyDescent="0.25">
      <c r="M6926" s="514"/>
      <c r="Q6926" s="293"/>
      <c r="R6926" s="316"/>
      <c r="S6926" s="355"/>
    </row>
    <row r="6927" spans="13:19" x14ac:dyDescent="0.25">
      <c r="M6927" s="514"/>
      <c r="Q6927" s="293"/>
      <c r="R6927" s="316"/>
      <c r="S6927" s="355"/>
    </row>
    <row r="6928" spans="13:19" x14ac:dyDescent="0.25">
      <c r="M6928" s="514"/>
      <c r="Q6928" s="293"/>
      <c r="R6928" s="316"/>
      <c r="S6928" s="355"/>
    </row>
    <row r="6929" spans="13:19" x14ac:dyDescent="0.25">
      <c r="M6929" s="514"/>
      <c r="Q6929" s="293"/>
      <c r="R6929" s="316"/>
      <c r="S6929" s="355"/>
    </row>
    <row r="6930" spans="13:19" x14ac:dyDescent="0.25">
      <c r="M6930" s="514"/>
      <c r="Q6930" s="293"/>
      <c r="R6930" s="316"/>
      <c r="S6930" s="355"/>
    </row>
    <row r="6931" spans="13:19" x14ac:dyDescent="0.25">
      <c r="M6931" s="514"/>
      <c r="Q6931" s="293"/>
      <c r="R6931" s="316"/>
      <c r="S6931" s="355"/>
    </row>
    <row r="6932" spans="13:19" x14ac:dyDescent="0.25">
      <c r="M6932" s="514"/>
      <c r="Q6932" s="293"/>
      <c r="R6932" s="316"/>
      <c r="S6932" s="355"/>
    </row>
    <row r="6933" spans="13:19" x14ac:dyDescent="0.25">
      <c r="M6933" s="514"/>
      <c r="Q6933" s="293"/>
      <c r="R6933" s="316"/>
      <c r="S6933" s="355"/>
    </row>
    <row r="6934" spans="13:19" x14ac:dyDescent="0.25">
      <c r="M6934" s="514"/>
      <c r="Q6934" s="293"/>
      <c r="R6934" s="316"/>
      <c r="S6934" s="355"/>
    </row>
    <row r="6935" spans="13:19" x14ac:dyDescent="0.25">
      <c r="M6935" s="514"/>
      <c r="Q6935" s="293"/>
      <c r="R6935" s="316"/>
      <c r="S6935" s="355"/>
    </row>
    <row r="6936" spans="13:19" x14ac:dyDescent="0.25">
      <c r="M6936" s="514"/>
      <c r="Q6936" s="293"/>
      <c r="R6936" s="316"/>
      <c r="S6936" s="355"/>
    </row>
    <row r="6937" spans="13:19" x14ac:dyDescent="0.25">
      <c r="M6937" s="514"/>
      <c r="Q6937" s="293"/>
      <c r="R6937" s="316"/>
      <c r="S6937" s="355"/>
    </row>
    <row r="6938" spans="13:19" x14ac:dyDescent="0.25">
      <c r="M6938" s="514"/>
      <c r="Q6938" s="293"/>
      <c r="R6938" s="316"/>
      <c r="S6938" s="355"/>
    </row>
    <row r="6939" spans="13:19" x14ac:dyDescent="0.25">
      <c r="M6939" s="514"/>
      <c r="Q6939" s="293"/>
      <c r="R6939" s="316"/>
      <c r="S6939" s="355"/>
    </row>
    <row r="6940" spans="13:19" x14ac:dyDescent="0.25">
      <c r="M6940" s="514"/>
      <c r="Q6940" s="293"/>
      <c r="R6940" s="316"/>
      <c r="S6940" s="355"/>
    </row>
    <row r="6941" spans="13:19" x14ac:dyDescent="0.25">
      <c r="M6941" s="514"/>
      <c r="Q6941" s="293"/>
      <c r="R6941" s="316"/>
      <c r="S6941" s="355"/>
    </row>
    <row r="6942" spans="13:19" x14ac:dyDescent="0.25">
      <c r="M6942" s="514"/>
      <c r="Q6942" s="293"/>
      <c r="R6942" s="316"/>
      <c r="S6942" s="355"/>
    </row>
    <row r="6943" spans="13:19" x14ac:dyDescent="0.25">
      <c r="M6943" s="514"/>
      <c r="Q6943" s="293"/>
      <c r="R6943" s="316"/>
      <c r="S6943" s="355"/>
    </row>
    <row r="6944" spans="13:19" x14ac:dyDescent="0.25">
      <c r="M6944" s="514"/>
      <c r="Q6944" s="293"/>
      <c r="R6944" s="316"/>
      <c r="S6944" s="355"/>
    </row>
    <row r="6945" spans="13:19" x14ac:dyDescent="0.25">
      <c r="M6945" s="514"/>
      <c r="Q6945" s="293"/>
      <c r="R6945" s="316"/>
      <c r="S6945" s="355"/>
    </row>
    <row r="6946" spans="13:19" x14ac:dyDescent="0.25">
      <c r="M6946" s="514"/>
      <c r="Q6946" s="293"/>
      <c r="R6946" s="316"/>
      <c r="S6946" s="355"/>
    </row>
    <row r="6947" spans="13:19" x14ac:dyDescent="0.25">
      <c r="M6947" s="514"/>
      <c r="Q6947" s="293"/>
      <c r="R6947" s="316"/>
      <c r="S6947" s="355"/>
    </row>
    <row r="6948" spans="13:19" x14ac:dyDescent="0.25">
      <c r="M6948" s="514"/>
      <c r="Q6948" s="293"/>
      <c r="R6948" s="316"/>
      <c r="S6948" s="355"/>
    </row>
    <row r="6949" spans="13:19" x14ac:dyDescent="0.25">
      <c r="M6949" s="514"/>
      <c r="Q6949" s="293"/>
      <c r="R6949" s="316"/>
      <c r="S6949" s="355"/>
    </row>
    <row r="6950" spans="13:19" x14ac:dyDescent="0.25">
      <c r="M6950" s="514"/>
      <c r="Q6950" s="293"/>
      <c r="R6950" s="316"/>
      <c r="S6950" s="355"/>
    </row>
    <row r="6951" spans="13:19" x14ac:dyDescent="0.25">
      <c r="M6951" s="514"/>
      <c r="Q6951" s="293"/>
      <c r="R6951" s="316"/>
      <c r="S6951" s="355"/>
    </row>
    <row r="6952" spans="13:19" x14ac:dyDescent="0.25">
      <c r="M6952" s="514"/>
      <c r="Q6952" s="293"/>
      <c r="R6952" s="316"/>
      <c r="S6952" s="355"/>
    </row>
    <row r="6953" spans="13:19" x14ac:dyDescent="0.25">
      <c r="M6953" s="514"/>
      <c r="Q6953" s="293"/>
      <c r="R6953" s="316"/>
      <c r="S6953" s="355"/>
    </row>
    <row r="6954" spans="13:19" x14ac:dyDescent="0.25">
      <c r="M6954" s="514"/>
      <c r="Q6954" s="293"/>
      <c r="R6954" s="316"/>
      <c r="S6954" s="355"/>
    </row>
    <row r="6955" spans="13:19" x14ac:dyDescent="0.25">
      <c r="M6955" s="514"/>
      <c r="Q6955" s="293"/>
      <c r="R6955" s="316"/>
      <c r="S6955" s="355"/>
    </row>
    <row r="6956" spans="13:19" x14ac:dyDescent="0.25">
      <c r="M6956" s="514"/>
      <c r="Q6956" s="293"/>
      <c r="R6956" s="316"/>
      <c r="S6956" s="355"/>
    </row>
    <row r="6957" spans="13:19" x14ac:dyDescent="0.25">
      <c r="M6957" s="514"/>
      <c r="Q6957" s="293"/>
      <c r="R6957" s="316"/>
      <c r="S6957" s="355"/>
    </row>
    <row r="6958" spans="13:19" x14ac:dyDescent="0.25">
      <c r="M6958" s="514"/>
      <c r="Q6958" s="293"/>
      <c r="R6958" s="316"/>
      <c r="S6958" s="355"/>
    </row>
    <row r="6959" spans="13:19" x14ac:dyDescent="0.25">
      <c r="M6959" s="514"/>
      <c r="Q6959" s="293"/>
      <c r="R6959" s="316"/>
      <c r="S6959" s="355"/>
    </row>
    <row r="6960" spans="13:19" x14ac:dyDescent="0.25">
      <c r="M6960" s="514"/>
      <c r="Q6960" s="293"/>
      <c r="R6960" s="316"/>
      <c r="S6960" s="355"/>
    </row>
    <row r="6961" spans="13:19" x14ac:dyDescent="0.25">
      <c r="M6961" s="514"/>
      <c r="Q6961" s="293"/>
      <c r="R6961" s="316"/>
      <c r="S6961" s="355"/>
    </row>
    <row r="6962" spans="13:19" x14ac:dyDescent="0.25">
      <c r="M6962" s="514"/>
      <c r="Q6962" s="293"/>
      <c r="R6962" s="316"/>
      <c r="S6962" s="355"/>
    </row>
    <row r="6963" spans="13:19" x14ac:dyDescent="0.25">
      <c r="M6963" s="514"/>
      <c r="Q6963" s="293"/>
      <c r="R6963" s="316"/>
      <c r="S6963" s="355"/>
    </row>
    <row r="6964" spans="13:19" x14ac:dyDescent="0.25">
      <c r="M6964" s="514"/>
      <c r="Q6964" s="293"/>
      <c r="R6964" s="316"/>
      <c r="S6964" s="355"/>
    </row>
    <row r="6965" spans="13:19" x14ac:dyDescent="0.25">
      <c r="M6965" s="514"/>
      <c r="Q6965" s="293"/>
      <c r="R6965" s="316"/>
      <c r="S6965" s="355"/>
    </row>
    <row r="6966" spans="13:19" x14ac:dyDescent="0.25">
      <c r="M6966" s="514"/>
      <c r="Q6966" s="293"/>
      <c r="R6966" s="316"/>
      <c r="S6966" s="355"/>
    </row>
    <row r="6967" spans="13:19" x14ac:dyDescent="0.25">
      <c r="M6967" s="514"/>
      <c r="Q6967" s="293"/>
      <c r="R6967" s="316"/>
      <c r="S6967" s="355"/>
    </row>
    <row r="6968" spans="13:19" x14ac:dyDescent="0.25">
      <c r="M6968" s="514"/>
      <c r="Q6968" s="293"/>
      <c r="R6968" s="316"/>
      <c r="S6968" s="355"/>
    </row>
    <row r="6969" spans="13:19" x14ac:dyDescent="0.25">
      <c r="M6969" s="514"/>
      <c r="Q6969" s="293"/>
      <c r="R6969" s="316"/>
      <c r="S6969" s="355"/>
    </row>
    <row r="6970" spans="13:19" x14ac:dyDescent="0.25">
      <c r="M6970" s="514"/>
      <c r="Q6970" s="293"/>
      <c r="R6970" s="316"/>
      <c r="S6970" s="355"/>
    </row>
    <row r="6971" spans="13:19" x14ac:dyDescent="0.25">
      <c r="M6971" s="514"/>
      <c r="Q6971" s="293"/>
      <c r="R6971" s="316"/>
      <c r="S6971" s="355"/>
    </row>
    <row r="6972" spans="13:19" x14ac:dyDescent="0.25">
      <c r="M6972" s="514"/>
      <c r="Q6972" s="293"/>
      <c r="R6972" s="316"/>
      <c r="S6972" s="355"/>
    </row>
    <row r="6973" spans="13:19" x14ac:dyDescent="0.25">
      <c r="M6973" s="514"/>
      <c r="Q6973" s="293"/>
      <c r="R6973" s="316"/>
      <c r="S6973" s="355"/>
    </row>
    <row r="6974" spans="13:19" x14ac:dyDescent="0.25">
      <c r="M6974" s="514"/>
      <c r="Q6974" s="293"/>
      <c r="R6974" s="316"/>
      <c r="S6974" s="355"/>
    </row>
    <row r="6975" spans="13:19" x14ac:dyDescent="0.25">
      <c r="M6975" s="514"/>
      <c r="Q6975" s="293"/>
      <c r="R6975" s="316"/>
      <c r="S6975" s="355"/>
    </row>
    <row r="6976" spans="13:19" x14ac:dyDescent="0.25">
      <c r="M6976" s="514"/>
      <c r="Q6976" s="293"/>
      <c r="R6976" s="316"/>
      <c r="S6976" s="355"/>
    </row>
    <row r="6977" spans="13:19" x14ac:dyDescent="0.25">
      <c r="M6977" s="514"/>
      <c r="Q6977" s="293"/>
      <c r="R6977" s="316"/>
      <c r="S6977" s="355"/>
    </row>
    <row r="6978" spans="13:19" x14ac:dyDescent="0.25">
      <c r="M6978" s="514"/>
      <c r="Q6978" s="293"/>
      <c r="R6978" s="316"/>
      <c r="S6978" s="355"/>
    </row>
    <row r="6979" spans="13:19" x14ac:dyDescent="0.25">
      <c r="M6979" s="514"/>
      <c r="Q6979" s="293"/>
      <c r="R6979" s="316"/>
      <c r="S6979" s="355"/>
    </row>
    <row r="6980" spans="13:19" x14ac:dyDescent="0.25">
      <c r="M6980" s="514"/>
      <c r="Q6980" s="293"/>
      <c r="R6980" s="316"/>
      <c r="S6980" s="355"/>
    </row>
    <row r="6981" spans="13:19" x14ac:dyDescent="0.25">
      <c r="M6981" s="514"/>
      <c r="Q6981" s="293"/>
      <c r="R6981" s="316"/>
      <c r="S6981" s="355"/>
    </row>
    <row r="6982" spans="13:19" x14ac:dyDescent="0.25">
      <c r="M6982" s="514"/>
      <c r="Q6982" s="293"/>
      <c r="R6982" s="316"/>
      <c r="S6982" s="355"/>
    </row>
    <row r="6983" spans="13:19" x14ac:dyDescent="0.25">
      <c r="M6983" s="514"/>
      <c r="Q6983" s="293"/>
      <c r="R6983" s="316"/>
      <c r="S6983" s="355"/>
    </row>
    <row r="6984" spans="13:19" x14ac:dyDescent="0.25">
      <c r="M6984" s="514"/>
      <c r="Q6984" s="293"/>
      <c r="R6984" s="316"/>
      <c r="S6984" s="355"/>
    </row>
    <row r="6985" spans="13:19" x14ac:dyDescent="0.25">
      <c r="M6985" s="514"/>
      <c r="Q6985" s="293"/>
      <c r="R6985" s="316"/>
      <c r="S6985" s="355"/>
    </row>
    <row r="6986" spans="13:19" x14ac:dyDescent="0.25">
      <c r="M6986" s="514"/>
      <c r="Q6986" s="293"/>
      <c r="R6986" s="316"/>
      <c r="S6986" s="355"/>
    </row>
    <row r="6987" spans="13:19" x14ac:dyDescent="0.25">
      <c r="M6987" s="514"/>
      <c r="Q6987" s="293"/>
      <c r="R6987" s="316"/>
      <c r="S6987" s="355"/>
    </row>
    <row r="6988" spans="13:19" x14ac:dyDescent="0.25">
      <c r="M6988" s="514"/>
      <c r="Q6988" s="293"/>
      <c r="R6988" s="316"/>
      <c r="S6988" s="355"/>
    </row>
    <row r="6989" spans="13:19" x14ac:dyDescent="0.25">
      <c r="M6989" s="514"/>
      <c r="Q6989" s="293"/>
      <c r="R6989" s="316"/>
      <c r="S6989" s="355"/>
    </row>
    <row r="6990" spans="13:19" x14ac:dyDescent="0.25">
      <c r="M6990" s="514"/>
      <c r="Q6990" s="293"/>
      <c r="R6990" s="316"/>
      <c r="S6990" s="355"/>
    </row>
    <row r="6991" spans="13:19" x14ac:dyDescent="0.25">
      <c r="M6991" s="514"/>
      <c r="Q6991" s="293"/>
      <c r="R6991" s="316"/>
      <c r="S6991" s="355"/>
    </row>
    <row r="6992" spans="13:19" x14ac:dyDescent="0.25">
      <c r="M6992" s="514"/>
      <c r="Q6992" s="293"/>
      <c r="R6992" s="316"/>
      <c r="S6992" s="355"/>
    </row>
    <row r="6993" spans="13:19" x14ac:dyDescent="0.25">
      <c r="M6993" s="514"/>
      <c r="Q6993" s="293"/>
      <c r="R6993" s="316"/>
      <c r="S6993" s="355"/>
    </row>
    <row r="6994" spans="13:19" x14ac:dyDescent="0.25">
      <c r="M6994" s="514"/>
      <c r="Q6994" s="293"/>
      <c r="R6994" s="316"/>
      <c r="S6994" s="355"/>
    </row>
    <row r="6995" spans="13:19" x14ac:dyDescent="0.25">
      <c r="M6995" s="514"/>
      <c r="Q6995" s="293"/>
      <c r="R6995" s="316"/>
      <c r="S6995" s="355"/>
    </row>
    <row r="6996" spans="13:19" x14ac:dyDescent="0.25">
      <c r="M6996" s="514"/>
      <c r="Q6996" s="293"/>
      <c r="R6996" s="316"/>
      <c r="S6996" s="355"/>
    </row>
    <row r="6997" spans="13:19" x14ac:dyDescent="0.25">
      <c r="M6997" s="514"/>
      <c r="Q6997" s="293"/>
      <c r="R6997" s="316"/>
      <c r="S6997" s="355"/>
    </row>
    <row r="6998" spans="13:19" x14ac:dyDescent="0.25">
      <c r="M6998" s="514"/>
      <c r="Q6998" s="293"/>
      <c r="R6998" s="316"/>
      <c r="S6998" s="355"/>
    </row>
    <row r="6999" spans="13:19" x14ac:dyDescent="0.25">
      <c r="M6999" s="514"/>
      <c r="Q6999" s="293"/>
      <c r="R6999" s="316"/>
      <c r="S6999" s="355"/>
    </row>
    <row r="7000" spans="13:19" x14ac:dyDescent="0.25">
      <c r="M7000" s="514"/>
      <c r="Q7000" s="293"/>
      <c r="R7000" s="316"/>
      <c r="S7000" s="355"/>
    </row>
    <row r="7001" spans="13:19" x14ac:dyDescent="0.25">
      <c r="M7001" s="514"/>
      <c r="Q7001" s="293"/>
      <c r="R7001" s="316"/>
      <c r="S7001" s="355"/>
    </row>
    <row r="7002" spans="13:19" x14ac:dyDescent="0.25">
      <c r="M7002" s="514"/>
      <c r="Q7002" s="293"/>
      <c r="R7002" s="316"/>
      <c r="S7002" s="355"/>
    </row>
    <row r="7003" spans="13:19" x14ac:dyDescent="0.25">
      <c r="M7003" s="514"/>
      <c r="Q7003" s="293"/>
      <c r="R7003" s="316"/>
      <c r="S7003" s="355"/>
    </row>
    <row r="7004" spans="13:19" x14ac:dyDescent="0.25">
      <c r="M7004" s="514"/>
      <c r="Q7004" s="293"/>
      <c r="R7004" s="316"/>
      <c r="S7004" s="355"/>
    </row>
    <row r="7005" spans="13:19" x14ac:dyDescent="0.25">
      <c r="M7005" s="514"/>
      <c r="Q7005" s="293"/>
      <c r="R7005" s="316"/>
      <c r="S7005" s="355"/>
    </row>
    <row r="7006" spans="13:19" x14ac:dyDescent="0.25">
      <c r="M7006" s="514"/>
      <c r="Q7006" s="293"/>
      <c r="R7006" s="316"/>
      <c r="S7006" s="355"/>
    </row>
    <row r="7007" spans="13:19" x14ac:dyDescent="0.25">
      <c r="M7007" s="514"/>
      <c r="Q7007" s="293"/>
      <c r="R7007" s="316"/>
      <c r="S7007" s="355"/>
    </row>
    <row r="7008" spans="13:19" x14ac:dyDescent="0.25">
      <c r="M7008" s="514"/>
      <c r="Q7008" s="293"/>
      <c r="R7008" s="316"/>
      <c r="S7008" s="355"/>
    </row>
    <row r="7009" spans="13:19" x14ac:dyDescent="0.25">
      <c r="M7009" s="514"/>
      <c r="Q7009" s="293"/>
      <c r="R7009" s="316"/>
      <c r="S7009" s="355"/>
    </row>
    <row r="7010" spans="13:19" x14ac:dyDescent="0.25">
      <c r="M7010" s="514"/>
      <c r="Q7010" s="293"/>
      <c r="R7010" s="316"/>
      <c r="S7010" s="355"/>
    </row>
    <row r="7011" spans="13:19" x14ac:dyDescent="0.25">
      <c r="M7011" s="514"/>
      <c r="Q7011" s="293"/>
      <c r="R7011" s="316"/>
      <c r="S7011" s="355"/>
    </row>
    <row r="7012" spans="13:19" x14ac:dyDescent="0.25">
      <c r="M7012" s="514"/>
      <c r="Q7012" s="293"/>
      <c r="R7012" s="316"/>
      <c r="S7012" s="355"/>
    </row>
    <row r="7013" spans="13:19" x14ac:dyDescent="0.25">
      <c r="M7013" s="514"/>
      <c r="Q7013" s="293"/>
      <c r="R7013" s="316"/>
      <c r="S7013" s="355"/>
    </row>
    <row r="7014" spans="13:19" x14ac:dyDescent="0.25">
      <c r="M7014" s="514"/>
      <c r="Q7014" s="293"/>
      <c r="R7014" s="316"/>
      <c r="S7014" s="355"/>
    </row>
    <row r="7015" spans="13:19" x14ac:dyDescent="0.25">
      <c r="M7015" s="514"/>
      <c r="Q7015" s="293"/>
      <c r="R7015" s="316"/>
      <c r="S7015" s="355"/>
    </row>
    <row r="7016" spans="13:19" x14ac:dyDescent="0.25">
      <c r="M7016" s="514"/>
      <c r="Q7016" s="293"/>
      <c r="R7016" s="316"/>
      <c r="S7016" s="355"/>
    </row>
    <row r="7017" spans="13:19" x14ac:dyDescent="0.25">
      <c r="M7017" s="514"/>
      <c r="Q7017" s="293"/>
      <c r="R7017" s="316"/>
      <c r="S7017" s="355"/>
    </row>
    <row r="7018" spans="13:19" x14ac:dyDescent="0.25">
      <c r="M7018" s="514"/>
      <c r="Q7018" s="293"/>
      <c r="R7018" s="316"/>
      <c r="S7018" s="355"/>
    </row>
    <row r="7019" spans="13:19" x14ac:dyDescent="0.25">
      <c r="M7019" s="514"/>
      <c r="Q7019" s="293"/>
      <c r="R7019" s="316"/>
      <c r="S7019" s="355"/>
    </row>
    <row r="7020" spans="13:19" x14ac:dyDescent="0.25">
      <c r="M7020" s="514"/>
      <c r="Q7020" s="293"/>
      <c r="R7020" s="316"/>
      <c r="S7020" s="355"/>
    </row>
    <row r="7021" spans="13:19" x14ac:dyDescent="0.25">
      <c r="M7021" s="514"/>
      <c r="Q7021" s="293"/>
      <c r="R7021" s="316"/>
      <c r="S7021" s="355"/>
    </row>
    <row r="7022" spans="13:19" x14ac:dyDescent="0.25">
      <c r="M7022" s="514"/>
      <c r="Q7022" s="293"/>
      <c r="R7022" s="316"/>
      <c r="S7022" s="355"/>
    </row>
    <row r="7023" spans="13:19" x14ac:dyDescent="0.25">
      <c r="M7023" s="514"/>
      <c r="Q7023" s="293"/>
      <c r="R7023" s="316"/>
      <c r="S7023" s="355"/>
    </row>
    <row r="7024" spans="13:19" x14ac:dyDescent="0.25">
      <c r="M7024" s="514"/>
      <c r="Q7024" s="293"/>
      <c r="R7024" s="316"/>
      <c r="S7024" s="355"/>
    </row>
    <row r="7025" spans="13:19" x14ac:dyDescent="0.25">
      <c r="M7025" s="514"/>
      <c r="Q7025" s="293"/>
      <c r="R7025" s="316"/>
      <c r="S7025" s="355"/>
    </row>
    <row r="7026" spans="13:19" x14ac:dyDescent="0.25">
      <c r="M7026" s="514"/>
      <c r="Q7026" s="293"/>
      <c r="R7026" s="316"/>
      <c r="S7026" s="355"/>
    </row>
    <row r="7027" spans="13:19" x14ac:dyDescent="0.25">
      <c r="M7027" s="514"/>
      <c r="Q7027" s="293"/>
      <c r="R7027" s="316"/>
      <c r="S7027" s="355"/>
    </row>
    <row r="7028" spans="13:19" x14ac:dyDescent="0.25">
      <c r="M7028" s="514"/>
      <c r="Q7028" s="293"/>
      <c r="R7028" s="316"/>
      <c r="S7028" s="355"/>
    </row>
    <row r="7029" spans="13:19" x14ac:dyDescent="0.25">
      <c r="M7029" s="514"/>
      <c r="Q7029" s="293"/>
      <c r="R7029" s="316"/>
      <c r="S7029" s="355"/>
    </row>
    <row r="7030" spans="13:19" x14ac:dyDescent="0.25">
      <c r="M7030" s="514"/>
      <c r="Q7030" s="293"/>
      <c r="R7030" s="316"/>
      <c r="S7030" s="355"/>
    </row>
    <row r="7031" spans="13:19" x14ac:dyDescent="0.25">
      <c r="M7031" s="514"/>
      <c r="Q7031" s="293"/>
      <c r="R7031" s="316"/>
      <c r="S7031" s="355"/>
    </row>
    <row r="7032" spans="13:19" x14ac:dyDescent="0.25">
      <c r="M7032" s="514"/>
      <c r="Q7032" s="293"/>
      <c r="R7032" s="316"/>
      <c r="S7032" s="355"/>
    </row>
    <row r="7033" spans="13:19" x14ac:dyDescent="0.25">
      <c r="M7033" s="514"/>
      <c r="Q7033" s="293"/>
      <c r="R7033" s="316"/>
      <c r="S7033" s="355"/>
    </row>
    <row r="7034" spans="13:19" x14ac:dyDescent="0.25">
      <c r="M7034" s="514"/>
      <c r="Q7034" s="293"/>
      <c r="R7034" s="316"/>
      <c r="S7034" s="355"/>
    </row>
    <row r="7035" spans="13:19" x14ac:dyDescent="0.25">
      <c r="M7035" s="514"/>
      <c r="Q7035" s="293"/>
      <c r="R7035" s="316"/>
      <c r="S7035" s="355"/>
    </row>
    <row r="7036" spans="13:19" x14ac:dyDescent="0.25">
      <c r="M7036" s="514"/>
      <c r="Q7036" s="293"/>
      <c r="R7036" s="316"/>
      <c r="S7036" s="355"/>
    </row>
    <row r="7037" spans="13:19" x14ac:dyDescent="0.25">
      <c r="M7037" s="514"/>
      <c r="Q7037" s="293"/>
      <c r="R7037" s="316"/>
      <c r="S7037" s="355"/>
    </row>
    <row r="7038" spans="13:19" x14ac:dyDescent="0.25">
      <c r="M7038" s="514"/>
      <c r="Q7038" s="293"/>
      <c r="R7038" s="316"/>
      <c r="S7038" s="355"/>
    </row>
    <row r="7039" spans="13:19" x14ac:dyDescent="0.25">
      <c r="M7039" s="514"/>
      <c r="Q7039" s="293"/>
      <c r="R7039" s="316"/>
      <c r="S7039" s="355"/>
    </row>
    <row r="7040" spans="13:19" x14ac:dyDescent="0.25">
      <c r="M7040" s="514"/>
      <c r="Q7040" s="293"/>
      <c r="R7040" s="316"/>
      <c r="S7040" s="355"/>
    </row>
    <row r="7041" spans="13:19" x14ac:dyDescent="0.25">
      <c r="M7041" s="514"/>
      <c r="Q7041" s="293"/>
      <c r="R7041" s="316"/>
      <c r="S7041" s="355"/>
    </row>
    <row r="7042" spans="13:19" x14ac:dyDescent="0.25">
      <c r="M7042" s="514"/>
      <c r="Q7042" s="293"/>
      <c r="R7042" s="316"/>
      <c r="S7042" s="355"/>
    </row>
    <row r="7043" spans="13:19" x14ac:dyDescent="0.25">
      <c r="M7043" s="514"/>
      <c r="Q7043" s="293"/>
      <c r="R7043" s="316"/>
      <c r="S7043" s="355"/>
    </row>
    <row r="7044" spans="13:19" x14ac:dyDescent="0.25">
      <c r="M7044" s="514"/>
      <c r="Q7044" s="293"/>
      <c r="R7044" s="316"/>
      <c r="S7044" s="355"/>
    </row>
    <row r="7045" spans="13:19" x14ac:dyDescent="0.25">
      <c r="M7045" s="514"/>
      <c r="Q7045" s="293"/>
      <c r="R7045" s="316"/>
      <c r="S7045" s="355"/>
    </row>
    <row r="7046" spans="13:19" x14ac:dyDescent="0.25">
      <c r="M7046" s="514"/>
      <c r="Q7046" s="293"/>
      <c r="R7046" s="316"/>
      <c r="S7046" s="355"/>
    </row>
    <row r="7047" spans="13:19" x14ac:dyDescent="0.25">
      <c r="M7047" s="514"/>
      <c r="Q7047" s="293"/>
      <c r="R7047" s="316"/>
      <c r="S7047" s="355"/>
    </row>
    <row r="7048" spans="13:19" x14ac:dyDescent="0.25">
      <c r="M7048" s="514"/>
      <c r="Q7048" s="293"/>
      <c r="R7048" s="316"/>
      <c r="S7048" s="355"/>
    </row>
    <row r="7049" spans="13:19" x14ac:dyDescent="0.25">
      <c r="M7049" s="514"/>
      <c r="Q7049" s="293"/>
      <c r="R7049" s="316"/>
      <c r="S7049" s="355"/>
    </row>
    <row r="7050" spans="13:19" x14ac:dyDescent="0.25">
      <c r="M7050" s="514"/>
      <c r="Q7050" s="293"/>
      <c r="R7050" s="316"/>
      <c r="S7050" s="355"/>
    </row>
    <row r="7051" spans="13:19" x14ac:dyDescent="0.25">
      <c r="M7051" s="514"/>
      <c r="Q7051" s="293"/>
      <c r="R7051" s="316"/>
      <c r="S7051" s="355"/>
    </row>
    <row r="7052" spans="13:19" x14ac:dyDescent="0.25">
      <c r="M7052" s="514"/>
      <c r="Q7052" s="293"/>
      <c r="R7052" s="316"/>
      <c r="S7052" s="355"/>
    </row>
    <row r="7053" spans="13:19" x14ac:dyDescent="0.25">
      <c r="M7053" s="514"/>
      <c r="Q7053" s="293"/>
      <c r="R7053" s="316"/>
      <c r="S7053" s="355"/>
    </row>
    <row r="7054" spans="13:19" x14ac:dyDescent="0.25">
      <c r="M7054" s="514"/>
      <c r="Q7054" s="293"/>
      <c r="R7054" s="316"/>
      <c r="S7054" s="355"/>
    </row>
    <row r="7055" spans="13:19" x14ac:dyDescent="0.25">
      <c r="M7055" s="514"/>
      <c r="Q7055" s="293"/>
      <c r="R7055" s="316"/>
      <c r="S7055" s="355"/>
    </row>
    <row r="7056" spans="13:19" x14ac:dyDescent="0.25">
      <c r="M7056" s="514"/>
      <c r="Q7056" s="293"/>
      <c r="R7056" s="316"/>
      <c r="S7056" s="355"/>
    </row>
    <row r="7057" spans="13:19" x14ac:dyDescent="0.25">
      <c r="M7057" s="514"/>
      <c r="Q7057" s="293"/>
      <c r="R7057" s="316"/>
      <c r="S7057" s="355"/>
    </row>
    <row r="7058" spans="13:19" x14ac:dyDescent="0.25">
      <c r="M7058" s="514"/>
      <c r="Q7058" s="293"/>
      <c r="R7058" s="316"/>
      <c r="S7058" s="355"/>
    </row>
    <row r="7059" spans="13:19" x14ac:dyDescent="0.25">
      <c r="M7059" s="514"/>
      <c r="Q7059" s="293"/>
      <c r="R7059" s="316"/>
      <c r="S7059" s="355"/>
    </row>
    <row r="7060" spans="13:19" x14ac:dyDescent="0.25">
      <c r="M7060" s="514"/>
      <c r="Q7060" s="293"/>
      <c r="R7060" s="316"/>
      <c r="S7060" s="355"/>
    </row>
    <row r="7061" spans="13:19" x14ac:dyDescent="0.25">
      <c r="M7061" s="514"/>
      <c r="Q7061" s="293"/>
      <c r="R7061" s="316"/>
      <c r="S7061" s="355"/>
    </row>
    <row r="7062" spans="13:19" x14ac:dyDescent="0.25">
      <c r="M7062" s="514"/>
      <c r="Q7062" s="293"/>
      <c r="R7062" s="316"/>
      <c r="S7062" s="355"/>
    </row>
    <row r="7063" spans="13:19" x14ac:dyDescent="0.25">
      <c r="M7063" s="514"/>
      <c r="Q7063" s="293"/>
      <c r="R7063" s="316"/>
      <c r="S7063" s="355"/>
    </row>
    <row r="7064" spans="13:19" x14ac:dyDescent="0.25">
      <c r="M7064" s="514"/>
      <c r="Q7064" s="293"/>
      <c r="R7064" s="316"/>
      <c r="S7064" s="355"/>
    </row>
    <row r="7065" spans="13:19" x14ac:dyDescent="0.25">
      <c r="M7065" s="514"/>
      <c r="Q7065" s="293"/>
      <c r="R7065" s="316"/>
      <c r="S7065" s="355"/>
    </row>
    <row r="7066" spans="13:19" x14ac:dyDescent="0.25">
      <c r="M7066" s="514"/>
      <c r="Q7066" s="293"/>
      <c r="R7066" s="316"/>
      <c r="S7066" s="355"/>
    </row>
    <row r="7067" spans="13:19" x14ac:dyDescent="0.25">
      <c r="M7067" s="514"/>
      <c r="Q7067" s="293"/>
      <c r="R7067" s="316"/>
      <c r="S7067" s="355"/>
    </row>
    <row r="7068" spans="13:19" x14ac:dyDescent="0.25">
      <c r="M7068" s="514"/>
      <c r="Q7068" s="293"/>
      <c r="R7068" s="316"/>
      <c r="S7068" s="355"/>
    </row>
    <row r="7069" spans="13:19" x14ac:dyDescent="0.25">
      <c r="M7069" s="514"/>
      <c r="Q7069" s="293"/>
      <c r="R7069" s="316"/>
      <c r="S7069" s="355"/>
    </row>
    <row r="7070" spans="13:19" x14ac:dyDescent="0.25">
      <c r="M7070" s="514"/>
      <c r="Q7070" s="293"/>
      <c r="R7070" s="316"/>
      <c r="S7070" s="355"/>
    </row>
    <row r="7071" spans="13:19" x14ac:dyDescent="0.25">
      <c r="M7071" s="514"/>
      <c r="Q7071" s="293"/>
      <c r="R7071" s="316"/>
      <c r="S7071" s="355"/>
    </row>
    <row r="7072" spans="13:19" x14ac:dyDescent="0.25">
      <c r="M7072" s="514"/>
      <c r="Q7072" s="293"/>
      <c r="R7072" s="316"/>
      <c r="S7072" s="355"/>
    </row>
    <row r="7073" spans="13:19" x14ac:dyDescent="0.25">
      <c r="M7073" s="514"/>
      <c r="Q7073" s="293"/>
      <c r="R7073" s="316"/>
      <c r="S7073" s="355"/>
    </row>
    <row r="7074" spans="13:19" x14ac:dyDescent="0.25">
      <c r="M7074" s="514"/>
      <c r="Q7074" s="293"/>
      <c r="R7074" s="316"/>
      <c r="S7074" s="355"/>
    </row>
    <row r="7075" spans="13:19" x14ac:dyDescent="0.25">
      <c r="M7075" s="514"/>
      <c r="Q7075" s="293"/>
      <c r="R7075" s="316"/>
      <c r="S7075" s="355"/>
    </row>
    <row r="7076" spans="13:19" x14ac:dyDescent="0.25">
      <c r="M7076" s="514"/>
      <c r="Q7076" s="293"/>
      <c r="R7076" s="316"/>
      <c r="S7076" s="355"/>
    </row>
    <row r="7077" spans="13:19" x14ac:dyDescent="0.25">
      <c r="M7077" s="514"/>
      <c r="Q7077" s="293"/>
      <c r="R7077" s="316"/>
      <c r="S7077" s="355"/>
    </row>
    <row r="7078" spans="13:19" x14ac:dyDescent="0.25">
      <c r="M7078" s="514"/>
      <c r="Q7078" s="293"/>
      <c r="R7078" s="316"/>
      <c r="S7078" s="355"/>
    </row>
    <row r="7079" spans="13:19" x14ac:dyDescent="0.25">
      <c r="M7079" s="514"/>
      <c r="Q7079" s="293"/>
      <c r="R7079" s="316"/>
      <c r="S7079" s="355"/>
    </row>
    <row r="7080" spans="13:19" x14ac:dyDescent="0.25">
      <c r="M7080" s="514"/>
      <c r="Q7080" s="293"/>
      <c r="R7080" s="316"/>
      <c r="S7080" s="355"/>
    </row>
    <row r="7081" spans="13:19" x14ac:dyDescent="0.25">
      <c r="M7081" s="514"/>
      <c r="Q7081" s="293"/>
      <c r="R7081" s="316"/>
      <c r="S7081" s="355"/>
    </row>
    <row r="7082" spans="13:19" x14ac:dyDescent="0.25">
      <c r="M7082" s="514"/>
      <c r="Q7082" s="293"/>
      <c r="R7082" s="316"/>
      <c r="S7082" s="355"/>
    </row>
    <row r="7083" spans="13:19" x14ac:dyDescent="0.25">
      <c r="M7083" s="514"/>
      <c r="Q7083" s="293"/>
      <c r="R7083" s="316"/>
      <c r="S7083" s="355"/>
    </row>
    <row r="7084" spans="13:19" x14ac:dyDescent="0.25">
      <c r="M7084" s="514"/>
      <c r="Q7084" s="293"/>
      <c r="R7084" s="316"/>
      <c r="S7084" s="355"/>
    </row>
    <row r="7085" spans="13:19" x14ac:dyDescent="0.25">
      <c r="M7085" s="514"/>
      <c r="Q7085" s="293"/>
      <c r="R7085" s="316"/>
      <c r="S7085" s="355"/>
    </row>
    <row r="7086" spans="13:19" x14ac:dyDescent="0.25">
      <c r="M7086" s="514"/>
      <c r="Q7086" s="293"/>
      <c r="R7086" s="316"/>
      <c r="S7086" s="355"/>
    </row>
    <row r="7087" spans="13:19" x14ac:dyDescent="0.25">
      <c r="M7087" s="514"/>
      <c r="Q7087" s="293"/>
      <c r="R7087" s="316"/>
      <c r="S7087" s="355"/>
    </row>
    <row r="7088" spans="13:19" x14ac:dyDescent="0.25">
      <c r="M7088" s="514"/>
      <c r="Q7088" s="293"/>
      <c r="R7088" s="316"/>
      <c r="S7088" s="355"/>
    </row>
    <row r="7089" spans="13:19" x14ac:dyDescent="0.25">
      <c r="M7089" s="514"/>
      <c r="Q7089" s="293"/>
      <c r="R7089" s="316"/>
      <c r="S7089" s="355"/>
    </row>
    <row r="7090" spans="13:19" x14ac:dyDescent="0.25">
      <c r="M7090" s="514"/>
      <c r="Q7090" s="293"/>
      <c r="R7090" s="316"/>
      <c r="S7090" s="355"/>
    </row>
    <row r="7091" spans="13:19" x14ac:dyDescent="0.25">
      <c r="M7091" s="514"/>
      <c r="Q7091" s="293"/>
      <c r="R7091" s="316"/>
      <c r="S7091" s="355"/>
    </row>
    <row r="7092" spans="13:19" x14ac:dyDescent="0.25">
      <c r="M7092" s="514"/>
      <c r="Q7092" s="293"/>
      <c r="R7092" s="316"/>
      <c r="S7092" s="355"/>
    </row>
    <row r="7093" spans="13:19" x14ac:dyDescent="0.25">
      <c r="M7093" s="514"/>
      <c r="Q7093" s="293"/>
      <c r="R7093" s="316"/>
      <c r="S7093" s="355"/>
    </row>
    <row r="7094" spans="13:19" x14ac:dyDescent="0.25">
      <c r="M7094" s="514"/>
      <c r="Q7094" s="293"/>
      <c r="R7094" s="316"/>
      <c r="S7094" s="355"/>
    </row>
    <row r="7095" spans="13:19" x14ac:dyDescent="0.25">
      <c r="M7095" s="514"/>
      <c r="Q7095" s="293"/>
      <c r="R7095" s="316"/>
      <c r="S7095" s="355"/>
    </row>
    <row r="7096" spans="13:19" x14ac:dyDescent="0.25">
      <c r="M7096" s="514"/>
      <c r="Q7096" s="293"/>
      <c r="R7096" s="316"/>
      <c r="S7096" s="355"/>
    </row>
    <row r="7097" spans="13:19" x14ac:dyDescent="0.25">
      <c r="M7097" s="514"/>
      <c r="Q7097" s="293"/>
      <c r="R7097" s="316"/>
      <c r="S7097" s="355"/>
    </row>
    <row r="7098" spans="13:19" x14ac:dyDescent="0.25">
      <c r="M7098" s="514"/>
      <c r="Q7098" s="293"/>
      <c r="R7098" s="316"/>
      <c r="S7098" s="355"/>
    </row>
    <row r="7099" spans="13:19" x14ac:dyDescent="0.25">
      <c r="M7099" s="514"/>
      <c r="Q7099" s="293"/>
      <c r="R7099" s="316"/>
      <c r="S7099" s="355"/>
    </row>
    <row r="7100" spans="13:19" x14ac:dyDescent="0.25">
      <c r="M7100" s="514"/>
      <c r="Q7100" s="293"/>
      <c r="R7100" s="316"/>
      <c r="S7100" s="355"/>
    </row>
    <row r="7101" spans="13:19" x14ac:dyDescent="0.25">
      <c r="M7101" s="514"/>
      <c r="Q7101" s="293"/>
      <c r="R7101" s="316"/>
      <c r="S7101" s="355"/>
    </row>
    <row r="7102" spans="13:19" x14ac:dyDescent="0.25">
      <c r="M7102" s="514"/>
      <c r="Q7102" s="293"/>
      <c r="R7102" s="316"/>
      <c r="S7102" s="355"/>
    </row>
    <row r="7103" spans="13:19" x14ac:dyDescent="0.25">
      <c r="M7103" s="514"/>
      <c r="Q7103" s="293"/>
      <c r="R7103" s="316"/>
      <c r="S7103" s="355"/>
    </row>
    <row r="7104" spans="13:19" x14ac:dyDescent="0.25">
      <c r="M7104" s="514"/>
      <c r="Q7104" s="293"/>
      <c r="R7104" s="316"/>
      <c r="S7104" s="355"/>
    </row>
    <row r="7105" spans="13:19" x14ac:dyDescent="0.25">
      <c r="M7105" s="514"/>
      <c r="Q7105" s="293"/>
      <c r="R7105" s="316"/>
      <c r="S7105" s="355"/>
    </row>
    <row r="7106" spans="13:19" x14ac:dyDescent="0.25">
      <c r="M7106" s="514"/>
      <c r="Q7106" s="293"/>
      <c r="R7106" s="316"/>
      <c r="S7106" s="355"/>
    </row>
    <row r="7107" spans="13:19" x14ac:dyDescent="0.25">
      <c r="M7107" s="514"/>
      <c r="Q7107" s="293"/>
      <c r="R7107" s="316"/>
      <c r="S7107" s="355"/>
    </row>
    <row r="7108" spans="13:19" x14ac:dyDescent="0.25">
      <c r="M7108" s="514"/>
      <c r="Q7108" s="293"/>
      <c r="R7108" s="316"/>
      <c r="S7108" s="355"/>
    </row>
    <row r="7109" spans="13:19" x14ac:dyDescent="0.25">
      <c r="M7109" s="514"/>
      <c r="Q7109" s="293"/>
      <c r="R7109" s="316"/>
      <c r="S7109" s="355"/>
    </row>
    <row r="7110" spans="13:19" x14ac:dyDescent="0.25">
      <c r="M7110" s="514"/>
      <c r="Q7110" s="293"/>
      <c r="R7110" s="316"/>
      <c r="S7110" s="355"/>
    </row>
    <row r="7111" spans="13:19" x14ac:dyDescent="0.25">
      <c r="M7111" s="514"/>
      <c r="Q7111" s="293"/>
      <c r="R7111" s="316"/>
      <c r="S7111" s="355"/>
    </row>
    <row r="7112" spans="13:19" x14ac:dyDescent="0.25">
      <c r="M7112" s="514"/>
      <c r="Q7112" s="293"/>
      <c r="R7112" s="316"/>
      <c r="S7112" s="355"/>
    </row>
    <row r="7113" spans="13:19" x14ac:dyDescent="0.25">
      <c r="M7113" s="514"/>
      <c r="Q7113" s="293"/>
      <c r="R7113" s="316"/>
      <c r="S7113" s="355"/>
    </row>
    <row r="7114" spans="13:19" x14ac:dyDescent="0.25">
      <c r="M7114" s="514"/>
      <c r="Q7114" s="293"/>
      <c r="R7114" s="316"/>
      <c r="S7114" s="355"/>
    </row>
    <row r="7115" spans="13:19" x14ac:dyDescent="0.25">
      <c r="M7115" s="514"/>
      <c r="Q7115" s="293"/>
      <c r="R7115" s="316"/>
      <c r="S7115" s="355"/>
    </row>
    <row r="7116" spans="13:19" x14ac:dyDescent="0.25">
      <c r="M7116" s="514"/>
      <c r="Q7116" s="293"/>
      <c r="R7116" s="316"/>
      <c r="S7116" s="355"/>
    </row>
    <row r="7117" spans="13:19" x14ac:dyDescent="0.25">
      <c r="M7117" s="514"/>
      <c r="Q7117" s="293"/>
      <c r="R7117" s="316"/>
      <c r="S7117" s="355"/>
    </row>
    <row r="7118" spans="13:19" x14ac:dyDescent="0.25">
      <c r="M7118" s="514"/>
      <c r="Q7118" s="293"/>
      <c r="R7118" s="316"/>
      <c r="S7118" s="355"/>
    </row>
    <row r="7119" spans="13:19" x14ac:dyDescent="0.25">
      <c r="M7119" s="514"/>
      <c r="Q7119" s="293"/>
      <c r="R7119" s="316"/>
      <c r="S7119" s="355"/>
    </row>
    <row r="7120" spans="13:19" x14ac:dyDescent="0.25">
      <c r="M7120" s="514"/>
      <c r="Q7120" s="293"/>
      <c r="R7120" s="316"/>
      <c r="S7120" s="355"/>
    </row>
    <row r="7121" spans="13:19" x14ac:dyDescent="0.25">
      <c r="M7121" s="514"/>
      <c r="Q7121" s="293"/>
      <c r="R7121" s="316"/>
      <c r="S7121" s="355"/>
    </row>
    <row r="7122" spans="13:19" x14ac:dyDescent="0.25">
      <c r="M7122" s="514"/>
      <c r="Q7122" s="293"/>
      <c r="R7122" s="316"/>
      <c r="S7122" s="355"/>
    </row>
    <row r="7123" spans="13:19" x14ac:dyDescent="0.25">
      <c r="M7123" s="514"/>
      <c r="Q7123" s="293"/>
      <c r="R7123" s="316"/>
      <c r="S7123" s="355"/>
    </row>
    <row r="7124" spans="13:19" x14ac:dyDescent="0.25">
      <c r="M7124" s="514"/>
      <c r="Q7124" s="293"/>
      <c r="R7124" s="316"/>
      <c r="S7124" s="355"/>
    </row>
    <row r="7125" spans="13:19" x14ac:dyDescent="0.25">
      <c r="M7125" s="514"/>
      <c r="Q7125" s="293"/>
      <c r="R7125" s="316"/>
      <c r="S7125" s="355"/>
    </row>
    <row r="7126" spans="13:19" x14ac:dyDescent="0.25">
      <c r="M7126" s="514"/>
      <c r="Q7126" s="293"/>
      <c r="R7126" s="316"/>
      <c r="S7126" s="355"/>
    </row>
    <row r="7127" spans="13:19" x14ac:dyDescent="0.25">
      <c r="M7127" s="514"/>
      <c r="Q7127" s="293"/>
      <c r="R7127" s="316"/>
      <c r="S7127" s="355"/>
    </row>
    <row r="7128" spans="13:19" x14ac:dyDescent="0.25">
      <c r="M7128" s="514"/>
      <c r="Q7128" s="293"/>
      <c r="R7128" s="316"/>
      <c r="S7128" s="355"/>
    </row>
    <row r="7129" spans="13:19" x14ac:dyDescent="0.25">
      <c r="M7129" s="514"/>
      <c r="Q7129" s="293"/>
      <c r="R7129" s="316"/>
      <c r="S7129" s="355"/>
    </row>
    <row r="7130" spans="13:19" x14ac:dyDescent="0.25">
      <c r="M7130" s="514"/>
      <c r="Q7130" s="293"/>
      <c r="R7130" s="316"/>
      <c r="S7130" s="355"/>
    </row>
    <row r="7131" spans="13:19" x14ac:dyDescent="0.25">
      <c r="M7131" s="514"/>
      <c r="Q7131" s="293"/>
      <c r="R7131" s="316"/>
      <c r="S7131" s="355"/>
    </row>
    <row r="7132" spans="13:19" x14ac:dyDescent="0.25">
      <c r="M7132" s="514"/>
      <c r="Q7132" s="293"/>
      <c r="R7132" s="316"/>
      <c r="S7132" s="355"/>
    </row>
    <row r="7133" spans="13:19" x14ac:dyDescent="0.25">
      <c r="M7133" s="514"/>
      <c r="Q7133" s="293"/>
      <c r="R7133" s="316"/>
      <c r="S7133" s="355"/>
    </row>
    <row r="7134" spans="13:19" x14ac:dyDescent="0.25">
      <c r="M7134" s="514"/>
      <c r="Q7134" s="293"/>
      <c r="R7134" s="316"/>
      <c r="S7134" s="355"/>
    </row>
    <row r="7135" spans="13:19" x14ac:dyDescent="0.25">
      <c r="M7135" s="514"/>
      <c r="Q7135" s="293"/>
      <c r="R7135" s="316"/>
      <c r="S7135" s="355"/>
    </row>
    <row r="7136" spans="13:19" x14ac:dyDescent="0.25">
      <c r="M7136" s="514"/>
      <c r="Q7136" s="293"/>
      <c r="R7136" s="316"/>
      <c r="S7136" s="355"/>
    </row>
    <row r="7137" spans="13:19" x14ac:dyDescent="0.25">
      <c r="M7137" s="514"/>
      <c r="Q7137" s="293"/>
      <c r="R7137" s="316"/>
      <c r="S7137" s="355"/>
    </row>
    <row r="7138" spans="13:19" x14ac:dyDescent="0.25">
      <c r="M7138" s="514"/>
      <c r="Q7138" s="293"/>
      <c r="R7138" s="316"/>
      <c r="S7138" s="355"/>
    </row>
    <row r="7139" spans="13:19" x14ac:dyDescent="0.25">
      <c r="M7139" s="514"/>
      <c r="Q7139" s="293"/>
      <c r="R7139" s="316"/>
      <c r="S7139" s="355"/>
    </row>
    <row r="7140" spans="13:19" x14ac:dyDescent="0.25">
      <c r="M7140" s="514"/>
      <c r="Q7140" s="293"/>
      <c r="R7140" s="316"/>
      <c r="S7140" s="355"/>
    </row>
    <row r="7141" spans="13:19" x14ac:dyDescent="0.25">
      <c r="M7141" s="514"/>
      <c r="Q7141" s="293"/>
      <c r="R7141" s="316"/>
      <c r="S7141" s="355"/>
    </row>
    <row r="7142" spans="13:19" x14ac:dyDescent="0.25">
      <c r="M7142" s="514"/>
      <c r="Q7142" s="293"/>
      <c r="R7142" s="316"/>
      <c r="S7142" s="355"/>
    </row>
    <row r="7143" spans="13:19" x14ac:dyDescent="0.25">
      <c r="M7143" s="514"/>
      <c r="Q7143" s="293"/>
      <c r="R7143" s="316"/>
      <c r="S7143" s="355"/>
    </row>
    <row r="7144" spans="13:19" x14ac:dyDescent="0.25">
      <c r="M7144" s="514"/>
      <c r="Q7144" s="293"/>
      <c r="R7144" s="316"/>
      <c r="S7144" s="355"/>
    </row>
    <row r="7145" spans="13:19" x14ac:dyDescent="0.25">
      <c r="M7145" s="514"/>
      <c r="Q7145" s="293"/>
      <c r="R7145" s="316"/>
      <c r="S7145" s="355"/>
    </row>
    <row r="7146" spans="13:19" x14ac:dyDescent="0.25">
      <c r="M7146" s="514"/>
      <c r="Q7146" s="293"/>
      <c r="R7146" s="316"/>
      <c r="S7146" s="355"/>
    </row>
    <row r="7147" spans="13:19" x14ac:dyDescent="0.25">
      <c r="M7147" s="514"/>
      <c r="Q7147" s="293"/>
      <c r="R7147" s="316"/>
      <c r="S7147" s="355"/>
    </row>
    <row r="7148" spans="13:19" x14ac:dyDescent="0.25">
      <c r="M7148" s="514"/>
      <c r="Q7148" s="293"/>
      <c r="R7148" s="316"/>
      <c r="S7148" s="355"/>
    </row>
    <row r="7149" spans="13:19" x14ac:dyDescent="0.25">
      <c r="M7149" s="514"/>
      <c r="Q7149" s="293"/>
      <c r="R7149" s="316"/>
      <c r="S7149" s="355"/>
    </row>
    <row r="7150" spans="13:19" x14ac:dyDescent="0.25">
      <c r="M7150" s="514"/>
      <c r="Q7150" s="293"/>
      <c r="R7150" s="316"/>
      <c r="S7150" s="355"/>
    </row>
    <row r="7151" spans="13:19" x14ac:dyDescent="0.25">
      <c r="M7151" s="514"/>
      <c r="Q7151" s="293"/>
      <c r="R7151" s="316"/>
      <c r="S7151" s="355"/>
    </row>
    <row r="7152" spans="13:19" x14ac:dyDescent="0.25">
      <c r="M7152" s="514"/>
      <c r="Q7152" s="293"/>
      <c r="R7152" s="316"/>
      <c r="S7152" s="355"/>
    </row>
    <row r="7153" spans="13:19" x14ac:dyDescent="0.25">
      <c r="M7153" s="514"/>
      <c r="Q7153" s="293"/>
      <c r="R7153" s="316"/>
      <c r="S7153" s="355"/>
    </row>
    <row r="7154" spans="13:19" x14ac:dyDescent="0.25">
      <c r="M7154" s="514"/>
      <c r="Q7154" s="293"/>
      <c r="R7154" s="316"/>
      <c r="S7154" s="355"/>
    </row>
    <row r="7155" spans="13:19" x14ac:dyDescent="0.25">
      <c r="M7155" s="514"/>
      <c r="Q7155" s="293"/>
      <c r="R7155" s="316"/>
      <c r="S7155" s="355"/>
    </row>
    <row r="7156" spans="13:19" x14ac:dyDescent="0.25">
      <c r="M7156" s="514"/>
      <c r="Q7156" s="293"/>
      <c r="R7156" s="316"/>
      <c r="S7156" s="355"/>
    </row>
    <row r="7157" spans="13:19" x14ac:dyDescent="0.25">
      <c r="M7157" s="514"/>
      <c r="Q7157" s="293"/>
      <c r="R7157" s="316"/>
      <c r="S7157" s="355"/>
    </row>
    <row r="7158" spans="13:19" x14ac:dyDescent="0.25">
      <c r="M7158" s="514"/>
      <c r="Q7158" s="293"/>
      <c r="R7158" s="316"/>
      <c r="S7158" s="355"/>
    </row>
    <row r="7159" spans="13:19" x14ac:dyDescent="0.25">
      <c r="M7159" s="514"/>
      <c r="Q7159" s="293"/>
      <c r="R7159" s="316"/>
      <c r="S7159" s="355"/>
    </row>
    <row r="7160" spans="13:19" x14ac:dyDescent="0.25">
      <c r="M7160" s="514"/>
      <c r="Q7160" s="293"/>
      <c r="R7160" s="316"/>
      <c r="S7160" s="355"/>
    </row>
    <row r="7161" spans="13:19" x14ac:dyDescent="0.25">
      <c r="M7161" s="514"/>
      <c r="Q7161" s="293"/>
      <c r="R7161" s="316"/>
      <c r="S7161" s="355"/>
    </row>
    <row r="7162" spans="13:19" x14ac:dyDescent="0.25">
      <c r="M7162" s="514"/>
      <c r="Q7162" s="293"/>
      <c r="R7162" s="316"/>
      <c r="S7162" s="355"/>
    </row>
    <row r="7163" spans="13:19" x14ac:dyDescent="0.25">
      <c r="M7163" s="514"/>
      <c r="Q7163" s="293"/>
      <c r="R7163" s="316"/>
      <c r="S7163" s="355"/>
    </row>
    <row r="7164" spans="13:19" x14ac:dyDescent="0.25">
      <c r="M7164" s="514"/>
      <c r="Q7164" s="293"/>
      <c r="R7164" s="316"/>
      <c r="S7164" s="355"/>
    </row>
    <row r="7165" spans="13:19" x14ac:dyDescent="0.25">
      <c r="M7165" s="514"/>
      <c r="Q7165" s="293"/>
      <c r="R7165" s="316"/>
      <c r="S7165" s="355"/>
    </row>
    <row r="7166" spans="13:19" x14ac:dyDescent="0.25">
      <c r="M7166" s="514"/>
      <c r="Q7166" s="293"/>
      <c r="R7166" s="316"/>
      <c r="S7166" s="355"/>
    </row>
    <row r="7167" spans="13:19" x14ac:dyDescent="0.25">
      <c r="M7167" s="514"/>
      <c r="Q7167" s="293"/>
      <c r="R7167" s="316"/>
      <c r="S7167" s="355"/>
    </row>
    <row r="7168" spans="13:19" x14ac:dyDescent="0.25">
      <c r="M7168" s="514"/>
      <c r="Q7168" s="293"/>
      <c r="R7168" s="316"/>
      <c r="S7168" s="355"/>
    </row>
    <row r="7169" spans="13:19" x14ac:dyDescent="0.25">
      <c r="M7169" s="514"/>
      <c r="Q7169" s="293"/>
      <c r="R7169" s="316"/>
      <c r="S7169" s="355"/>
    </row>
    <row r="7170" spans="13:19" x14ac:dyDescent="0.25">
      <c r="M7170" s="514"/>
      <c r="Q7170" s="293"/>
      <c r="R7170" s="316"/>
      <c r="S7170" s="355"/>
    </row>
    <row r="7171" spans="13:19" x14ac:dyDescent="0.25">
      <c r="M7171" s="514"/>
      <c r="Q7171" s="293"/>
      <c r="R7171" s="316"/>
      <c r="S7171" s="355"/>
    </row>
    <row r="7172" spans="13:19" x14ac:dyDescent="0.25">
      <c r="M7172" s="514"/>
      <c r="Q7172" s="293"/>
      <c r="R7172" s="316"/>
      <c r="S7172" s="355"/>
    </row>
    <row r="7173" spans="13:19" x14ac:dyDescent="0.25">
      <c r="M7173" s="514"/>
      <c r="Q7173" s="293"/>
      <c r="R7173" s="316"/>
      <c r="S7173" s="355"/>
    </row>
    <row r="7174" spans="13:19" x14ac:dyDescent="0.25">
      <c r="M7174" s="514"/>
      <c r="Q7174" s="293"/>
      <c r="R7174" s="316"/>
      <c r="S7174" s="355"/>
    </row>
    <row r="7175" spans="13:19" x14ac:dyDescent="0.25">
      <c r="M7175" s="514"/>
      <c r="Q7175" s="293"/>
      <c r="R7175" s="316"/>
      <c r="S7175" s="355"/>
    </row>
    <row r="7176" spans="13:19" x14ac:dyDescent="0.25">
      <c r="M7176" s="514"/>
      <c r="Q7176" s="293"/>
      <c r="R7176" s="316"/>
      <c r="S7176" s="355"/>
    </row>
    <row r="7177" spans="13:19" x14ac:dyDescent="0.25">
      <c r="M7177" s="514"/>
      <c r="Q7177" s="293"/>
      <c r="R7177" s="316"/>
      <c r="S7177" s="355"/>
    </row>
    <row r="7178" spans="13:19" x14ac:dyDescent="0.25">
      <c r="M7178" s="514"/>
      <c r="Q7178" s="293"/>
      <c r="R7178" s="316"/>
      <c r="S7178" s="355"/>
    </row>
    <row r="7179" spans="13:19" x14ac:dyDescent="0.25">
      <c r="M7179" s="514"/>
      <c r="Q7179" s="293"/>
      <c r="R7179" s="316"/>
      <c r="S7179" s="355"/>
    </row>
    <row r="7180" spans="13:19" x14ac:dyDescent="0.25">
      <c r="M7180" s="514"/>
      <c r="Q7180" s="293"/>
      <c r="R7180" s="316"/>
      <c r="S7180" s="355"/>
    </row>
    <row r="7181" spans="13:19" x14ac:dyDescent="0.25">
      <c r="M7181" s="514"/>
      <c r="Q7181" s="293"/>
      <c r="R7181" s="316"/>
      <c r="S7181" s="355"/>
    </row>
    <row r="7182" spans="13:19" x14ac:dyDescent="0.25">
      <c r="M7182" s="514"/>
      <c r="Q7182" s="293"/>
      <c r="R7182" s="316"/>
      <c r="S7182" s="355"/>
    </row>
    <row r="7183" spans="13:19" x14ac:dyDescent="0.25">
      <c r="M7183" s="514"/>
      <c r="Q7183" s="293"/>
      <c r="R7183" s="316"/>
      <c r="S7183" s="355"/>
    </row>
    <row r="7184" spans="13:19" x14ac:dyDescent="0.25">
      <c r="M7184" s="514"/>
      <c r="Q7184" s="293"/>
      <c r="R7184" s="316"/>
      <c r="S7184" s="355"/>
    </row>
    <row r="7185" spans="13:19" x14ac:dyDescent="0.25">
      <c r="M7185" s="514"/>
      <c r="Q7185" s="293"/>
      <c r="R7185" s="316"/>
      <c r="S7185" s="355"/>
    </row>
    <row r="7186" spans="13:19" x14ac:dyDescent="0.25">
      <c r="M7186" s="514"/>
      <c r="Q7186" s="293"/>
      <c r="R7186" s="316"/>
      <c r="S7186" s="355"/>
    </row>
    <row r="7187" spans="13:19" x14ac:dyDescent="0.25">
      <c r="M7187" s="514"/>
      <c r="Q7187" s="293"/>
      <c r="R7187" s="316"/>
      <c r="S7187" s="355"/>
    </row>
    <row r="7188" spans="13:19" x14ac:dyDescent="0.25">
      <c r="M7188" s="514"/>
      <c r="Q7188" s="293"/>
      <c r="R7188" s="316"/>
      <c r="S7188" s="355"/>
    </row>
    <row r="7189" spans="13:19" x14ac:dyDescent="0.25">
      <c r="M7189" s="514"/>
      <c r="Q7189" s="293"/>
      <c r="R7189" s="316"/>
      <c r="S7189" s="355"/>
    </row>
    <row r="7190" spans="13:19" x14ac:dyDescent="0.25">
      <c r="M7190" s="514"/>
      <c r="Q7190" s="293"/>
      <c r="R7190" s="316"/>
      <c r="S7190" s="355"/>
    </row>
    <row r="7191" spans="13:19" x14ac:dyDescent="0.25">
      <c r="M7191" s="514"/>
      <c r="Q7191" s="293"/>
      <c r="R7191" s="316"/>
      <c r="S7191" s="355"/>
    </row>
    <row r="7192" spans="13:19" x14ac:dyDescent="0.25">
      <c r="M7192" s="514"/>
      <c r="Q7192" s="293"/>
      <c r="R7192" s="316"/>
      <c r="S7192" s="355"/>
    </row>
    <row r="7193" spans="13:19" x14ac:dyDescent="0.25">
      <c r="M7193" s="514"/>
      <c r="Q7193" s="293"/>
      <c r="R7193" s="316"/>
      <c r="S7193" s="355"/>
    </row>
    <row r="7194" spans="13:19" x14ac:dyDescent="0.25">
      <c r="M7194" s="514"/>
      <c r="Q7194" s="293"/>
      <c r="R7194" s="316"/>
      <c r="S7194" s="355"/>
    </row>
    <row r="7195" spans="13:19" x14ac:dyDescent="0.25">
      <c r="M7195" s="514"/>
      <c r="Q7195" s="293"/>
      <c r="R7195" s="316"/>
      <c r="S7195" s="355"/>
    </row>
    <row r="7196" spans="13:19" x14ac:dyDescent="0.25">
      <c r="M7196" s="514"/>
      <c r="Q7196" s="293"/>
      <c r="R7196" s="316"/>
      <c r="S7196" s="355"/>
    </row>
    <row r="7197" spans="13:19" x14ac:dyDescent="0.25">
      <c r="M7197" s="514"/>
      <c r="Q7197" s="293"/>
      <c r="R7197" s="316"/>
      <c r="S7197" s="355"/>
    </row>
    <row r="7198" spans="13:19" x14ac:dyDescent="0.25">
      <c r="M7198" s="514"/>
      <c r="Q7198" s="293"/>
      <c r="R7198" s="316"/>
      <c r="S7198" s="355"/>
    </row>
    <row r="7199" spans="13:19" x14ac:dyDescent="0.25">
      <c r="M7199" s="514"/>
      <c r="Q7199" s="293"/>
      <c r="R7199" s="316"/>
      <c r="S7199" s="355"/>
    </row>
    <row r="7200" spans="13:19" x14ac:dyDescent="0.25">
      <c r="M7200" s="514"/>
      <c r="Q7200" s="293"/>
      <c r="R7200" s="316"/>
      <c r="S7200" s="355"/>
    </row>
    <row r="7201" spans="13:19" x14ac:dyDescent="0.25">
      <c r="M7201" s="514"/>
      <c r="Q7201" s="293"/>
      <c r="R7201" s="316"/>
      <c r="S7201" s="355"/>
    </row>
    <row r="7202" spans="13:19" x14ac:dyDescent="0.25">
      <c r="M7202" s="514"/>
      <c r="Q7202" s="293"/>
      <c r="R7202" s="316"/>
      <c r="S7202" s="355"/>
    </row>
    <row r="7203" spans="13:19" x14ac:dyDescent="0.25">
      <c r="M7203" s="514"/>
      <c r="Q7203" s="293"/>
      <c r="R7203" s="316"/>
      <c r="S7203" s="355"/>
    </row>
    <row r="7204" spans="13:19" x14ac:dyDescent="0.25">
      <c r="M7204" s="514"/>
      <c r="Q7204" s="293"/>
      <c r="R7204" s="316"/>
      <c r="S7204" s="355"/>
    </row>
    <row r="7205" spans="13:19" x14ac:dyDescent="0.25">
      <c r="M7205" s="514"/>
      <c r="Q7205" s="293"/>
      <c r="R7205" s="316"/>
      <c r="S7205" s="355"/>
    </row>
    <row r="7206" spans="13:19" x14ac:dyDescent="0.25">
      <c r="M7206" s="514"/>
      <c r="Q7206" s="293"/>
      <c r="R7206" s="316"/>
      <c r="S7206" s="355"/>
    </row>
    <row r="7207" spans="13:19" x14ac:dyDescent="0.25">
      <c r="M7207" s="514"/>
      <c r="Q7207" s="293"/>
      <c r="R7207" s="316"/>
      <c r="S7207" s="355"/>
    </row>
    <row r="7208" spans="13:19" x14ac:dyDescent="0.25">
      <c r="M7208" s="514"/>
      <c r="Q7208" s="293"/>
      <c r="R7208" s="316"/>
      <c r="S7208" s="355"/>
    </row>
    <row r="7209" spans="13:19" x14ac:dyDescent="0.25">
      <c r="M7209" s="514"/>
      <c r="Q7209" s="293"/>
      <c r="R7209" s="316"/>
      <c r="S7209" s="355"/>
    </row>
    <row r="7210" spans="13:19" x14ac:dyDescent="0.25">
      <c r="M7210" s="514"/>
      <c r="Q7210" s="293"/>
      <c r="R7210" s="316"/>
      <c r="S7210" s="355"/>
    </row>
    <row r="7211" spans="13:19" x14ac:dyDescent="0.25">
      <c r="M7211" s="514"/>
      <c r="Q7211" s="293"/>
      <c r="R7211" s="316"/>
      <c r="S7211" s="355"/>
    </row>
    <row r="7212" spans="13:19" x14ac:dyDescent="0.25">
      <c r="M7212" s="514"/>
      <c r="Q7212" s="293"/>
      <c r="R7212" s="316"/>
      <c r="S7212" s="355"/>
    </row>
    <row r="7213" spans="13:19" x14ac:dyDescent="0.25">
      <c r="M7213" s="514"/>
      <c r="Q7213" s="293"/>
      <c r="R7213" s="316"/>
      <c r="S7213" s="355"/>
    </row>
    <row r="7214" spans="13:19" x14ac:dyDescent="0.25">
      <c r="M7214" s="514"/>
      <c r="Q7214" s="293"/>
      <c r="R7214" s="316"/>
      <c r="S7214" s="355"/>
    </row>
    <row r="7215" spans="13:19" x14ac:dyDescent="0.25">
      <c r="M7215" s="514"/>
      <c r="Q7215" s="293"/>
      <c r="R7215" s="316"/>
      <c r="S7215" s="355"/>
    </row>
    <row r="7216" spans="13:19" x14ac:dyDescent="0.25">
      <c r="M7216" s="514"/>
      <c r="Q7216" s="293"/>
      <c r="R7216" s="316"/>
      <c r="S7216" s="355"/>
    </row>
    <row r="7217" spans="13:19" x14ac:dyDescent="0.25">
      <c r="M7217" s="514"/>
      <c r="Q7217" s="293"/>
      <c r="R7217" s="316"/>
      <c r="S7217" s="355"/>
    </row>
    <row r="7218" spans="13:19" x14ac:dyDescent="0.25">
      <c r="M7218" s="514"/>
      <c r="Q7218" s="293"/>
      <c r="R7218" s="316"/>
      <c r="S7218" s="355"/>
    </row>
    <row r="7219" spans="13:19" x14ac:dyDescent="0.25">
      <c r="M7219" s="514"/>
      <c r="Q7219" s="293"/>
      <c r="R7219" s="316"/>
      <c r="S7219" s="355"/>
    </row>
    <row r="7220" spans="13:19" x14ac:dyDescent="0.25">
      <c r="M7220" s="514"/>
      <c r="Q7220" s="293"/>
      <c r="R7220" s="316"/>
      <c r="S7220" s="355"/>
    </row>
    <row r="7221" spans="13:19" x14ac:dyDescent="0.25">
      <c r="M7221" s="514"/>
      <c r="Q7221" s="293"/>
      <c r="R7221" s="316"/>
      <c r="S7221" s="355"/>
    </row>
    <row r="7222" spans="13:19" x14ac:dyDescent="0.25">
      <c r="M7222" s="514"/>
      <c r="Q7222" s="293"/>
      <c r="R7222" s="316"/>
      <c r="S7222" s="355"/>
    </row>
    <row r="7223" spans="13:19" x14ac:dyDescent="0.25">
      <c r="M7223" s="514"/>
      <c r="Q7223" s="293"/>
      <c r="R7223" s="316"/>
      <c r="S7223" s="355"/>
    </row>
    <row r="7224" spans="13:19" x14ac:dyDescent="0.25">
      <c r="M7224" s="514"/>
      <c r="Q7224" s="293"/>
      <c r="R7224" s="316"/>
      <c r="S7224" s="355"/>
    </row>
    <row r="7225" spans="13:19" x14ac:dyDescent="0.25">
      <c r="M7225" s="514"/>
      <c r="Q7225" s="293"/>
      <c r="R7225" s="316"/>
      <c r="S7225" s="355"/>
    </row>
    <row r="7226" spans="13:19" x14ac:dyDescent="0.25">
      <c r="M7226" s="514"/>
      <c r="Q7226" s="293"/>
      <c r="R7226" s="316"/>
      <c r="S7226" s="355"/>
    </row>
    <row r="7227" spans="13:19" x14ac:dyDescent="0.25">
      <c r="M7227" s="514"/>
      <c r="Q7227" s="293"/>
      <c r="R7227" s="316"/>
      <c r="S7227" s="355"/>
    </row>
    <row r="7228" spans="13:19" x14ac:dyDescent="0.25">
      <c r="M7228" s="514"/>
      <c r="Q7228" s="293"/>
      <c r="R7228" s="316"/>
      <c r="S7228" s="355"/>
    </row>
    <row r="7229" spans="13:19" x14ac:dyDescent="0.25">
      <c r="M7229" s="514"/>
      <c r="Q7229" s="293"/>
      <c r="R7229" s="316"/>
      <c r="S7229" s="355"/>
    </row>
    <row r="7230" spans="13:19" x14ac:dyDescent="0.25">
      <c r="M7230" s="514"/>
      <c r="Q7230" s="293"/>
      <c r="R7230" s="316"/>
      <c r="S7230" s="355"/>
    </row>
    <row r="7231" spans="13:19" x14ac:dyDescent="0.25">
      <c r="M7231" s="514"/>
      <c r="Q7231" s="293"/>
      <c r="R7231" s="316"/>
      <c r="S7231" s="355"/>
    </row>
    <row r="7232" spans="13:19" x14ac:dyDescent="0.25">
      <c r="M7232" s="514"/>
      <c r="Q7232" s="293"/>
      <c r="R7232" s="316"/>
      <c r="S7232" s="355"/>
    </row>
    <row r="7233" spans="13:19" x14ac:dyDescent="0.25">
      <c r="M7233" s="514"/>
      <c r="Q7233" s="293"/>
      <c r="R7233" s="316"/>
      <c r="S7233" s="355"/>
    </row>
    <row r="7234" spans="13:19" x14ac:dyDescent="0.25">
      <c r="M7234" s="514"/>
      <c r="Q7234" s="293"/>
      <c r="R7234" s="316"/>
      <c r="S7234" s="355"/>
    </row>
    <row r="7235" spans="13:19" x14ac:dyDescent="0.25">
      <c r="M7235" s="514"/>
      <c r="Q7235" s="293"/>
      <c r="R7235" s="316"/>
      <c r="S7235" s="355"/>
    </row>
    <row r="7236" spans="13:19" x14ac:dyDescent="0.25">
      <c r="M7236" s="514"/>
      <c r="Q7236" s="293"/>
      <c r="R7236" s="316"/>
      <c r="S7236" s="355"/>
    </row>
    <row r="7237" spans="13:19" x14ac:dyDescent="0.25">
      <c r="M7237" s="514"/>
      <c r="Q7237" s="293"/>
      <c r="R7237" s="316"/>
      <c r="S7237" s="355"/>
    </row>
    <row r="7238" spans="13:19" x14ac:dyDescent="0.25">
      <c r="M7238" s="514"/>
      <c r="Q7238" s="293"/>
      <c r="R7238" s="316"/>
      <c r="S7238" s="355"/>
    </row>
    <row r="7239" spans="13:19" x14ac:dyDescent="0.25">
      <c r="M7239" s="514"/>
      <c r="Q7239" s="293"/>
      <c r="R7239" s="316"/>
      <c r="S7239" s="355"/>
    </row>
    <row r="7240" spans="13:19" x14ac:dyDescent="0.25">
      <c r="M7240" s="514"/>
      <c r="Q7240" s="293"/>
      <c r="R7240" s="316"/>
      <c r="S7240" s="355"/>
    </row>
    <row r="7241" spans="13:19" x14ac:dyDescent="0.25">
      <c r="M7241" s="514"/>
      <c r="Q7241" s="293"/>
      <c r="R7241" s="316"/>
      <c r="S7241" s="355"/>
    </row>
    <row r="7242" spans="13:19" x14ac:dyDescent="0.25">
      <c r="M7242" s="514"/>
      <c r="Q7242" s="293"/>
      <c r="R7242" s="316"/>
      <c r="S7242" s="355"/>
    </row>
    <row r="7243" spans="13:19" x14ac:dyDescent="0.25">
      <c r="M7243" s="514"/>
      <c r="Q7243" s="293"/>
      <c r="R7243" s="316"/>
      <c r="S7243" s="355"/>
    </row>
    <row r="7244" spans="13:19" x14ac:dyDescent="0.25">
      <c r="M7244" s="514"/>
      <c r="Q7244" s="293"/>
      <c r="R7244" s="316"/>
      <c r="S7244" s="355"/>
    </row>
    <row r="7245" spans="13:19" x14ac:dyDescent="0.25">
      <c r="M7245" s="514"/>
      <c r="Q7245" s="293"/>
      <c r="R7245" s="316"/>
      <c r="S7245" s="355"/>
    </row>
    <row r="7246" spans="13:19" x14ac:dyDescent="0.25">
      <c r="M7246" s="514"/>
      <c r="Q7246" s="293"/>
      <c r="R7246" s="316"/>
      <c r="S7246" s="355"/>
    </row>
    <row r="7247" spans="13:19" x14ac:dyDescent="0.25">
      <c r="M7247" s="514"/>
      <c r="Q7247" s="293"/>
      <c r="R7247" s="316"/>
      <c r="S7247" s="355"/>
    </row>
    <row r="7248" spans="13:19" x14ac:dyDescent="0.25">
      <c r="M7248" s="514"/>
      <c r="Q7248" s="293"/>
      <c r="R7248" s="316"/>
      <c r="S7248" s="355"/>
    </row>
    <row r="7249" spans="13:19" x14ac:dyDescent="0.25">
      <c r="M7249" s="514"/>
      <c r="Q7249" s="293"/>
      <c r="R7249" s="316"/>
      <c r="S7249" s="355"/>
    </row>
    <row r="7250" spans="13:19" x14ac:dyDescent="0.25">
      <c r="M7250" s="514"/>
      <c r="Q7250" s="293"/>
      <c r="R7250" s="316"/>
      <c r="S7250" s="355"/>
    </row>
    <row r="7251" spans="13:19" x14ac:dyDescent="0.25">
      <c r="M7251" s="514"/>
      <c r="Q7251" s="293"/>
      <c r="R7251" s="316"/>
      <c r="S7251" s="355"/>
    </row>
    <row r="7252" spans="13:19" x14ac:dyDescent="0.25">
      <c r="M7252" s="514"/>
      <c r="Q7252" s="293"/>
      <c r="R7252" s="316"/>
      <c r="S7252" s="355"/>
    </row>
    <row r="7253" spans="13:19" x14ac:dyDescent="0.25">
      <c r="M7253" s="514"/>
      <c r="Q7253" s="293"/>
      <c r="R7253" s="316"/>
      <c r="S7253" s="355"/>
    </row>
    <row r="7254" spans="13:19" x14ac:dyDescent="0.25">
      <c r="M7254" s="514"/>
      <c r="Q7254" s="293"/>
      <c r="R7254" s="316"/>
      <c r="S7254" s="355"/>
    </row>
    <row r="7255" spans="13:19" x14ac:dyDescent="0.25">
      <c r="M7255" s="514"/>
      <c r="Q7255" s="293"/>
      <c r="R7255" s="316"/>
      <c r="S7255" s="355"/>
    </row>
    <row r="7256" spans="13:19" x14ac:dyDescent="0.25">
      <c r="M7256" s="514"/>
      <c r="Q7256" s="293"/>
      <c r="R7256" s="316"/>
      <c r="S7256" s="355"/>
    </row>
    <row r="7257" spans="13:19" x14ac:dyDescent="0.25">
      <c r="M7257" s="514"/>
      <c r="Q7257" s="293"/>
      <c r="R7257" s="316"/>
      <c r="S7257" s="355"/>
    </row>
    <row r="7258" spans="13:19" x14ac:dyDescent="0.25">
      <c r="M7258" s="514"/>
      <c r="Q7258" s="293"/>
      <c r="R7258" s="316"/>
      <c r="S7258" s="355"/>
    </row>
    <row r="7259" spans="13:19" x14ac:dyDescent="0.25">
      <c r="M7259" s="514"/>
      <c r="Q7259" s="293"/>
      <c r="R7259" s="316"/>
      <c r="S7259" s="355"/>
    </row>
    <row r="7260" spans="13:19" x14ac:dyDescent="0.25">
      <c r="M7260" s="514"/>
      <c r="Q7260" s="293"/>
      <c r="R7260" s="316"/>
      <c r="S7260" s="355"/>
    </row>
    <row r="7261" spans="13:19" x14ac:dyDescent="0.25">
      <c r="M7261" s="514"/>
      <c r="Q7261" s="293"/>
      <c r="R7261" s="316"/>
      <c r="S7261" s="355"/>
    </row>
    <row r="7262" spans="13:19" x14ac:dyDescent="0.25">
      <c r="M7262" s="514"/>
      <c r="Q7262" s="293"/>
      <c r="R7262" s="316"/>
      <c r="S7262" s="355"/>
    </row>
    <row r="7263" spans="13:19" x14ac:dyDescent="0.25">
      <c r="M7263" s="514"/>
      <c r="Q7263" s="293"/>
      <c r="R7263" s="316"/>
      <c r="S7263" s="355"/>
    </row>
    <row r="7264" spans="13:19" x14ac:dyDescent="0.25">
      <c r="M7264" s="514"/>
      <c r="Q7264" s="293"/>
      <c r="R7264" s="316"/>
      <c r="S7264" s="355"/>
    </row>
    <row r="7265" spans="13:19" x14ac:dyDescent="0.25">
      <c r="M7265" s="514"/>
      <c r="Q7265" s="293"/>
      <c r="R7265" s="316"/>
      <c r="S7265" s="355"/>
    </row>
    <row r="7266" spans="13:19" x14ac:dyDescent="0.25">
      <c r="M7266" s="514"/>
      <c r="Q7266" s="293"/>
      <c r="R7266" s="316"/>
      <c r="S7266" s="355"/>
    </row>
    <row r="7267" spans="13:19" x14ac:dyDescent="0.25">
      <c r="M7267" s="514"/>
      <c r="Q7267" s="293"/>
      <c r="R7267" s="316"/>
      <c r="S7267" s="355"/>
    </row>
    <row r="7268" spans="13:19" x14ac:dyDescent="0.25">
      <c r="M7268" s="514"/>
      <c r="Q7268" s="293"/>
      <c r="R7268" s="316"/>
      <c r="S7268" s="355"/>
    </row>
    <row r="7269" spans="13:19" x14ac:dyDescent="0.25">
      <c r="M7269" s="514"/>
      <c r="Q7269" s="293"/>
      <c r="R7269" s="316"/>
      <c r="S7269" s="355"/>
    </row>
    <row r="7270" spans="13:19" x14ac:dyDescent="0.25">
      <c r="M7270" s="514"/>
      <c r="Q7270" s="293"/>
      <c r="R7270" s="316"/>
      <c r="S7270" s="355"/>
    </row>
    <row r="7271" spans="13:19" x14ac:dyDescent="0.25">
      <c r="M7271" s="514"/>
      <c r="Q7271" s="293"/>
      <c r="R7271" s="316"/>
      <c r="S7271" s="355"/>
    </row>
    <row r="7272" spans="13:19" x14ac:dyDescent="0.25">
      <c r="M7272" s="514"/>
      <c r="Q7272" s="293"/>
      <c r="R7272" s="316"/>
      <c r="S7272" s="355"/>
    </row>
    <row r="7273" spans="13:19" x14ac:dyDescent="0.25">
      <c r="M7273" s="514"/>
      <c r="Q7273" s="293"/>
      <c r="R7273" s="316"/>
      <c r="S7273" s="355"/>
    </row>
    <row r="7274" spans="13:19" x14ac:dyDescent="0.25">
      <c r="M7274" s="514"/>
      <c r="Q7274" s="293"/>
      <c r="R7274" s="316"/>
      <c r="S7274" s="355"/>
    </row>
    <row r="7275" spans="13:19" x14ac:dyDescent="0.25">
      <c r="M7275" s="514"/>
      <c r="Q7275" s="293"/>
      <c r="R7275" s="316"/>
      <c r="S7275" s="355"/>
    </row>
    <row r="7276" spans="13:19" x14ac:dyDescent="0.25">
      <c r="M7276" s="514"/>
      <c r="Q7276" s="293"/>
      <c r="R7276" s="316"/>
      <c r="S7276" s="355"/>
    </row>
    <row r="7277" spans="13:19" x14ac:dyDescent="0.25">
      <c r="M7277" s="514"/>
      <c r="Q7277" s="293"/>
      <c r="R7277" s="316"/>
      <c r="S7277" s="355"/>
    </row>
    <row r="7278" spans="13:19" x14ac:dyDescent="0.25">
      <c r="M7278" s="514"/>
      <c r="Q7278" s="293"/>
      <c r="R7278" s="316"/>
      <c r="S7278" s="355"/>
    </row>
    <row r="7279" spans="13:19" x14ac:dyDescent="0.25">
      <c r="M7279" s="514"/>
      <c r="Q7279" s="293"/>
      <c r="R7279" s="316"/>
      <c r="S7279" s="355"/>
    </row>
    <row r="7280" spans="13:19" x14ac:dyDescent="0.25">
      <c r="M7280" s="514"/>
      <c r="Q7280" s="293"/>
      <c r="R7280" s="316"/>
      <c r="S7280" s="355"/>
    </row>
    <row r="7281" spans="13:19" x14ac:dyDescent="0.25">
      <c r="M7281" s="514"/>
      <c r="Q7281" s="293"/>
      <c r="R7281" s="316"/>
      <c r="S7281" s="355"/>
    </row>
    <row r="7282" spans="13:19" x14ac:dyDescent="0.25">
      <c r="M7282" s="514"/>
      <c r="Q7282" s="293"/>
      <c r="R7282" s="316"/>
      <c r="S7282" s="355"/>
    </row>
    <row r="7283" spans="13:19" x14ac:dyDescent="0.25">
      <c r="M7283" s="514"/>
      <c r="Q7283" s="293"/>
      <c r="R7283" s="316"/>
      <c r="S7283" s="355"/>
    </row>
    <row r="7284" spans="13:19" x14ac:dyDescent="0.25">
      <c r="M7284" s="514"/>
      <c r="Q7284" s="293"/>
      <c r="R7284" s="316"/>
      <c r="S7284" s="355"/>
    </row>
    <row r="7285" spans="13:19" x14ac:dyDescent="0.25">
      <c r="M7285" s="514"/>
      <c r="Q7285" s="293"/>
      <c r="R7285" s="316"/>
      <c r="S7285" s="355"/>
    </row>
    <row r="7286" spans="13:19" x14ac:dyDescent="0.25">
      <c r="M7286" s="514"/>
      <c r="Q7286" s="293"/>
      <c r="R7286" s="316"/>
      <c r="S7286" s="355"/>
    </row>
    <row r="7287" spans="13:19" x14ac:dyDescent="0.25">
      <c r="M7287" s="514"/>
      <c r="Q7287" s="293"/>
      <c r="R7287" s="316"/>
      <c r="S7287" s="355"/>
    </row>
    <row r="7288" spans="13:19" x14ac:dyDescent="0.25">
      <c r="M7288" s="514"/>
      <c r="Q7288" s="293"/>
      <c r="R7288" s="316"/>
      <c r="S7288" s="355"/>
    </row>
    <row r="7289" spans="13:19" x14ac:dyDescent="0.25">
      <c r="M7289" s="514"/>
      <c r="Q7289" s="293"/>
      <c r="R7289" s="316"/>
      <c r="S7289" s="355"/>
    </row>
    <row r="7290" spans="13:19" x14ac:dyDescent="0.25">
      <c r="M7290" s="514"/>
      <c r="Q7290" s="293"/>
      <c r="R7290" s="316"/>
      <c r="S7290" s="355"/>
    </row>
    <row r="7291" spans="13:19" x14ac:dyDescent="0.25">
      <c r="M7291" s="514"/>
      <c r="Q7291" s="293"/>
      <c r="R7291" s="316"/>
      <c r="S7291" s="355"/>
    </row>
    <row r="7292" spans="13:19" x14ac:dyDescent="0.25">
      <c r="M7292" s="514"/>
      <c r="Q7292" s="293"/>
      <c r="R7292" s="316"/>
      <c r="S7292" s="355"/>
    </row>
    <row r="7293" spans="13:19" x14ac:dyDescent="0.25">
      <c r="M7293" s="514"/>
      <c r="Q7293" s="293"/>
      <c r="R7293" s="316"/>
      <c r="S7293" s="355"/>
    </row>
    <row r="7294" spans="13:19" x14ac:dyDescent="0.25">
      <c r="M7294" s="514"/>
      <c r="Q7294" s="293"/>
      <c r="R7294" s="316"/>
      <c r="S7294" s="355"/>
    </row>
    <row r="7295" spans="13:19" x14ac:dyDescent="0.25">
      <c r="M7295" s="514"/>
      <c r="Q7295" s="293"/>
      <c r="R7295" s="316"/>
      <c r="S7295" s="355"/>
    </row>
    <row r="7296" spans="13:19" x14ac:dyDescent="0.25">
      <c r="M7296" s="514"/>
      <c r="Q7296" s="293"/>
      <c r="R7296" s="316"/>
      <c r="S7296" s="355"/>
    </row>
    <row r="7297" spans="13:19" x14ac:dyDescent="0.25">
      <c r="M7297" s="514"/>
      <c r="Q7297" s="293"/>
      <c r="R7297" s="316"/>
      <c r="S7297" s="355"/>
    </row>
    <row r="7298" spans="13:19" x14ac:dyDescent="0.25">
      <c r="M7298" s="514"/>
      <c r="Q7298" s="293"/>
      <c r="R7298" s="316"/>
      <c r="S7298" s="355"/>
    </row>
    <row r="7299" spans="13:19" x14ac:dyDescent="0.25">
      <c r="M7299" s="514"/>
      <c r="Q7299" s="293"/>
      <c r="R7299" s="316"/>
      <c r="S7299" s="355"/>
    </row>
    <row r="7300" spans="13:19" x14ac:dyDescent="0.25">
      <c r="M7300" s="514"/>
      <c r="Q7300" s="293"/>
      <c r="R7300" s="316"/>
      <c r="S7300" s="355"/>
    </row>
    <row r="7301" spans="13:19" x14ac:dyDescent="0.25">
      <c r="M7301" s="514"/>
      <c r="Q7301" s="293"/>
      <c r="R7301" s="316"/>
      <c r="S7301" s="355"/>
    </row>
    <row r="7302" spans="13:19" x14ac:dyDescent="0.25">
      <c r="M7302" s="514"/>
      <c r="Q7302" s="293"/>
      <c r="R7302" s="316"/>
      <c r="S7302" s="355"/>
    </row>
    <row r="7303" spans="13:19" x14ac:dyDescent="0.25">
      <c r="M7303" s="514"/>
      <c r="Q7303" s="293"/>
      <c r="R7303" s="316"/>
      <c r="S7303" s="355"/>
    </row>
    <row r="7304" spans="13:19" x14ac:dyDescent="0.25">
      <c r="M7304" s="514"/>
      <c r="Q7304" s="293"/>
      <c r="R7304" s="316"/>
      <c r="S7304" s="355"/>
    </row>
    <row r="7305" spans="13:19" x14ac:dyDescent="0.25">
      <c r="M7305" s="514"/>
      <c r="Q7305" s="293"/>
      <c r="R7305" s="316"/>
      <c r="S7305" s="355"/>
    </row>
    <row r="7306" spans="13:19" x14ac:dyDescent="0.25">
      <c r="M7306" s="514"/>
      <c r="Q7306" s="293"/>
      <c r="R7306" s="316"/>
      <c r="S7306" s="355"/>
    </row>
    <row r="7307" spans="13:19" x14ac:dyDescent="0.25">
      <c r="M7307" s="514"/>
      <c r="Q7307" s="293"/>
      <c r="R7307" s="316"/>
      <c r="S7307" s="355"/>
    </row>
    <row r="7308" spans="13:19" x14ac:dyDescent="0.25">
      <c r="M7308" s="514"/>
      <c r="Q7308" s="293"/>
      <c r="R7308" s="316"/>
      <c r="S7308" s="355"/>
    </row>
    <row r="7309" spans="13:19" x14ac:dyDescent="0.25">
      <c r="M7309" s="514"/>
      <c r="Q7309" s="293"/>
      <c r="R7309" s="316"/>
      <c r="S7309" s="355"/>
    </row>
    <row r="7310" spans="13:19" x14ac:dyDescent="0.25">
      <c r="M7310" s="514"/>
      <c r="Q7310" s="293"/>
      <c r="R7310" s="316"/>
      <c r="S7310" s="355"/>
    </row>
    <row r="7311" spans="13:19" x14ac:dyDescent="0.25">
      <c r="M7311" s="514"/>
      <c r="Q7311" s="293"/>
      <c r="R7311" s="316"/>
      <c r="S7311" s="355"/>
    </row>
    <row r="7312" spans="13:19" x14ac:dyDescent="0.25">
      <c r="M7312" s="514"/>
      <c r="Q7312" s="293"/>
      <c r="R7312" s="316"/>
      <c r="S7312" s="355"/>
    </row>
    <row r="7313" spans="13:19" x14ac:dyDescent="0.25">
      <c r="M7313" s="514"/>
      <c r="Q7313" s="293"/>
      <c r="R7313" s="316"/>
      <c r="S7313" s="355"/>
    </row>
    <row r="7314" spans="13:19" x14ac:dyDescent="0.25">
      <c r="M7314" s="514"/>
      <c r="Q7314" s="293"/>
      <c r="R7314" s="316"/>
      <c r="S7314" s="355"/>
    </row>
    <row r="7315" spans="13:19" x14ac:dyDescent="0.25">
      <c r="M7315" s="514"/>
      <c r="Q7315" s="293"/>
      <c r="R7315" s="316"/>
      <c r="S7315" s="355"/>
    </row>
    <row r="7316" spans="13:19" x14ac:dyDescent="0.25">
      <c r="M7316" s="514"/>
      <c r="Q7316" s="293"/>
      <c r="R7316" s="316"/>
      <c r="S7316" s="355"/>
    </row>
    <row r="7317" spans="13:19" x14ac:dyDescent="0.25">
      <c r="M7317" s="514"/>
      <c r="Q7317" s="293"/>
      <c r="R7317" s="316"/>
      <c r="S7317" s="355"/>
    </row>
    <row r="7318" spans="13:19" x14ac:dyDescent="0.25">
      <c r="M7318" s="514"/>
      <c r="Q7318" s="293"/>
      <c r="R7318" s="316"/>
      <c r="S7318" s="355"/>
    </row>
    <row r="7319" spans="13:19" x14ac:dyDescent="0.25">
      <c r="M7319" s="514"/>
      <c r="Q7319" s="293"/>
      <c r="R7319" s="316"/>
      <c r="S7319" s="355"/>
    </row>
    <row r="7320" spans="13:19" x14ac:dyDescent="0.25">
      <c r="M7320" s="514"/>
      <c r="Q7320" s="293"/>
      <c r="R7320" s="316"/>
      <c r="S7320" s="355"/>
    </row>
    <row r="7321" spans="13:19" x14ac:dyDescent="0.25">
      <c r="M7321" s="514"/>
      <c r="Q7321" s="293"/>
      <c r="R7321" s="316"/>
      <c r="S7321" s="355"/>
    </row>
    <row r="7322" spans="13:19" x14ac:dyDescent="0.25">
      <c r="M7322" s="514"/>
      <c r="Q7322" s="293"/>
      <c r="R7322" s="316"/>
      <c r="S7322" s="355"/>
    </row>
    <row r="7323" spans="13:19" x14ac:dyDescent="0.25">
      <c r="M7323" s="514"/>
      <c r="Q7323" s="293"/>
      <c r="R7323" s="316"/>
      <c r="S7323" s="355"/>
    </row>
    <row r="7324" spans="13:19" x14ac:dyDescent="0.25">
      <c r="M7324" s="514"/>
      <c r="Q7324" s="293"/>
      <c r="R7324" s="316"/>
      <c r="S7324" s="355"/>
    </row>
    <row r="7325" spans="13:19" x14ac:dyDescent="0.25">
      <c r="M7325" s="514"/>
      <c r="Q7325" s="293"/>
      <c r="R7325" s="316"/>
      <c r="S7325" s="355"/>
    </row>
    <row r="7326" spans="13:19" x14ac:dyDescent="0.25">
      <c r="M7326" s="514"/>
      <c r="Q7326" s="293"/>
      <c r="R7326" s="316"/>
      <c r="S7326" s="355"/>
    </row>
    <row r="7327" spans="13:19" x14ac:dyDescent="0.25">
      <c r="M7327" s="514"/>
      <c r="Q7327" s="293"/>
      <c r="R7327" s="316"/>
      <c r="S7327" s="355"/>
    </row>
    <row r="7328" spans="13:19" x14ac:dyDescent="0.25">
      <c r="M7328" s="514"/>
      <c r="Q7328" s="293"/>
      <c r="R7328" s="316"/>
      <c r="S7328" s="355"/>
    </row>
    <row r="7329" spans="13:19" x14ac:dyDescent="0.25">
      <c r="M7329" s="514"/>
      <c r="Q7329" s="293"/>
      <c r="R7329" s="316"/>
      <c r="S7329" s="355"/>
    </row>
    <row r="7330" spans="13:19" x14ac:dyDescent="0.25">
      <c r="M7330" s="514"/>
      <c r="Q7330" s="293"/>
      <c r="R7330" s="316"/>
      <c r="S7330" s="355"/>
    </row>
    <row r="7331" spans="13:19" x14ac:dyDescent="0.25">
      <c r="M7331" s="514"/>
      <c r="Q7331" s="293"/>
      <c r="R7331" s="316"/>
      <c r="S7331" s="355"/>
    </row>
    <row r="7332" spans="13:19" x14ac:dyDescent="0.25">
      <c r="M7332" s="514"/>
      <c r="Q7332" s="293"/>
      <c r="R7332" s="316"/>
      <c r="S7332" s="355"/>
    </row>
    <row r="7333" spans="13:19" x14ac:dyDescent="0.25">
      <c r="M7333" s="514"/>
      <c r="Q7333" s="293"/>
      <c r="R7333" s="316"/>
      <c r="S7333" s="355"/>
    </row>
    <row r="7334" spans="13:19" x14ac:dyDescent="0.25">
      <c r="M7334" s="514"/>
      <c r="Q7334" s="293"/>
      <c r="R7334" s="316"/>
      <c r="S7334" s="355"/>
    </row>
    <row r="7335" spans="13:19" x14ac:dyDescent="0.25">
      <c r="M7335" s="514"/>
      <c r="Q7335" s="293"/>
      <c r="R7335" s="316"/>
      <c r="S7335" s="355"/>
    </row>
    <row r="7336" spans="13:19" x14ac:dyDescent="0.25">
      <c r="M7336" s="514"/>
      <c r="Q7336" s="293"/>
      <c r="R7336" s="316"/>
      <c r="S7336" s="355"/>
    </row>
    <row r="7337" spans="13:19" x14ac:dyDescent="0.25">
      <c r="M7337" s="514"/>
      <c r="Q7337" s="293"/>
      <c r="R7337" s="316"/>
      <c r="S7337" s="355"/>
    </row>
    <row r="7338" spans="13:19" x14ac:dyDescent="0.25">
      <c r="M7338" s="514"/>
      <c r="Q7338" s="293"/>
      <c r="R7338" s="316"/>
      <c r="S7338" s="355"/>
    </row>
    <row r="7339" spans="13:19" x14ac:dyDescent="0.25">
      <c r="M7339" s="514"/>
      <c r="Q7339" s="293"/>
      <c r="R7339" s="316"/>
      <c r="S7339" s="355"/>
    </row>
    <row r="7340" spans="13:19" x14ac:dyDescent="0.25">
      <c r="M7340" s="514"/>
      <c r="Q7340" s="293"/>
      <c r="R7340" s="316"/>
      <c r="S7340" s="355"/>
    </row>
    <row r="7341" spans="13:19" x14ac:dyDescent="0.25">
      <c r="M7341" s="514"/>
      <c r="Q7341" s="293"/>
      <c r="R7341" s="316"/>
      <c r="S7341" s="355"/>
    </row>
    <row r="7342" spans="13:19" x14ac:dyDescent="0.25">
      <c r="M7342" s="514"/>
      <c r="Q7342" s="293"/>
      <c r="R7342" s="316"/>
      <c r="S7342" s="355"/>
    </row>
    <row r="7343" spans="13:19" x14ac:dyDescent="0.25">
      <c r="M7343" s="514"/>
      <c r="Q7343" s="293"/>
      <c r="R7343" s="316"/>
      <c r="S7343" s="355"/>
    </row>
    <row r="7344" spans="13:19" x14ac:dyDescent="0.25">
      <c r="M7344" s="514"/>
      <c r="Q7344" s="293"/>
      <c r="R7344" s="316"/>
      <c r="S7344" s="355"/>
    </row>
    <row r="7345" spans="13:19" x14ac:dyDescent="0.25">
      <c r="M7345" s="514"/>
      <c r="Q7345" s="293"/>
      <c r="R7345" s="316"/>
      <c r="S7345" s="355"/>
    </row>
    <row r="7346" spans="13:19" x14ac:dyDescent="0.25">
      <c r="M7346" s="514"/>
      <c r="Q7346" s="293"/>
      <c r="R7346" s="316"/>
      <c r="S7346" s="355"/>
    </row>
    <row r="7347" spans="13:19" x14ac:dyDescent="0.25">
      <c r="M7347" s="514"/>
      <c r="Q7347" s="293"/>
      <c r="R7347" s="316"/>
      <c r="S7347" s="355"/>
    </row>
    <row r="7348" spans="13:19" x14ac:dyDescent="0.25">
      <c r="M7348" s="514"/>
      <c r="Q7348" s="293"/>
      <c r="R7348" s="316"/>
      <c r="S7348" s="355"/>
    </row>
    <row r="7349" spans="13:19" x14ac:dyDescent="0.25">
      <c r="M7349" s="514"/>
      <c r="Q7349" s="293"/>
      <c r="R7349" s="316"/>
      <c r="S7349" s="355"/>
    </row>
    <row r="7350" spans="13:19" x14ac:dyDescent="0.25">
      <c r="M7350" s="514"/>
      <c r="Q7350" s="293"/>
      <c r="R7350" s="316"/>
      <c r="S7350" s="355"/>
    </row>
    <row r="7351" spans="13:19" x14ac:dyDescent="0.25">
      <c r="M7351" s="514"/>
      <c r="Q7351" s="293"/>
      <c r="R7351" s="316"/>
      <c r="S7351" s="355"/>
    </row>
    <row r="7352" spans="13:19" x14ac:dyDescent="0.25">
      <c r="M7352" s="514"/>
      <c r="Q7352" s="293"/>
      <c r="R7352" s="316"/>
      <c r="S7352" s="355"/>
    </row>
    <row r="7353" spans="13:19" x14ac:dyDescent="0.25">
      <c r="M7353" s="514"/>
      <c r="Q7353" s="293"/>
      <c r="R7353" s="316"/>
      <c r="S7353" s="355"/>
    </row>
    <row r="7354" spans="13:19" x14ac:dyDescent="0.25">
      <c r="M7354" s="514"/>
      <c r="Q7354" s="293"/>
      <c r="R7354" s="316"/>
      <c r="S7354" s="355"/>
    </row>
    <row r="7355" spans="13:19" x14ac:dyDescent="0.25">
      <c r="M7355" s="514"/>
      <c r="Q7355" s="293"/>
      <c r="R7355" s="316"/>
      <c r="S7355" s="355"/>
    </row>
    <row r="7356" spans="13:19" x14ac:dyDescent="0.25">
      <c r="M7356" s="514"/>
      <c r="Q7356" s="293"/>
      <c r="R7356" s="316"/>
      <c r="S7356" s="355"/>
    </row>
    <row r="7357" spans="13:19" x14ac:dyDescent="0.25">
      <c r="M7357" s="514"/>
      <c r="Q7357" s="293"/>
      <c r="R7357" s="316"/>
      <c r="S7357" s="355"/>
    </row>
    <row r="7358" spans="13:19" x14ac:dyDescent="0.25">
      <c r="M7358" s="514"/>
      <c r="Q7358" s="293"/>
      <c r="R7358" s="316"/>
      <c r="S7358" s="355"/>
    </row>
    <row r="7359" spans="13:19" x14ac:dyDescent="0.25">
      <c r="M7359" s="514"/>
      <c r="Q7359" s="293"/>
      <c r="R7359" s="316"/>
      <c r="S7359" s="355"/>
    </row>
    <row r="7360" spans="13:19" x14ac:dyDescent="0.25">
      <c r="M7360" s="514"/>
      <c r="Q7360" s="293"/>
      <c r="R7360" s="316"/>
      <c r="S7360" s="355"/>
    </row>
    <row r="7361" spans="13:19" x14ac:dyDescent="0.25">
      <c r="M7361" s="514"/>
      <c r="Q7361" s="293"/>
      <c r="R7361" s="316"/>
      <c r="S7361" s="355"/>
    </row>
    <row r="7362" spans="13:19" x14ac:dyDescent="0.25">
      <c r="M7362" s="514"/>
      <c r="Q7362" s="293"/>
      <c r="R7362" s="316"/>
      <c r="S7362" s="355"/>
    </row>
    <row r="7363" spans="13:19" x14ac:dyDescent="0.25">
      <c r="M7363" s="514"/>
      <c r="Q7363" s="293"/>
      <c r="R7363" s="316"/>
      <c r="S7363" s="355"/>
    </row>
    <row r="7364" spans="13:19" x14ac:dyDescent="0.25">
      <c r="M7364" s="514"/>
      <c r="Q7364" s="293"/>
      <c r="R7364" s="316"/>
      <c r="S7364" s="355"/>
    </row>
    <row r="7365" spans="13:19" x14ac:dyDescent="0.25">
      <c r="M7365" s="514"/>
      <c r="Q7365" s="293"/>
      <c r="R7365" s="316"/>
      <c r="S7365" s="355"/>
    </row>
    <row r="7366" spans="13:19" x14ac:dyDescent="0.25">
      <c r="M7366" s="514"/>
      <c r="Q7366" s="293"/>
      <c r="R7366" s="316"/>
      <c r="S7366" s="355"/>
    </row>
    <row r="7367" spans="13:19" x14ac:dyDescent="0.25">
      <c r="M7367" s="514"/>
      <c r="Q7367" s="293"/>
      <c r="R7367" s="316"/>
      <c r="S7367" s="355"/>
    </row>
    <row r="7368" spans="13:19" x14ac:dyDescent="0.25">
      <c r="M7368" s="514"/>
      <c r="Q7368" s="293"/>
      <c r="R7368" s="316"/>
      <c r="S7368" s="355"/>
    </row>
    <row r="7369" spans="13:19" x14ac:dyDescent="0.25">
      <c r="M7369" s="514"/>
      <c r="Q7369" s="293"/>
      <c r="R7369" s="316"/>
      <c r="S7369" s="355"/>
    </row>
    <row r="7370" spans="13:19" x14ac:dyDescent="0.25">
      <c r="M7370" s="514"/>
      <c r="Q7370" s="293"/>
      <c r="R7370" s="316"/>
      <c r="S7370" s="355"/>
    </row>
    <row r="7371" spans="13:19" x14ac:dyDescent="0.25">
      <c r="M7371" s="514"/>
      <c r="Q7371" s="293"/>
      <c r="R7371" s="316"/>
      <c r="S7371" s="355"/>
    </row>
    <row r="7372" spans="13:19" x14ac:dyDescent="0.25">
      <c r="M7372" s="514"/>
      <c r="Q7372" s="293"/>
      <c r="R7372" s="316"/>
      <c r="S7372" s="355"/>
    </row>
    <row r="7373" spans="13:19" x14ac:dyDescent="0.25">
      <c r="M7373" s="514"/>
      <c r="Q7373" s="293"/>
      <c r="R7373" s="316"/>
      <c r="S7373" s="355"/>
    </row>
    <row r="7374" spans="13:19" x14ac:dyDescent="0.25">
      <c r="M7374" s="514"/>
      <c r="Q7374" s="293"/>
      <c r="R7374" s="316"/>
      <c r="S7374" s="355"/>
    </row>
    <row r="7375" spans="13:19" x14ac:dyDescent="0.25">
      <c r="M7375" s="514"/>
      <c r="Q7375" s="293"/>
      <c r="R7375" s="316"/>
      <c r="S7375" s="355"/>
    </row>
    <row r="7376" spans="13:19" x14ac:dyDescent="0.25">
      <c r="M7376" s="514"/>
      <c r="Q7376" s="293"/>
      <c r="R7376" s="316"/>
      <c r="S7376" s="355"/>
    </row>
    <row r="7377" spans="13:19" x14ac:dyDescent="0.25">
      <c r="M7377" s="514"/>
      <c r="Q7377" s="293"/>
      <c r="R7377" s="316"/>
      <c r="S7377" s="355"/>
    </row>
    <row r="7378" spans="13:19" x14ac:dyDescent="0.25">
      <c r="M7378" s="514"/>
      <c r="Q7378" s="293"/>
      <c r="R7378" s="316"/>
      <c r="S7378" s="355"/>
    </row>
    <row r="7379" spans="13:19" x14ac:dyDescent="0.25">
      <c r="M7379" s="514"/>
      <c r="Q7379" s="293"/>
      <c r="R7379" s="316"/>
      <c r="S7379" s="355"/>
    </row>
    <row r="7380" spans="13:19" x14ac:dyDescent="0.25">
      <c r="M7380" s="514"/>
      <c r="Q7380" s="293"/>
      <c r="R7380" s="316"/>
      <c r="S7380" s="355"/>
    </row>
    <row r="7381" spans="13:19" x14ac:dyDescent="0.25">
      <c r="M7381" s="514"/>
      <c r="Q7381" s="293"/>
      <c r="R7381" s="316"/>
      <c r="S7381" s="355"/>
    </row>
    <row r="7382" spans="13:19" x14ac:dyDescent="0.25">
      <c r="M7382" s="514"/>
      <c r="Q7382" s="293"/>
      <c r="R7382" s="316"/>
      <c r="S7382" s="355"/>
    </row>
    <row r="7383" spans="13:19" x14ac:dyDescent="0.25">
      <c r="M7383" s="514"/>
      <c r="Q7383" s="293"/>
      <c r="R7383" s="316"/>
      <c r="S7383" s="355"/>
    </row>
    <row r="7384" spans="13:19" x14ac:dyDescent="0.25">
      <c r="M7384" s="514"/>
      <c r="Q7384" s="293"/>
      <c r="R7384" s="316"/>
      <c r="S7384" s="355"/>
    </row>
    <row r="7385" spans="13:19" x14ac:dyDescent="0.25">
      <c r="M7385" s="514"/>
      <c r="Q7385" s="293"/>
      <c r="R7385" s="316"/>
      <c r="S7385" s="355"/>
    </row>
    <row r="7386" spans="13:19" x14ac:dyDescent="0.25">
      <c r="M7386" s="514"/>
      <c r="Q7386" s="293"/>
      <c r="R7386" s="316"/>
      <c r="S7386" s="355"/>
    </row>
    <row r="7387" spans="13:19" x14ac:dyDescent="0.25">
      <c r="M7387" s="514"/>
      <c r="Q7387" s="293"/>
      <c r="R7387" s="316"/>
      <c r="S7387" s="355"/>
    </row>
    <row r="7388" spans="13:19" x14ac:dyDescent="0.25">
      <c r="M7388" s="514"/>
      <c r="Q7388" s="293"/>
      <c r="R7388" s="316"/>
      <c r="S7388" s="355"/>
    </row>
    <row r="7389" spans="13:19" x14ac:dyDescent="0.25">
      <c r="M7389" s="514"/>
      <c r="Q7389" s="293"/>
      <c r="R7389" s="316"/>
      <c r="S7389" s="355"/>
    </row>
    <row r="7390" spans="13:19" x14ac:dyDescent="0.25">
      <c r="M7390" s="514"/>
      <c r="Q7390" s="293"/>
      <c r="R7390" s="316"/>
      <c r="S7390" s="355"/>
    </row>
    <row r="7391" spans="13:19" x14ac:dyDescent="0.25">
      <c r="M7391" s="514"/>
      <c r="Q7391" s="293"/>
      <c r="R7391" s="316"/>
      <c r="S7391" s="355"/>
    </row>
    <row r="7392" spans="13:19" x14ac:dyDescent="0.25">
      <c r="M7392" s="514"/>
      <c r="Q7392" s="293"/>
      <c r="R7392" s="316"/>
      <c r="S7392" s="355"/>
    </row>
    <row r="7393" spans="13:19" x14ac:dyDescent="0.25">
      <c r="M7393" s="514"/>
      <c r="Q7393" s="293"/>
      <c r="R7393" s="316"/>
      <c r="S7393" s="355"/>
    </row>
    <row r="7394" spans="13:19" x14ac:dyDescent="0.25">
      <c r="M7394" s="514"/>
      <c r="Q7394" s="293"/>
      <c r="R7394" s="316"/>
      <c r="S7394" s="355"/>
    </row>
    <row r="7395" spans="13:19" x14ac:dyDescent="0.25">
      <c r="M7395" s="514"/>
      <c r="Q7395" s="293"/>
      <c r="R7395" s="316"/>
      <c r="S7395" s="355"/>
    </row>
    <row r="7396" spans="13:19" x14ac:dyDescent="0.25">
      <c r="M7396" s="514"/>
      <c r="Q7396" s="293"/>
      <c r="R7396" s="316"/>
      <c r="S7396" s="355"/>
    </row>
    <row r="7397" spans="13:19" x14ac:dyDescent="0.25">
      <c r="M7397" s="514"/>
      <c r="Q7397" s="293"/>
      <c r="R7397" s="316"/>
      <c r="S7397" s="355"/>
    </row>
    <row r="7398" spans="13:19" x14ac:dyDescent="0.25">
      <c r="M7398" s="514"/>
      <c r="Q7398" s="293"/>
      <c r="R7398" s="316"/>
      <c r="S7398" s="355"/>
    </row>
    <row r="7399" spans="13:19" x14ac:dyDescent="0.25">
      <c r="M7399" s="514"/>
      <c r="Q7399" s="293"/>
      <c r="R7399" s="316"/>
      <c r="S7399" s="355"/>
    </row>
    <row r="7400" spans="13:19" x14ac:dyDescent="0.25">
      <c r="M7400" s="514"/>
      <c r="Q7400" s="293"/>
      <c r="R7400" s="316"/>
      <c r="S7400" s="355"/>
    </row>
    <row r="7401" spans="13:19" x14ac:dyDescent="0.25">
      <c r="M7401" s="514"/>
      <c r="Q7401" s="293"/>
      <c r="R7401" s="316"/>
      <c r="S7401" s="355"/>
    </row>
    <row r="7402" spans="13:19" x14ac:dyDescent="0.25">
      <c r="M7402" s="514"/>
      <c r="Q7402" s="293"/>
      <c r="R7402" s="316"/>
      <c r="S7402" s="355"/>
    </row>
    <row r="7403" spans="13:19" x14ac:dyDescent="0.25">
      <c r="M7403" s="514"/>
      <c r="Q7403" s="293"/>
      <c r="R7403" s="316"/>
      <c r="S7403" s="355"/>
    </row>
    <row r="7404" spans="13:19" x14ac:dyDescent="0.25">
      <c r="M7404" s="514"/>
      <c r="Q7404" s="293"/>
      <c r="R7404" s="316"/>
      <c r="S7404" s="355"/>
    </row>
    <row r="7405" spans="13:19" x14ac:dyDescent="0.25">
      <c r="M7405" s="514"/>
      <c r="Q7405" s="293"/>
      <c r="R7405" s="316"/>
      <c r="S7405" s="355"/>
    </row>
    <row r="7406" spans="13:19" x14ac:dyDescent="0.25">
      <c r="M7406" s="514"/>
      <c r="Q7406" s="293"/>
      <c r="R7406" s="316"/>
      <c r="S7406" s="355"/>
    </row>
    <row r="7407" spans="13:19" x14ac:dyDescent="0.25">
      <c r="M7407" s="514"/>
      <c r="Q7407" s="293"/>
      <c r="R7407" s="316"/>
      <c r="S7407" s="355"/>
    </row>
    <row r="7408" spans="13:19" x14ac:dyDescent="0.25">
      <c r="M7408" s="514"/>
      <c r="Q7408" s="293"/>
      <c r="R7408" s="316"/>
      <c r="S7408" s="355"/>
    </row>
    <row r="7409" spans="13:19" x14ac:dyDescent="0.25">
      <c r="M7409" s="514"/>
      <c r="Q7409" s="293"/>
      <c r="R7409" s="316"/>
      <c r="S7409" s="355"/>
    </row>
    <row r="7410" spans="13:19" x14ac:dyDescent="0.25">
      <c r="M7410" s="514"/>
      <c r="Q7410" s="293"/>
      <c r="R7410" s="316"/>
      <c r="S7410" s="355"/>
    </row>
    <row r="7411" spans="13:19" x14ac:dyDescent="0.25">
      <c r="M7411" s="514"/>
      <c r="Q7411" s="293"/>
      <c r="R7411" s="316"/>
      <c r="S7411" s="355"/>
    </row>
    <row r="7412" spans="13:19" x14ac:dyDescent="0.25">
      <c r="M7412" s="514"/>
      <c r="Q7412" s="293"/>
      <c r="R7412" s="316"/>
      <c r="S7412" s="355"/>
    </row>
    <row r="7413" spans="13:19" x14ac:dyDescent="0.25">
      <c r="M7413" s="514"/>
      <c r="Q7413" s="293"/>
      <c r="R7413" s="316"/>
      <c r="S7413" s="355"/>
    </row>
    <row r="7414" spans="13:19" x14ac:dyDescent="0.25">
      <c r="M7414" s="514"/>
      <c r="Q7414" s="293"/>
      <c r="R7414" s="316"/>
      <c r="S7414" s="355"/>
    </row>
    <row r="7415" spans="13:19" x14ac:dyDescent="0.25">
      <c r="M7415" s="514"/>
      <c r="Q7415" s="293"/>
      <c r="R7415" s="316"/>
      <c r="S7415" s="355"/>
    </row>
    <row r="7416" spans="13:19" x14ac:dyDescent="0.25">
      <c r="M7416" s="514"/>
      <c r="Q7416" s="293"/>
      <c r="R7416" s="316"/>
      <c r="S7416" s="355"/>
    </row>
    <row r="7417" spans="13:19" x14ac:dyDescent="0.25">
      <c r="M7417" s="514"/>
      <c r="Q7417" s="293"/>
      <c r="R7417" s="316"/>
      <c r="S7417" s="355"/>
    </row>
    <row r="7418" spans="13:19" x14ac:dyDescent="0.25">
      <c r="M7418" s="514"/>
      <c r="Q7418" s="293"/>
      <c r="R7418" s="316"/>
      <c r="S7418" s="355"/>
    </row>
    <row r="7419" spans="13:19" x14ac:dyDescent="0.25">
      <c r="M7419" s="514"/>
      <c r="Q7419" s="293"/>
      <c r="R7419" s="316"/>
      <c r="S7419" s="355"/>
    </row>
    <row r="7420" spans="13:19" x14ac:dyDescent="0.25">
      <c r="M7420" s="514"/>
      <c r="Q7420" s="293"/>
      <c r="R7420" s="316"/>
      <c r="S7420" s="355"/>
    </row>
    <row r="7421" spans="13:19" x14ac:dyDescent="0.25">
      <c r="M7421" s="514"/>
      <c r="Q7421" s="293"/>
      <c r="R7421" s="316"/>
      <c r="S7421" s="355"/>
    </row>
    <row r="7422" spans="13:19" x14ac:dyDescent="0.25">
      <c r="M7422" s="514"/>
      <c r="Q7422" s="293"/>
      <c r="R7422" s="316"/>
      <c r="S7422" s="355"/>
    </row>
    <row r="7423" spans="13:19" x14ac:dyDescent="0.25">
      <c r="M7423" s="514"/>
      <c r="Q7423" s="293"/>
      <c r="R7423" s="316"/>
      <c r="S7423" s="355"/>
    </row>
    <row r="7424" spans="13:19" x14ac:dyDescent="0.25">
      <c r="M7424" s="514"/>
      <c r="Q7424" s="293"/>
      <c r="R7424" s="316"/>
      <c r="S7424" s="355"/>
    </row>
    <row r="7425" spans="13:19" x14ac:dyDescent="0.25">
      <c r="M7425" s="514"/>
      <c r="Q7425" s="293"/>
      <c r="R7425" s="316"/>
      <c r="S7425" s="355"/>
    </row>
    <row r="7426" spans="13:19" x14ac:dyDescent="0.25">
      <c r="M7426" s="514"/>
      <c r="Q7426" s="293"/>
      <c r="R7426" s="316"/>
      <c r="S7426" s="355"/>
    </row>
    <row r="7427" spans="13:19" x14ac:dyDescent="0.25">
      <c r="M7427" s="514"/>
      <c r="Q7427" s="293"/>
      <c r="R7427" s="316"/>
      <c r="S7427" s="355"/>
    </row>
    <row r="7428" spans="13:19" x14ac:dyDescent="0.25">
      <c r="M7428" s="514"/>
      <c r="Q7428" s="293"/>
      <c r="R7428" s="316"/>
      <c r="S7428" s="355"/>
    </row>
    <row r="7429" spans="13:19" x14ac:dyDescent="0.25">
      <c r="M7429" s="514"/>
      <c r="Q7429" s="293"/>
      <c r="R7429" s="316"/>
      <c r="S7429" s="355"/>
    </row>
    <row r="7430" spans="13:19" x14ac:dyDescent="0.25">
      <c r="M7430" s="514"/>
      <c r="Q7430" s="293"/>
      <c r="R7430" s="316"/>
      <c r="S7430" s="355"/>
    </row>
    <row r="7431" spans="13:19" x14ac:dyDescent="0.25">
      <c r="M7431" s="514"/>
      <c r="Q7431" s="293"/>
      <c r="R7431" s="316"/>
      <c r="S7431" s="355"/>
    </row>
    <row r="7432" spans="13:19" x14ac:dyDescent="0.25">
      <c r="M7432" s="514"/>
      <c r="Q7432" s="293"/>
      <c r="R7432" s="316"/>
      <c r="S7432" s="355"/>
    </row>
    <row r="7433" spans="13:19" x14ac:dyDescent="0.25">
      <c r="M7433" s="514"/>
      <c r="Q7433" s="293"/>
      <c r="R7433" s="316"/>
      <c r="S7433" s="355"/>
    </row>
    <row r="7434" spans="13:19" x14ac:dyDescent="0.25">
      <c r="M7434" s="514"/>
      <c r="Q7434" s="293"/>
      <c r="R7434" s="316"/>
      <c r="S7434" s="355"/>
    </row>
    <row r="7435" spans="13:19" x14ac:dyDescent="0.25">
      <c r="M7435" s="514"/>
      <c r="Q7435" s="293"/>
      <c r="R7435" s="316"/>
      <c r="S7435" s="355"/>
    </row>
    <row r="7436" spans="13:19" x14ac:dyDescent="0.25">
      <c r="M7436" s="514"/>
      <c r="Q7436" s="293"/>
      <c r="R7436" s="316"/>
      <c r="S7436" s="355"/>
    </row>
    <row r="7437" spans="13:19" x14ac:dyDescent="0.25">
      <c r="M7437" s="514"/>
      <c r="Q7437" s="293"/>
      <c r="R7437" s="316"/>
      <c r="S7437" s="355"/>
    </row>
    <row r="7438" spans="13:19" x14ac:dyDescent="0.25">
      <c r="M7438" s="514"/>
      <c r="Q7438" s="293"/>
      <c r="R7438" s="316"/>
      <c r="S7438" s="355"/>
    </row>
    <row r="7439" spans="13:19" x14ac:dyDescent="0.25">
      <c r="M7439" s="514"/>
      <c r="Q7439" s="293"/>
      <c r="R7439" s="316"/>
      <c r="S7439" s="355"/>
    </row>
    <row r="7440" spans="13:19" x14ac:dyDescent="0.25">
      <c r="M7440" s="514"/>
      <c r="Q7440" s="293"/>
      <c r="R7440" s="316"/>
      <c r="S7440" s="355"/>
    </row>
    <row r="7441" spans="13:19" x14ac:dyDescent="0.25">
      <c r="M7441" s="514"/>
      <c r="Q7441" s="293"/>
      <c r="R7441" s="316"/>
      <c r="S7441" s="355"/>
    </row>
    <row r="7442" spans="13:19" x14ac:dyDescent="0.25">
      <c r="M7442" s="514"/>
      <c r="Q7442" s="293"/>
      <c r="R7442" s="316"/>
      <c r="S7442" s="355"/>
    </row>
    <row r="7443" spans="13:19" x14ac:dyDescent="0.25">
      <c r="M7443" s="514"/>
      <c r="Q7443" s="293"/>
      <c r="R7443" s="316"/>
      <c r="S7443" s="355"/>
    </row>
    <row r="7444" spans="13:19" x14ac:dyDescent="0.25">
      <c r="M7444" s="514"/>
      <c r="Q7444" s="293"/>
      <c r="R7444" s="316"/>
      <c r="S7444" s="355"/>
    </row>
    <row r="7445" spans="13:19" x14ac:dyDescent="0.25">
      <c r="M7445" s="514"/>
      <c r="Q7445" s="293"/>
      <c r="R7445" s="316"/>
      <c r="S7445" s="355"/>
    </row>
    <row r="7446" spans="13:19" x14ac:dyDescent="0.25">
      <c r="M7446" s="514"/>
      <c r="Q7446" s="293"/>
      <c r="R7446" s="316"/>
      <c r="S7446" s="355"/>
    </row>
    <row r="7447" spans="13:19" x14ac:dyDescent="0.25">
      <c r="M7447" s="514"/>
      <c r="Q7447" s="293"/>
      <c r="R7447" s="316"/>
      <c r="S7447" s="355"/>
    </row>
    <row r="7448" spans="13:19" x14ac:dyDescent="0.25">
      <c r="M7448" s="514"/>
      <c r="Q7448" s="293"/>
      <c r="R7448" s="316"/>
      <c r="S7448" s="355"/>
    </row>
    <row r="7449" spans="13:19" x14ac:dyDescent="0.25">
      <c r="M7449" s="514"/>
      <c r="Q7449" s="293"/>
      <c r="R7449" s="316"/>
      <c r="S7449" s="355"/>
    </row>
    <row r="7450" spans="13:19" x14ac:dyDescent="0.25">
      <c r="M7450" s="514"/>
      <c r="Q7450" s="293"/>
      <c r="R7450" s="316"/>
      <c r="S7450" s="355"/>
    </row>
    <row r="7451" spans="13:19" x14ac:dyDescent="0.25">
      <c r="M7451" s="514"/>
      <c r="Q7451" s="293"/>
      <c r="R7451" s="316"/>
      <c r="S7451" s="355"/>
    </row>
    <row r="7452" spans="13:19" x14ac:dyDescent="0.25">
      <c r="M7452" s="514"/>
      <c r="Q7452" s="293"/>
      <c r="R7452" s="316"/>
      <c r="S7452" s="355"/>
    </row>
    <row r="7453" spans="13:19" x14ac:dyDescent="0.25">
      <c r="M7453" s="514"/>
      <c r="Q7453" s="293"/>
      <c r="R7453" s="316"/>
      <c r="S7453" s="355"/>
    </row>
    <row r="7454" spans="13:19" x14ac:dyDescent="0.25">
      <c r="M7454" s="514"/>
      <c r="Q7454" s="293"/>
      <c r="R7454" s="316"/>
      <c r="S7454" s="355"/>
    </row>
    <row r="7455" spans="13:19" x14ac:dyDescent="0.25">
      <c r="M7455" s="514"/>
      <c r="Q7455" s="293"/>
      <c r="R7455" s="316"/>
      <c r="S7455" s="355"/>
    </row>
    <row r="7456" spans="13:19" x14ac:dyDescent="0.25">
      <c r="M7456" s="514"/>
      <c r="Q7456" s="293"/>
      <c r="R7456" s="316"/>
      <c r="S7456" s="355"/>
    </row>
    <row r="7457" spans="13:19" x14ac:dyDescent="0.25">
      <c r="M7457" s="514"/>
      <c r="Q7457" s="293"/>
      <c r="R7457" s="316"/>
      <c r="S7457" s="355"/>
    </row>
    <row r="7458" spans="13:19" x14ac:dyDescent="0.25">
      <c r="M7458" s="514"/>
      <c r="Q7458" s="293"/>
      <c r="R7458" s="316"/>
      <c r="S7458" s="355"/>
    </row>
    <row r="7459" spans="13:19" x14ac:dyDescent="0.25">
      <c r="M7459" s="514"/>
      <c r="Q7459" s="293"/>
      <c r="R7459" s="316"/>
      <c r="S7459" s="355"/>
    </row>
    <row r="7460" spans="13:19" x14ac:dyDescent="0.25">
      <c r="M7460" s="514"/>
      <c r="Q7460" s="293"/>
      <c r="R7460" s="316"/>
      <c r="S7460" s="355"/>
    </row>
    <row r="7461" spans="13:19" x14ac:dyDescent="0.25">
      <c r="M7461" s="514"/>
      <c r="Q7461" s="293"/>
      <c r="R7461" s="316"/>
      <c r="S7461" s="355"/>
    </row>
    <row r="7462" spans="13:19" x14ac:dyDescent="0.25">
      <c r="M7462" s="514"/>
      <c r="Q7462" s="293"/>
      <c r="R7462" s="316"/>
      <c r="S7462" s="355"/>
    </row>
    <row r="7463" spans="13:19" x14ac:dyDescent="0.25">
      <c r="M7463" s="514"/>
      <c r="Q7463" s="293"/>
      <c r="R7463" s="316"/>
      <c r="S7463" s="355"/>
    </row>
    <row r="7464" spans="13:19" x14ac:dyDescent="0.25">
      <c r="M7464" s="514"/>
      <c r="Q7464" s="293"/>
      <c r="R7464" s="316"/>
      <c r="S7464" s="355"/>
    </row>
    <row r="7465" spans="13:19" x14ac:dyDescent="0.25">
      <c r="M7465" s="514"/>
      <c r="Q7465" s="293"/>
      <c r="R7465" s="316"/>
      <c r="S7465" s="355"/>
    </row>
    <row r="7466" spans="13:19" x14ac:dyDescent="0.25">
      <c r="M7466" s="514"/>
      <c r="Q7466" s="293"/>
      <c r="R7466" s="316"/>
      <c r="S7466" s="355"/>
    </row>
    <row r="7467" spans="13:19" x14ac:dyDescent="0.25">
      <c r="M7467" s="514"/>
      <c r="Q7467" s="293"/>
      <c r="R7467" s="316"/>
      <c r="S7467" s="355"/>
    </row>
    <row r="7468" spans="13:19" x14ac:dyDescent="0.25">
      <c r="M7468" s="514"/>
      <c r="Q7468" s="293"/>
      <c r="R7468" s="316"/>
      <c r="S7468" s="355"/>
    </row>
    <row r="7469" spans="13:19" x14ac:dyDescent="0.25">
      <c r="M7469" s="514"/>
      <c r="Q7469" s="293"/>
      <c r="R7469" s="316"/>
      <c r="S7469" s="355"/>
    </row>
    <row r="7470" spans="13:19" x14ac:dyDescent="0.25">
      <c r="M7470" s="514"/>
      <c r="Q7470" s="293"/>
      <c r="R7470" s="316"/>
      <c r="S7470" s="355"/>
    </row>
    <row r="7471" spans="13:19" x14ac:dyDescent="0.25">
      <c r="M7471" s="514"/>
      <c r="Q7471" s="293"/>
      <c r="R7471" s="316"/>
      <c r="S7471" s="355"/>
    </row>
    <row r="7472" spans="13:19" x14ac:dyDescent="0.25">
      <c r="M7472" s="514"/>
      <c r="Q7472" s="293"/>
      <c r="R7472" s="316"/>
      <c r="S7472" s="355"/>
    </row>
    <row r="7473" spans="13:19" x14ac:dyDescent="0.25">
      <c r="M7473" s="514"/>
      <c r="Q7473" s="293"/>
      <c r="R7473" s="316"/>
      <c r="S7473" s="355"/>
    </row>
    <row r="7474" spans="13:19" x14ac:dyDescent="0.25">
      <c r="M7474" s="514"/>
      <c r="Q7474" s="293"/>
      <c r="R7474" s="316"/>
      <c r="S7474" s="355"/>
    </row>
    <row r="7475" spans="13:19" x14ac:dyDescent="0.25">
      <c r="M7475" s="514"/>
      <c r="Q7475" s="293"/>
      <c r="R7475" s="316"/>
      <c r="S7475" s="355"/>
    </row>
    <row r="7476" spans="13:19" x14ac:dyDescent="0.25">
      <c r="M7476" s="514"/>
      <c r="Q7476" s="293"/>
      <c r="R7476" s="316"/>
      <c r="S7476" s="355"/>
    </row>
    <row r="7477" spans="13:19" x14ac:dyDescent="0.25">
      <c r="M7477" s="514"/>
      <c r="Q7477" s="293"/>
      <c r="R7477" s="316"/>
      <c r="S7477" s="355"/>
    </row>
    <row r="7478" spans="13:19" x14ac:dyDescent="0.25">
      <c r="M7478" s="514"/>
      <c r="Q7478" s="293"/>
      <c r="R7478" s="316"/>
      <c r="S7478" s="355"/>
    </row>
    <row r="7479" spans="13:19" x14ac:dyDescent="0.25">
      <c r="M7479" s="514"/>
      <c r="Q7479" s="293"/>
      <c r="R7479" s="316"/>
      <c r="S7479" s="355"/>
    </row>
    <row r="7480" spans="13:19" x14ac:dyDescent="0.25">
      <c r="M7480" s="514"/>
      <c r="Q7480" s="293"/>
      <c r="R7480" s="316"/>
      <c r="S7480" s="355"/>
    </row>
    <row r="7481" spans="13:19" x14ac:dyDescent="0.25">
      <c r="M7481" s="514"/>
      <c r="Q7481" s="293"/>
      <c r="R7481" s="316"/>
      <c r="S7481" s="355"/>
    </row>
    <row r="7482" spans="13:19" x14ac:dyDescent="0.25">
      <c r="M7482" s="514"/>
      <c r="Q7482" s="293"/>
      <c r="R7482" s="316"/>
      <c r="S7482" s="355"/>
    </row>
    <row r="7483" spans="13:19" x14ac:dyDescent="0.25">
      <c r="M7483" s="514"/>
      <c r="Q7483" s="293"/>
      <c r="R7483" s="316"/>
      <c r="S7483" s="355"/>
    </row>
    <row r="7484" spans="13:19" x14ac:dyDescent="0.25">
      <c r="M7484" s="514"/>
      <c r="Q7484" s="293"/>
      <c r="R7484" s="316"/>
      <c r="S7484" s="355"/>
    </row>
    <row r="7485" spans="13:19" x14ac:dyDescent="0.25">
      <c r="M7485" s="514"/>
      <c r="Q7485" s="293"/>
      <c r="R7485" s="316"/>
      <c r="S7485" s="355"/>
    </row>
    <row r="7486" spans="13:19" x14ac:dyDescent="0.25">
      <c r="M7486" s="514"/>
      <c r="Q7486" s="293"/>
      <c r="R7486" s="316"/>
      <c r="S7486" s="355"/>
    </row>
    <row r="7487" spans="13:19" x14ac:dyDescent="0.25">
      <c r="M7487" s="514"/>
      <c r="Q7487" s="293"/>
      <c r="R7487" s="316"/>
      <c r="S7487" s="355"/>
    </row>
    <row r="7488" spans="13:19" x14ac:dyDescent="0.25">
      <c r="M7488" s="514"/>
      <c r="Q7488" s="293"/>
      <c r="R7488" s="316"/>
      <c r="S7488" s="355"/>
    </row>
    <row r="7489" spans="13:19" x14ac:dyDescent="0.25">
      <c r="M7489" s="514"/>
      <c r="Q7489" s="293"/>
      <c r="R7489" s="316"/>
      <c r="S7489" s="355"/>
    </row>
    <row r="7490" spans="13:19" x14ac:dyDescent="0.25">
      <c r="M7490" s="514"/>
      <c r="Q7490" s="293"/>
      <c r="R7490" s="316"/>
      <c r="S7490" s="355"/>
    </row>
    <row r="7491" spans="13:19" x14ac:dyDescent="0.25">
      <c r="M7491" s="514"/>
      <c r="Q7491" s="293"/>
      <c r="R7491" s="316"/>
      <c r="S7491" s="355"/>
    </row>
    <row r="7492" spans="13:19" x14ac:dyDescent="0.25">
      <c r="M7492" s="514"/>
      <c r="Q7492" s="293"/>
      <c r="R7492" s="316"/>
      <c r="S7492" s="355"/>
    </row>
    <row r="7493" spans="13:19" x14ac:dyDescent="0.25">
      <c r="M7493" s="514"/>
      <c r="Q7493" s="293"/>
      <c r="R7493" s="316"/>
      <c r="S7493" s="355"/>
    </row>
    <row r="7494" spans="13:19" x14ac:dyDescent="0.25">
      <c r="M7494" s="514"/>
      <c r="Q7494" s="293"/>
      <c r="R7494" s="316"/>
      <c r="S7494" s="355"/>
    </row>
    <row r="7495" spans="13:19" x14ac:dyDescent="0.25">
      <c r="M7495" s="514"/>
      <c r="Q7495" s="293"/>
      <c r="R7495" s="316"/>
      <c r="S7495" s="355"/>
    </row>
    <row r="7496" spans="13:19" x14ac:dyDescent="0.25">
      <c r="M7496" s="514"/>
      <c r="Q7496" s="293"/>
      <c r="R7496" s="316"/>
      <c r="S7496" s="355"/>
    </row>
    <row r="7497" spans="13:19" x14ac:dyDescent="0.25">
      <c r="M7497" s="514"/>
      <c r="Q7497" s="293"/>
      <c r="R7497" s="316"/>
      <c r="S7497" s="355"/>
    </row>
    <row r="7498" spans="13:19" x14ac:dyDescent="0.25">
      <c r="M7498" s="514"/>
      <c r="Q7498" s="293"/>
      <c r="R7498" s="316"/>
      <c r="S7498" s="355"/>
    </row>
    <row r="7499" spans="13:19" x14ac:dyDescent="0.25">
      <c r="M7499" s="514"/>
      <c r="Q7499" s="293"/>
      <c r="R7499" s="316"/>
      <c r="S7499" s="355"/>
    </row>
    <row r="7500" spans="13:19" x14ac:dyDescent="0.25">
      <c r="M7500" s="514"/>
      <c r="Q7500" s="293"/>
      <c r="R7500" s="316"/>
      <c r="S7500" s="355"/>
    </row>
    <row r="7501" spans="13:19" x14ac:dyDescent="0.25">
      <c r="M7501" s="514"/>
      <c r="Q7501" s="293"/>
      <c r="R7501" s="316"/>
      <c r="S7501" s="355"/>
    </row>
    <row r="7502" spans="13:19" x14ac:dyDescent="0.25">
      <c r="M7502" s="514"/>
      <c r="Q7502" s="293"/>
      <c r="R7502" s="316"/>
      <c r="S7502" s="355"/>
    </row>
    <row r="7503" spans="13:19" x14ac:dyDescent="0.25">
      <c r="M7503" s="514"/>
      <c r="Q7503" s="293"/>
      <c r="R7503" s="316"/>
      <c r="S7503" s="355"/>
    </row>
    <row r="7504" spans="13:19" x14ac:dyDescent="0.25">
      <c r="M7504" s="514"/>
      <c r="Q7504" s="293"/>
      <c r="R7504" s="316"/>
      <c r="S7504" s="355"/>
    </row>
    <row r="7505" spans="13:19" x14ac:dyDescent="0.25">
      <c r="M7505" s="514"/>
      <c r="Q7505" s="293"/>
      <c r="R7505" s="316"/>
      <c r="S7505" s="355"/>
    </row>
    <row r="7506" spans="13:19" x14ac:dyDescent="0.25">
      <c r="M7506" s="514"/>
      <c r="Q7506" s="293"/>
      <c r="R7506" s="316"/>
      <c r="S7506" s="355"/>
    </row>
    <row r="7507" spans="13:19" x14ac:dyDescent="0.25">
      <c r="M7507" s="514"/>
      <c r="Q7507" s="293"/>
      <c r="R7507" s="316"/>
      <c r="S7507" s="355"/>
    </row>
    <row r="7508" spans="13:19" x14ac:dyDescent="0.25">
      <c r="M7508" s="514"/>
      <c r="Q7508" s="293"/>
      <c r="R7508" s="316"/>
      <c r="S7508" s="355"/>
    </row>
    <row r="7509" spans="13:19" x14ac:dyDescent="0.25">
      <c r="M7509" s="514"/>
      <c r="Q7509" s="293"/>
      <c r="R7509" s="316"/>
      <c r="S7509" s="355"/>
    </row>
    <row r="7510" spans="13:19" x14ac:dyDescent="0.25">
      <c r="M7510" s="514"/>
      <c r="Q7510" s="293"/>
      <c r="R7510" s="316"/>
      <c r="S7510" s="355"/>
    </row>
    <row r="7511" spans="13:19" x14ac:dyDescent="0.25">
      <c r="M7511" s="514"/>
      <c r="Q7511" s="293"/>
      <c r="R7511" s="316"/>
      <c r="S7511" s="355"/>
    </row>
    <row r="7512" spans="13:19" x14ac:dyDescent="0.25">
      <c r="M7512" s="514"/>
      <c r="Q7512" s="293"/>
      <c r="R7512" s="316"/>
      <c r="S7512" s="355"/>
    </row>
    <row r="7513" spans="13:19" x14ac:dyDescent="0.25">
      <c r="M7513" s="514"/>
      <c r="Q7513" s="293"/>
      <c r="R7513" s="316"/>
      <c r="S7513" s="355"/>
    </row>
    <row r="7514" spans="13:19" x14ac:dyDescent="0.25">
      <c r="M7514" s="514"/>
      <c r="Q7514" s="293"/>
      <c r="R7514" s="316"/>
      <c r="S7514" s="355"/>
    </row>
    <row r="7515" spans="13:19" x14ac:dyDescent="0.25">
      <c r="M7515" s="514"/>
      <c r="Q7515" s="293"/>
      <c r="R7515" s="316"/>
      <c r="S7515" s="355"/>
    </row>
    <row r="7516" spans="13:19" x14ac:dyDescent="0.25">
      <c r="M7516" s="514"/>
      <c r="Q7516" s="293"/>
      <c r="R7516" s="316"/>
      <c r="S7516" s="355"/>
    </row>
    <row r="7517" spans="13:19" x14ac:dyDescent="0.25">
      <c r="M7517" s="514"/>
      <c r="Q7517" s="293"/>
      <c r="R7517" s="316"/>
      <c r="S7517" s="355"/>
    </row>
    <row r="7518" spans="13:19" x14ac:dyDescent="0.25">
      <c r="M7518" s="514"/>
      <c r="Q7518" s="293"/>
      <c r="R7518" s="316"/>
      <c r="S7518" s="355"/>
    </row>
    <row r="7519" spans="13:19" x14ac:dyDescent="0.25">
      <c r="M7519" s="514"/>
      <c r="Q7519" s="293"/>
      <c r="R7519" s="316"/>
      <c r="S7519" s="355"/>
    </row>
    <row r="7520" spans="13:19" x14ac:dyDescent="0.25">
      <c r="M7520" s="514"/>
      <c r="Q7520" s="293"/>
      <c r="R7520" s="316"/>
      <c r="S7520" s="355"/>
    </row>
    <row r="7521" spans="13:19" x14ac:dyDescent="0.25">
      <c r="M7521" s="514"/>
      <c r="Q7521" s="293"/>
      <c r="R7521" s="316"/>
      <c r="S7521" s="355"/>
    </row>
    <row r="7522" spans="13:19" x14ac:dyDescent="0.25">
      <c r="M7522" s="514"/>
      <c r="Q7522" s="293"/>
      <c r="R7522" s="316"/>
      <c r="S7522" s="355"/>
    </row>
    <row r="7523" spans="13:19" x14ac:dyDescent="0.25">
      <c r="M7523" s="514"/>
      <c r="Q7523" s="293"/>
      <c r="R7523" s="316"/>
      <c r="S7523" s="355"/>
    </row>
    <row r="7524" spans="13:19" x14ac:dyDescent="0.25">
      <c r="M7524" s="514"/>
      <c r="Q7524" s="293"/>
      <c r="R7524" s="316"/>
      <c r="S7524" s="355"/>
    </row>
    <row r="7525" spans="13:19" x14ac:dyDescent="0.25">
      <c r="M7525" s="514"/>
      <c r="Q7525" s="293"/>
      <c r="R7525" s="316"/>
      <c r="S7525" s="355"/>
    </row>
    <row r="7526" spans="13:19" x14ac:dyDescent="0.25">
      <c r="M7526" s="514"/>
      <c r="Q7526" s="293"/>
      <c r="R7526" s="316"/>
      <c r="S7526" s="355"/>
    </row>
    <row r="7527" spans="13:19" x14ac:dyDescent="0.25">
      <c r="M7527" s="514"/>
      <c r="Q7527" s="293"/>
      <c r="R7527" s="316"/>
      <c r="S7527" s="355"/>
    </row>
    <row r="7528" spans="13:19" x14ac:dyDescent="0.25">
      <c r="M7528" s="514"/>
      <c r="Q7528" s="293"/>
      <c r="R7528" s="316"/>
      <c r="S7528" s="355"/>
    </row>
    <row r="7529" spans="13:19" x14ac:dyDescent="0.25">
      <c r="M7529" s="514"/>
      <c r="Q7529" s="293"/>
      <c r="R7529" s="316"/>
      <c r="S7529" s="355"/>
    </row>
    <row r="7530" spans="13:19" x14ac:dyDescent="0.25">
      <c r="M7530" s="514"/>
      <c r="Q7530" s="293"/>
      <c r="R7530" s="316"/>
      <c r="S7530" s="355"/>
    </row>
    <row r="7531" spans="13:19" x14ac:dyDescent="0.25">
      <c r="M7531" s="514"/>
      <c r="Q7531" s="293"/>
      <c r="R7531" s="316"/>
      <c r="S7531" s="355"/>
    </row>
    <row r="7532" spans="13:19" x14ac:dyDescent="0.25">
      <c r="M7532" s="514"/>
      <c r="Q7532" s="293"/>
      <c r="R7532" s="316"/>
      <c r="S7532" s="355"/>
    </row>
    <row r="7533" spans="13:19" x14ac:dyDescent="0.25">
      <c r="M7533" s="514"/>
      <c r="Q7533" s="293"/>
      <c r="R7533" s="316"/>
      <c r="S7533" s="355"/>
    </row>
    <row r="7534" spans="13:19" x14ac:dyDescent="0.25">
      <c r="M7534" s="514"/>
      <c r="Q7534" s="293"/>
      <c r="R7534" s="316"/>
      <c r="S7534" s="355"/>
    </row>
    <row r="7535" spans="13:19" x14ac:dyDescent="0.25">
      <c r="M7535" s="514"/>
      <c r="Q7535" s="293"/>
      <c r="R7535" s="316"/>
      <c r="S7535" s="355"/>
    </row>
    <row r="7536" spans="13:19" x14ac:dyDescent="0.25">
      <c r="M7536" s="514"/>
      <c r="Q7536" s="293"/>
      <c r="R7536" s="316"/>
      <c r="S7536" s="355"/>
    </row>
    <row r="7537" spans="13:19" x14ac:dyDescent="0.25">
      <c r="M7537" s="514"/>
      <c r="Q7537" s="293"/>
      <c r="R7537" s="316"/>
      <c r="S7537" s="355"/>
    </row>
    <row r="7538" spans="13:19" x14ac:dyDescent="0.25">
      <c r="M7538" s="514"/>
      <c r="Q7538" s="293"/>
      <c r="R7538" s="316"/>
      <c r="S7538" s="355"/>
    </row>
    <row r="7539" spans="13:19" x14ac:dyDescent="0.25">
      <c r="M7539" s="514"/>
      <c r="Q7539" s="293"/>
      <c r="R7539" s="316"/>
      <c r="S7539" s="355"/>
    </row>
    <row r="7540" spans="13:19" x14ac:dyDescent="0.25">
      <c r="M7540" s="514"/>
      <c r="Q7540" s="293"/>
      <c r="R7540" s="316"/>
      <c r="S7540" s="355"/>
    </row>
    <row r="7541" spans="13:19" x14ac:dyDescent="0.25">
      <c r="M7541" s="514"/>
      <c r="Q7541" s="293"/>
      <c r="R7541" s="316"/>
      <c r="S7541" s="355"/>
    </row>
    <row r="7542" spans="13:19" x14ac:dyDescent="0.25">
      <c r="M7542" s="514"/>
      <c r="Q7542" s="293"/>
      <c r="R7542" s="316"/>
      <c r="S7542" s="355"/>
    </row>
    <row r="7543" spans="13:19" x14ac:dyDescent="0.25">
      <c r="M7543" s="514"/>
      <c r="Q7543" s="293"/>
      <c r="R7543" s="316"/>
      <c r="S7543" s="355"/>
    </row>
    <row r="7544" spans="13:19" x14ac:dyDescent="0.25">
      <c r="M7544" s="514"/>
      <c r="Q7544" s="293"/>
      <c r="R7544" s="316"/>
      <c r="S7544" s="355"/>
    </row>
    <row r="7545" spans="13:19" x14ac:dyDescent="0.25">
      <c r="M7545" s="514"/>
      <c r="Q7545" s="293"/>
      <c r="R7545" s="316"/>
      <c r="S7545" s="355"/>
    </row>
    <row r="7546" spans="13:19" x14ac:dyDescent="0.25">
      <c r="M7546" s="514"/>
      <c r="Q7546" s="293"/>
      <c r="R7546" s="316"/>
      <c r="S7546" s="355"/>
    </row>
    <row r="7547" spans="13:19" x14ac:dyDescent="0.25">
      <c r="M7547" s="514"/>
      <c r="Q7547" s="293"/>
      <c r="R7547" s="316"/>
      <c r="S7547" s="355"/>
    </row>
    <row r="7548" spans="13:19" x14ac:dyDescent="0.25">
      <c r="M7548" s="514"/>
      <c r="Q7548" s="293"/>
      <c r="R7548" s="316"/>
      <c r="S7548" s="355"/>
    </row>
    <row r="7549" spans="13:19" x14ac:dyDescent="0.25">
      <c r="M7549" s="514"/>
      <c r="Q7549" s="293"/>
      <c r="R7549" s="316"/>
      <c r="S7549" s="355"/>
    </row>
    <row r="7550" spans="13:19" x14ac:dyDescent="0.25">
      <c r="M7550" s="514"/>
      <c r="Q7550" s="293"/>
      <c r="R7550" s="316"/>
      <c r="S7550" s="355"/>
    </row>
    <row r="7551" spans="13:19" x14ac:dyDescent="0.25">
      <c r="M7551" s="514"/>
      <c r="Q7551" s="293"/>
      <c r="R7551" s="316"/>
      <c r="S7551" s="355"/>
    </row>
    <row r="7552" spans="13:19" x14ac:dyDescent="0.25">
      <c r="M7552" s="514"/>
      <c r="Q7552" s="293"/>
      <c r="R7552" s="316"/>
      <c r="S7552" s="355"/>
    </row>
    <row r="7553" spans="13:19" x14ac:dyDescent="0.25">
      <c r="M7553" s="514"/>
      <c r="Q7553" s="293"/>
      <c r="R7553" s="316"/>
      <c r="S7553" s="355"/>
    </row>
    <row r="7554" spans="13:19" x14ac:dyDescent="0.25">
      <c r="M7554" s="514"/>
      <c r="Q7554" s="293"/>
      <c r="R7554" s="316"/>
      <c r="S7554" s="355"/>
    </row>
    <row r="7555" spans="13:19" x14ac:dyDescent="0.25">
      <c r="M7555" s="514"/>
      <c r="Q7555" s="293"/>
      <c r="R7555" s="316"/>
      <c r="S7555" s="355"/>
    </row>
    <row r="7556" spans="13:19" x14ac:dyDescent="0.25">
      <c r="M7556" s="514"/>
      <c r="Q7556" s="293"/>
      <c r="R7556" s="316"/>
      <c r="S7556" s="355"/>
    </row>
    <row r="7557" spans="13:19" x14ac:dyDescent="0.25">
      <c r="M7557" s="514"/>
      <c r="Q7557" s="293"/>
      <c r="R7557" s="316"/>
      <c r="S7557" s="355"/>
    </row>
    <row r="7558" spans="13:19" x14ac:dyDescent="0.25">
      <c r="M7558" s="514"/>
      <c r="Q7558" s="293"/>
      <c r="R7558" s="316"/>
      <c r="S7558" s="355"/>
    </row>
    <row r="7559" spans="13:19" x14ac:dyDescent="0.25">
      <c r="M7559" s="514"/>
      <c r="Q7559" s="293"/>
      <c r="R7559" s="316"/>
      <c r="S7559" s="355"/>
    </row>
    <row r="7560" spans="13:19" x14ac:dyDescent="0.25">
      <c r="M7560" s="514"/>
      <c r="Q7560" s="293"/>
      <c r="R7560" s="316"/>
      <c r="S7560" s="355"/>
    </row>
    <row r="7561" spans="13:19" x14ac:dyDescent="0.25">
      <c r="M7561" s="514"/>
      <c r="Q7561" s="293"/>
      <c r="R7561" s="316"/>
      <c r="S7561" s="355"/>
    </row>
    <row r="7562" spans="13:19" x14ac:dyDescent="0.25">
      <c r="M7562" s="514"/>
      <c r="Q7562" s="293"/>
      <c r="R7562" s="316"/>
      <c r="S7562" s="355"/>
    </row>
    <row r="7563" spans="13:19" x14ac:dyDescent="0.25">
      <c r="M7563" s="514"/>
      <c r="Q7563" s="293"/>
      <c r="R7563" s="316"/>
      <c r="S7563" s="355"/>
    </row>
    <row r="7564" spans="13:19" x14ac:dyDescent="0.25">
      <c r="M7564" s="514"/>
      <c r="Q7564" s="293"/>
      <c r="R7564" s="316"/>
      <c r="S7564" s="355"/>
    </row>
    <row r="7565" spans="13:19" x14ac:dyDescent="0.25">
      <c r="M7565" s="514"/>
      <c r="Q7565" s="293"/>
      <c r="R7565" s="316"/>
      <c r="S7565" s="355"/>
    </row>
    <row r="7566" spans="13:19" x14ac:dyDescent="0.25">
      <c r="M7566" s="514"/>
      <c r="Q7566" s="293"/>
      <c r="R7566" s="316"/>
      <c r="S7566" s="355"/>
    </row>
    <row r="7567" spans="13:19" x14ac:dyDescent="0.25">
      <c r="M7567" s="514"/>
      <c r="Q7567" s="293"/>
      <c r="R7567" s="316"/>
      <c r="S7567" s="355"/>
    </row>
    <row r="7568" spans="13:19" x14ac:dyDescent="0.25">
      <c r="M7568" s="514"/>
      <c r="Q7568" s="293"/>
      <c r="R7568" s="316"/>
      <c r="S7568" s="355"/>
    </row>
    <row r="7569" spans="13:19" x14ac:dyDescent="0.25">
      <c r="M7569" s="514"/>
      <c r="Q7569" s="293"/>
      <c r="R7569" s="316"/>
      <c r="S7569" s="355"/>
    </row>
    <row r="7570" spans="13:19" x14ac:dyDescent="0.25">
      <c r="M7570" s="514"/>
      <c r="Q7570" s="293"/>
      <c r="R7570" s="316"/>
      <c r="S7570" s="355"/>
    </row>
    <row r="7571" spans="13:19" x14ac:dyDescent="0.25">
      <c r="M7571" s="514"/>
      <c r="Q7571" s="293"/>
      <c r="R7571" s="316"/>
      <c r="S7571" s="355"/>
    </row>
    <row r="7572" spans="13:19" x14ac:dyDescent="0.25">
      <c r="M7572" s="514"/>
      <c r="Q7572" s="293"/>
      <c r="R7572" s="316"/>
      <c r="S7572" s="355"/>
    </row>
    <row r="7573" spans="13:19" x14ac:dyDescent="0.25">
      <c r="M7573" s="514"/>
      <c r="Q7573" s="293"/>
      <c r="R7573" s="316"/>
      <c r="S7573" s="355"/>
    </row>
    <row r="7574" spans="13:19" x14ac:dyDescent="0.25">
      <c r="M7574" s="514"/>
      <c r="Q7574" s="293"/>
      <c r="R7574" s="316"/>
      <c r="S7574" s="355"/>
    </row>
    <row r="7575" spans="13:19" x14ac:dyDescent="0.25">
      <c r="M7575" s="514"/>
      <c r="Q7575" s="293"/>
      <c r="R7575" s="316"/>
      <c r="S7575" s="355"/>
    </row>
    <row r="7576" spans="13:19" x14ac:dyDescent="0.25">
      <c r="M7576" s="514"/>
      <c r="Q7576" s="293"/>
      <c r="R7576" s="316"/>
      <c r="S7576" s="355"/>
    </row>
    <row r="7577" spans="13:19" x14ac:dyDescent="0.25">
      <c r="M7577" s="514"/>
      <c r="Q7577" s="293"/>
      <c r="R7577" s="316"/>
      <c r="S7577" s="355"/>
    </row>
    <row r="7578" spans="13:19" x14ac:dyDescent="0.25">
      <c r="M7578" s="514"/>
      <c r="Q7578" s="293"/>
      <c r="R7578" s="316"/>
      <c r="S7578" s="355"/>
    </row>
    <row r="7579" spans="13:19" x14ac:dyDescent="0.25">
      <c r="M7579" s="514"/>
      <c r="Q7579" s="293"/>
      <c r="R7579" s="316"/>
      <c r="S7579" s="355"/>
    </row>
    <row r="7580" spans="13:19" x14ac:dyDescent="0.25">
      <c r="M7580" s="514"/>
      <c r="Q7580" s="293"/>
      <c r="R7580" s="316"/>
      <c r="S7580" s="355"/>
    </row>
    <row r="7581" spans="13:19" x14ac:dyDescent="0.25">
      <c r="M7581" s="514"/>
      <c r="Q7581" s="293"/>
      <c r="R7581" s="316"/>
      <c r="S7581" s="355"/>
    </row>
    <row r="7582" spans="13:19" x14ac:dyDescent="0.25">
      <c r="M7582" s="514"/>
      <c r="Q7582" s="293"/>
      <c r="R7582" s="316"/>
      <c r="S7582" s="355"/>
    </row>
    <row r="7583" spans="13:19" x14ac:dyDescent="0.25">
      <c r="M7583" s="514"/>
      <c r="Q7583" s="293"/>
      <c r="R7583" s="316"/>
      <c r="S7583" s="355"/>
    </row>
    <row r="7584" spans="13:19" x14ac:dyDescent="0.25">
      <c r="M7584" s="514"/>
      <c r="Q7584" s="293"/>
      <c r="R7584" s="316"/>
      <c r="S7584" s="355"/>
    </row>
    <row r="7585" spans="13:19" x14ac:dyDescent="0.25">
      <c r="M7585" s="514"/>
      <c r="Q7585" s="293"/>
      <c r="R7585" s="316"/>
      <c r="S7585" s="355"/>
    </row>
    <row r="7586" spans="13:19" x14ac:dyDescent="0.25">
      <c r="M7586" s="514"/>
      <c r="Q7586" s="293"/>
      <c r="R7586" s="316"/>
      <c r="S7586" s="355"/>
    </row>
    <row r="7587" spans="13:19" x14ac:dyDescent="0.25">
      <c r="M7587" s="514"/>
      <c r="Q7587" s="293"/>
      <c r="R7587" s="316"/>
      <c r="S7587" s="355"/>
    </row>
    <row r="7588" spans="13:19" x14ac:dyDescent="0.25">
      <c r="M7588" s="514"/>
      <c r="Q7588" s="293"/>
      <c r="R7588" s="316"/>
      <c r="S7588" s="355"/>
    </row>
    <row r="7589" spans="13:19" x14ac:dyDescent="0.25">
      <c r="M7589" s="514"/>
      <c r="Q7589" s="293"/>
      <c r="R7589" s="316"/>
      <c r="S7589" s="355"/>
    </row>
    <row r="7590" spans="13:19" x14ac:dyDescent="0.25">
      <c r="M7590" s="514"/>
      <c r="Q7590" s="293"/>
      <c r="R7590" s="316"/>
      <c r="S7590" s="355"/>
    </row>
    <row r="7591" spans="13:19" x14ac:dyDescent="0.25">
      <c r="M7591" s="514"/>
      <c r="Q7591" s="293"/>
      <c r="R7591" s="316"/>
      <c r="S7591" s="355"/>
    </row>
    <row r="7592" spans="13:19" x14ac:dyDescent="0.25">
      <c r="M7592" s="514"/>
      <c r="Q7592" s="293"/>
      <c r="R7592" s="316"/>
      <c r="S7592" s="355"/>
    </row>
    <row r="7593" spans="13:19" x14ac:dyDescent="0.25">
      <c r="M7593" s="514"/>
      <c r="Q7593" s="293"/>
      <c r="R7593" s="316"/>
      <c r="S7593" s="355"/>
    </row>
    <row r="7594" spans="13:19" x14ac:dyDescent="0.25">
      <c r="M7594" s="514"/>
      <c r="Q7594" s="293"/>
      <c r="R7594" s="316"/>
      <c r="S7594" s="355"/>
    </row>
    <row r="7595" spans="13:19" x14ac:dyDescent="0.25">
      <c r="M7595" s="514"/>
      <c r="Q7595" s="293"/>
      <c r="R7595" s="316"/>
      <c r="S7595" s="355"/>
    </row>
    <row r="7596" spans="13:19" x14ac:dyDescent="0.25">
      <c r="M7596" s="514"/>
      <c r="Q7596" s="293"/>
      <c r="R7596" s="316"/>
      <c r="S7596" s="355"/>
    </row>
    <row r="7597" spans="13:19" x14ac:dyDescent="0.25">
      <c r="M7597" s="514"/>
      <c r="Q7597" s="293"/>
      <c r="R7597" s="316"/>
      <c r="S7597" s="355"/>
    </row>
    <row r="7598" spans="13:19" x14ac:dyDescent="0.25">
      <c r="M7598" s="514"/>
      <c r="Q7598" s="293"/>
      <c r="R7598" s="316"/>
      <c r="S7598" s="355"/>
    </row>
    <row r="7599" spans="13:19" x14ac:dyDescent="0.25">
      <c r="M7599" s="514"/>
      <c r="Q7599" s="293"/>
      <c r="R7599" s="316"/>
      <c r="S7599" s="355"/>
    </row>
    <row r="7600" spans="13:19" x14ac:dyDescent="0.25">
      <c r="M7600" s="514"/>
      <c r="Q7600" s="293"/>
      <c r="R7600" s="316"/>
      <c r="S7600" s="355"/>
    </row>
    <row r="7601" spans="13:19" x14ac:dyDescent="0.25">
      <c r="M7601" s="514"/>
      <c r="Q7601" s="293"/>
      <c r="R7601" s="316"/>
      <c r="S7601" s="355"/>
    </row>
    <row r="7602" spans="13:19" x14ac:dyDescent="0.25">
      <c r="M7602" s="514"/>
      <c r="Q7602" s="293"/>
      <c r="R7602" s="316"/>
      <c r="S7602" s="355"/>
    </row>
    <row r="7603" spans="13:19" x14ac:dyDescent="0.25">
      <c r="M7603" s="514"/>
      <c r="Q7603" s="293"/>
      <c r="R7603" s="316"/>
      <c r="S7603" s="355"/>
    </row>
    <row r="7604" spans="13:19" x14ac:dyDescent="0.25">
      <c r="M7604" s="514"/>
      <c r="Q7604" s="293"/>
      <c r="R7604" s="316"/>
      <c r="S7604" s="355"/>
    </row>
    <row r="7605" spans="13:19" x14ac:dyDescent="0.25">
      <c r="M7605" s="514"/>
      <c r="Q7605" s="293"/>
      <c r="R7605" s="316"/>
      <c r="S7605" s="355"/>
    </row>
    <row r="7606" spans="13:19" x14ac:dyDescent="0.25">
      <c r="M7606" s="514"/>
      <c r="Q7606" s="293"/>
      <c r="R7606" s="316"/>
      <c r="S7606" s="355"/>
    </row>
    <row r="7607" spans="13:19" x14ac:dyDescent="0.25">
      <c r="M7607" s="514"/>
      <c r="Q7607" s="293"/>
      <c r="R7607" s="316"/>
      <c r="S7607" s="355"/>
    </row>
    <row r="7608" spans="13:19" x14ac:dyDescent="0.25">
      <c r="M7608" s="514"/>
      <c r="Q7608" s="293"/>
      <c r="R7608" s="316"/>
      <c r="S7608" s="355"/>
    </row>
    <row r="7609" spans="13:19" x14ac:dyDescent="0.25">
      <c r="M7609" s="514"/>
      <c r="Q7609" s="293"/>
      <c r="R7609" s="316"/>
      <c r="S7609" s="355"/>
    </row>
    <row r="7610" spans="13:19" x14ac:dyDescent="0.25">
      <c r="M7610" s="514"/>
      <c r="Q7610" s="293"/>
      <c r="R7610" s="316"/>
      <c r="S7610" s="355"/>
    </row>
    <row r="7611" spans="13:19" x14ac:dyDescent="0.25">
      <c r="M7611" s="514"/>
      <c r="Q7611" s="293"/>
      <c r="R7611" s="316"/>
      <c r="S7611" s="355"/>
    </row>
    <row r="7612" spans="13:19" x14ac:dyDescent="0.25">
      <c r="M7612" s="514"/>
      <c r="Q7612" s="293"/>
      <c r="R7612" s="316"/>
      <c r="S7612" s="355"/>
    </row>
    <row r="7613" spans="13:19" x14ac:dyDescent="0.25">
      <c r="M7613" s="514"/>
      <c r="Q7613" s="293"/>
      <c r="R7613" s="316"/>
      <c r="S7613" s="355"/>
    </row>
    <row r="7614" spans="13:19" x14ac:dyDescent="0.25">
      <c r="M7614" s="514"/>
      <c r="Q7614" s="293"/>
      <c r="R7614" s="316"/>
      <c r="S7614" s="355"/>
    </row>
    <row r="7615" spans="13:19" x14ac:dyDescent="0.25">
      <c r="M7615" s="514"/>
      <c r="Q7615" s="293"/>
      <c r="R7615" s="316"/>
      <c r="S7615" s="355"/>
    </row>
    <row r="7616" spans="13:19" x14ac:dyDescent="0.25">
      <c r="M7616" s="514"/>
      <c r="Q7616" s="293"/>
      <c r="R7616" s="316"/>
      <c r="S7616" s="355"/>
    </row>
    <row r="7617" spans="13:19" x14ac:dyDescent="0.25">
      <c r="M7617" s="514"/>
      <c r="Q7617" s="293"/>
      <c r="R7617" s="316"/>
      <c r="S7617" s="355"/>
    </row>
    <row r="7618" spans="13:19" x14ac:dyDescent="0.25">
      <c r="M7618" s="514"/>
      <c r="Q7618" s="293"/>
      <c r="R7618" s="316"/>
      <c r="S7618" s="355"/>
    </row>
    <row r="7619" spans="13:19" x14ac:dyDescent="0.25">
      <c r="M7619" s="514"/>
      <c r="Q7619" s="293"/>
      <c r="R7619" s="316"/>
      <c r="S7619" s="355"/>
    </row>
    <row r="7620" spans="13:19" x14ac:dyDescent="0.25">
      <c r="M7620" s="514"/>
      <c r="Q7620" s="293"/>
      <c r="R7620" s="316"/>
      <c r="S7620" s="355"/>
    </row>
    <row r="7621" spans="13:19" x14ac:dyDescent="0.25">
      <c r="M7621" s="514"/>
      <c r="Q7621" s="293"/>
      <c r="R7621" s="316"/>
      <c r="S7621" s="355"/>
    </row>
    <row r="7622" spans="13:19" x14ac:dyDescent="0.25">
      <c r="M7622" s="514"/>
      <c r="Q7622" s="293"/>
      <c r="R7622" s="316"/>
      <c r="S7622" s="355"/>
    </row>
    <row r="7623" spans="13:19" x14ac:dyDescent="0.25">
      <c r="M7623" s="514"/>
      <c r="Q7623" s="293"/>
      <c r="R7623" s="316"/>
      <c r="S7623" s="355"/>
    </row>
    <row r="7624" spans="13:19" x14ac:dyDescent="0.25">
      <c r="M7624" s="514"/>
      <c r="Q7624" s="293"/>
      <c r="R7624" s="316"/>
      <c r="S7624" s="355"/>
    </row>
    <row r="7625" spans="13:19" x14ac:dyDescent="0.25">
      <c r="M7625" s="514"/>
      <c r="Q7625" s="293"/>
      <c r="R7625" s="316"/>
      <c r="S7625" s="355"/>
    </row>
    <row r="7626" spans="13:19" x14ac:dyDescent="0.25">
      <c r="M7626" s="514"/>
      <c r="Q7626" s="293"/>
      <c r="R7626" s="316"/>
      <c r="S7626" s="355"/>
    </row>
    <row r="7627" spans="13:19" x14ac:dyDescent="0.25">
      <c r="M7627" s="514"/>
      <c r="Q7627" s="293"/>
      <c r="R7627" s="316"/>
      <c r="S7627" s="355"/>
    </row>
    <row r="7628" spans="13:19" x14ac:dyDescent="0.25">
      <c r="M7628" s="514"/>
      <c r="Q7628" s="293"/>
      <c r="R7628" s="316"/>
      <c r="S7628" s="355"/>
    </row>
    <row r="7629" spans="13:19" x14ac:dyDescent="0.25">
      <c r="M7629" s="514"/>
      <c r="Q7629" s="293"/>
      <c r="R7629" s="316"/>
      <c r="S7629" s="355"/>
    </row>
    <row r="7630" spans="13:19" x14ac:dyDescent="0.25">
      <c r="M7630" s="514"/>
      <c r="Q7630" s="293"/>
      <c r="R7630" s="316"/>
      <c r="S7630" s="355"/>
    </row>
    <row r="7631" spans="13:19" x14ac:dyDescent="0.25">
      <c r="M7631" s="514"/>
      <c r="Q7631" s="293"/>
      <c r="R7631" s="316"/>
      <c r="S7631" s="355"/>
    </row>
    <row r="7632" spans="13:19" x14ac:dyDescent="0.25">
      <c r="M7632" s="514"/>
      <c r="Q7632" s="293"/>
      <c r="R7632" s="316"/>
      <c r="S7632" s="355"/>
    </row>
    <row r="7633" spans="13:19" x14ac:dyDescent="0.25">
      <c r="M7633" s="514"/>
      <c r="Q7633" s="293"/>
      <c r="R7633" s="316"/>
      <c r="S7633" s="355"/>
    </row>
    <row r="7634" spans="13:19" x14ac:dyDescent="0.25">
      <c r="M7634" s="514"/>
      <c r="Q7634" s="293"/>
      <c r="R7634" s="316"/>
      <c r="S7634" s="355"/>
    </row>
    <row r="7635" spans="13:19" x14ac:dyDescent="0.25">
      <c r="M7635" s="514"/>
      <c r="Q7635" s="293"/>
      <c r="R7635" s="316"/>
      <c r="S7635" s="355"/>
    </row>
    <row r="7636" spans="13:19" x14ac:dyDescent="0.25">
      <c r="M7636" s="514"/>
      <c r="Q7636" s="293"/>
      <c r="R7636" s="316"/>
      <c r="S7636" s="355"/>
    </row>
    <row r="7637" spans="13:19" x14ac:dyDescent="0.25">
      <c r="M7637" s="514"/>
      <c r="Q7637" s="293"/>
      <c r="R7637" s="316"/>
      <c r="S7637" s="355"/>
    </row>
    <row r="7638" spans="13:19" x14ac:dyDescent="0.25">
      <c r="M7638" s="514"/>
      <c r="Q7638" s="293"/>
      <c r="R7638" s="316"/>
      <c r="S7638" s="355"/>
    </row>
    <row r="7639" spans="13:19" x14ac:dyDescent="0.25">
      <c r="M7639" s="514"/>
      <c r="Q7639" s="293"/>
      <c r="R7639" s="316"/>
      <c r="S7639" s="355"/>
    </row>
    <row r="7640" spans="13:19" x14ac:dyDescent="0.25">
      <c r="M7640" s="514"/>
      <c r="Q7640" s="293"/>
      <c r="R7640" s="316"/>
      <c r="S7640" s="355"/>
    </row>
    <row r="7641" spans="13:19" x14ac:dyDescent="0.25">
      <c r="M7641" s="514"/>
      <c r="Q7641" s="293"/>
      <c r="R7641" s="316"/>
      <c r="S7641" s="355"/>
    </row>
    <row r="7642" spans="13:19" x14ac:dyDescent="0.25">
      <c r="M7642" s="514"/>
      <c r="Q7642" s="293"/>
      <c r="R7642" s="316"/>
      <c r="S7642" s="355"/>
    </row>
    <row r="7643" spans="13:19" x14ac:dyDescent="0.25">
      <c r="M7643" s="514"/>
      <c r="Q7643" s="293"/>
      <c r="R7643" s="316"/>
      <c r="S7643" s="355"/>
    </row>
    <row r="7644" spans="13:19" x14ac:dyDescent="0.25">
      <c r="M7644" s="514"/>
      <c r="Q7644" s="293"/>
      <c r="R7644" s="316"/>
      <c r="S7644" s="355"/>
    </row>
    <row r="7645" spans="13:19" x14ac:dyDescent="0.25">
      <c r="M7645" s="514"/>
      <c r="Q7645" s="293"/>
      <c r="R7645" s="316"/>
      <c r="S7645" s="355"/>
    </row>
    <row r="7646" spans="13:19" x14ac:dyDescent="0.25">
      <c r="M7646" s="514"/>
      <c r="Q7646" s="293"/>
      <c r="R7646" s="316"/>
      <c r="S7646" s="355"/>
    </row>
    <row r="7647" spans="13:19" x14ac:dyDescent="0.25">
      <c r="M7647" s="514"/>
      <c r="Q7647" s="293"/>
      <c r="R7647" s="316"/>
      <c r="S7647" s="355"/>
    </row>
    <row r="7648" spans="13:19" x14ac:dyDescent="0.25">
      <c r="M7648" s="514"/>
      <c r="Q7648" s="293"/>
      <c r="R7648" s="316"/>
      <c r="S7648" s="355"/>
    </row>
    <row r="7649" spans="13:19" x14ac:dyDescent="0.25">
      <c r="M7649" s="514"/>
      <c r="Q7649" s="293"/>
      <c r="R7649" s="316"/>
      <c r="S7649" s="355"/>
    </row>
    <row r="7650" spans="13:19" x14ac:dyDescent="0.25">
      <c r="M7650" s="514"/>
      <c r="Q7650" s="293"/>
      <c r="R7650" s="316"/>
      <c r="S7650" s="355"/>
    </row>
    <row r="7651" spans="13:19" x14ac:dyDescent="0.25">
      <c r="M7651" s="514"/>
      <c r="Q7651" s="293"/>
      <c r="R7651" s="316"/>
      <c r="S7651" s="355"/>
    </row>
    <row r="7652" spans="13:19" x14ac:dyDescent="0.25">
      <c r="M7652" s="514"/>
      <c r="Q7652" s="293"/>
      <c r="R7652" s="316"/>
      <c r="S7652" s="355"/>
    </row>
    <row r="7653" spans="13:19" x14ac:dyDescent="0.25">
      <c r="M7653" s="514"/>
      <c r="Q7653" s="293"/>
      <c r="R7653" s="316"/>
      <c r="S7653" s="355"/>
    </row>
    <row r="7654" spans="13:19" x14ac:dyDescent="0.25">
      <c r="M7654" s="514"/>
      <c r="Q7654" s="293"/>
      <c r="R7654" s="316"/>
      <c r="S7654" s="355"/>
    </row>
    <row r="7655" spans="13:19" x14ac:dyDescent="0.25">
      <c r="M7655" s="514"/>
      <c r="Q7655" s="293"/>
      <c r="R7655" s="316"/>
      <c r="S7655" s="355"/>
    </row>
    <row r="7656" spans="13:19" x14ac:dyDescent="0.25">
      <c r="M7656" s="514"/>
      <c r="Q7656" s="293"/>
      <c r="R7656" s="316"/>
      <c r="S7656" s="355"/>
    </row>
    <row r="7657" spans="13:19" x14ac:dyDescent="0.25">
      <c r="M7657" s="514"/>
      <c r="Q7657" s="293"/>
      <c r="R7657" s="316"/>
      <c r="S7657" s="355"/>
    </row>
    <row r="7658" spans="13:19" x14ac:dyDescent="0.25">
      <c r="M7658" s="514"/>
      <c r="Q7658" s="293"/>
      <c r="R7658" s="316"/>
      <c r="S7658" s="355"/>
    </row>
    <row r="7659" spans="13:19" x14ac:dyDescent="0.25">
      <c r="M7659" s="514"/>
      <c r="Q7659" s="293"/>
      <c r="R7659" s="316"/>
      <c r="S7659" s="355"/>
    </row>
    <row r="7660" spans="13:19" x14ac:dyDescent="0.25">
      <c r="M7660" s="514"/>
      <c r="Q7660" s="293"/>
      <c r="R7660" s="316"/>
      <c r="S7660" s="355"/>
    </row>
    <row r="7661" spans="13:19" x14ac:dyDescent="0.25">
      <c r="M7661" s="514"/>
      <c r="Q7661" s="293"/>
      <c r="R7661" s="316"/>
      <c r="S7661" s="355"/>
    </row>
    <row r="7662" spans="13:19" x14ac:dyDescent="0.25">
      <c r="M7662" s="514"/>
      <c r="Q7662" s="293"/>
      <c r="R7662" s="316"/>
      <c r="S7662" s="355"/>
    </row>
    <row r="7663" spans="13:19" x14ac:dyDescent="0.25">
      <c r="M7663" s="514"/>
      <c r="Q7663" s="293"/>
      <c r="R7663" s="316"/>
      <c r="S7663" s="355"/>
    </row>
    <row r="7664" spans="13:19" x14ac:dyDescent="0.25">
      <c r="M7664" s="514"/>
      <c r="Q7664" s="293"/>
      <c r="R7664" s="316"/>
      <c r="S7664" s="355"/>
    </row>
    <row r="7665" spans="13:19" x14ac:dyDescent="0.25">
      <c r="M7665" s="514"/>
      <c r="Q7665" s="293"/>
      <c r="R7665" s="316"/>
      <c r="S7665" s="355"/>
    </row>
    <row r="7666" spans="13:19" x14ac:dyDescent="0.25">
      <c r="M7666" s="514"/>
      <c r="Q7666" s="293"/>
      <c r="R7666" s="316"/>
      <c r="S7666" s="355"/>
    </row>
    <row r="7667" spans="13:19" x14ac:dyDescent="0.25">
      <c r="M7667" s="514"/>
      <c r="Q7667" s="293"/>
      <c r="R7667" s="316"/>
      <c r="S7667" s="355"/>
    </row>
    <row r="7668" spans="13:19" x14ac:dyDescent="0.25">
      <c r="M7668" s="514"/>
      <c r="Q7668" s="293"/>
      <c r="R7668" s="316"/>
      <c r="S7668" s="355"/>
    </row>
    <row r="7669" spans="13:19" x14ac:dyDescent="0.25">
      <c r="M7669" s="514"/>
      <c r="Q7669" s="293"/>
      <c r="R7669" s="316"/>
      <c r="S7669" s="355"/>
    </row>
    <row r="7670" spans="13:19" x14ac:dyDescent="0.25">
      <c r="M7670" s="514"/>
      <c r="Q7670" s="293"/>
      <c r="R7670" s="316"/>
      <c r="S7670" s="355"/>
    </row>
    <row r="7671" spans="13:19" x14ac:dyDescent="0.25">
      <c r="M7671" s="514"/>
      <c r="Q7671" s="293"/>
      <c r="R7671" s="316"/>
      <c r="S7671" s="355"/>
    </row>
    <row r="7672" spans="13:19" x14ac:dyDescent="0.25">
      <c r="M7672" s="514"/>
      <c r="Q7672" s="293"/>
      <c r="R7672" s="316"/>
      <c r="S7672" s="355"/>
    </row>
    <row r="7673" spans="13:19" x14ac:dyDescent="0.25">
      <c r="M7673" s="514"/>
      <c r="Q7673" s="293"/>
      <c r="R7673" s="316"/>
      <c r="S7673" s="355"/>
    </row>
    <row r="7674" spans="13:19" x14ac:dyDescent="0.25">
      <c r="M7674" s="514"/>
      <c r="Q7674" s="293"/>
      <c r="R7674" s="316"/>
      <c r="S7674" s="355"/>
    </row>
    <row r="7675" spans="13:19" x14ac:dyDescent="0.25">
      <c r="M7675" s="514"/>
      <c r="Q7675" s="293"/>
      <c r="R7675" s="316"/>
      <c r="S7675" s="355"/>
    </row>
    <row r="7676" spans="13:19" x14ac:dyDescent="0.25">
      <c r="M7676" s="514"/>
      <c r="Q7676" s="293"/>
      <c r="R7676" s="316"/>
      <c r="S7676" s="355"/>
    </row>
    <row r="7677" spans="13:19" x14ac:dyDescent="0.25">
      <c r="M7677" s="514"/>
      <c r="Q7677" s="293"/>
      <c r="R7677" s="316"/>
      <c r="S7677" s="355"/>
    </row>
    <row r="7678" spans="13:19" x14ac:dyDescent="0.25">
      <c r="M7678" s="514"/>
      <c r="Q7678" s="293"/>
      <c r="R7678" s="316"/>
      <c r="S7678" s="355"/>
    </row>
    <row r="7679" spans="13:19" x14ac:dyDescent="0.25">
      <c r="M7679" s="514"/>
      <c r="Q7679" s="293"/>
      <c r="R7679" s="316"/>
      <c r="S7679" s="355"/>
    </row>
    <row r="7680" spans="13:19" x14ac:dyDescent="0.25">
      <c r="M7680" s="514"/>
      <c r="Q7680" s="293"/>
      <c r="R7680" s="316"/>
      <c r="S7680" s="355"/>
    </row>
    <row r="7681" spans="13:19" x14ac:dyDescent="0.25">
      <c r="M7681" s="514"/>
      <c r="Q7681" s="293"/>
      <c r="R7681" s="316"/>
      <c r="S7681" s="355"/>
    </row>
    <row r="7682" spans="13:19" x14ac:dyDescent="0.25">
      <c r="M7682" s="514"/>
      <c r="Q7682" s="293"/>
      <c r="R7682" s="316"/>
      <c r="S7682" s="355"/>
    </row>
    <row r="7683" spans="13:19" x14ac:dyDescent="0.25">
      <c r="M7683" s="514"/>
      <c r="Q7683" s="293"/>
      <c r="R7683" s="316"/>
      <c r="S7683" s="355"/>
    </row>
    <row r="7684" spans="13:19" x14ac:dyDescent="0.25">
      <c r="M7684" s="514"/>
      <c r="Q7684" s="293"/>
      <c r="R7684" s="316"/>
      <c r="S7684" s="355"/>
    </row>
    <row r="7685" spans="13:19" x14ac:dyDescent="0.25">
      <c r="M7685" s="514"/>
      <c r="Q7685" s="293"/>
      <c r="R7685" s="316"/>
      <c r="S7685" s="355"/>
    </row>
    <row r="7686" spans="13:19" x14ac:dyDescent="0.25">
      <c r="M7686" s="514"/>
      <c r="Q7686" s="293"/>
      <c r="R7686" s="316"/>
      <c r="S7686" s="355"/>
    </row>
    <row r="7687" spans="13:19" x14ac:dyDescent="0.25">
      <c r="M7687" s="514"/>
      <c r="Q7687" s="293"/>
      <c r="R7687" s="316"/>
      <c r="S7687" s="355"/>
    </row>
    <row r="7688" spans="13:19" x14ac:dyDescent="0.25">
      <c r="M7688" s="514"/>
      <c r="Q7688" s="293"/>
      <c r="R7688" s="316"/>
      <c r="S7688" s="355"/>
    </row>
    <row r="7689" spans="13:19" x14ac:dyDescent="0.25">
      <c r="M7689" s="514"/>
      <c r="Q7689" s="293"/>
      <c r="R7689" s="316"/>
      <c r="S7689" s="355"/>
    </row>
    <row r="7690" spans="13:19" x14ac:dyDescent="0.25">
      <c r="M7690" s="514"/>
      <c r="Q7690" s="293"/>
      <c r="R7690" s="316"/>
      <c r="S7690" s="355"/>
    </row>
    <row r="7691" spans="13:19" x14ac:dyDescent="0.25">
      <c r="M7691" s="514"/>
      <c r="Q7691" s="293"/>
      <c r="R7691" s="316"/>
      <c r="S7691" s="355"/>
    </row>
    <row r="7692" spans="13:19" x14ac:dyDescent="0.25">
      <c r="M7692" s="514"/>
      <c r="Q7692" s="293"/>
      <c r="R7692" s="316"/>
      <c r="S7692" s="355"/>
    </row>
    <row r="7693" spans="13:19" x14ac:dyDescent="0.25">
      <c r="M7693" s="514"/>
      <c r="Q7693" s="293"/>
      <c r="R7693" s="316"/>
      <c r="S7693" s="355"/>
    </row>
    <row r="7694" spans="13:19" x14ac:dyDescent="0.25">
      <c r="M7694" s="514"/>
      <c r="Q7694" s="293"/>
      <c r="R7694" s="316"/>
      <c r="S7694" s="355"/>
    </row>
    <row r="7695" spans="13:19" x14ac:dyDescent="0.25">
      <c r="M7695" s="514"/>
      <c r="Q7695" s="293"/>
      <c r="R7695" s="316"/>
      <c r="S7695" s="355"/>
    </row>
    <row r="7696" spans="13:19" x14ac:dyDescent="0.25">
      <c r="M7696" s="514"/>
      <c r="Q7696" s="293"/>
      <c r="R7696" s="316"/>
      <c r="S7696" s="355"/>
    </row>
    <row r="7697" spans="13:19" x14ac:dyDescent="0.25">
      <c r="M7697" s="514"/>
      <c r="Q7697" s="293"/>
      <c r="R7697" s="316"/>
      <c r="S7697" s="355"/>
    </row>
    <row r="7698" spans="13:19" x14ac:dyDescent="0.25">
      <c r="M7698" s="514"/>
      <c r="Q7698" s="293"/>
      <c r="R7698" s="316"/>
      <c r="S7698" s="355"/>
    </row>
    <row r="7699" spans="13:19" x14ac:dyDescent="0.25">
      <c r="M7699" s="514"/>
      <c r="Q7699" s="293"/>
      <c r="R7699" s="316"/>
      <c r="S7699" s="355"/>
    </row>
    <row r="7700" spans="13:19" x14ac:dyDescent="0.25">
      <c r="M7700" s="514"/>
      <c r="Q7700" s="293"/>
      <c r="R7700" s="316"/>
      <c r="S7700" s="355"/>
    </row>
    <row r="7701" spans="13:19" x14ac:dyDescent="0.25">
      <c r="M7701" s="514"/>
      <c r="Q7701" s="293"/>
      <c r="R7701" s="316"/>
      <c r="S7701" s="355"/>
    </row>
    <row r="7702" spans="13:19" x14ac:dyDescent="0.25">
      <c r="M7702" s="514"/>
      <c r="Q7702" s="293"/>
      <c r="R7702" s="316"/>
      <c r="S7702" s="355"/>
    </row>
    <row r="7703" spans="13:19" x14ac:dyDescent="0.25">
      <c r="M7703" s="514"/>
      <c r="Q7703" s="293"/>
      <c r="R7703" s="316"/>
      <c r="S7703" s="355"/>
    </row>
    <row r="7704" spans="13:19" x14ac:dyDescent="0.25">
      <c r="M7704" s="514"/>
      <c r="Q7704" s="293"/>
      <c r="R7704" s="316"/>
      <c r="S7704" s="355"/>
    </row>
    <row r="7705" spans="13:19" x14ac:dyDescent="0.25">
      <c r="M7705" s="514"/>
      <c r="Q7705" s="293"/>
      <c r="R7705" s="316"/>
      <c r="S7705" s="355"/>
    </row>
    <row r="7706" spans="13:19" x14ac:dyDescent="0.25">
      <c r="M7706" s="514"/>
      <c r="Q7706" s="293"/>
      <c r="R7706" s="316"/>
      <c r="S7706" s="355"/>
    </row>
    <row r="7707" spans="13:19" x14ac:dyDescent="0.25">
      <c r="M7707" s="514"/>
      <c r="Q7707" s="293"/>
      <c r="R7707" s="316"/>
      <c r="S7707" s="355"/>
    </row>
    <row r="7708" spans="13:19" x14ac:dyDescent="0.25">
      <c r="M7708" s="514"/>
      <c r="Q7708" s="293"/>
      <c r="R7708" s="316"/>
      <c r="S7708" s="355"/>
    </row>
    <row r="7709" spans="13:19" x14ac:dyDescent="0.25">
      <c r="M7709" s="514"/>
      <c r="Q7709" s="293"/>
      <c r="R7709" s="316"/>
      <c r="S7709" s="355"/>
    </row>
    <row r="7710" spans="13:19" x14ac:dyDescent="0.25">
      <c r="M7710" s="514"/>
      <c r="Q7710" s="293"/>
      <c r="R7710" s="316"/>
      <c r="S7710" s="355"/>
    </row>
    <row r="7711" spans="13:19" x14ac:dyDescent="0.25">
      <c r="M7711" s="514"/>
      <c r="Q7711" s="293"/>
      <c r="R7711" s="316"/>
      <c r="S7711" s="355"/>
    </row>
    <row r="7712" spans="13:19" x14ac:dyDescent="0.25">
      <c r="M7712" s="514"/>
      <c r="Q7712" s="293"/>
      <c r="R7712" s="316"/>
      <c r="S7712" s="355"/>
    </row>
    <row r="7713" spans="13:19" x14ac:dyDescent="0.25">
      <c r="M7713" s="514"/>
      <c r="Q7713" s="293"/>
      <c r="R7713" s="316"/>
      <c r="S7713" s="355"/>
    </row>
    <row r="7714" spans="13:19" x14ac:dyDescent="0.25">
      <c r="M7714" s="514"/>
      <c r="Q7714" s="293"/>
      <c r="R7714" s="316"/>
      <c r="S7714" s="355"/>
    </row>
    <row r="7715" spans="13:19" x14ac:dyDescent="0.25">
      <c r="M7715" s="514"/>
      <c r="Q7715" s="293"/>
      <c r="R7715" s="316"/>
      <c r="S7715" s="355"/>
    </row>
    <row r="7716" spans="13:19" x14ac:dyDescent="0.25">
      <c r="M7716" s="514"/>
      <c r="Q7716" s="293"/>
      <c r="R7716" s="316"/>
      <c r="S7716" s="355"/>
    </row>
    <row r="7717" spans="13:19" x14ac:dyDescent="0.25">
      <c r="M7717" s="514"/>
      <c r="Q7717" s="293"/>
      <c r="R7717" s="316"/>
      <c r="S7717" s="355"/>
    </row>
    <row r="7718" spans="13:19" x14ac:dyDescent="0.25">
      <c r="M7718" s="514"/>
      <c r="Q7718" s="293"/>
      <c r="R7718" s="316"/>
      <c r="S7718" s="355"/>
    </row>
    <row r="7719" spans="13:19" x14ac:dyDescent="0.25">
      <c r="M7719" s="514"/>
      <c r="Q7719" s="293"/>
      <c r="R7719" s="316"/>
      <c r="S7719" s="355"/>
    </row>
    <row r="7720" spans="13:19" x14ac:dyDescent="0.25">
      <c r="M7720" s="514"/>
      <c r="Q7720" s="293"/>
      <c r="R7720" s="316"/>
      <c r="S7720" s="355"/>
    </row>
    <row r="7721" spans="13:19" x14ac:dyDescent="0.25">
      <c r="M7721" s="514"/>
      <c r="Q7721" s="293"/>
      <c r="R7721" s="316"/>
      <c r="S7721" s="355"/>
    </row>
    <row r="7722" spans="13:19" x14ac:dyDescent="0.25">
      <c r="M7722" s="514"/>
      <c r="Q7722" s="293"/>
      <c r="R7722" s="316"/>
      <c r="S7722" s="355"/>
    </row>
    <row r="7723" spans="13:19" x14ac:dyDescent="0.25">
      <c r="M7723" s="514"/>
      <c r="Q7723" s="293"/>
      <c r="R7723" s="316"/>
      <c r="S7723" s="355"/>
    </row>
    <row r="7724" spans="13:19" x14ac:dyDescent="0.25">
      <c r="M7724" s="514"/>
      <c r="Q7724" s="293"/>
      <c r="R7724" s="316"/>
      <c r="S7724" s="355"/>
    </row>
    <row r="7725" spans="13:19" x14ac:dyDescent="0.25">
      <c r="M7725" s="514"/>
      <c r="Q7725" s="293"/>
      <c r="R7725" s="316"/>
      <c r="S7725" s="355"/>
    </row>
    <row r="7726" spans="13:19" x14ac:dyDescent="0.25">
      <c r="M7726" s="514"/>
      <c r="Q7726" s="293"/>
      <c r="R7726" s="316"/>
      <c r="S7726" s="355"/>
    </row>
    <row r="7727" spans="13:19" x14ac:dyDescent="0.25">
      <c r="M7727" s="514"/>
      <c r="Q7727" s="293"/>
      <c r="R7727" s="316"/>
      <c r="S7727" s="355"/>
    </row>
    <row r="7728" spans="13:19" x14ac:dyDescent="0.25">
      <c r="M7728" s="514"/>
      <c r="Q7728" s="293"/>
      <c r="R7728" s="316"/>
      <c r="S7728" s="355"/>
    </row>
    <row r="7729" spans="13:19" x14ac:dyDescent="0.25">
      <c r="M7729" s="514"/>
      <c r="Q7729" s="293"/>
      <c r="R7729" s="316"/>
      <c r="S7729" s="355"/>
    </row>
    <row r="7730" spans="13:19" x14ac:dyDescent="0.25">
      <c r="M7730" s="514"/>
      <c r="Q7730" s="293"/>
      <c r="R7730" s="316"/>
      <c r="S7730" s="355"/>
    </row>
    <row r="7731" spans="13:19" x14ac:dyDescent="0.25">
      <c r="M7731" s="514"/>
      <c r="Q7731" s="293"/>
      <c r="R7731" s="316"/>
      <c r="S7731" s="355"/>
    </row>
    <row r="7732" spans="13:19" x14ac:dyDescent="0.25">
      <c r="M7732" s="514"/>
      <c r="Q7732" s="293"/>
      <c r="R7732" s="316"/>
      <c r="S7732" s="355"/>
    </row>
    <row r="7733" spans="13:19" x14ac:dyDescent="0.25">
      <c r="M7733" s="514"/>
      <c r="Q7733" s="293"/>
      <c r="R7733" s="316"/>
      <c r="S7733" s="355"/>
    </row>
    <row r="7734" spans="13:19" x14ac:dyDescent="0.25">
      <c r="M7734" s="514"/>
      <c r="Q7734" s="293"/>
      <c r="R7734" s="316"/>
      <c r="S7734" s="355"/>
    </row>
    <row r="7735" spans="13:19" x14ac:dyDescent="0.25">
      <c r="M7735" s="514"/>
      <c r="Q7735" s="293"/>
      <c r="R7735" s="316"/>
      <c r="S7735" s="355"/>
    </row>
    <row r="7736" spans="13:19" x14ac:dyDescent="0.25">
      <c r="M7736" s="514"/>
      <c r="Q7736" s="293"/>
      <c r="R7736" s="316"/>
      <c r="S7736" s="355"/>
    </row>
    <row r="7737" spans="13:19" x14ac:dyDescent="0.25">
      <c r="M7737" s="514"/>
      <c r="Q7737" s="293"/>
      <c r="R7737" s="316"/>
      <c r="S7737" s="355"/>
    </row>
    <row r="7738" spans="13:19" x14ac:dyDescent="0.25">
      <c r="M7738" s="514"/>
      <c r="Q7738" s="293"/>
      <c r="R7738" s="316"/>
      <c r="S7738" s="355"/>
    </row>
    <row r="7739" spans="13:19" x14ac:dyDescent="0.25">
      <c r="M7739" s="514"/>
      <c r="Q7739" s="293"/>
      <c r="R7739" s="316"/>
      <c r="S7739" s="355"/>
    </row>
    <row r="7740" spans="13:19" x14ac:dyDescent="0.25">
      <c r="M7740" s="514"/>
      <c r="Q7740" s="293"/>
      <c r="R7740" s="316"/>
      <c r="S7740" s="355"/>
    </row>
    <row r="7741" spans="13:19" x14ac:dyDescent="0.25">
      <c r="M7741" s="514"/>
      <c r="Q7741" s="293"/>
      <c r="R7741" s="316"/>
      <c r="S7741" s="355"/>
    </row>
    <row r="7742" spans="13:19" x14ac:dyDescent="0.25">
      <c r="M7742" s="514"/>
      <c r="Q7742" s="293"/>
      <c r="R7742" s="316"/>
      <c r="S7742" s="355"/>
    </row>
    <row r="7743" spans="13:19" x14ac:dyDescent="0.25">
      <c r="M7743" s="514"/>
      <c r="Q7743" s="293"/>
      <c r="R7743" s="316"/>
      <c r="S7743" s="355"/>
    </row>
    <row r="7744" spans="13:19" x14ac:dyDescent="0.25">
      <c r="M7744" s="514"/>
      <c r="Q7744" s="293"/>
      <c r="R7744" s="316"/>
      <c r="S7744" s="355"/>
    </row>
    <row r="7745" spans="13:19" x14ac:dyDescent="0.25">
      <c r="M7745" s="514"/>
      <c r="Q7745" s="293"/>
      <c r="R7745" s="316"/>
      <c r="S7745" s="355"/>
    </row>
    <row r="7746" spans="13:19" x14ac:dyDescent="0.25">
      <c r="M7746" s="514"/>
      <c r="Q7746" s="293"/>
      <c r="R7746" s="316"/>
      <c r="S7746" s="355"/>
    </row>
    <row r="7747" spans="13:19" x14ac:dyDescent="0.25">
      <c r="M7747" s="514"/>
      <c r="Q7747" s="293"/>
      <c r="R7747" s="316"/>
      <c r="S7747" s="355"/>
    </row>
    <row r="7748" spans="13:19" x14ac:dyDescent="0.25">
      <c r="M7748" s="514"/>
      <c r="Q7748" s="293"/>
      <c r="R7748" s="316"/>
      <c r="S7748" s="355"/>
    </row>
    <row r="7749" spans="13:19" x14ac:dyDescent="0.25">
      <c r="M7749" s="514"/>
      <c r="Q7749" s="293"/>
      <c r="R7749" s="316"/>
      <c r="S7749" s="355"/>
    </row>
    <row r="7750" spans="13:19" x14ac:dyDescent="0.25">
      <c r="M7750" s="514"/>
      <c r="Q7750" s="293"/>
      <c r="R7750" s="316"/>
      <c r="S7750" s="355"/>
    </row>
    <row r="7751" spans="13:19" x14ac:dyDescent="0.25">
      <c r="M7751" s="514"/>
      <c r="Q7751" s="293"/>
      <c r="R7751" s="316"/>
      <c r="S7751" s="355"/>
    </row>
    <row r="7752" spans="13:19" x14ac:dyDescent="0.25">
      <c r="M7752" s="514"/>
      <c r="Q7752" s="293"/>
      <c r="R7752" s="316"/>
      <c r="S7752" s="355"/>
    </row>
    <row r="7753" spans="13:19" x14ac:dyDescent="0.25">
      <c r="M7753" s="514"/>
      <c r="Q7753" s="293"/>
      <c r="R7753" s="316"/>
      <c r="S7753" s="355"/>
    </row>
    <row r="7754" spans="13:19" x14ac:dyDescent="0.25">
      <c r="M7754" s="514"/>
      <c r="Q7754" s="293"/>
      <c r="R7754" s="316"/>
      <c r="S7754" s="355"/>
    </row>
    <row r="7755" spans="13:19" x14ac:dyDescent="0.25">
      <c r="M7755" s="514"/>
      <c r="Q7755" s="293"/>
      <c r="R7755" s="316"/>
      <c r="S7755" s="355"/>
    </row>
    <row r="7756" spans="13:19" x14ac:dyDescent="0.25">
      <c r="M7756" s="514"/>
      <c r="Q7756" s="293"/>
      <c r="R7756" s="316"/>
      <c r="S7756" s="355"/>
    </row>
    <row r="7757" spans="13:19" x14ac:dyDescent="0.25">
      <c r="M7757" s="514"/>
      <c r="Q7757" s="293"/>
      <c r="R7757" s="316"/>
      <c r="S7757" s="355"/>
    </row>
    <row r="7758" spans="13:19" x14ac:dyDescent="0.25">
      <c r="M7758" s="514"/>
      <c r="Q7758" s="293"/>
      <c r="R7758" s="316"/>
      <c r="S7758" s="355"/>
    </row>
    <row r="7759" spans="13:19" x14ac:dyDescent="0.25">
      <c r="M7759" s="514"/>
      <c r="Q7759" s="293"/>
      <c r="R7759" s="316"/>
      <c r="S7759" s="355"/>
    </row>
    <row r="7760" spans="13:19" x14ac:dyDescent="0.25">
      <c r="M7760" s="514"/>
      <c r="Q7760" s="293"/>
      <c r="R7760" s="316"/>
      <c r="S7760" s="355"/>
    </row>
    <row r="7761" spans="13:19" x14ac:dyDescent="0.25">
      <c r="M7761" s="514"/>
      <c r="Q7761" s="293"/>
      <c r="R7761" s="316"/>
      <c r="S7761" s="355"/>
    </row>
    <row r="7762" spans="13:19" x14ac:dyDescent="0.25">
      <c r="M7762" s="514"/>
      <c r="Q7762" s="293"/>
      <c r="R7762" s="316"/>
      <c r="S7762" s="355"/>
    </row>
    <row r="7763" spans="13:19" x14ac:dyDescent="0.25">
      <c r="M7763" s="514"/>
      <c r="Q7763" s="293"/>
      <c r="R7763" s="316"/>
      <c r="S7763" s="355"/>
    </row>
    <row r="7764" spans="13:19" x14ac:dyDescent="0.25">
      <c r="M7764" s="514"/>
      <c r="Q7764" s="293"/>
      <c r="R7764" s="316"/>
      <c r="S7764" s="355"/>
    </row>
    <row r="7765" spans="13:19" x14ac:dyDescent="0.25">
      <c r="M7765" s="514"/>
      <c r="Q7765" s="293"/>
      <c r="R7765" s="316"/>
      <c r="S7765" s="355"/>
    </row>
    <row r="7766" spans="13:19" x14ac:dyDescent="0.25">
      <c r="M7766" s="514"/>
      <c r="Q7766" s="293"/>
      <c r="R7766" s="316"/>
      <c r="S7766" s="355"/>
    </row>
    <row r="7767" spans="13:19" x14ac:dyDescent="0.25">
      <c r="M7767" s="514"/>
      <c r="Q7767" s="293"/>
      <c r="R7767" s="316"/>
      <c r="S7767" s="355"/>
    </row>
    <row r="7768" spans="13:19" x14ac:dyDescent="0.25">
      <c r="M7768" s="514"/>
      <c r="Q7768" s="293"/>
      <c r="R7768" s="316"/>
      <c r="S7768" s="355"/>
    </row>
    <row r="7769" spans="13:19" x14ac:dyDescent="0.25">
      <c r="M7769" s="514"/>
      <c r="Q7769" s="293"/>
      <c r="R7769" s="316"/>
      <c r="S7769" s="355"/>
    </row>
    <row r="7770" spans="13:19" x14ac:dyDescent="0.25">
      <c r="M7770" s="514"/>
      <c r="Q7770" s="293"/>
      <c r="R7770" s="316"/>
      <c r="S7770" s="355"/>
    </row>
    <row r="7771" spans="13:19" x14ac:dyDescent="0.25">
      <c r="M7771" s="514"/>
      <c r="Q7771" s="293"/>
      <c r="R7771" s="316"/>
      <c r="S7771" s="355"/>
    </row>
    <row r="7772" spans="13:19" x14ac:dyDescent="0.25">
      <c r="M7772" s="514"/>
      <c r="Q7772" s="293"/>
      <c r="R7772" s="316"/>
      <c r="S7772" s="355"/>
    </row>
    <row r="7773" spans="13:19" x14ac:dyDescent="0.25">
      <c r="M7773" s="514"/>
      <c r="Q7773" s="293"/>
      <c r="R7773" s="316"/>
      <c r="S7773" s="355"/>
    </row>
    <row r="7774" spans="13:19" x14ac:dyDescent="0.25">
      <c r="M7774" s="514"/>
      <c r="Q7774" s="293"/>
      <c r="R7774" s="316"/>
      <c r="S7774" s="355"/>
    </row>
    <row r="7775" spans="13:19" x14ac:dyDescent="0.25">
      <c r="M7775" s="514"/>
      <c r="Q7775" s="293"/>
      <c r="R7775" s="316"/>
      <c r="S7775" s="355"/>
    </row>
    <row r="7776" spans="13:19" x14ac:dyDescent="0.25">
      <c r="M7776" s="514"/>
      <c r="Q7776" s="293"/>
      <c r="R7776" s="316"/>
      <c r="S7776" s="355"/>
    </row>
    <row r="7777" spans="13:19" x14ac:dyDescent="0.25">
      <c r="M7777" s="514"/>
      <c r="Q7777" s="293"/>
      <c r="R7777" s="316"/>
      <c r="S7777" s="355"/>
    </row>
    <row r="7778" spans="13:19" x14ac:dyDescent="0.25">
      <c r="M7778" s="514"/>
      <c r="Q7778" s="293"/>
      <c r="R7778" s="316"/>
      <c r="S7778" s="355"/>
    </row>
    <row r="7779" spans="13:19" x14ac:dyDescent="0.25">
      <c r="M7779" s="514"/>
      <c r="Q7779" s="293"/>
      <c r="R7779" s="316"/>
      <c r="S7779" s="355"/>
    </row>
    <row r="7780" spans="13:19" x14ac:dyDescent="0.25">
      <c r="M7780" s="514"/>
      <c r="Q7780" s="293"/>
      <c r="R7780" s="316"/>
      <c r="S7780" s="355"/>
    </row>
    <row r="7781" spans="13:19" x14ac:dyDescent="0.25">
      <c r="M7781" s="514"/>
      <c r="Q7781" s="293"/>
      <c r="R7781" s="316"/>
      <c r="S7781" s="355"/>
    </row>
    <row r="7782" spans="13:19" x14ac:dyDescent="0.25">
      <c r="M7782" s="514"/>
      <c r="Q7782" s="293"/>
      <c r="R7782" s="316"/>
      <c r="S7782" s="355"/>
    </row>
    <row r="7783" spans="13:19" x14ac:dyDescent="0.25">
      <c r="M7783" s="514"/>
      <c r="Q7783" s="293"/>
      <c r="R7783" s="316"/>
      <c r="S7783" s="355"/>
    </row>
    <row r="7784" spans="13:19" x14ac:dyDescent="0.25">
      <c r="M7784" s="514"/>
      <c r="Q7784" s="293"/>
      <c r="R7784" s="316"/>
      <c r="S7784" s="355"/>
    </row>
    <row r="7785" spans="13:19" x14ac:dyDescent="0.25">
      <c r="M7785" s="514"/>
      <c r="Q7785" s="293"/>
      <c r="R7785" s="316"/>
      <c r="S7785" s="355"/>
    </row>
    <row r="7786" spans="13:19" x14ac:dyDescent="0.25">
      <c r="M7786" s="514"/>
      <c r="Q7786" s="293"/>
      <c r="R7786" s="316"/>
      <c r="S7786" s="355"/>
    </row>
    <row r="7787" spans="13:19" x14ac:dyDescent="0.25">
      <c r="M7787" s="514"/>
      <c r="Q7787" s="293"/>
      <c r="R7787" s="316"/>
      <c r="S7787" s="355"/>
    </row>
    <row r="7788" spans="13:19" x14ac:dyDescent="0.25">
      <c r="M7788" s="514"/>
      <c r="Q7788" s="293"/>
      <c r="R7788" s="316"/>
      <c r="S7788" s="355"/>
    </row>
    <row r="7789" spans="13:19" x14ac:dyDescent="0.25">
      <c r="M7789" s="514"/>
      <c r="Q7789" s="293"/>
      <c r="R7789" s="316"/>
      <c r="S7789" s="355"/>
    </row>
    <row r="7790" spans="13:19" x14ac:dyDescent="0.25">
      <c r="M7790" s="514"/>
      <c r="Q7790" s="293"/>
      <c r="R7790" s="316"/>
      <c r="S7790" s="355"/>
    </row>
    <row r="7791" spans="13:19" x14ac:dyDescent="0.25">
      <c r="M7791" s="514"/>
      <c r="Q7791" s="293"/>
      <c r="R7791" s="316"/>
      <c r="S7791" s="355"/>
    </row>
    <row r="7792" spans="13:19" x14ac:dyDescent="0.25">
      <c r="M7792" s="514"/>
      <c r="Q7792" s="293"/>
      <c r="R7792" s="316"/>
      <c r="S7792" s="355"/>
    </row>
    <row r="7793" spans="13:19" x14ac:dyDescent="0.25">
      <c r="M7793" s="514"/>
      <c r="Q7793" s="293"/>
      <c r="R7793" s="316"/>
      <c r="S7793" s="355"/>
    </row>
    <row r="7794" spans="13:19" x14ac:dyDescent="0.25">
      <c r="M7794" s="514"/>
      <c r="Q7794" s="293"/>
      <c r="R7794" s="316"/>
      <c r="S7794" s="355"/>
    </row>
    <row r="7795" spans="13:19" x14ac:dyDescent="0.25">
      <c r="M7795" s="514"/>
      <c r="Q7795" s="293"/>
      <c r="R7795" s="316"/>
      <c r="S7795" s="355"/>
    </row>
    <row r="7796" spans="13:19" x14ac:dyDescent="0.25">
      <c r="M7796" s="514"/>
      <c r="Q7796" s="293"/>
      <c r="R7796" s="316"/>
      <c r="S7796" s="355"/>
    </row>
    <row r="7797" spans="13:19" x14ac:dyDescent="0.25">
      <c r="M7797" s="514"/>
      <c r="Q7797" s="293"/>
      <c r="R7797" s="316"/>
      <c r="S7797" s="355"/>
    </row>
    <row r="7798" spans="13:19" x14ac:dyDescent="0.25">
      <c r="M7798" s="514"/>
      <c r="Q7798" s="293"/>
      <c r="R7798" s="316"/>
      <c r="S7798" s="355"/>
    </row>
    <row r="7799" spans="13:19" x14ac:dyDescent="0.25">
      <c r="M7799" s="514"/>
      <c r="Q7799" s="293"/>
      <c r="R7799" s="316"/>
      <c r="S7799" s="355"/>
    </row>
    <row r="7800" spans="13:19" x14ac:dyDescent="0.25">
      <c r="M7800" s="514"/>
      <c r="Q7800" s="293"/>
      <c r="R7800" s="316"/>
      <c r="S7800" s="355"/>
    </row>
    <row r="7801" spans="13:19" x14ac:dyDescent="0.25">
      <c r="M7801" s="514"/>
      <c r="Q7801" s="293"/>
      <c r="R7801" s="316"/>
      <c r="S7801" s="355"/>
    </row>
    <row r="7802" spans="13:19" x14ac:dyDescent="0.25">
      <c r="M7802" s="514"/>
      <c r="Q7802" s="293"/>
      <c r="R7802" s="316"/>
      <c r="S7802" s="355"/>
    </row>
    <row r="7803" spans="13:19" x14ac:dyDescent="0.25">
      <c r="M7803" s="514"/>
      <c r="Q7803" s="293"/>
      <c r="R7803" s="316"/>
      <c r="S7803" s="355"/>
    </row>
    <row r="7804" spans="13:19" x14ac:dyDescent="0.25">
      <c r="M7804" s="514"/>
      <c r="Q7804" s="293"/>
      <c r="R7804" s="316"/>
      <c r="S7804" s="355"/>
    </row>
    <row r="7805" spans="13:19" x14ac:dyDescent="0.25">
      <c r="M7805" s="514"/>
      <c r="Q7805" s="293"/>
      <c r="R7805" s="316"/>
      <c r="S7805" s="355"/>
    </row>
    <row r="7806" spans="13:19" x14ac:dyDescent="0.25">
      <c r="M7806" s="514"/>
      <c r="Q7806" s="293"/>
      <c r="R7806" s="316"/>
      <c r="S7806" s="355"/>
    </row>
    <row r="7807" spans="13:19" x14ac:dyDescent="0.25">
      <c r="M7807" s="514"/>
      <c r="Q7807" s="293"/>
      <c r="R7807" s="316"/>
      <c r="S7807" s="355"/>
    </row>
    <row r="7808" spans="13:19" x14ac:dyDescent="0.25">
      <c r="M7808" s="514"/>
      <c r="Q7808" s="293"/>
      <c r="R7808" s="316"/>
      <c r="S7808" s="355"/>
    </row>
    <row r="7809" spans="13:19" x14ac:dyDescent="0.25">
      <c r="M7809" s="514"/>
      <c r="Q7809" s="293"/>
      <c r="R7809" s="316"/>
      <c r="S7809" s="355"/>
    </row>
    <row r="7810" spans="13:19" x14ac:dyDescent="0.25">
      <c r="M7810" s="514"/>
      <c r="Q7810" s="293"/>
      <c r="R7810" s="316"/>
      <c r="S7810" s="355"/>
    </row>
    <row r="7811" spans="13:19" x14ac:dyDescent="0.25">
      <c r="M7811" s="514"/>
      <c r="Q7811" s="293"/>
      <c r="R7811" s="316"/>
      <c r="S7811" s="355"/>
    </row>
    <row r="7812" spans="13:19" x14ac:dyDescent="0.25">
      <c r="M7812" s="514"/>
      <c r="Q7812" s="293"/>
      <c r="R7812" s="316"/>
      <c r="S7812" s="355"/>
    </row>
    <row r="7813" spans="13:19" x14ac:dyDescent="0.25">
      <c r="M7813" s="514"/>
      <c r="Q7813" s="293"/>
      <c r="R7813" s="316"/>
      <c r="S7813" s="355"/>
    </row>
    <row r="7814" spans="13:19" x14ac:dyDescent="0.25">
      <c r="M7814" s="514"/>
      <c r="Q7814" s="293"/>
      <c r="R7814" s="316"/>
      <c r="S7814" s="355"/>
    </row>
    <row r="7815" spans="13:19" x14ac:dyDescent="0.25">
      <c r="M7815" s="514"/>
      <c r="Q7815" s="293"/>
      <c r="R7815" s="316"/>
      <c r="S7815" s="355"/>
    </row>
    <row r="7816" spans="13:19" x14ac:dyDescent="0.25">
      <c r="M7816" s="514"/>
      <c r="Q7816" s="293"/>
      <c r="R7816" s="316"/>
      <c r="S7816" s="355"/>
    </row>
    <row r="7817" spans="13:19" x14ac:dyDescent="0.25">
      <c r="M7817" s="514"/>
      <c r="Q7817" s="293"/>
      <c r="R7817" s="316"/>
      <c r="S7817" s="355"/>
    </row>
    <row r="7818" spans="13:19" x14ac:dyDescent="0.25">
      <c r="M7818" s="514"/>
      <c r="Q7818" s="293"/>
      <c r="R7818" s="316"/>
      <c r="S7818" s="355"/>
    </row>
    <row r="7819" spans="13:19" x14ac:dyDescent="0.25">
      <c r="M7819" s="514"/>
      <c r="Q7819" s="293"/>
      <c r="R7819" s="316"/>
      <c r="S7819" s="355"/>
    </row>
    <row r="7820" spans="13:19" x14ac:dyDescent="0.25">
      <c r="M7820" s="514"/>
      <c r="Q7820" s="293"/>
      <c r="R7820" s="316"/>
      <c r="S7820" s="355"/>
    </row>
    <row r="7821" spans="13:19" x14ac:dyDescent="0.25">
      <c r="M7821" s="514"/>
      <c r="Q7821" s="293"/>
      <c r="R7821" s="316"/>
      <c r="S7821" s="355"/>
    </row>
    <row r="7822" spans="13:19" x14ac:dyDescent="0.25">
      <c r="M7822" s="514"/>
      <c r="Q7822" s="293"/>
      <c r="R7822" s="316"/>
      <c r="S7822" s="355"/>
    </row>
    <row r="7823" spans="13:19" x14ac:dyDescent="0.25">
      <c r="M7823" s="514"/>
      <c r="Q7823" s="293"/>
      <c r="R7823" s="316"/>
      <c r="S7823" s="355"/>
    </row>
    <row r="7824" spans="13:19" x14ac:dyDescent="0.25">
      <c r="M7824" s="514"/>
      <c r="Q7824" s="293"/>
      <c r="R7824" s="316"/>
      <c r="S7824" s="355"/>
    </row>
    <row r="7825" spans="13:19" x14ac:dyDescent="0.25">
      <c r="M7825" s="514"/>
      <c r="Q7825" s="293"/>
      <c r="R7825" s="316"/>
      <c r="S7825" s="355"/>
    </row>
    <row r="7826" spans="13:19" x14ac:dyDescent="0.25">
      <c r="M7826" s="514"/>
      <c r="Q7826" s="293"/>
      <c r="R7826" s="316"/>
      <c r="S7826" s="355"/>
    </row>
    <row r="7827" spans="13:19" x14ac:dyDescent="0.25">
      <c r="M7827" s="514"/>
      <c r="Q7827" s="293"/>
      <c r="R7827" s="316"/>
      <c r="S7827" s="355"/>
    </row>
    <row r="7828" spans="13:19" x14ac:dyDescent="0.25">
      <c r="M7828" s="514"/>
      <c r="Q7828" s="293"/>
      <c r="R7828" s="316"/>
      <c r="S7828" s="355"/>
    </row>
    <row r="7829" spans="13:19" x14ac:dyDescent="0.25">
      <c r="M7829" s="514"/>
      <c r="Q7829" s="293"/>
      <c r="R7829" s="316"/>
      <c r="S7829" s="355"/>
    </row>
    <row r="7830" spans="13:19" x14ac:dyDescent="0.25">
      <c r="M7830" s="514"/>
      <c r="Q7830" s="293"/>
      <c r="R7830" s="316"/>
      <c r="S7830" s="355"/>
    </row>
    <row r="7831" spans="13:19" x14ac:dyDescent="0.25">
      <c r="M7831" s="514"/>
      <c r="Q7831" s="293"/>
      <c r="R7831" s="316"/>
      <c r="S7831" s="355"/>
    </row>
    <row r="7832" spans="13:19" x14ac:dyDescent="0.25">
      <c r="M7832" s="514"/>
      <c r="Q7832" s="293"/>
      <c r="R7832" s="316"/>
      <c r="S7832" s="355"/>
    </row>
    <row r="7833" spans="13:19" x14ac:dyDescent="0.25">
      <c r="M7833" s="514"/>
      <c r="Q7833" s="293"/>
      <c r="R7833" s="316"/>
      <c r="S7833" s="355"/>
    </row>
    <row r="7834" spans="13:19" x14ac:dyDescent="0.25">
      <c r="M7834" s="514"/>
      <c r="Q7834" s="293"/>
      <c r="R7834" s="316"/>
      <c r="S7834" s="355"/>
    </row>
    <row r="7835" spans="13:19" x14ac:dyDescent="0.25">
      <c r="M7835" s="514"/>
      <c r="Q7835" s="293"/>
      <c r="R7835" s="316"/>
      <c r="S7835" s="355"/>
    </row>
    <row r="7836" spans="13:19" x14ac:dyDescent="0.25">
      <c r="M7836" s="514"/>
      <c r="Q7836" s="293"/>
      <c r="R7836" s="316"/>
      <c r="S7836" s="355"/>
    </row>
    <row r="7837" spans="13:19" x14ac:dyDescent="0.25">
      <c r="M7837" s="514"/>
      <c r="Q7837" s="293"/>
      <c r="R7837" s="316"/>
      <c r="S7837" s="355"/>
    </row>
    <row r="7838" spans="13:19" x14ac:dyDescent="0.25">
      <c r="M7838" s="514"/>
      <c r="Q7838" s="293"/>
      <c r="R7838" s="316"/>
      <c r="S7838" s="355"/>
    </row>
    <row r="7839" spans="13:19" x14ac:dyDescent="0.25">
      <c r="M7839" s="514"/>
      <c r="Q7839" s="293"/>
      <c r="R7839" s="316"/>
      <c r="S7839" s="355"/>
    </row>
    <row r="7840" spans="13:19" x14ac:dyDescent="0.25">
      <c r="M7840" s="514"/>
      <c r="Q7840" s="293"/>
      <c r="R7840" s="316"/>
      <c r="S7840" s="355"/>
    </row>
    <row r="7841" spans="13:19" x14ac:dyDescent="0.25">
      <c r="M7841" s="514"/>
      <c r="Q7841" s="293"/>
      <c r="R7841" s="316"/>
      <c r="S7841" s="355"/>
    </row>
    <row r="7842" spans="13:19" x14ac:dyDescent="0.25">
      <c r="M7842" s="514"/>
      <c r="Q7842" s="293"/>
      <c r="R7842" s="316"/>
      <c r="S7842" s="355"/>
    </row>
    <row r="7843" spans="13:19" x14ac:dyDescent="0.25">
      <c r="M7843" s="514"/>
      <c r="Q7843" s="293"/>
      <c r="R7843" s="316"/>
      <c r="S7843" s="355"/>
    </row>
    <row r="7844" spans="13:19" x14ac:dyDescent="0.25">
      <c r="M7844" s="514"/>
      <c r="Q7844" s="293"/>
      <c r="R7844" s="316"/>
      <c r="S7844" s="355"/>
    </row>
    <row r="7845" spans="13:19" x14ac:dyDescent="0.25">
      <c r="M7845" s="514"/>
      <c r="Q7845" s="293"/>
      <c r="R7845" s="316"/>
      <c r="S7845" s="355"/>
    </row>
    <row r="7846" spans="13:19" x14ac:dyDescent="0.25">
      <c r="M7846" s="514"/>
      <c r="Q7846" s="293"/>
      <c r="R7846" s="316"/>
      <c r="S7846" s="355"/>
    </row>
    <row r="7847" spans="13:19" x14ac:dyDescent="0.25">
      <c r="M7847" s="514"/>
      <c r="Q7847" s="293"/>
      <c r="R7847" s="316"/>
      <c r="S7847" s="355"/>
    </row>
    <row r="7848" spans="13:19" x14ac:dyDescent="0.25">
      <c r="M7848" s="514"/>
      <c r="Q7848" s="293"/>
      <c r="R7848" s="316"/>
      <c r="S7848" s="355"/>
    </row>
    <row r="7849" spans="13:19" x14ac:dyDescent="0.25">
      <c r="M7849" s="514"/>
      <c r="Q7849" s="293"/>
      <c r="R7849" s="316"/>
      <c r="S7849" s="355"/>
    </row>
    <row r="7850" spans="13:19" x14ac:dyDescent="0.25">
      <c r="M7850" s="514"/>
      <c r="Q7850" s="293"/>
      <c r="R7850" s="316"/>
      <c r="S7850" s="355"/>
    </row>
    <row r="7851" spans="13:19" x14ac:dyDescent="0.25">
      <c r="M7851" s="514"/>
      <c r="Q7851" s="293"/>
      <c r="R7851" s="316"/>
      <c r="S7851" s="355"/>
    </row>
    <row r="7852" spans="13:19" x14ac:dyDescent="0.25">
      <c r="M7852" s="514"/>
      <c r="Q7852" s="293"/>
      <c r="R7852" s="316"/>
      <c r="S7852" s="355"/>
    </row>
    <row r="7853" spans="13:19" x14ac:dyDescent="0.25">
      <c r="M7853" s="514"/>
      <c r="Q7853" s="293"/>
      <c r="R7853" s="316"/>
      <c r="S7853" s="355"/>
    </row>
    <row r="7854" spans="13:19" x14ac:dyDescent="0.25">
      <c r="M7854" s="514"/>
      <c r="Q7854" s="293"/>
      <c r="R7854" s="316"/>
      <c r="S7854" s="355"/>
    </row>
    <row r="7855" spans="13:19" x14ac:dyDescent="0.25">
      <c r="M7855" s="514"/>
      <c r="Q7855" s="293"/>
      <c r="R7855" s="316"/>
      <c r="S7855" s="355"/>
    </row>
    <row r="7856" spans="13:19" x14ac:dyDescent="0.25">
      <c r="M7856" s="514"/>
      <c r="Q7856" s="293"/>
      <c r="R7856" s="316"/>
      <c r="S7856" s="355"/>
    </row>
    <row r="7857" spans="13:19" x14ac:dyDescent="0.25">
      <c r="M7857" s="514"/>
      <c r="Q7857" s="293"/>
      <c r="R7857" s="316"/>
      <c r="S7857" s="355"/>
    </row>
    <row r="7858" spans="13:19" x14ac:dyDescent="0.25">
      <c r="M7858" s="514"/>
      <c r="Q7858" s="293"/>
      <c r="R7858" s="316"/>
      <c r="S7858" s="355"/>
    </row>
    <row r="7859" spans="13:19" x14ac:dyDescent="0.25">
      <c r="M7859" s="514"/>
      <c r="Q7859" s="293"/>
      <c r="R7859" s="316"/>
      <c r="S7859" s="355"/>
    </row>
    <row r="7860" spans="13:19" x14ac:dyDescent="0.25">
      <c r="M7860" s="514"/>
      <c r="Q7860" s="293"/>
      <c r="R7860" s="316"/>
      <c r="S7860" s="355"/>
    </row>
    <row r="7861" spans="13:19" x14ac:dyDescent="0.25">
      <c r="M7861" s="514"/>
      <c r="Q7861" s="293"/>
      <c r="R7861" s="316"/>
      <c r="S7861" s="355"/>
    </row>
    <row r="7862" spans="13:19" x14ac:dyDescent="0.25">
      <c r="M7862" s="514"/>
      <c r="Q7862" s="293"/>
      <c r="R7862" s="316"/>
      <c r="S7862" s="355"/>
    </row>
    <row r="7863" spans="13:19" x14ac:dyDescent="0.25">
      <c r="M7863" s="514"/>
      <c r="Q7863" s="293"/>
      <c r="R7863" s="316"/>
      <c r="S7863" s="355"/>
    </row>
    <row r="7864" spans="13:19" x14ac:dyDescent="0.25">
      <c r="M7864" s="514"/>
      <c r="Q7864" s="293"/>
      <c r="R7864" s="316"/>
      <c r="S7864" s="355"/>
    </row>
    <row r="7865" spans="13:19" x14ac:dyDescent="0.25">
      <c r="M7865" s="514"/>
      <c r="Q7865" s="293"/>
      <c r="R7865" s="316"/>
      <c r="S7865" s="355"/>
    </row>
    <row r="7866" spans="13:19" x14ac:dyDescent="0.25">
      <c r="M7866" s="514"/>
      <c r="Q7866" s="293"/>
      <c r="R7866" s="316"/>
      <c r="S7866" s="355"/>
    </row>
    <row r="7867" spans="13:19" x14ac:dyDescent="0.25">
      <c r="M7867" s="514"/>
      <c r="Q7867" s="293"/>
      <c r="R7867" s="316"/>
      <c r="S7867" s="355"/>
    </row>
    <row r="7868" spans="13:19" x14ac:dyDescent="0.25">
      <c r="M7868" s="514"/>
      <c r="Q7868" s="293"/>
      <c r="R7868" s="316"/>
      <c r="S7868" s="355"/>
    </row>
    <row r="7869" spans="13:19" x14ac:dyDescent="0.25">
      <c r="M7869" s="514"/>
      <c r="Q7869" s="293"/>
      <c r="R7869" s="316"/>
      <c r="S7869" s="355"/>
    </row>
    <row r="7870" spans="13:19" x14ac:dyDescent="0.25">
      <c r="M7870" s="514"/>
      <c r="Q7870" s="293"/>
      <c r="R7870" s="316"/>
      <c r="S7870" s="355"/>
    </row>
    <row r="7871" spans="13:19" x14ac:dyDescent="0.25">
      <c r="M7871" s="514"/>
      <c r="Q7871" s="293"/>
      <c r="R7871" s="316"/>
      <c r="S7871" s="355"/>
    </row>
    <row r="7872" spans="13:19" x14ac:dyDescent="0.25">
      <c r="M7872" s="514"/>
      <c r="Q7872" s="293"/>
      <c r="R7872" s="316"/>
      <c r="S7872" s="355"/>
    </row>
    <row r="7873" spans="13:19" x14ac:dyDescent="0.25">
      <c r="M7873" s="514"/>
      <c r="Q7873" s="293"/>
      <c r="R7873" s="316"/>
      <c r="S7873" s="355"/>
    </row>
    <row r="7874" spans="13:19" x14ac:dyDescent="0.25">
      <c r="M7874" s="514"/>
      <c r="Q7874" s="293"/>
      <c r="R7874" s="316"/>
      <c r="S7874" s="355"/>
    </row>
    <row r="7875" spans="13:19" x14ac:dyDescent="0.25">
      <c r="M7875" s="514"/>
      <c r="Q7875" s="293"/>
      <c r="R7875" s="316"/>
      <c r="S7875" s="355"/>
    </row>
    <row r="7876" spans="13:19" x14ac:dyDescent="0.25">
      <c r="M7876" s="514"/>
      <c r="Q7876" s="293"/>
      <c r="R7876" s="316"/>
      <c r="S7876" s="355"/>
    </row>
    <row r="7877" spans="13:19" x14ac:dyDescent="0.25">
      <c r="M7877" s="514"/>
      <c r="Q7877" s="293"/>
      <c r="R7877" s="316"/>
      <c r="S7877" s="355"/>
    </row>
    <row r="7878" spans="13:19" x14ac:dyDescent="0.25">
      <c r="M7878" s="514"/>
      <c r="Q7878" s="293"/>
      <c r="R7878" s="316"/>
      <c r="S7878" s="355"/>
    </row>
    <row r="7879" spans="13:19" x14ac:dyDescent="0.25">
      <c r="M7879" s="514"/>
      <c r="Q7879" s="293"/>
      <c r="R7879" s="316"/>
      <c r="S7879" s="355"/>
    </row>
    <row r="7880" spans="13:19" x14ac:dyDescent="0.25">
      <c r="M7880" s="514"/>
      <c r="Q7880" s="293"/>
      <c r="R7880" s="316"/>
      <c r="S7880" s="355"/>
    </row>
    <row r="7881" spans="13:19" x14ac:dyDescent="0.25">
      <c r="M7881" s="514"/>
      <c r="Q7881" s="293"/>
      <c r="R7881" s="316"/>
      <c r="S7881" s="355"/>
    </row>
    <row r="7882" spans="13:19" x14ac:dyDescent="0.25">
      <c r="M7882" s="514"/>
      <c r="Q7882" s="293"/>
      <c r="R7882" s="316"/>
      <c r="S7882" s="355"/>
    </row>
    <row r="7883" spans="13:19" x14ac:dyDescent="0.25">
      <c r="M7883" s="514"/>
      <c r="Q7883" s="293"/>
      <c r="R7883" s="316"/>
      <c r="S7883" s="355"/>
    </row>
    <row r="7884" spans="13:19" x14ac:dyDescent="0.25">
      <c r="M7884" s="514"/>
      <c r="Q7884" s="293"/>
      <c r="R7884" s="316"/>
      <c r="S7884" s="355"/>
    </row>
    <row r="7885" spans="13:19" x14ac:dyDescent="0.25">
      <c r="M7885" s="514"/>
      <c r="Q7885" s="293"/>
      <c r="R7885" s="316"/>
      <c r="S7885" s="355"/>
    </row>
    <row r="7886" spans="13:19" x14ac:dyDescent="0.25">
      <c r="M7886" s="514"/>
      <c r="Q7886" s="293"/>
      <c r="R7886" s="316"/>
      <c r="S7886" s="355"/>
    </row>
    <row r="7887" spans="13:19" x14ac:dyDescent="0.25">
      <c r="M7887" s="514"/>
      <c r="Q7887" s="293"/>
      <c r="R7887" s="316"/>
      <c r="S7887" s="355"/>
    </row>
    <row r="7888" spans="13:19" x14ac:dyDescent="0.25">
      <c r="M7888" s="514"/>
      <c r="Q7888" s="293"/>
      <c r="R7888" s="316"/>
      <c r="S7888" s="355"/>
    </row>
    <row r="7889" spans="13:19" x14ac:dyDescent="0.25">
      <c r="M7889" s="514"/>
      <c r="Q7889" s="293"/>
      <c r="R7889" s="316"/>
      <c r="S7889" s="355"/>
    </row>
    <row r="7890" spans="13:19" x14ac:dyDescent="0.25">
      <c r="M7890" s="514"/>
      <c r="Q7890" s="293"/>
      <c r="R7890" s="316"/>
      <c r="S7890" s="355"/>
    </row>
    <row r="7891" spans="13:19" x14ac:dyDescent="0.25">
      <c r="M7891" s="514"/>
      <c r="Q7891" s="293"/>
      <c r="R7891" s="316"/>
      <c r="S7891" s="355"/>
    </row>
    <row r="7892" spans="13:19" x14ac:dyDescent="0.25">
      <c r="M7892" s="514"/>
      <c r="Q7892" s="293"/>
      <c r="R7892" s="316"/>
      <c r="S7892" s="355"/>
    </row>
    <row r="7893" spans="13:19" x14ac:dyDescent="0.25">
      <c r="M7893" s="514"/>
      <c r="Q7893" s="293"/>
      <c r="R7893" s="316"/>
      <c r="S7893" s="355"/>
    </row>
    <row r="7894" spans="13:19" x14ac:dyDescent="0.25">
      <c r="M7894" s="514"/>
      <c r="Q7894" s="293"/>
      <c r="R7894" s="316"/>
      <c r="S7894" s="355"/>
    </row>
    <row r="7895" spans="13:19" x14ac:dyDescent="0.25">
      <c r="M7895" s="514"/>
      <c r="Q7895" s="293"/>
      <c r="R7895" s="316"/>
      <c r="S7895" s="355"/>
    </row>
    <row r="7896" spans="13:19" x14ac:dyDescent="0.25">
      <c r="M7896" s="514"/>
      <c r="Q7896" s="293"/>
      <c r="R7896" s="316"/>
      <c r="S7896" s="355"/>
    </row>
    <row r="7897" spans="13:19" x14ac:dyDescent="0.25">
      <c r="M7897" s="514"/>
      <c r="Q7897" s="293"/>
      <c r="R7897" s="316"/>
      <c r="S7897" s="355"/>
    </row>
    <row r="7898" spans="13:19" x14ac:dyDescent="0.25">
      <c r="M7898" s="514"/>
      <c r="Q7898" s="293"/>
      <c r="R7898" s="316"/>
      <c r="S7898" s="355"/>
    </row>
    <row r="7899" spans="13:19" x14ac:dyDescent="0.25">
      <c r="M7899" s="514"/>
      <c r="Q7899" s="293"/>
      <c r="R7899" s="316"/>
      <c r="S7899" s="355"/>
    </row>
    <row r="7900" spans="13:19" x14ac:dyDescent="0.25">
      <c r="M7900" s="514"/>
      <c r="Q7900" s="293"/>
      <c r="R7900" s="316"/>
      <c r="S7900" s="355"/>
    </row>
    <row r="7901" spans="13:19" x14ac:dyDescent="0.25">
      <c r="M7901" s="514"/>
      <c r="Q7901" s="293"/>
      <c r="R7901" s="316"/>
      <c r="S7901" s="355"/>
    </row>
    <row r="7902" spans="13:19" x14ac:dyDescent="0.25">
      <c r="M7902" s="514"/>
      <c r="Q7902" s="293"/>
      <c r="R7902" s="316"/>
      <c r="S7902" s="355"/>
    </row>
    <row r="7903" spans="13:19" x14ac:dyDescent="0.25">
      <c r="M7903" s="514"/>
      <c r="Q7903" s="293"/>
      <c r="R7903" s="316"/>
      <c r="S7903" s="355"/>
    </row>
    <row r="7904" spans="13:19" x14ac:dyDescent="0.25">
      <c r="M7904" s="514"/>
      <c r="Q7904" s="293"/>
      <c r="R7904" s="316"/>
      <c r="S7904" s="355"/>
    </row>
    <row r="7905" spans="13:19" x14ac:dyDescent="0.25">
      <c r="M7905" s="514"/>
      <c r="Q7905" s="293"/>
      <c r="R7905" s="316"/>
      <c r="S7905" s="355"/>
    </row>
    <row r="7906" spans="13:19" x14ac:dyDescent="0.25">
      <c r="M7906" s="514"/>
      <c r="Q7906" s="293"/>
      <c r="R7906" s="316"/>
      <c r="S7906" s="355"/>
    </row>
    <row r="7907" spans="13:19" x14ac:dyDescent="0.25">
      <c r="M7907" s="514"/>
      <c r="Q7907" s="293"/>
      <c r="R7907" s="316"/>
      <c r="S7907" s="355"/>
    </row>
    <row r="7908" spans="13:19" x14ac:dyDescent="0.25">
      <c r="M7908" s="514"/>
      <c r="Q7908" s="293"/>
      <c r="R7908" s="316"/>
      <c r="S7908" s="355"/>
    </row>
    <row r="7909" spans="13:19" x14ac:dyDescent="0.25">
      <c r="M7909" s="514"/>
      <c r="Q7909" s="293"/>
      <c r="R7909" s="316"/>
      <c r="S7909" s="355"/>
    </row>
    <row r="7910" spans="13:19" x14ac:dyDescent="0.25">
      <c r="M7910" s="514"/>
      <c r="Q7910" s="293"/>
      <c r="R7910" s="316"/>
      <c r="S7910" s="355"/>
    </row>
    <row r="7911" spans="13:19" x14ac:dyDescent="0.25">
      <c r="M7911" s="514"/>
      <c r="Q7911" s="293"/>
      <c r="R7911" s="316"/>
      <c r="S7911" s="355"/>
    </row>
    <row r="7912" spans="13:19" x14ac:dyDescent="0.25">
      <c r="M7912" s="514"/>
      <c r="Q7912" s="293"/>
      <c r="R7912" s="316"/>
      <c r="S7912" s="355"/>
    </row>
    <row r="7913" spans="13:19" x14ac:dyDescent="0.25">
      <c r="M7913" s="514"/>
      <c r="Q7913" s="293"/>
      <c r="R7913" s="316"/>
      <c r="S7913" s="355"/>
    </row>
    <row r="7914" spans="13:19" x14ac:dyDescent="0.25">
      <c r="M7914" s="514"/>
      <c r="Q7914" s="293"/>
      <c r="R7914" s="316"/>
      <c r="S7914" s="355"/>
    </row>
    <row r="7915" spans="13:19" x14ac:dyDescent="0.25">
      <c r="M7915" s="514"/>
      <c r="Q7915" s="293"/>
      <c r="R7915" s="316"/>
      <c r="S7915" s="355"/>
    </row>
    <row r="7916" spans="13:19" x14ac:dyDescent="0.25">
      <c r="M7916" s="514"/>
      <c r="Q7916" s="293"/>
      <c r="R7916" s="316"/>
      <c r="S7916" s="355"/>
    </row>
    <row r="7917" spans="13:19" x14ac:dyDescent="0.25">
      <c r="M7917" s="514"/>
      <c r="Q7917" s="293"/>
      <c r="R7917" s="316"/>
      <c r="S7917" s="355"/>
    </row>
    <row r="7918" spans="13:19" x14ac:dyDescent="0.25">
      <c r="M7918" s="514"/>
      <c r="Q7918" s="293"/>
      <c r="R7918" s="316"/>
      <c r="S7918" s="355"/>
    </row>
    <row r="7919" spans="13:19" x14ac:dyDescent="0.25">
      <c r="M7919" s="514"/>
      <c r="Q7919" s="293"/>
      <c r="R7919" s="316"/>
      <c r="S7919" s="355"/>
    </row>
    <row r="7920" spans="13:19" x14ac:dyDescent="0.25">
      <c r="M7920" s="514"/>
      <c r="Q7920" s="293"/>
      <c r="R7920" s="316"/>
      <c r="S7920" s="355"/>
    </row>
    <row r="7921" spans="13:19" x14ac:dyDescent="0.25">
      <c r="M7921" s="514"/>
      <c r="Q7921" s="293"/>
      <c r="R7921" s="316"/>
      <c r="S7921" s="355"/>
    </row>
    <row r="7922" spans="13:19" x14ac:dyDescent="0.25">
      <c r="M7922" s="514"/>
      <c r="Q7922" s="293"/>
      <c r="R7922" s="316"/>
      <c r="S7922" s="355"/>
    </row>
    <row r="7923" spans="13:19" x14ac:dyDescent="0.25">
      <c r="M7923" s="514"/>
      <c r="Q7923" s="293"/>
      <c r="R7923" s="316"/>
      <c r="S7923" s="355"/>
    </row>
    <row r="7924" spans="13:19" x14ac:dyDescent="0.25">
      <c r="M7924" s="514"/>
      <c r="Q7924" s="293"/>
      <c r="R7924" s="316"/>
      <c r="S7924" s="355"/>
    </row>
    <row r="7925" spans="13:19" x14ac:dyDescent="0.25">
      <c r="M7925" s="514"/>
      <c r="Q7925" s="293"/>
      <c r="R7925" s="316"/>
      <c r="S7925" s="355"/>
    </row>
    <row r="7926" spans="13:19" x14ac:dyDescent="0.25">
      <c r="M7926" s="514"/>
      <c r="Q7926" s="293"/>
      <c r="R7926" s="316"/>
      <c r="S7926" s="355"/>
    </row>
    <row r="7927" spans="13:19" x14ac:dyDescent="0.25">
      <c r="M7927" s="514"/>
      <c r="Q7927" s="293"/>
      <c r="R7927" s="316"/>
      <c r="S7927" s="355"/>
    </row>
    <row r="7928" spans="13:19" x14ac:dyDescent="0.25">
      <c r="M7928" s="514"/>
      <c r="Q7928" s="293"/>
      <c r="R7928" s="316"/>
      <c r="S7928" s="355"/>
    </row>
    <row r="7929" spans="13:19" x14ac:dyDescent="0.25">
      <c r="M7929" s="514"/>
      <c r="Q7929" s="293"/>
      <c r="R7929" s="316"/>
      <c r="S7929" s="355"/>
    </row>
    <row r="7930" spans="13:19" x14ac:dyDescent="0.25">
      <c r="M7930" s="514"/>
      <c r="Q7930" s="293"/>
      <c r="R7930" s="316"/>
      <c r="S7930" s="355"/>
    </row>
    <row r="7931" spans="13:19" x14ac:dyDescent="0.25">
      <c r="M7931" s="514"/>
      <c r="Q7931" s="293"/>
      <c r="R7931" s="316"/>
      <c r="S7931" s="355"/>
    </row>
    <row r="7932" spans="13:19" x14ac:dyDescent="0.25">
      <c r="M7932" s="514"/>
      <c r="Q7932" s="293"/>
      <c r="R7932" s="316"/>
      <c r="S7932" s="355"/>
    </row>
    <row r="7933" spans="13:19" x14ac:dyDescent="0.25">
      <c r="M7933" s="514"/>
      <c r="Q7933" s="293"/>
      <c r="R7933" s="316"/>
      <c r="S7933" s="355"/>
    </row>
    <row r="7934" spans="13:19" x14ac:dyDescent="0.25">
      <c r="M7934" s="514"/>
      <c r="Q7934" s="293"/>
      <c r="R7934" s="316"/>
      <c r="S7934" s="355"/>
    </row>
    <row r="7935" spans="13:19" x14ac:dyDescent="0.25">
      <c r="M7935" s="514"/>
      <c r="Q7935" s="293"/>
      <c r="R7935" s="316"/>
      <c r="S7935" s="355"/>
    </row>
    <row r="7936" spans="13:19" x14ac:dyDescent="0.25">
      <c r="M7936" s="514"/>
      <c r="Q7936" s="293"/>
      <c r="R7936" s="316"/>
      <c r="S7936" s="355"/>
    </row>
    <row r="7937" spans="13:19" x14ac:dyDescent="0.25">
      <c r="M7937" s="514"/>
      <c r="Q7937" s="293"/>
      <c r="R7937" s="316"/>
      <c r="S7937" s="355"/>
    </row>
    <row r="7938" spans="13:19" x14ac:dyDescent="0.25">
      <c r="M7938" s="514"/>
      <c r="Q7938" s="293"/>
      <c r="R7938" s="316"/>
      <c r="S7938" s="355"/>
    </row>
    <row r="7939" spans="13:19" x14ac:dyDescent="0.25">
      <c r="M7939" s="514"/>
      <c r="Q7939" s="293"/>
      <c r="R7939" s="316"/>
      <c r="S7939" s="355"/>
    </row>
    <row r="7940" spans="13:19" x14ac:dyDescent="0.25">
      <c r="M7940" s="514"/>
      <c r="Q7940" s="293"/>
      <c r="R7940" s="316"/>
      <c r="S7940" s="355"/>
    </row>
    <row r="7941" spans="13:19" x14ac:dyDescent="0.25">
      <c r="M7941" s="514"/>
      <c r="Q7941" s="293"/>
      <c r="R7941" s="316"/>
      <c r="S7941" s="355"/>
    </row>
    <row r="7942" spans="13:19" x14ac:dyDescent="0.25">
      <c r="M7942" s="514"/>
      <c r="Q7942" s="293"/>
      <c r="R7942" s="316"/>
      <c r="S7942" s="355"/>
    </row>
    <row r="7943" spans="13:19" x14ac:dyDescent="0.25">
      <c r="M7943" s="514"/>
      <c r="Q7943" s="293"/>
      <c r="R7943" s="316"/>
      <c r="S7943" s="355"/>
    </row>
    <row r="7944" spans="13:19" x14ac:dyDescent="0.25">
      <c r="M7944" s="514"/>
      <c r="Q7944" s="293"/>
      <c r="R7944" s="316"/>
      <c r="S7944" s="355"/>
    </row>
    <row r="7945" spans="13:19" x14ac:dyDescent="0.25">
      <c r="M7945" s="514"/>
      <c r="Q7945" s="293"/>
      <c r="R7945" s="316"/>
      <c r="S7945" s="355"/>
    </row>
    <row r="7946" spans="13:19" x14ac:dyDescent="0.25">
      <c r="M7946" s="514"/>
      <c r="Q7946" s="293"/>
      <c r="R7946" s="316"/>
      <c r="S7946" s="355"/>
    </row>
    <row r="7947" spans="13:19" x14ac:dyDescent="0.25">
      <c r="M7947" s="514"/>
      <c r="Q7947" s="293"/>
      <c r="R7947" s="316"/>
      <c r="S7947" s="355"/>
    </row>
    <row r="7948" spans="13:19" x14ac:dyDescent="0.25">
      <c r="M7948" s="514"/>
      <c r="Q7948" s="293"/>
      <c r="R7948" s="316"/>
      <c r="S7948" s="355"/>
    </row>
    <row r="7949" spans="13:19" x14ac:dyDescent="0.25">
      <c r="M7949" s="514"/>
      <c r="Q7949" s="293"/>
      <c r="R7949" s="316"/>
      <c r="S7949" s="355"/>
    </row>
    <row r="7950" spans="13:19" x14ac:dyDescent="0.25">
      <c r="M7950" s="514"/>
      <c r="Q7950" s="293"/>
      <c r="R7950" s="316"/>
      <c r="S7950" s="355"/>
    </row>
    <row r="7951" spans="13:19" x14ac:dyDescent="0.25">
      <c r="M7951" s="514"/>
      <c r="Q7951" s="293"/>
      <c r="R7951" s="316"/>
      <c r="S7951" s="355"/>
    </row>
    <row r="7952" spans="13:19" x14ac:dyDescent="0.25">
      <c r="M7952" s="514"/>
      <c r="Q7952" s="293"/>
      <c r="R7952" s="316"/>
      <c r="S7952" s="355"/>
    </row>
    <row r="7953" spans="13:19" x14ac:dyDescent="0.25">
      <c r="M7953" s="514"/>
      <c r="Q7953" s="293"/>
      <c r="R7953" s="316"/>
      <c r="S7953" s="355"/>
    </row>
    <row r="7954" spans="13:19" x14ac:dyDescent="0.25">
      <c r="M7954" s="514"/>
      <c r="Q7954" s="293"/>
      <c r="R7954" s="316"/>
      <c r="S7954" s="355"/>
    </row>
    <row r="7955" spans="13:19" x14ac:dyDescent="0.25">
      <c r="M7955" s="514"/>
      <c r="Q7955" s="293"/>
      <c r="R7955" s="316"/>
      <c r="S7955" s="355"/>
    </row>
    <row r="7956" spans="13:19" x14ac:dyDescent="0.25">
      <c r="M7956" s="514"/>
      <c r="Q7956" s="293"/>
      <c r="R7956" s="316"/>
      <c r="S7956" s="355"/>
    </row>
    <row r="7957" spans="13:19" x14ac:dyDescent="0.25">
      <c r="M7957" s="514"/>
      <c r="Q7957" s="293"/>
      <c r="R7957" s="316"/>
      <c r="S7957" s="355"/>
    </row>
    <row r="7958" spans="13:19" x14ac:dyDescent="0.25">
      <c r="M7958" s="514"/>
      <c r="Q7958" s="293"/>
      <c r="R7958" s="316"/>
      <c r="S7958" s="355"/>
    </row>
    <row r="7959" spans="13:19" x14ac:dyDescent="0.25">
      <c r="M7959" s="514"/>
      <c r="Q7959" s="293"/>
      <c r="R7959" s="316"/>
      <c r="S7959" s="355"/>
    </row>
    <row r="7960" spans="13:19" x14ac:dyDescent="0.25">
      <c r="M7960" s="514"/>
      <c r="Q7960" s="293"/>
      <c r="R7960" s="316"/>
      <c r="S7960" s="355"/>
    </row>
    <row r="7961" spans="13:19" x14ac:dyDescent="0.25">
      <c r="M7961" s="514"/>
      <c r="Q7961" s="293"/>
      <c r="R7961" s="316"/>
      <c r="S7961" s="355"/>
    </row>
    <row r="7962" spans="13:19" x14ac:dyDescent="0.25">
      <c r="M7962" s="514"/>
      <c r="Q7962" s="293"/>
      <c r="R7962" s="316"/>
      <c r="S7962" s="355"/>
    </row>
    <row r="7963" spans="13:19" x14ac:dyDescent="0.25">
      <c r="M7963" s="514"/>
      <c r="Q7963" s="293"/>
      <c r="R7963" s="316"/>
      <c r="S7963" s="355"/>
    </row>
    <row r="7964" spans="13:19" x14ac:dyDescent="0.25">
      <c r="M7964" s="514"/>
      <c r="Q7964" s="293"/>
      <c r="R7964" s="316"/>
      <c r="S7964" s="355"/>
    </row>
    <row r="7965" spans="13:19" x14ac:dyDescent="0.25">
      <c r="M7965" s="514"/>
      <c r="Q7965" s="293"/>
      <c r="R7965" s="316"/>
      <c r="S7965" s="355"/>
    </row>
    <row r="7966" spans="13:19" x14ac:dyDescent="0.25">
      <c r="M7966" s="514"/>
      <c r="Q7966" s="293"/>
      <c r="R7966" s="316"/>
      <c r="S7966" s="355"/>
    </row>
    <row r="7967" spans="13:19" x14ac:dyDescent="0.25">
      <c r="M7967" s="514"/>
      <c r="Q7967" s="293"/>
      <c r="R7967" s="316"/>
      <c r="S7967" s="355"/>
    </row>
    <row r="7968" spans="13:19" x14ac:dyDescent="0.25">
      <c r="M7968" s="514"/>
      <c r="Q7968" s="293"/>
      <c r="R7968" s="316"/>
      <c r="S7968" s="355"/>
    </row>
    <row r="7969" spans="13:19" x14ac:dyDescent="0.25">
      <c r="M7969" s="514"/>
      <c r="Q7969" s="293"/>
      <c r="R7969" s="316"/>
      <c r="S7969" s="355"/>
    </row>
    <row r="7970" spans="13:19" x14ac:dyDescent="0.25">
      <c r="M7970" s="514"/>
      <c r="Q7970" s="293"/>
      <c r="R7970" s="316"/>
      <c r="S7970" s="355"/>
    </row>
    <row r="7971" spans="13:19" x14ac:dyDescent="0.25">
      <c r="M7971" s="514"/>
      <c r="Q7971" s="293"/>
      <c r="R7971" s="316"/>
      <c r="S7971" s="355"/>
    </row>
    <row r="7972" spans="13:19" x14ac:dyDescent="0.25">
      <c r="M7972" s="514"/>
      <c r="Q7972" s="293"/>
      <c r="R7972" s="316"/>
      <c r="S7972" s="355"/>
    </row>
    <row r="7973" spans="13:19" x14ac:dyDescent="0.25">
      <c r="M7973" s="514"/>
      <c r="Q7973" s="293"/>
      <c r="R7973" s="316"/>
      <c r="S7973" s="355"/>
    </row>
    <row r="7974" spans="13:19" x14ac:dyDescent="0.25">
      <c r="M7974" s="514"/>
      <c r="Q7974" s="293"/>
      <c r="R7974" s="316"/>
      <c r="S7974" s="355"/>
    </row>
    <row r="7975" spans="13:19" x14ac:dyDescent="0.25">
      <c r="M7975" s="514"/>
      <c r="Q7975" s="293"/>
      <c r="R7975" s="316"/>
      <c r="S7975" s="355"/>
    </row>
    <row r="7976" spans="13:19" x14ac:dyDescent="0.25">
      <c r="M7976" s="514"/>
      <c r="Q7976" s="293"/>
      <c r="R7976" s="316"/>
      <c r="S7976" s="355"/>
    </row>
    <row r="7977" spans="13:19" x14ac:dyDescent="0.25">
      <c r="M7977" s="514"/>
      <c r="Q7977" s="293"/>
      <c r="R7977" s="316"/>
      <c r="S7977" s="355"/>
    </row>
    <row r="7978" spans="13:19" x14ac:dyDescent="0.25">
      <c r="M7978" s="514"/>
      <c r="Q7978" s="293"/>
      <c r="R7978" s="316"/>
      <c r="S7978" s="355"/>
    </row>
    <row r="7979" spans="13:19" x14ac:dyDescent="0.25">
      <c r="M7979" s="514"/>
      <c r="Q7979" s="293"/>
      <c r="R7979" s="316"/>
      <c r="S7979" s="355"/>
    </row>
    <row r="7980" spans="13:19" x14ac:dyDescent="0.25">
      <c r="M7980" s="514"/>
      <c r="Q7980" s="293"/>
      <c r="R7980" s="316"/>
      <c r="S7980" s="355"/>
    </row>
    <row r="7981" spans="13:19" x14ac:dyDescent="0.25">
      <c r="M7981" s="514"/>
      <c r="Q7981" s="293"/>
      <c r="R7981" s="316"/>
      <c r="S7981" s="355"/>
    </row>
    <row r="7982" spans="13:19" x14ac:dyDescent="0.25">
      <c r="M7982" s="514"/>
      <c r="Q7982" s="293"/>
      <c r="R7982" s="316"/>
      <c r="S7982" s="355"/>
    </row>
    <row r="7983" spans="13:19" x14ac:dyDescent="0.25">
      <c r="M7983" s="514"/>
      <c r="Q7983" s="293"/>
      <c r="R7983" s="316"/>
      <c r="S7983" s="355"/>
    </row>
    <row r="7984" spans="13:19" x14ac:dyDescent="0.25">
      <c r="M7984" s="514"/>
      <c r="Q7984" s="293"/>
      <c r="R7984" s="316"/>
      <c r="S7984" s="355"/>
    </row>
    <row r="7985" spans="13:19" x14ac:dyDescent="0.25">
      <c r="M7985" s="514"/>
      <c r="Q7985" s="293"/>
      <c r="R7985" s="316"/>
      <c r="S7985" s="355"/>
    </row>
    <row r="7986" spans="13:19" x14ac:dyDescent="0.25">
      <c r="M7986" s="514"/>
      <c r="Q7986" s="293"/>
      <c r="R7986" s="316"/>
      <c r="S7986" s="355"/>
    </row>
    <row r="7987" spans="13:19" x14ac:dyDescent="0.25">
      <c r="M7987" s="514"/>
      <c r="Q7987" s="293"/>
      <c r="R7987" s="316"/>
      <c r="S7987" s="355"/>
    </row>
    <row r="7988" spans="13:19" x14ac:dyDescent="0.25">
      <c r="M7988" s="514"/>
      <c r="Q7988" s="293"/>
      <c r="R7988" s="316"/>
      <c r="S7988" s="355"/>
    </row>
    <row r="7989" spans="13:19" x14ac:dyDescent="0.25">
      <c r="M7989" s="514"/>
      <c r="Q7989" s="293"/>
      <c r="R7989" s="316"/>
      <c r="S7989" s="355"/>
    </row>
    <row r="7990" spans="13:19" x14ac:dyDescent="0.25">
      <c r="M7990" s="514"/>
      <c r="Q7990" s="293"/>
      <c r="R7990" s="316"/>
      <c r="S7990" s="355"/>
    </row>
    <row r="7991" spans="13:19" x14ac:dyDescent="0.25">
      <c r="M7991" s="514"/>
      <c r="Q7991" s="293"/>
      <c r="R7991" s="316"/>
      <c r="S7991" s="355"/>
    </row>
    <row r="7992" spans="13:19" x14ac:dyDescent="0.25">
      <c r="M7992" s="514"/>
      <c r="Q7992" s="293"/>
      <c r="R7992" s="316"/>
      <c r="S7992" s="355"/>
    </row>
    <row r="7993" spans="13:19" x14ac:dyDescent="0.25">
      <c r="M7993" s="514"/>
      <c r="Q7993" s="293"/>
      <c r="R7993" s="316"/>
      <c r="S7993" s="355"/>
    </row>
    <row r="7994" spans="13:19" x14ac:dyDescent="0.25">
      <c r="M7994" s="514"/>
      <c r="Q7994" s="293"/>
      <c r="R7994" s="316"/>
      <c r="S7994" s="355"/>
    </row>
    <row r="7995" spans="13:19" x14ac:dyDescent="0.25">
      <c r="M7995" s="514"/>
      <c r="Q7995" s="293"/>
      <c r="R7995" s="316"/>
      <c r="S7995" s="355"/>
    </row>
    <row r="7996" spans="13:19" x14ac:dyDescent="0.25">
      <c r="M7996" s="514"/>
      <c r="Q7996" s="293"/>
      <c r="R7996" s="316"/>
      <c r="S7996" s="355"/>
    </row>
    <row r="7997" spans="13:19" x14ac:dyDescent="0.25">
      <c r="M7997" s="514"/>
      <c r="Q7997" s="293"/>
      <c r="R7997" s="316"/>
      <c r="S7997" s="355"/>
    </row>
    <row r="7998" spans="13:19" x14ac:dyDescent="0.25">
      <c r="M7998" s="514"/>
      <c r="Q7998" s="293"/>
      <c r="R7998" s="316"/>
      <c r="S7998" s="355"/>
    </row>
    <row r="7999" spans="13:19" x14ac:dyDescent="0.25">
      <c r="M7999" s="514"/>
      <c r="Q7999" s="293"/>
      <c r="R7999" s="316"/>
      <c r="S7999" s="355"/>
    </row>
    <row r="8000" spans="13:19" x14ac:dyDescent="0.25">
      <c r="M8000" s="514"/>
      <c r="Q8000" s="293"/>
      <c r="R8000" s="316"/>
      <c r="S8000" s="355"/>
    </row>
    <row r="8001" spans="13:19" x14ac:dyDescent="0.25">
      <c r="M8001" s="514"/>
      <c r="Q8001" s="293"/>
      <c r="R8001" s="316"/>
      <c r="S8001" s="355"/>
    </row>
    <row r="8002" spans="13:19" x14ac:dyDescent="0.25">
      <c r="M8002" s="514"/>
      <c r="Q8002" s="293"/>
      <c r="R8002" s="316"/>
      <c r="S8002" s="355"/>
    </row>
    <row r="8003" spans="13:19" x14ac:dyDescent="0.25">
      <c r="M8003" s="514"/>
      <c r="Q8003" s="293"/>
      <c r="R8003" s="316"/>
      <c r="S8003" s="355"/>
    </row>
    <row r="8004" spans="13:19" x14ac:dyDescent="0.25">
      <c r="M8004" s="514"/>
      <c r="Q8004" s="293"/>
      <c r="R8004" s="316"/>
      <c r="S8004" s="355"/>
    </row>
    <row r="8005" spans="13:19" x14ac:dyDescent="0.25">
      <c r="M8005" s="514"/>
      <c r="Q8005" s="293"/>
      <c r="R8005" s="316"/>
      <c r="S8005" s="355"/>
    </row>
    <row r="8006" spans="13:19" x14ac:dyDescent="0.25">
      <c r="M8006" s="514"/>
      <c r="Q8006" s="293"/>
      <c r="R8006" s="316"/>
      <c r="S8006" s="355"/>
    </row>
    <row r="8007" spans="13:19" x14ac:dyDescent="0.25">
      <c r="M8007" s="514"/>
      <c r="Q8007" s="293"/>
      <c r="R8007" s="316"/>
      <c r="S8007" s="355"/>
    </row>
    <row r="8008" spans="13:19" x14ac:dyDescent="0.25">
      <c r="M8008" s="514"/>
      <c r="Q8008" s="293"/>
      <c r="R8008" s="316"/>
      <c r="S8008" s="355"/>
    </row>
    <row r="8009" spans="13:19" x14ac:dyDescent="0.25">
      <c r="M8009" s="514"/>
      <c r="Q8009" s="293"/>
      <c r="R8009" s="316"/>
      <c r="S8009" s="355"/>
    </row>
    <row r="8010" spans="13:19" x14ac:dyDescent="0.25">
      <c r="M8010" s="514"/>
      <c r="Q8010" s="293"/>
      <c r="R8010" s="316"/>
      <c r="S8010" s="355"/>
    </row>
    <row r="8011" spans="13:19" x14ac:dyDescent="0.25">
      <c r="M8011" s="514"/>
      <c r="Q8011" s="293"/>
      <c r="R8011" s="316"/>
      <c r="S8011" s="355"/>
    </row>
    <row r="8012" spans="13:19" x14ac:dyDescent="0.25">
      <c r="M8012" s="514"/>
      <c r="Q8012" s="293"/>
      <c r="R8012" s="316"/>
      <c r="S8012" s="355"/>
    </row>
    <row r="8013" spans="13:19" x14ac:dyDescent="0.25">
      <c r="M8013" s="514"/>
      <c r="Q8013" s="293"/>
      <c r="R8013" s="316"/>
      <c r="S8013" s="355"/>
    </row>
    <row r="8014" spans="13:19" x14ac:dyDescent="0.25">
      <c r="M8014" s="514"/>
      <c r="Q8014" s="293"/>
      <c r="R8014" s="316"/>
      <c r="S8014" s="355"/>
    </row>
    <row r="8015" spans="13:19" x14ac:dyDescent="0.25">
      <c r="M8015" s="514"/>
      <c r="Q8015" s="293"/>
      <c r="R8015" s="316"/>
      <c r="S8015" s="355"/>
    </row>
    <row r="8016" spans="13:19" x14ac:dyDescent="0.25">
      <c r="M8016" s="514"/>
      <c r="Q8016" s="293"/>
      <c r="R8016" s="316"/>
      <c r="S8016" s="355"/>
    </row>
    <row r="8017" spans="13:19" x14ac:dyDescent="0.25">
      <c r="M8017" s="514"/>
      <c r="Q8017" s="293"/>
      <c r="R8017" s="316"/>
      <c r="S8017" s="355"/>
    </row>
    <row r="8018" spans="13:19" x14ac:dyDescent="0.25">
      <c r="M8018" s="514"/>
      <c r="Q8018" s="293"/>
      <c r="R8018" s="316"/>
      <c r="S8018" s="355"/>
    </row>
    <row r="8019" spans="13:19" x14ac:dyDescent="0.25">
      <c r="M8019" s="514"/>
      <c r="Q8019" s="293"/>
      <c r="R8019" s="316"/>
      <c r="S8019" s="355"/>
    </row>
    <row r="8020" spans="13:19" x14ac:dyDescent="0.25">
      <c r="M8020" s="514"/>
      <c r="Q8020" s="293"/>
      <c r="R8020" s="316"/>
      <c r="S8020" s="355"/>
    </row>
    <row r="8021" spans="13:19" x14ac:dyDescent="0.25">
      <c r="M8021" s="514"/>
      <c r="Q8021" s="293"/>
      <c r="R8021" s="316"/>
      <c r="S8021" s="355"/>
    </row>
    <row r="8022" spans="13:19" x14ac:dyDescent="0.25">
      <c r="M8022" s="514"/>
      <c r="Q8022" s="293"/>
      <c r="R8022" s="316"/>
      <c r="S8022" s="355"/>
    </row>
    <row r="8023" spans="13:19" x14ac:dyDescent="0.25">
      <c r="M8023" s="514"/>
      <c r="Q8023" s="293"/>
      <c r="R8023" s="316"/>
      <c r="S8023" s="355"/>
    </row>
    <row r="8024" spans="13:19" x14ac:dyDescent="0.25">
      <c r="M8024" s="514"/>
      <c r="Q8024" s="293"/>
      <c r="R8024" s="316"/>
      <c r="S8024" s="355"/>
    </row>
    <row r="8025" spans="13:19" x14ac:dyDescent="0.25">
      <c r="M8025" s="514"/>
      <c r="Q8025" s="293"/>
      <c r="R8025" s="316"/>
      <c r="S8025" s="355"/>
    </row>
    <row r="8026" spans="13:19" x14ac:dyDescent="0.25">
      <c r="M8026" s="514"/>
      <c r="Q8026" s="293"/>
      <c r="R8026" s="316"/>
      <c r="S8026" s="355"/>
    </row>
    <row r="8027" spans="13:19" x14ac:dyDescent="0.25">
      <c r="M8027" s="514"/>
      <c r="Q8027" s="293"/>
      <c r="R8027" s="316"/>
      <c r="S8027" s="355"/>
    </row>
    <row r="8028" spans="13:19" x14ac:dyDescent="0.25">
      <c r="M8028" s="514"/>
      <c r="Q8028" s="293"/>
      <c r="R8028" s="316"/>
      <c r="S8028" s="355"/>
    </row>
    <row r="8029" spans="13:19" x14ac:dyDescent="0.25">
      <c r="M8029" s="514"/>
      <c r="Q8029" s="293"/>
      <c r="R8029" s="316"/>
      <c r="S8029" s="355"/>
    </row>
    <row r="8030" spans="13:19" x14ac:dyDescent="0.25">
      <c r="M8030" s="514"/>
      <c r="Q8030" s="293"/>
      <c r="R8030" s="316"/>
      <c r="S8030" s="355"/>
    </row>
    <row r="8031" spans="13:19" x14ac:dyDescent="0.25">
      <c r="M8031" s="514"/>
      <c r="Q8031" s="293"/>
      <c r="R8031" s="316"/>
      <c r="S8031" s="355"/>
    </row>
    <row r="8032" spans="13:19" x14ac:dyDescent="0.25">
      <c r="M8032" s="514"/>
      <c r="Q8032" s="293"/>
      <c r="R8032" s="316"/>
      <c r="S8032" s="355"/>
    </row>
    <row r="8033" spans="13:19" x14ac:dyDescent="0.25">
      <c r="M8033" s="514"/>
      <c r="Q8033" s="293"/>
      <c r="R8033" s="316"/>
      <c r="S8033" s="355"/>
    </row>
    <row r="8034" spans="13:19" x14ac:dyDescent="0.25">
      <c r="M8034" s="514"/>
      <c r="Q8034" s="293"/>
      <c r="R8034" s="316"/>
      <c r="S8034" s="355"/>
    </row>
    <row r="8035" spans="13:19" x14ac:dyDescent="0.25">
      <c r="M8035" s="514"/>
      <c r="Q8035" s="293"/>
      <c r="R8035" s="316"/>
      <c r="S8035" s="355"/>
    </row>
    <row r="8036" spans="13:19" x14ac:dyDescent="0.25">
      <c r="M8036" s="514"/>
      <c r="Q8036" s="293"/>
      <c r="R8036" s="316"/>
      <c r="S8036" s="355"/>
    </row>
    <row r="8037" spans="13:19" x14ac:dyDescent="0.25">
      <c r="M8037" s="514"/>
      <c r="Q8037" s="293"/>
      <c r="R8037" s="316"/>
      <c r="S8037" s="355"/>
    </row>
    <row r="8038" spans="13:19" x14ac:dyDescent="0.25">
      <c r="M8038" s="514"/>
      <c r="Q8038" s="293"/>
      <c r="R8038" s="316"/>
      <c r="S8038" s="355"/>
    </row>
    <row r="8039" spans="13:19" x14ac:dyDescent="0.25">
      <c r="M8039" s="514"/>
      <c r="Q8039" s="293"/>
      <c r="R8039" s="316"/>
      <c r="S8039" s="355"/>
    </row>
    <row r="8040" spans="13:19" x14ac:dyDescent="0.25">
      <c r="M8040" s="514"/>
      <c r="Q8040" s="293"/>
      <c r="R8040" s="316"/>
      <c r="S8040" s="355"/>
    </row>
    <row r="8041" spans="13:19" x14ac:dyDescent="0.25">
      <c r="M8041" s="514"/>
      <c r="Q8041" s="293"/>
      <c r="R8041" s="316"/>
      <c r="S8041" s="355"/>
    </row>
    <row r="8042" spans="13:19" x14ac:dyDescent="0.25">
      <c r="M8042" s="514"/>
      <c r="Q8042" s="293"/>
      <c r="R8042" s="316"/>
      <c r="S8042" s="355"/>
    </row>
    <row r="8043" spans="13:19" x14ac:dyDescent="0.25">
      <c r="M8043" s="514"/>
      <c r="Q8043" s="293"/>
      <c r="R8043" s="316"/>
      <c r="S8043" s="355"/>
    </row>
    <row r="8044" spans="13:19" x14ac:dyDescent="0.25">
      <c r="M8044" s="514"/>
      <c r="Q8044" s="293"/>
      <c r="R8044" s="316"/>
      <c r="S8044" s="355"/>
    </row>
    <row r="8045" spans="13:19" x14ac:dyDescent="0.25">
      <c r="M8045" s="514"/>
      <c r="Q8045" s="293"/>
      <c r="R8045" s="316"/>
      <c r="S8045" s="355"/>
    </row>
    <row r="8046" spans="13:19" x14ac:dyDescent="0.25">
      <c r="M8046" s="514"/>
      <c r="Q8046" s="293"/>
      <c r="R8046" s="316"/>
      <c r="S8046" s="355"/>
    </row>
    <row r="8047" spans="13:19" x14ac:dyDescent="0.25">
      <c r="M8047" s="514"/>
      <c r="Q8047" s="293"/>
      <c r="R8047" s="316"/>
      <c r="S8047" s="355"/>
    </row>
    <row r="8048" spans="13:19" x14ac:dyDescent="0.25">
      <c r="M8048" s="514"/>
      <c r="Q8048" s="293"/>
      <c r="R8048" s="316"/>
      <c r="S8048" s="355"/>
    </row>
    <row r="8049" spans="13:19" x14ac:dyDescent="0.25">
      <c r="M8049" s="514"/>
      <c r="Q8049" s="293"/>
      <c r="R8049" s="316"/>
      <c r="S8049" s="355"/>
    </row>
    <row r="8050" spans="13:19" x14ac:dyDescent="0.25">
      <c r="M8050" s="514"/>
      <c r="Q8050" s="293"/>
      <c r="R8050" s="316"/>
      <c r="S8050" s="355"/>
    </row>
    <row r="8051" spans="13:19" x14ac:dyDescent="0.25">
      <c r="M8051" s="514"/>
      <c r="Q8051" s="293"/>
      <c r="R8051" s="316"/>
      <c r="S8051" s="355"/>
    </row>
    <row r="8052" spans="13:19" x14ac:dyDescent="0.25">
      <c r="M8052" s="514"/>
      <c r="Q8052" s="293"/>
      <c r="R8052" s="316"/>
      <c r="S8052" s="355"/>
    </row>
    <row r="8053" spans="13:19" x14ac:dyDescent="0.25">
      <c r="M8053" s="514"/>
      <c r="Q8053" s="293"/>
      <c r="R8053" s="316"/>
      <c r="S8053" s="355"/>
    </row>
    <row r="8054" spans="13:19" x14ac:dyDescent="0.25">
      <c r="M8054" s="514"/>
      <c r="Q8054" s="293"/>
      <c r="R8054" s="316"/>
      <c r="S8054" s="355"/>
    </row>
    <row r="8055" spans="13:19" x14ac:dyDescent="0.25">
      <c r="M8055" s="514"/>
      <c r="Q8055" s="293"/>
      <c r="R8055" s="316"/>
      <c r="S8055" s="355"/>
    </row>
    <row r="8056" spans="13:19" x14ac:dyDescent="0.25">
      <c r="M8056" s="514"/>
      <c r="Q8056" s="293"/>
      <c r="R8056" s="316"/>
      <c r="S8056" s="355"/>
    </row>
    <row r="8057" spans="13:19" x14ac:dyDescent="0.25">
      <c r="M8057" s="514"/>
      <c r="Q8057" s="293"/>
      <c r="R8057" s="316"/>
      <c r="S8057" s="355"/>
    </row>
    <row r="8058" spans="13:19" x14ac:dyDescent="0.25">
      <c r="M8058" s="514"/>
      <c r="Q8058" s="293"/>
      <c r="R8058" s="316"/>
      <c r="S8058" s="355"/>
    </row>
    <row r="8059" spans="13:19" x14ac:dyDescent="0.25">
      <c r="M8059" s="514"/>
      <c r="Q8059" s="293"/>
      <c r="R8059" s="316"/>
      <c r="S8059" s="355"/>
    </row>
    <row r="8060" spans="13:19" x14ac:dyDescent="0.25">
      <c r="M8060" s="514"/>
      <c r="Q8060" s="293"/>
      <c r="R8060" s="316"/>
      <c r="S8060" s="355"/>
    </row>
    <row r="8061" spans="13:19" x14ac:dyDescent="0.25">
      <c r="M8061" s="514"/>
      <c r="Q8061" s="293"/>
      <c r="R8061" s="316"/>
      <c r="S8061" s="355"/>
    </row>
    <row r="8062" spans="13:19" x14ac:dyDescent="0.25">
      <c r="M8062" s="514"/>
      <c r="Q8062" s="293"/>
      <c r="R8062" s="316"/>
      <c r="S8062" s="355"/>
    </row>
    <row r="8063" spans="13:19" x14ac:dyDescent="0.25">
      <c r="M8063" s="514"/>
      <c r="Q8063" s="293"/>
      <c r="R8063" s="316"/>
      <c r="S8063" s="355"/>
    </row>
    <row r="8064" spans="13:19" x14ac:dyDescent="0.25">
      <c r="M8064" s="514"/>
      <c r="Q8064" s="293"/>
      <c r="R8064" s="316"/>
      <c r="S8064" s="355"/>
    </row>
    <row r="8065" spans="13:19" x14ac:dyDescent="0.25">
      <c r="M8065" s="514"/>
      <c r="Q8065" s="293"/>
      <c r="R8065" s="316"/>
      <c r="S8065" s="355"/>
    </row>
    <row r="8066" spans="13:19" x14ac:dyDescent="0.25">
      <c r="M8066" s="514"/>
      <c r="Q8066" s="293"/>
      <c r="R8066" s="316"/>
      <c r="S8066" s="355"/>
    </row>
    <row r="8067" spans="13:19" x14ac:dyDescent="0.25">
      <c r="M8067" s="514"/>
      <c r="Q8067" s="293"/>
      <c r="R8067" s="316"/>
      <c r="S8067" s="355"/>
    </row>
    <row r="8068" spans="13:19" x14ac:dyDescent="0.25">
      <c r="M8068" s="514"/>
      <c r="Q8068" s="293"/>
      <c r="R8068" s="316"/>
      <c r="S8068" s="355"/>
    </row>
    <row r="8069" spans="13:19" x14ac:dyDescent="0.25">
      <c r="M8069" s="514"/>
      <c r="Q8069" s="293"/>
      <c r="R8069" s="316"/>
      <c r="S8069" s="355"/>
    </row>
    <row r="8070" spans="13:19" x14ac:dyDescent="0.25">
      <c r="M8070" s="514"/>
      <c r="Q8070" s="293"/>
      <c r="R8070" s="316"/>
      <c r="S8070" s="355"/>
    </row>
    <row r="8071" spans="13:19" x14ac:dyDescent="0.25">
      <c r="M8071" s="514"/>
      <c r="Q8071" s="293"/>
      <c r="R8071" s="316"/>
      <c r="S8071" s="355"/>
    </row>
    <row r="8072" spans="13:19" x14ac:dyDescent="0.25">
      <c r="M8072" s="514"/>
      <c r="Q8072" s="293"/>
      <c r="R8072" s="316"/>
      <c r="S8072" s="355"/>
    </row>
    <row r="8073" spans="13:19" x14ac:dyDescent="0.25">
      <c r="M8073" s="514"/>
      <c r="Q8073" s="293"/>
      <c r="R8073" s="316"/>
      <c r="S8073" s="355"/>
    </row>
    <row r="8074" spans="13:19" x14ac:dyDescent="0.25">
      <c r="M8074" s="514"/>
      <c r="Q8074" s="293"/>
      <c r="R8074" s="316"/>
      <c r="S8074" s="355"/>
    </row>
    <row r="8075" spans="13:19" x14ac:dyDescent="0.25">
      <c r="M8075" s="514"/>
      <c r="Q8075" s="293"/>
      <c r="R8075" s="316"/>
      <c r="S8075" s="355"/>
    </row>
    <row r="8076" spans="13:19" x14ac:dyDescent="0.25">
      <c r="M8076" s="514"/>
      <c r="Q8076" s="293"/>
      <c r="R8076" s="316"/>
      <c r="S8076" s="355"/>
    </row>
    <row r="8077" spans="13:19" x14ac:dyDescent="0.25">
      <c r="M8077" s="514"/>
      <c r="Q8077" s="293"/>
      <c r="R8077" s="316"/>
      <c r="S8077" s="355"/>
    </row>
    <row r="8078" spans="13:19" x14ac:dyDescent="0.25">
      <c r="M8078" s="514"/>
      <c r="Q8078" s="293"/>
      <c r="R8078" s="316"/>
      <c r="S8078" s="355"/>
    </row>
    <row r="8079" spans="13:19" x14ac:dyDescent="0.25">
      <c r="M8079" s="514"/>
      <c r="Q8079" s="293"/>
      <c r="R8079" s="316"/>
      <c r="S8079" s="355"/>
    </row>
    <row r="8080" spans="13:19" x14ac:dyDescent="0.25">
      <c r="M8080" s="514"/>
      <c r="Q8080" s="293"/>
      <c r="R8080" s="316"/>
      <c r="S8080" s="355"/>
    </row>
    <row r="8081" spans="13:19" x14ac:dyDescent="0.25">
      <c r="M8081" s="514"/>
      <c r="Q8081" s="293"/>
      <c r="R8081" s="316"/>
      <c r="S8081" s="355"/>
    </row>
    <row r="8082" spans="13:19" x14ac:dyDescent="0.25">
      <c r="M8082" s="514"/>
      <c r="Q8082" s="293"/>
      <c r="R8082" s="316"/>
      <c r="S8082" s="355"/>
    </row>
    <row r="8083" spans="13:19" x14ac:dyDescent="0.25">
      <c r="M8083" s="514"/>
      <c r="Q8083" s="293"/>
      <c r="R8083" s="316"/>
      <c r="S8083" s="355"/>
    </row>
    <row r="8084" spans="13:19" x14ac:dyDescent="0.25">
      <c r="M8084" s="514"/>
      <c r="Q8084" s="293"/>
      <c r="R8084" s="316"/>
      <c r="S8084" s="355"/>
    </row>
    <row r="8085" spans="13:19" x14ac:dyDescent="0.25">
      <c r="M8085" s="514"/>
      <c r="Q8085" s="293"/>
      <c r="R8085" s="316"/>
      <c r="S8085" s="355"/>
    </row>
    <row r="8086" spans="13:19" x14ac:dyDescent="0.25">
      <c r="M8086" s="514"/>
      <c r="Q8086" s="293"/>
      <c r="R8086" s="316"/>
      <c r="S8086" s="355"/>
    </row>
    <row r="8087" spans="13:19" x14ac:dyDescent="0.25">
      <c r="M8087" s="514"/>
      <c r="Q8087" s="293"/>
      <c r="R8087" s="316"/>
      <c r="S8087" s="355"/>
    </row>
    <row r="8088" spans="13:19" x14ac:dyDescent="0.25">
      <c r="M8088" s="514"/>
      <c r="Q8088" s="293"/>
      <c r="R8088" s="316"/>
      <c r="S8088" s="355"/>
    </row>
    <row r="8089" spans="13:19" x14ac:dyDescent="0.25">
      <c r="M8089" s="514"/>
      <c r="Q8089" s="293"/>
      <c r="R8089" s="316"/>
      <c r="S8089" s="355"/>
    </row>
    <row r="8090" spans="13:19" x14ac:dyDescent="0.25">
      <c r="M8090" s="514"/>
      <c r="Q8090" s="293"/>
      <c r="R8090" s="316"/>
      <c r="S8090" s="355"/>
    </row>
    <row r="8091" spans="13:19" x14ac:dyDescent="0.25">
      <c r="M8091" s="514"/>
      <c r="Q8091" s="293"/>
      <c r="R8091" s="316"/>
      <c r="S8091" s="355"/>
    </row>
    <row r="8092" spans="13:19" x14ac:dyDescent="0.25">
      <c r="M8092" s="514"/>
      <c r="Q8092" s="293"/>
      <c r="R8092" s="316"/>
      <c r="S8092" s="355"/>
    </row>
    <row r="8093" spans="13:19" x14ac:dyDescent="0.25">
      <c r="M8093" s="514"/>
      <c r="Q8093" s="293"/>
      <c r="R8093" s="316"/>
      <c r="S8093" s="355"/>
    </row>
    <row r="8094" spans="13:19" x14ac:dyDescent="0.25">
      <c r="M8094" s="514"/>
      <c r="Q8094" s="293"/>
      <c r="R8094" s="316"/>
      <c r="S8094" s="355"/>
    </row>
    <row r="8095" spans="13:19" x14ac:dyDescent="0.25">
      <c r="M8095" s="514"/>
      <c r="Q8095" s="293"/>
      <c r="R8095" s="316"/>
      <c r="S8095" s="355"/>
    </row>
    <row r="8096" spans="13:19" x14ac:dyDescent="0.25">
      <c r="M8096" s="514"/>
      <c r="Q8096" s="293"/>
      <c r="R8096" s="316"/>
      <c r="S8096" s="355"/>
    </row>
    <row r="8097" spans="13:19" x14ac:dyDescent="0.25">
      <c r="M8097" s="514"/>
      <c r="Q8097" s="293"/>
      <c r="R8097" s="316"/>
      <c r="S8097" s="355"/>
    </row>
    <row r="8098" spans="13:19" x14ac:dyDescent="0.25">
      <c r="M8098" s="514"/>
      <c r="Q8098" s="293"/>
      <c r="R8098" s="316"/>
      <c r="S8098" s="355"/>
    </row>
    <row r="8099" spans="13:19" x14ac:dyDescent="0.25">
      <c r="M8099" s="514"/>
      <c r="Q8099" s="293"/>
      <c r="R8099" s="316"/>
      <c r="S8099" s="355"/>
    </row>
    <row r="8100" spans="13:19" x14ac:dyDescent="0.25">
      <c r="M8100" s="514"/>
      <c r="Q8100" s="293"/>
      <c r="R8100" s="316"/>
      <c r="S8100" s="355"/>
    </row>
    <row r="8101" spans="13:19" x14ac:dyDescent="0.25">
      <c r="M8101" s="514"/>
      <c r="Q8101" s="293"/>
      <c r="R8101" s="316"/>
      <c r="S8101" s="355"/>
    </row>
    <row r="8102" spans="13:19" x14ac:dyDescent="0.25">
      <c r="M8102" s="514"/>
      <c r="Q8102" s="293"/>
      <c r="R8102" s="316"/>
      <c r="S8102" s="355"/>
    </row>
    <row r="8103" spans="13:19" x14ac:dyDescent="0.25">
      <c r="M8103" s="514"/>
      <c r="Q8103" s="293"/>
      <c r="R8103" s="316"/>
      <c r="S8103" s="355"/>
    </row>
    <row r="8104" spans="13:19" x14ac:dyDescent="0.25">
      <c r="M8104" s="514"/>
      <c r="Q8104" s="293"/>
      <c r="R8104" s="316"/>
      <c r="S8104" s="355"/>
    </row>
    <row r="8105" spans="13:19" x14ac:dyDescent="0.25">
      <c r="M8105" s="514"/>
      <c r="Q8105" s="293"/>
      <c r="R8105" s="316"/>
      <c r="S8105" s="355"/>
    </row>
    <row r="8106" spans="13:19" x14ac:dyDescent="0.25">
      <c r="M8106" s="514"/>
      <c r="Q8106" s="293"/>
      <c r="R8106" s="316"/>
      <c r="S8106" s="355"/>
    </row>
    <row r="8107" spans="13:19" x14ac:dyDescent="0.25">
      <c r="M8107" s="514"/>
      <c r="Q8107" s="293"/>
      <c r="R8107" s="316"/>
      <c r="S8107" s="355"/>
    </row>
    <row r="8108" spans="13:19" x14ac:dyDescent="0.25">
      <c r="M8108" s="514"/>
      <c r="Q8108" s="293"/>
      <c r="R8108" s="316"/>
      <c r="S8108" s="355"/>
    </row>
    <row r="8109" spans="13:19" x14ac:dyDescent="0.25">
      <c r="M8109" s="514"/>
      <c r="Q8109" s="293"/>
      <c r="R8109" s="316"/>
      <c r="S8109" s="355"/>
    </row>
    <row r="8110" spans="13:19" x14ac:dyDescent="0.25">
      <c r="M8110" s="514"/>
      <c r="Q8110" s="293"/>
      <c r="R8110" s="316"/>
      <c r="S8110" s="355"/>
    </row>
    <row r="8111" spans="13:19" x14ac:dyDescent="0.25">
      <c r="M8111" s="514"/>
      <c r="Q8111" s="293"/>
      <c r="R8111" s="316"/>
      <c r="S8111" s="355"/>
    </row>
    <row r="8112" spans="13:19" x14ac:dyDescent="0.25">
      <c r="M8112" s="514"/>
      <c r="Q8112" s="293"/>
      <c r="R8112" s="316"/>
      <c r="S8112" s="355"/>
    </row>
    <row r="8113" spans="13:19" x14ac:dyDescent="0.25">
      <c r="M8113" s="514"/>
      <c r="Q8113" s="293"/>
      <c r="R8113" s="316"/>
      <c r="S8113" s="355"/>
    </row>
    <row r="8114" spans="13:19" x14ac:dyDescent="0.25">
      <c r="M8114" s="514"/>
      <c r="Q8114" s="293"/>
      <c r="R8114" s="316"/>
      <c r="S8114" s="355"/>
    </row>
    <row r="8115" spans="13:19" x14ac:dyDescent="0.25">
      <c r="M8115" s="514"/>
      <c r="Q8115" s="293"/>
      <c r="R8115" s="316"/>
      <c r="S8115" s="355"/>
    </row>
    <row r="8116" spans="13:19" x14ac:dyDescent="0.25">
      <c r="M8116" s="514"/>
      <c r="Q8116" s="293"/>
      <c r="R8116" s="316"/>
      <c r="S8116" s="355"/>
    </row>
    <row r="8117" spans="13:19" x14ac:dyDescent="0.25">
      <c r="M8117" s="514"/>
      <c r="Q8117" s="293"/>
      <c r="R8117" s="316"/>
      <c r="S8117" s="355"/>
    </row>
    <row r="8118" spans="13:19" x14ac:dyDescent="0.25">
      <c r="M8118" s="514"/>
      <c r="Q8118" s="293"/>
      <c r="R8118" s="316"/>
      <c r="S8118" s="355"/>
    </row>
    <row r="8119" spans="13:19" x14ac:dyDescent="0.25">
      <c r="M8119" s="514"/>
      <c r="Q8119" s="293"/>
      <c r="R8119" s="316"/>
      <c r="S8119" s="355"/>
    </row>
    <row r="8120" spans="13:19" x14ac:dyDescent="0.25">
      <c r="M8120" s="514"/>
      <c r="Q8120" s="293"/>
      <c r="R8120" s="316"/>
      <c r="S8120" s="355"/>
    </row>
    <row r="8121" spans="13:19" x14ac:dyDescent="0.25">
      <c r="M8121" s="514"/>
      <c r="Q8121" s="293"/>
      <c r="R8121" s="316"/>
      <c r="S8121" s="355"/>
    </row>
    <row r="8122" spans="13:19" x14ac:dyDescent="0.25">
      <c r="M8122" s="514"/>
      <c r="Q8122" s="293"/>
      <c r="R8122" s="316"/>
      <c r="S8122" s="355"/>
    </row>
    <row r="8123" spans="13:19" x14ac:dyDescent="0.25">
      <c r="M8123" s="514"/>
      <c r="Q8123" s="293"/>
      <c r="R8123" s="316"/>
      <c r="S8123" s="355"/>
    </row>
    <row r="8124" spans="13:19" x14ac:dyDescent="0.25">
      <c r="M8124" s="514"/>
      <c r="Q8124" s="293"/>
      <c r="R8124" s="316"/>
      <c r="S8124" s="355"/>
    </row>
    <row r="8125" spans="13:19" x14ac:dyDescent="0.25">
      <c r="M8125" s="514"/>
      <c r="Q8125" s="293"/>
      <c r="R8125" s="316"/>
      <c r="S8125" s="355"/>
    </row>
    <row r="8126" spans="13:19" x14ac:dyDescent="0.25">
      <c r="M8126" s="514"/>
      <c r="Q8126" s="293"/>
      <c r="R8126" s="316"/>
      <c r="S8126" s="355"/>
    </row>
    <row r="8127" spans="13:19" x14ac:dyDescent="0.25">
      <c r="M8127" s="514"/>
      <c r="Q8127" s="293"/>
      <c r="R8127" s="316"/>
      <c r="S8127" s="355"/>
    </row>
    <row r="8128" spans="13:19" x14ac:dyDescent="0.25">
      <c r="M8128" s="514"/>
      <c r="Q8128" s="293"/>
      <c r="R8128" s="316"/>
      <c r="S8128" s="355"/>
    </row>
    <row r="8129" spans="13:19" x14ac:dyDescent="0.25">
      <c r="M8129" s="514"/>
      <c r="Q8129" s="293"/>
      <c r="R8129" s="316"/>
      <c r="S8129" s="355"/>
    </row>
    <row r="8130" spans="13:19" x14ac:dyDescent="0.25">
      <c r="M8130" s="514"/>
      <c r="Q8130" s="293"/>
      <c r="R8130" s="316"/>
      <c r="S8130" s="355"/>
    </row>
    <row r="8131" spans="13:19" x14ac:dyDescent="0.25">
      <c r="M8131" s="514"/>
      <c r="Q8131" s="293"/>
      <c r="R8131" s="316"/>
      <c r="S8131" s="355"/>
    </row>
    <row r="8132" spans="13:19" x14ac:dyDescent="0.25">
      <c r="M8132" s="514"/>
      <c r="Q8132" s="293"/>
      <c r="R8132" s="316"/>
      <c r="S8132" s="355"/>
    </row>
    <row r="8133" spans="13:19" x14ac:dyDescent="0.25">
      <c r="M8133" s="514"/>
      <c r="Q8133" s="293"/>
      <c r="R8133" s="316"/>
      <c r="S8133" s="355"/>
    </row>
    <row r="8134" spans="13:19" x14ac:dyDescent="0.25">
      <c r="M8134" s="514"/>
      <c r="Q8134" s="293"/>
      <c r="R8134" s="316"/>
      <c r="S8134" s="355"/>
    </row>
    <row r="8135" spans="13:19" x14ac:dyDescent="0.25">
      <c r="M8135" s="514"/>
      <c r="Q8135" s="293"/>
      <c r="R8135" s="316"/>
      <c r="S8135" s="355"/>
    </row>
    <row r="8136" spans="13:19" x14ac:dyDescent="0.25">
      <c r="M8136" s="514"/>
      <c r="Q8136" s="293"/>
      <c r="R8136" s="316"/>
      <c r="S8136" s="355"/>
    </row>
    <row r="8137" spans="13:19" x14ac:dyDescent="0.25">
      <c r="M8137" s="514"/>
      <c r="Q8137" s="293"/>
      <c r="R8137" s="316"/>
      <c r="S8137" s="355"/>
    </row>
    <row r="8138" spans="13:19" x14ac:dyDescent="0.25">
      <c r="M8138" s="514"/>
      <c r="Q8138" s="293"/>
      <c r="R8138" s="316"/>
      <c r="S8138" s="355"/>
    </row>
    <row r="8139" spans="13:19" x14ac:dyDescent="0.25">
      <c r="M8139" s="514"/>
      <c r="Q8139" s="293"/>
      <c r="R8139" s="316"/>
      <c r="S8139" s="355"/>
    </row>
    <row r="8140" spans="13:19" x14ac:dyDescent="0.25">
      <c r="M8140" s="514"/>
      <c r="Q8140" s="293"/>
      <c r="R8140" s="316"/>
      <c r="S8140" s="355"/>
    </row>
    <row r="8141" spans="13:19" x14ac:dyDescent="0.25">
      <c r="M8141" s="514"/>
      <c r="Q8141" s="293"/>
      <c r="R8141" s="316"/>
      <c r="S8141" s="355"/>
    </row>
    <row r="8142" spans="13:19" x14ac:dyDescent="0.25">
      <c r="M8142" s="514"/>
      <c r="Q8142" s="293"/>
      <c r="R8142" s="316"/>
      <c r="S8142" s="355"/>
    </row>
    <row r="8143" spans="13:19" x14ac:dyDescent="0.25">
      <c r="M8143" s="514"/>
      <c r="Q8143" s="293"/>
      <c r="R8143" s="316"/>
      <c r="S8143" s="355"/>
    </row>
    <row r="8144" spans="13:19" x14ac:dyDescent="0.25">
      <c r="M8144" s="514"/>
      <c r="Q8144" s="293"/>
      <c r="R8144" s="316"/>
      <c r="S8144" s="355"/>
    </row>
    <row r="8145" spans="13:19" x14ac:dyDescent="0.25">
      <c r="M8145" s="514"/>
      <c r="Q8145" s="293"/>
      <c r="R8145" s="316"/>
      <c r="S8145" s="355"/>
    </row>
    <row r="8146" spans="13:19" x14ac:dyDescent="0.25">
      <c r="M8146" s="514"/>
      <c r="Q8146" s="293"/>
      <c r="R8146" s="316"/>
      <c r="S8146" s="355"/>
    </row>
    <row r="8147" spans="13:19" x14ac:dyDescent="0.25">
      <c r="M8147" s="514"/>
      <c r="Q8147" s="293"/>
      <c r="R8147" s="316"/>
      <c r="S8147" s="355"/>
    </row>
    <row r="8148" spans="13:19" x14ac:dyDescent="0.25">
      <c r="M8148" s="514"/>
      <c r="Q8148" s="293"/>
      <c r="R8148" s="316"/>
      <c r="S8148" s="355"/>
    </row>
    <row r="8149" spans="13:19" x14ac:dyDescent="0.25">
      <c r="M8149" s="514"/>
      <c r="Q8149" s="293"/>
      <c r="R8149" s="316"/>
      <c r="S8149" s="355"/>
    </row>
    <row r="8150" spans="13:19" x14ac:dyDescent="0.25">
      <c r="M8150" s="514"/>
      <c r="Q8150" s="293"/>
      <c r="R8150" s="316"/>
      <c r="S8150" s="355"/>
    </row>
    <row r="8151" spans="13:19" x14ac:dyDescent="0.25">
      <c r="M8151" s="514"/>
      <c r="Q8151" s="293"/>
      <c r="R8151" s="316"/>
      <c r="S8151" s="355"/>
    </row>
    <row r="8152" spans="13:19" x14ac:dyDescent="0.25">
      <c r="M8152" s="514"/>
      <c r="Q8152" s="293"/>
      <c r="R8152" s="316"/>
      <c r="S8152" s="355"/>
    </row>
    <row r="8153" spans="13:19" x14ac:dyDescent="0.25">
      <c r="M8153" s="514"/>
      <c r="Q8153" s="293"/>
      <c r="R8153" s="316"/>
      <c r="S8153" s="355"/>
    </row>
    <row r="8154" spans="13:19" x14ac:dyDescent="0.25">
      <c r="M8154" s="514"/>
      <c r="Q8154" s="293"/>
      <c r="R8154" s="316"/>
      <c r="S8154" s="355"/>
    </row>
    <row r="8155" spans="13:19" x14ac:dyDescent="0.25">
      <c r="M8155" s="514"/>
      <c r="Q8155" s="293"/>
      <c r="R8155" s="316"/>
      <c r="S8155" s="355"/>
    </row>
    <row r="8156" spans="13:19" x14ac:dyDescent="0.25">
      <c r="M8156" s="514"/>
      <c r="Q8156" s="293"/>
      <c r="R8156" s="316"/>
      <c r="S8156" s="355"/>
    </row>
    <row r="8157" spans="13:19" x14ac:dyDescent="0.25">
      <c r="M8157" s="514"/>
      <c r="Q8157" s="293"/>
      <c r="R8157" s="316"/>
      <c r="S8157" s="355"/>
    </row>
    <row r="8158" spans="13:19" x14ac:dyDescent="0.25">
      <c r="M8158" s="514"/>
      <c r="Q8158" s="293"/>
      <c r="R8158" s="316"/>
      <c r="S8158" s="355"/>
    </row>
    <row r="8159" spans="13:19" x14ac:dyDescent="0.25">
      <c r="M8159" s="514"/>
      <c r="Q8159" s="293"/>
      <c r="R8159" s="316"/>
      <c r="S8159" s="355"/>
    </row>
    <row r="8160" spans="13:19" x14ac:dyDescent="0.25">
      <c r="M8160" s="514"/>
      <c r="Q8160" s="293"/>
      <c r="R8160" s="316"/>
      <c r="S8160" s="355"/>
    </row>
    <row r="8161" spans="13:19" x14ac:dyDescent="0.25">
      <c r="M8161" s="514"/>
      <c r="Q8161" s="293"/>
      <c r="R8161" s="316"/>
      <c r="S8161" s="355"/>
    </row>
    <row r="8162" spans="13:19" x14ac:dyDescent="0.25">
      <c r="M8162" s="514"/>
      <c r="Q8162" s="293"/>
      <c r="R8162" s="316"/>
      <c r="S8162" s="355"/>
    </row>
    <row r="8163" spans="13:19" x14ac:dyDescent="0.25">
      <c r="M8163" s="514"/>
      <c r="Q8163" s="293"/>
      <c r="R8163" s="316"/>
      <c r="S8163" s="355"/>
    </row>
    <row r="8164" spans="13:19" x14ac:dyDescent="0.25">
      <c r="M8164" s="514"/>
      <c r="Q8164" s="293"/>
      <c r="R8164" s="316"/>
      <c r="S8164" s="355"/>
    </row>
    <row r="8165" spans="13:19" x14ac:dyDescent="0.25">
      <c r="M8165" s="514"/>
      <c r="Q8165" s="293"/>
      <c r="R8165" s="316"/>
      <c r="S8165" s="355"/>
    </row>
    <row r="8166" spans="13:19" x14ac:dyDescent="0.25">
      <c r="M8166" s="514"/>
      <c r="Q8166" s="293"/>
      <c r="R8166" s="316"/>
      <c r="S8166" s="355"/>
    </row>
    <row r="8167" spans="13:19" x14ac:dyDescent="0.25">
      <c r="M8167" s="514"/>
      <c r="Q8167" s="293"/>
      <c r="R8167" s="316"/>
      <c r="S8167" s="355"/>
    </row>
    <row r="8168" spans="13:19" x14ac:dyDescent="0.25">
      <c r="M8168" s="514"/>
      <c r="Q8168" s="293"/>
      <c r="R8168" s="316"/>
      <c r="S8168" s="355"/>
    </row>
    <row r="8169" spans="13:19" x14ac:dyDescent="0.25">
      <c r="M8169" s="514"/>
      <c r="Q8169" s="293"/>
      <c r="R8169" s="316"/>
      <c r="S8169" s="355"/>
    </row>
    <row r="8170" spans="13:19" x14ac:dyDescent="0.25">
      <c r="M8170" s="514"/>
      <c r="Q8170" s="293"/>
      <c r="R8170" s="316"/>
      <c r="S8170" s="355"/>
    </row>
    <row r="8171" spans="13:19" x14ac:dyDescent="0.25">
      <c r="M8171" s="514"/>
      <c r="Q8171" s="293"/>
      <c r="R8171" s="316"/>
      <c r="S8171" s="355"/>
    </row>
    <row r="8172" spans="13:19" x14ac:dyDescent="0.25">
      <c r="M8172" s="514"/>
      <c r="Q8172" s="293"/>
      <c r="R8172" s="316"/>
      <c r="S8172" s="355"/>
    </row>
    <row r="8173" spans="13:19" x14ac:dyDescent="0.25">
      <c r="M8173" s="514"/>
      <c r="Q8173" s="293"/>
      <c r="R8173" s="316"/>
      <c r="S8173" s="355"/>
    </row>
    <row r="8174" spans="13:19" x14ac:dyDescent="0.25">
      <c r="M8174" s="514"/>
      <c r="Q8174" s="293"/>
      <c r="R8174" s="316"/>
      <c r="S8174" s="355"/>
    </row>
    <row r="8175" spans="13:19" x14ac:dyDescent="0.25">
      <c r="M8175" s="514"/>
      <c r="Q8175" s="293"/>
      <c r="R8175" s="316"/>
      <c r="S8175" s="355"/>
    </row>
    <row r="8176" spans="13:19" x14ac:dyDescent="0.25">
      <c r="M8176" s="514"/>
      <c r="Q8176" s="293"/>
      <c r="R8176" s="316"/>
      <c r="S8176" s="355"/>
    </row>
    <row r="8177" spans="13:19" x14ac:dyDescent="0.25">
      <c r="M8177" s="514"/>
      <c r="Q8177" s="293"/>
      <c r="R8177" s="316"/>
      <c r="S8177" s="355"/>
    </row>
    <row r="8178" spans="13:19" x14ac:dyDescent="0.25">
      <c r="M8178" s="514"/>
      <c r="Q8178" s="293"/>
      <c r="R8178" s="316"/>
      <c r="S8178" s="355"/>
    </row>
    <row r="8179" spans="13:19" x14ac:dyDescent="0.25">
      <c r="M8179" s="514"/>
      <c r="Q8179" s="293"/>
      <c r="R8179" s="316"/>
      <c r="S8179" s="355"/>
    </row>
    <row r="8180" spans="13:19" x14ac:dyDescent="0.25">
      <c r="M8180" s="514"/>
      <c r="Q8180" s="293"/>
      <c r="R8180" s="316"/>
      <c r="S8180" s="355"/>
    </row>
    <row r="8181" spans="13:19" x14ac:dyDescent="0.25">
      <c r="M8181" s="514"/>
      <c r="Q8181" s="293"/>
      <c r="R8181" s="316"/>
      <c r="S8181" s="355"/>
    </row>
    <row r="8182" spans="13:19" x14ac:dyDescent="0.25">
      <c r="M8182" s="514"/>
      <c r="Q8182" s="293"/>
      <c r="R8182" s="316"/>
      <c r="S8182" s="355"/>
    </row>
    <row r="8183" spans="13:19" x14ac:dyDescent="0.25">
      <c r="M8183" s="514"/>
      <c r="Q8183" s="293"/>
      <c r="R8183" s="316"/>
      <c r="S8183" s="355"/>
    </row>
    <row r="8184" spans="13:19" x14ac:dyDescent="0.25">
      <c r="M8184" s="514"/>
      <c r="Q8184" s="293"/>
      <c r="R8184" s="316"/>
      <c r="S8184" s="355"/>
    </row>
    <row r="8185" spans="13:19" x14ac:dyDescent="0.25">
      <c r="M8185" s="514"/>
      <c r="Q8185" s="293"/>
      <c r="R8185" s="316"/>
      <c r="S8185" s="355"/>
    </row>
    <row r="8186" spans="13:19" x14ac:dyDescent="0.25">
      <c r="M8186" s="514"/>
      <c r="Q8186" s="293"/>
      <c r="R8186" s="316"/>
      <c r="S8186" s="355"/>
    </row>
    <row r="8187" spans="13:19" x14ac:dyDescent="0.25">
      <c r="M8187" s="514"/>
      <c r="Q8187" s="293"/>
      <c r="R8187" s="316"/>
      <c r="S8187" s="355"/>
    </row>
    <row r="8188" spans="13:19" x14ac:dyDescent="0.25">
      <c r="M8188" s="514"/>
      <c r="Q8188" s="293"/>
      <c r="R8188" s="316"/>
      <c r="S8188" s="355"/>
    </row>
    <row r="8189" spans="13:19" x14ac:dyDescent="0.25">
      <c r="M8189" s="514"/>
      <c r="Q8189" s="293"/>
      <c r="R8189" s="316"/>
      <c r="S8189" s="355"/>
    </row>
    <row r="8190" spans="13:19" x14ac:dyDescent="0.25">
      <c r="M8190" s="514"/>
      <c r="Q8190" s="293"/>
      <c r="R8190" s="316"/>
      <c r="S8190" s="355"/>
    </row>
    <row r="8191" spans="13:19" x14ac:dyDescent="0.25">
      <c r="M8191" s="514"/>
      <c r="Q8191" s="293"/>
      <c r="R8191" s="316"/>
      <c r="S8191" s="355"/>
    </row>
    <row r="8192" spans="13:19" x14ac:dyDescent="0.25">
      <c r="M8192" s="514"/>
      <c r="Q8192" s="293"/>
      <c r="R8192" s="316"/>
      <c r="S8192" s="355"/>
    </row>
    <row r="8193" spans="13:19" x14ac:dyDescent="0.25">
      <c r="M8193" s="514"/>
      <c r="Q8193" s="293"/>
      <c r="R8193" s="316"/>
      <c r="S8193" s="355"/>
    </row>
    <row r="8194" spans="13:19" x14ac:dyDescent="0.25">
      <c r="M8194" s="514"/>
      <c r="Q8194" s="293"/>
      <c r="R8194" s="316"/>
      <c r="S8194" s="355"/>
    </row>
    <row r="8195" spans="13:19" x14ac:dyDescent="0.25">
      <c r="M8195" s="514"/>
      <c r="Q8195" s="293"/>
      <c r="R8195" s="316"/>
      <c r="S8195" s="355"/>
    </row>
    <row r="8196" spans="13:19" x14ac:dyDescent="0.25">
      <c r="M8196" s="514"/>
      <c r="Q8196" s="293"/>
      <c r="R8196" s="316"/>
      <c r="S8196" s="355"/>
    </row>
    <row r="8197" spans="13:19" x14ac:dyDescent="0.25">
      <c r="M8197" s="514"/>
      <c r="Q8197" s="293"/>
      <c r="R8197" s="316"/>
      <c r="S8197" s="355"/>
    </row>
    <row r="8198" spans="13:19" x14ac:dyDescent="0.25">
      <c r="M8198" s="514"/>
      <c r="Q8198" s="293"/>
      <c r="R8198" s="316"/>
      <c r="S8198" s="355"/>
    </row>
    <row r="8199" spans="13:19" x14ac:dyDescent="0.25">
      <c r="M8199" s="514"/>
      <c r="Q8199" s="293"/>
      <c r="R8199" s="316"/>
      <c r="S8199" s="355"/>
    </row>
    <row r="8200" spans="13:19" x14ac:dyDescent="0.25">
      <c r="M8200" s="514"/>
      <c r="Q8200" s="293"/>
      <c r="R8200" s="316"/>
      <c r="S8200" s="355"/>
    </row>
    <row r="8201" spans="13:19" x14ac:dyDescent="0.25">
      <c r="M8201" s="514"/>
      <c r="Q8201" s="293"/>
      <c r="R8201" s="316"/>
      <c r="S8201" s="355"/>
    </row>
    <row r="8202" spans="13:19" x14ac:dyDescent="0.25">
      <c r="M8202" s="514"/>
      <c r="Q8202" s="293"/>
      <c r="R8202" s="316"/>
      <c r="S8202" s="355"/>
    </row>
    <row r="8203" spans="13:19" x14ac:dyDescent="0.25">
      <c r="M8203" s="514"/>
      <c r="Q8203" s="293"/>
      <c r="R8203" s="316"/>
      <c r="S8203" s="355"/>
    </row>
    <row r="8204" spans="13:19" x14ac:dyDescent="0.25">
      <c r="M8204" s="514"/>
      <c r="Q8204" s="293"/>
      <c r="R8204" s="316"/>
      <c r="S8204" s="355"/>
    </row>
    <row r="8205" spans="13:19" x14ac:dyDescent="0.25">
      <c r="M8205" s="514"/>
      <c r="Q8205" s="293"/>
      <c r="R8205" s="316"/>
      <c r="S8205" s="355"/>
    </row>
    <row r="8206" spans="13:19" x14ac:dyDescent="0.25">
      <c r="M8206" s="514"/>
      <c r="Q8206" s="293"/>
      <c r="R8206" s="316"/>
      <c r="S8206" s="355"/>
    </row>
    <row r="8207" spans="13:19" x14ac:dyDescent="0.25">
      <c r="M8207" s="514"/>
      <c r="Q8207" s="293"/>
      <c r="R8207" s="316"/>
      <c r="S8207" s="355"/>
    </row>
    <row r="8208" spans="13:19" x14ac:dyDescent="0.25">
      <c r="M8208" s="514"/>
      <c r="Q8208" s="293"/>
      <c r="R8208" s="316"/>
      <c r="S8208" s="355"/>
    </row>
    <row r="8209" spans="13:19" x14ac:dyDescent="0.25">
      <c r="M8209" s="514"/>
      <c r="Q8209" s="293"/>
      <c r="R8209" s="316"/>
      <c r="S8209" s="355"/>
    </row>
    <row r="8210" spans="13:19" x14ac:dyDescent="0.25">
      <c r="M8210" s="514"/>
      <c r="Q8210" s="293"/>
      <c r="R8210" s="316"/>
      <c r="S8210" s="355"/>
    </row>
    <row r="8211" spans="13:19" x14ac:dyDescent="0.25">
      <c r="M8211" s="514"/>
      <c r="Q8211" s="293"/>
      <c r="R8211" s="316"/>
      <c r="S8211" s="355"/>
    </row>
    <row r="8212" spans="13:19" x14ac:dyDescent="0.25">
      <c r="M8212" s="514"/>
      <c r="Q8212" s="293"/>
      <c r="R8212" s="316"/>
      <c r="S8212" s="355"/>
    </row>
    <row r="8213" spans="13:19" x14ac:dyDescent="0.25">
      <c r="M8213" s="514"/>
      <c r="Q8213" s="293"/>
      <c r="R8213" s="316"/>
      <c r="S8213" s="355"/>
    </row>
    <row r="8214" spans="13:19" x14ac:dyDescent="0.25">
      <c r="M8214" s="514"/>
      <c r="Q8214" s="293"/>
      <c r="R8214" s="316"/>
      <c r="S8214" s="355"/>
    </row>
    <row r="8215" spans="13:19" x14ac:dyDescent="0.25">
      <c r="M8215" s="514"/>
      <c r="Q8215" s="293"/>
      <c r="R8215" s="316"/>
      <c r="S8215" s="355"/>
    </row>
    <row r="8216" spans="13:19" x14ac:dyDescent="0.25">
      <c r="M8216" s="514"/>
      <c r="Q8216" s="293"/>
      <c r="R8216" s="316"/>
      <c r="S8216" s="355"/>
    </row>
    <row r="8217" spans="13:19" x14ac:dyDescent="0.25">
      <c r="M8217" s="514"/>
      <c r="Q8217" s="293"/>
      <c r="R8217" s="316"/>
      <c r="S8217" s="355"/>
    </row>
    <row r="8218" spans="13:19" x14ac:dyDescent="0.25">
      <c r="M8218" s="514"/>
      <c r="Q8218" s="293"/>
      <c r="R8218" s="316"/>
      <c r="S8218" s="355"/>
    </row>
    <row r="8219" spans="13:19" x14ac:dyDescent="0.25">
      <c r="M8219" s="514"/>
      <c r="Q8219" s="293"/>
      <c r="R8219" s="316"/>
      <c r="S8219" s="355"/>
    </row>
    <row r="8220" spans="13:19" x14ac:dyDescent="0.25">
      <c r="M8220" s="514"/>
      <c r="Q8220" s="293"/>
      <c r="R8220" s="316"/>
      <c r="S8220" s="355"/>
    </row>
    <row r="8221" spans="13:19" x14ac:dyDescent="0.25">
      <c r="M8221" s="514"/>
      <c r="Q8221" s="293"/>
      <c r="R8221" s="316"/>
      <c r="S8221" s="355"/>
    </row>
    <row r="8222" spans="13:19" x14ac:dyDescent="0.25">
      <c r="M8222" s="514"/>
      <c r="Q8222" s="293"/>
      <c r="R8222" s="316"/>
      <c r="S8222" s="355"/>
    </row>
    <row r="8223" spans="13:19" x14ac:dyDescent="0.25">
      <c r="M8223" s="514"/>
      <c r="Q8223" s="293"/>
      <c r="R8223" s="316"/>
      <c r="S8223" s="355"/>
    </row>
    <row r="8224" spans="13:19" x14ac:dyDescent="0.25">
      <c r="M8224" s="514"/>
      <c r="Q8224" s="293"/>
      <c r="R8224" s="316"/>
      <c r="S8224" s="355"/>
    </row>
    <row r="8225" spans="13:19" x14ac:dyDescent="0.25">
      <c r="M8225" s="514"/>
      <c r="Q8225" s="293"/>
      <c r="R8225" s="316"/>
      <c r="S8225" s="355"/>
    </row>
    <row r="8226" spans="13:19" x14ac:dyDescent="0.25">
      <c r="M8226" s="514"/>
      <c r="Q8226" s="293"/>
      <c r="R8226" s="316"/>
      <c r="S8226" s="355"/>
    </row>
    <row r="8227" spans="13:19" x14ac:dyDescent="0.25">
      <c r="M8227" s="514"/>
      <c r="Q8227" s="293"/>
      <c r="R8227" s="316"/>
      <c r="S8227" s="355"/>
    </row>
    <row r="8228" spans="13:19" x14ac:dyDescent="0.25">
      <c r="M8228" s="514"/>
      <c r="Q8228" s="293"/>
      <c r="R8228" s="316"/>
      <c r="S8228" s="355"/>
    </row>
    <row r="8229" spans="13:19" x14ac:dyDescent="0.25">
      <c r="M8229" s="514"/>
      <c r="Q8229" s="293"/>
      <c r="R8229" s="316"/>
      <c r="S8229" s="355"/>
    </row>
    <row r="8230" spans="13:19" x14ac:dyDescent="0.25">
      <c r="M8230" s="514"/>
      <c r="Q8230" s="293"/>
      <c r="R8230" s="316"/>
      <c r="S8230" s="355"/>
    </row>
    <row r="8231" spans="13:19" x14ac:dyDescent="0.25">
      <c r="M8231" s="514"/>
      <c r="Q8231" s="293"/>
      <c r="R8231" s="316"/>
      <c r="S8231" s="355"/>
    </row>
    <row r="8232" spans="13:19" x14ac:dyDescent="0.25">
      <c r="M8232" s="514"/>
      <c r="Q8232" s="293"/>
      <c r="R8232" s="316"/>
      <c r="S8232" s="355"/>
    </row>
    <row r="8233" spans="13:19" x14ac:dyDescent="0.25">
      <c r="M8233" s="514"/>
      <c r="Q8233" s="293"/>
      <c r="R8233" s="316"/>
      <c r="S8233" s="355"/>
    </row>
    <row r="8234" spans="13:19" x14ac:dyDescent="0.25">
      <c r="M8234" s="514"/>
      <c r="Q8234" s="293"/>
      <c r="R8234" s="316"/>
      <c r="S8234" s="355"/>
    </row>
    <row r="8235" spans="13:19" x14ac:dyDescent="0.25">
      <c r="M8235" s="514"/>
      <c r="Q8235" s="293"/>
      <c r="R8235" s="316"/>
      <c r="S8235" s="355"/>
    </row>
    <row r="8236" spans="13:19" x14ac:dyDescent="0.25">
      <c r="M8236" s="514"/>
      <c r="Q8236" s="293"/>
      <c r="R8236" s="316"/>
      <c r="S8236" s="355"/>
    </row>
    <row r="8237" spans="13:19" x14ac:dyDescent="0.25">
      <c r="M8237" s="514"/>
      <c r="Q8237" s="293"/>
      <c r="R8237" s="316"/>
      <c r="S8237" s="355"/>
    </row>
    <row r="8238" spans="13:19" x14ac:dyDescent="0.25">
      <c r="M8238" s="514"/>
      <c r="Q8238" s="293"/>
      <c r="R8238" s="316"/>
      <c r="S8238" s="355"/>
    </row>
    <row r="8239" spans="13:19" x14ac:dyDescent="0.25">
      <c r="M8239" s="514"/>
      <c r="Q8239" s="293"/>
      <c r="R8239" s="316"/>
      <c r="S8239" s="355"/>
    </row>
    <row r="8240" spans="13:19" x14ac:dyDescent="0.25">
      <c r="M8240" s="514"/>
      <c r="Q8240" s="293"/>
      <c r="R8240" s="316"/>
      <c r="S8240" s="355"/>
    </row>
    <row r="8241" spans="13:19" x14ac:dyDescent="0.25">
      <c r="M8241" s="514"/>
      <c r="Q8241" s="293"/>
      <c r="R8241" s="316"/>
      <c r="S8241" s="355"/>
    </row>
    <row r="8242" spans="13:19" x14ac:dyDescent="0.25">
      <c r="M8242" s="514"/>
      <c r="Q8242" s="293"/>
      <c r="R8242" s="316"/>
      <c r="S8242" s="355"/>
    </row>
    <row r="8243" spans="13:19" x14ac:dyDescent="0.25">
      <c r="M8243" s="514"/>
      <c r="Q8243" s="293"/>
      <c r="R8243" s="316"/>
      <c r="S8243" s="355"/>
    </row>
    <row r="8244" spans="13:19" x14ac:dyDescent="0.25">
      <c r="M8244" s="514"/>
      <c r="Q8244" s="293"/>
      <c r="R8244" s="316"/>
      <c r="S8244" s="355"/>
    </row>
    <row r="8245" spans="13:19" x14ac:dyDescent="0.25">
      <c r="M8245" s="514"/>
      <c r="Q8245" s="293"/>
      <c r="R8245" s="316"/>
      <c r="S8245" s="355"/>
    </row>
    <row r="8246" spans="13:19" x14ac:dyDescent="0.25">
      <c r="M8246" s="514"/>
      <c r="Q8246" s="293"/>
      <c r="R8246" s="316"/>
      <c r="S8246" s="355"/>
    </row>
    <row r="8247" spans="13:19" x14ac:dyDescent="0.25">
      <c r="M8247" s="514"/>
      <c r="Q8247" s="293"/>
      <c r="R8247" s="316"/>
      <c r="S8247" s="355"/>
    </row>
    <row r="8248" spans="13:19" x14ac:dyDescent="0.25">
      <c r="M8248" s="514"/>
      <c r="Q8248" s="293"/>
      <c r="R8248" s="316"/>
      <c r="S8248" s="355"/>
    </row>
    <row r="8249" spans="13:19" x14ac:dyDescent="0.25">
      <c r="M8249" s="514"/>
      <c r="Q8249" s="293"/>
      <c r="R8249" s="316"/>
      <c r="S8249" s="355"/>
    </row>
    <row r="8250" spans="13:19" x14ac:dyDescent="0.25">
      <c r="M8250" s="514"/>
      <c r="Q8250" s="293"/>
      <c r="R8250" s="316"/>
      <c r="S8250" s="355"/>
    </row>
    <row r="8251" spans="13:19" x14ac:dyDescent="0.25">
      <c r="M8251" s="514"/>
      <c r="Q8251" s="293"/>
      <c r="R8251" s="316"/>
      <c r="S8251" s="355"/>
    </row>
    <row r="8252" spans="13:19" x14ac:dyDescent="0.25">
      <c r="M8252" s="514"/>
      <c r="Q8252" s="293"/>
      <c r="R8252" s="316"/>
      <c r="S8252" s="355"/>
    </row>
    <row r="8253" spans="13:19" x14ac:dyDescent="0.25">
      <c r="M8253" s="514"/>
      <c r="Q8253" s="293"/>
      <c r="R8253" s="316"/>
      <c r="S8253" s="355"/>
    </row>
    <row r="8254" spans="13:19" x14ac:dyDescent="0.25">
      <c r="M8254" s="514"/>
      <c r="Q8254" s="293"/>
      <c r="R8254" s="316"/>
      <c r="S8254" s="355"/>
    </row>
    <row r="8255" spans="13:19" x14ac:dyDescent="0.25">
      <c r="M8255" s="514"/>
      <c r="Q8255" s="293"/>
      <c r="R8255" s="316"/>
      <c r="S8255" s="355"/>
    </row>
    <row r="8256" spans="13:19" x14ac:dyDescent="0.25">
      <c r="M8256" s="514"/>
      <c r="Q8256" s="293"/>
      <c r="R8256" s="316"/>
      <c r="S8256" s="355"/>
    </row>
    <row r="8257" spans="13:19" x14ac:dyDescent="0.25">
      <c r="M8257" s="514"/>
      <c r="Q8257" s="293"/>
      <c r="R8257" s="316"/>
      <c r="S8257" s="355"/>
    </row>
    <row r="8258" spans="13:19" x14ac:dyDescent="0.25">
      <c r="M8258" s="514"/>
      <c r="Q8258" s="293"/>
      <c r="R8258" s="316"/>
      <c r="S8258" s="355"/>
    </row>
    <row r="8259" spans="13:19" x14ac:dyDescent="0.25">
      <c r="M8259" s="514"/>
      <c r="Q8259" s="293"/>
      <c r="R8259" s="316"/>
      <c r="S8259" s="355"/>
    </row>
    <row r="8260" spans="13:19" x14ac:dyDescent="0.25">
      <c r="M8260" s="514"/>
      <c r="Q8260" s="293"/>
      <c r="R8260" s="316"/>
      <c r="S8260" s="355"/>
    </row>
    <row r="8261" spans="13:19" x14ac:dyDescent="0.25">
      <c r="M8261" s="514"/>
      <c r="Q8261" s="293"/>
      <c r="R8261" s="316"/>
      <c r="S8261" s="355"/>
    </row>
    <row r="8262" spans="13:19" x14ac:dyDescent="0.25">
      <c r="M8262" s="514"/>
      <c r="Q8262" s="293"/>
      <c r="R8262" s="316"/>
      <c r="S8262" s="355"/>
    </row>
    <row r="8263" spans="13:19" x14ac:dyDescent="0.25">
      <c r="M8263" s="514"/>
      <c r="Q8263" s="293"/>
      <c r="R8263" s="316"/>
      <c r="S8263" s="355"/>
    </row>
    <row r="8264" spans="13:19" x14ac:dyDescent="0.25">
      <c r="M8264" s="514"/>
      <c r="Q8264" s="293"/>
      <c r="R8264" s="316"/>
      <c r="S8264" s="355"/>
    </row>
    <row r="8265" spans="13:19" x14ac:dyDescent="0.25">
      <c r="M8265" s="514"/>
      <c r="Q8265" s="293"/>
      <c r="R8265" s="316"/>
      <c r="S8265" s="355"/>
    </row>
    <row r="8266" spans="13:19" x14ac:dyDescent="0.25">
      <c r="M8266" s="514"/>
      <c r="Q8266" s="293"/>
      <c r="R8266" s="316"/>
      <c r="S8266" s="355"/>
    </row>
    <row r="8267" spans="13:19" x14ac:dyDescent="0.25">
      <c r="M8267" s="514"/>
      <c r="Q8267" s="293"/>
      <c r="R8267" s="316"/>
      <c r="S8267" s="355"/>
    </row>
    <row r="8268" spans="13:19" x14ac:dyDescent="0.25">
      <c r="M8268" s="514"/>
      <c r="Q8268" s="293"/>
      <c r="R8268" s="316"/>
      <c r="S8268" s="355"/>
    </row>
    <row r="8269" spans="13:19" x14ac:dyDescent="0.25">
      <c r="M8269" s="514"/>
      <c r="Q8269" s="293"/>
      <c r="R8269" s="316"/>
      <c r="S8269" s="355"/>
    </row>
    <row r="8270" spans="13:19" x14ac:dyDescent="0.25">
      <c r="M8270" s="514"/>
      <c r="Q8270" s="293"/>
      <c r="R8270" s="316"/>
      <c r="S8270" s="355"/>
    </row>
    <row r="8271" spans="13:19" x14ac:dyDescent="0.25">
      <c r="M8271" s="514"/>
      <c r="Q8271" s="293"/>
      <c r="R8271" s="316"/>
      <c r="S8271" s="355"/>
    </row>
    <row r="8272" spans="13:19" x14ac:dyDescent="0.25">
      <c r="M8272" s="514"/>
      <c r="Q8272" s="293"/>
      <c r="R8272" s="316"/>
      <c r="S8272" s="355"/>
    </row>
    <row r="8273" spans="13:19" x14ac:dyDescent="0.25">
      <c r="M8273" s="514"/>
      <c r="Q8273" s="293"/>
      <c r="R8273" s="316"/>
      <c r="S8273" s="355"/>
    </row>
    <row r="8274" spans="13:19" x14ac:dyDescent="0.25">
      <c r="M8274" s="514"/>
      <c r="Q8274" s="293"/>
      <c r="R8274" s="316"/>
      <c r="S8274" s="355"/>
    </row>
    <row r="8275" spans="13:19" x14ac:dyDescent="0.25">
      <c r="M8275" s="514"/>
      <c r="Q8275" s="293"/>
      <c r="R8275" s="316"/>
      <c r="S8275" s="355"/>
    </row>
    <row r="8276" spans="13:19" x14ac:dyDescent="0.25">
      <c r="M8276" s="514"/>
      <c r="Q8276" s="293"/>
      <c r="R8276" s="316"/>
      <c r="S8276" s="355"/>
    </row>
    <row r="8277" spans="13:19" x14ac:dyDescent="0.25">
      <c r="M8277" s="514"/>
      <c r="Q8277" s="293"/>
      <c r="R8277" s="316"/>
      <c r="S8277" s="355"/>
    </row>
    <row r="8278" spans="13:19" x14ac:dyDescent="0.25">
      <c r="M8278" s="514"/>
      <c r="Q8278" s="293"/>
      <c r="R8278" s="316"/>
      <c r="S8278" s="355"/>
    </row>
    <row r="8279" spans="13:19" x14ac:dyDescent="0.25">
      <c r="M8279" s="514"/>
      <c r="Q8279" s="293"/>
      <c r="R8279" s="316"/>
      <c r="S8279" s="355"/>
    </row>
    <row r="8280" spans="13:19" x14ac:dyDescent="0.25">
      <c r="M8280" s="514"/>
      <c r="Q8280" s="293"/>
      <c r="R8280" s="316"/>
      <c r="S8280" s="355"/>
    </row>
    <row r="8281" spans="13:19" x14ac:dyDescent="0.25">
      <c r="M8281" s="514"/>
      <c r="Q8281" s="293"/>
      <c r="R8281" s="316"/>
      <c r="S8281" s="355"/>
    </row>
    <row r="8282" spans="13:19" x14ac:dyDescent="0.25">
      <c r="M8282" s="514"/>
      <c r="Q8282" s="293"/>
      <c r="R8282" s="316"/>
      <c r="S8282" s="355"/>
    </row>
    <row r="8283" spans="13:19" x14ac:dyDescent="0.25">
      <c r="M8283" s="514"/>
      <c r="Q8283" s="293"/>
      <c r="R8283" s="316"/>
      <c r="S8283" s="355"/>
    </row>
    <row r="8284" spans="13:19" x14ac:dyDescent="0.25">
      <c r="M8284" s="514"/>
      <c r="Q8284" s="293"/>
      <c r="R8284" s="316"/>
      <c r="S8284" s="355"/>
    </row>
    <row r="8285" spans="13:19" x14ac:dyDescent="0.25">
      <c r="M8285" s="514"/>
      <c r="Q8285" s="293"/>
      <c r="R8285" s="316"/>
      <c r="S8285" s="355"/>
    </row>
    <row r="8286" spans="13:19" x14ac:dyDescent="0.25">
      <c r="M8286" s="514"/>
      <c r="Q8286" s="293"/>
      <c r="R8286" s="316"/>
      <c r="S8286" s="355"/>
    </row>
    <row r="8287" spans="13:19" x14ac:dyDescent="0.25">
      <c r="M8287" s="514"/>
      <c r="Q8287" s="293"/>
      <c r="R8287" s="316"/>
      <c r="S8287" s="355"/>
    </row>
    <row r="8288" spans="13:19" x14ac:dyDescent="0.25">
      <c r="M8288" s="514"/>
      <c r="Q8288" s="293"/>
      <c r="R8288" s="316"/>
      <c r="S8288" s="355"/>
    </row>
    <row r="8289" spans="13:19" x14ac:dyDescent="0.25">
      <c r="M8289" s="514"/>
      <c r="Q8289" s="293"/>
      <c r="R8289" s="316"/>
      <c r="S8289" s="355"/>
    </row>
    <row r="8290" spans="13:19" x14ac:dyDescent="0.25">
      <c r="M8290" s="514"/>
      <c r="Q8290" s="293"/>
      <c r="R8290" s="316"/>
      <c r="S8290" s="355"/>
    </row>
    <row r="8291" spans="13:19" x14ac:dyDescent="0.25">
      <c r="M8291" s="514"/>
      <c r="Q8291" s="293"/>
      <c r="R8291" s="316"/>
      <c r="S8291" s="355"/>
    </row>
    <row r="8292" spans="13:19" x14ac:dyDescent="0.25">
      <c r="M8292" s="514"/>
      <c r="Q8292" s="293"/>
      <c r="R8292" s="316"/>
      <c r="S8292" s="355"/>
    </row>
    <row r="8293" spans="13:19" x14ac:dyDescent="0.25">
      <c r="M8293" s="514"/>
      <c r="Q8293" s="293"/>
      <c r="R8293" s="316"/>
      <c r="S8293" s="355"/>
    </row>
    <row r="8294" spans="13:19" x14ac:dyDescent="0.25">
      <c r="M8294" s="514"/>
      <c r="Q8294" s="293"/>
      <c r="R8294" s="316"/>
      <c r="S8294" s="355"/>
    </row>
    <row r="8295" spans="13:19" x14ac:dyDescent="0.25">
      <c r="M8295" s="514"/>
      <c r="Q8295" s="293"/>
      <c r="R8295" s="316"/>
      <c r="S8295" s="355"/>
    </row>
    <row r="8296" spans="13:19" x14ac:dyDescent="0.25">
      <c r="M8296" s="514"/>
      <c r="Q8296" s="293"/>
      <c r="R8296" s="316"/>
      <c r="S8296" s="355"/>
    </row>
    <row r="8297" spans="13:19" x14ac:dyDescent="0.25">
      <c r="M8297" s="514"/>
      <c r="Q8297" s="293"/>
      <c r="R8297" s="316"/>
      <c r="S8297" s="355"/>
    </row>
    <row r="8298" spans="13:19" x14ac:dyDescent="0.25">
      <c r="M8298" s="514"/>
      <c r="Q8298" s="293"/>
      <c r="R8298" s="316"/>
      <c r="S8298" s="355"/>
    </row>
    <row r="8299" spans="13:19" x14ac:dyDescent="0.25">
      <c r="M8299" s="514"/>
      <c r="Q8299" s="293"/>
      <c r="R8299" s="316"/>
      <c r="S8299" s="355"/>
    </row>
    <row r="8300" spans="13:19" x14ac:dyDescent="0.25">
      <c r="M8300" s="514"/>
      <c r="Q8300" s="293"/>
      <c r="R8300" s="316"/>
      <c r="S8300" s="355"/>
    </row>
    <row r="8301" spans="13:19" x14ac:dyDescent="0.25">
      <c r="M8301" s="514"/>
      <c r="Q8301" s="293"/>
      <c r="R8301" s="316"/>
      <c r="S8301" s="355"/>
    </row>
    <row r="8302" spans="13:19" x14ac:dyDescent="0.25">
      <c r="M8302" s="514"/>
      <c r="Q8302" s="293"/>
      <c r="R8302" s="316"/>
      <c r="S8302" s="355"/>
    </row>
    <row r="8303" spans="13:19" x14ac:dyDescent="0.25">
      <c r="M8303" s="514"/>
      <c r="Q8303" s="293"/>
      <c r="R8303" s="316"/>
      <c r="S8303" s="355"/>
    </row>
    <row r="8304" spans="13:19" x14ac:dyDescent="0.25">
      <c r="M8304" s="514"/>
      <c r="Q8304" s="293"/>
      <c r="R8304" s="316"/>
      <c r="S8304" s="355"/>
    </row>
    <row r="8305" spans="13:19" x14ac:dyDescent="0.25">
      <c r="M8305" s="514"/>
      <c r="Q8305" s="293"/>
      <c r="R8305" s="316"/>
      <c r="S8305" s="355"/>
    </row>
    <row r="8306" spans="13:19" x14ac:dyDescent="0.25">
      <c r="M8306" s="514"/>
      <c r="Q8306" s="293"/>
      <c r="R8306" s="316"/>
      <c r="S8306" s="355"/>
    </row>
    <row r="8307" spans="13:19" x14ac:dyDescent="0.25">
      <c r="M8307" s="514"/>
      <c r="Q8307" s="293"/>
      <c r="R8307" s="316"/>
      <c r="S8307" s="355"/>
    </row>
    <row r="8308" spans="13:19" x14ac:dyDescent="0.25">
      <c r="M8308" s="514"/>
      <c r="Q8308" s="293"/>
      <c r="R8308" s="316"/>
      <c r="S8308" s="355"/>
    </row>
    <row r="8309" spans="13:19" x14ac:dyDescent="0.25">
      <c r="M8309" s="514"/>
      <c r="Q8309" s="293"/>
      <c r="R8309" s="316"/>
      <c r="S8309" s="355"/>
    </row>
    <row r="8310" spans="13:19" x14ac:dyDescent="0.25">
      <c r="M8310" s="514"/>
      <c r="Q8310" s="293"/>
      <c r="R8310" s="316"/>
      <c r="S8310" s="355"/>
    </row>
    <row r="8311" spans="13:19" x14ac:dyDescent="0.25">
      <c r="M8311" s="514"/>
      <c r="Q8311" s="293"/>
      <c r="R8311" s="316"/>
      <c r="S8311" s="355"/>
    </row>
    <row r="8312" spans="13:19" x14ac:dyDescent="0.25">
      <c r="M8312" s="514"/>
      <c r="Q8312" s="293"/>
      <c r="R8312" s="316"/>
      <c r="S8312" s="355"/>
    </row>
    <row r="8313" spans="13:19" x14ac:dyDescent="0.25">
      <c r="M8313" s="514"/>
      <c r="Q8313" s="293"/>
      <c r="R8313" s="316"/>
      <c r="S8313" s="355"/>
    </row>
    <row r="8314" spans="13:19" x14ac:dyDescent="0.25">
      <c r="M8314" s="514"/>
      <c r="Q8314" s="293"/>
      <c r="R8314" s="316"/>
      <c r="S8314" s="355"/>
    </row>
    <row r="8315" spans="13:19" x14ac:dyDescent="0.25">
      <c r="M8315" s="514"/>
      <c r="Q8315" s="293"/>
      <c r="R8315" s="316"/>
      <c r="S8315" s="355"/>
    </row>
    <row r="8316" spans="13:19" x14ac:dyDescent="0.25">
      <c r="M8316" s="514"/>
      <c r="Q8316" s="293"/>
      <c r="R8316" s="316"/>
      <c r="S8316" s="355"/>
    </row>
    <row r="8317" spans="13:19" x14ac:dyDescent="0.25">
      <c r="M8317" s="514"/>
      <c r="Q8317" s="293"/>
      <c r="R8317" s="316"/>
      <c r="S8317" s="355"/>
    </row>
    <row r="8318" spans="13:19" x14ac:dyDescent="0.25">
      <c r="M8318" s="514"/>
      <c r="Q8318" s="293"/>
      <c r="R8318" s="316"/>
      <c r="S8318" s="355"/>
    </row>
    <row r="8319" spans="13:19" x14ac:dyDescent="0.25">
      <c r="M8319" s="514"/>
      <c r="Q8319" s="293"/>
      <c r="R8319" s="316"/>
      <c r="S8319" s="355"/>
    </row>
    <row r="8320" spans="13:19" x14ac:dyDescent="0.25">
      <c r="M8320" s="514"/>
      <c r="Q8320" s="293"/>
      <c r="R8320" s="316"/>
      <c r="S8320" s="355"/>
    </row>
    <row r="8321" spans="13:19" x14ac:dyDescent="0.25">
      <c r="M8321" s="514"/>
      <c r="Q8321" s="293"/>
      <c r="R8321" s="316"/>
      <c r="S8321" s="355"/>
    </row>
    <row r="8322" spans="13:19" x14ac:dyDescent="0.25">
      <c r="M8322" s="514"/>
      <c r="Q8322" s="293"/>
      <c r="R8322" s="316"/>
      <c r="S8322" s="355"/>
    </row>
    <row r="8323" spans="13:19" x14ac:dyDescent="0.25">
      <c r="M8323" s="514"/>
      <c r="Q8323" s="293"/>
      <c r="R8323" s="316"/>
      <c r="S8323" s="355"/>
    </row>
    <row r="8324" spans="13:19" x14ac:dyDescent="0.25">
      <c r="M8324" s="514"/>
      <c r="Q8324" s="293"/>
      <c r="R8324" s="316"/>
      <c r="S8324" s="355"/>
    </row>
    <row r="8325" spans="13:19" x14ac:dyDescent="0.25">
      <c r="M8325" s="514"/>
      <c r="Q8325" s="293"/>
      <c r="R8325" s="316"/>
      <c r="S8325" s="355"/>
    </row>
    <row r="8326" spans="13:19" x14ac:dyDescent="0.25">
      <c r="M8326" s="514"/>
      <c r="Q8326" s="293"/>
      <c r="R8326" s="316"/>
      <c r="S8326" s="355"/>
    </row>
    <row r="8327" spans="13:19" x14ac:dyDescent="0.25">
      <c r="M8327" s="514"/>
      <c r="Q8327" s="293"/>
      <c r="R8327" s="316"/>
      <c r="S8327" s="355"/>
    </row>
    <row r="8328" spans="13:19" x14ac:dyDescent="0.25">
      <c r="M8328" s="514"/>
      <c r="Q8328" s="293"/>
      <c r="R8328" s="316"/>
      <c r="S8328" s="355"/>
    </row>
    <row r="8329" spans="13:19" x14ac:dyDescent="0.25">
      <c r="M8329" s="514"/>
      <c r="Q8329" s="293"/>
      <c r="R8329" s="316"/>
      <c r="S8329" s="355"/>
    </row>
    <row r="8330" spans="13:19" x14ac:dyDescent="0.25">
      <c r="M8330" s="514"/>
      <c r="Q8330" s="293"/>
      <c r="R8330" s="316"/>
      <c r="S8330" s="355"/>
    </row>
    <row r="8331" spans="13:19" x14ac:dyDescent="0.25">
      <c r="M8331" s="514"/>
      <c r="Q8331" s="293"/>
      <c r="R8331" s="316"/>
      <c r="S8331" s="355"/>
    </row>
    <row r="8332" spans="13:19" x14ac:dyDescent="0.25">
      <c r="M8332" s="514"/>
      <c r="Q8332" s="293"/>
      <c r="R8332" s="316"/>
      <c r="S8332" s="355"/>
    </row>
    <row r="8333" spans="13:19" x14ac:dyDescent="0.25">
      <c r="M8333" s="514"/>
      <c r="Q8333" s="293"/>
      <c r="R8333" s="316"/>
      <c r="S8333" s="355"/>
    </row>
    <row r="8334" spans="13:19" x14ac:dyDescent="0.25">
      <c r="M8334" s="514"/>
      <c r="Q8334" s="293"/>
      <c r="R8334" s="316"/>
      <c r="S8334" s="355"/>
    </row>
    <row r="8335" spans="13:19" x14ac:dyDescent="0.25">
      <c r="M8335" s="514"/>
      <c r="Q8335" s="293"/>
      <c r="R8335" s="316"/>
      <c r="S8335" s="355"/>
    </row>
    <row r="8336" spans="13:19" x14ac:dyDescent="0.25">
      <c r="M8336" s="514"/>
      <c r="Q8336" s="293"/>
      <c r="R8336" s="316"/>
      <c r="S8336" s="355"/>
    </row>
    <row r="8337" spans="13:19" x14ac:dyDescent="0.25">
      <c r="M8337" s="514"/>
      <c r="Q8337" s="293"/>
      <c r="R8337" s="316"/>
      <c r="S8337" s="355"/>
    </row>
    <row r="8338" spans="13:19" x14ac:dyDescent="0.25">
      <c r="M8338" s="514"/>
      <c r="Q8338" s="293"/>
      <c r="R8338" s="316"/>
      <c r="S8338" s="355"/>
    </row>
    <row r="8339" spans="13:19" x14ac:dyDescent="0.25">
      <c r="M8339" s="514"/>
      <c r="Q8339" s="293"/>
      <c r="R8339" s="316"/>
      <c r="S8339" s="355"/>
    </row>
    <row r="8340" spans="13:19" x14ac:dyDescent="0.25">
      <c r="M8340" s="514"/>
      <c r="Q8340" s="293"/>
      <c r="R8340" s="316"/>
      <c r="S8340" s="355"/>
    </row>
    <row r="8341" spans="13:19" x14ac:dyDescent="0.25">
      <c r="M8341" s="514"/>
      <c r="Q8341" s="293"/>
      <c r="R8341" s="316"/>
      <c r="S8341" s="355"/>
    </row>
    <row r="8342" spans="13:19" x14ac:dyDescent="0.25">
      <c r="M8342" s="514"/>
      <c r="Q8342" s="293"/>
      <c r="R8342" s="316"/>
      <c r="S8342" s="355"/>
    </row>
    <row r="8343" spans="13:19" x14ac:dyDescent="0.25">
      <c r="M8343" s="514"/>
      <c r="Q8343" s="293"/>
      <c r="R8343" s="316"/>
      <c r="S8343" s="355"/>
    </row>
    <row r="8344" spans="13:19" x14ac:dyDescent="0.25">
      <c r="M8344" s="514"/>
      <c r="Q8344" s="293"/>
      <c r="R8344" s="316"/>
      <c r="S8344" s="355"/>
    </row>
    <row r="8345" spans="13:19" x14ac:dyDescent="0.25">
      <c r="M8345" s="514"/>
      <c r="Q8345" s="293"/>
      <c r="R8345" s="316"/>
      <c r="S8345" s="355"/>
    </row>
    <row r="8346" spans="13:19" x14ac:dyDescent="0.25">
      <c r="M8346" s="514"/>
      <c r="Q8346" s="293"/>
      <c r="R8346" s="316"/>
      <c r="S8346" s="355"/>
    </row>
    <row r="8347" spans="13:19" x14ac:dyDescent="0.25">
      <c r="M8347" s="514"/>
      <c r="Q8347" s="293"/>
      <c r="R8347" s="316"/>
      <c r="S8347" s="355"/>
    </row>
    <row r="8348" spans="13:19" x14ac:dyDescent="0.25">
      <c r="M8348" s="514"/>
      <c r="Q8348" s="293"/>
      <c r="R8348" s="316"/>
      <c r="S8348" s="355"/>
    </row>
    <row r="8349" spans="13:19" x14ac:dyDescent="0.25">
      <c r="M8349" s="514"/>
      <c r="Q8349" s="293"/>
      <c r="R8349" s="316"/>
      <c r="S8349" s="355"/>
    </row>
    <row r="8350" spans="13:19" x14ac:dyDescent="0.25">
      <c r="M8350" s="514"/>
      <c r="Q8350" s="293"/>
      <c r="R8350" s="316"/>
      <c r="S8350" s="355"/>
    </row>
    <row r="8351" spans="13:19" x14ac:dyDescent="0.25">
      <c r="M8351" s="514"/>
      <c r="Q8351" s="293"/>
      <c r="R8351" s="316"/>
      <c r="S8351" s="355"/>
    </row>
    <row r="8352" spans="13:19" x14ac:dyDescent="0.25">
      <c r="M8352" s="514"/>
      <c r="Q8352" s="293"/>
      <c r="R8352" s="316"/>
      <c r="S8352" s="355"/>
    </row>
    <row r="8353" spans="13:19" x14ac:dyDescent="0.25">
      <c r="M8353" s="514"/>
      <c r="Q8353" s="293"/>
      <c r="R8353" s="316"/>
      <c r="S8353" s="355"/>
    </row>
    <row r="8354" spans="13:19" x14ac:dyDescent="0.25">
      <c r="M8354" s="514"/>
      <c r="Q8354" s="293"/>
      <c r="R8354" s="316"/>
      <c r="S8354" s="355"/>
    </row>
    <row r="8355" spans="13:19" x14ac:dyDescent="0.25">
      <c r="M8355" s="514"/>
      <c r="Q8355" s="293"/>
      <c r="R8355" s="316"/>
      <c r="S8355" s="355"/>
    </row>
    <row r="8356" spans="13:19" x14ac:dyDescent="0.25">
      <c r="M8356" s="514"/>
      <c r="Q8356" s="293"/>
      <c r="R8356" s="316"/>
      <c r="S8356" s="355"/>
    </row>
    <row r="8357" spans="13:19" x14ac:dyDescent="0.25">
      <c r="M8357" s="514"/>
      <c r="Q8357" s="293"/>
      <c r="R8357" s="316"/>
      <c r="S8357" s="355"/>
    </row>
    <row r="8358" spans="13:19" x14ac:dyDescent="0.25">
      <c r="M8358" s="514"/>
      <c r="Q8358" s="293"/>
      <c r="R8358" s="316"/>
      <c r="S8358" s="355"/>
    </row>
    <row r="8359" spans="13:19" x14ac:dyDescent="0.25">
      <c r="M8359" s="514"/>
      <c r="Q8359" s="293"/>
      <c r="R8359" s="316"/>
      <c r="S8359" s="355"/>
    </row>
    <row r="8360" spans="13:19" x14ac:dyDescent="0.25">
      <c r="M8360" s="514"/>
      <c r="Q8360" s="293"/>
      <c r="R8360" s="316"/>
      <c r="S8360" s="355"/>
    </row>
    <row r="8361" spans="13:19" x14ac:dyDescent="0.25">
      <c r="M8361" s="514"/>
      <c r="Q8361" s="293"/>
      <c r="R8361" s="316"/>
      <c r="S8361" s="355"/>
    </row>
    <row r="8362" spans="13:19" x14ac:dyDescent="0.25">
      <c r="M8362" s="514"/>
      <c r="Q8362" s="293"/>
      <c r="R8362" s="316"/>
      <c r="S8362" s="355"/>
    </row>
    <row r="8363" spans="13:19" x14ac:dyDescent="0.25">
      <c r="M8363" s="514"/>
      <c r="Q8363" s="293"/>
      <c r="R8363" s="316"/>
      <c r="S8363" s="355"/>
    </row>
    <row r="8364" spans="13:19" x14ac:dyDescent="0.25">
      <c r="M8364" s="514"/>
      <c r="Q8364" s="293"/>
      <c r="R8364" s="316"/>
      <c r="S8364" s="355"/>
    </row>
    <row r="8365" spans="13:19" x14ac:dyDescent="0.25">
      <c r="M8365" s="514"/>
      <c r="Q8365" s="293"/>
      <c r="R8365" s="316"/>
      <c r="S8365" s="355"/>
    </row>
    <row r="8366" spans="13:19" x14ac:dyDescent="0.25">
      <c r="M8366" s="514"/>
      <c r="Q8366" s="293"/>
      <c r="R8366" s="316"/>
      <c r="S8366" s="355"/>
    </row>
    <row r="8367" spans="13:19" x14ac:dyDescent="0.25">
      <c r="M8367" s="514"/>
      <c r="Q8367" s="293"/>
      <c r="R8367" s="316"/>
      <c r="S8367" s="355"/>
    </row>
    <row r="8368" spans="13:19" x14ac:dyDescent="0.25">
      <c r="M8368" s="514"/>
      <c r="Q8368" s="293"/>
      <c r="R8368" s="316"/>
      <c r="S8368" s="355"/>
    </row>
    <row r="8369" spans="13:19" x14ac:dyDescent="0.25">
      <c r="M8369" s="514"/>
      <c r="Q8369" s="293"/>
      <c r="R8369" s="316"/>
      <c r="S8369" s="355"/>
    </row>
    <row r="8370" spans="13:19" x14ac:dyDescent="0.25">
      <c r="M8370" s="514"/>
      <c r="Q8370" s="293"/>
      <c r="R8370" s="316"/>
      <c r="S8370" s="355"/>
    </row>
    <row r="8371" spans="13:19" x14ac:dyDescent="0.25">
      <c r="M8371" s="514"/>
      <c r="Q8371" s="293"/>
      <c r="R8371" s="316"/>
      <c r="S8371" s="355"/>
    </row>
    <row r="8372" spans="13:19" x14ac:dyDescent="0.25">
      <c r="M8372" s="514"/>
      <c r="Q8372" s="293"/>
      <c r="R8372" s="316"/>
      <c r="S8372" s="355"/>
    </row>
    <row r="8373" spans="13:19" x14ac:dyDescent="0.25">
      <c r="M8373" s="514"/>
      <c r="Q8373" s="293"/>
      <c r="R8373" s="316"/>
      <c r="S8373" s="355"/>
    </row>
    <row r="8374" spans="13:19" x14ac:dyDescent="0.25">
      <c r="M8374" s="514"/>
      <c r="Q8374" s="293"/>
      <c r="R8374" s="316"/>
      <c r="S8374" s="355"/>
    </row>
    <row r="8375" spans="13:19" x14ac:dyDescent="0.25">
      <c r="M8375" s="514"/>
      <c r="Q8375" s="293"/>
      <c r="R8375" s="316"/>
      <c r="S8375" s="355"/>
    </row>
    <row r="8376" spans="13:19" x14ac:dyDescent="0.25">
      <c r="M8376" s="514"/>
      <c r="Q8376" s="293"/>
      <c r="R8376" s="316"/>
      <c r="S8376" s="355"/>
    </row>
    <row r="8377" spans="13:19" x14ac:dyDescent="0.25">
      <c r="M8377" s="514"/>
      <c r="Q8377" s="293"/>
      <c r="R8377" s="316"/>
      <c r="S8377" s="355"/>
    </row>
    <row r="8378" spans="13:19" x14ac:dyDescent="0.25">
      <c r="M8378" s="514"/>
      <c r="Q8378" s="293"/>
      <c r="R8378" s="316"/>
      <c r="S8378" s="355"/>
    </row>
    <row r="8379" spans="13:19" x14ac:dyDescent="0.25">
      <c r="M8379" s="514"/>
      <c r="Q8379" s="293"/>
      <c r="R8379" s="316"/>
      <c r="S8379" s="355"/>
    </row>
    <row r="8380" spans="13:19" x14ac:dyDescent="0.25">
      <c r="M8380" s="514"/>
      <c r="Q8380" s="293"/>
      <c r="R8380" s="316"/>
      <c r="S8380" s="355"/>
    </row>
    <row r="8381" spans="13:19" x14ac:dyDescent="0.25">
      <c r="M8381" s="514"/>
      <c r="Q8381" s="293"/>
      <c r="R8381" s="316"/>
      <c r="S8381" s="355"/>
    </row>
    <row r="8382" spans="13:19" x14ac:dyDescent="0.25">
      <c r="M8382" s="514"/>
      <c r="Q8382" s="293"/>
      <c r="R8382" s="316"/>
      <c r="S8382" s="355"/>
    </row>
    <row r="8383" spans="13:19" x14ac:dyDescent="0.25">
      <c r="M8383" s="514"/>
      <c r="Q8383" s="293"/>
      <c r="R8383" s="316"/>
      <c r="S8383" s="355"/>
    </row>
    <row r="8384" spans="13:19" x14ac:dyDescent="0.25">
      <c r="M8384" s="514"/>
      <c r="Q8384" s="293"/>
      <c r="R8384" s="316"/>
      <c r="S8384" s="355"/>
    </row>
    <row r="8385" spans="13:19" x14ac:dyDescent="0.25">
      <c r="M8385" s="514"/>
      <c r="Q8385" s="293"/>
      <c r="R8385" s="316"/>
      <c r="S8385" s="355"/>
    </row>
    <row r="8386" spans="13:19" x14ac:dyDescent="0.25">
      <c r="M8386" s="514"/>
      <c r="Q8386" s="293"/>
      <c r="R8386" s="316"/>
      <c r="S8386" s="355"/>
    </row>
    <row r="8387" spans="13:19" x14ac:dyDescent="0.25">
      <c r="M8387" s="514"/>
      <c r="Q8387" s="293"/>
      <c r="R8387" s="316"/>
      <c r="S8387" s="355"/>
    </row>
    <row r="8388" spans="13:19" x14ac:dyDescent="0.25">
      <c r="M8388" s="514"/>
      <c r="Q8388" s="293"/>
      <c r="R8388" s="316"/>
      <c r="S8388" s="355"/>
    </row>
    <row r="8389" spans="13:19" x14ac:dyDescent="0.25">
      <c r="M8389" s="514"/>
      <c r="Q8389" s="293"/>
      <c r="R8389" s="316"/>
      <c r="S8389" s="355"/>
    </row>
    <row r="8390" spans="13:19" x14ac:dyDescent="0.25">
      <c r="M8390" s="514"/>
      <c r="Q8390" s="293"/>
      <c r="R8390" s="316"/>
      <c r="S8390" s="355"/>
    </row>
    <row r="8391" spans="13:19" x14ac:dyDescent="0.25">
      <c r="M8391" s="514"/>
      <c r="Q8391" s="293"/>
      <c r="R8391" s="316"/>
      <c r="S8391" s="355"/>
    </row>
    <row r="8392" spans="13:19" x14ac:dyDescent="0.25">
      <c r="M8392" s="514"/>
      <c r="Q8392" s="293"/>
      <c r="R8392" s="316"/>
      <c r="S8392" s="355"/>
    </row>
    <row r="8393" spans="13:19" x14ac:dyDescent="0.25">
      <c r="M8393" s="514"/>
      <c r="Q8393" s="293"/>
      <c r="R8393" s="316"/>
      <c r="S8393" s="355"/>
    </row>
    <row r="8394" spans="13:19" x14ac:dyDescent="0.25">
      <c r="M8394" s="514"/>
      <c r="Q8394" s="293"/>
      <c r="R8394" s="316"/>
      <c r="S8394" s="355"/>
    </row>
    <row r="8395" spans="13:19" x14ac:dyDescent="0.25">
      <c r="M8395" s="514"/>
      <c r="Q8395" s="293"/>
      <c r="R8395" s="316"/>
      <c r="S8395" s="355"/>
    </row>
    <row r="8396" spans="13:19" x14ac:dyDescent="0.25">
      <c r="M8396" s="514"/>
      <c r="Q8396" s="293"/>
      <c r="R8396" s="316"/>
      <c r="S8396" s="355"/>
    </row>
    <row r="8397" spans="13:19" x14ac:dyDescent="0.25">
      <c r="M8397" s="514"/>
      <c r="Q8397" s="293"/>
      <c r="R8397" s="316"/>
      <c r="S8397" s="355"/>
    </row>
    <row r="8398" spans="13:19" x14ac:dyDescent="0.25">
      <c r="M8398" s="514"/>
      <c r="Q8398" s="293"/>
      <c r="R8398" s="316"/>
      <c r="S8398" s="355"/>
    </row>
    <row r="8399" spans="13:19" x14ac:dyDescent="0.25">
      <c r="M8399" s="514"/>
      <c r="Q8399" s="293"/>
      <c r="R8399" s="316"/>
      <c r="S8399" s="355"/>
    </row>
    <row r="8400" spans="13:19" x14ac:dyDescent="0.25">
      <c r="M8400" s="514"/>
      <c r="Q8400" s="293"/>
      <c r="R8400" s="316"/>
      <c r="S8400" s="355"/>
    </row>
    <row r="8401" spans="13:19" x14ac:dyDescent="0.25">
      <c r="M8401" s="514"/>
      <c r="Q8401" s="293"/>
      <c r="R8401" s="316"/>
      <c r="S8401" s="355"/>
    </row>
    <row r="8402" spans="13:19" x14ac:dyDescent="0.25">
      <c r="M8402" s="514"/>
      <c r="Q8402" s="293"/>
      <c r="R8402" s="316"/>
      <c r="S8402" s="355"/>
    </row>
    <row r="8403" spans="13:19" x14ac:dyDescent="0.25">
      <c r="M8403" s="514"/>
      <c r="Q8403" s="293"/>
      <c r="R8403" s="316"/>
      <c r="S8403" s="355"/>
    </row>
    <row r="8404" spans="13:19" x14ac:dyDescent="0.25">
      <c r="M8404" s="514"/>
      <c r="Q8404" s="293"/>
      <c r="R8404" s="316"/>
      <c r="S8404" s="355"/>
    </row>
    <row r="8405" spans="13:19" x14ac:dyDescent="0.25">
      <c r="M8405" s="514"/>
      <c r="Q8405" s="293"/>
      <c r="R8405" s="316"/>
      <c r="S8405" s="355"/>
    </row>
    <row r="8406" spans="13:19" x14ac:dyDescent="0.25">
      <c r="M8406" s="514"/>
      <c r="Q8406" s="293"/>
      <c r="R8406" s="316"/>
      <c r="S8406" s="355"/>
    </row>
    <row r="8407" spans="13:19" x14ac:dyDescent="0.25">
      <c r="M8407" s="514"/>
      <c r="Q8407" s="293"/>
      <c r="R8407" s="316"/>
      <c r="S8407" s="355"/>
    </row>
    <row r="8408" spans="13:19" x14ac:dyDescent="0.25">
      <c r="M8408" s="514"/>
      <c r="Q8408" s="293"/>
      <c r="R8408" s="316"/>
      <c r="S8408" s="355"/>
    </row>
    <row r="8409" spans="13:19" x14ac:dyDescent="0.25">
      <c r="M8409" s="514"/>
      <c r="Q8409" s="293"/>
      <c r="R8409" s="316"/>
      <c r="S8409" s="355"/>
    </row>
    <row r="8410" spans="13:19" x14ac:dyDescent="0.25">
      <c r="M8410" s="514"/>
      <c r="Q8410" s="293"/>
      <c r="R8410" s="316"/>
      <c r="S8410" s="355"/>
    </row>
    <row r="8411" spans="13:19" x14ac:dyDescent="0.25">
      <c r="M8411" s="514"/>
      <c r="Q8411" s="293"/>
      <c r="R8411" s="316"/>
      <c r="S8411" s="355"/>
    </row>
    <row r="8412" spans="13:19" x14ac:dyDescent="0.25">
      <c r="M8412" s="514"/>
      <c r="Q8412" s="293"/>
      <c r="R8412" s="316"/>
      <c r="S8412" s="355"/>
    </row>
    <row r="8413" spans="13:19" x14ac:dyDescent="0.25">
      <c r="M8413" s="514"/>
      <c r="Q8413" s="293"/>
      <c r="R8413" s="316"/>
      <c r="S8413" s="355"/>
    </row>
    <row r="8414" spans="13:19" x14ac:dyDescent="0.25">
      <c r="M8414" s="514"/>
      <c r="Q8414" s="293"/>
      <c r="R8414" s="316"/>
      <c r="S8414" s="355"/>
    </row>
    <row r="8415" spans="13:19" x14ac:dyDescent="0.25">
      <c r="M8415" s="514"/>
      <c r="Q8415" s="293"/>
      <c r="R8415" s="316"/>
      <c r="S8415" s="355"/>
    </row>
    <row r="8416" spans="13:19" x14ac:dyDescent="0.25">
      <c r="M8416" s="514"/>
      <c r="Q8416" s="293"/>
      <c r="R8416" s="316"/>
      <c r="S8416" s="355"/>
    </row>
    <row r="8417" spans="13:19" x14ac:dyDescent="0.25">
      <c r="M8417" s="514"/>
      <c r="Q8417" s="293"/>
      <c r="R8417" s="316"/>
      <c r="S8417" s="355"/>
    </row>
    <row r="8418" spans="13:19" x14ac:dyDescent="0.25">
      <c r="M8418" s="514"/>
      <c r="Q8418" s="293"/>
      <c r="R8418" s="316"/>
      <c r="S8418" s="355"/>
    </row>
    <row r="8419" spans="13:19" x14ac:dyDescent="0.25">
      <c r="M8419" s="514"/>
      <c r="Q8419" s="293"/>
      <c r="R8419" s="316"/>
      <c r="S8419" s="355"/>
    </row>
    <row r="8420" spans="13:19" x14ac:dyDescent="0.25">
      <c r="M8420" s="514"/>
      <c r="Q8420" s="293"/>
      <c r="R8420" s="316"/>
      <c r="S8420" s="355"/>
    </row>
    <row r="8421" spans="13:19" x14ac:dyDescent="0.25">
      <c r="M8421" s="514"/>
      <c r="Q8421" s="293"/>
      <c r="R8421" s="316"/>
      <c r="S8421" s="355"/>
    </row>
    <row r="8422" spans="13:19" x14ac:dyDescent="0.25">
      <c r="M8422" s="514"/>
      <c r="Q8422" s="293"/>
      <c r="R8422" s="316"/>
      <c r="S8422" s="355"/>
    </row>
    <row r="8423" spans="13:19" x14ac:dyDescent="0.25">
      <c r="M8423" s="514"/>
      <c r="Q8423" s="293"/>
      <c r="R8423" s="316"/>
      <c r="S8423" s="355"/>
    </row>
    <row r="8424" spans="13:19" x14ac:dyDescent="0.25">
      <c r="M8424" s="514"/>
      <c r="Q8424" s="293"/>
      <c r="R8424" s="316"/>
      <c r="S8424" s="355"/>
    </row>
    <row r="8425" spans="13:19" x14ac:dyDescent="0.25">
      <c r="M8425" s="514"/>
      <c r="Q8425" s="293"/>
      <c r="R8425" s="316"/>
      <c r="S8425" s="355"/>
    </row>
    <row r="8426" spans="13:19" x14ac:dyDescent="0.25">
      <c r="M8426" s="514"/>
      <c r="Q8426" s="293"/>
      <c r="R8426" s="316"/>
      <c r="S8426" s="355"/>
    </row>
    <row r="8427" spans="13:19" x14ac:dyDescent="0.25">
      <c r="M8427" s="514"/>
      <c r="Q8427" s="293"/>
      <c r="R8427" s="316"/>
      <c r="S8427" s="355"/>
    </row>
    <row r="8428" spans="13:19" x14ac:dyDescent="0.25">
      <c r="M8428" s="514"/>
      <c r="Q8428" s="293"/>
      <c r="R8428" s="316"/>
      <c r="S8428" s="355"/>
    </row>
    <row r="8429" spans="13:19" x14ac:dyDescent="0.25">
      <c r="M8429" s="514"/>
      <c r="Q8429" s="293"/>
      <c r="R8429" s="316"/>
      <c r="S8429" s="355"/>
    </row>
    <row r="8430" spans="13:19" x14ac:dyDescent="0.25">
      <c r="M8430" s="514"/>
      <c r="Q8430" s="293"/>
      <c r="R8430" s="316"/>
      <c r="S8430" s="355"/>
    </row>
    <row r="8431" spans="13:19" x14ac:dyDescent="0.25">
      <c r="M8431" s="514"/>
      <c r="Q8431" s="293"/>
      <c r="R8431" s="316"/>
      <c r="S8431" s="355"/>
    </row>
    <row r="8432" spans="13:19" x14ac:dyDescent="0.25">
      <c r="M8432" s="514"/>
      <c r="Q8432" s="293"/>
      <c r="R8432" s="316"/>
      <c r="S8432" s="355"/>
    </row>
    <row r="8433" spans="13:19" x14ac:dyDescent="0.25">
      <c r="M8433" s="514"/>
      <c r="Q8433" s="293"/>
      <c r="R8433" s="316"/>
      <c r="S8433" s="355"/>
    </row>
    <row r="8434" spans="13:19" x14ac:dyDescent="0.25">
      <c r="M8434" s="514"/>
      <c r="Q8434" s="293"/>
      <c r="R8434" s="316"/>
      <c r="S8434" s="355"/>
    </row>
    <row r="8435" spans="13:19" x14ac:dyDescent="0.25">
      <c r="M8435" s="514"/>
      <c r="Q8435" s="293"/>
      <c r="R8435" s="316"/>
      <c r="S8435" s="355"/>
    </row>
    <row r="8436" spans="13:19" x14ac:dyDescent="0.25">
      <c r="M8436" s="514"/>
      <c r="Q8436" s="293"/>
      <c r="R8436" s="316"/>
      <c r="S8436" s="355"/>
    </row>
    <row r="8437" spans="13:19" x14ac:dyDescent="0.25">
      <c r="M8437" s="514"/>
      <c r="Q8437" s="293"/>
      <c r="R8437" s="316"/>
      <c r="S8437" s="355"/>
    </row>
    <row r="8438" spans="13:19" x14ac:dyDescent="0.25">
      <c r="M8438" s="514"/>
      <c r="Q8438" s="293"/>
      <c r="R8438" s="316"/>
      <c r="S8438" s="355"/>
    </row>
    <row r="8439" spans="13:19" x14ac:dyDescent="0.25">
      <c r="M8439" s="514"/>
      <c r="Q8439" s="293"/>
      <c r="R8439" s="316"/>
      <c r="S8439" s="355"/>
    </row>
    <row r="8440" spans="13:19" x14ac:dyDescent="0.25">
      <c r="M8440" s="514"/>
      <c r="Q8440" s="293"/>
      <c r="R8440" s="316"/>
      <c r="S8440" s="355"/>
    </row>
    <row r="8441" spans="13:19" x14ac:dyDescent="0.25">
      <c r="M8441" s="514"/>
      <c r="Q8441" s="293"/>
      <c r="R8441" s="316"/>
      <c r="S8441" s="355"/>
    </row>
    <row r="8442" spans="13:19" x14ac:dyDescent="0.25">
      <c r="M8442" s="514"/>
      <c r="Q8442" s="293"/>
      <c r="R8442" s="316"/>
      <c r="S8442" s="355"/>
    </row>
    <row r="8443" spans="13:19" x14ac:dyDescent="0.25">
      <c r="M8443" s="514"/>
      <c r="Q8443" s="293"/>
      <c r="R8443" s="316"/>
      <c r="S8443" s="355"/>
    </row>
    <row r="8444" spans="13:19" x14ac:dyDescent="0.25">
      <c r="M8444" s="514"/>
      <c r="Q8444" s="293"/>
      <c r="R8444" s="316"/>
      <c r="S8444" s="355"/>
    </row>
    <row r="8445" spans="13:19" x14ac:dyDescent="0.25">
      <c r="M8445" s="514"/>
      <c r="Q8445" s="293"/>
      <c r="R8445" s="316"/>
      <c r="S8445" s="355"/>
    </row>
    <row r="8446" spans="13:19" x14ac:dyDescent="0.25">
      <c r="M8446" s="514"/>
      <c r="Q8446" s="293"/>
      <c r="R8446" s="316"/>
      <c r="S8446" s="355"/>
    </row>
    <row r="8447" spans="13:19" x14ac:dyDescent="0.25">
      <c r="M8447" s="514"/>
      <c r="Q8447" s="293"/>
      <c r="R8447" s="316"/>
      <c r="S8447" s="355"/>
    </row>
    <row r="8448" spans="13:19" x14ac:dyDescent="0.25">
      <c r="M8448" s="514"/>
      <c r="Q8448" s="293"/>
      <c r="R8448" s="316"/>
      <c r="S8448" s="355"/>
    </row>
    <row r="8449" spans="13:19" x14ac:dyDescent="0.25">
      <c r="M8449" s="514"/>
      <c r="Q8449" s="293"/>
      <c r="R8449" s="316"/>
      <c r="S8449" s="355"/>
    </row>
    <row r="8450" spans="13:19" x14ac:dyDescent="0.25">
      <c r="M8450" s="514"/>
      <c r="Q8450" s="293"/>
      <c r="R8450" s="316"/>
      <c r="S8450" s="355"/>
    </row>
    <row r="8451" spans="13:19" x14ac:dyDescent="0.25">
      <c r="M8451" s="514"/>
      <c r="Q8451" s="293"/>
      <c r="R8451" s="316"/>
      <c r="S8451" s="355"/>
    </row>
    <row r="8452" spans="13:19" x14ac:dyDescent="0.25">
      <c r="M8452" s="514"/>
      <c r="Q8452" s="293"/>
      <c r="R8452" s="316"/>
      <c r="S8452" s="355"/>
    </row>
    <row r="8453" spans="13:19" x14ac:dyDescent="0.25">
      <c r="M8453" s="514"/>
      <c r="Q8453" s="293"/>
      <c r="R8453" s="316"/>
      <c r="S8453" s="355"/>
    </row>
    <row r="8454" spans="13:19" x14ac:dyDescent="0.25">
      <c r="M8454" s="514"/>
      <c r="Q8454" s="293"/>
      <c r="R8454" s="316"/>
      <c r="S8454" s="355"/>
    </row>
    <row r="8455" spans="13:19" x14ac:dyDescent="0.25">
      <c r="M8455" s="514"/>
      <c r="Q8455" s="293"/>
      <c r="R8455" s="316"/>
      <c r="S8455" s="355"/>
    </row>
    <row r="8456" spans="13:19" x14ac:dyDescent="0.25">
      <c r="M8456" s="514"/>
      <c r="Q8456" s="293"/>
      <c r="R8456" s="316"/>
      <c r="S8456" s="355"/>
    </row>
    <row r="8457" spans="13:19" x14ac:dyDescent="0.25">
      <c r="M8457" s="514"/>
      <c r="Q8457" s="293"/>
      <c r="R8457" s="316"/>
      <c r="S8457" s="355"/>
    </row>
    <row r="8458" spans="13:19" x14ac:dyDescent="0.25">
      <c r="M8458" s="514"/>
      <c r="Q8458" s="293"/>
      <c r="R8458" s="316"/>
      <c r="S8458" s="355"/>
    </row>
    <row r="8459" spans="13:19" x14ac:dyDescent="0.25">
      <c r="M8459" s="514"/>
      <c r="Q8459" s="293"/>
      <c r="R8459" s="316"/>
      <c r="S8459" s="355"/>
    </row>
    <row r="8460" spans="13:19" x14ac:dyDescent="0.25">
      <c r="M8460" s="514"/>
      <c r="Q8460" s="293"/>
      <c r="R8460" s="316"/>
      <c r="S8460" s="355"/>
    </row>
    <row r="8461" spans="13:19" x14ac:dyDescent="0.25">
      <c r="M8461" s="514"/>
      <c r="Q8461" s="293"/>
      <c r="R8461" s="316"/>
      <c r="S8461" s="355"/>
    </row>
    <row r="8462" spans="13:19" x14ac:dyDescent="0.25">
      <c r="M8462" s="514"/>
      <c r="Q8462" s="293"/>
      <c r="R8462" s="316"/>
      <c r="S8462" s="355"/>
    </row>
    <row r="8463" spans="13:19" x14ac:dyDescent="0.25">
      <c r="M8463" s="514"/>
      <c r="Q8463" s="293"/>
      <c r="R8463" s="316"/>
      <c r="S8463" s="355"/>
    </row>
    <row r="8464" spans="13:19" x14ac:dyDescent="0.25">
      <c r="M8464" s="514"/>
      <c r="Q8464" s="293"/>
      <c r="R8464" s="316"/>
      <c r="S8464" s="355"/>
    </row>
    <row r="8465" spans="13:19" x14ac:dyDescent="0.25">
      <c r="M8465" s="514"/>
      <c r="Q8465" s="293"/>
      <c r="R8465" s="316"/>
      <c r="S8465" s="355"/>
    </row>
    <row r="8466" spans="13:19" x14ac:dyDescent="0.25">
      <c r="M8466" s="514"/>
      <c r="Q8466" s="293"/>
      <c r="R8466" s="316"/>
      <c r="S8466" s="355"/>
    </row>
    <row r="8467" spans="13:19" x14ac:dyDescent="0.25">
      <c r="M8467" s="514"/>
      <c r="Q8467" s="293"/>
      <c r="R8467" s="316"/>
      <c r="S8467" s="355"/>
    </row>
    <row r="8468" spans="13:19" x14ac:dyDescent="0.25">
      <c r="M8468" s="514"/>
      <c r="Q8468" s="293"/>
      <c r="R8468" s="316"/>
      <c r="S8468" s="355"/>
    </row>
    <row r="8469" spans="13:19" x14ac:dyDescent="0.25">
      <c r="M8469" s="514"/>
      <c r="Q8469" s="293"/>
      <c r="R8469" s="316"/>
      <c r="S8469" s="355"/>
    </row>
    <row r="8470" spans="13:19" x14ac:dyDescent="0.25">
      <c r="M8470" s="514"/>
      <c r="Q8470" s="293"/>
      <c r="R8470" s="316"/>
      <c r="S8470" s="355"/>
    </row>
    <row r="8471" spans="13:19" x14ac:dyDescent="0.25">
      <c r="M8471" s="514"/>
      <c r="Q8471" s="293"/>
      <c r="R8471" s="316"/>
      <c r="S8471" s="355"/>
    </row>
    <row r="8472" spans="13:19" x14ac:dyDescent="0.25">
      <c r="M8472" s="514"/>
      <c r="Q8472" s="293"/>
      <c r="R8472" s="316"/>
      <c r="S8472" s="355"/>
    </row>
    <row r="8473" spans="13:19" x14ac:dyDescent="0.25">
      <c r="M8473" s="514"/>
      <c r="Q8473" s="293"/>
      <c r="R8473" s="316"/>
      <c r="S8473" s="355"/>
    </row>
    <row r="8474" spans="13:19" x14ac:dyDescent="0.25">
      <c r="M8474" s="514"/>
      <c r="Q8474" s="293"/>
      <c r="R8474" s="316"/>
      <c r="S8474" s="355"/>
    </row>
    <row r="8475" spans="13:19" x14ac:dyDescent="0.25">
      <c r="M8475" s="514"/>
      <c r="Q8475" s="293"/>
      <c r="R8475" s="316"/>
      <c r="S8475" s="355"/>
    </row>
    <row r="8476" spans="13:19" x14ac:dyDescent="0.25">
      <c r="M8476" s="514"/>
      <c r="Q8476" s="293"/>
      <c r="R8476" s="316"/>
      <c r="S8476" s="355"/>
    </row>
    <row r="8477" spans="13:19" x14ac:dyDescent="0.25">
      <c r="M8477" s="514"/>
      <c r="Q8477" s="293"/>
      <c r="R8477" s="316"/>
      <c r="S8477" s="355"/>
    </row>
    <row r="8478" spans="13:19" x14ac:dyDescent="0.25">
      <c r="M8478" s="514"/>
      <c r="Q8478" s="293"/>
      <c r="R8478" s="316"/>
      <c r="S8478" s="355"/>
    </row>
    <row r="8479" spans="13:19" x14ac:dyDescent="0.25">
      <c r="M8479" s="514"/>
      <c r="Q8479" s="293"/>
      <c r="R8479" s="316"/>
      <c r="S8479" s="355"/>
    </row>
    <row r="8480" spans="13:19" x14ac:dyDescent="0.25">
      <c r="M8480" s="514"/>
      <c r="Q8480" s="293"/>
      <c r="R8480" s="316"/>
      <c r="S8480" s="355"/>
    </row>
    <row r="8481" spans="13:19" x14ac:dyDescent="0.25">
      <c r="M8481" s="514"/>
      <c r="Q8481" s="293"/>
      <c r="R8481" s="316"/>
      <c r="S8481" s="355"/>
    </row>
    <row r="8482" spans="13:19" x14ac:dyDescent="0.25">
      <c r="M8482" s="514"/>
      <c r="Q8482" s="293"/>
      <c r="R8482" s="316"/>
      <c r="S8482" s="355"/>
    </row>
    <row r="8483" spans="13:19" x14ac:dyDescent="0.25">
      <c r="M8483" s="514"/>
      <c r="Q8483" s="293"/>
      <c r="R8483" s="316"/>
      <c r="S8483" s="355"/>
    </row>
    <row r="8484" spans="13:19" x14ac:dyDescent="0.25">
      <c r="M8484" s="514"/>
      <c r="Q8484" s="293"/>
      <c r="R8484" s="316"/>
      <c r="S8484" s="355"/>
    </row>
    <row r="8485" spans="13:19" x14ac:dyDescent="0.25">
      <c r="M8485" s="514"/>
      <c r="Q8485" s="293"/>
      <c r="R8485" s="316"/>
      <c r="S8485" s="355"/>
    </row>
    <row r="8486" spans="13:19" x14ac:dyDescent="0.25">
      <c r="M8486" s="514"/>
      <c r="Q8486" s="293"/>
      <c r="R8486" s="316"/>
      <c r="S8486" s="355"/>
    </row>
    <row r="8487" spans="13:19" x14ac:dyDescent="0.25">
      <c r="M8487" s="514"/>
      <c r="Q8487" s="293"/>
      <c r="R8487" s="316"/>
      <c r="S8487" s="355"/>
    </row>
    <row r="8488" spans="13:19" x14ac:dyDescent="0.25">
      <c r="M8488" s="514"/>
      <c r="Q8488" s="293"/>
      <c r="R8488" s="316"/>
      <c r="S8488" s="355"/>
    </row>
    <row r="8489" spans="13:19" x14ac:dyDescent="0.25">
      <c r="M8489" s="514"/>
      <c r="Q8489" s="293"/>
      <c r="R8489" s="316"/>
      <c r="S8489" s="355"/>
    </row>
    <row r="8490" spans="13:19" x14ac:dyDescent="0.25">
      <c r="M8490" s="514"/>
      <c r="Q8490" s="293"/>
      <c r="R8490" s="316"/>
      <c r="S8490" s="355"/>
    </row>
    <row r="8491" spans="13:19" x14ac:dyDescent="0.25">
      <c r="M8491" s="514"/>
      <c r="Q8491" s="293"/>
      <c r="R8491" s="316"/>
      <c r="S8491" s="355"/>
    </row>
    <row r="8492" spans="13:19" x14ac:dyDescent="0.25">
      <c r="M8492" s="514"/>
      <c r="Q8492" s="293"/>
      <c r="R8492" s="316"/>
      <c r="S8492" s="355"/>
    </row>
    <row r="8493" spans="13:19" x14ac:dyDescent="0.25">
      <c r="M8493" s="514"/>
      <c r="Q8493" s="293"/>
      <c r="R8493" s="316"/>
      <c r="S8493" s="355"/>
    </row>
    <row r="8494" spans="13:19" x14ac:dyDescent="0.25">
      <c r="M8494" s="514"/>
      <c r="Q8494" s="293"/>
      <c r="R8494" s="316"/>
      <c r="S8494" s="355"/>
    </row>
    <row r="8495" spans="13:19" x14ac:dyDescent="0.25">
      <c r="M8495" s="514"/>
      <c r="Q8495" s="293"/>
      <c r="R8495" s="316"/>
      <c r="S8495" s="355"/>
    </row>
    <row r="8496" spans="13:19" x14ac:dyDescent="0.25">
      <c r="M8496" s="514"/>
      <c r="Q8496" s="293"/>
      <c r="R8496" s="316"/>
      <c r="S8496" s="355"/>
    </row>
    <row r="8497" spans="13:19" x14ac:dyDescent="0.25">
      <c r="M8497" s="514"/>
      <c r="Q8497" s="293"/>
      <c r="R8497" s="316"/>
      <c r="S8497" s="355"/>
    </row>
    <row r="8498" spans="13:19" x14ac:dyDescent="0.25">
      <c r="M8498" s="514"/>
      <c r="Q8498" s="293"/>
      <c r="R8498" s="316"/>
      <c r="S8498" s="355"/>
    </row>
    <row r="8499" spans="13:19" x14ac:dyDescent="0.25">
      <c r="M8499" s="514"/>
      <c r="Q8499" s="293"/>
      <c r="R8499" s="316"/>
      <c r="S8499" s="355"/>
    </row>
    <row r="8500" spans="13:19" x14ac:dyDescent="0.25">
      <c r="M8500" s="514"/>
      <c r="Q8500" s="293"/>
      <c r="R8500" s="316"/>
      <c r="S8500" s="355"/>
    </row>
    <row r="8501" spans="13:19" x14ac:dyDescent="0.25">
      <c r="M8501" s="514"/>
      <c r="Q8501" s="293"/>
      <c r="R8501" s="316"/>
      <c r="S8501" s="355"/>
    </row>
    <row r="8502" spans="13:19" x14ac:dyDescent="0.25">
      <c r="M8502" s="514"/>
      <c r="Q8502" s="293"/>
      <c r="R8502" s="316"/>
      <c r="S8502" s="355"/>
    </row>
    <row r="8503" spans="13:19" x14ac:dyDescent="0.25">
      <c r="M8503" s="514"/>
      <c r="Q8503" s="293"/>
      <c r="R8503" s="316"/>
      <c r="S8503" s="355"/>
    </row>
    <row r="8504" spans="13:19" x14ac:dyDescent="0.25">
      <c r="M8504" s="514"/>
      <c r="Q8504" s="293"/>
      <c r="R8504" s="316"/>
      <c r="S8504" s="355"/>
    </row>
    <row r="8505" spans="13:19" x14ac:dyDescent="0.25">
      <c r="M8505" s="514"/>
      <c r="Q8505" s="293"/>
      <c r="R8505" s="316"/>
      <c r="S8505" s="355"/>
    </row>
    <row r="8506" spans="13:19" x14ac:dyDescent="0.25">
      <c r="M8506" s="514"/>
      <c r="Q8506" s="293"/>
      <c r="R8506" s="316"/>
      <c r="S8506" s="355"/>
    </row>
    <row r="8507" spans="13:19" x14ac:dyDescent="0.25">
      <c r="M8507" s="514"/>
      <c r="Q8507" s="293"/>
      <c r="R8507" s="316"/>
      <c r="S8507" s="355"/>
    </row>
    <row r="8508" spans="13:19" x14ac:dyDescent="0.25">
      <c r="M8508" s="514"/>
      <c r="Q8508" s="293"/>
      <c r="R8508" s="316"/>
      <c r="S8508" s="355"/>
    </row>
    <row r="8509" spans="13:19" x14ac:dyDescent="0.25">
      <c r="M8509" s="514"/>
      <c r="Q8509" s="293"/>
      <c r="R8509" s="316"/>
      <c r="S8509" s="355"/>
    </row>
    <row r="8510" spans="13:19" x14ac:dyDescent="0.25">
      <c r="M8510" s="514"/>
      <c r="Q8510" s="293"/>
      <c r="R8510" s="316"/>
      <c r="S8510" s="355"/>
    </row>
    <row r="8511" spans="13:19" x14ac:dyDescent="0.25">
      <c r="M8511" s="514"/>
      <c r="Q8511" s="293"/>
      <c r="R8511" s="316"/>
      <c r="S8511" s="355"/>
    </row>
    <row r="8512" spans="13:19" x14ac:dyDescent="0.25">
      <c r="M8512" s="514"/>
      <c r="Q8512" s="293"/>
      <c r="R8512" s="316"/>
      <c r="S8512" s="355"/>
    </row>
    <row r="8513" spans="13:19" x14ac:dyDescent="0.25">
      <c r="M8513" s="514"/>
      <c r="Q8513" s="293"/>
      <c r="R8513" s="316"/>
      <c r="S8513" s="355"/>
    </row>
    <row r="8514" spans="13:19" x14ac:dyDescent="0.25">
      <c r="M8514" s="514"/>
      <c r="Q8514" s="293"/>
      <c r="R8514" s="316"/>
      <c r="S8514" s="355"/>
    </row>
    <row r="8515" spans="13:19" x14ac:dyDescent="0.25">
      <c r="M8515" s="514"/>
      <c r="Q8515" s="293"/>
      <c r="R8515" s="316"/>
      <c r="S8515" s="355"/>
    </row>
    <row r="8516" spans="13:19" x14ac:dyDescent="0.25">
      <c r="M8516" s="514"/>
      <c r="Q8516" s="293"/>
      <c r="R8516" s="316"/>
      <c r="S8516" s="355"/>
    </row>
    <row r="8517" spans="13:19" x14ac:dyDescent="0.25">
      <c r="M8517" s="514"/>
      <c r="Q8517" s="293"/>
      <c r="R8517" s="316"/>
      <c r="S8517" s="355"/>
    </row>
    <row r="8518" spans="13:19" x14ac:dyDescent="0.25">
      <c r="M8518" s="514"/>
      <c r="Q8518" s="293"/>
      <c r="R8518" s="316"/>
      <c r="S8518" s="355"/>
    </row>
    <row r="8519" spans="13:19" x14ac:dyDescent="0.25">
      <c r="M8519" s="514"/>
      <c r="Q8519" s="293"/>
      <c r="R8519" s="316"/>
      <c r="S8519" s="355"/>
    </row>
    <row r="8520" spans="13:19" x14ac:dyDescent="0.25">
      <c r="M8520" s="514"/>
      <c r="Q8520" s="293"/>
      <c r="R8520" s="316"/>
      <c r="S8520" s="355"/>
    </row>
    <row r="8521" spans="13:19" x14ac:dyDescent="0.25">
      <c r="M8521" s="514"/>
      <c r="Q8521" s="293"/>
      <c r="R8521" s="316"/>
      <c r="S8521" s="355"/>
    </row>
    <row r="8522" spans="13:19" x14ac:dyDescent="0.25">
      <c r="M8522" s="514"/>
      <c r="Q8522" s="293"/>
      <c r="R8522" s="316"/>
      <c r="S8522" s="355"/>
    </row>
    <row r="8523" spans="13:19" x14ac:dyDescent="0.25">
      <c r="M8523" s="514"/>
      <c r="Q8523" s="293"/>
      <c r="R8523" s="316"/>
      <c r="S8523" s="355"/>
    </row>
    <row r="8524" spans="13:19" x14ac:dyDescent="0.25">
      <c r="M8524" s="514"/>
      <c r="Q8524" s="293"/>
      <c r="R8524" s="316"/>
      <c r="S8524" s="355"/>
    </row>
    <row r="8525" spans="13:19" x14ac:dyDescent="0.25">
      <c r="M8525" s="514"/>
      <c r="Q8525" s="293"/>
      <c r="R8525" s="316"/>
      <c r="S8525" s="355"/>
    </row>
    <row r="8526" spans="13:19" x14ac:dyDescent="0.25">
      <c r="M8526" s="514"/>
      <c r="Q8526" s="293"/>
      <c r="R8526" s="316"/>
      <c r="S8526" s="355"/>
    </row>
    <row r="8527" spans="13:19" x14ac:dyDescent="0.25">
      <c r="M8527" s="514"/>
      <c r="Q8527" s="293"/>
      <c r="R8527" s="316"/>
      <c r="S8527" s="355"/>
    </row>
    <row r="8528" spans="13:19" x14ac:dyDescent="0.25">
      <c r="M8528" s="514"/>
      <c r="Q8528" s="293"/>
      <c r="R8528" s="316"/>
      <c r="S8528" s="355"/>
    </row>
    <row r="8529" spans="13:19" x14ac:dyDescent="0.25">
      <c r="M8529" s="514"/>
      <c r="Q8529" s="293"/>
      <c r="R8529" s="316"/>
      <c r="S8529" s="355"/>
    </row>
    <row r="8530" spans="13:19" x14ac:dyDescent="0.25">
      <c r="M8530" s="514"/>
      <c r="Q8530" s="293"/>
      <c r="R8530" s="316"/>
      <c r="S8530" s="355"/>
    </row>
    <row r="8531" spans="13:19" x14ac:dyDescent="0.25">
      <c r="M8531" s="514"/>
      <c r="Q8531" s="293"/>
      <c r="R8531" s="316"/>
      <c r="S8531" s="355"/>
    </row>
    <row r="8532" spans="13:19" x14ac:dyDescent="0.25">
      <c r="M8532" s="514"/>
      <c r="Q8532" s="293"/>
      <c r="R8532" s="316"/>
      <c r="S8532" s="355"/>
    </row>
    <row r="8533" spans="13:19" x14ac:dyDescent="0.25">
      <c r="M8533" s="514"/>
      <c r="Q8533" s="293"/>
      <c r="R8533" s="316"/>
      <c r="S8533" s="355"/>
    </row>
    <row r="8534" spans="13:19" x14ac:dyDescent="0.25">
      <c r="M8534" s="514"/>
      <c r="Q8534" s="293"/>
      <c r="R8534" s="316"/>
      <c r="S8534" s="355"/>
    </row>
    <row r="8535" spans="13:19" x14ac:dyDescent="0.25">
      <c r="M8535" s="514"/>
      <c r="Q8535" s="293"/>
      <c r="R8535" s="316"/>
      <c r="S8535" s="355"/>
    </row>
    <row r="8536" spans="13:19" x14ac:dyDescent="0.25">
      <c r="M8536" s="514"/>
      <c r="Q8536" s="293"/>
      <c r="R8536" s="316"/>
      <c r="S8536" s="355"/>
    </row>
    <row r="8537" spans="13:19" x14ac:dyDescent="0.25">
      <c r="M8537" s="514"/>
      <c r="Q8537" s="293"/>
      <c r="R8537" s="316"/>
      <c r="S8537" s="355"/>
    </row>
    <row r="8538" spans="13:19" x14ac:dyDescent="0.25">
      <c r="M8538" s="514"/>
      <c r="Q8538" s="293"/>
      <c r="R8538" s="316"/>
      <c r="S8538" s="355"/>
    </row>
    <row r="8539" spans="13:19" x14ac:dyDescent="0.25">
      <c r="M8539" s="514"/>
      <c r="Q8539" s="293"/>
      <c r="R8539" s="316"/>
      <c r="S8539" s="355"/>
    </row>
    <row r="8540" spans="13:19" x14ac:dyDescent="0.25">
      <c r="M8540" s="514"/>
      <c r="Q8540" s="293"/>
      <c r="R8540" s="316"/>
      <c r="S8540" s="355"/>
    </row>
    <row r="8541" spans="13:19" x14ac:dyDescent="0.25">
      <c r="M8541" s="514"/>
      <c r="Q8541" s="293"/>
      <c r="R8541" s="316"/>
      <c r="S8541" s="355"/>
    </row>
    <row r="8542" spans="13:19" x14ac:dyDescent="0.25">
      <c r="M8542" s="514"/>
      <c r="Q8542" s="293"/>
      <c r="R8542" s="316"/>
      <c r="S8542" s="355"/>
    </row>
    <row r="8543" spans="13:19" x14ac:dyDescent="0.25">
      <c r="M8543" s="514"/>
      <c r="Q8543" s="293"/>
      <c r="R8543" s="316"/>
      <c r="S8543" s="355"/>
    </row>
    <row r="8544" spans="13:19" x14ac:dyDescent="0.25">
      <c r="M8544" s="514"/>
      <c r="Q8544" s="293"/>
      <c r="R8544" s="316"/>
      <c r="S8544" s="355"/>
    </row>
    <row r="8545" spans="13:19" x14ac:dyDescent="0.25">
      <c r="M8545" s="514"/>
      <c r="Q8545" s="293"/>
      <c r="R8545" s="316"/>
      <c r="S8545" s="355"/>
    </row>
    <row r="8546" spans="13:19" x14ac:dyDescent="0.25">
      <c r="M8546" s="514"/>
      <c r="Q8546" s="293"/>
      <c r="R8546" s="316"/>
      <c r="S8546" s="355"/>
    </row>
    <row r="8547" spans="13:19" x14ac:dyDescent="0.25">
      <c r="M8547" s="514"/>
      <c r="Q8547" s="293"/>
      <c r="R8547" s="316"/>
      <c r="S8547" s="355"/>
    </row>
    <row r="8548" spans="13:19" x14ac:dyDescent="0.25">
      <c r="M8548" s="514"/>
      <c r="Q8548" s="293"/>
      <c r="R8548" s="316"/>
      <c r="S8548" s="355"/>
    </row>
    <row r="8549" spans="13:19" x14ac:dyDescent="0.25">
      <c r="M8549" s="514"/>
      <c r="Q8549" s="293"/>
      <c r="R8549" s="316"/>
      <c r="S8549" s="355"/>
    </row>
    <row r="8550" spans="13:19" x14ac:dyDescent="0.25">
      <c r="M8550" s="514"/>
      <c r="Q8550" s="293"/>
      <c r="R8550" s="316"/>
      <c r="S8550" s="355"/>
    </row>
    <row r="8551" spans="13:19" x14ac:dyDescent="0.25">
      <c r="M8551" s="514"/>
      <c r="Q8551" s="293"/>
      <c r="R8551" s="316"/>
      <c r="S8551" s="355"/>
    </row>
    <row r="8552" spans="13:19" x14ac:dyDescent="0.25">
      <c r="M8552" s="514"/>
      <c r="Q8552" s="293"/>
      <c r="R8552" s="316"/>
      <c r="S8552" s="355"/>
    </row>
    <row r="8553" spans="13:19" x14ac:dyDescent="0.25">
      <c r="M8553" s="514"/>
      <c r="Q8553" s="293"/>
      <c r="R8553" s="316"/>
      <c r="S8553" s="355"/>
    </row>
    <row r="8554" spans="13:19" x14ac:dyDescent="0.25">
      <c r="M8554" s="514"/>
      <c r="Q8554" s="293"/>
      <c r="R8554" s="316"/>
      <c r="S8554" s="355"/>
    </row>
    <row r="8555" spans="13:19" x14ac:dyDescent="0.25">
      <c r="M8555" s="514"/>
      <c r="Q8555" s="293"/>
      <c r="R8555" s="316"/>
      <c r="S8555" s="355"/>
    </row>
    <row r="8556" spans="13:19" x14ac:dyDescent="0.25">
      <c r="M8556" s="514"/>
      <c r="Q8556" s="293"/>
      <c r="R8556" s="316"/>
      <c r="S8556" s="355"/>
    </row>
    <row r="8557" spans="13:19" x14ac:dyDescent="0.25">
      <c r="M8557" s="514"/>
      <c r="Q8557" s="293"/>
      <c r="R8557" s="316"/>
      <c r="S8557" s="355"/>
    </row>
    <row r="8558" spans="13:19" x14ac:dyDescent="0.25">
      <c r="M8558" s="514"/>
      <c r="Q8558" s="293"/>
      <c r="R8558" s="316"/>
      <c r="S8558" s="355"/>
    </row>
    <row r="8559" spans="13:19" x14ac:dyDescent="0.25">
      <c r="M8559" s="514"/>
      <c r="Q8559" s="293"/>
      <c r="R8559" s="316"/>
      <c r="S8559" s="355"/>
    </row>
    <row r="8560" spans="13:19" x14ac:dyDescent="0.25">
      <c r="M8560" s="514"/>
      <c r="Q8560" s="293"/>
      <c r="R8560" s="316"/>
      <c r="S8560" s="355"/>
    </row>
    <row r="8561" spans="13:19" x14ac:dyDescent="0.25">
      <c r="M8561" s="514"/>
      <c r="Q8561" s="293"/>
      <c r="R8561" s="316"/>
      <c r="S8561" s="355"/>
    </row>
    <row r="8562" spans="13:19" x14ac:dyDescent="0.25">
      <c r="M8562" s="514"/>
      <c r="Q8562" s="293"/>
      <c r="R8562" s="316"/>
      <c r="S8562" s="355"/>
    </row>
    <row r="8563" spans="13:19" x14ac:dyDescent="0.25">
      <c r="M8563" s="514"/>
      <c r="Q8563" s="293"/>
      <c r="R8563" s="316"/>
      <c r="S8563" s="355"/>
    </row>
    <row r="8564" spans="13:19" x14ac:dyDescent="0.25">
      <c r="M8564" s="514"/>
      <c r="Q8564" s="293"/>
      <c r="R8564" s="316"/>
      <c r="S8564" s="355"/>
    </row>
    <row r="8565" spans="13:19" x14ac:dyDescent="0.25">
      <c r="M8565" s="514"/>
      <c r="Q8565" s="293"/>
      <c r="R8565" s="316"/>
      <c r="S8565" s="355"/>
    </row>
    <row r="8566" spans="13:19" x14ac:dyDescent="0.25">
      <c r="M8566" s="514"/>
      <c r="Q8566" s="293"/>
      <c r="R8566" s="316"/>
      <c r="S8566" s="355"/>
    </row>
    <row r="8567" spans="13:19" x14ac:dyDescent="0.25">
      <c r="M8567" s="514"/>
      <c r="Q8567" s="293"/>
      <c r="R8567" s="316"/>
      <c r="S8567" s="355"/>
    </row>
    <row r="8568" spans="13:19" x14ac:dyDescent="0.25">
      <c r="M8568" s="514"/>
      <c r="Q8568" s="293"/>
      <c r="R8568" s="316"/>
      <c r="S8568" s="355"/>
    </row>
    <row r="8569" spans="13:19" x14ac:dyDescent="0.25">
      <c r="M8569" s="514"/>
      <c r="Q8569" s="293"/>
      <c r="R8569" s="316"/>
      <c r="S8569" s="355"/>
    </row>
    <row r="8570" spans="13:19" x14ac:dyDescent="0.25">
      <c r="M8570" s="514"/>
      <c r="Q8570" s="293"/>
      <c r="R8570" s="316"/>
      <c r="S8570" s="355"/>
    </row>
    <row r="8571" spans="13:19" x14ac:dyDescent="0.25">
      <c r="M8571" s="514"/>
      <c r="Q8571" s="293"/>
      <c r="R8571" s="316"/>
      <c r="S8571" s="355"/>
    </row>
    <row r="8572" spans="13:19" x14ac:dyDescent="0.25">
      <c r="M8572" s="514"/>
      <c r="Q8572" s="293"/>
      <c r="R8572" s="316"/>
      <c r="S8572" s="355"/>
    </row>
    <row r="8573" spans="13:19" x14ac:dyDescent="0.25">
      <c r="M8573" s="514"/>
      <c r="Q8573" s="293"/>
      <c r="R8573" s="316"/>
      <c r="S8573" s="355"/>
    </row>
    <row r="8574" spans="13:19" x14ac:dyDescent="0.25">
      <c r="M8574" s="514"/>
      <c r="Q8574" s="293"/>
      <c r="R8574" s="316"/>
      <c r="S8574" s="355"/>
    </row>
    <row r="8575" spans="13:19" x14ac:dyDescent="0.25">
      <c r="M8575" s="514"/>
      <c r="Q8575" s="293"/>
      <c r="R8575" s="316"/>
      <c r="S8575" s="355"/>
    </row>
    <row r="8576" spans="13:19" x14ac:dyDescent="0.25">
      <c r="M8576" s="514"/>
      <c r="Q8576" s="293"/>
      <c r="R8576" s="316"/>
      <c r="S8576" s="355"/>
    </row>
    <row r="8577" spans="13:19" x14ac:dyDescent="0.25">
      <c r="M8577" s="514"/>
      <c r="Q8577" s="293"/>
      <c r="R8577" s="316"/>
      <c r="S8577" s="355"/>
    </row>
    <row r="8578" spans="13:19" x14ac:dyDescent="0.25">
      <c r="M8578" s="514"/>
      <c r="Q8578" s="293"/>
      <c r="R8578" s="316"/>
      <c r="S8578" s="355"/>
    </row>
    <row r="8579" spans="13:19" x14ac:dyDescent="0.25">
      <c r="M8579" s="514"/>
      <c r="Q8579" s="293"/>
      <c r="R8579" s="316"/>
      <c r="S8579" s="355"/>
    </row>
    <row r="8580" spans="13:19" x14ac:dyDescent="0.25">
      <c r="M8580" s="514"/>
      <c r="Q8580" s="293"/>
      <c r="R8580" s="316"/>
      <c r="S8580" s="355"/>
    </row>
    <row r="8581" spans="13:19" x14ac:dyDescent="0.25">
      <c r="M8581" s="514"/>
      <c r="Q8581" s="293"/>
      <c r="R8581" s="316"/>
      <c r="S8581" s="355"/>
    </row>
    <row r="8582" spans="13:19" x14ac:dyDescent="0.25">
      <c r="M8582" s="514"/>
      <c r="Q8582" s="293"/>
      <c r="R8582" s="316"/>
      <c r="S8582" s="355"/>
    </row>
    <row r="8583" spans="13:19" x14ac:dyDescent="0.25">
      <c r="M8583" s="514"/>
      <c r="Q8583" s="293"/>
      <c r="R8583" s="316"/>
      <c r="S8583" s="355"/>
    </row>
    <row r="8584" spans="13:19" x14ac:dyDescent="0.25">
      <c r="M8584" s="514"/>
      <c r="Q8584" s="293"/>
      <c r="R8584" s="316"/>
      <c r="S8584" s="355"/>
    </row>
    <row r="8585" spans="13:19" x14ac:dyDescent="0.25">
      <c r="M8585" s="514"/>
      <c r="Q8585" s="293"/>
      <c r="R8585" s="316"/>
      <c r="S8585" s="355"/>
    </row>
    <row r="8586" spans="13:19" x14ac:dyDescent="0.25">
      <c r="M8586" s="514"/>
      <c r="Q8586" s="293"/>
      <c r="R8586" s="316"/>
      <c r="S8586" s="355"/>
    </row>
    <row r="8587" spans="13:19" x14ac:dyDescent="0.25">
      <c r="M8587" s="514"/>
      <c r="Q8587" s="293"/>
      <c r="R8587" s="316"/>
      <c r="S8587" s="355"/>
    </row>
    <row r="8588" spans="13:19" x14ac:dyDescent="0.25">
      <c r="M8588" s="514"/>
      <c r="Q8588" s="293"/>
      <c r="R8588" s="316"/>
      <c r="S8588" s="355"/>
    </row>
    <row r="8589" spans="13:19" x14ac:dyDescent="0.25">
      <c r="M8589" s="514"/>
      <c r="Q8589" s="293"/>
      <c r="R8589" s="316"/>
      <c r="S8589" s="355"/>
    </row>
    <row r="8590" spans="13:19" x14ac:dyDescent="0.25">
      <c r="M8590" s="514"/>
      <c r="Q8590" s="293"/>
      <c r="R8590" s="316"/>
      <c r="S8590" s="355"/>
    </row>
    <row r="8591" spans="13:19" x14ac:dyDescent="0.25">
      <c r="M8591" s="514"/>
      <c r="Q8591" s="293"/>
      <c r="R8591" s="316"/>
      <c r="S8591" s="355"/>
    </row>
    <row r="8592" spans="13:19" x14ac:dyDescent="0.25">
      <c r="M8592" s="514"/>
      <c r="Q8592" s="293"/>
      <c r="R8592" s="316"/>
      <c r="S8592" s="355"/>
    </row>
    <row r="8593" spans="13:19" x14ac:dyDescent="0.25">
      <c r="M8593" s="514"/>
      <c r="Q8593" s="293"/>
      <c r="R8593" s="316"/>
      <c r="S8593" s="355"/>
    </row>
    <row r="8594" spans="13:19" x14ac:dyDescent="0.25">
      <c r="M8594" s="514"/>
      <c r="Q8594" s="293"/>
      <c r="R8594" s="316"/>
      <c r="S8594" s="355"/>
    </row>
    <row r="8595" spans="13:19" x14ac:dyDescent="0.25">
      <c r="M8595" s="514"/>
      <c r="Q8595" s="293"/>
      <c r="R8595" s="316"/>
      <c r="S8595" s="355"/>
    </row>
    <row r="8596" spans="13:19" x14ac:dyDescent="0.25">
      <c r="M8596" s="514"/>
      <c r="Q8596" s="293"/>
      <c r="R8596" s="316"/>
      <c r="S8596" s="355"/>
    </row>
    <row r="8597" spans="13:19" x14ac:dyDescent="0.25">
      <c r="M8597" s="514"/>
      <c r="Q8597" s="293"/>
      <c r="R8597" s="316"/>
      <c r="S8597" s="355"/>
    </row>
    <row r="8598" spans="13:19" x14ac:dyDescent="0.25">
      <c r="M8598" s="514"/>
      <c r="Q8598" s="293"/>
      <c r="R8598" s="316"/>
      <c r="S8598" s="355"/>
    </row>
    <row r="8599" spans="13:19" x14ac:dyDescent="0.25">
      <c r="M8599" s="514"/>
      <c r="Q8599" s="293"/>
      <c r="R8599" s="316"/>
      <c r="S8599" s="355"/>
    </row>
    <row r="8600" spans="13:19" x14ac:dyDescent="0.25">
      <c r="M8600" s="514"/>
      <c r="Q8600" s="293"/>
      <c r="R8600" s="316"/>
      <c r="S8600" s="355"/>
    </row>
    <row r="8601" spans="13:19" x14ac:dyDescent="0.25">
      <c r="M8601" s="514"/>
      <c r="Q8601" s="293"/>
      <c r="R8601" s="316"/>
      <c r="S8601" s="355"/>
    </row>
    <row r="8602" spans="13:19" x14ac:dyDescent="0.25">
      <c r="M8602" s="514"/>
      <c r="Q8602" s="293"/>
      <c r="R8602" s="316"/>
      <c r="S8602" s="355"/>
    </row>
    <row r="8603" spans="13:19" x14ac:dyDescent="0.25">
      <c r="M8603" s="514"/>
      <c r="Q8603" s="293"/>
      <c r="R8603" s="316"/>
      <c r="S8603" s="355"/>
    </row>
    <row r="8604" spans="13:19" x14ac:dyDescent="0.25">
      <c r="M8604" s="514"/>
      <c r="Q8604" s="293"/>
      <c r="R8604" s="316"/>
      <c r="S8604" s="355"/>
    </row>
    <row r="8605" spans="13:19" x14ac:dyDescent="0.25">
      <c r="M8605" s="514"/>
      <c r="Q8605" s="293"/>
      <c r="R8605" s="316"/>
      <c r="S8605" s="355"/>
    </row>
    <row r="8606" spans="13:19" x14ac:dyDescent="0.25">
      <c r="M8606" s="514"/>
      <c r="Q8606" s="293"/>
      <c r="R8606" s="316"/>
      <c r="S8606" s="355"/>
    </row>
    <row r="8607" spans="13:19" x14ac:dyDescent="0.25">
      <c r="M8607" s="514"/>
      <c r="Q8607" s="293"/>
      <c r="R8607" s="316"/>
      <c r="S8607" s="355"/>
    </row>
    <row r="8608" spans="13:19" x14ac:dyDescent="0.25">
      <c r="M8608" s="514"/>
      <c r="Q8608" s="293"/>
      <c r="R8608" s="316"/>
      <c r="S8608" s="355"/>
    </row>
    <row r="8609" spans="13:19" x14ac:dyDescent="0.25">
      <c r="M8609" s="514"/>
      <c r="Q8609" s="293"/>
      <c r="R8609" s="316"/>
      <c r="S8609" s="355"/>
    </row>
    <row r="8610" spans="13:19" x14ac:dyDescent="0.25">
      <c r="M8610" s="514"/>
      <c r="Q8610" s="293"/>
      <c r="R8610" s="316"/>
      <c r="S8610" s="355"/>
    </row>
    <row r="8611" spans="13:19" x14ac:dyDescent="0.25">
      <c r="M8611" s="514"/>
      <c r="Q8611" s="293"/>
      <c r="R8611" s="316"/>
      <c r="S8611" s="355"/>
    </row>
    <row r="8612" spans="13:19" x14ac:dyDescent="0.25">
      <c r="M8612" s="514"/>
      <c r="Q8612" s="293"/>
      <c r="R8612" s="316"/>
      <c r="S8612" s="355"/>
    </row>
    <row r="8613" spans="13:19" x14ac:dyDescent="0.25">
      <c r="M8613" s="514"/>
      <c r="Q8613" s="293"/>
      <c r="R8613" s="316"/>
      <c r="S8613" s="355"/>
    </row>
    <row r="8614" spans="13:19" x14ac:dyDescent="0.25">
      <c r="M8614" s="514"/>
      <c r="Q8614" s="293"/>
      <c r="R8614" s="316"/>
      <c r="S8614" s="355"/>
    </row>
    <row r="8615" spans="13:19" x14ac:dyDescent="0.25">
      <c r="M8615" s="514"/>
      <c r="Q8615" s="293"/>
      <c r="R8615" s="316"/>
      <c r="S8615" s="355"/>
    </row>
    <row r="8616" spans="13:19" x14ac:dyDescent="0.25">
      <c r="M8616" s="514"/>
      <c r="Q8616" s="293"/>
      <c r="R8616" s="316"/>
      <c r="S8616" s="355"/>
    </row>
    <row r="8617" spans="13:19" x14ac:dyDescent="0.25">
      <c r="M8617" s="514"/>
      <c r="Q8617" s="293"/>
      <c r="R8617" s="316"/>
      <c r="S8617" s="355"/>
    </row>
    <row r="8618" spans="13:19" x14ac:dyDescent="0.25">
      <c r="M8618" s="514"/>
      <c r="Q8618" s="293"/>
      <c r="R8618" s="316"/>
      <c r="S8618" s="355"/>
    </row>
    <row r="8619" spans="13:19" x14ac:dyDescent="0.25">
      <c r="M8619" s="514"/>
      <c r="Q8619" s="293"/>
      <c r="R8619" s="316"/>
      <c r="S8619" s="355"/>
    </row>
    <row r="8620" spans="13:19" x14ac:dyDescent="0.25">
      <c r="M8620" s="514"/>
      <c r="Q8620" s="293"/>
      <c r="R8620" s="316"/>
      <c r="S8620" s="355"/>
    </row>
    <row r="8621" spans="13:19" x14ac:dyDescent="0.25">
      <c r="M8621" s="514"/>
      <c r="Q8621" s="293"/>
      <c r="R8621" s="316"/>
      <c r="S8621" s="355"/>
    </row>
    <row r="8622" spans="13:19" x14ac:dyDescent="0.25">
      <c r="M8622" s="514"/>
      <c r="Q8622" s="293"/>
      <c r="R8622" s="316"/>
      <c r="S8622" s="355"/>
    </row>
    <row r="8623" spans="13:19" x14ac:dyDescent="0.25">
      <c r="M8623" s="514"/>
      <c r="Q8623" s="293"/>
      <c r="R8623" s="316"/>
      <c r="S8623" s="355"/>
    </row>
    <row r="8624" spans="13:19" x14ac:dyDescent="0.25">
      <c r="M8624" s="514"/>
      <c r="Q8624" s="293"/>
      <c r="R8624" s="316"/>
      <c r="S8624" s="355"/>
    </row>
    <row r="8625" spans="13:19" x14ac:dyDescent="0.25">
      <c r="M8625" s="514"/>
      <c r="Q8625" s="293"/>
      <c r="R8625" s="316"/>
      <c r="S8625" s="355"/>
    </row>
    <row r="8626" spans="13:19" x14ac:dyDescent="0.25">
      <c r="M8626" s="514"/>
      <c r="Q8626" s="293"/>
      <c r="R8626" s="316"/>
      <c r="S8626" s="355"/>
    </row>
    <row r="8627" spans="13:19" x14ac:dyDescent="0.25">
      <c r="M8627" s="514"/>
      <c r="Q8627" s="293"/>
      <c r="R8627" s="316"/>
      <c r="S8627" s="355"/>
    </row>
    <row r="8628" spans="13:19" x14ac:dyDescent="0.25">
      <c r="M8628" s="514"/>
      <c r="Q8628" s="293"/>
      <c r="R8628" s="316"/>
      <c r="S8628" s="355"/>
    </row>
    <row r="8629" spans="13:19" x14ac:dyDescent="0.25">
      <c r="M8629" s="514"/>
      <c r="Q8629" s="293"/>
      <c r="R8629" s="316"/>
      <c r="S8629" s="355"/>
    </row>
    <row r="8630" spans="13:19" x14ac:dyDescent="0.25">
      <c r="M8630" s="514"/>
      <c r="Q8630" s="293"/>
      <c r="R8630" s="316"/>
      <c r="S8630" s="355"/>
    </row>
    <row r="8631" spans="13:19" x14ac:dyDescent="0.25">
      <c r="M8631" s="514"/>
      <c r="Q8631" s="293"/>
      <c r="R8631" s="316"/>
      <c r="S8631" s="355"/>
    </row>
    <row r="8632" spans="13:19" x14ac:dyDescent="0.25">
      <c r="M8632" s="514"/>
      <c r="Q8632" s="293"/>
      <c r="R8632" s="316"/>
      <c r="S8632" s="355"/>
    </row>
    <row r="8633" spans="13:19" x14ac:dyDescent="0.25">
      <c r="M8633" s="514"/>
      <c r="Q8633" s="293"/>
      <c r="R8633" s="316"/>
      <c r="S8633" s="355"/>
    </row>
    <row r="8634" spans="13:19" x14ac:dyDescent="0.25">
      <c r="M8634" s="514"/>
      <c r="Q8634" s="293"/>
      <c r="R8634" s="316"/>
      <c r="S8634" s="355"/>
    </row>
    <row r="8635" spans="13:19" x14ac:dyDescent="0.25">
      <c r="M8635" s="514"/>
      <c r="Q8635" s="293"/>
      <c r="R8635" s="316"/>
      <c r="S8635" s="355"/>
    </row>
    <row r="8636" spans="13:19" x14ac:dyDescent="0.25">
      <c r="M8636" s="514"/>
      <c r="Q8636" s="293"/>
      <c r="R8636" s="316"/>
      <c r="S8636" s="355"/>
    </row>
    <row r="8637" spans="13:19" x14ac:dyDescent="0.25">
      <c r="M8637" s="514"/>
      <c r="Q8637" s="293"/>
      <c r="R8637" s="316"/>
      <c r="S8637" s="355"/>
    </row>
    <row r="8638" spans="13:19" x14ac:dyDescent="0.25">
      <c r="M8638" s="514"/>
      <c r="Q8638" s="293"/>
      <c r="R8638" s="316"/>
      <c r="S8638" s="355"/>
    </row>
    <row r="8639" spans="13:19" x14ac:dyDescent="0.25">
      <c r="M8639" s="514"/>
      <c r="Q8639" s="293"/>
      <c r="R8639" s="316"/>
      <c r="S8639" s="355"/>
    </row>
    <row r="8640" spans="13:19" x14ac:dyDescent="0.25">
      <c r="M8640" s="514"/>
      <c r="Q8640" s="293"/>
      <c r="R8640" s="316"/>
      <c r="S8640" s="355"/>
    </row>
    <row r="8641" spans="13:19" x14ac:dyDescent="0.25">
      <c r="M8641" s="514"/>
      <c r="Q8641" s="293"/>
      <c r="R8641" s="316"/>
      <c r="S8641" s="355"/>
    </row>
    <row r="8642" spans="13:19" x14ac:dyDescent="0.25">
      <c r="M8642" s="514"/>
      <c r="Q8642" s="293"/>
      <c r="R8642" s="316"/>
      <c r="S8642" s="355"/>
    </row>
    <row r="8643" spans="13:19" x14ac:dyDescent="0.25">
      <c r="M8643" s="514"/>
      <c r="Q8643" s="293"/>
      <c r="R8643" s="316"/>
      <c r="S8643" s="355"/>
    </row>
    <row r="8644" spans="13:19" x14ac:dyDescent="0.25">
      <c r="M8644" s="514"/>
      <c r="Q8644" s="293"/>
      <c r="R8644" s="316"/>
      <c r="S8644" s="355"/>
    </row>
    <row r="8645" spans="13:19" x14ac:dyDescent="0.25">
      <c r="M8645" s="514"/>
      <c r="Q8645" s="293"/>
      <c r="R8645" s="316"/>
      <c r="S8645" s="355"/>
    </row>
    <row r="8646" spans="13:19" x14ac:dyDescent="0.25">
      <c r="M8646" s="514"/>
      <c r="Q8646" s="293"/>
      <c r="R8646" s="316"/>
      <c r="S8646" s="355"/>
    </row>
    <row r="8647" spans="13:19" x14ac:dyDescent="0.25">
      <c r="M8647" s="514"/>
      <c r="Q8647" s="293"/>
      <c r="R8647" s="316"/>
      <c r="S8647" s="355"/>
    </row>
    <row r="8648" spans="13:19" x14ac:dyDescent="0.25">
      <c r="M8648" s="514"/>
      <c r="Q8648" s="293"/>
      <c r="R8648" s="316"/>
      <c r="S8648" s="355"/>
    </row>
    <row r="8649" spans="13:19" x14ac:dyDescent="0.25">
      <c r="M8649" s="514"/>
      <c r="Q8649" s="293"/>
      <c r="R8649" s="316"/>
      <c r="S8649" s="355"/>
    </row>
    <row r="8650" spans="13:19" x14ac:dyDescent="0.25">
      <c r="M8650" s="514"/>
      <c r="Q8650" s="293"/>
      <c r="R8650" s="316"/>
      <c r="S8650" s="355"/>
    </row>
    <row r="8651" spans="13:19" x14ac:dyDescent="0.25">
      <c r="M8651" s="514"/>
      <c r="Q8651" s="293"/>
      <c r="R8651" s="316"/>
      <c r="S8651" s="355"/>
    </row>
    <row r="8652" spans="13:19" x14ac:dyDescent="0.25">
      <c r="M8652" s="514"/>
      <c r="Q8652" s="293"/>
      <c r="R8652" s="316"/>
      <c r="S8652" s="355"/>
    </row>
    <row r="8653" spans="13:19" x14ac:dyDescent="0.25">
      <c r="M8653" s="514"/>
      <c r="Q8653" s="293"/>
      <c r="R8653" s="316"/>
      <c r="S8653" s="355"/>
    </row>
    <row r="8654" spans="13:19" x14ac:dyDescent="0.25">
      <c r="M8654" s="514"/>
      <c r="Q8654" s="293"/>
      <c r="R8654" s="316"/>
      <c r="S8654" s="355"/>
    </row>
    <row r="8655" spans="13:19" x14ac:dyDescent="0.25">
      <c r="M8655" s="514"/>
      <c r="Q8655" s="293"/>
      <c r="R8655" s="316"/>
      <c r="S8655" s="355"/>
    </row>
    <row r="8656" spans="13:19" x14ac:dyDescent="0.25">
      <c r="M8656" s="514"/>
      <c r="Q8656" s="293"/>
      <c r="R8656" s="316"/>
      <c r="S8656" s="355"/>
    </row>
    <row r="8657" spans="13:19" x14ac:dyDescent="0.25">
      <c r="M8657" s="514"/>
      <c r="Q8657" s="293"/>
      <c r="R8657" s="316"/>
      <c r="S8657" s="355"/>
    </row>
    <row r="8658" spans="13:19" x14ac:dyDescent="0.25">
      <c r="M8658" s="514"/>
      <c r="Q8658" s="293"/>
      <c r="R8658" s="316"/>
      <c r="S8658" s="355"/>
    </row>
    <row r="8659" spans="13:19" x14ac:dyDescent="0.25">
      <c r="M8659" s="514"/>
      <c r="Q8659" s="293"/>
      <c r="R8659" s="316"/>
      <c r="S8659" s="355"/>
    </row>
    <row r="8660" spans="13:19" x14ac:dyDescent="0.25">
      <c r="M8660" s="514"/>
      <c r="Q8660" s="293"/>
      <c r="R8660" s="316"/>
      <c r="S8660" s="355"/>
    </row>
    <row r="8661" spans="13:19" x14ac:dyDescent="0.25">
      <c r="M8661" s="514"/>
      <c r="Q8661" s="293"/>
      <c r="R8661" s="316"/>
      <c r="S8661" s="355"/>
    </row>
    <row r="8662" spans="13:19" x14ac:dyDescent="0.25">
      <c r="M8662" s="514"/>
      <c r="Q8662" s="293"/>
      <c r="R8662" s="316"/>
      <c r="S8662" s="355"/>
    </row>
    <row r="8663" spans="13:19" x14ac:dyDescent="0.25">
      <c r="M8663" s="514"/>
      <c r="Q8663" s="293"/>
      <c r="R8663" s="316"/>
      <c r="S8663" s="355"/>
    </row>
    <row r="8664" spans="13:19" x14ac:dyDescent="0.25">
      <c r="M8664" s="514"/>
      <c r="Q8664" s="293"/>
      <c r="R8664" s="316"/>
      <c r="S8664" s="355"/>
    </row>
    <row r="8665" spans="13:19" x14ac:dyDescent="0.25">
      <c r="M8665" s="514"/>
      <c r="Q8665" s="293"/>
      <c r="R8665" s="316"/>
      <c r="S8665" s="355"/>
    </row>
    <row r="8666" spans="13:19" x14ac:dyDescent="0.25">
      <c r="M8666" s="514"/>
      <c r="Q8666" s="293"/>
      <c r="R8666" s="316"/>
      <c r="S8666" s="355"/>
    </row>
    <row r="8667" spans="13:19" x14ac:dyDescent="0.25">
      <c r="M8667" s="514"/>
      <c r="Q8667" s="293"/>
      <c r="R8667" s="316"/>
      <c r="S8667" s="355"/>
    </row>
    <row r="8668" spans="13:19" x14ac:dyDescent="0.25">
      <c r="M8668" s="514"/>
      <c r="Q8668" s="293"/>
      <c r="R8668" s="316"/>
      <c r="S8668" s="355"/>
    </row>
    <row r="8669" spans="13:19" x14ac:dyDescent="0.25">
      <c r="M8669" s="514"/>
      <c r="Q8669" s="293"/>
      <c r="R8669" s="316"/>
      <c r="S8669" s="355"/>
    </row>
    <row r="8670" spans="13:19" x14ac:dyDescent="0.25">
      <c r="M8670" s="514"/>
      <c r="Q8670" s="293"/>
      <c r="R8670" s="316"/>
      <c r="S8670" s="355"/>
    </row>
    <row r="8671" spans="13:19" x14ac:dyDescent="0.25">
      <c r="M8671" s="514"/>
      <c r="Q8671" s="293"/>
      <c r="R8671" s="316"/>
      <c r="S8671" s="355"/>
    </row>
    <row r="8672" spans="13:19" x14ac:dyDescent="0.25">
      <c r="M8672" s="514"/>
      <c r="Q8672" s="293"/>
      <c r="R8672" s="316"/>
      <c r="S8672" s="355"/>
    </row>
    <row r="8673" spans="13:19" x14ac:dyDescent="0.25">
      <c r="M8673" s="514"/>
      <c r="Q8673" s="293"/>
      <c r="R8673" s="316"/>
      <c r="S8673" s="355"/>
    </row>
    <row r="8674" spans="13:19" x14ac:dyDescent="0.25">
      <c r="M8674" s="514"/>
      <c r="Q8674" s="293"/>
      <c r="R8674" s="316"/>
      <c r="S8674" s="355"/>
    </row>
    <row r="8675" spans="13:19" x14ac:dyDescent="0.25">
      <c r="M8675" s="514"/>
      <c r="Q8675" s="293"/>
      <c r="R8675" s="316"/>
      <c r="S8675" s="355"/>
    </row>
    <row r="8676" spans="13:19" x14ac:dyDescent="0.25">
      <c r="M8676" s="514"/>
      <c r="Q8676" s="293"/>
      <c r="R8676" s="316"/>
      <c r="S8676" s="355"/>
    </row>
    <row r="8677" spans="13:19" x14ac:dyDescent="0.25">
      <c r="M8677" s="514"/>
      <c r="Q8677" s="293"/>
      <c r="R8677" s="316"/>
      <c r="S8677" s="355"/>
    </row>
    <row r="8678" spans="13:19" x14ac:dyDescent="0.25">
      <c r="M8678" s="514"/>
      <c r="Q8678" s="293"/>
      <c r="R8678" s="316"/>
      <c r="S8678" s="355"/>
    </row>
    <row r="8679" spans="13:19" x14ac:dyDescent="0.25">
      <c r="M8679" s="514"/>
      <c r="Q8679" s="293"/>
      <c r="R8679" s="316"/>
      <c r="S8679" s="355"/>
    </row>
    <row r="8680" spans="13:19" x14ac:dyDescent="0.25">
      <c r="M8680" s="514"/>
      <c r="Q8680" s="293"/>
      <c r="R8680" s="316"/>
      <c r="S8680" s="355"/>
    </row>
    <row r="8681" spans="13:19" x14ac:dyDescent="0.25">
      <c r="M8681" s="514"/>
      <c r="Q8681" s="293"/>
      <c r="R8681" s="316"/>
      <c r="S8681" s="355"/>
    </row>
    <row r="8682" spans="13:19" x14ac:dyDescent="0.25">
      <c r="M8682" s="514"/>
      <c r="Q8682" s="293"/>
      <c r="R8682" s="316"/>
      <c r="S8682" s="355"/>
    </row>
    <row r="8683" spans="13:19" x14ac:dyDescent="0.25">
      <c r="M8683" s="514"/>
      <c r="Q8683" s="293"/>
      <c r="R8683" s="316"/>
      <c r="S8683" s="355"/>
    </row>
    <row r="8684" spans="13:19" x14ac:dyDescent="0.25">
      <c r="M8684" s="514"/>
      <c r="Q8684" s="293"/>
      <c r="R8684" s="316"/>
      <c r="S8684" s="355"/>
    </row>
    <row r="8685" spans="13:19" x14ac:dyDescent="0.25">
      <c r="M8685" s="514"/>
      <c r="Q8685" s="293"/>
      <c r="R8685" s="316"/>
      <c r="S8685" s="355"/>
    </row>
    <row r="8686" spans="13:19" x14ac:dyDescent="0.25">
      <c r="M8686" s="514"/>
      <c r="Q8686" s="293"/>
      <c r="R8686" s="316"/>
      <c r="S8686" s="355"/>
    </row>
    <row r="8687" spans="13:19" x14ac:dyDescent="0.25">
      <c r="M8687" s="514"/>
      <c r="Q8687" s="293"/>
      <c r="R8687" s="316"/>
      <c r="S8687" s="355"/>
    </row>
    <row r="8688" spans="13:19" x14ac:dyDescent="0.25">
      <c r="M8688" s="514"/>
      <c r="Q8688" s="293"/>
      <c r="R8688" s="316"/>
      <c r="S8688" s="355"/>
    </row>
    <row r="8689" spans="13:19" x14ac:dyDescent="0.25">
      <c r="M8689" s="514"/>
      <c r="Q8689" s="293"/>
      <c r="R8689" s="316"/>
      <c r="S8689" s="355"/>
    </row>
    <row r="8690" spans="13:19" x14ac:dyDescent="0.25">
      <c r="M8690" s="514"/>
      <c r="Q8690" s="293"/>
      <c r="R8690" s="316"/>
      <c r="S8690" s="355"/>
    </row>
    <row r="8691" spans="13:19" x14ac:dyDescent="0.25">
      <c r="M8691" s="514"/>
      <c r="Q8691" s="293"/>
      <c r="R8691" s="316"/>
      <c r="S8691" s="355"/>
    </row>
    <row r="8692" spans="13:19" x14ac:dyDescent="0.25">
      <c r="M8692" s="514"/>
      <c r="Q8692" s="293"/>
      <c r="R8692" s="316"/>
      <c r="S8692" s="355"/>
    </row>
    <row r="8693" spans="13:19" x14ac:dyDescent="0.25">
      <c r="M8693" s="514"/>
      <c r="Q8693" s="293"/>
      <c r="R8693" s="316"/>
      <c r="S8693" s="355"/>
    </row>
    <row r="8694" spans="13:19" x14ac:dyDescent="0.25">
      <c r="M8694" s="514"/>
      <c r="Q8694" s="293"/>
      <c r="R8694" s="316"/>
      <c r="S8694" s="355"/>
    </row>
    <row r="8695" spans="13:19" x14ac:dyDescent="0.25">
      <c r="M8695" s="514"/>
      <c r="Q8695" s="293"/>
      <c r="R8695" s="316"/>
      <c r="S8695" s="355"/>
    </row>
    <row r="8696" spans="13:19" x14ac:dyDescent="0.25">
      <c r="M8696" s="514"/>
      <c r="Q8696" s="293"/>
      <c r="R8696" s="316"/>
      <c r="S8696" s="355"/>
    </row>
    <row r="8697" spans="13:19" x14ac:dyDescent="0.25">
      <c r="M8697" s="514"/>
      <c r="Q8697" s="293"/>
      <c r="R8697" s="316"/>
      <c r="S8697" s="355"/>
    </row>
    <row r="8698" spans="13:19" x14ac:dyDescent="0.25">
      <c r="M8698" s="514"/>
      <c r="Q8698" s="293"/>
      <c r="R8698" s="316"/>
      <c r="S8698" s="355"/>
    </row>
    <row r="8699" spans="13:19" x14ac:dyDescent="0.25">
      <c r="M8699" s="514"/>
      <c r="Q8699" s="293"/>
      <c r="R8699" s="316"/>
      <c r="S8699" s="355"/>
    </row>
    <row r="8700" spans="13:19" x14ac:dyDescent="0.25">
      <c r="M8700" s="514"/>
      <c r="Q8700" s="293"/>
      <c r="R8700" s="316"/>
      <c r="S8700" s="355"/>
    </row>
    <row r="8701" spans="13:19" x14ac:dyDescent="0.25">
      <c r="M8701" s="514"/>
      <c r="Q8701" s="293"/>
      <c r="R8701" s="316"/>
      <c r="S8701" s="355"/>
    </row>
    <row r="8702" spans="13:19" x14ac:dyDescent="0.25">
      <c r="M8702" s="514"/>
      <c r="Q8702" s="293"/>
      <c r="R8702" s="316"/>
      <c r="S8702" s="355"/>
    </row>
    <row r="8703" spans="13:19" x14ac:dyDescent="0.25">
      <c r="M8703" s="514"/>
      <c r="Q8703" s="293"/>
      <c r="R8703" s="316"/>
      <c r="S8703" s="355"/>
    </row>
    <row r="8704" spans="13:19" x14ac:dyDescent="0.25">
      <c r="M8704" s="514"/>
      <c r="Q8704" s="293"/>
      <c r="R8704" s="316"/>
      <c r="S8704" s="355"/>
    </row>
    <row r="8705" spans="13:19" x14ac:dyDescent="0.25">
      <c r="M8705" s="514"/>
      <c r="Q8705" s="293"/>
      <c r="R8705" s="316"/>
      <c r="S8705" s="355"/>
    </row>
    <row r="8706" spans="13:19" x14ac:dyDescent="0.25">
      <c r="M8706" s="514"/>
      <c r="Q8706" s="293"/>
      <c r="R8706" s="316"/>
      <c r="S8706" s="355"/>
    </row>
    <row r="8707" spans="13:19" x14ac:dyDescent="0.25">
      <c r="M8707" s="514"/>
      <c r="Q8707" s="293"/>
      <c r="R8707" s="316"/>
      <c r="S8707" s="355"/>
    </row>
    <row r="8708" spans="13:19" x14ac:dyDescent="0.25">
      <c r="M8708" s="514"/>
      <c r="Q8708" s="293"/>
      <c r="R8708" s="316"/>
      <c r="S8708" s="355"/>
    </row>
    <row r="8709" spans="13:19" x14ac:dyDescent="0.25">
      <c r="M8709" s="514"/>
      <c r="Q8709" s="293"/>
      <c r="R8709" s="316"/>
      <c r="S8709" s="355"/>
    </row>
    <row r="8710" spans="13:19" x14ac:dyDescent="0.25">
      <c r="M8710" s="514"/>
      <c r="Q8710" s="293"/>
      <c r="R8710" s="316"/>
      <c r="S8710" s="355"/>
    </row>
    <row r="8711" spans="13:19" x14ac:dyDescent="0.25">
      <c r="M8711" s="514"/>
      <c r="Q8711" s="293"/>
      <c r="R8711" s="316"/>
      <c r="S8711" s="355"/>
    </row>
    <row r="8712" spans="13:19" x14ac:dyDescent="0.25">
      <c r="M8712" s="514"/>
      <c r="Q8712" s="293"/>
      <c r="R8712" s="316"/>
      <c r="S8712" s="355"/>
    </row>
    <row r="8713" spans="13:19" x14ac:dyDescent="0.25">
      <c r="M8713" s="514"/>
      <c r="Q8713" s="293"/>
      <c r="R8713" s="316"/>
      <c r="S8713" s="355"/>
    </row>
    <row r="8714" spans="13:19" x14ac:dyDescent="0.25">
      <c r="M8714" s="514"/>
      <c r="Q8714" s="293"/>
      <c r="R8714" s="316"/>
      <c r="S8714" s="355"/>
    </row>
    <row r="8715" spans="13:19" x14ac:dyDescent="0.25">
      <c r="M8715" s="514"/>
      <c r="Q8715" s="293"/>
      <c r="R8715" s="316"/>
      <c r="S8715" s="355"/>
    </row>
    <row r="8716" spans="13:19" x14ac:dyDescent="0.25">
      <c r="M8716" s="514"/>
      <c r="Q8716" s="293"/>
      <c r="R8716" s="316"/>
      <c r="S8716" s="355"/>
    </row>
    <row r="8717" spans="13:19" x14ac:dyDescent="0.25">
      <c r="M8717" s="514"/>
      <c r="Q8717" s="293"/>
      <c r="R8717" s="316"/>
      <c r="S8717" s="355"/>
    </row>
    <row r="8718" spans="13:19" x14ac:dyDescent="0.25">
      <c r="M8718" s="514"/>
      <c r="Q8718" s="293"/>
      <c r="R8718" s="316"/>
      <c r="S8718" s="355"/>
    </row>
    <row r="8719" spans="13:19" x14ac:dyDescent="0.25">
      <c r="M8719" s="514"/>
      <c r="Q8719" s="293"/>
      <c r="R8719" s="316"/>
      <c r="S8719" s="355"/>
    </row>
    <row r="8720" spans="13:19" x14ac:dyDescent="0.25">
      <c r="M8720" s="514"/>
      <c r="Q8720" s="293"/>
      <c r="R8720" s="316"/>
      <c r="S8720" s="355"/>
    </row>
    <row r="8721" spans="13:19" x14ac:dyDescent="0.25">
      <c r="M8721" s="514"/>
      <c r="Q8721" s="293"/>
      <c r="R8721" s="316"/>
      <c r="S8721" s="355"/>
    </row>
    <row r="8722" spans="13:19" x14ac:dyDescent="0.25">
      <c r="M8722" s="514"/>
      <c r="Q8722" s="293"/>
      <c r="R8722" s="316"/>
      <c r="S8722" s="355"/>
    </row>
    <row r="8723" spans="13:19" x14ac:dyDescent="0.25">
      <c r="M8723" s="514"/>
      <c r="Q8723" s="293"/>
      <c r="R8723" s="316"/>
      <c r="S8723" s="355"/>
    </row>
    <row r="8724" spans="13:19" x14ac:dyDescent="0.25">
      <c r="M8724" s="514"/>
      <c r="Q8724" s="293"/>
      <c r="R8724" s="316"/>
      <c r="S8724" s="355"/>
    </row>
    <row r="8725" spans="13:19" x14ac:dyDescent="0.25">
      <c r="M8725" s="514"/>
      <c r="Q8725" s="293"/>
      <c r="R8725" s="316"/>
      <c r="S8725" s="355"/>
    </row>
    <row r="8726" spans="13:19" x14ac:dyDescent="0.25">
      <c r="M8726" s="514"/>
      <c r="Q8726" s="293"/>
      <c r="R8726" s="316"/>
      <c r="S8726" s="355"/>
    </row>
    <row r="8727" spans="13:19" x14ac:dyDescent="0.25">
      <c r="M8727" s="514"/>
      <c r="Q8727" s="293"/>
      <c r="R8727" s="316"/>
      <c r="S8727" s="355"/>
    </row>
    <row r="8728" spans="13:19" x14ac:dyDescent="0.25">
      <c r="M8728" s="514"/>
      <c r="Q8728" s="293"/>
      <c r="R8728" s="316"/>
      <c r="S8728" s="355"/>
    </row>
    <row r="8729" spans="13:19" x14ac:dyDescent="0.25">
      <c r="M8729" s="514"/>
      <c r="Q8729" s="293"/>
      <c r="R8729" s="316"/>
      <c r="S8729" s="355"/>
    </row>
    <row r="8730" spans="13:19" x14ac:dyDescent="0.25">
      <c r="M8730" s="514"/>
      <c r="Q8730" s="293"/>
      <c r="R8730" s="316"/>
      <c r="S8730" s="355"/>
    </row>
    <row r="8731" spans="13:19" x14ac:dyDescent="0.25">
      <c r="M8731" s="514"/>
      <c r="Q8731" s="293"/>
      <c r="R8731" s="316"/>
      <c r="S8731" s="355"/>
    </row>
    <row r="8732" spans="13:19" x14ac:dyDescent="0.25">
      <c r="M8732" s="514"/>
      <c r="Q8732" s="293"/>
      <c r="R8732" s="316"/>
      <c r="S8732" s="355"/>
    </row>
    <row r="8733" spans="13:19" x14ac:dyDescent="0.25">
      <c r="M8733" s="514"/>
      <c r="Q8733" s="293"/>
      <c r="R8733" s="316"/>
      <c r="S8733" s="355"/>
    </row>
    <row r="8734" spans="13:19" x14ac:dyDescent="0.25">
      <c r="M8734" s="514"/>
      <c r="Q8734" s="293"/>
      <c r="R8734" s="316"/>
      <c r="S8734" s="355"/>
    </row>
    <row r="8735" spans="13:19" x14ac:dyDescent="0.25">
      <c r="M8735" s="514"/>
      <c r="Q8735" s="293"/>
      <c r="R8735" s="316"/>
      <c r="S8735" s="355"/>
    </row>
    <row r="8736" spans="13:19" x14ac:dyDescent="0.25">
      <c r="M8736" s="514"/>
      <c r="Q8736" s="293"/>
      <c r="R8736" s="316"/>
      <c r="S8736" s="355"/>
    </row>
    <row r="8737" spans="13:19" x14ac:dyDescent="0.25">
      <c r="M8737" s="514"/>
      <c r="Q8737" s="293"/>
      <c r="R8737" s="316"/>
      <c r="S8737" s="355"/>
    </row>
    <row r="8738" spans="13:19" x14ac:dyDescent="0.25">
      <c r="M8738" s="514"/>
      <c r="Q8738" s="293"/>
      <c r="R8738" s="316"/>
      <c r="S8738" s="355"/>
    </row>
    <row r="8739" spans="13:19" x14ac:dyDescent="0.25">
      <c r="M8739" s="514"/>
      <c r="Q8739" s="293"/>
      <c r="R8739" s="316"/>
      <c r="S8739" s="355"/>
    </row>
    <row r="8740" spans="13:19" x14ac:dyDescent="0.25">
      <c r="M8740" s="514"/>
      <c r="Q8740" s="293"/>
      <c r="R8740" s="316"/>
      <c r="S8740" s="355"/>
    </row>
    <row r="8741" spans="13:19" x14ac:dyDescent="0.25">
      <c r="M8741" s="514"/>
      <c r="Q8741" s="293"/>
      <c r="R8741" s="316"/>
      <c r="S8741" s="355"/>
    </row>
    <row r="8742" spans="13:19" x14ac:dyDescent="0.25">
      <c r="M8742" s="514"/>
      <c r="Q8742" s="293"/>
      <c r="R8742" s="316"/>
      <c r="S8742" s="355"/>
    </row>
    <row r="8743" spans="13:19" x14ac:dyDescent="0.25">
      <c r="M8743" s="514"/>
      <c r="Q8743" s="293"/>
      <c r="R8743" s="316"/>
      <c r="S8743" s="355"/>
    </row>
    <row r="8744" spans="13:19" x14ac:dyDescent="0.25">
      <c r="M8744" s="514"/>
      <c r="Q8744" s="293"/>
      <c r="R8744" s="316"/>
      <c r="S8744" s="355"/>
    </row>
    <row r="8745" spans="13:19" x14ac:dyDescent="0.25">
      <c r="M8745" s="514"/>
      <c r="Q8745" s="293"/>
      <c r="R8745" s="316"/>
      <c r="S8745" s="355"/>
    </row>
    <row r="8746" spans="13:19" x14ac:dyDescent="0.25">
      <c r="M8746" s="514"/>
      <c r="Q8746" s="293"/>
      <c r="R8746" s="316"/>
      <c r="S8746" s="355"/>
    </row>
    <row r="8747" spans="13:19" x14ac:dyDescent="0.25">
      <c r="M8747" s="514"/>
      <c r="Q8747" s="293"/>
      <c r="R8747" s="316"/>
      <c r="S8747" s="355"/>
    </row>
    <row r="8748" spans="13:19" x14ac:dyDescent="0.25">
      <c r="M8748" s="514"/>
      <c r="Q8748" s="293"/>
      <c r="R8748" s="316"/>
      <c r="S8748" s="355"/>
    </row>
    <row r="8749" spans="13:19" x14ac:dyDescent="0.25">
      <c r="M8749" s="514"/>
      <c r="Q8749" s="293"/>
      <c r="R8749" s="316"/>
      <c r="S8749" s="355"/>
    </row>
    <row r="8750" spans="13:19" x14ac:dyDescent="0.25">
      <c r="M8750" s="514"/>
      <c r="Q8750" s="293"/>
      <c r="R8750" s="316"/>
      <c r="S8750" s="355"/>
    </row>
    <row r="8751" spans="13:19" x14ac:dyDescent="0.25">
      <c r="M8751" s="514"/>
      <c r="Q8751" s="293"/>
      <c r="R8751" s="316"/>
      <c r="S8751" s="355"/>
    </row>
    <row r="8752" spans="13:19" x14ac:dyDescent="0.25">
      <c r="M8752" s="514"/>
      <c r="Q8752" s="293"/>
      <c r="R8752" s="316"/>
      <c r="S8752" s="355"/>
    </row>
    <row r="8753" spans="13:19" x14ac:dyDescent="0.25">
      <c r="M8753" s="514"/>
      <c r="Q8753" s="293"/>
      <c r="R8753" s="316"/>
      <c r="S8753" s="355"/>
    </row>
    <row r="8754" spans="13:19" x14ac:dyDescent="0.25">
      <c r="M8754" s="514"/>
      <c r="Q8754" s="293"/>
      <c r="R8754" s="316"/>
      <c r="S8754" s="355"/>
    </row>
    <row r="8755" spans="13:19" x14ac:dyDescent="0.25">
      <c r="M8755" s="514"/>
      <c r="Q8755" s="293"/>
      <c r="R8755" s="316"/>
      <c r="S8755" s="355"/>
    </row>
    <row r="8756" spans="13:19" x14ac:dyDescent="0.25">
      <c r="M8756" s="514"/>
      <c r="Q8756" s="293"/>
      <c r="R8756" s="316"/>
      <c r="S8756" s="355"/>
    </row>
    <row r="8757" spans="13:19" x14ac:dyDescent="0.25">
      <c r="M8757" s="514"/>
      <c r="Q8757" s="293"/>
      <c r="R8757" s="316"/>
      <c r="S8757" s="355"/>
    </row>
    <row r="8758" spans="13:19" x14ac:dyDescent="0.25">
      <c r="M8758" s="514"/>
      <c r="Q8758" s="293"/>
      <c r="R8758" s="316"/>
      <c r="S8758" s="355"/>
    </row>
    <row r="8759" spans="13:19" x14ac:dyDescent="0.25">
      <c r="M8759" s="514"/>
      <c r="Q8759" s="293"/>
      <c r="R8759" s="316"/>
      <c r="S8759" s="355"/>
    </row>
    <row r="8760" spans="13:19" x14ac:dyDescent="0.25">
      <c r="M8760" s="514"/>
      <c r="Q8760" s="293"/>
      <c r="R8760" s="316"/>
      <c r="S8760" s="355"/>
    </row>
    <row r="8761" spans="13:19" x14ac:dyDescent="0.25">
      <c r="M8761" s="514"/>
      <c r="Q8761" s="293"/>
      <c r="R8761" s="316"/>
      <c r="S8761" s="355"/>
    </row>
    <row r="8762" spans="13:19" x14ac:dyDescent="0.25">
      <c r="M8762" s="514"/>
      <c r="Q8762" s="293"/>
      <c r="R8762" s="316"/>
      <c r="S8762" s="355"/>
    </row>
    <row r="8763" spans="13:19" x14ac:dyDescent="0.25">
      <c r="M8763" s="514"/>
      <c r="Q8763" s="293"/>
      <c r="R8763" s="316"/>
      <c r="S8763" s="355"/>
    </row>
    <row r="8764" spans="13:19" x14ac:dyDescent="0.25">
      <c r="M8764" s="514"/>
      <c r="Q8764" s="293"/>
      <c r="R8764" s="316"/>
      <c r="S8764" s="355"/>
    </row>
    <row r="8765" spans="13:19" x14ac:dyDescent="0.25">
      <c r="M8765" s="514"/>
      <c r="Q8765" s="293"/>
      <c r="R8765" s="316"/>
      <c r="S8765" s="355"/>
    </row>
    <row r="8766" spans="13:19" x14ac:dyDescent="0.25">
      <c r="M8766" s="514"/>
      <c r="Q8766" s="293"/>
      <c r="R8766" s="316"/>
      <c r="S8766" s="355"/>
    </row>
    <row r="8767" spans="13:19" x14ac:dyDescent="0.25">
      <c r="M8767" s="514"/>
      <c r="Q8767" s="293"/>
      <c r="R8767" s="316"/>
      <c r="S8767" s="355"/>
    </row>
    <row r="8768" spans="13:19" x14ac:dyDescent="0.25">
      <c r="M8768" s="514"/>
      <c r="Q8768" s="293"/>
      <c r="R8768" s="316"/>
      <c r="S8768" s="355"/>
    </row>
    <row r="8769" spans="13:19" x14ac:dyDescent="0.25">
      <c r="M8769" s="514"/>
      <c r="Q8769" s="293"/>
      <c r="R8769" s="316"/>
      <c r="S8769" s="355"/>
    </row>
    <row r="8770" spans="13:19" x14ac:dyDescent="0.25">
      <c r="M8770" s="514"/>
      <c r="Q8770" s="293"/>
      <c r="R8770" s="316"/>
      <c r="S8770" s="355"/>
    </row>
    <row r="8771" spans="13:19" x14ac:dyDescent="0.25">
      <c r="M8771" s="514"/>
      <c r="Q8771" s="293"/>
      <c r="R8771" s="316"/>
      <c r="S8771" s="355"/>
    </row>
    <row r="8772" spans="13:19" x14ac:dyDescent="0.25">
      <c r="M8772" s="514"/>
      <c r="Q8772" s="293"/>
      <c r="R8772" s="316"/>
      <c r="S8772" s="355"/>
    </row>
    <row r="8773" spans="13:19" x14ac:dyDescent="0.25">
      <c r="M8773" s="514"/>
      <c r="Q8773" s="293"/>
      <c r="R8773" s="316"/>
      <c r="S8773" s="355"/>
    </row>
    <row r="8774" spans="13:19" x14ac:dyDescent="0.25">
      <c r="M8774" s="514"/>
      <c r="Q8774" s="293"/>
      <c r="R8774" s="316"/>
      <c r="S8774" s="355"/>
    </row>
    <row r="8775" spans="13:19" x14ac:dyDescent="0.25">
      <c r="M8775" s="514"/>
      <c r="Q8775" s="293"/>
      <c r="R8775" s="316"/>
      <c r="S8775" s="355"/>
    </row>
    <row r="8776" spans="13:19" x14ac:dyDescent="0.25">
      <c r="M8776" s="514"/>
      <c r="Q8776" s="293"/>
      <c r="R8776" s="316"/>
      <c r="S8776" s="355"/>
    </row>
    <row r="8777" spans="13:19" x14ac:dyDescent="0.25">
      <c r="M8777" s="514"/>
      <c r="Q8777" s="293"/>
      <c r="R8777" s="316"/>
      <c r="S8777" s="355"/>
    </row>
    <row r="8778" spans="13:19" x14ac:dyDescent="0.25">
      <c r="M8778" s="514"/>
      <c r="Q8778" s="293"/>
      <c r="R8778" s="316"/>
      <c r="S8778" s="355"/>
    </row>
    <row r="8779" spans="13:19" x14ac:dyDescent="0.25">
      <c r="M8779" s="514"/>
      <c r="Q8779" s="293"/>
      <c r="R8779" s="316"/>
      <c r="S8779" s="355"/>
    </row>
    <row r="8780" spans="13:19" x14ac:dyDescent="0.25">
      <c r="M8780" s="514"/>
      <c r="Q8780" s="293"/>
      <c r="R8780" s="316"/>
      <c r="S8780" s="355"/>
    </row>
    <row r="8781" spans="13:19" x14ac:dyDescent="0.25">
      <c r="M8781" s="514"/>
      <c r="Q8781" s="293"/>
      <c r="R8781" s="316"/>
      <c r="S8781" s="355"/>
    </row>
    <row r="8782" spans="13:19" x14ac:dyDescent="0.25">
      <c r="M8782" s="514"/>
      <c r="Q8782" s="293"/>
      <c r="R8782" s="316"/>
      <c r="S8782" s="355"/>
    </row>
    <row r="8783" spans="13:19" x14ac:dyDescent="0.25">
      <c r="M8783" s="514"/>
      <c r="Q8783" s="293"/>
      <c r="R8783" s="316"/>
      <c r="S8783" s="355"/>
    </row>
    <row r="8784" spans="13:19" x14ac:dyDescent="0.25">
      <c r="M8784" s="514"/>
      <c r="Q8784" s="293"/>
      <c r="R8784" s="316"/>
      <c r="S8784" s="355"/>
    </row>
    <row r="8785" spans="13:19" x14ac:dyDescent="0.25">
      <c r="M8785" s="514"/>
      <c r="Q8785" s="293"/>
      <c r="R8785" s="316"/>
      <c r="S8785" s="355"/>
    </row>
    <row r="8786" spans="13:19" x14ac:dyDescent="0.25">
      <c r="M8786" s="514"/>
      <c r="Q8786" s="293"/>
      <c r="R8786" s="316"/>
      <c r="S8786" s="355"/>
    </row>
    <row r="8787" spans="13:19" x14ac:dyDescent="0.25">
      <c r="M8787" s="514"/>
      <c r="Q8787" s="293"/>
      <c r="R8787" s="316"/>
      <c r="S8787" s="355"/>
    </row>
    <row r="8788" spans="13:19" x14ac:dyDescent="0.25">
      <c r="M8788" s="514"/>
      <c r="Q8788" s="293"/>
      <c r="R8788" s="316"/>
      <c r="S8788" s="355"/>
    </row>
    <row r="8789" spans="13:19" x14ac:dyDescent="0.25">
      <c r="M8789" s="514"/>
      <c r="Q8789" s="293"/>
      <c r="R8789" s="316"/>
      <c r="S8789" s="355"/>
    </row>
    <row r="8790" spans="13:19" x14ac:dyDescent="0.25">
      <c r="M8790" s="514"/>
      <c r="Q8790" s="293"/>
      <c r="R8790" s="316"/>
      <c r="S8790" s="355"/>
    </row>
    <row r="8791" spans="13:19" x14ac:dyDescent="0.25">
      <c r="M8791" s="514"/>
      <c r="Q8791" s="293"/>
      <c r="R8791" s="316"/>
      <c r="S8791" s="355"/>
    </row>
    <row r="8792" spans="13:19" x14ac:dyDescent="0.25">
      <c r="M8792" s="514"/>
      <c r="Q8792" s="293"/>
      <c r="R8792" s="316"/>
      <c r="S8792" s="355"/>
    </row>
    <row r="8793" spans="13:19" x14ac:dyDescent="0.25">
      <c r="M8793" s="514"/>
      <c r="Q8793" s="293"/>
      <c r="R8793" s="316"/>
      <c r="S8793" s="355"/>
    </row>
    <row r="8794" spans="13:19" x14ac:dyDescent="0.25">
      <c r="M8794" s="514"/>
      <c r="Q8794" s="293"/>
      <c r="R8794" s="316"/>
      <c r="S8794" s="355"/>
    </row>
    <row r="8795" spans="13:19" x14ac:dyDescent="0.25">
      <c r="M8795" s="514"/>
      <c r="Q8795" s="293"/>
      <c r="R8795" s="316"/>
      <c r="S8795" s="355"/>
    </row>
    <row r="8796" spans="13:19" x14ac:dyDescent="0.25">
      <c r="M8796" s="514"/>
      <c r="Q8796" s="293"/>
      <c r="R8796" s="316"/>
      <c r="S8796" s="355"/>
    </row>
    <row r="8797" spans="13:19" x14ac:dyDescent="0.25">
      <c r="M8797" s="514"/>
      <c r="Q8797" s="293"/>
      <c r="R8797" s="316"/>
      <c r="S8797" s="355"/>
    </row>
    <row r="8798" spans="13:19" x14ac:dyDescent="0.25">
      <c r="M8798" s="514"/>
      <c r="Q8798" s="293"/>
      <c r="R8798" s="316"/>
      <c r="S8798" s="355"/>
    </row>
    <row r="8799" spans="13:19" x14ac:dyDescent="0.25">
      <c r="M8799" s="514"/>
      <c r="Q8799" s="293"/>
      <c r="R8799" s="316"/>
      <c r="S8799" s="355"/>
    </row>
    <row r="8800" spans="13:19" x14ac:dyDescent="0.25">
      <c r="M8800" s="514"/>
      <c r="Q8800" s="293"/>
      <c r="R8800" s="316"/>
      <c r="S8800" s="355"/>
    </row>
    <row r="8801" spans="13:19" x14ac:dyDescent="0.25">
      <c r="M8801" s="514"/>
      <c r="Q8801" s="293"/>
      <c r="R8801" s="316"/>
      <c r="S8801" s="355"/>
    </row>
    <row r="8802" spans="13:19" x14ac:dyDescent="0.25">
      <c r="M8802" s="514"/>
      <c r="Q8802" s="293"/>
      <c r="R8802" s="316"/>
      <c r="S8802" s="355"/>
    </row>
    <row r="8803" spans="13:19" x14ac:dyDescent="0.25">
      <c r="M8803" s="514"/>
      <c r="Q8803" s="293"/>
      <c r="R8803" s="316"/>
      <c r="S8803" s="355"/>
    </row>
    <row r="8804" spans="13:19" x14ac:dyDescent="0.25">
      <c r="M8804" s="514"/>
      <c r="Q8804" s="293"/>
      <c r="R8804" s="316"/>
      <c r="S8804" s="355"/>
    </row>
    <row r="8805" spans="13:19" x14ac:dyDescent="0.25">
      <c r="M8805" s="514"/>
      <c r="Q8805" s="293"/>
      <c r="R8805" s="316"/>
      <c r="S8805" s="355"/>
    </row>
    <row r="8806" spans="13:19" x14ac:dyDescent="0.25">
      <c r="M8806" s="514"/>
      <c r="Q8806" s="293"/>
      <c r="R8806" s="316"/>
      <c r="S8806" s="355"/>
    </row>
    <row r="8807" spans="13:19" x14ac:dyDescent="0.25">
      <c r="M8807" s="514"/>
      <c r="Q8807" s="293"/>
      <c r="R8807" s="316"/>
      <c r="S8807" s="355"/>
    </row>
    <row r="8808" spans="13:19" x14ac:dyDescent="0.25">
      <c r="M8808" s="514"/>
      <c r="Q8808" s="293"/>
      <c r="R8808" s="316"/>
      <c r="S8808" s="355"/>
    </row>
    <row r="8809" spans="13:19" x14ac:dyDescent="0.25">
      <c r="M8809" s="514"/>
      <c r="Q8809" s="293"/>
      <c r="R8809" s="316"/>
      <c r="S8809" s="355"/>
    </row>
    <row r="8810" spans="13:19" x14ac:dyDescent="0.25">
      <c r="M8810" s="514"/>
      <c r="Q8810" s="293"/>
      <c r="R8810" s="316"/>
      <c r="S8810" s="355"/>
    </row>
    <row r="8811" spans="13:19" x14ac:dyDescent="0.25">
      <c r="M8811" s="514"/>
      <c r="Q8811" s="293"/>
      <c r="R8811" s="316"/>
      <c r="S8811" s="355"/>
    </row>
    <row r="8812" spans="13:19" x14ac:dyDescent="0.25">
      <c r="M8812" s="514"/>
      <c r="Q8812" s="293"/>
      <c r="R8812" s="316"/>
      <c r="S8812" s="355"/>
    </row>
    <row r="8813" spans="13:19" x14ac:dyDescent="0.25">
      <c r="M8813" s="514"/>
      <c r="Q8813" s="293"/>
      <c r="R8813" s="316"/>
      <c r="S8813" s="355"/>
    </row>
    <row r="8814" spans="13:19" x14ac:dyDescent="0.25">
      <c r="M8814" s="514"/>
      <c r="Q8814" s="293"/>
      <c r="R8814" s="316"/>
      <c r="S8814" s="355"/>
    </row>
    <row r="8815" spans="13:19" x14ac:dyDescent="0.25">
      <c r="M8815" s="514"/>
      <c r="Q8815" s="293"/>
      <c r="R8815" s="316"/>
      <c r="S8815" s="355"/>
    </row>
    <row r="8816" spans="13:19" x14ac:dyDescent="0.25">
      <c r="M8816" s="514"/>
      <c r="Q8816" s="293"/>
      <c r="R8816" s="316"/>
      <c r="S8816" s="355"/>
    </row>
    <row r="8817" spans="13:19" x14ac:dyDescent="0.25">
      <c r="M8817" s="514"/>
      <c r="Q8817" s="293"/>
      <c r="R8817" s="316"/>
      <c r="S8817" s="355"/>
    </row>
    <row r="8818" spans="13:19" x14ac:dyDescent="0.25">
      <c r="M8818" s="514"/>
      <c r="Q8818" s="293"/>
      <c r="R8818" s="316"/>
      <c r="S8818" s="355"/>
    </row>
    <row r="8819" spans="13:19" x14ac:dyDescent="0.25">
      <c r="M8819" s="514"/>
      <c r="Q8819" s="293"/>
      <c r="R8819" s="316"/>
      <c r="S8819" s="355"/>
    </row>
    <row r="8820" spans="13:19" x14ac:dyDescent="0.25">
      <c r="M8820" s="514"/>
      <c r="Q8820" s="293"/>
      <c r="R8820" s="316"/>
      <c r="S8820" s="355"/>
    </row>
    <row r="8821" spans="13:19" x14ac:dyDescent="0.25">
      <c r="M8821" s="514"/>
      <c r="Q8821" s="293"/>
      <c r="R8821" s="316"/>
      <c r="S8821" s="355"/>
    </row>
    <row r="8822" spans="13:19" x14ac:dyDescent="0.25">
      <c r="M8822" s="514"/>
      <c r="Q8822" s="293"/>
      <c r="R8822" s="316"/>
      <c r="S8822" s="355"/>
    </row>
    <row r="8823" spans="13:19" x14ac:dyDescent="0.25">
      <c r="M8823" s="514"/>
      <c r="Q8823" s="293"/>
      <c r="R8823" s="316"/>
      <c r="S8823" s="355"/>
    </row>
    <row r="8824" spans="13:19" x14ac:dyDescent="0.25">
      <c r="M8824" s="514"/>
      <c r="Q8824" s="293"/>
      <c r="R8824" s="316"/>
      <c r="S8824" s="355"/>
    </row>
    <row r="8825" spans="13:19" x14ac:dyDescent="0.25">
      <c r="M8825" s="514"/>
      <c r="Q8825" s="293"/>
      <c r="R8825" s="316"/>
      <c r="S8825" s="355"/>
    </row>
    <row r="8826" spans="13:19" x14ac:dyDescent="0.25">
      <c r="M8826" s="514"/>
      <c r="Q8826" s="293"/>
      <c r="R8826" s="316"/>
      <c r="S8826" s="355"/>
    </row>
    <row r="8827" spans="13:19" x14ac:dyDescent="0.25">
      <c r="M8827" s="514"/>
      <c r="Q8827" s="293"/>
      <c r="R8827" s="316"/>
      <c r="S8827" s="355"/>
    </row>
    <row r="8828" spans="13:19" x14ac:dyDescent="0.25">
      <c r="M8828" s="514"/>
      <c r="Q8828" s="293"/>
      <c r="R8828" s="316"/>
      <c r="S8828" s="355"/>
    </row>
    <row r="8829" spans="13:19" x14ac:dyDescent="0.25">
      <c r="M8829" s="514"/>
      <c r="Q8829" s="293"/>
      <c r="R8829" s="316"/>
      <c r="S8829" s="355"/>
    </row>
    <row r="8830" spans="13:19" x14ac:dyDescent="0.25">
      <c r="M8830" s="514"/>
      <c r="Q8830" s="293"/>
      <c r="R8830" s="316"/>
      <c r="S8830" s="355"/>
    </row>
    <row r="8831" spans="13:19" x14ac:dyDescent="0.25">
      <c r="M8831" s="514"/>
      <c r="Q8831" s="293"/>
      <c r="R8831" s="316"/>
      <c r="S8831" s="355"/>
    </row>
    <row r="8832" spans="13:19" x14ac:dyDescent="0.25">
      <c r="M8832" s="514"/>
      <c r="Q8832" s="293"/>
      <c r="R8832" s="316"/>
      <c r="S8832" s="355"/>
    </row>
    <row r="8833" spans="13:19" x14ac:dyDescent="0.25">
      <c r="M8833" s="514"/>
      <c r="Q8833" s="293"/>
      <c r="R8833" s="316"/>
      <c r="S8833" s="355"/>
    </row>
    <row r="8834" spans="13:19" x14ac:dyDescent="0.25">
      <c r="M8834" s="514"/>
      <c r="Q8834" s="293"/>
      <c r="R8834" s="316"/>
      <c r="S8834" s="355"/>
    </row>
    <row r="8835" spans="13:19" x14ac:dyDescent="0.25">
      <c r="M8835" s="514"/>
      <c r="Q8835" s="293"/>
      <c r="R8835" s="316"/>
      <c r="S8835" s="355"/>
    </row>
    <row r="8836" spans="13:19" x14ac:dyDescent="0.25">
      <c r="M8836" s="514"/>
      <c r="Q8836" s="293"/>
      <c r="R8836" s="316"/>
      <c r="S8836" s="355"/>
    </row>
    <row r="8837" spans="13:19" x14ac:dyDescent="0.25">
      <c r="M8837" s="514"/>
      <c r="Q8837" s="293"/>
      <c r="R8837" s="316"/>
      <c r="S8837" s="355"/>
    </row>
    <row r="8838" spans="13:19" x14ac:dyDescent="0.25">
      <c r="M8838" s="514"/>
      <c r="Q8838" s="293"/>
      <c r="R8838" s="316"/>
      <c r="S8838" s="355"/>
    </row>
    <row r="8839" spans="13:19" x14ac:dyDescent="0.25">
      <c r="M8839" s="514"/>
      <c r="Q8839" s="293"/>
      <c r="R8839" s="316"/>
      <c r="S8839" s="355"/>
    </row>
    <row r="8840" spans="13:19" x14ac:dyDescent="0.25">
      <c r="M8840" s="514"/>
      <c r="Q8840" s="293"/>
      <c r="R8840" s="316"/>
      <c r="S8840" s="355"/>
    </row>
    <row r="8841" spans="13:19" x14ac:dyDescent="0.25">
      <c r="M8841" s="514"/>
      <c r="Q8841" s="293"/>
      <c r="R8841" s="316"/>
      <c r="S8841" s="355"/>
    </row>
    <row r="8842" spans="13:19" x14ac:dyDescent="0.25">
      <c r="M8842" s="514"/>
      <c r="Q8842" s="293"/>
      <c r="R8842" s="316"/>
      <c r="S8842" s="355"/>
    </row>
    <row r="8843" spans="13:19" x14ac:dyDescent="0.25">
      <c r="M8843" s="514"/>
      <c r="Q8843" s="293"/>
      <c r="R8843" s="316"/>
      <c r="S8843" s="355"/>
    </row>
    <row r="8844" spans="13:19" x14ac:dyDescent="0.25">
      <c r="M8844" s="514"/>
      <c r="Q8844" s="293"/>
      <c r="R8844" s="316"/>
      <c r="S8844" s="355"/>
    </row>
    <row r="8845" spans="13:19" x14ac:dyDescent="0.25">
      <c r="M8845" s="514"/>
      <c r="Q8845" s="293"/>
      <c r="R8845" s="316"/>
      <c r="S8845" s="355"/>
    </row>
    <row r="8846" spans="13:19" x14ac:dyDescent="0.25">
      <c r="M8846" s="514"/>
      <c r="Q8846" s="293"/>
      <c r="R8846" s="316"/>
      <c r="S8846" s="355"/>
    </row>
    <row r="8847" spans="13:19" x14ac:dyDescent="0.25">
      <c r="M8847" s="514"/>
      <c r="Q8847" s="293"/>
      <c r="R8847" s="316"/>
      <c r="S8847" s="355"/>
    </row>
    <row r="8848" spans="13:19" x14ac:dyDescent="0.25">
      <c r="M8848" s="514"/>
      <c r="Q8848" s="293"/>
      <c r="R8848" s="316"/>
      <c r="S8848" s="355"/>
    </row>
    <row r="8849" spans="13:19" x14ac:dyDescent="0.25">
      <c r="M8849" s="514"/>
      <c r="Q8849" s="293"/>
      <c r="R8849" s="316"/>
      <c r="S8849" s="355"/>
    </row>
    <row r="8850" spans="13:19" x14ac:dyDescent="0.25">
      <c r="M8850" s="514"/>
      <c r="Q8850" s="293"/>
      <c r="R8850" s="316"/>
      <c r="S8850" s="355"/>
    </row>
    <row r="8851" spans="13:19" x14ac:dyDescent="0.25">
      <c r="M8851" s="514"/>
      <c r="Q8851" s="293"/>
      <c r="R8851" s="316"/>
      <c r="S8851" s="355"/>
    </row>
    <row r="8852" spans="13:19" x14ac:dyDescent="0.25">
      <c r="M8852" s="514"/>
      <c r="Q8852" s="293"/>
      <c r="R8852" s="316"/>
      <c r="S8852" s="355"/>
    </row>
    <row r="8853" spans="13:19" x14ac:dyDescent="0.25">
      <c r="M8853" s="514"/>
      <c r="Q8853" s="293"/>
      <c r="R8853" s="316"/>
      <c r="S8853" s="355"/>
    </row>
    <row r="8854" spans="13:19" x14ac:dyDescent="0.25">
      <c r="M8854" s="514"/>
      <c r="Q8854" s="293"/>
      <c r="R8854" s="316"/>
      <c r="S8854" s="355"/>
    </row>
    <row r="8855" spans="13:19" x14ac:dyDescent="0.25">
      <c r="M8855" s="514"/>
      <c r="Q8855" s="293"/>
      <c r="R8855" s="316"/>
      <c r="S8855" s="355"/>
    </row>
    <row r="8856" spans="13:19" x14ac:dyDescent="0.25">
      <c r="M8856" s="514"/>
      <c r="Q8856" s="293"/>
      <c r="R8856" s="316"/>
      <c r="S8856" s="355"/>
    </row>
    <row r="8857" spans="13:19" x14ac:dyDescent="0.25">
      <c r="M8857" s="514"/>
      <c r="Q8857" s="293"/>
      <c r="R8857" s="316"/>
      <c r="S8857" s="355"/>
    </row>
    <row r="8858" spans="13:19" x14ac:dyDescent="0.25">
      <c r="M8858" s="514"/>
      <c r="Q8858" s="293"/>
      <c r="R8858" s="316"/>
      <c r="S8858" s="355"/>
    </row>
    <row r="8859" spans="13:19" x14ac:dyDescent="0.25">
      <c r="M8859" s="514"/>
      <c r="Q8859" s="293"/>
      <c r="R8859" s="316"/>
      <c r="S8859" s="355"/>
    </row>
    <row r="8860" spans="13:19" x14ac:dyDescent="0.25">
      <c r="M8860" s="514"/>
      <c r="Q8860" s="293"/>
      <c r="R8860" s="316"/>
      <c r="S8860" s="355"/>
    </row>
    <row r="8861" spans="13:19" x14ac:dyDescent="0.25">
      <c r="M8861" s="514"/>
      <c r="Q8861" s="293"/>
      <c r="R8861" s="316"/>
      <c r="S8861" s="355"/>
    </row>
    <row r="8862" spans="13:19" x14ac:dyDescent="0.25">
      <c r="M8862" s="514"/>
      <c r="Q8862" s="293"/>
      <c r="R8862" s="316"/>
      <c r="S8862" s="355"/>
    </row>
    <row r="8863" spans="13:19" x14ac:dyDescent="0.25">
      <c r="M8863" s="514"/>
      <c r="Q8863" s="293"/>
      <c r="R8863" s="316"/>
      <c r="S8863" s="355"/>
    </row>
    <row r="8864" spans="13:19" x14ac:dyDescent="0.25">
      <c r="M8864" s="514"/>
      <c r="Q8864" s="293"/>
      <c r="R8864" s="316"/>
      <c r="S8864" s="355"/>
    </row>
    <row r="8865" spans="13:19" x14ac:dyDescent="0.25">
      <c r="M8865" s="514"/>
      <c r="Q8865" s="293"/>
      <c r="R8865" s="316"/>
      <c r="S8865" s="355"/>
    </row>
    <row r="8866" spans="13:19" x14ac:dyDescent="0.25">
      <c r="M8866" s="514"/>
      <c r="Q8866" s="293"/>
      <c r="R8866" s="316"/>
      <c r="S8866" s="355"/>
    </row>
    <row r="8867" spans="13:19" x14ac:dyDescent="0.25">
      <c r="M8867" s="514"/>
      <c r="Q8867" s="293"/>
      <c r="R8867" s="316"/>
      <c r="S8867" s="355"/>
    </row>
    <row r="8868" spans="13:19" x14ac:dyDescent="0.25">
      <c r="M8868" s="514"/>
      <c r="Q8868" s="293"/>
      <c r="R8868" s="316"/>
      <c r="S8868" s="355"/>
    </row>
    <row r="8869" spans="13:19" x14ac:dyDescent="0.25">
      <c r="M8869" s="514"/>
      <c r="Q8869" s="293"/>
      <c r="R8869" s="316"/>
      <c r="S8869" s="355"/>
    </row>
    <row r="8870" spans="13:19" x14ac:dyDescent="0.25">
      <c r="M8870" s="514"/>
      <c r="Q8870" s="293"/>
      <c r="R8870" s="316"/>
      <c r="S8870" s="355"/>
    </row>
    <row r="8871" spans="13:19" x14ac:dyDescent="0.25">
      <c r="M8871" s="514"/>
      <c r="Q8871" s="293"/>
      <c r="R8871" s="316"/>
      <c r="S8871" s="355"/>
    </row>
    <row r="8872" spans="13:19" x14ac:dyDescent="0.25">
      <c r="M8872" s="514"/>
      <c r="Q8872" s="293"/>
      <c r="R8872" s="316"/>
      <c r="S8872" s="355"/>
    </row>
    <row r="8873" spans="13:19" x14ac:dyDescent="0.25">
      <c r="M8873" s="514"/>
      <c r="Q8873" s="293"/>
      <c r="R8873" s="316"/>
      <c r="S8873" s="355"/>
    </row>
    <row r="8874" spans="13:19" x14ac:dyDescent="0.25">
      <c r="M8874" s="514"/>
      <c r="Q8874" s="293"/>
      <c r="R8874" s="316"/>
      <c r="S8874" s="355"/>
    </row>
    <row r="8875" spans="13:19" x14ac:dyDescent="0.25">
      <c r="M8875" s="514"/>
      <c r="Q8875" s="293"/>
      <c r="R8875" s="316"/>
      <c r="S8875" s="355"/>
    </row>
    <row r="8876" spans="13:19" x14ac:dyDescent="0.25">
      <c r="M8876" s="514"/>
      <c r="Q8876" s="293"/>
      <c r="R8876" s="316"/>
      <c r="S8876" s="355"/>
    </row>
    <row r="8877" spans="13:19" x14ac:dyDescent="0.25">
      <c r="M8877" s="514"/>
      <c r="Q8877" s="293"/>
      <c r="R8877" s="316"/>
      <c r="S8877" s="355"/>
    </row>
    <row r="8878" spans="13:19" x14ac:dyDescent="0.25">
      <c r="M8878" s="514"/>
      <c r="Q8878" s="293"/>
      <c r="R8878" s="316"/>
      <c r="S8878" s="355"/>
    </row>
    <row r="8879" spans="13:19" x14ac:dyDescent="0.25">
      <c r="M8879" s="514"/>
      <c r="Q8879" s="293"/>
      <c r="R8879" s="316"/>
      <c r="S8879" s="355"/>
    </row>
    <row r="8880" spans="13:19" x14ac:dyDescent="0.25">
      <c r="M8880" s="514"/>
      <c r="Q8880" s="293"/>
      <c r="R8880" s="316"/>
      <c r="S8880" s="355"/>
    </row>
    <row r="8881" spans="13:19" x14ac:dyDescent="0.25">
      <c r="M8881" s="514"/>
      <c r="Q8881" s="293"/>
      <c r="R8881" s="316"/>
      <c r="S8881" s="355"/>
    </row>
    <row r="8882" spans="13:19" x14ac:dyDescent="0.25">
      <c r="M8882" s="514"/>
      <c r="Q8882" s="293"/>
      <c r="R8882" s="316"/>
      <c r="S8882" s="355"/>
    </row>
    <row r="8883" spans="13:19" x14ac:dyDescent="0.25">
      <c r="M8883" s="514"/>
      <c r="Q8883" s="293"/>
      <c r="R8883" s="316"/>
      <c r="S8883" s="355"/>
    </row>
    <row r="8884" spans="13:19" x14ac:dyDescent="0.25">
      <c r="M8884" s="514"/>
      <c r="Q8884" s="293"/>
      <c r="R8884" s="316"/>
      <c r="S8884" s="355"/>
    </row>
    <row r="8885" spans="13:19" x14ac:dyDescent="0.25">
      <c r="M8885" s="514"/>
      <c r="Q8885" s="293"/>
      <c r="R8885" s="316"/>
      <c r="S8885" s="355"/>
    </row>
    <row r="8886" spans="13:19" x14ac:dyDescent="0.25">
      <c r="M8886" s="514"/>
      <c r="Q8886" s="293"/>
      <c r="R8886" s="316"/>
      <c r="S8886" s="355"/>
    </row>
    <row r="8887" spans="13:19" x14ac:dyDescent="0.25">
      <c r="M8887" s="514"/>
      <c r="Q8887" s="293"/>
      <c r="R8887" s="316"/>
      <c r="S8887" s="355"/>
    </row>
    <row r="8888" spans="13:19" x14ac:dyDescent="0.25">
      <c r="M8888" s="514"/>
      <c r="Q8888" s="293"/>
      <c r="R8888" s="316"/>
      <c r="S8888" s="355"/>
    </row>
    <row r="8889" spans="13:19" x14ac:dyDescent="0.25">
      <c r="M8889" s="514"/>
      <c r="Q8889" s="293"/>
      <c r="R8889" s="316"/>
      <c r="S8889" s="355"/>
    </row>
    <row r="8890" spans="13:19" x14ac:dyDescent="0.25">
      <c r="M8890" s="514"/>
      <c r="Q8890" s="293"/>
      <c r="R8890" s="316"/>
      <c r="S8890" s="355"/>
    </row>
    <row r="8891" spans="13:19" x14ac:dyDescent="0.25">
      <c r="M8891" s="514"/>
      <c r="Q8891" s="293"/>
      <c r="R8891" s="316"/>
      <c r="S8891" s="355"/>
    </row>
    <row r="8892" spans="13:19" x14ac:dyDescent="0.25">
      <c r="M8892" s="514"/>
      <c r="Q8892" s="293"/>
      <c r="R8892" s="316"/>
      <c r="S8892" s="355"/>
    </row>
    <row r="8893" spans="13:19" x14ac:dyDescent="0.25">
      <c r="M8893" s="514"/>
      <c r="Q8893" s="293"/>
      <c r="R8893" s="316"/>
      <c r="S8893" s="355"/>
    </row>
    <row r="8894" spans="13:19" x14ac:dyDescent="0.25">
      <c r="M8894" s="514"/>
      <c r="Q8894" s="293"/>
      <c r="R8894" s="316"/>
      <c r="S8894" s="355"/>
    </row>
    <row r="8895" spans="13:19" x14ac:dyDescent="0.25">
      <c r="M8895" s="514"/>
      <c r="Q8895" s="293"/>
      <c r="R8895" s="316"/>
      <c r="S8895" s="355"/>
    </row>
    <row r="8896" spans="13:19" x14ac:dyDescent="0.25">
      <c r="M8896" s="514"/>
      <c r="Q8896" s="293"/>
      <c r="R8896" s="316"/>
      <c r="S8896" s="355"/>
    </row>
    <row r="8897" spans="13:19" x14ac:dyDescent="0.25">
      <c r="M8897" s="514"/>
      <c r="Q8897" s="293"/>
      <c r="R8897" s="316"/>
      <c r="S8897" s="355"/>
    </row>
    <row r="8898" spans="13:19" x14ac:dyDescent="0.25">
      <c r="M8898" s="514"/>
      <c r="Q8898" s="293"/>
      <c r="R8898" s="316"/>
      <c r="S8898" s="355"/>
    </row>
    <row r="8899" spans="13:19" x14ac:dyDescent="0.25">
      <c r="M8899" s="514"/>
      <c r="Q8899" s="293"/>
      <c r="R8899" s="316"/>
      <c r="S8899" s="355"/>
    </row>
    <row r="8900" spans="13:19" x14ac:dyDescent="0.25">
      <c r="M8900" s="514"/>
      <c r="Q8900" s="293"/>
      <c r="R8900" s="316"/>
      <c r="S8900" s="355"/>
    </row>
    <row r="8901" spans="13:19" x14ac:dyDescent="0.25">
      <c r="M8901" s="514"/>
      <c r="Q8901" s="293"/>
      <c r="R8901" s="316"/>
      <c r="S8901" s="355"/>
    </row>
    <row r="8902" spans="13:19" x14ac:dyDescent="0.25">
      <c r="M8902" s="514"/>
      <c r="Q8902" s="293"/>
      <c r="R8902" s="316"/>
      <c r="S8902" s="355"/>
    </row>
    <row r="8903" spans="13:19" x14ac:dyDescent="0.25">
      <c r="M8903" s="514"/>
      <c r="Q8903" s="293"/>
      <c r="R8903" s="316"/>
      <c r="S8903" s="355"/>
    </row>
    <row r="8904" spans="13:19" x14ac:dyDescent="0.25">
      <c r="M8904" s="514"/>
      <c r="Q8904" s="293"/>
      <c r="R8904" s="316"/>
      <c r="S8904" s="355"/>
    </row>
    <row r="8905" spans="13:19" x14ac:dyDescent="0.25">
      <c r="M8905" s="514"/>
      <c r="Q8905" s="293"/>
      <c r="R8905" s="316"/>
      <c r="S8905" s="355"/>
    </row>
    <row r="8906" spans="13:19" x14ac:dyDescent="0.25">
      <c r="M8906" s="514"/>
      <c r="Q8906" s="293"/>
      <c r="R8906" s="316"/>
      <c r="S8906" s="355"/>
    </row>
    <row r="8907" spans="13:19" x14ac:dyDescent="0.25">
      <c r="M8907" s="514"/>
      <c r="Q8907" s="293"/>
      <c r="R8907" s="316"/>
      <c r="S8907" s="355"/>
    </row>
    <row r="8908" spans="13:19" x14ac:dyDescent="0.25">
      <c r="M8908" s="514"/>
      <c r="Q8908" s="293"/>
      <c r="R8908" s="316"/>
      <c r="S8908" s="355"/>
    </row>
    <row r="8909" spans="13:19" x14ac:dyDescent="0.25">
      <c r="M8909" s="514"/>
      <c r="Q8909" s="293"/>
      <c r="R8909" s="316"/>
      <c r="S8909" s="355"/>
    </row>
    <row r="8910" spans="13:19" x14ac:dyDescent="0.25">
      <c r="M8910" s="514"/>
      <c r="Q8910" s="293"/>
      <c r="R8910" s="316"/>
      <c r="S8910" s="355"/>
    </row>
    <row r="8911" spans="13:19" x14ac:dyDescent="0.25">
      <c r="M8911" s="514"/>
      <c r="Q8911" s="293"/>
      <c r="R8911" s="316"/>
      <c r="S8911" s="355"/>
    </row>
    <row r="8912" spans="13:19" x14ac:dyDescent="0.25">
      <c r="M8912" s="514"/>
      <c r="Q8912" s="293"/>
      <c r="R8912" s="316"/>
      <c r="S8912" s="355"/>
    </row>
    <row r="8913" spans="13:19" x14ac:dyDescent="0.25">
      <c r="M8913" s="514"/>
      <c r="Q8913" s="293"/>
      <c r="R8913" s="316"/>
      <c r="S8913" s="355"/>
    </row>
    <row r="8914" spans="13:19" x14ac:dyDescent="0.25">
      <c r="M8914" s="514"/>
      <c r="Q8914" s="293"/>
      <c r="R8914" s="316"/>
      <c r="S8914" s="355"/>
    </row>
    <row r="8915" spans="13:19" x14ac:dyDescent="0.25">
      <c r="M8915" s="514"/>
      <c r="Q8915" s="293"/>
      <c r="R8915" s="316"/>
      <c r="S8915" s="355"/>
    </row>
    <row r="8916" spans="13:19" x14ac:dyDescent="0.25">
      <c r="M8916" s="514"/>
      <c r="Q8916" s="293"/>
      <c r="R8916" s="316"/>
      <c r="S8916" s="355"/>
    </row>
    <row r="8917" spans="13:19" x14ac:dyDescent="0.25">
      <c r="M8917" s="514"/>
      <c r="Q8917" s="293"/>
      <c r="R8917" s="316"/>
      <c r="S8917" s="355"/>
    </row>
    <row r="8918" spans="13:19" x14ac:dyDescent="0.25">
      <c r="M8918" s="514"/>
      <c r="Q8918" s="293"/>
      <c r="R8918" s="316"/>
      <c r="S8918" s="355"/>
    </row>
    <row r="8919" spans="13:19" x14ac:dyDescent="0.25">
      <c r="M8919" s="514"/>
      <c r="Q8919" s="293"/>
      <c r="R8919" s="316"/>
      <c r="S8919" s="355"/>
    </row>
    <row r="8920" spans="13:19" x14ac:dyDescent="0.25">
      <c r="M8920" s="514"/>
      <c r="Q8920" s="293"/>
      <c r="R8920" s="316"/>
      <c r="S8920" s="355"/>
    </row>
    <row r="8921" spans="13:19" x14ac:dyDescent="0.25">
      <c r="M8921" s="514"/>
      <c r="Q8921" s="293"/>
      <c r="R8921" s="316"/>
      <c r="S8921" s="355"/>
    </row>
    <row r="8922" spans="13:19" x14ac:dyDescent="0.25">
      <c r="M8922" s="514"/>
      <c r="Q8922" s="293"/>
      <c r="R8922" s="316"/>
      <c r="S8922" s="355"/>
    </row>
    <row r="8923" spans="13:19" x14ac:dyDescent="0.25">
      <c r="M8923" s="514"/>
      <c r="Q8923" s="293"/>
      <c r="R8923" s="316"/>
      <c r="S8923" s="355"/>
    </row>
    <row r="8924" spans="13:19" x14ac:dyDescent="0.25">
      <c r="M8924" s="514"/>
      <c r="Q8924" s="293"/>
      <c r="R8924" s="316"/>
      <c r="S8924" s="355"/>
    </row>
    <row r="8925" spans="13:19" x14ac:dyDescent="0.25">
      <c r="M8925" s="514"/>
      <c r="Q8925" s="293"/>
      <c r="R8925" s="316"/>
      <c r="S8925" s="355"/>
    </row>
    <row r="8926" spans="13:19" x14ac:dyDescent="0.25">
      <c r="M8926" s="514"/>
      <c r="Q8926" s="293"/>
      <c r="R8926" s="316"/>
      <c r="S8926" s="355"/>
    </row>
    <row r="8927" spans="13:19" x14ac:dyDescent="0.25">
      <c r="M8927" s="514"/>
      <c r="Q8927" s="293"/>
      <c r="R8927" s="316"/>
      <c r="S8927" s="355"/>
    </row>
    <row r="8928" spans="13:19" x14ac:dyDescent="0.25">
      <c r="M8928" s="514"/>
      <c r="Q8928" s="293"/>
      <c r="R8928" s="316"/>
      <c r="S8928" s="355"/>
    </row>
    <row r="8929" spans="13:19" x14ac:dyDescent="0.25">
      <c r="M8929" s="514"/>
      <c r="Q8929" s="293"/>
      <c r="R8929" s="316"/>
      <c r="S8929" s="355"/>
    </row>
    <row r="8930" spans="13:19" x14ac:dyDescent="0.25">
      <c r="M8930" s="514"/>
      <c r="Q8930" s="293"/>
      <c r="R8930" s="316"/>
      <c r="S8930" s="355"/>
    </row>
    <row r="8931" spans="13:19" x14ac:dyDescent="0.25">
      <c r="M8931" s="514"/>
      <c r="Q8931" s="293"/>
      <c r="R8931" s="316"/>
      <c r="S8931" s="355"/>
    </row>
    <row r="8932" spans="13:19" x14ac:dyDescent="0.25">
      <c r="M8932" s="514"/>
      <c r="Q8932" s="293"/>
      <c r="R8932" s="316"/>
      <c r="S8932" s="355"/>
    </row>
    <row r="8933" spans="13:19" x14ac:dyDescent="0.25">
      <c r="M8933" s="514"/>
      <c r="Q8933" s="293"/>
      <c r="R8933" s="316"/>
      <c r="S8933" s="355"/>
    </row>
    <row r="8934" spans="13:19" x14ac:dyDescent="0.25">
      <c r="M8934" s="514"/>
      <c r="Q8934" s="293"/>
      <c r="R8934" s="316"/>
      <c r="S8934" s="355"/>
    </row>
    <row r="8935" spans="13:19" x14ac:dyDescent="0.25">
      <c r="M8935" s="514"/>
      <c r="Q8935" s="293"/>
      <c r="R8935" s="316"/>
      <c r="S8935" s="355"/>
    </row>
    <row r="8936" spans="13:19" x14ac:dyDescent="0.25">
      <c r="M8936" s="514"/>
      <c r="Q8936" s="293"/>
      <c r="R8936" s="316"/>
      <c r="S8936" s="355"/>
    </row>
    <row r="8937" spans="13:19" x14ac:dyDescent="0.25">
      <c r="M8937" s="514"/>
      <c r="Q8937" s="293"/>
      <c r="R8937" s="316"/>
      <c r="S8937" s="355"/>
    </row>
    <row r="8938" spans="13:19" x14ac:dyDescent="0.25">
      <c r="M8938" s="514"/>
      <c r="Q8938" s="293"/>
      <c r="R8938" s="316"/>
      <c r="S8938" s="355"/>
    </row>
    <row r="8939" spans="13:19" x14ac:dyDescent="0.25">
      <c r="M8939" s="514"/>
      <c r="Q8939" s="293"/>
      <c r="R8939" s="316"/>
      <c r="S8939" s="355"/>
    </row>
    <row r="8940" spans="13:19" x14ac:dyDescent="0.25">
      <c r="M8940" s="514"/>
      <c r="Q8940" s="293"/>
      <c r="R8940" s="316"/>
      <c r="S8940" s="355"/>
    </row>
    <row r="8941" spans="13:19" x14ac:dyDescent="0.25">
      <c r="M8941" s="514"/>
      <c r="Q8941" s="293"/>
      <c r="R8941" s="316"/>
      <c r="S8941" s="355"/>
    </row>
    <row r="8942" spans="13:19" x14ac:dyDescent="0.25">
      <c r="M8942" s="514"/>
      <c r="Q8942" s="293"/>
      <c r="R8942" s="316"/>
      <c r="S8942" s="355"/>
    </row>
    <row r="8943" spans="13:19" x14ac:dyDescent="0.25">
      <c r="M8943" s="514"/>
      <c r="Q8943" s="293"/>
      <c r="R8943" s="316"/>
      <c r="S8943" s="355"/>
    </row>
    <row r="8944" spans="13:19" x14ac:dyDescent="0.25">
      <c r="M8944" s="514"/>
      <c r="Q8944" s="293"/>
      <c r="R8944" s="316"/>
      <c r="S8944" s="355"/>
    </row>
    <row r="8945" spans="13:19" x14ac:dyDescent="0.25">
      <c r="M8945" s="514"/>
      <c r="Q8945" s="293"/>
      <c r="R8945" s="316"/>
      <c r="S8945" s="355"/>
    </row>
    <row r="8946" spans="13:19" x14ac:dyDescent="0.25">
      <c r="M8946" s="514"/>
      <c r="Q8946" s="293"/>
      <c r="R8946" s="316"/>
      <c r="S8946" s="355"/>
    </row>
    <row r="8947" spans="13:19" x14ac:dyDescent="0.25">
      <c r="M8947" s="514"/>
      <c r="Q8947" s="293"/>
      <c r="R8947" s="316"/>
      <c r="S8947" s="355"/>
    </row>
    <row r="8948" spans="13:19" x14ac:dyDescent="0.25">
      <c r="M8948" s="514"/>
      <c r="Q8948" s="293"/>
      <c r="R8948" s="316"/>
      <c r="S8948" s="355"/>
    </row>
    <row r="8949" spans="13:19" x14ac:dyDescent="0.25">
      <c r="M8949" s="514"/>
      <c r="Q8949" s="293"/>
      <c r="R8949" s="316"/>
      <c r="S8949" s="355"/>
    </row>
    <row r="8950" spans="13:19" x14ac:dyDescent="0.25">
      <c r="M8950" s="514"/>
      <c r="Q8950" s="293"/>
      <c r="R8950" s="316"/>
      <c r="S8950" s="355"/>
    </row>
    <row r="8951" spans="13:19" x14ac:dyDescent="0.25">
      <c r="M8951" s="514"/>
      <c r="Q8951" s="293"/>
      <c r="R8951" s="316"/>
      <c r="S8951" s="355"/>
    </row>
    <row r="8952" spans="13:19" x14ac:dyDescent="0.25">
      <c r="M8952" s="514"/>
      <c r="Q8952" s="293"/>
      <c r="R8952" s="316"/>
      <c r="S8952" s="355"/>
    </row>
    <row r="8953" spans="13:19" x14ac:dyDescent="0.25">
      <c r="M8953" s="514"/>
      <c r="Q8953" s="293"/>
      <c r="R8953" s="316"/>
      <c r="S8953" s="355"/>
    </row>
    <row r="8954" spans="13:19" x14ac:dyDescent="0.25">
      <c r="M8954" s="514"/>
      <c r="Q8954" s="293"/>
      <c r="R8954" s="316"/>
      <c r="S8954" s="355"/>
    </row>
    <row r="8955" spans="13:19" x14ac:dyDescent="0.25">
      <c r="M8955" s="514"/>
      <c r="Q8955" s="293"/>
      <c r="R8955" s="316"/>
      <c r="S8955" s="355"/>
    </row>
    <row r="8956" spans="13:19" x14ac:dyDescent="0.25">
      <c r="M8956" s="514"/>
      <c r="Q8956" s="293"/>
      <c r="R8956" s="316"/>
      <c r="S8956" s="355"/>
    </row>
    <row r="8957" spans="13:19" x14ac:dyDescent="0.25">
      <c r="M8957" s="514"/>
      <c r="Q8957" s="293"/>
      <c r="R8957" s="316"/>
      <c r="S8957" s="355"/>
    </row>
    <row r="8958" spans="13:19" x14ac:dyDescent="0.25">
      <c r="M8958" s="514"/>
      <c r="Q8958" s="293"/>
      <c r="R8958" s="316"/>
      <c r="S8958" s="355"/>
    </row>
    <row r="8959" spans="13:19" x14ac:dyDescent="0.25">
      <c r="M8959" s="514"/>
      <c r="Q8959" s="293"/>
      <c r="R8959" s="316"/>
      <c r="S8959" s="355"/>
    </row>
    <row r="8960" spans="13:19" x14ac:dyDescent="0.25">
      <c r="M8960" s="514"/>
      <c r="Q8960" s="293"/>
      <c r="R8960" s="316"/>
      <c r="S8960" s="355"/>
    </row>
    <row r="8961" spans="13:19" x14ac:dyDescent="0.25">
      <c r="M8961" s="514"/>
      <c r="Q8961" s="293"/>
      <c r="R8961" s="316"/>
      <c r="S8961" s="355"/>
    </row>
    <row r="8962" spans="13:19" x14ac:dyDescent="0.25">
      <c r="M8962" s="514"/>
      <c r="Q8962" s="293"/>
      <c r="R8962" s="316"/>
      <c r="S8962" s="355"/>
    </row>
    <row r="8963" spans="13:19" x14ac:dyDescent="0.25">
      <c r="M8963" s="514"/>
      <c r="Q8963" s="293"/>
      <c r="R8963" s="316"/>
      <c r="S8963" s="355"/>
    </row>
    <row r="8964" spans="13:19" x14ac:dyDescent="0.25">
      <c r="M8964" s="514"/>
      <c r="Q8964" s="293"/>
      <c r="R8964" s="316"/>
      <c r="S8964" s="355"/>
    </row>
    <row r="8965" spans="13:19" x14ac:dyDescent="0.25">
      <c r="M8965" s="514"/>
      <c r="Q8965" s="293"/>
      <c r="R8965" s="316"/>
      <c r="S8965" s="355"/>
    </row>
    <row r="8966" spans="13:19" x14ac:dyDescent="0.25">
      <c r="M8966" s="514"/>
      <c r="Q8966" s="293"/>
      <c r="R8966" s="316"/>
      <c r="S8966" s="355"/>
    </row>
    <row r="8967" spans="13:19" x14ac:dyDescent="0.25">
      <c r="M8967" s="514"/>
      <c r="Q8967" s="293"/>
      <c r="R8967" s="316"/>
      <c r="S8967" s="355"/>
    </row>
    <row r="8968" spans="13:19" x14ac:dyDescent="0.25">
      <c r="M8968" s="514"/>
      <c r="Q8968" s="293"/>
      <c r="R8968" s="316"/>
      <c r="S8968" s="355"/>
    </row>
    <row r="8969" spans="13:19" x14ac:dyDescent="0.25">
      <c r="M8969" s="514"/>
      <c r="Q8969" s="293"/>
      <c r="R8969" s="316"/>
      <c r="S8969" s="355"/>
    </row>
    <row r="8970" spans="13:19" x14ac:dyDescent="0.25">
      <c r="M8970" s="514"/>
      <c r="Q8970" s="293"/>
      <c r="R8970" s="316"/>
      <c r="S8970" s="355"/>
    </row>
    <row r="8971" spans="13:19" x14ac:dyDescent="0.25">
      <c r="M8971" s="514"/>
      <c r="Q8971" s="293"/>
      <c r="R8971" s="316"/>
      <c r="S8971" s="355"/>
    </row>
    <row r="8972" spans="13:19" x14ac:dyDescent="0.25">
      <c r="M8972" s="514"/>
      <c r="Q8972" s="293"/>
      <c r="R8972" s="316"/>
      <c r="S8972" s="355"/>
    </row>
    <row r="8973" spans="13:19" x14ac:dyDescent="0.25">
      <c r="M8973" s="514"/>
      <c r="Q8973" s="293"/>
      <c r="R8973" s="316"/>
      <c r="S8973" s="355"/>
    </row>
    <row r="8974" spans="13:19" x14ac:dyDescent="0.25">
      <c r="M8974" s="514"/>
      <c r="Q8974" s="293"/>
      <c r="R8974" s="316"/>
      <c r="S8974" s="355"/>
    </row>
    <row r="8975" spans="13:19" x14ac:dyDescent="0.25">
      <c r="M8975" s="514"/>
      <c r="Q8975" s="293"/>
      <c r="R8975" s="316"/>
      <c r="S8975" s="355"/>
    </row>
    <row r="8976" spans="13:19" x14ac:dyDescent="0.25">
      <c r="M8976" s="514"/>
      <c r="Q8976" s="293"/>
      <c r="R8976" s="316"/>
      <c r="S8976" s="355"/>
    </row>
    <row r="8977" spans="13:19" x14ac:dyDescent="0.25">
      <c r="M8977" s="514"/>
      <c r="Q8977" s="293"/>
      <c r="R8977" s="316"/>
      <c r="S8977" s="355"/>
    </row>
    <row r="8978" spans="13:19" x14ac:dyDescent="0.25">
      <c r="M8978" s="514"/>
      <c r="Q8978" s="293"/>
      <c r="R8978" s="316"/>
      <c r="S8978" s="355"/>
    </row>
    <row r="8979" spans="13:19" x14ac:dyDescent="0.25">
      <c r="M8979" s="514"/>
      <c r="Q8979" s="293"/>
      <c r="R8979" s="316"/>
      <c r="S8979" s="355"/>
    </row>
    <row r="8980" spans="13:19" x14ac:dyDescent="0.25">
      <c r="M8980" s="514"/>
      <c r="Q8980" s="293"/>
      <c r="R8980" s="316"/>
      <c r="S8980" s="355"/>
    </row>
    <row r="8981" spans="13:19" x14ac:dyDescent="0.25">
      <c r="M8981" s="514"/>
      <c r="Q8981" s="293"/>
      <c r="R8981" s="316"/>
      <c r="S8981" s="355"/>
    </row>
    <row r="8982" spans="13:19" x14ac:dyDescent="0.25">
      <c r="M8982" s="514"/>
      <c r="Q8982" s="293"/>
      <c r="R8982" s="316"/>
      <c r="S8982" s="355"/>
    </row>
    <row r="8983" spans="13:19" x14ac:dyDescent="0.25">
      <c r="M8983" s="514"/>
      <c r="Q8983" s="293"/>
      <c r="R8983" s="316"/>
      <c r="S8983" s="355"/>
    </row>
    <row r="8984" spans="13:19" x14ac:dyDescent="0.25">
      <c r="M8984" s="514"/>
      <c r="Q8984" s="293"/>
      <c r="R8984" s="316"/>
      <c r="S8984" s="355"/>
    </row>
    <row r="8985" spans="13:19" x14ac:dyDescent="0.25">
      <c r="M8985" s="514"/>
      <c r="Q8985" s="293"/>
      <c r="R8985" s="316"/>
      <c r="S8985" s="355"/>
    </row>
    <row r="8986" spans="13:19" x14ac:dyDescent="0.25">
      <c r="M8986" s="514"/>
      <c r="Q8986" s="293"/>
      <c r="R8986" s="316"/>
      <c r="S8986" s="355"/>
    </row>
    <row r="8987" spans="13:19" x14ac:dyDescent="0.25">
      <c r="M8987" s="514"/>
      <c r="Q8987" s="293"/>
      <c r="R8987" s="316"/>
      <c r="S8987" s="355"/>
    </row>
    <row r="8988" spans="13:19" x14ac:dyDescent="0.25">
      <c r="M8988" s="514"/>
      <c r="Q8988" s="293"/>
      <c r="R8988" s="316"/>
      <c r="S8988" s="355"/>
    </row>
    <row r="8989" spans="13:19" x14ac:dyDescent="0.25">
      <c r="M8989" s="514"/>
      <c r="Q8989" s="293"/>
      <c r="R8989" s="316"/>
      <c r="S8989" s="355"/>
    </row>
    <row r="8990" spans="13:19" x14ac:dyDescent="0.25">
      <c r="M8990" s="514"/>
      <c r="Q8990" s="293"/>
      <c r="R8990" s="316"/>
      <c r="S8990" s="355"/>
    </row>
    <row r="8991" spans="13:19" x14ac:dyDescent="0.25">
      <c r="M8991" s="514"/>
      <c r="Q8991" s="293"/>
      <c r="R8991" s="316"/>
      <c r="S8991" s="355"/>
    </row>
    <row r="8992" spans="13:19" x14ac:dyDescent="0.25">
      <c r="M8992" s="514"/>
      <c r="Q8992" s="293"/>
      <c r="R8992" s="316"/>
      <c r="S8992" s="355"/>
    </row>
    <row r="8993" spans="13:19" x14ac:dyDescent="0.25">
      <c r="M8993" s="514"/>
      <c r="Q8993" s="293"/>
      <c r="R8993" s="316"/>
      <c r="S8993" s="355"/>
    </row>
    <row r="8994" spans="13:19" x14ac:dyDescent="0.25">
      <c r="M8994" s="514"/>
      <c r="Q8994" s="293"/>
      <c r="R8994" s="316"/>
      <c r="S8994" s="355"/>
    </row>
    <row r="8995" spans="13:19" x14ac:dyDescent="0.25">
      <c r="M8995" s="514"/>
      <c r="Q8995" s="293"/>
      <c r="R8995" s="316"/>
      <c r="S8995" s="355"/>
    </row>
    <row r="8996" spans="13:19" x14ac:dyDescent="0.25">
      <c r="M8996" s="514"/>
      <c r="Q8996" s="293"/>
      <c r="R8996" s="316"/>
      <c r="S8996" s="355"/>
    </row>
    <row r="8997" spans="13:19" x14ac:dyDescent="0.25">
      <c r="M8997" s="514"/>
      <c r="Q8997" s="293"/>
      <c r="R8997" s="316"/>
      <c r="S8997" s="355"/>
    </row>
    <row r="8998" spans="13:19" x14ac:dyDescent="0.25">
      <c r="M8998" s="514"/>
      <c r="Q8998" s="293"/>
      <c r="R8998" s="316"/>
      <c r="S8998" s="355"/>
    </row>
    <row r="8999" spans="13:19" x14ac:dyDescent="0.25">
      <c r="M8999" s="514"/>
      <c r="Q8999" s="293"/>
      <c r="R8999" s="316"/>
      <c r="S8999" s="355"/>
    </row>
    <row r="9000" spans="13:19" x14ac:dyDescent="0.25">
      <c r="M9000" s="514"/>
      <c r="Q9000" s="293"/>
      <c r="R9000" s="316"/>
      <c r="S9000" s="355"/>
    </row>
    <row r="9001" spans="13:19" x14ac:dyDescent="0.25">
      <c r="M9001" s="514"/>
      <c r="Q9001" s="293"/>
      <c r="R9001" s="316"/>
      <c r="S9001" s="355"/>
    </row>
    <row r="9002" spans="13:19" x14ac:dyDescent="0.25">
      <c r="M9002" s="514"/>
      <c r="Q9002" s="293"/>
      <c r="R9002" s="316"/>
      <c r="S9002" s="355"/>
    </row>
    <row r="9003" spans="13:19" x14ac:dyDescent="0.25">
      <c r="M9003" s="514"/>
      <c r="Q9003" s="293"/>
      <c r="R9003" s="316"/>
      <c r="S9003" s="355"/>
    </row>
    <row r="9004" spans="13:19" x14ac:dyDescent="0.25">
      <c r="M9004" s="514"/>
      <c r="Q9004" s="293"/>
      <c r="R9004" s="316"/>
      <c r="S9004" s="355"/>
    </row>
    <row r="9005" spans="13:19" x14ac:dyDescent="0.25">
      <c r="M9005" s="514"/>
      <c r="Q9005" s="293"/>
      <c r="R9005" s="316"/>
      <c r="S9005" s="355"/>
    </row>
    <row r="9006" spans="13:19" x14ac:dyDescent="0.25">
      <c r="M9006" s="514"/>
      <c r="Q9006" s="293"/>
      <c r="R9006" s="316"/>
      <c r="S9006" s="355"/>
    </row>
    <row r="9007" spans="13:19" x14ac:dyDescent="0.25">
      <c r="M9007" s="514"/>
      <c r="Q9007" s="293"/>
      <c r="R9007" s="316"/>
      <c r="S9007" s="355"/>
    </row>
    <row r="9008" spans="13:19" x14ac:dyDescent="0.25">
      <c r="M9008" s="514"/>
      <c r="Q9008" s="293"/>
      <c r="R9008" s="316"/>
      <c r="S9008" s="355"/>
    </row>
    <row r="9009" spans="13:19" x14ac:dyDescent="0.25">
      <c r="M9009" s="514"/>
      <c r="Q9009" s="293"/>
      <c r="R9009" s="316"/>
      <c r="S9009" s="355"/>
    </row>
    <row r="9010" spans="13:19" x14ac:dyDescent="0.25">
      <c r="M9010" s="514"/>
      <c r="Q9010" s="293"/>
      <c r="R9010" s="316"/>
      <c r="S9010" s="355"/>
    </row>
    <row r="9011" spans="13:19" x14ac:dyDescent="0.25">
      <c r="M9011" s="514"/>
      <c r="Q9011" s="293"/>
      <c r="R9011" s="316"/>
      <c r="S9011" s="355"/>
    </row>
    <row r="9012" spans="13:19" x14ac:dyDescent="0.25">
      <c r="M9012" s="514"/>
      <c r="Q9012" s="293"/>
      <c r="R9012" s="316"/>
      <c r="S9012" s="355"/>
    </row>
    <row r="9013" spans="13:19" x14ac:dyDescent="0.25">
      <c r="M9013" s="514"/>
      <c r="Q9013" s="293"/>
      <c r="R9013" s="316"/>
      <c r="S9013" s="355"/>
    </row>
    <row r="9014" spans="13:19" x14ac:dyDescent="0.25">
      <c r="M9014" s="514"/>
      <c r="Q9014" s="293"/>
      <c r="R9014" s="316"/>
      <c r="S9014" s="355"/>
    </row>
    <row r="9015" spans="13:19" x14ac:dyDescent="0.25">
      <c r="M9015" s="514"/>
      <c r="Q9015" s="293"/>
      <c r="R9015" s="316"/>
      <c r="S9015" s="355"/>
    </row>
    <row r="9016" spans="13:19" x14ac:dyDescent="0.25">
      <c r="M9016" s="514"/>
      <c r="Q9016" s="293"/>
      <c r="R9016" s="316"/>
      <c r="S9016" s="355"/>
    </row>
    <row r="9017" spans="13:19" x14ac:dyDescent="0.25">
      <c r="M9017" s="514"/>
      <c r="Q9017" s="293"/>
      <c r="R9017" s="316"/>
      <c r="S9017" s="355"/>
    </row>
    <row r="9018" spans="13:19" x14ac:dyDescent="0.25">
      <c r="M9018" s="514"/>
      <c r="Q9018" s="293"/>
      <c r="R9018" s="316"/>
      <c r="S9018" s="355"/>
    </row>
    <row r="9019" spans="13:19" x14ac:dyDescent="0.25">
      <c r="M9019" s="514"/>
      <c r="Q9019" s="293"/>
      <c r="R9019" s="316"/>
      <c r="S9019" s="355"/>
    </row>
    <row r="9020" spans="13:19" x14ac:dyDescent="0.25">
      <c r="M9020" s="514"/>
      <c r="Q9020" s="293"/>
      <c r="R9020" s="316"/>
      <c r="S9020" s="355"/>
    </row>
    <row r="9021" spans="13:19" x14ac:dyDescent="0.25">
      <c r="M9021" s="514"/>
      <c r="Q9021" s="293"/>
      <c r="R9021" s="316"/>
      <c r="S9021" s="355"/>
    </row>
    <row r="9022" spans="13:19" x14ac:dyDescent="0.25">
      <c r="M9022" s="514"/>
      <c r="Q9022" s="293"/>
      <c r="R9022" s="316"/>
      <c r="S9022" s="355"/>
    </row>
    <row r="9023" spans="13:19" x14ac:dyDescent="0.25">
      <c r="M9023" s="514"/>
      <c r="Q9023" s="293"/>
      <c r="R9023" s="316"/>
      <c r="S9023" s="355"/>
    </row>
    <row r="9024" spans="13:19" x14ac:dyDescent="0.25">
      <c r="M9024" s="514"/>
      <c r="Q9024" s="293"/>
      <c r="R9024" s="316"/>
      <c r="S9024" s="355"/>
    </row>
    <row r="9025" spans="13:19" x14ac:dyDescent="0.25">
      <c r="M9025" s="514"/>
      <c r="Q9025" s="293"/>
      <c r="R9025" s="316"/>
      <c r="S9025" s="355"/>
    </row>
    <row r="9026" spans="13:19" x14ac:dyDescent="0.25">
      <c r="M9026" s="514"/>
      <c r="Q9026" s="293"/>
      <c r="R9026" s="316"/>
      <c r="S9026" s="355"/>
    </row>
    <row r="9027" spans="13:19" x14ac:dyDescent="0.25">
      <c r="M9027" s="514"/>
      <c r="Q9027" s="293"/>
      <c r="R9027" s="316"/>
      <c r="S9027" s="355"/>
    </row>
    <row r="9028" spans="13:19" x14ac:dyDescent="0.25">
      <c r="M9028" s="514"/>
      <c r="Q9028" s="293"/>
      <c r="R9028" s="316"/>
      <c r="S9028" s="355"/>
    </row>
    <row r="9029" spans="13:19" x14ac:dyDescent="0.25">
      <c r="M9029" s="514"/>
      <c r="Q9029" s="293"/>
      <c r="R9029" s="316"/>
      <c r="S9029" s="355"/>
    </row>
    <row r="9030" spans="13:19" x14ac:dyDescent="0.25">
      <c r="M9030" s="514"/>
      <c r="Q9030" s="293"/>
      <c r="R9030" s="316"/>
      <c r="S9030" s="355"/>
    </row>
    <row r="9031" spans="13:19" x14ac:dyDescent="0.25">
      <c r="M9031" s="514"/>
      <c r="Q9031" s="293"/>
      <c r="R9031" s="316"/>
      <c r="S9031" s="355"/>
    </row>
    <row r="9032" spans="13:19" x14ac:dyDescent="0.25">
      <c r="M9032" s="514"/>
      <c r="Q9032" s="293"/>
      <c r="R9032" s="316"/>
      <c r="S9032" s="355"/>
    </row>
    <row r="9033" spans="13:19" x14ac:dyDescent="0.25">
      <c r="M9033" s="514"/>
      <c r="Q9033" s="293"/>
      <c r="R9033" s="316"/>
      <c r="S9033" s="355"/>
    </row>
    <row r="9034" spans="13:19" x14ac:dyDescent="0.25">
      <c r="M9034" s="514"/>
      <c r="Q9034" s="293"/>
      <c r="R9034" s="316"/>
      <c r="S9034" s="355"/>
    </row>
    <row r="9035" spans="13:19" x14ac:dyDescent="0.25">
      <c r="M9035" s="514"/>
      <c r="Q9035" s="293"/>
      <c r="R9035" s="316"/>
      <c r="S9035" s="355"/>
    </row>
    <row r="9036" spans="13:19" x14ac:dyDescent="0.25">
      <c r="M9036" s="514"/>
      <c r="Q9036" s="293"/>
      <c r="R9036" s="316"/>
      <c r="S9036" s="355"/>
    </row>
    <row r="9037" spans="13:19" x14ac:dyDescent="0.25">
      <c r="M9037" s="514"/>
      <c r="Q9037" s="293"/>
      <c r="R9037" s="316"/>
      <c r="S9037" s="355"/>
    </row>
    <row r="9038" spans="13:19" x14ac:dyDescent="0.25">
      <c r="M9038" s="514"/>
      <c r="Q9038" s="293"/>
      <c r="R9038" s="316"/>
      <c r="S9038" s="355"/>
    </row>
    <row r="9039" spans="13:19" x14ac:dyDescent="0.25">
      <c r="M9039" s="514"/>
      <c r="Q9039" s="293"/>
      <c r="R9039" s="316"/>
      <c r="S9039" s="355"/>
    </row>
    <row r="9040" spans="13:19" x14ac:dyDescent="0.25">
      <c r="M9040" s="514"/>
      <c r="Q9040" s="293"/>
      <c r="R9040" s="316"/>
      <c r="S9040" s="355"/>
    </row>
    <row r="9041" spans="13:19" x14ac:dyDescent="0.25">
      <c r="M9041" s="514"/>
      <c r="Q9041" s="293"/>
      <c r="R9041" s="316"/>
      <c r="S9041" s="355"/>
    </row>
    <row r="9042" spans="13:19" x14ac:dyDescent="0.25">
      <c r="M9042" s="514"/>
      <c r="Q9042" s="293"/>
      <c r="R9042" s="316"/>
      <c r="S9042" s="355"/>
    </row>
    <row r="9043" spans="13:19" x14ac:dyDescent="0.25">
      <c r="M9043" s="514"/>
      <c r="Q9043" s="293"/>
      <c r="R9043" s="316"/>
      <c r="S9043" s="355"/>
    </row>
    <row r="9044" spans="13:19" x14ac:dyDescent="0.25">
      <c r="M9044" s="514"/>
      <c r="Q9044" s="293"/>
      <c r="R9044" s="316"/>
      <c r="S9044" s="355"/>
    </row>
    <row r="9045" spans="13:19" x14ac:dyDescent="0.25">
      <c r="M9045" s="514"/>
      <c r="Q9045" s="293"/>
      <c r="R9045" s="316"/>
      <c r="S9045" s="355"/>
    </row>
    <row r="9046" spans="13:19" x14ac:dyDescent="0.25">
      <c r="M9046" s="514"/>
      <c r="Q9046" s="293"/>
      <c r="R9046" s="316"/>
      <c r="S9046" s="355"/>
    </row>
    <row r="9047" spans="13:19" x14ac:dyDescent="0.25">
      <c r="M9047" s="514"/>
      <c r="Q9047" s="293"/>
      <c r="R9047" s="316"/>
      <c r="S9047" s="355"/>
    </row>
    <row r="9048" spans="13:19" x14ac:dyDescent="0.25">
      <c r="M9048" s="514"/>
      <c r="Q9048" s="293"/>
      <c r="R9048" s="316"/>
      <c r="S9048" s="355"/>
    </row>
    <row r="9049" spans="13:19" x14ac:dyDescent="0.25">
      <c r="M9049" s="514"/>
      <c r="Q9049" s="293"/>
      <c r="R9049" s="316"/>
      <c r="S9049" s="355"/>
    </row>
    <row r="9050" spans="13:19" x14ac:dyDescent="0.25">
      <c r="M9050" s="514"/>
      <c r="Q9050" s="293"/>
      <c r="R9050" s="316"/>
      <c r="S9050" s="355"/>
    </row>
    <row r="9051" spans="13:19" x14ac:dyDescent="0.25">
      <c r="M9051" s="514"/>
      <c r="Q9051" s="293"/>
      <c r="R9051" s="316"/>
      <c r="S9051" s="355"/>
    </row>
    <row r="9052" spans="13:19" x14ac:dyDescent="0.25">
      <c r="M9052" s="514"/>
      <c r="Q9052" s="293"/>
      <c r="R9052" s="316"/>
      <c r="S9052" s="355"/>
    </row>
    <row r="9053" spans="13:19" x14ac:dyDescent="0.25">
      <c r="M9053" s="514"/>
      <c r="Q9053" s="293"/>
      <c r="R9053" s="316"/>
      <c r="S9053" s="355"/>
    </row>
    <row r="9054" spans="13:19" x14ac:dyDescent="0.25">
      <c r="M9054" s="514"/>
      <c r="Q9054" s="293"/>
      <c r="R9054" s="316"/>
      <c r="S9054" s="355"/>
    </row>
    <row r="9055" spans="13:19" x14ac:dyDescent="0.25">
      <c r="M9055" s="514"/>
      <c r="Q9055" s="293"/>
      <c r="R9055" s="316"/>
      <c r="S9055" s="355"/>
    </row>
    <row r="9056" spans="13:19" x14ac:dyDescent="0.25">
      <c r="M9056" s="514"/>
      <c r="Q9056" s="293"/>
      <c r="R9056" s="316"/>
      <c r="S9056" s="355"/>
    </row>
    <row r="9057" spans="13:19" x14ac:dyDescent="0.25">
      <c r="M9057" s="514"/>
      <c r="Q9057" s="293"/>
      <c r="R9057" s="316"/>
      <c r="S9057" s="355"/>
    </row>
    <row r="9058" spans="13:19" x14ac:dyDescent="0.25">
      <c r="M9058" s="514"/>
      <c r="Q9058" s="293"/>
      <c r="R9058" s="316"/>
      <c r="S9058" s="355"/>
    </row>
    <row r="9059" spans="13:19" x14ac:dyDescent="0.25">
      <c r="M9059" s="514"/>
      <c r="Q9059" s="293"/>
      <c r="R9059" s="316"/>
      <c r="S9059" s="355"/>
    </row>
    <row r="9060" spans="13:19" x14ac:dyDescent="0.25">
      <c r="M9060" s="514"/>
      <c r="Q9060" s="293"/>
      <c r="R9060" s="316"/>
      <c r="S9060" s="355"/>
    </row>
    <row r="9061" spans="13:19" x14ac:dyDescent="0.25">
      <c r="M9061" s="514"/>
      <c r="Q9061" s="293"/>
      <c r="R9061" s="316"/>
      <c r="S9061" s="355"/>
    </row>
    <row r="9062" spans="13:19" x14ac:dyDescent="0.25">
      <c r="M9062" s="514"/>
      <c r="Q9062" s="293"/>
      <c r="R9062" s="316"/>
      <c r="S9062" s="355"/>
    </row>
    <row r="9063" spans="13:19" x14ac:dyDescent="0.25">
      <c r="M9063" s="514"/>
      <c r="Q9063" s="293"/>
      <c r="R9063" s="316"/>
      <c r="S9063" s="355"/>
    </row>
    <row r="9064" spans="13:19" x14ac:dyDescent="0.25">
      <c r="M9064" s="514"/>
      <c r="Q9064" s="293"/>
      <c r="R9064" s="316"/>
      <c r="S9064" s="355"/>
    </row>
    <row r="9065" spans="13:19" x14ac:dyDescent="0.25">
      <c r="M9065" s="514"/>
      <c r="Q9065" s="293"/>
      <c r="R9065" s="316"/>
      <c r="S9065" s="355"/>
    </row>
    <row r="9066" spans="13:19" x14ac:dyDescent="0.25">
      <c r="M9066" s="514"/>
      <c r="Q9066" s="293"/>
      <c r="R9066" s="316"/>
      <c r="S9066" s="355"/>
    </row>
    <row r="9067" spans="13:19" x14ac:dyDescent="0.25">
      <c r="M9067" s="514"/>
      <c r="Q9067" s="293"/>
      <c r="R9067" s="316"/>
      <c r="S9067" s="355"/>
    </row>
    <row r="9068" spans="13:19" x14ac:dyDescent="0.25">
      <c r="M9068" s="514"/>
      <c r="Q9068" s="293"/>
      <c r="R9068" s="316"/>
      <c r="S9068" s="355"/>
    </row>
    <row r="9069" spans="13:19" x14ac:dyDescent="0.25">
      <c r="M9069" s="514"/>
      <c r="Q9069" s="293"/>
      <c r="R9069" s="316"/>
      <c r="S9069" s="355"/>
    </row>
    <row r="9070" spans="13:19" x14ac:dyDescent="0.25">
      <c r="M9070" s="514"/>
      <c r="Q9070" s="293"/>
      <c r="R9070" s="316"/>
      <c r="S9070" s="355"/>
    </row>
    <row r="9071" spans="13:19" x14ac:dyDescent="0.25">
      <c r="M9071" s="514"/>
      <c r="Q9071" s="293"/>
      <c r="R9071" s="316"/>
      <c r="S9071" s="355"/>
    </row>
    <row r="9072" spans="13:19" x14ac:dyDescent="0.25">
      <c r="M9072" s="514"/>
      <c r="Q9072" s="293"/>
      <c r="R9072" s="316"/>
      <c r="S9072" s="355"/>
    </row>
    <row r="9073" spans="13:19" x14ac:dyDescent="0.25">
      <c r="M9073" s="514"/>
      <c r="Q9073" s="293"/>
      <c r="R9073" s="316"/>
      <c r="S9073" s="355"/>
    </row>
    <row r="9074" spans="13:19" x14ac:dyDescent="0.25">
      <c r="M9074" s="514"/>
      <c r="Q9074" s="293"/>
      <c r="R9074" s="316"/>
      <c r="S9074" s="355"/>
    </row>
    <row r="9075" spans="13:19" x14ac:dyDescent="0.25">
      <c r="M9075" s="514"/>
      <c r="Q9075" s="293"/>
      <c r="R9075" s="316"/>
      <c r="S9075" s="355"/>
    </row>
    <row r="9076" spans="13:19" x14ac:dyDescent="0.25">
      <c r="M9076" s="514"/>
      <c r="Q9076" s="293"/>
      <c r="R9076" s="316"/>
      <c r="S9076" s="355"/>
    </row>
    <row r="9077" spans="13:19" x14ac:dyDescent="0.25">
      <c r="M9077" s="514"/>
      <c r="Q9077" s="293"/>
      <c r="R9077" s="316"/>
      <c r="S9077" s="355"/>
    </row>
    <row r="9078" spans="13:19" x14ac:dyDescent="0.25">
      <c r="M9078" s="514"/>
      <c r="Q9078" s="293"/>
      <c r="R9078" s="316"/>
      <c r="S9078" s="355"/>
    </row>
    <row r="9079" spans="13:19" x14ac:dyDescent="0.25">
      <c r="M9079" s="514"/>
      <c r="Q9079" s="293"/>
      <c r="R9079" s="316"/>
      <c r="S9079" s="355"/>
    </row>
    <row r="9080" spans="13:19" x14ac:dyDescent="0.25">
      <c r="M9080" s="514"/>
      <c r="Q9080" s="293"/>
      <c r="R9080" s="316"/>
      <c r="S9080" s="355"/>
    </row>
    <row r="9081" spans="13:19" x14ac:dyDescent="0.25">
      <c r="M9081" s="514"/>
      <c r="Q9081" s="293"/>
      <c r="R9081" s="316"/>
      <c r="S9081" s="355"/>
    </row>
    <row r="9082" spans="13:19" x14ac:dyDescent="0.25">
      <c r="M9082" s="514"/>
      <c r="Q9082" s="293"/>
      <c r="R9082" s="316"/>
      <c r="S9082" s="355"/>
    </row>
    <row r="9083" spans="13:19" x14ac:dyDescent="0.25">
      <c r="M9083" s="514"/>
      <c r="Q9083" s="293"/>
      <c r="R9083" s="316"/>
      <c r="S9083" s="355"/>
    </row>
    <row r="9084" spans="13:19" x14ac:dyDescent="0.25">
      <c r="M9084" s="514"/>
      <c r="Q9084" s="293"/>
      <c r="R9084" s="316"/>
      <c r="S9084" s="355"/>
    </row>
    <row r="9085" spans="13:19" x14ac:dyDescent="0.25">
      <c r="M9085" s="514"/>
      <c r="Q9085" s="293"/>
      <c r="R9085" s="316"/>
      <c r="S9085" s="355"/>
    </row>
    <row r="9086" spans="13:19" x14ac:dyDescent="0.25">
      <c r="M9086" s="514"/>
      <c r="Q9086" s="293"/>
      <c r="R9086" s="316"/>
      <c r="S9086" s="355"/>
    </row>
    <row r="9087" spans="13:19" x14ac:dyDescent="0.25">
      <c r="M9087" s="514"/>
      <c r="Q9087" s="293"/>
      <c r="R9087" s="316"/>
      <c r="S9087" s="355"/>
    </row>
    <row r="9088" spans="13:19" x14ac:dyDescent="0.25">
      <c r="M9088" s="514"/>
      <c r="Q9088" s="293"/>
      <c r="R9088" s="316"/>
      <c r="S9088" s="355"/>
    </row>
    <row r="9089" spans="13:19" x14ac:dyDescent="0.25">
      <c r="M9089" s="514"/>
      <c r="Q9089" s="293"/>
      <c r="R9089" s="316"/>
      <c r="S9089" s="355"/>
    </row>
    <row r="9090" spans="13:19" x14ac:dyDescent="0.25">
      <c r="M9090" s="514"/>
      <c r="Q9090" s="293"/>
      <c r="R9090" s="316"/>
      <c r="S9090" s="355"/>
    </row>
    <row r="9091" spans="13:19" x14ac:dyDescent="0.25">
      <c r="M9091" s="514"/>
      <c r="Q9091" s="293"/>
      <c r="R9091" s="316"/>
      <c r="S9091" s="355"/>
    </row>
    <row r="9092" spans="13:19" x14ac:dyDescent="0.25">
      <c r="M9092" s="514"/>
      <c r="Q9092" s="293"/>
      <c r="R9092" s="316"/>
      <c r="S9092" s="355"/>
    </row>
    <row r="9093" spans="13:19" x14ac:dyDescent="0.25">
      <c r="M9093" s="514"/>
      <c r="Q9093" s="293"/>
      <c r="R9093" s="316"/>
      <c r="S9093" s="355"/>
    </row>
    <row r="9094" spans="13:19" x14ac:dyDescent="0.25">
      <c r="M9094" s="514"/>
      <c r="Q9094" s="293"/>
      <c r="R9094" s="316"/>
      <c r="S9094" s="355"/>
    </row>
    <row r="9095" spans="13:19" x14ac:dyDescent="0.25">
      <c r="M9095" s="514"/>
      <c r="Q9095" s="293"/>
      <c r="R9095" s="316"/>
      <c r="S9095" s="355"/>
    </row>
    <row r="9096" spans="13:19" x14ac:dyDescent="0.25">
      <c r="M9096" s="514"/>
      <c r="Q9096" s="293"/>
      <c r="R9096" s="316"/>
      <c r="S9096" s="355"/>
    </row>
    <row r="9097" spans="13:19" x14ac:dyDescent="0.25">
      <c r="M9097" s="514"/>
      <c r="Q9097" s="293"/>
      <c r="R9097" s="316"/>
      <c r="S9097" s="355"/>
    </row>
    <row r="9098" spans="13:19" x14ac:dyDescent="0.25">
      <c r="M9098" s="514"/>
      <c r="Q9098" s="293"/>
      <c r="R9098" s="316"/>
      <c r="S9098" s="355"/>
    </row>
    <row r="9099" spans="13:19" x14ac:dyDescent="0.25">
      <c r="M9099" s="514"/>
      <c r="Q9099" s="293"/>
      <c r="R9099" s="316"/>
      <c r="S9099" s="355"/>
    </row>
    <row r="9100" spans="13:19" x14ac:dyDescent="0.25">
      <c r="M9100" s="514"/>
      <c r="Q9100" s="293"/>
      <c r="R9100" s="316"/>
      <c r="S9100" s="355"/>
    </row>
    <row r="9101" spans="13:19" x14ac:dyDescent="0.25">
      <c r="M9101" s="514"/>
      <c r="Q9101" s="293"/>
      <c r="R9101" s="316"/>
      <c r="S9101" s="355"/>
    </row>
    <row r="9102" spans="13:19" x14ac:dyDescent="0.25">
      <c r="M9102" s="514"/>
      <c r="Q9102" s="293"/>
      <c r="R9102" s="316"/>
      <c r="S9102" s="355"/>
    </row>
    <row r="9103" spans="13:19" x14ac:dyDescent="0.25">
      <c r="M9103" s="514"/>
      <c r="Q9103" s="293"/>
      <c r="R9103" s="316"/>
      <c r="S9103" s="355"/>
    </row>
    <row r="9104" spans="13:19" x14ac:dyDescent="0.25">
      <c r="M9104" s="514"/>
      <c r="Q9104" s="293"/>
      <c r="R9104" s="316"/>
      <c r="S9104" s="355"/>
    </row>
    <row r="9105" spans="13:19" x14ac:dyDescent="0.25">
      <c r="M9105" s="514"/>
      <c r="Q9105" s="293"/>
      <c r="R9105" s="316"/>
      <c r="S9105" s="355"/>
    </row>
    <row r="9106" spans="13:19" x14ac:dyDescent="0.25">
      <c r="M9106" s="514"/>
      <c r="Q9106" s="293"/>
      <c r="R9106" s="316"/>
      <c r="S9106" s="355"/>
    </row>
    <row r="9107" spans="13:19" x14ac:dyDescent="0.25">
      <c r="M9107" s="514"/>
      <c r="Q9107" s="293"/>
      <c r="R9107" s="316"/>
      <c r="S9107" s="355"/>
    </row>
    <row r="9108" spans="13:19" x14ac:dyDescent="0.25">
      <c r="M9108" s="514"/>
      <c r="Q9108" s="293"/>
      <c r="R9108" s="316"/>
      <c r="S9108" s="355"/>
    </row>
    <row r="9109" spans="13:19" x14ac:dyDescent="0.25">
      <c r="M9109" s="514"/>
      <c r="Q9109" s="293"/>
      <c r="R9109" s="316"/>
      <c r="S9109" s="355"/>
    </row>
    <row r="9110" spans="13:19" x14ac:dyDescent="0.25">
      <c r="M9110" s="514"/>
      <c r="Q9110" s="293"/>
      <c r="R9110" s="316"/>
      <c r="S9110" s="355"/>
    </row>
    <row r="9111" spans="13:19" x14ac:dyDescent="0.25">
      <c r="M9111" s="514"/>
      <c r="Q9111" s="293"/>
      <c r="R9111" s="316"/>
      <c r="S9111" s="355"/>
    </row>
    <row r="9112" spans="13:19" x14ac:dyDescent="0.25">
      <c r="M9112" s="514"/>
      <c r="Q9112" s="293"/>
      <c r="R9112" s="316"/>
      <c r="S9112" s="355"/>
    </row>
    <row r="9113" spans="13:19" x14ac:dyDescent="0.25">
      <c r="M9113" s="514"/>
      <c r="Q9113" s="293"/>
      <c r="R9113" s="316"/>
      <c r="S9113" s="355"/>
    </row>
    <row r="9114" spans="13:19" x14ac:dyDescent="0.25">
      <c r="M9114" s="514"/>
      <c r="Q9114" s="293"/>
      <c r="R9114" s="316"/>
      <c r="S9114" s="355"/>
    </row>
    <row r="9115" spans="13:19" x14ac:dyDescent="0.25">
      <c r="M9115" s="514"/>
      <c r="Q9115" s="293"/>
      <c r="R9115" s="316"/>
      <c r="S9115" s="355"/>
    </row>
    <row r="9116" spans="13:19" x14ac:dyDescent="0.25">
      <c r="M9116" s="514"/>
      <c r="Q9116" s="293"/>
      <c r="R9116" s="316"/>
      <c r="S9116" s="355"/>
    </row>
    <row r="9117" spans="13:19" x14ac:dyDescent="0.25">
      <c r="M9117" s="514"/>
      <c r="Q9117" s="293"/>
      <c r="R9117" s="316"/>
      <c r="S9117" s="355"/>
    </row>
    <row r="9118" spans="13:19" x14ac:dyDescent="0.25">
      <c r="M9118" s="514"/>
      <c r="Q9118" s="293"/>
      <c r="R9118" s="316"/>
      <c r="S9118" s="355"/>
    </row>
    <row r="9119" spans="13:19" x14ac:dyDescent="0.25">
      <c r="M9119" s="514"/>
      <c r="Q9119" s="293"/>
      <c r="R9119" s="316"/>
      <c r="S9119" s="355"/>
    </row>
    <row r="9120" spans="13:19" x14ac:dyDescent="0.25">
      <c r="M9120" s="514"/>
      <c r="Q9120" s="293"/>
      <c r="R9120" s="316"/>
      <c r="S9120" s="355"/>
    </row>
    <row r="9121" spans="13:19" x14ac:dyDescent="0.25">
      <c r="M9121" s="514"/>
      <c r="Q9121" s="293"/>
      <c r="R9121" s="316"/>
      <c r="S9121" s="355"/>
    </row>
    <row r="9122" spans="13:19" x14ac:dyDescent="0.25">
      <c r="M9122" s="514"/>
      <c r="Q9122" s="293"/>
      <c r="R9122" s="316"/>
      <c r="S9122" s="355"/>
    </row>
    <row r="9123" spans="13:19" x14ac:dyDescent="0.25">
      <c r="M9123" s="514"/>
      <c r="Q9123" s="293"/>
      <c r="R9123" s="316"/>
      <c r="S9123" s="355"/>
    </row>
    <row r="9124" spans="13:19" x14ac:dyDescent="0.25">
      <c r="M9124" s="514"/>
      <c r="Q9124" s="293"/>
      <c r="R9124" s="316"/>
      <c r="S9124" s="355"/>
    </row>
    <row r="9125" spans="13:19" x14ac:dyDescent="0.25">
      <c r="M9125" s="514"/>
      <c r="Q9125" s="293"/>
      <c r="R9125" s="316"/>
      <c r="S9125" s="355"/>
    </row>
    <row r="9126" spans="13:19" x14ac:dyDescent="0.25">
      <c r="M9126" s="514"/>
      <c r="Q9126" s="293"/>
      <c r="R9126" s="316"/>
      <c r="S9126" s="355"/>
    </row>
    <row r="9127" spans="13:19" x14ac:dyDescent="0.25">
      <c r="M9127" s="514"/>
      <c r="Q9127" s="293"/>
      <c r="R9127" s="316"/>
      <c r="S9127" s="355"/>
    </row>
    <row r="9128" spans="13:19" x14ac:dyDescent="0.25">
      <c r="M9128" s="514"/>
      <c r="Q9128" s="293"/>
      <c r="R9128" s="316"/>
      <c r="S9128" s="355"/>
    </row>
    <row r="9129" spans="13:19" x14ac:dyDescent="0.25">
      <c r="M9129" s="514"/>
      <c r="Q9129" s="293"/>
      <c r="R9129" s="316"/>
      <c r="S9129" s="355"/>
    </row>
    <row r="9130" spans="13:19" x14ac:dyDescent="0.25">
      <c r="M9130" s="514"/>
      <c r="Q9130" s="293"/>
      <c r="R9130" s="316"/>
      <c r="S9130" s="355"/>
    </row>
    <row r="9131" spans="13:19" x14ac:dyDescent="0.25">
      <c r="M9131" s="514"/>
      <c r="Q9131" s="293"/>
      <c r="R9131" s="316"/>
      <c r="S9131" s="355"/>
    </row>
    <row r="9132" spans="13:19" x14ac:dyDescent="0.25">
      <c r="M9132" s="514"/>
      <c r="Q9132" s="293"/>
      <c r="R9132" s="316"/>
      <c r="S9132" s="355"/>
    </row>
    <row r="9133" spans="13:19" x14ac:dyDescent="0.25">
      <c r="M9133" s="514"/>
      <c r="Q9133" s="293"/>
      <c r="R9133" s="316"/>
      <c r="S9133" s="355"/>
    </row>
    <row r="9134" spans="13:19" x14ac:dyDescent="0.25">
      <c r="M9134" s="514"/>
      <c r="Q9134" s="293"/>
      <c r="R9134" s="316"/>
      <c r="S9134" s="355"/>
    </row>
    <row r="9135" spans="13:19" x14ac:dyDescent="0.25">
      <c r="M9135" s="514"/>
      <c r="Q9135" s="293"/>
      <c r="R9135" s="316"/>
      <c r="S9135" s="355"/>
    </row>
    <row r="9136" spans="13:19" x14ac:dyDescent="0.25">
      <c r="M9136" s="514"/>
      <c r="Q9136" s="293"/>
      <c r="R9136" s="316"/>
      <c r="S9136" s="355"/>
    </row>
    <row r="9137" spans="13:19" x14ac:dyDescent="0.25">
      <c r="M9137" s="514"/>
      <c r="Q9137" s="293"/>
      <c r="R9137" s="316"/>
      <c r="S9137" s="355"/>
    </row>
    <row r="9138" spans="13:19" x14ac:dyDescent="0.25">
      <c r="M9138" s="514"/>
      <c r="Q9138" s="293"/>
      <c r="R9138" s="316"/>
      <c r="S9138" s="355"/>
    </row>
    <row r="9139" spans="13:19" x14ac:dyDescent="0.25">
      <c r="M9139" s="514"/>
      <c r="Q9139" s="293"/>
      <c r="R9139" s="316"/>
      <c r="S9139" s="355"/>
    </row>
    <row r="9140" spans="13:19" x14ac:dyDescent="0.25">
      <c r="M9140" s="514"/>
      <c r="Q9140" s="293"/>
      <c r="R9140" s="316"/>
      <c r="S9140" s="355"/>
    </row>
    <row r="9141" spans="13:19" x14ac:dyDescent="0.25">
      <c r="M9141" s="514"/>
      <c r="Q9141" s="293"/>
      <c r="R9141" s="316"/>
      <c r="S9141" s="355"/>
    </row>
    <row r="9142" spans="13:19" x14ac:dyDescent="0.25">
      <c r="M9142" s="514"/>
      <c r="Q9142" s="293"/>
      <c r="R9142" s="316"/>
      <c r="S9142" s="355"/>
    </row>
    <row r="9143" spans="13:19" x14ac:dyDescent="0.25">
      <c r="M9143" s="514"/>
      <c r="Q9143" s="293"/>
      <c r="R9143" s="316"/>
      <c r="S9143" s="355"/>
    </row>
    <row r="9144" spans="13:19" x14ac:dyDescent="0.25">
      <c r="M9144" s="514"/>
      <c r="Q9144" s="293"/>
      <c r="R9144" s="316"/>
      <c r="S9144" s="355"/>
    </row>
    <row r="9145" spans="13:19" x14ac:dyDescent="0.25">
      <c r="M9145" s="514"/>
      <c r="Q9145" s="293"/>
      <c r="R9145" s="316"/>
      <c r="S9145" s="355"/>
    </row>
    <row r="9146" spans="13:19" x14ac:dyDescent="0.25">
      <c r="M9146" s="514"/>
      <c r="Q9146" s="293"/>
      <c r="R9146" s="316"/>
      <c r="S9146" s="355"/>
    </row>
    <row r="9147" spans="13:19" x14ac:dyDescent="0.25">
      <c r="M9147" s="514"/>
      <c r="Q9147" s="293"/>
      <c r="R9147" s="316"/>
      <c r="S9147" s="355"/>
    </row>
    <row r="9148" spans="13:19" x14ac:dyDescent="0.25">
      <c r="M9148" s="514"/>
      <c r="Q9148" s="293"/>
      <c r="R9148" s="316"/>
      <c r="S9148" s="355"/>
    </row>
    <row r="9149" spans="13:19" x14ac:dyDescent="0.25">
      <c r="M9149" s="514"/>
      <c r="Q9149" s="293"/>
      <c r="R9149" s="316"/>
      <c r="S9149" s="355"/>
    </row>
    <row r="9150" spans="13:19" x14ac:dyDescent="0.25">
      <c r="M9150" s="514"/>
      <c r="Q9150" s="293"/>
      <c r="R9150" s="316"/>
      <c r="S9150" s="355"/>
    </row>
    <row r="9151" spans="13:19" x14ac:dyDescent="0.25">
      <c r="M9151" s="514"/>
      <c r="Q9151" s="293"/>
      <c r="R9151" s="316"/>
      <c r="S9151" s="355"/>
    </row>
    <row r="9152" spans="13:19" x14ac:dyDescent="0.25">
      <c r="M9152" s="514"/>
      <c r="Q9152" s="293"/>
      <c r="R9152" s="316"/>
      <c r="S9152" s="355"/>
    </row>
    <row r="9153" spans="13:19" x14ac:dyDescent="0.25">
      <c r="M9153" s="514"/>
      <c r="Q9153" s="293"/>
      <c r="R9153" s="316"/>
      <c r="S9153" s="355"/>
    </row>
    <row r="9154" spans="13:19" x14ac:dyDescent="0.25">
      <c r="M9154" s="514"/>
      <c r="Q9154" s="293"/>
      <c r="R9154" s="316"/>
      <c r="S9154" s="355"/>
    </row>
    <row r="9155" spans="13:19" x14ac:dyDescent="0.25">
      <c r="M9155" s="514"/>
      <c r="Q9155" s="293"/>
      <c r="R9155" s="316"/>
      <c r="S9155" s="355"/>
    </row>
    <row r="9156" spans="13:19" x14ac:dyDescent="0.25">
      <c r="M9156" s="514"/>
      <c r="Q9156" s="293"/>
      <c r="R9156" s="316"/>
      <c r="S9156" s="355"/>
    </row>
    <row r="9157" spans="13:19" x14ac:dyDescent="0.25">
      <c r="M9157" s="514"/>
      <c r="Q9157" s="293"/>
      <c r="R9157" s="316"/>
      <c r="S9157" s="355"/>
    </row>
    <row r="9158" spans="13:19" x14ac:dyDescent="0.25">
      <c r="M9158" s="514"/>
      <c r="Q9158" s="293"/>
      <c r="R9158" s="316"/>
      <c r="S9158" s="355"/>
    </row>
    <row r="9159" spans="13:19" x14ac:dyDescent="0.25">
      <c r="M9159" s="514"/>
      <c r="Q9159" s="293"/>
      <c r="R9159" s="316"/>
      <c r="S9159" s="355"/>
    </row>
    <row r="9160" spans="13:19" x14ac:dyDescent="0.25">
      <c r="M9160" s="514"/>
      <c r="Q9160" s="293"/>
      <c r="R9160" s="316"/>
      <c r="S9160" s="355"/>
    </row>
    <row r="9161" spans="13:19" x14ac:dyDescent="0.25">
      <c r="M9161" s="514"/>
      <c r="Q9161" s="293"/>
      <c r="R9161" s="316"/>
      <c r="S9161" s="355"/>
    </row>
    <row r="9162" spans="13:19" x14ac:dyDescent="0.25">
      <c r="M9162" s="514"/>
      <c r="Q9162" s="293"/>
      <c r="R9162" s="316"/>
      <c r="S9162" s="355"/>
    </row>
    <row r="9163" spans="13:19" x14ac:dyDescent="0.25">
      <c r="M9163" s="514"/>
      <c r="Q9163" s="293"/>
      <c r="R9163" s="316"/>
      <c r="S9163" s="355"/>
    </row>
    <row r="9164" spans="13:19" x14ac:dyDescent="0.25">
      <c r="M9164" s="514"/>
      <c r="Q9164" s="293"/>
      <c r="R9164" s="316"/>
      <c r="S9164" s="355"/>
    </row>
    <row r="9165" spans="13:19" x14ac:dyDescent="0.25">
      <c r="M9165" s="514"/>
      <c r="Q9165" s="293"/>
      <c r="R9165" s="316"/>
      <c r="S9165" s="355"/>
    </row>
    <row r="9166" spans="13:19" x14ac:dyDescent="0.25">
      <c r="M9166" s="514"/>
      <c r="Q9166" s="293"/>
      <c r="R9166" s="316"/>
      <c r="S9166" s="355"/>
    </row>
    <row r="9167" spans="13:19" x14ac:dyDescent="0.25">
      <c r="M9167" s="514"/>
      <c r="Q9167" s="293"/>
      <c r="R9167" s="316"/>
      <c r="S9167" s="355"/>
    </row>
    <row r="9168" spans="13:19" x14ac:dyDescent="0.25">
      <c r="M9168" s="514"/>
      <c r="Q9168" s="293"/>
      <c r="R9168" s="316"/>
      <c r="S9168" s="355"/>
    </row>
    <row r="9169" spans="13:19" x14ac:dyDescent="0.25">
      <c r="M9169" s="514"/>
      <c r="Q9169" s="293"/>
      <c r="R9169" s="316"/>
      <c r="S9169" s="355"/>
    </row>
    <row r="9170" spans="13:19" x14ac:dyDescent="0.25">
      <c r="M9170" s="514"/>
      <c r="Q9170" s="293"/>
      <c r="R9170" s="316"/>
      <c r="S9170" s="355"/>
    </row>
    <row r="9171" spans="13:19" x14ac:dyDescent="0.25">
      <c r="M9171" s="514"/>
      <c r="Q9171" s="293"/>
      <c r="R9171" s="316"/>
      <c r="S9171" s="355"/>
    </row>
    <row r="9172" spans="13:19" x14ac:dyDescent="0.25">
      <c r="M9172" s="514"/>
      <c r="Q9172" s="293"/>
      <c r="R9172" s="316"/>
      <c r="S9172" s="355"/>
    </row>
    <row r="9173" spans="13:19" x14ac:dyDescent="0.25">
      <c r="M9173" s="514"/>
      <c r="Q9173" s="293"/>
      <c r="R9173" s="316"/>
      <c r="S9173" s="355"/>
    </row>
    <row r="9174" spans="13:19" x14ac:dyDescent="0.25">
      <c r="M9174" s="514"/>
      <c r="Q9174" s="293"/>
      <c r="R9174" s="316"/>
      <c r="S9174" s="355"/>
    </row>
    <row r="9175" spans="13:19" x14ac:dyDescent="0.25">
      <c r="M9175" s="514"/>
      <c r="Q9175" s="293"/>
      <c r="R9175" s="316"/>
      <c r="S9175" s="355"/>
    </row>
    <row r="9176" spans="13:19" x14ac:dyDescent="0.25">
      <c r="M9176" s="514"/>
      <c r="Q9176" s="293"/>
      <c r="R9176" s="316"/>
      <c r="S9176" s="355"/>
    </row>
    <row r="9177" spans="13:19" x14ac:dyDescent="0.25">
      <c r="M9177" s="514"/>
      <c r="Q9177" s="293"/>
      <c r="R9177" s="316"/>
      <c r="S9177" s="355"/>
    </row>
    <row r="9178" spans="13:19" x14ac:dyDescent="0.25">
      <c r="M9178" s="514"/>
      <c r="Q9178" s="293"/>
      <c r="R9178" s="316"/>
      <c r="S9178" s="355"/>
    </row>
    <row r="9179" spans="13:19" x14ac:dyDescent="0.25">
      <c r="M9179" s="514"/>
      <c r="Q9179" s="293"/>
      <c r="R9179" s="316"/>
      <c r="S9179" s="355"/>
    </row>
    <row r="9180" spans="13:19" x14ac:dyDescent="0.25">
      <c r="M9180" s="514"/>
      <c r="Q9180" s="293"/>
      <c r="R9180" s="316"/>
      <c r="S9180" s="355"/>
    </row>
    <row r="9181" spans="13:19" x14ac:dyDescent="0.25">
      <c r="M9181" s="514"/>
      <c r="Q9181" s="293"/>
      <c r="R9181" s="316"/>
      <c r="S9181" s="355"/>
    </row>
    <row r="9182" spans="13:19" x14ac:dyDescent="0.25">
      <c r="M9182" s="514"/>
      <c r="Q9182" s="293"/>
      <c r="R9182" s="316"/>
      <c r="S9182" s="355"/>
    </row>
    <row r="9183" spans="13:19" x14ac:dyDescent="0.25">
      <c r="M9183" s="514"/>
      <c r="Q9183" s="293"/>
      <c r="R9183" s="316"/>
      <c r="S9183" s="355"/>
    </row>
    <row r="9184" spans="13:19" x14ac:dyDescent="0.25">
      <c r="M9184" s="514"/>
      <c r="Q9184" s="293"/>
      <c r="R9184" s="316"/>
      <c r="S9184" s="355"/>
    </row>
    <row r="9185" spans="13:19" x14ac:dyDescent="0.25">
      <c r="M9185" s="514"/>
      <c r="Q9185" s="293"/>
      <c r="R9185" s="316"/>
      <c r="S9185" s="355"/>
    </row>
    <row r="9186" spans="13:19" x14ac:dyDescent="0.25">
      <c r="M9186" s="514"/>
      <c r="Q9186" s="293"/>
      <c r="R9186" s="316"/>
      <c r="S9186" s="355"/>
    </row>
    <row r="9187" spans="13:19" x14ac:dyDescent="0.25">
      <c r="M9187" s="514"/>
      <c r="Q9187" s="293"/>
      <c r="R9187" s="316"/>
      <c r="S9187" s="355"/>
    </row>
    <row r="9188" spans="13:19" x14ac:dyDescent="0.25">
      <c r="M9188" s="514"/>
      <c r="Q9188" s="293"/>
      <c r="R9188" s="316"/>
      <c r="S9188" s="355"/>
    </row>
    <row r="9189" spans="13:19" x14ac:dyDescent="0.25">
      <c r="M9189" s="514"/>
      <c r="Q9189" s="293"/>
      <c r="R9189" s="316"/>
      <c r="S9189" s="355"/>
    </row>
    <row r="9190" spans="13:19" x14ac:dyDescent="0.25">
      <c r="M9190" s="514"/>
      <c r="Q9190" s="293"/>
      <c r="R9190" s="316"/>
      <c r="S9190" s="355"/>
    </row>
    <row r="9191" spans="13:19" x14ac:dyDescent="0.25">
      <c r="M9191" s="514"/>
      <c r="Q9191" s="293"/>
      <c r="R9191" s="316"/>
      <c r="S9191" s="355"/>
    </row>
    <row r="9192" spans="13:19" x14ac:dyDescent="0.25">
      <c r="M9192" s="514"/>
      <c r="Q9192" s="293"/>
      <c r="R9192" s="316"/>
      <c r="S9192" s="355"/>
    </row>
    <row r="9193" spans="13:19" x14ac:dyDescent="0.25">
      <c r="M9193" s="514"/>
      <c r="Q9193" s="293"/>
      <c r="R9193" s="316"/>
      <c r="S9193" s="355"/>
    </row>
    <row r="9194" spans="13:19" x14ac:dyDescent="0.25">
      <c r="M9194" s="514"/>
      <c r="Q9194" s="293"/>
      <c r="R9194" s="316"/>
      <c r="S9194" s="355"/>
    </row>
    <row r="9195" spans="13:19" x14ac:dyDescent="0.25">
      <c r="M9195" s="514"/>
      <c r="Q9195" s="293"/>
      <c r="R9195" s="316"/>
      <c r="S9195" s="355"/>
    </row>
    <row r="9196" spans="13:19" x14ac:dyDescent="0.25">
      <c r="M9196" s="514"/>
      <c r="Q9196" s="293"/>
      <c r="R9196" s="316"/>
      <c r="S9196" s="355"/>
    </row>
    <row r="9197" spans="13:19" x14ac:dyDescent="0.25">
      <c r="M9197" s="514"/>
      <c r="Q9197" s="293"/>
      <c r="R9197" s="316"/>
      <c r="S9197" s="355"/>
    </row>
    <row r="9198" spans="13:19" x14ac:dyDescent="0.25">
      <c r="M9198" s="514"/>
      <c r="Q9198" s="293"/>
      <c r="R9198" s="316"/>
      <c r="S9198" s="355"/>
    </row>
    <row r="9199" spans="13:19" x14ac:dyDescent="0.25">
      <c r="M9199" s="514"/>
      <c r="Q9199" s="293"/>
      <c r="R9199" s="316"/>
      <c r="S9199" s="355"/>
    </row>
    <row r="9200" spans="13:19" x14ac:dyDescent="0.25">
      <c r="M9200" s="514"/>
      <c r="Q9200" s="293"/>
      <c r="R9200" s="316"/>
      <c r="S9200" s="355"/>
    </row>
    <row r="9201" spans="13:19" x14ac:dyDescent="0.25">
      <c r="M9201" s="514"/>
      <c r="Q9201" s="293"/>
      <c r="R9201" s="316"/>
      <c r="S9201" s="355"/>
    </row>
    <row r="9202" spans="13:19" x14ac:dyDescent="0.25">
      <c r="M9202" s="514"/>
      <c r="Q9202" s="293"/>
      <c r="R9202" s="316"/>
      <c r="S9202" s="355"/>
    </row>
    <row r="9203" spans="13:19" x14ac:dyDescent="0.25">
      <c r="M9203" s="514"/>
      <c r="Q9203" s="293"/>
      <c r="R9203" s="316"/>
      <c r="S9203" s="355"/>
    </row>
    <row r="9204" spans="13:19" x14ac:dyDescent="0.25">
      <c r="M9204" s="514"/>
      <c r="Q9204" s="293"/>
      <c r="R9204" s="316"/>
      <c r="S9204" s="355"/>
    </row>
    <row r="9205" spans="13:19" x14ac:dyDescent="0.25">
      <c r="M9205" s="514"/>
      <c r="Q9205" s="293"/>
      <c r="R9205" s="316"/>
      <c r="S9205" s="355"/>
    </row>
    <row r="9206" spans="13:19" x14ac:dyDescent="0.25">
      <c r="M9206" s="514"/>
      <c r="Q9206" s="293"/>
      <c r="R9206" s="316"/>
      <c r="S9206" s="355"/>
    </row>
    <row r="9207" spans="13:19" x14ac:dyDescent="0.25">
      <c r="M9207" s="514"/>
      <c r="Q9207" s="293"/>
      <c r="R9207" s="316"/>
      <c r="S9207" s="355"/>
    </row>
    <row r="9208" spans="13:19" x14ac:dyDescent="0.25">
      <c r="M9208" s="514"/>
      <c r="Q9208" s="293"/>
      <c r="R9208" s="316"/>
      <c r="S9208" s="355"/>
    </row>
    <row r="9209" spans="13:19" x14ac:dyDescent="0.25">
      <c r="M9209" s="514"/>
      <c r="Q9209" s="293"/>
      <c r="R9209" s="316"/>
      <c r="S9209" s="355"/>
    </row>
    <row r="9210" spans="13:19" x14ac:dyDescent="0.25">
      <c r="M9210" s="514"/>
      <c r="Q9210" s="293"/>
      <c r="R9210" s="316"/>
      <c r="S9210" s="355"/>
    </row>
    <row r="9211" spans="13:19" x14ac:dyDescent="0.25">
      <c r="M9211" s="514"/>
      <c r="Q9211" s="293"/>
      <c r="R9211" s="316"/>
      <c r="S9211" s="355"/>
    </row>
    <row r="9212" spans="13:19" x14ac:dyDescent="0.25">
      <c r="M9212" s="514"/>
      <c r="Q9212" s="293"/>
      <c r="R9212" s="316"/>
      <c r="S9212" s="355"/>
    </row>
    <row r="9213" spans="13:19" x14ac:dyDescent="0.25">
      <c r="M9213" s="514"/>
      <c r="Q9213" s="293"/>
      <c r="R9213" s="316"/>
      <c r="S9213" s="355"/>
    </row>
    <row r="9214" spans="13:19" x14ac:dyDescent="0.25">
      <c r="M9214" s="514"/>
      <c r="Q9214" s="293"/>
      <c r="R9214" s="316"/>
      <c r="S9214" s="355"/>
    </row>
    <row r="9215" spans="13:19" x14ac:dyDescent="0.25">
      <c r="M9215" s="514"/>
      <c r="Q9215" s="293"/>
      <c r="R9215" s="316"/>
      <c r="S9215" s="355"/>
    </row>
    <row r="9216" spans="13:19" x14ac:dyDescent="0.25">
      <c r="M9216" s="514"/>
      <c r="Q9216" s="293"/>
      <c r="R9216" s="316"/>
      <c r="S9216" s="355"/>
    </row>
    <row r="9217" spans="13:19" x14ac:dyDescent="0.25">
      <c r="M9217" s="514"/>
      <c r="Q9217" s="293"/>
      <c r="R9217" s="316"/>
      <c r="S9217" s="355"/>
    </row>
    <row r="9218" spans="13:19" x14ac:dyDescent="0.25">
      <c r="M9218" s="514"/>
      <c r="Q9218" s="293"/>
      <c r="R9218" s="316"/>
      <c r="S9218" s="355"/>
    </row>
    <row r="9219" spans="13:19" x14ac:dyDescent="0.25">
      <c r="M9219" s="514"/>
      <c r="Q9219" s="293"/>
      <c r="R9219" s="316"/>
      <c r="S9219" s="355"/>
    </row>
    <row r="9220" spans="13:19" x14ac:dyDescent="0.25">
      <c r="M9220" s="514"/>
      <c r="Q9220" s="293"/>
      <c r="R9220" s="316"/>
      <c r="S9220" s="355"/>
    </row>
    <row r="9221" spans="13:19" x14ac:dyDescent="0.25">
      <c r="M9221" s="514"/>
      <c r="Q9221" s="293"/>
      <c r="R9221" s="316"/>
      <c r="S9221" s="355"/>
    </row>
    <row r="9222" spans="13:19" x14ac:dyDescent="0.25">
      <c r="M9222" s="514"/>
      <c r="Q9222" s="293"/>
      <c r="R9222" s="316"/>
      <c r="S9222" s="355"/>
    </row>
    <row r="9223" spans="13:19" x14ac:dyDescent="0.25">
      <c r="M9223" s="514"/>
      <c r="Q9223" s="293"/>
      <c r="R9223" s="316"/>
      <c r="S9223" s="355"/>
    </row>
    <row r="9224" spans="13:19" x14ac:dyDescent="0.25">
      <c r="M9224" s="514"/>
      <c r="Q9224" s="293"/>
      <c r="R9224" s="316"/>
      <c r="S9224" s="355"/>
    </row>
    <row r="9225" spans="13:19" x14ac:dyDescent="0.25">
      <c r="M9225" s="514"/>
      <c r="Q9225" s="293"/>
      <c r="R9225" s="316"/>
      <c r="S9225" s="355"/>
    </row>
    <row r="9226" spans="13:19" x14ac:dyDescent="0.25">
      <c r="M9226" s="514"/>
      <c r="Q9226" s="293"/>
      <c r="R9226" s="316"/>
      <c r="S9226" s="355"/>
    </row>
    <row r="9227" spans="13:19" x14ac:dyDescent="0.25">
      <c r="M9227" s="514"/>
      <c r="Q9227" s="293"/>
      <c r="R9227" s="316"/>
      <c r="S9227" s="355"/>
    </row>
    <row r="9228" spans="13:19" x14ac:dyDescent="0.25">
      <c r="M9228" s="514"/>
      <c r="Q9228" s="293"/>
      <c r="R9228" s="316"/>
      <c r="S9228" s="355"/>
    </row>
    <row r="9229" spans="13:19" x14ac:dyDescent="0.25">
      <c r="M9229" s="514"/>
      <c r="Q9229" s="293"/>
      <c r="R9229" s="316"/>
      <c r="S9229" s="355"/>
    </row>
    <row r="9230" spans="13:19" x14ac:dyDescent="0.25">
      <c r="M9230" s="514"/>
      <c r="Q9230" s="293"/>
      <c r="R9230" s="316"/>
      <c r="S9230" s="355"/>
    </row>
    <row r="9231" spans="13:19" x14ac:dyDescent="0.25">
      <c r="M9231" s="514"/>
      <c r="Q9231" s="293"/>
      <c r="R9231" s="316"/>
      <c r="S9231" s="355"/>
    </row>
    <row r="9232" spans="13:19" x14ac:dyDescent="0.25">
      <c r="M9232" s="514"/>
      <c r="Q9232" s="293"/>
      <c r="R9232" s="316"/>
      <c r="S9232" s="355"/>
    </row>
    <row r="9233" spans="13:19" x14ac:dyDescent="0.25">
      <c r="M9233" s="514"/>
      <c r="Q9233" s="293"/>
      <c r="R9233" s="316"/>
      <c r="S9233" s="355"/>
    </row>
    <row r="9234" spans="13:19" x14ac:dyDescent="0.25">
      <c r="M9234" s="514"/>
      <c r="Q9234" s="293"/>
      <c r="R9234" s="316"/>
      <c r="S9234" s="355"/>
    </row>
    <row r="9235" spans="13:19" x14ac:dyDescent="0.25">
      <c r="M9235" s="514"/>
      <c r="Q9235" s="293"/>
      <c r="R9235" s="316"/>
      <c r="S9235" s="355"/>
    </row>
    <row r="9236" spans="13:19" x14ac:dyDescent="0.25">
      <c r="M9236" s="514"/>
      <c r="Q9236" s="293"/>
      <c r="R9236" s="316"/>
      <c r="S9236" s="355"/>
    </row>
    <row r="9237" spans="13:19" x14ac:dyDescent="0.25">
      <c r="M9237" s="514"/>
      <c r="Q9237" s="293"/>
      <c r="R9237" s="316"/>
      <c r="S9237" s="355"/>
    </row>
    <row r="9238" spans="13:19" x14ac:dyDescent="0.25">
      <c r="M9238" s="514"/>
      <c r="Q9238" s="293"/>
      <c r="R9238" s="316"/>
      <c r="S9238" s="355"/>
    </row>
    <row r="9239" spans="13:19" x14ac:dyDescent="0.25">
      <c r="M9239" s="514"/>
      <c r="Q9239" s="293"/>
      <c r="R9239" s="316"/>
      <c r="S9239" s="355"/>
    </row>
    <row r="9240" spans="13:19" x14ac:dyDescent="0.25">
      <c r="M9240" s="514"/>
      <c r="Q9240" s="293"/>
      <c r="R9240" s="316"/>
      <c r="S9240" s="355"/>
    </row>
    <row r="9241" spans="13:19" x14ac:dyDescent="0.25">
      <c r="M9241" s="514"/>
      <c r="Q9241" s="293"/>
      <c r="R9241" s="316"/>
      <c r="S9241" s="355"/>
    </row>
    <row r="9242" spans="13:19" x14ac:dyDescent="0.25">
      <c r="M9242" s="514"/>
      <c r="Q9242" s="293"/>
      <c r="R9242" s="316"/>
      <c r="S9242" s="355"/>
    </row>
    <row r="9243" spans="13:19" x14ac:dyDescent="0.25">
      <c r="M9243" s="514"/>
      <c r="Q9243" s="293"/>
      <c r="R9243" s="316"/>
      <c r="S9243" s="355"/>
    </row>
    <row r="9244" spans="13:19" x14ac:dyDescent="0.25">
      <c r="M9244" s="514"/>
      <c r="Q9244" s="293"/>
      <c r="R9244" s="316"/>
      <c r="S9244" s="355"/>
    </row>
    <row r="9245" spans="13:19" x14ac:dyDescent="0.25">
      <c r="M9245" s="514"/>
      <c r="Q9245" s="293"/>
      <c r="R9245" s="316"/>
      <c r="S9245" s="355"/>
    </row>
    <row r="9246" spans="13:19" x14ac:dyDescent="0.25">
      <c r="M9246" s="514"/>
      <c r="Q9246" s="293"/>
      <c r="R9246" s="316"/>
      <c r="S9246" s="355"/>
    </row>
    <row r="9247" spans="13:19" x14ac:dyDescent="0.25">
      <c r="M9247" s="514"/>
      <c r="Q9247" s="293"/>
      <c r="R9247" s="316"/>
      <c r="S9247" s="355"/>
    </row>
    <row r="9248" spans="13:19" x14ac:dyDescent="0.25">
      <c r="M9248" s="514"/>
      <c r="Q9248" s="293"/>
      <c r="R9248" s="316"/>
      <c r="S9248" s="355"/>
    </row>
    <row r="9249" spans="13:19" x14ac:dyDescent="0.25">
      <c r="M9249" s="514"/>
      <c r="Q9249" s="293"/>
      <c r="R9249" s="316"/>
      <c r="S9249" s="355"/>
    </row>
    <row r="9250" spans="13:19" x14ac:dyDescent="0.25">
      <c r="M9250" s="514"/>
      <c r="Q9250" s="293"/>
      <c r="R9250" s="316"/>
      <c r="S9250" s="355"/>
    </row>
    <row r="9251" spans="13:19" x14ac:dyDescent="0.25">
      <c r="M9251" s="514"/>
      <c r="Q9251" s="293"/>
      <c r="R9251" s="316"/>
      <c r="S9251" s="355"/>
    </row>
    <row r="9252" spans="13:19" x14ac:dyDescent="0.25">
      <c r="M9252" s="514"/>
      <c r="Q9252" s="293"/>
      <c r="R9252" s="316"/>
      <c r="S9252" s="355"/>
    </row>
    <row r="9253" spans="13:19" x14ac:dyDescent="0.25">
      <c r="M9253" s="514"/>
      <c r="Q9253" s="293"/>
      <c r="R9253" s="316"/>
      <c r="S9253" s="355"/>
    </row>
    <row r="9254" spans="13:19" x14ac:dyDescent="0.25">
      <c r="M9254" s="514"/>
      <c r="Q9254" s="293"/>
      <c r="R9254" s="316"/>
      <c r="S9254" s="355"/>
    </row>
    <row r="9255" spans="13:19" x14ac:dyDescent="0.25">
      <c r="M9255" s="514"/>
      <c r="Q9255" s="293"/>
      <c r="R9255" s="316"/>
      <c r="S9255" s="355"/>
    </row>
    <row r="9256" spans="13:19" x14ac:dyDescent="0.25">
      <c r="M9256" s="514"/>
      <c r="Q9256" s="293"/>
      <c r="R9256" s="316"/>
      <c r="S9256" s="355"/>
    </row>
    <row r="9257" spans="13:19" x14ac:dyDescent="0.25">
      <c r="M9257" s="514"/>
      <c r="Q9257" s="293"/>
      <c r="R9257" s="316"/>
      <c r="S9257" s="355"/>
    </row>
    <row r="9258" spans="13:19" x14ac:dyDescent="0.25">
      <c r="M9258" s="514"/>
      <c r="Q9258" s="293"/>
      <c r="R9258" s="316"/>
      <c r="S9258" s="355"/>
    </row>
    <row r="9259" spans="13:19" x14ac:dyDescent="0.25">
      <c r="M9259" s="514"/>
      <c r="Q9259" s="293"/>
      <c r="R9259" s="316"/>
      <c r="S9259" s="355"/>
    </row>
    <row r="9260" spans="13:19" x14ac:dyDescent="0.25">
      <c r="M9260" s="514"/>
      <c r="Q9260" s="293"/>
      <c r="R9260" s="316"/>
      <c r="S9260" s="355"/>
    </row>
    <row r="9261" spans="13:19" x14ac:dyDescent="0.25">
      <c r="M9261" s="514"/>
      <c r="Q9261" s="293"/>
      <c r="R9261" s="316"/>
      <c r="S9261" s="355"/>
    </row>
    <row r="9262" spans="13:19" x14ac:dyDescent="0.25">
      <c r="M9262" s="514"/>
      <c r="Q9262" s="293"/>
      <c r="R9262" s="316"/>
      <c r="S9262" s="355"/>
    </row>
    <row r="9263" spans="13:19" x14ac:dyDescent="0.25">
      <c r="M9263" s="514"/>
      <c r="Q9263" s="293"/>
      <c r="R9263" s="316"/>
      <c r="S9263" s="355"/>
    </row>
    <row r="9264" spans="13:19" x14ac:dyDescent="0.25">
      <c r="M9264" s="514"/>
      <c r="Q9264" s="293"/>
      <c r="R9264" s="316"/>
      <c r="S9264" s="355"/>
    </row>
    <row r="9265" spans="13:19" x14ac:dyDescent="0.25">
      <c r="M9265" s="514"/>
      <c r="Q9265" s="293"/>
      <c r="R9265" s="316"/>
      <c r="S9265" s="355"/>
    </row>
    <row r="9266" spans="13:19" x14ac:dyDescent="0.25">
      <c r="M9266" s="514"/>
      <c r="Q9266" s="293"/>
      <c r="R9266" s="316"/>
      <c r="S9266" s="355"/>
    </row>
    <row r="9267" spans="13:19" x14ac:dyDescent="0.25">
      <c r="M9267" s="514"/>
      <c r="Q9267" s="293"/>
      <c r="R9267" s="316"/>
      <c r="S9267" s="355"/>
    </row>
    <row r="9268" spans="13:19" x14ac:dyDescent="0.25">
      <c r="M9268" s="514"/>
      <c r="Q9268" s="293"/>
      <c r="R9268" s="316"/>
      <c r="S9268" s="355"/>
    </row>
    <row r="9269" spans="13:19" x14ac:dyDescent="0.25">
      <c r="M9269" s="514"/>
      <c r="Q9269" s="293"/>
      <c r="R9269" s="316"/>
      <c r="S9269" s="355"/>
    </row>
    <row r="9270" spans="13:19" x14ac:dyDescent="0.25">
      <c r="M9270" s="514"/>
      <c r="Q9270" s="293"/>
      <c r="R9270" s="316"/>
      <c r="S9270" s="355"/>
    </row>
    <row r="9271" spans="13:19" x14ac:dyDescent="0.25">
      <c r="M9271" s="514"/>
      <c r="Q9271" s="293"/>
      <c r="R9271" s="316"/>
      <c r="S9271" s="355"/>
    </row>
    <row r="9272" spans="13:19" x14ac:dyDescent="0.25">
      <c r="M9272" s="514"/>
      <c r="Q9272" s="293"/>
      <c r="R9272" s="316"/>
      <c r="S9272" s="355"/>
    </row>
    <row r="9273" spans="13:19" x14ac:dyDescent="0.25">
      <c r="M9273" s="514"/>
      <c r="Q9273" s="293"/>
      <c r="R9273" s="316"/>
      <c r="S9273" s="355"/>
    </row>
    <row r="9274" spans="13:19" x14ac:dyDescent="0.25">
      <c r="M9274" s="514"/>
      <c r="Q9274" s="293"/>
      <c r="R9274" s="316"/>
      <c r="S9274" s="355"/>
    </row>
    <row r="9275" spans="13:19" x14ac:dyDescent="0.25">
      <c r="M9275" s="514"/>
      <c r="Q9275" s="293"/>
      <c r="R9275" s="316"/>
      <c r="S9275" s="355"/>
    </row>
    <row r="9276" spans="13:19" x14ac:dyDescent="0.25">
      <c r="M9276" s="514"/>
      <c r="Q9276" s="293"/>
      <c r="R9276" s="316"/>
      <c r="S9276" s="355"/>
    </row>
    <row r="9277" spans="13:19" x14ac:dyDescent="0.25">
      <c r="M9277" s="514"/>
      <c r="Q9277" s="293"/>
      <c r="R9277" s="316"/>
      <c r="S9277" s="355"/>
    </row>
    <row r="9278" spans="13:19" x14ac:dyDescent="0.25">
      <c r="M9278" s="514"/>
      <c r="Q9278" s="293"/>
      <c r="R9278" s="316"/>
      <c r="S9278" s="355"/>
    </row>
    <row r="9279" spans="13:19" x14ac:dyDescent="0.25">
      <c r="M9279" s="514"/>
      <c r="Q9279" s="293"/>
      <c r="R9279" s="316"/>
      <c r="S9279" s="355"/>
    </row>
    <row r="9280" spans="13:19" x14ac:dyDescent="0.25">
      <c r="M9280" s="514"/>
      <c r="Q9280" s="293"/>
      <c r="R9280" s="316"/>
      <c r="S9280" s="355"/>
    </row>
    <row r="9281" spans="13:19" x14ac:dyDescent="0.25">
      <c r="M9281" s="514"/>
      <c r="Q9281" s="293"/>
      <c r="R9281" s="316"/>
      <c r="S9281" s="355"/>
    </row>
    <row r="9282" spans="13:19" x14ac:dyDescent="0.25">
      <c r="M9282" s="514"/>
      <c r="Q9282" s="293"/>
      <c r="R9282" s="316"/>
      <c r="S9282" s="355"/>
    </row>
    <row r="9283" spans="13:19" x14ac:dyDescent="0.25">
      <c r="M9283" s="514"/>
      <c r="Q9283" s="293"/>
      <c r="R9283" s="316"/>
      <c r="S9283" s="355"/>
    </row>
    <row r="9284" spans="13:19" x14ac:dyDescent="0.25">
      <c r="M9284" s="514"/>
      <c r="Q9284" s="293"/>
      <c r="R9284" s="316"/>
      <c r="S9284" s="355"/>
    </row>
    <row r="9285" spans="13:19" x14ac:dyDescent="0.25">
      <c r="M9285" s="514"/>
      <c r="Q9285" s="293"/>
      <c r="R9285" s="316"/>
      <c r="S9285" s="355"/>
    </row>
    <row r="9286" spans="13:19" x14ac:dyDescent="0.25">
      <c r="M9286" s="514"/>
      <c r="Q9286" s="293"/>
      <c r="R9286" s="316"/>
      <c r="S9286" s="355"/>
    </row>
    <row r="9287" spans="13:19" x14ac:dyDescent="0.25">
      <c r="M9287" s="514"/>
      <c r="Q9287" s="293"/>
      <c r="R9287" s="316"/>
      <c r="S9287" s="355"/>
    </row>
    <row r="9288" spans="13:19" x14ac:dyDescent="0.25">
      <c r="M9288" s="514"/>
      <c r="Q9288" s="293"/>
      <c r="R9288" s="316"/>
      <c r="S9288" s="355"/>
    </row>
    <row r="9289" spans="13:19" x14ac:dyDescent="0.25">
      <c r="M9289" s="514"/>
      <c r="Q9289" s="293"/>
      <c r="R9289" s="316"/>
      <c r="S9289" s="355"/>
    </row>
    <row r="9290" spans="13:19" x14ac:dyDescent="0.25">
      <c r="M9290" s="514"/>
      <c r="Q9290" s="293"/>
      <c r="R9290" s="316"/>
      <c r="S9290" s="355"/>
    </row>
    <row r="9291" spans="13:19" x14ac:dyDescent="0.25">
      <c r="M9291" s="514"/>
      <c r="Q9291" s="293"/>
      <c r="R9291" s="316"/>
      <c r="S9291" s="355"/>
    </row>
    <row r="9292" spans="13:19" x14ac:dyDescent="0.25">
      <c r="M9292" s="514"/>
      <c r="Q9292" s="293"/>
      <c r="R9292" s="316"/>
      <c r="S9292" s="355"/>
    </row>
    <row r="9293" spans="13:19" x14ac:dyDescent="0.25">
      <c r="M9293" s="514"/>
      <c r="Q9293" s="293"/>
      <c r="R9293" s="316"/>
      <c r="S9293" s="355"/>
    </row>
    <row r="9294" spans="13:19" x14ac:dyDescent="0.25">
      <c r="M9294" s="514"/>
      <c r="Q9294" s="293"/>
      <c r="R9294" s="316"/>
      <c r="S9294" s="355"/>
    </row>
    <row r="9295" spans="13:19" x14ac:dyDescent="0.25">
      <c r="M9295" s="514"/>
      <c r="Q9295" s="293"/>
      <c r="R9295" s="316"/>
      <c r="S9295" s="355"/>
    </row>
    <row r="9296" spans="13:19" x14ac:dyDescent="0.25">
      <c r="M9296" s="514"/>
      <c r="Q9296" s="293"/>
      <c r="R9296" s="316"/>
      <c r="S9296" s="355"/>
    </row>
    <row r="9297" spans="13:19" x14ac:dyDescent="0.25">
      <c r="M9297" s="514"/>
      <c r="Q9297" s="293"/>
      <c r="R9297" s="316"/>
      <c r="S9297" s="355"/>
    </row>
    <row r="9298" spans="13:19" x14ac:dyDescent="0.25">
      <c r="M9298" s="514"/>
      <c r="Q9298" s="293"/>
      <c r="R9298" s="316"/>
      <c r="S9298" s="355"/>
    </row>
    <row r="9299" spans="13:19" x14ac:dyDescent="0.25">
      <c r="M9299" s="514"/>
      <c r="Q9299" s="293"/>
      <c r="R9299" s="316"/>
      <c r="S9299" s="355"/>
    </row>
    <row r="9300" spans="13:19" x14ac:dyDescent="0.25">
      <c r="M9300" s="514"/>
      <c r="Q9300" s="293"/>
      <c r="R9300" s="316"/>
      <c r="S9300" s="355"/>
    </row>
    <row r="9301" spans="13:19" x14ac:dyDescent="0.25">
      <c r="M9301" s="514"/>
      <c r="Q9301" s="293"/>
      <c r="R9301" s="316"/>
      <c r="S9301" s="355"/>
    </row>
    <row r="9302" spans="13:19" x14ac:dyDescent="0.25">
      <c r="M9302" s="514"/>
      <c r="Q9302" s="293"/>
      <c r="R9302" s="316"/>
      <c r="S9302" s="355"/>
    </row>
    <row r="9303" spans="13:19" x14ac:dyDescent="0.25">
      <c r="M9303" s="514"/>
      <c r="Q9303" s="293"/>
      <c r="R9303" s="316"/>
      <c r="S9303" s="355"/>
    </row>
    <row r="9304" spans="13:19" x14ac:dyDescent="0.25">
      <c r="M9304" s="514"/>
      <c r="Q9304" s="293"/>
      <c r="R9304" s="316"/>
      <c r="S9304" s="355"/>
    </row>
    <row r="9305" spans="13:19" x14ac:dyDescent="0.25">
      <c r="M9305" s="514"/>
      <c r="Q9305" s="293"/>
      <c r="R9305" s="316"/>
      <c r="S9305" s="355"/>
    </row>
    <row r="9306" spans="13:19" x14ac:dyDescent="0.25">
      <c r="M9306" s="514"/>
      <c r="Q9306" s="293"/>
      <c r="R9306" s="316"/>
      <c r="S9306" s="355"/>
    </row>
    <row r="9307" spans="13:19" x14ac:dyDescent="0.25">
      <c r="M9307" s="514"/>
      <c r="Q9307" s="293"/>
      <c r="R9307" s="316"/>
      <c r="S9307" s="355"/>
    </row>
    <row r="9308" spans="13:19" x14ac:dyDescent="0.25">
      <c r="M9308" s="514"/>
      <c r="Q9308" s="293"/>
      <c r="R9308" s="316"/>
      <c r="S9308" s="355"/>
    </row>
    <row r="9309" spans="13:19" x14ac:dyDescent="0.25">
      <c r="M9309" s="514"/>
      <c r="Q9309" s="293"/>
      <c r="R9309" s="316"/>
      <c r="S9309" s="355"/>
    </row>
    <row r="9310" spans="13:19" x14ac:dyDescent="0.25">
      <c r="M9310" s="514"/>
      <c r="Q9310" s="293"/>
      <c r="R9310" s="316"/>
      <c r="S9310" s="355"/>
    </row>
    <row r="9311" spans="13:19" x14ac:dyDescent="0.25">
      <c r="M9311" s="514"/>
      <c r="Q9311" s="293"/>
      <c r="R9311" s="316"/>
      <c r="S9311" s="355"/>
    </row>
    <row r="9312" spans="13:19" x14ac:dyDescent="0.25">
      <c r="M9312" s="514"/>
      <c r="Q9312" s="293"/>
      <c r="R9312" s="316"/>
      <c r="S9312" s="355"/>
    </row>
    <row r="9313" spans="13:19" x14ac:dyDescent="0.25">
      <c r="M9313" s="514"/>
      <c r="Q9313" s="293"/>
      <c r="R9313" s="316"/>
      <c r="S9313" s="355"/>
    </row>
    <row r="9314" spans="13:19" x14ac:dyDescent="0.25">
      <c r="M9314" s="514"/>
      <c r="Q9314" s="293"/>
      <c r="R9314" s="316"/>
      <c r="S9314" s="355"/>
    </row>
    <row r="9315" spans="13:19" x14ac:dyDescent="0.25">
      <c r="M9315" s="514"/>
      <c r="Q9315" s="293"/>
      <c r="R9315" s="316"/>
      <c r="S9315" s="355"/>
    </row>
    <row r="9316" spans="13:19" x14ac:dyDescent="0.25">
      <c r="M9316" s="514"/>
      <c r="Q9316" s="293"/>
      <c r="R9316" s="316"/>
      <c r="S9316" s="355"/>
    </row>
    <row r="9317" spans="13:19" x14ac:dyDescent="0.25">
      <c r="M9317" s="514"/>
      <c r="Q9317" s="293"/>
      <c r="R9317" s="316"/>
      <c r="S9317" s="355"/>
    </row>
    <row r="9318" spans="13:19" x14ac:dyDescent="0.25">
      <c r="M9318" s="514"/>
      <c r="Q9318" s="293"/>
      <c r="R9318" s="316"/>
      <c r="S9318" s="355"/>
    </row>
    <row r="9319" spans="13:19" x14ac:dyDescent="0.25">
      <c r="M9319" s="514"/>
      <c r="Q9319" s="293"/>
      <c r="R9319" s="316"/>
      <c r="S9319" s="355"/>
    </row>
    <row r="9320" spans="13:19" x14ac:dyDescent="0.25">
      <c r="M9320" s="514"/>
      <c r="Q9320" s="293"/>
      <c r="R9320" s="316"/>
      <c r="S9320" s="355"/>
    </row>
    <row r="9321" spans="13:19" x14ac:dyDescent="0.25">
      <c r="M9321" s="514"/>
      <c r="Q9321" s="293"/>
      <c r="R9321" s="316"/>
      <c r="S9321" s="355"/>
    </row>
    <row r="9322" spans="13:19" x14ac:dyDescent="0.25">
      <c r="M9322" s="514"/>
      <c r="Q9322" s="293"/>
      <c r="R9322" s="316"/>
      <c r="S9322" s="355"/>
    </row>
    <row r="9323" spans="13:19" x14ac:dyDescent="0.25">
      <c r="M9323" s="514"/>
      <c r="Q9323" s="293"/>
      <c r="R9323" s="316"/>
      <c r="S9323" s="355"/>
    </row>
    <row r="9324" spans="13:19" x14ac:dyDescent="0.25">
      <c r="M9324" s="514"/>
      <c r="Q9324" s="293"/>
      <c r="R9324" s="316"/>
      <c r="S9324" s="355"/>
    </row>
    <row r="9325" spans="13:19" x14ac:dyDescent="0.25">
      <c r="M9325" s="514"/>
      <c r="Q9325" s="293"/>
      <c r="R9325" s="316"/>
      <c r="S9325" s="355"/>
    </row>
    <row r="9326" spans="13:19" x14ac:dyDescent="0.25">
      <c r="M9326" s="514"/>
      <c r="Q9326" s="293"/>
      <c r="R9326" s="316"/>
      <c r="S9326" s="355"/>
    </row>
    <row r="9327" spans="13:19" x14ac:dyDescent="0.25">
      <c r="M9327" s="514"/>
      <c r="Q9327" s="293"/>
      <c r="R9327" s="316"/>
      <c r="S9327" s="355"/>
    </row>
    <row r="9328" spans="13:19" x14ac:dyDescent="0.25">
      <c r="M9328" s="514"/>
      <c r="Q9328" s="293"/>
      <c r="R9328" s="316"/>
      <c r="S9328" s="355"/>
    </row>
    <row r="9329" spans="13:19" x14ac:dyDescent="0.25">
      <c r="M9329" s="514"/>
      <c r="S9329" s="355"/>
    </row>
    <row r="9330" spans="13:19" x14ac:dyDescent="0.25">
      <c r="M9330" s="514"/>
      <c r="S9330" s="355"/>
    </row>
    <row r="9331" spans="13:19" x14ac:dyDescent="0.25">
      <c r="M9331" s="514"/>
      <c r="S9331" s="355"/>
    </row>
    <row r="9332" spans="13:19" x14ac:dyDescent="0.25">
      <c r="M9332" s="514"/>
      <c r="S9332" s="355"/>
    </row>
    <row r="9333" spans="13:19" x14ac:dyDescent="0.25">
      <c r="M9333" s="514"/>
      <c r="S9333" s="355"/>
    </row>
    <row r="9334" spans="13:19" x14ac:dyDescent="0.25">
      <c r="M9334" s="514"/>
      <c r="S9334" s="355"/>
    </row>
    <row r="9335" spans="13:19" x14ac:dyDescent="0.25">
      <c r="M9335" s="514"/>
      <c r="S9335" s="355"/>
    </row>
    <row r="9336" spans="13:19" x14ac:dyDescent="0.25">
      <c r="M9336" s="514"/>
      <c r="S9336" s="355"/>
    </row>
    <row r="9337" spans="13:19" x14ac:dyDescent="0.25">
      <c r="M9337" s="514"/>
      <c r="S9337" s="355"/>
    </row>
    <row r="9338" spans="13:19" x14ac:dyDescent="0.25">
      <c r="M9338" s="514"/>
      <c r="S9338" s="355"/>
    </row>
    <row r="9339" spans="13:19" x14ac:dyDescent="0.25">
      <c r="M9339" s="514"/>
      <c r="S9339" s="355"/>
    </row>
    <row r="9340" spans="13:19" x14ac:dyDescent="0.25">
      <c r="M9340" s="514"/>
      <c r="S9340" s="355"/>
    </row>
    <row r="9341" spans="13:19" x14ac:dyDescent="0.25">
      <c r="M9341" s="514"/>
      <c r="S9341" s="355"/>
    </row>
    <row r="9342" spans="13:19" x14ac:dyDescent="0.25">
      <c r="M9342" s="514"/>
      <c r="S9342" s="355"/>
    </row>
    <row r="9343" spans="13:19" x14ac:dyDescent="0.25">
      <c r="M9343" s="514"/>
    </row>
    <row r="9344" spans="13:19" x14ac:dyDescent="0.25">
      <c r="M9344" s="514"/>
    </row>
    <row r="9345" spans="13:13" x14ac:dyDescent="0.25">
      <c r="M9345" s="514"/>
    </row>
    <row r="9346" spans="13:13" x14ac:dyDescent="0.25">
      <c r="M9346" s="514"/>
    </row>
    <row r="9347" spans="13:13" x14ac:dyDescent="0.25">
      <c r="M9347" s="514"/>
    </row>
    <row r="9348" spans="13:13" x14ac:dyDescent="0.25">
      <c r="M9348" s="514"/>
    </row>
    <row r="9349" spans="13:13" x14ac:dyDescent="0.25">
      <c r="M9349" s="514"/>
    </row>
    <row r="9350" spans="13:13" x14ac:dyDescent="0.25">
      <c r="M9350" s="514"/>
    </row>
    <row r="9351" spans="13:13" x14ac:dyDescent="0.25">
      <c r="M9351" s="514"/>
    </row>
    <row r="9352" spans="13:13" x14ac:dyDescent="0.25">
      <c r="M9352" s="514"/>
    </row>
    <row r="9353" spans="13:13" x14ac:dyDescent="0.25">
      <c r="M9353" s="514"/>
    </row>
    <row r="9354" spans="13:13" x14ac:dyDescent="0.25">
      <c r="M9354" s="514"/>
    </row>
    <row r="9355" spans="13:13" x14ac:dyDescent="0.25">
      <c r="M9355" s="514"/>
    </row>
    <row r="9356" spans="13:13" x14ac:dyDescent="0.25">
      <c r="M9356" s="514"/>
    </row>
    <row r="9357" spans="13:13" x14ac:dyDescent="0.25">
      <c r="M9357" s="514"/>
    </row>
    <row r="9358" spans="13:13" x14ac:dyDescent="0.25">
      <c r="M9358" s="514"/>
    </row>
    <row r="9359" spans="13:13" x14ac:dyDescent="0.25">
      <c r="M9359" s="514"/>
    </row>
    <row r="9360" spans="13:13" x14ac:dyDescent="0.25">
      <c r="M9360" s="514"/>
    </row>
    <row r="9361" spans="13:13" x14ac:dyDescent="0.25">
      <c r="M9361" s="514"/>
    </row>
    <row r="9362" spans="13:13" x14ac:dyDescent="0.25">
      <c r="M9362" s="514"/>
    </row>
    <row r="9363" spans="13:13" x14ac:dyDescent="0.25">
      <c r="M9363" s="514"/>
    </row>
    <row r="9364" spans="13:13" x14ac:dyDescent="0.25">
      <c r="M9364" s="514"/>
    </row>
    <row r="9365" spans="13:13" x14ac:dyDescent="0.25">
      <c r="M9365" s="514"/>
    </row>
    <row r="9366" spans="13:13" x14ac:dyDescent="0.25">
      <c r="M9366" s="514"/>
    </row>
    <row r="9367" spans="13:13" x14ac:dyDescent="0.25">
      <c r="M9367" s="514"/>
    </row>
    <row r="9368" spans="13:13" x14ac:dyDescent="0.25">
      <c r="M9368" s="514"/>
    </row>
    <row r="9369" spans="13:13" x14ac:dyDescent="0.25">
      <c r="M9369" s="514"/>
    </row>
    <row r="9370" spans="13:13" x14ac:dyDescent="0.25">
      <c r="M9370" s="514"/>
    </row>
    <row r="9371" spans="13:13" x14ac:dyDescent="0.25">
      <c r="M9371" s="514"/>
    </row>
    <row r="9372" spans="13:13" x14ac:dyDescent="0.25">
      <c r="M9372" s="514"/>
    </row>
    <row r="9373" spans="13:13" x14ac:dyDescent="0.25">
      <c r="M9373" s="514"/>
    </row>
    <row r="9374" spans="13:13" x14ac:dyDescent="0.25">
      <c r="M9374" s="514"/>
    </row>
    <row r="9375" spans="13:13" x14ac:dyDescent="0.25">
      <c r="M9375" s="514"/>
    </row>
    <row r="9376" spans="13:13" x14ac:dyDescent="0.25">
      <c r="M9376" s="514"/>
    </row>
    <row r="9377" spans="13:13" x14ac:dyDescent="0.25">
      <c r="M9377" s="514"/>
    </row>
    <row r="9378" spans="13:13" x14ac:dyDescent="0.25">
      <c r="M9378" s="514"/>
    </row>
    <row r="9379" spans="13:13" x14ac:dyDescent="0.25">
      <c r="M9379" s="514"/>
    </row>
    <row r="9380" spans="13:13" x14ac:dyDescent="0.25">
      <c r="M9380" s="514"/>
    </row>
    <row r="9381" spans="13:13" x14ac:dyDescent="0.25">
      <c r="M9381" s="514"/>
    </row>
    <row r="9382" spans="13:13" x14ac:dyDescent="0.25">
      <c r="M9382" s="514"/>
    </row>
    <row r="9383" spans="13:13" x14ac:dyDescent="0.25">
      <c r="M9383" s="514"/>
    </row>
    <row r="9384" spans="13:13" x14ac:dyDescent="0.25">
      <c r="M9384" s="514"/>
    </row>
    <row r="9385" spans="13:13" x14ac:dyDescent="0.25">
      <c r="M9385" s="514"/>
    </row>
    <row r="9386" spans="13:13" x14ac:dyDescent="0.25">
      <c r="M9386" s="514"/>
    </row>
    <row r="9387" spans="13:13" x14ac:dyDescent="0.25">
      <c r="M9387" s="514"/>
    </row>
    <row r="9388" spans="13:13" x14ac:dyDescent="0.25">
      <c r="M9388" s="514"/>
    </row>
    <row r="9389" spans="13:13" x14ac:dyDescent="0.25">
      <c r="M9389" s="514"/>
    </row>
    <row r="9390" spans="13:13" x14ac:dyDescent="0.25">
      <c r="M9390" s="514"/>
    </row>
    <row r="9391" spans="13:13" x14ac:dyDescent="0.25">
      <c r="M9391" s="514"/>
    </row>
    <row r="9392" spans="13:13" x14ac:dyDescent="0.25">
      <c r="M9392" s="514"/>
    </row>
    <row r="9393" spans="13:13" x14ac:dyDescent="0.25">
      <c r="M9393" s="514"/>
    </row>
    <row r="9394" spans="13:13" x14ac:dyDescent="0.25">
      <c r="M9394" s="514"/>
    </row>
    <row r="9395" spans="13:13" x14ac:dyDescent="0.25">
      <c r="M9395" s="514"/>
    </row>
    <row r="9396" spans="13:13" x14ac:dyDescent="0.25">
      <c r="M9396" s="514"/>
    </row>
    <row r="9397" spans="13:13" x14ac:dyDescent="0.25">
      <c r="M9397" s="514"/>
    </row>
    <row r="9398" spans="13:13" x14ac:dyDescent="0.25">
      <c r="M9398" s="514"/>
    </row>
    <row r="9399" spans="13:13" x14ac:dyDescent="0.25">
      <c r="M9399" s="514"/>
    </row>
    <row r="9400" spans="13:13" x14ac:dyDescent="0.25">
      <c r="M9400" s="514"/>
    </row>
    <row r="9401" spans="13:13" x14ac:dyDescent="0.25">
      <c r="M9401" s="514"/>
    </row>
    <row r="9402" spans="13:13" x14ac:dyDescent="0.25">
      <c r="M9402" s="514"/>
    </row>
    <row r="9403" spans="13:13" x14ac:dyDescent="0.25">
      <c r="M9403" s="514"/>
    </row>
    <row r="9404" spans="13:13" x14ac:dyDescent="0.25">
      <c r="M9404" s="514"/>
    </row>
    <row r="9405" spans="13:13" x14ac:dyDescent="0.25">
      <c r="M9405" s="514"/>
    </row>
    <row r="9406" spans="13:13" x14ac:dyDescent="0.25">
      <c r="M9406" s="514"/>
    </row>
    <row r="9407" spans="13:13" x14ac:dyDescent="0.25">
      <c r="M9407" s="514"/>
    </row>
    <row r="9408" spans="13:13" x14ac:dyDescent="0.25">
      <c r="M9408" s="514"/>
    </row>
    <row r="9409" spans="13:13" x14ac:dyDescent="0.25">
      <c r="M9409" s="514"/>
    </row>
    <row r="9410" spans="13:13" x14ac:dyDescent="0.25">
      <c r="M9410" s="514"/>
    </row>
    <row r="9411" spans="13:13" x14ac:dyDescent="0.25">
      <c r="M9411" s="514"/>
    </row>
    <row r="9412" spans="13:13" x14ac:dyDescent="0.25">
      <c r="M9412" s="514"/>
    </row>
    <row r="9413" spans="13:13" x14ac:dyDescent="0.25">
      <c r="M9413" s="514"/>
    </row>
    <row r="9414" spans="13:13" x14ac:dyDescent="0.25">
      <c r="M9414" s="514"/>
    </row>
    <row r="9415" spans="13:13" x14ac:dyDescent="0.25">
      <c r="M9415" s="514"/>
    </row>
    <row r="9416" spans="13:13" x14ac:dyDescent="0.25">
      <c r="M9416" s="514"/>
    </row>
    <row r="9417" spans="13:13" x14ac:dyDescent="0.25">
      <c r="M9417" s="514"/>
    </row>
    <row r="9418" spans="13:13" x14ac:dyDescent="0.25">
      <c r="M9418" s="514"/>
    </row>
    <row r="9419" spans="13:13" x14ac:dyDescent="0.25">
      <c r="M9419" s="514"/>
    </row>
    <row r="9420" spans="13:13" x14ac:dyDescent="0.25">
      <c r="M9420" s="514"/>
    </row>
    <row r="9421" spans="13:13" x14ac:dyDescent="0.25">
      <c r="M9421" s="514"/>
    </row>
    <row r="9422" spans="13:13" x14ac:dyDescent="0.25">
      <c r="M9422" s="514"/>
    </row>
    <row r="9423" spans="13:13" x14ac:dyDescent="0.25">
      <c r="M9423" s="514"/>
    </row>
    <row r="9424" spans="13:13" x14ac:dyDescent="0.25">
      <c r="M9424" s="514"/>
    </row>
    <row r="9425" spans="13:13" x14ac:dyDescent="0.25">
      <c r="M9425" s="514"/>
    </row>
    <row r="9426" spans="13:13" x14ac:dyDescent="0.25">
      <c r="M9426" s="514"/>
    </row>
    <row r="9427" spans="13:13" x14ac:dyDescent="0.25">
      <c r="M9427" s="514"/>
    </row>
    <row r="9428" spans="13:13" x14ac:dyDescent="0.25">
      <c r="M9428" s="514"/>
    </row>
    <row r="9429" spans="13:13" x14ac:dyDescent="0.25">
      <c r="M9429" s="514"/>
    </row>
    <row r="9430" spans="13:13" x14ac:dyDescent="0.25">
      <c r="M9430" s="514"/>
    </row>
    <row r="9431" spans="13:13" x14ac:dyDescent="0.25">
      <c r="M9431" s="514"/>
    </row>
    <row r="9432" spans="13:13" x14ac:dyDescent="0.25">
      <c r="M9432" s="514"/>
    </row>
    <row r="9433" spans="13:13" x14ac:dyDescent="0.25">
      <c r="M9433" s="514"/>
    </row>
    <row r="9434" spans="13:13" x14ac:dyDescent="0.25">
      <c r="M9434" s="514"/>
    </row>
    <row r="9435" spans="13:13" x14ac:dyDescent="0.25">
      <c r="M9435" s="514"/>
    </row>
    <row r="9436" spans="13:13" x14ac:dyDescent="0.25">
      <c r="M9436" s="514"/>
    </row>
    <row r="9437" spans="13:13" x14ac:dyDescent="0.25">
      <c r="M9437" s="514"/>
    </row>
    <row r="9438" spans="13:13" x14ac:dyDescent="0.25">
      <c r="M9438" s="514"/>
    </row>
    <row r="9439" spans="13:13" x14ac:dyDescent="0.25">
      <c r="M9439" s="514"/>
    </row>
    <row r="9440" spans="13:13" x14ac:dyDescent="0.25">
      <c r="M9440" s="514"/>
    </row>
    <row r="9441" spans="13:13" x14ac:dyDescent="0.25">
      <c r="M9441" s="514"/>
    </row>
    <row r="9442" spans="13:13" x14ac:dyDescent="0.25">
      <c r="M9442" s="514"/>
    </row>
    <row r="9443" spans="13:13" x14ac:dyDescent="0.25">
      <c r="M9443" s="514"/>
    </row>
    <row r="9444" spans="13:13" x14ac:dyDescent="0.25">
      <c r="M9444" s="514"/>
    </row>
    <row r="9445" spans="13:13" x14ac:dyDescent="0.25">
      <c r="M9445" s="514"/>
    </row>
    <row r="9446" spans="13:13" x14ac:dyDescent="0.25">
      <c r="M9446" s="514"/>
    </row>
    <row r="9447" spans="13:13" x14ac:dyDescent="0.25">
      <c r="M9447" s="514"/>
    </row>
    <row r="9448" spans="13:13" x14ac:dyDescent="0.25">
      <c r="M9448" s="514"/>
    </row>
    <row r="9449" spans="13:13" x14ac:dyDescent="0.25">
      <c r="M9449" s="514"/>
    </row>
    <row r="9450" spans="13:13" x14ac:dyDescent="0.25">
      <c r="M9450" s="514"/>
    </row>
    <row r="9451" spans="13:13" x14ac:dyDescent="0.25">
      <c r="M9451" s="514"/>
    </row>
    <row r="9452" spans="13:13" x14ac:dyDescent="0.25">
      <c r="M9452" s="514"/>
    </row>
    <row r="9453" spans="13:13" x14ac:dyDescent="0.25">
      <c r="M9453" s="514"/>
    </row>
    <row r="9454" spans="13:13" x14ac:dyDescent="0.25">
      <c r="M9454" s="514"/>
    </row>
    <row r="9455" spans="13:13" x14ac:dyDescent="0.25">
      <c r="M9455" s="514"/>
    </row>
    <row r="9456" spans="13:13" x14ac:dyDescent="0.25">
      <c r="M9456" s="514"/>
    </row>
    <row r="9457" spans="13:13" x14ac:dyDescent="0.25">
      <c r="M9457" s="514"/>
    </row>
    <row r="9458" spans="13:13" x14ac:dyDescent="0.25">
      <c r="M9458" s="514"/>
    </row>
    <row r="9459" spans="13:13" x14ac:dyDescent="0.25">
      <c r="M9459" s="514"/>
    </row>
    <row r="9460" spans="13:13" x14ac:dyDescent="0.25">
      <c r="M9460" s="514"/>
    </row>
    <row r="9461" spans="13:13" x14ac:dyDescent="0.25">
      <c r="M9461" s="514"/>
    </row>
    <row r="9462" spans="13:13" x14ac:dyDescent="0.25">
      <c r="M9462" s="514"/>
    </row>
    <row r="9463" spans="13:13" x14ac:dyDescent="0.25">
      <c r="M9463" s="514"/>
    </row>
    <row r="9464" spans="13:13" x14ac:dyDescent="0.25">
      <c r="M9464" s="514"/>
    </row>
    <row r="9465" spans="13:13" x14ac:dyDescent="0.25">
      <c r="M9465" s="514"/>
    </row>
    <row r="9466" spans="13:13" x14ac:dyDescent="0.25">
      <c r="M9466" s="514"/>
    </row>
    <row r="9467" spans="13:13" x14ac:dyDescent="0.25">
      <c r="M9467" s="514"/>
    </row>
    <row r="9468" spans="13:13" x14ac:dyDescent="0.25">
      <c r="M9468" s="514"/>
    </row>
    <row r="9469" spans="13:13" x14ac:dyDescent="0.25">
      <c r="M9469" s="514"/>
    </row>
    <row r="9470" spans="13:13" x14ac:dyDescent="0.25">
      <c r="M9470" s="514"/>
    </row>
    <row r="9471" spans="13:13" x14ac:dyDescent="0.25">
      <c r="M9471" s="514"/>
    </row>
    <row r="9472" spans="13:13" x14ac:dyDescent="0.25">
      <c r="M9472" s="514"/>
    </row>
    <row r="9473" spans="13:13" x14ac:dyDescent="0.25">
      <c r="M9473" s="514"/>
    </row>
    <row r="9474" spans="13:13" x14ac:dyDescent="0.25">
      <c r="M9474" s="514"/>
    </row>
    <row r="9475" spans="13:13" x14ac:dyDescent="0.25">
      <c r="M9475" s="514"/>
    </row>
    <row r="9476" spans="13:13" x14ac:dyDescent="0.25">
      <c r="M9476" s="514"/>
    </row>
    <row r="9477" spans="13:13" x14ac:dyDescent="0.25">
      <c r="M9477" s="514"/>
    </row>
    <row r="9478" spans="13:13" x14ac:dyDescent="0.25">
      <c r="M9478" s="514"/>
    </row>
    <row r="9479" spans="13:13" x14ac:dyDescent="0.25">
      <c r="M9479" s="514"/>
    </row>
    <row r="9480" spans="13:13" x14ac:dyDescent="0.25">
      <c r="M9480" s="514"/>
    </row>
    <row r="9481" spans="13:13" x14ac:dyDescent="0.25">
      <c r="M9481" s="514"/>
    </row>
    <row r="9482" spans="13:13" x14ac:dyDescent="0.25">
      <c r="M9482" s="514"/>
    </row>
    <row r="9483" spans="13:13" x14ac:dyDescent="0.25">
      <c r="M9483" s="514"/>
    </row>
    <row r="9484" spans="13:13" x14ac:dyDescent="0.25">
      <c r="M9484" s="514"/>
    </row>
    <row r="9485" spans="13:13" x14ac:dyDescent="0.25">
      <c r="M9485" s="514"/>
    </row>
    <row r="9486" spans="13:13" x14ac:dyDescent="0.25">
      <c r="M9486" s="514"/>
    </row>
    <row r="9487" spans="13:13" x14ac:dyDescent="0.25">
      <c r="M9487" s="514"/>
    </row>
    <row r="9488" spans="13:13" x14ac:dyDescent="0.25">
      <c r="M9488" s="514"/>
    </row>
    <row r="9489" spans="13:13" x14ac:dyDescent="0.25">
      <c r="M9489" s="514"/>
    </row>
    <row r="9490" spans="13:13" x14ac:dyDescent="0.25">
      <c r="M9490" s="514"/>
    </row>
    <row r="9491" spans="13:13" x14ac:dyDescent="0.25">
      <c r="M9491" s="514"/>
    </row>
    <row r="9492" spans="13:13" x14ac:dyDescent="0.25">
      <c r="M9492" s="514"/>
    </row>
    <row r="9493" spans="13:13" x14ac:dyDescent="0.25">
      <c r="M9493" s="514"/>
    </row>
    <row r="9494" spans="13:13" x14ac:dyDescent="0.25">
      <c r="M9494" s="514"/>
    </row>
    <row r="9495" spans="13:13" x14ac:dyDescent="0.25">
      <c r="M9495" s="514"/>
    </row>
    <row r="9496" spans="13:13" x14ac:dyDescent="0.25">
      <c r="M9496" s="514"/>
    </row>
    <row r="9497" spans="13:13" x14ac:dyDescent="0.25">
      <c r="M9497" s="514"/>
    </row>
    <row r="9498" spans="13:13" x14ac:dyDescent="0.25">
      <c r="M9498" s="514"/>
    </row>
    <row r="9499" spans="13:13" x14ac:dyDescent="0.25">
      <c r="M9499" s="514"/>
    </row>
    <row r="9500" spans="13:13" x14ac:dyDescent="0.25">
      <c r="M9500" s="514"/>
    </row>
    <row r="9501" spans="13:13" x14ac:dyDescent="0.25">
      <c r="M9501" s="514"/>
    </row>
    <row r="9502" spans="13:13" x14ac:dyDescent="0.25">
      <c r="M9502" s="514"/>
    </row>
    <row r="9503" spans="13:13" x14ac:dyDescent="0.25">
      <c r="M9503" s="514"/>
    </row>
    <row r="9504" spans="13:13" x14ac:dyDescent="0.25">
      <c r="M9504" s="514"/>
    </row>
    <row r="9505" spans="13:13" x14ac:dyDescent="0.25">
      <c r="M9505" s="514"/>
    </row>
    <row r="9506" spans="13:13" x14ac:dyDescent="0.25">
      <c r="M9506" s="514"/>
    </row>
    <row r="9507" spans="13:13" x14ac:dyDescent="0.25">
      <c r="M9507" s="514"/>
    </row>
    <row r="9508" spans="13:13" x14ac:dyDescent="0.25">
      <c r="M9508" s="514"/>
    </row>
    <row r="9509" spans="13:13" x14ac:dyDescent="0.25">
      <c r="M9509" s="514"/>
    </row>
    <row r="9510" spans="13:13" x14ac:dyDescent="0.25">
      <c r="M9510" s="514"/>
    </row>
    <row r="9511" spans="13:13" x14ac:dyDescent="0.25">
      <c r="M9511" s="514"/>
    </row>
    <row r="9512" spans="13:13" x14ac:dyDescent="0.25">
      <c r="M9512" s="514"/>
    </row>
    <row r="9513" spans="13:13" x14ac:dyDescent="0.25">
      <c r="M9513" s="514"/>
    </row>
    <row r="9514" spans="13:13" x14ac:dyDescent="0.25">
      <c r="M9514" s="514"/>
    </row>
    <row r="9515" spans="13:13" x14ac:dyDescent="0.25">
      <c r="M9515" s="514"/>
    </row>
    <row r="9516" spans="13:13" x14ac:dyDescent="0.25">
      <c r="M9516" s="514"/>
    </row>
    <row r="9517" spans="13:13" x14ac:dyDescent="0.25">
      <c r="M9517" s="514"/>
    </row>
    <row r="9518" spans="13:13" x14ac:dyDescent="0.25">
      <c r="M9518" s="514"/>
    </row>
    <row r="9519" spans="13:13" x14ac:dyDescent="0.25">
      <c r="M9519" s="514"/>
    </row>
    <row r="9520" spans="13:13" x14ac:dyDescent="0.25">
      <c r="M9520" s="514"/>
    </row>
    <row r="9521" spans="13:13" x14ac:dyDescent="0.25">
      <c r="M9521" s="514"/>
    </row>
    <row r="9522" spans="13:13" x14ac:dyDescent="0.25">
      <c r="M9522" s="514"/>
    </row>
    <row r="9523" spans="13:13" x14ac:dyDescent="0.25">
      <c r="M9523" s="514"/>
    </row>
    <row r="9524" spans="13:13" x14ac:dyDescent="0.25">
      <c r="M9524" s="514"/>
    </row>
    <row r="9525" spans="13:13" x14ac:dyDescent="0.25">
      <c r="M9525" s="514"/>
    </row>
    <row r="9526" spans="13:13" x14ac:dyDescent="0.25">
      <c r="M9526" s="514"/>
    </row>
    <row r="9527" spans="13:13" x14ac:dyDescent="0.25">
      <c r="M9527" s="514"/>
    </row>
    <row r="9528" spans="13:13" x14ac:dyDescent="0.25">
      <c r="M9528" s="514"/>
    </row>
    <row r="9529" spans="13:13" x14ac:dyDescent="0.25">
      <c r="M9529" s="514"/>
    </row>
    <row r="9530" spans="13:13" x14ac:dyDescent="0.25">
      <c r="M9530" s="514"/>
    </row>
    <row r="9531" spans="13:13" x14ac:dyDescent="0.25">
      <c r="M9531" s="514"/>
    </row>
    <row r="9532" spans="13:13" x14ac:dyDescent="0.25">
      <c r="M9532" s="514"/>
    </row>
    <row r="9533" spans="13:13" x14ac:dyDescent="0.25">
      <c r="M9533" s="514"/>
    </row>
    <row r="9534" spans="13:13" x14ac:dyDescent="0.25">
      <c r="M9534" s="514"/>
    </row>
    <row r="9535" spans="13:13" x14ac:dyDescent="0.25">
      <c r="M9535" s="514"/>
    </row>
    <row r="9536" spans="13:13" x14ac:dyDescent="0.25">
      <c r="M9536" s="514"/>
    </row>
    <row r="9537" spans="13:13" x14ac:dyDescent="0.25">
      <c r="M9537" s="514"/>
    </row>
    <row r="9538" spans="13:13" x14ac:dyDescent="0.25">
      <c r="M9538" s="514"/>
    </row>
    <row r="9539" spans="13:13" x14ac:dyDescent="0.25">
      <c r="M9539" s="514"/>
    </row>
    <row r="9540" spans="13:13" x14ac:dyDescent="0.25">
      <c r="M9540" s="514"/>
    </row>
    <row r="9541" spans="13:13" x14ac:dyDescent="0.25">
      <c r="M9541" s="514"/>
    </row>
    <row r="9542" spans="13:13" x14ac:dyDescent="0.25">
      <c r="M9542" s="514"/>
    </row>
    <row r="9543" spans="13:13" x14ac:dyDescent="0.25">
      <c r="M9543" s="514"/>
    </row>
    <row r="9544" spans="13:13" x14ac:dyDescent="0.25">
      <c r="M9544" s="514"/>
    </row>
    <row r="9545" spans="13:13" x14ac:dyDescent="0.25">
      <c r="M9545" s="514"/>
    </row>
    <row r="9546" spans="13:13" x14ac:dyDescent="0.25">
      <c r="M9546" s="514"/>
    </row>
    <row r="9547" spans="13:13" x14ac:dyDescent="0.25">
      <c r="M9547" s="514"/>
    </row>
    <row r="9548" spans="13:13" x14ac:dyDescent="0.25">
      <c r="M9548" s="514"/>
    </row>
    <row r="9549" spans="13:13" x14ac:dyDescent="0.25">
      <c r="M9549" s="514"/>
    </row>
    <row r="9550" spans="13:13" x14ac:dyDescent="0.25">
      <c r="M9550" s="514"/>
    </row>
    <row r="9551" spans="13:13" x14ac:dyDescent="0.25">
      <c r="M9551" s="514"/>
    </row>
    <row r="9552" spans="13:13" x14ac:dyDescent="0.25">
      <c r="M9552" s="514"/>
    </row>
    <row r="9553" spans="13:13" x14ac:dyDescent="0.25">
      <c r="M9553" s="514"/>
    </row>
    <row r="9554" spans="13:13" x14ac:dyDescent="0.25">
      <c r="M9554" s="514"/>
    </row>
    <row r="9555" spans="13:13" x14ac:dyDescent="0.25">
      <c r="M9555" s="514"/>
    </row>
    <row r="9556" spans="13:13" x14ac:dyDescent="0.25">
      <c r="M9556" s="514"/>
    </row>
    <row r="9557" spans="13:13" x14ac:dyDescent="0.25">
      <c r="M9557" s="514"/>
    </row>
    <row r="9558" spans="13:13" x14ac:dyDescent="0.25">
      <c r="M9558" s="514"/>
    </row>
    <row r="9559" spans="13:13" x14ac:dyDescent="0.25">
      <c r="M9559" s="514"/>
    </row>
    <row r="9560" spans="13:13" x14ac:dyDescent="0.25">
      <c r="M9560" s="514"/>
    </row>
    <row r="9561" spans="13:13" x14ac:dyDescent="0.25">
      <c r="M9561" s="514"/>
    </row>
    <row r="9562" spans="13:13" x14ac:dyDescent="0.25">
      <c r="M9562" s="514"/>
    </row>
    <row r="9563" spans="13:13" x14ac:dyDescent="0.25">
      <c r="M9563" s="514"/>
    </row>
    <row r="9564" spans="13:13" x14ac:dyDescent="0.25">
      <c r="M9564" s="514"/>
    </row>
    <row r="9565" spans="13:13" x14ac:dyDescent="0.25">
      <c r="M9565" s="514"/>
    </row>
    <row r="9566" spans="13:13" x14ac:dyDescent="0.25">
      <c r="M9566" s="514"/>
    </row>
    <row r="9567" spans="13:13" x14ac:dyDescent="0.25">
      <c r="M9567" s="514"/>
    </row>
    <row r="9568" spans="13:13" x14ac:dyDescent="0.25">
      <c r="M9568" s="514"/>
    </row>
    <row r="9569" spans="13:13" x14ac:dyDescent="0.25">
      <c r="M9569" s="514"/>
    </row>
    <row r="9570" spans="13:13" x14ac:dyDescent="0.25">
      <c r="M9570" s="514"/>
    </row>
    <row r="9571" spans="13:13" x14ac:dyDescent="0.25">
      <c r="M9571" s="514"/>
    </row>
    <row r="9572" spans="13:13" x14ac:dyDescent="0.25">
      <c r="M9572" s="514"/>
    </row>
    <row r="9573" spans="13:13" x14ac:dyDescent="0.25">
      <c r="M9573" s="514"/>
    </row>
    <row r="9574" spans="13:13" x14ac:dyDescent="0.25">
      <c r="M9574" s="514"/>
    </row>
    <row r="9575" spans="13:13" x14ac:dyDescent="0.25">
      <c r="M9575" s="514"/>
    </row>
    <row r="9576" spans="13:13" x14ac:dyDescent="0.25">
      <c r="M9576" s="514"/>
    </row>
    <row r="9577" spans="13:13" x14ac:dyDescent="0.25">
      <c r="M9577" s="514"/>
    </row>
    <row r="9578" spans="13:13" x14ac:dyDescent="0.25">
      <c r="M9578" s="514"/>
    </row>
    <row r="9579" spans="13:13" x14ac:dyDescent="0.25">
      <c r="M9579" s="514"/>
    </row>
    <row r="9580" spans="13:13" x14ac:dyDescent="0.25">
      <c r="M9580" s="514"/>
    </row>
    <row r="9581" spans="13:13" x14ac:dyDescent="0.25">
      <c r="M9581" s="514"/>
    </row>
    <row r="9582" spans="13:13" x14ac:dyDescent="0.25">
      <c r="M9582" s="514"/>
    </row>
    <row r="9583" spans="13:13" x14ac:dyDescent="0.25">
      <c r="M9583" s="514"/>
    </row>
    <row r="9584" spans="13:13" x14ac:dyDescent="0.25">
      <c r="M9584" s="514"/>
    </row>
    <row r="9585" spans="13:13" x14ac:dyDescent="0.25">
      <c r="M9585" s="514"/>
    </row>
    <row r="9586" spans="13:13" x14ac:dyDescent="0.25">
      <c r="M9586" s="514"/>
    </row>
    <row r="9587" spans="13:13" x14ac:dyDescent="0.25">
      <c r="M9587" s="514"/>
    </row>
    <row r="9588" spans="13:13" x14ac:dyDescent="0.25">
      <c r="M9588" s="514"/>
    </row>
    <row r="9589" spans="13:13" x14ac:dyDescent="0.25">
      <c r="M9589" s="514"/>
    </row>
    <row r="9590" spans="13:13" x14ac:dyDescent="0.25">
      <c r="M9590" s="514"/>
    </row>
    <row r="9591" spans="13:13" x14ac:dyDescent="0.25">
      <c r="M9591" s="514"/>
    </row>
    <row r="9592" spans="13:13" x14ac:dyDescent="0.25">
      <c r="M9592" s="514"/>
    </row>
    <row r="9593" spans="13:13" x14ac:dyDescent="0.25">
      <c r="M9593" s="514"/>
    </row>
    <row r="9594" spans="13:13" x14ac:dyDescent="0.25">
      <c r="M9594" s="514"/>
    </row>
    <row r="9595" spans="13:13" x14ac:dyDescent="0.25">
      <c r="M9595" s="514"/>
    </row>
    <row r="9596" spans="13:13" x14ac:dyDescent="0.25">
      <c r="M9596" s="514"/>
    </row>
    <row r="9597" spans="13:13" x14ac:dyDescent="0.25">
      <c r="M9597" s="514"/>
    </row>
    <row r="9598" spans="13:13" x14ac:dyDescent="0.25">
      <c r="M9598" s="514"/>
    </row>
    <row r="9599" spans="13:13" x14ac:dyDescent="0.25">
      <c r="M9599" s="514"/>
    </row>
    <row r="9600" spans="13:13" x14ac:dyDescent="0.25">
      <c r="M9600" s="514"/>
    </row>
    <row r="9601" spans="13:13" x14ac:dyDescent="0.25">
      <c r="M9601" s="514"/>
    </row>
    <row r="9602" spans="13:13" x14ac:dyDescent="0.25">
      <c r="M9602" s="514"/>
    </row>
    <row r="9603" spans="13:13" x14ac:dyDescent="0.25">
      <c r="M9603" s="514"/>
    </row>
    <row r="9604" spans="13:13" x14ac:dyDescent="0.25">
      <c r="M9604" s="514"/>
    </row>
    <row r="9605" spans="13:13" x14ac:dyDescent="0.25">
      <c r="M9605" s="514"/>
    </row>
    <row r="9606" spans="13:13" x14ac:dyDescent="0.25">
      <c r="M9606" s="514"/>
    </row>
    <row r="9607" spans="13:13" x14ac:dyDescent="0.25">
      <c r="M9607" s="514"/>
    </row>
    <row r="9608" spans="13:13" x14ac:dyDescent="0.25">
      <c r="M9608" s="514"/>
    </row>
    <row r="9609" spans="13:13" x14ac:dyDescent="0.25">
      <c r="M9609" s="514"/>
    </row>
    <row r="9610" spans="13:13" x14ac:dyDescent="0.25">
      <c r="M9610" s="514"/>
    </row>
    <row r="9611" spans="13:13" x14ac:dyDescent="0.25">
      <c r="M9611" s="514"/>
    </row>
    <row r="9612" spans="13:13" x14ac:dyDescent="0.25">
      <c r="M9612" s="514"/>
    </row>
    <row r="9613" spans="13:13" x14ac:dyDescent="0.25">
      <c r="M9613" s="514"/>
    </row>
    <row r="9614" spans="13:13" x14ac:dyDescent="0.25">
      <c r="M9614" s="514"/>
    </row>
    <row r="9615" spans="13:13" x14ac:dyDescent="0.25">
      <c r="M9615" s="514"/>
    </row>
    <row r="9616" spans="13:13" x14ac:dyDescent="0.25">
      <c r="M9616" s="514"/>
    </row>
    <row r="9617" spans="13:13" x14ac:dyDescent="0.25">
      <c r="M9617" s="514"/>
    </row>
    <row r="9618" spans="13:13" x14ac:dyDescent="0.25">
      <c r="M9618" s="514"/>
    </row>
    <row r="9619" spans="13:13" x14ac:dyDescent="0.25">
      <c r="M9619" s="514"/>
    </row>
    <row r="9620" spans="13:13" x14ac:dyDescent="0.25">
      <c r="M9620" s="514"/>
    </row>
    <row r="9621" spans="13:13" x14ac:dyDescent="0.25">
      <c r="M9621" s="514"/>
    </row>
    <row r="9622" spans="13:13" x14ac:dyDescent="0.25">
      <c r="M9622" s="514"/>
    </row>
    <row r="9623" spans="13:13" x14ac:dyDescent="0.25">
      <c r="M9623" s="514"/>
    </row>
    <row r="9624" spans="13:13" x14ac:dyDescent="0.25">
      <c r="M9624" s="514"/>
    </row>
    <row r="9625" spans="13:13" x14ac:dyDescent="0.25">
      <c r="M9625" s="514"/>
    </row>
    <row r="9626" spans="13:13" x14ac:dyDescent="0.25">
      <c r="M9626" s="514"/>
    </row>
    <row r="9627" spans="13:13" x14ac:dyDescent="0.25">
      <c r="M9627" s="514"/>
    </row>
    <row r="9628" spans="13:13" x14ac:dyDescent="0.25">
      <c r="M9628" s="514"/>
    </row>
    <row r="9629" spans="13:13" x14ac:dyDescent="0.25">
      <c r="M9629" s="514"/>
    </row>
    <row r="9630" spans="13:13" x14ac:dyDescent="0.25">
      <c r="M9630" s="514"/>
    </row>
    <row r="9631" spans="13:13" x14ac:dyDescent="0.25">
      <c r="M9631" s="514"/>
    </row>
    <row r="9632" spans="13:13" x14ac:dyDescent="0.25">
      <c r="M9632" s="514"/>
    </row>
    <row r="9633" spans="13:13" x14ac:dyDescent="0.25">
      <c r="M9633" s="514"/>
    </row>
    <row r="9634" spans="13:13" x14ac:dyDescent="0.25">
      <c r="M9634" s="514"/>
    </row>
    <row r="9635" spans="13:13" x14ac:dyDescent="0.25">
      <c r="M9635" s="514"/>
    </row>
    <row r="9636" spans="13:13" x14ac:dyDescent="0.25">
      <c r="M9636" s="514"/>
    </row>
    <row r="9637" spans="13:13" x14ac:dyDescent="0.25">
      <c r="M9637" s="514"/>
    </row>
    <row r="9638" spans="13:13" x14ac:dyDescent="0.25">
      <c r="M9638" s="514"/>
    </row>
    <row r="9639" spans="13:13" x14ac:dyDescent="0.25">
      <c r="M9639" s="514"/>
    </row>
    <row r="9640" spans="13:13" x14ac:dyDescent="0.25">
      <c r="M9640" s="514"/>
    </row>
    <row r="9641" spans="13:13" x14ac:dyDescent="0.25">
      <c r="M9641" s="514"/>
    </row>
    <row r="9642" spans="13:13" x14ac:dyDescent="0.25">
      <c r="M9642" s="514"/>
    </row>
    <row r="9643" spans="13:13" x14ac:dyDescent="0.25">
      <c r="M9643" s="514"/>
    </row>
    <row r="9644" spans="13:13" x14ac:dyDescent="0.25">
      <c r="M9644" s="514"/>
    </row>
    <row r="9645" spans="13:13" x14ac:dyDescent="0.25">
      <c r="M9645" s="514"/>
    </row>
    <row r="9646" spans="13:13" x14ac:dyDescent="0.25">
      <c r="M9646" s="514"/>
    </row>
    <row r="9647" spans="13:13" x14ac:dyDescent="0.25">
      <c r="M9647" s="514"/>
    </row>
    <row r="9648" spans="13:13" x14ac:dyDescent="0.25">
      <c r="M9648" s="514"/>
    </row>
    <row r="9649" spans="13:13" x14ac:dyDescent="0.25">
      <c r="M9649" s="514"/>
    </row>
    <row r="9650" spans="13:13" x14ac:dyDescent="0.25">
      <c r="M9650" s="514"/>
    </row>
    <row r="9651" spans="13:13" x14ac:dyDescent="0.25">
      <c r="M9651" s="514"/>
    </row>
    <row r="9652" spans="13:13" x14ac:dyDescent="0.25">
      <c r="M9652" s="514"/>
    </row>
    <row r="9653" spans="13:13" x14ac:dyDescent="0.25">
      <c r="M9653" s="514"/>
    </row>
    <row r="9654" spans="13:13" x14ac:dyDescent="0.25">
      <c r="M9654" s="514"/>
    </row>
    <row r="9655" spans="13:13" x14ac:dyDescent="0.25">
      <c r="M9655" s="514"/>
    </row>
    <row r="9656" spans="13:13" x14ac:dyDescent="0.25">
      <c r="M9656" s="514"/>
    </row>
    <row r="9657" spans="13:13" x14ac:dyDescent="0.25">
      <c r="M9657" s="514"/>
    </row>
    <row r="9658" spans="13:13" x14ac:dyDescent="0.25">
      <c r="M9658" s="514"/>
    </row>
    <row r="9659" spans="13:13" x14ac:dyDescent="0.25">
      <c r="M9659" s="514"/>
    </row>
    <row r="9660" spans="13:13" x14ac:dyDescent="0.25">
      <c r="M9660" s="514"/>
    </row>
    <row r="9661" spans="13:13" x14ac:dyDescent="0.25">
      <c r="M9661" s="514"/>
    </row>
    <row r="9662" spans="13:13" x14ac:dyDescent="0.25">
      <c r="M9662" s="514"/>
    </row>
    <row r="9663" spans="13:13" x14ac:dyDescent="0.25">
      <c r="M9663" s="514"/>
    </row>
    <row r="9664" spans="13:13" x14ac:dyDescent="0.25">
      <c r="M9664" s="514"/>
    </row>
    <row r="9665" spans="13:13" x14ac:dyDescent="0.25">
      <c r="M9665" s="514"/>
    </row>
    <row r="9666" spans="13:13" x14ac:dyDescent="0.25">
      <c r="M9666" s="514"/>
    </row>
    <row r="9667" spans="13:13" x14ac:dyDescent="0.25">
      <c r="M9667" s="514"/>
    </row>
    <row r="9668" spans="13:13" x14ac:dyDescent="0.25">
      <c r="M9668" s="514"/>
    </row>
    <row r="9669" spans="13:13" x14ac:dyDescent="0.25">
      <c r="M9669" s="514"/>
    </row>
    <row r="9670" spans="13:13" x14ac:dyDescent="0.25">
      <c r="M9670" s="514"/>
    </row>
    <row r="9671" spans="13:13" x14ac:dyDescent="0.25">
      <c r="M9671" s="514"/>
    </row>
    <row r="9672" spans="13:13" x14ac:dyDescent="0.25">
      <c r="M9672" s="514"/>
    </row>
    <row r="9673" spans="13:13" x14ac:dyDescent="0.25">
      <c r="M9673" s="514"/>
    </row>
    <row r="9674" spans="13:13" x14ac:dyDescent="0.25">
      <c r="M9674" s="514"/>
    </row>
    <row r="9675" spans="13:13" x14ac:dyDescent="0.25">
      <c r="M9675" s="514"/>
    </row>
    <row r="9676" spans="13:13" x14ac:dyDescent="0.25">
      <c r="M9676" s="514"/>
    </row>
    <row r="9677" spans="13:13" x14ac:dyDescent="0.25">
      <c r="M9677" s="514"/>
    </row>
    <row r="9678" spans="13:13" x14ac:dyDescent="0.25">
      <c r="M9678" s="514"/>
    </row>
    <row r="9679" spans="13:13" x14ac:dyDescent="0.25">
      <c r="M9679" s="514"/>
    </row>
    <row r="9680" spans="13:13" x14ac:dyDescent="0.25">
      <c r="M9680" s="514"/>
    </row>
    <row r="9681" spans="13:13" x14ac:dyDescent="0.25">
      <c r="M9681" s="514"/>
    </row>
    <row r="9682" spans="13:13" x14ac:dyDescent="0.25">
      <c r="M9682" s="514"/>
    </row>
    <row r="9683" spans="13:13" x14ac:dyDescent="0.25">
      <c r="M9683" s="514"/>
    </row>
    <row r="9684" spans="13:13" x14ac:dyDescent="0.25">
      <c r="M9684" s="514"/>
    </row>
    <row r="9685" spans="13:13" x14ac:dyDescent="0.25">
      <c r="M9685" s="514"/>
    </row>
    <row r="9686" spans="13:13" x14ac:dyDescent="0.25">
      <c r="M9686" s="514"/>
    </row>
    <row r="9687" spans="13:13" x14ac:dyDescent="0.25">
      <c r="M9687" s="514"/>
    </row>
    <row r="9688" spans="13:13" x14ac:dyDescent="0.25">
      <c r="M9688" s="514"/>
    </row>
    <row r="9689" spans="13:13" x14ac:dyDescent="0.25">
      <c r="M9689" s="514"/>
    </row>
    <row r="9690" spans="13:13" x14ac:dyDescent="0.25">
      <c r="M9690" s="514"/>
    </row>
    <row r="9691" spans="13:13" x14ac:dyDescent="0.25">
      <c r="M9691" s="514"/>
    </row>
    <row r="9692" spans="13:13" x14ac:dyDescent="0.25">
      <c r="M9692" s="514"/>
    </row>
    <row r="9693" spans="13:13" x14ac:dyDescent="0.25">
      <c r="M9693" s="514"/>
    </row>
    <row r="9694" spans="13:13" x14ac:dyDescent="0.25">
      <c r="M9694" s="514"/>
    </row>
    <row r="9695" spans="13:13" x14ac:dyDescent="0.25">
      <c r="M9695" s="514"/>
    </row>
    <row r="9696" spans="13:13" x14ac:dyDescent="0.25">
      <c r="M9696" s="514"/>
    </row>
    <row r="9697" spans="13:13" x14ac:dyDescent="0.25">
      <c r="M9697" s="514"/>
    </row>
    <row r="9698" spans="13:13" x14ac:dyDescent="0.25">
      <c r="M9698" s="514"/>
    </row>
    <row r="9699" spans="13:13" x14ac:dyDescent="0.25">
      <c r="M9699" s="514"/>
    </row>
    <row r="9700" spans="13:13" x14ac:dyDescent="0.25">
      <c r="M9700" s="514"/>
    </row>
    <row r="9701" spans="13:13" x14ac:dyDescent="0.25">
      <c r="M9701" s="514"/>
    </row>
    <row r="9702" spans="13:13" x14ac:dyDescent="0.25">
      <c r="M9702" s="514"/>
    </row>
    <row r="9703" spans="13:13" x14ac:dyDescent="0.25">
      <c r="M9703" s="514"/>
    </row>
    <row r="9704" spans="13:13" x14ac:dyDescent="0.25">
      <c r="M9704" s="514"/>
    </row>
    <row r="9705" spans="13:13" x14ac:dyDescent="0.25">
      <c r="M9705" s="514"/>
    </row>
    <row r="9706" spans="13:13" x14ac:dyDescent="0.25">
      <c r="M9706" s="514"/>
    </row>
    <row r="9707" spans="13:13" x14ac:dyDescent="0.25">
      <c r="M9707" s="514"/>
    </row>
    <row r="9708" spans="13:13" x14ac:dyDescent="0.25">
      <c r="M9708" s="514"/>
    </row>
    <row r="9709" spans="13:13" x14ac:dyDescent="0.25">
      <c r="M9709" s="514"/>
    </row>
    <row r="9710" spans="13:13" x14ac:dyDescent="0.25">
      <c r="M9710" s="514"/>
    </row>
    <row r="9711" spans="13:13" x14ac:dyDescent="0.25">
      <c r="M9711" s="514"/>
    </row>
    <row r="9712" spans="13:13" x14ac:dyDescent="0.25">
      <c r="M9712" s="514"/>
    </row>
    <row r="9713" spans="13:13" x14ac:dyDescent="0.25">
      <c r="M9713" s="514"/>
    </row>
    <row r="9714" spans="13:13" x14ac:dyDescent="0.25">
      <c r="M9714" s="514"/>
    </row>
    <row r="9715" spans="13:13" x14ac:dyDescent="0.25">
      <c r="M9715" s="514"/>
    </row>
    <row r="9716" spans="13:13" x14ac:dyDescent="0.25">
      <c r="M9716" s="514"/>
    </row>
    <row r="9717" spans="13:13" x14ac:dyDescent="0.25">
      <c r="M9717" s="514"/>
    </row>
    <row r="9718" spans="13:13" x14ac:dyDescent="0.25">
      <c r="M9718" s="514"/>
    </row>
    <row r="9719" spans="13:13" x14ac:dyDescent="0.25">
      <c r="M9719" s="514"/>
    </row>
    <row r="9720" spans="13:13" x14ac:dyDescent="0.25">
      <c r="M9720" s="514"/>
    </row>
    <row r="9721" spans="13:13" x14ac:dyDescent="0.25">
      <c r="M9721" s="514"/>
    </row>
    <row r="9722" spans="13:13" x14ac:dyDescent="0.25">
      <c r="M9722" s="514"/>
    </row>
    <row r="9723" spans="13:13" x14ac:dyDescent="0.25">
      <c r="M9723" s="514"/>
    </row>
    <row r="9724" spans="13:13" x14ac:dyDescent="0.25">
      <c r="M9724" s="514"/>
    </row>
    <row r="9725" spans="13:13" x14ac:dyDescent="0.25">
      <c r="M9725" s="514"/>
    </row>
    <row r="9726" spans="13:13" x14ac:dyDescent="0.25">
      <c r="M9726" s="514"/>
    </row>
    <row r="9727" spans="13:13" x14ac:dyDescent="0.25">
      <c r="M9727" s="514"/>
    </row>
    <row r="9728" spans="13:13" x14ac:dyDescent="0.25">
      <c r="M9728" s="514"/>
    </row>
    <row r="9729" spans="13:13" x14ac:dyDescent="0.25">
      <c r="M9729" s="514"/>
    </row>
    <row r="9730" spans="13:13" x14ac:dyDescent="0.25">
      <c r="M9730" s="514"/>
    </row>
    <row r="9731" spans="13:13" x14ac:dyDescent="0.25">
      <c r="M9731" s="514"/>
    </row>
    <row r="9732" spans="13:13" x14ac:dyDescent="0.25">
      <c r="M9732" s="514"/>
    </row>
    <row r="9733" spans="13:13" x14ac:dyDescent="0.25">
      <c r="M9733" s="514"/>
    </row>
    <row r="9734" spans="13:13" x14ac:dyDescent="0.25">
      <c r="M9734" s="514"/>
    </row>
    <row r="9735" spans="13:13" x14ac:dyDescent="0.25">
      <c r="M9735" s="514"/>
    </row>
    <row r="9736" spans="13:13" x14ac:dyDescent="0.25">
      <c r="M9736" s="514"/>
    </row>
    <row r="9737" spans="13:13" x14ac:dyDescent="0.25">
      <c r="M9737" s="514"/>
    </row>
    <row r="9738" spans="13:13" x14ac:dyDescent="0.25">
      <c r="M9738" s="514"/>
    </row>
    <row r="9739" spans="13:13" x14ac:dyDescent="0.25">
      <c r="M9739" s="514"/>
    </row>
    <row r="9740" spans="13:13" x14ac:dyDescent="0.25">
      <c r="M9740" s="514"/>
    </row>
    <row r="9741" spans="13:13" x14ac:dyDescent="0.25">
      <c r="M9741" s="514"/>
    </row>
    <row r="9742" spans="13:13" x14ac:dyDescent="0.25">
      <c r="M9742" s="514"/>
    </row>
    <row r="9743" spans="13:13" x14ac:dyDescent="0.25">
      <c r="M9743" s="514"/>
    </row>
    <row r="9744" spans="13:13" x14ac:dyDescent="0.25">
      <c r="M9744" s="514"/>
    </row>
    <row r="9745" spans="13:13" x14ac:dyDescent="0.25">
      <c r="M9745" s="514"/>
    </row>
    <row r="9746" spans="13:13" x14ac:dyDescent="0.25">
      <c r="M9746" s="514"/>
    </row>
    <row r="9747" spans="13:13" x14ac:dyDescent="0.25">
      <c r="M9747" s="514"/>
    </row>
    <row r="9748" spans="13:13" x14ac:dyDescent="0.25">
      <c r="M9748" s="514"/>
    </row>
    <row r="9749" spans="13:13" x14ac:dyDescent="0.25">
      <c r="M9749" s="514"/>
    </row>
    <row r="9750" spans="13:13" x14ac:dyDescent="0.25">
      <c r="M9750" s="514"/>
    </row>
    <row r="9751" spans="13:13" x14ac:dyDescent="0.25">
      <c r="M9751" s="514"/>
    </row>
    <row r="9752" spans="13:13" x14ac:dyDescent="0.25">
      <c r="M9752" s="514"/>
    </row>
    <row r="9753" spans="13:13" x14ac:dyDescent="0.25">
      <c r="M9753" s="514"/>
    </row>
    <row r="9754" spans="13:13" x14ac:dyDescent="0.25">
      <c r="M9754" s="514"/>
    </row>
    <row r="9755" spans="13:13" x14ac:dyDescent="0.25">
      <c r="M9755" s="514"/>
    </row>
    <row r="9756" spans="13:13" x14ac:dyDescent="0.25">
      <c r="M9756" s="514"/>
    </row>
    <row r="9757" spans="13:13" x14ac:dyDescent="0.25">
      <c r="M9757" s="514"/>
    </row>
    <row r="9758" spans="13:13" x14ac:dyDescent="0.25">
      <c r="M9758" s="514"/>
    </row>
    <row r="9759" spans="13:13" x14ac:dyDescent="0.25">
      <c r="M9759" s="514"/>
    </row>
    <row r="9760" spans="13:13" x14ac:dyDescent="0.25">
      <c r="M9760" s="514"/>
    </row>
    <row r="9761" spans="13:13" x14ac:dyDescent="0.25">
      <c r="M9761" s="514"/>
    </row>
    <row r="9762" spans="13:13" x14ac:dyDescent="0.25">
      <c r="M9762" s="514"/>
    </row>
    <row r="9763" spans="13:13" x14ac:dyDescent="0.25">
      <c r="M9763" s="514"/>
    </row>
    <row r="9764" spans="13:13" x14ac:dyDescent="0.25">
      <c r="M9764" s="514"/>
    </row>
    <row r="9765" spans="13:13" x14ac:dyDescent="0.25">
      <c r="M9765" s="514"/>
    </row>
    <row r="9766" spans="13:13" x14ac:dyDescent="0.25">
      <c r="M9766" s="514"/>
    </row>
    <row r="9767" spans="13:13" x14ac:dyDescent="0.25">
      <c r="M9767" s="514"/>
    </row>
    <row r="9768" spans="13:13" x14ac:dyDescent="0.25">
      <c r="M9768" s="514"/>
    </row>
    <row r="9769" spans="13:13" x14ac:dyDescent="0.25">
      <c r="M9769" s="514"/>
    </row>
    <row r="9770" spans="13:13" x14ac:dyDescent="0.25">
      <c r="M9770" s="514"/>
    </row>
    <row r="9771" spans="13:13" x14ac:dyDescent="0.25">
      <c r="M9771" s="514"/>
    </row>
    <row r="9772" spans="13:13" x14ac:dyDescent="0.25">
      <c r="M9772" s="514"/>
    </row>
    <row r="9773" spans="13:13" x14ac:dyDescent="0.25">
      <c r="M9773" s="514"/>
    </row>
    <row r="9774" spans="13:13" x14ac:dyDescent="0.25">
      <c r="M9774" s="514"/>
    </row>
    <row r="9775" spans="13:13" x14ac:dyDescent="0.25">
      <c r="M9775" s="514"/>
    </row>
    <row r="9776" spans="13:13" x14ac:dyDescent="0.25">
      <c r="M9776" s="514"/>
    </row>
    <row r="9777" spans="13:13" x14ac:dyDescent="0.25">
      <c r="M9777" s="514"/>
    </row>
    <row r="9778" spans="13:13" x14ac:dyDescent="0.25">
      <c r="M9778" s="514"/>
    </row>
    <row r="9779" spans="13:13" x14ac:dyDescent="0.25">
      <c r="M9779" s="514"/>
    </row>
    <row r="9780" spans="13:13" x14ac:dyDescent="0.25">
      <c r="M9780" s="514"/>
    </row>
    <row r="9781" spans="13:13" x14ac:dyDescent="0.25">
      <c r="M9781" s="514"/>
    </row>
    <row r="9782" spans="13:13" x14ac:dyDescent="0.25">
      <c r="M9782" s="514"/>
    </row>
    <row r="9783" spans="13:13" x14ac:dyDescent="0.25">
      <c r="M9783" s="514"/>
    </row>
    <row r="9784" spans="13:13" x14ac:dyDescent="0.25">
      <c r="M9784" s="514"/>
    </row>
    <row r="9785" spans="13:13" x14ac:dyDescent="0.25">
      <c r="M9785" s="514"/>
    </row>
    <row r="9786" spans="13:13" x14ac:dyDescent="0.25">
      <c r="M9786" s="514"/>
    </row>
    <row r="9787" spans="13:13" x14ac:dyDescent="0.25">
      <c r="M9787" s="514"/>
    </row>
    <row r="9788" spans="13:13" x14ac:dyDescent="0.25">
      <c r="M9788" s="514"/>
    </row>
    <row r="9789" spans="13:13" x14ac:dyDescent="0.25">
      <c r="M9789" s="514"/>
    </row>
    <row r="9790" spans="13:13" x14ac:dyDescent="0.25">
      <c r="M9790" s="514"/>
    </row>
    <row r="9791" spans="13:13" x14ac:dyDescent="0.25">
      <c r="M9791" s="514"/>
    </row>
    <row r="9792" spans="13:13" x14ac:dyDescent="0.25">
      <c r="M9792" s="514"/>
    </row>
    <row r="9793" spans="13:13" x14ac:dyDescent="0.25">
      <c r="M9793" s="514"/>
    </row>
    <row r="9794" spans="13:13" x14ac:dyDescent="0.25">
      <c r="M9794" s="514"/>
    </row>
    <row r="9795" spans="13:13" x14ac:dyDescent="0.25">
      <c r="M9795" s="514"/>
    </row>
    <row r="9796" spans="13:13" x14ac:dyDescent="0.25">
      <c r="M9796" s="514"/>
    </row>
    <row r="9797" spans="13:13" x14ac:dyDescent="0.25">
      <c r="M9797" s="514"/>
    </row>
    <row r="9798" spans="13:13" x14ac:dyDescent="0.25">
      <c r="M9798" s="514"/>
    </row>
    <row r="9799" spans="13:13" x14ac:dyDescent="0.25">
      <c r="M9799" s="514"/>
    </row>
    <row r="9800" spans="13:13" x14ac:dyDescent="0.25">
      <c r="M9800" s="514"/>
    </row>
    <row r="9801" spans="13:13" x14ac:dyDescent="0.25">
      <c r="M9801" s="514"/>
    </row>
    <row r="9802" spans="13:13" x14ac:dyDescent="0.25">
      <c r="M9802" s="514"/>
    </row>
    <row r="9803" spans="13:13" x14ac:dyDescent="0.25">
      <c r="M9803" s="514"/>
    </row>
    <row r="9804" spans="13:13" x14ac:dyDescent="0.25">
      <c r="M9804" s="514"/>
    </row>
    <row r="9805" spans="13:13" x14ac:dyDescent="0.25">
      <c r="M9805" s="514"/>
    </row>
    <row r="9806" spans="13:13" x14ac:dyDescent="0.25">
      <c r="M9806" s="514"/>
    </row>
    <row r="9807" spans="13:13" x14ac:dyDescent="0.25">
      <c r="M9807" s="514"/>
    </row>
    <row r="9808" spans="13:13" x14ac:dyDescent="0.25">
      <c r="M9808" s="514"/>
    </row>
    <row r="9809" spans="13:13" x14ac:dyDescent="0.25">
      <c r="M9809" s="514"/>
    </row>
    <row r="9810" spans="13:13" x14ac:dyDescent="0.25">
      <c r="M9810" s="514"/>
    </row>
    <row r="9811" spans="13:13" x14ac:dyDescent="0.25">
      <c r="M9811" s="514"/>
    </row>
    <row r="9812" spans="13:13" x14ac:dyDescent="0.25">
      <c r="M9812" s="514"/>
    </row>
    <row r="9813" spans="13:13" x14ac:dyDescent="0.25">
      <c r="M9813" s="514"/>
    </row>
    <row r="9814" spans="13:13" x14ac:dyDescent="0.25">
      <c r="M9814" s="514"/>
    </row>
    <row r="9815" spans="13:13" x14ac:dyDescent="0.25">
      <c r="M9815" s="514"/>
    </row>
    <row r="9816" spans="13:13" x14ac:dyDescent="0.25">
      <c r="M9816" s="514"/>
    </row>
    <row r="9817" spans="13:13" x14ac:dyDescent="0.25">
      <c r="M9817" s="514"/>
    </row>
    <row r="9818" spans="13:13" x14ac:dyDescent="0.25">
      <c r="M9818" s="514"/>
    </row>
    <row r="9819" spans="13:13" x14ac:dyDescent="0.25">
      <c r="M9819" s="514"/>
    </row>
    <row r="9820" spans="13:13" x14ac:dyDescent="0.25">
      <c r="M9820" s="514"/>
    </row>
    <row r="9821" spans="13:13" x14ac:dyDescent="0.25">
      <c r="M9821" s="514"/>
    </row>
    <row r="9822" spans="13:13" x14ac:dyDescent="0.25">
      <c r="M9822" s="514"/>
    </row>
    <row r="9823" spans="13:13" x14ac:dyDescent="0.25">
      <c r="M9823" s="514"/>
    </row>
    <row r="9824" spans="13:13" x14ac:dyDescent="0.25">
      <c r="M9824" s="514"/>
    </row>
    <row r="9825" spans="13:13" x14ac:dyDescent="0.25">
      <c r="M9825" s="514"/>
    </row>
    <row r="9826" spans="13:13" x14ac:dyDescent="0.25">
      <c r="M9826" s="514"/>
    </row>
    <row r="9827" spans="13:13" x14ac:dyDescent="0.25">
      <c r="M9827" s="514"/>
    </row>
    <row r="9828" spans="13:13" x14ac:dyDescent="0.25">
      <c r="M9828" s="514"/>
    </row>
    <row r="9829" spans="13:13" x14ac:dyDescent="0.25">
      <c r="M9829" s="514"/>
    </row>
    <row r="9830" spans="13:13" x14ac:dyDescent="0.25">
      <c r="M9830" s="514"/>
    </row>
    <row r="9831" spans="13:13" x14ac:dyDescent="0.25">
      <c r="M9831" s="514"/>
    </row>
    <row r="9832" spans="13:13" x14ac:dyDescent="0.25">
      <c r="M9832" s="514"/>
    </row>
    <row r="9833" spans="13:13" x14ac:dyDescent="0.25">
      <c r="M9833" s="514"/>
    </row>
    <row r="9834" spans="13:13" x14ac:dyDescent="0.25">
      <c r="M9834" s="514"/>
    </row>
    <row r="9835" spans="13:13" x14ac:dyDescent="0.25">
      <c r="M9835" s="514"/>
    </row>
    <row r="9836" spans="13:13" x14ac:dyDescent="0.25">
      <c r="M9836" s="514"/>
    </row>
    <row r="9837" spans="13:13" x14ac:dyDescent="0.25">
      <c r="M9837" s="514"/>
    </row>
    <row r="9838" spans="13:13" x14ac:dyDescent="0.25">
      <c r="M9838" s="514"/>
    </row>
    <row r="9839" spans="13:13" x14ac:dyDescent="0.25">
      <c r="M9839" s="514"/>
    </row>
    <row r="9840" spans="13:13" x14ac:dyDescent="0.25">
      <c r="M9840" s="514"/>
    </row>
    <row r="9841" spans="13:13" x14ac:dyDescent="0.25">
      <c r="M9841" s="514"/>
    </row>
    <row r="9842" spans="13:13" x14ac:dyDescent="0.25">
      <c r="M9842" s="514"/>
    </row>
    <row r="9843" spans="13:13" x14ac:dyDescent="0.25">
      <c r="M9843" s="514"/>
    </row>
    <row r="9844" spans="13:13" x14ac:dyDescent="0.25">
      <c r="M9844" s="514"/>
    </row>
    <row r="9845" spans="13:13" x14ac:dyDescent="0.25">
      <c r="M9845" s="514"/>
    </row>
    <row r="9846" spans="13:13" x14ac:dyDescent="0.25">
      <c r="M9846" s="514"/>
    </row>
    <row r="9847" spans="13:13" x14ac:dyDescent="0.25">
      <c r="M9847" s="514"/>
    </row>
    <row r="9848" spans="13:13" x14ac:dyDescent="0.25">
      <c r="M9848" s="514"/>
    </row>
    <row r="9849" spans="13:13" x14ac:dyDescent="0.25">
      <c r="M9849" s="514"/>
    </row>
    <row r="9850" spans="13:13" x14ac:dyDescent="0.25">
      <c r="M9850" s="514"/>
    </row>
    <row r="9851" spans="13:13" x14ac:dyDescent="0.25">
      <c r="M9851" s="514"/>
    </row>
    <row r="9852" spans="13:13" x14ac:dyDescent="0.25">
      <c r="M9852" s="514"/>
    </row>
    <row r="9853" spans="13:13" x14ac:dyDescent="0.25">
      <c r="M9853" s="514"/>
    </row>
    <row r="9854" spans="13:13" x14ac:dyDescent="0.25">
      <c r="M9854" s="514"/>
    </row>
    <row r="9855" spans="13:13" x14ac:dyDescent="0.25">
      <c r="M9855" s="514"/>
    </row>
    <row r="9856" spans="13:13" x14ac:dyDescent="0.25">
      <c r="M9856" s="514"/>
    </row>
    <row r="9857" spans="13:13" x14ac:dyDescent="0.25">
      <c r="M9857" s="514"/>
    </row>
    <row r="9858" spans="13:13" x14ac:dyDescent="0.25">
      <c r="M9858" s="514"/>
    </row>
    <row r="9859" spans="13:13" x14ac:dyDescent="0.25">
      <c r="M9859" s="514"/>
    </row>
    <row r="9860" spans="13:13" x14ac:dyDescent="0.25">
      <c r="M9860" s="514"/>
    </row>
    <row r="9861" spans="13:13" x14ac:dyDescent="0.25">
      <c r="M9861" s="514"/>
    </row>
    <row r="9862" spans="13:13" x14ac:dyDescent="0.25">
      <c r="M9862" s="514"/>
    </row>
    <row r="9863" spans="13:13" x14ac:dyDescent="0.25">
      <c r="M9863" s="514"/>
    </row>
    <row r="9864" spans="13:13" x14ac:dyDescent="0.25">
      <c r="M9864" s="514"/>
    </row>
    <row r="9865" spans="13:13" x14ac:dyDescent="0.25">
      <c r="M9865" s="514"/>
    </row>
    <row r="9866" spans="13:13" x14ac:dyDescent="0.25">
      <c r="M9866" s="514"/>
    </row>
    <row r="9867" spans="13:13" x14ac:dyDescent="0.25">
      <c r="M9867" s="514"/>
    </row>
    <row r="9868" spans="13:13" x14ac:dyDescent="0.25">
      <c r="M9868" s="514"/>
    </row>
    <row r="9869" spans="13:13" x14ac:dyDescent="0.25">
      <c r="M9869" s="514"/>
    </row>
    <row r="9870" spans="13:13" x14ac:dyDescent="0.25">
      <c r="M9870" s="514"/>
    </row>
    <row r="9871" spans="13:13" x14ac:dyDescent="0.25">
      <c r="M9871" s="514"/>
    </row>
    <row r="9872" spans="13:13" x14ac:dyDescent="0.25">
      <c r="M9872" s="514"/>
    </row>
    <row r="9873" spans="13:13" x14ac:dyDescent="0.25">
      <c r="M9873" s="514"/>
    </row>
    <row r="9874" spans="13:13" x14ac:dyDescent="0.25">
      <c r="M9874" s="514"/>
    </row>
    <row r="9875" spans="13:13" x14ac:dyDescent="0.25">
      <c r="M9875" s="514"/>
    </row>
    <row r="9876" spans="13:13" x14ac:dyDescent="0.25">
      <c r="M9876" s="514"/>
    </row>
    <row r="9877" spans="13:13" x14ac:dyDescent="0.25">
      <c r="M9877" s="514"/>
    </row>
    <row r="9878" spans="13:13" x14ac:dyDescent="0.25">
      <c r="M9878" s="514"/>
    </row>
    <row r="9879" spans="13:13" x14ac:dyDescent="0.25">
      <c r="M9879" s="514"/>
    </row>
    <row r="9880" spans="13:13" x14ac:dyDescent="0.25">
      <c r="M9880" s="514"/>
    </row>
    <row r="9881" spans="13:13" x14ac:dyDescent="0.25">
      <c r="M9881" s="514"/>
    </row>
    <row r="9882" spans="13:13" x14ac:dyDescent="0.25">
      <c r="M9882" s="514"/>
    </row>
    <row r="9883" spans="13:13" x14ac:dyDescent="0.25">
      <c r="M9883" s="514"/>
    </row>
    <row r="9884" spans="13:13" x14ac:dyDescent="0.25">
      <c r="M9884" s="514"/>
    </row>
    <row r="9885" spans="13:13" x14ac:dyDescent="0.25">
      <c r="M9885" s="514"/>
    </row>
    <row r="9886" spans="13:13" x14ac:dyDescent="0.25">
      <c r="M9886" s="514"/>
    </row>
    <row r="9887" spans="13:13" x14ac:dyDescent="0.25">
      <c r="M9887" s="514"/>
    </row>
    <row r="9888" spans="13:13" x14ac:dyDescent="0.25">
      <c r="M9888" s="514"/>
    </row>
    <row r="9889" spans="13:13" x14ac:dyDescent="0.25">
      <c r="M9889" s="514"/>
    </row>
    <row r="9890" spans="13:13" x14ac:dyDescent="0.25">
      <c r="M9890" s="514"/>
    </row>
    <row r="9891" spans="13:13" x14ac:dyDescent="0.25">
      <c r="M9891" s="514"/>
    </row>
    <row r="9892" spans="13:13" x14ac:dyDescent="0.25">
      <c r="M9892" s="514"/>
    </row>
    <row r="9893" spans="13:13" x14ac:dyDescent="0.25">
      <c r="M9893" s="514"/>
    </row>
    <row r="9894" spans="13:13" x14ac:dyDescent="0.25">
      <c r="M9894" s="514"/>
    </row>
    <row r="9895" spans="13:13" x14ac:dyDescent="0.25">
      <c r="M9895" s="514"/>
    </row>
    <row r="9896" spans="13:13" x14ac:dyDescent="0.25">
      <c r="M9896" s="514"/>
    </row>
    <row r="9897" spans="13:13" x14ac:dyDescent="0.25">
      <c r="M9897" s="514"/>
    </row>
    <row r="9898" spans="13:13" x14ac:dyDescent="0.25">
      <c r="M9898" s="514"/>
    </row>
    <row r="9899" spans="13:13" x14ac:dyDescent="0.25">
      <c r="M9899" s="514"/>
    </row>
    <row r="9900" spans="13:13" x14ac:dyDescent="0.25">
      <c r="M9900" s="514"/>
    </row>
    <row r="9901" spans="13:13" x14ac:dyDescent="0.25">
      <c r="M9901" s="514"/>
    </row>
    <row r="9902" spans="13:13" x14ac:dyDescent="0.25">
      <c r="M9902" s="514"/>
    </row>
    <row r="9903" spans="13:13" x14ac:dyDescent="0.25">
      <c r="M9903" s="514"/>
    </row>
    <row r="9904" spans="13:13" x14ac:dyDescent="0.25">
      <c r="M9904" s="514"/>
    </row>
    <row r="9905" spans="13:13" x14ac:dyDescent="0.25">
      <c r="M9905" s="514"/>
    </row>
    <row r="9906" spans="13:13" x14ac:dyDescent="0.25">
      <c r="M9906" s="514"/>
    </row>
    <row r="9907" spans="13:13" x14ac:dyDescent="0.25">
      <c r="M9907" s="514"/>
    </row>
    <row r="9908" spans="13:13" x14ac:dyDescent="0.25">
      <c r="M9908" s="514"/>
    </row>
    <row r="9909" spans="13:13" x14ac:dyDescent="0.25">
      <c r="M9909" s="514"/>
    </row>
    <row r="9910" spans="13:13" x14ac:dyDescent="0.25">
      <c r="M9910" s="514"/>
    </row>
    <row r="9911" spans="13:13" x14ac:dyDescent="0.25">
      <c r="M9911" s="514"/>
    </row>
    <row r="9912" spans="13:13" x14ac:dyDescent="0.25">
      <c r="M9912" s="514"/>
    </row>
    <row r="9913" spans="13:13" x14ac:dyDescent="0.25">
      <c r="M9913" s="514"/>
    </row>
    <row r="9914" spans="13:13" x14ac:dyDescent="0.25">
      <c r="M9914" s="514"/>
    </row>
    <row r="9915" spans="13:13" x14ac:dyDescent="0.25">
      <c r="M9915" s="514"/>
    </row>
    <row r="9916" spans="13:13" x14ac:dyDescent="0.25">
      <c r="M9916" s="514"/>
    </row>
    <row r="9917" spans="13:13" x14ac:dyDescent="0.25">
      <c r="M9917" s="514"/>
    </row>
    <row r="9918" spans="13:13" x14ac:dyDescent="0.25">
      <c r="M9918" s="514"/>
    </row>
    <row r="9919" spans="13:13" x14ac:dyDescent="0.25">
      <c r="M9919" s="514"/>
    </row>
    <row r="9920" spans="13:13" x14ac:dyDescent="0.25">
      <c r="M9920" s="514"/>
    </row>
    <row r="9921" spans="13:13" x14ac:dyDescent="0.25">
      <c r="M9921" s="514"/>
    </row>
    <row r="9922" spans="13:13" x14ac:dyDescent="0.25">
      <c r="M9922" s="514"/>
    </row>
    <row r="9923" spans="13:13" x14ac:dyDescent="0.25">
      <c r="M9923" s="514"/>
    </row>
    <row r="9924" spans="13:13" x14ac:dyDescent="0.25">
      <c r="M9924" s="514"/>
    </row>
    <row r="9925" spans="13:13" x14ac:dyDescent="0.25">
      <c r="M9925" s="514"/>
    </row>
    <row r="9926" spans="13:13" x14ac:dyDescent="0.25">
      <c r="M9926" s="514"/>
    </row>
    <row r="9927" spans="13:13" x14ac:dyDescent="0.25">
      <c r="M9927" s="514"/>
    </row>
    <row r="9928" spans="13:13" x14ac:dyDescent="0.25">
      <c r="M9928" s="514"/>
    </row>
    <row r="9929" spans="13:13" x14ac:dyDescent="0.25">
      <c r="M9929" s="514"/>
    </row>
    <row r="9930" spans="13:13" x14ac:dyDescent="0.25">
      <c r="M9930" s="514"/>
    </row>
    <row r="9931" spans="13:13" x14ac:dyDescent="0.25">
      <c r="M9931" s="514"/>
    </row>
    <row r="9932" spans="13:13" x14ac:dyDescent="0.25">
      <c r="M9932" s="514"/>
    </row>
    <row r="9933" spans="13:13" x14ac:dyDescent="0.25">
      <c r="M9933" s="514"/>
    </row>
    <row r="9934" spans="13:13" x14ac:dyDescent="0.25">
      <c r="M9934" s="514"/>
    </row>
    <row r="9935" spans="13:13" x14ac:dyDescent="0.25">
      <c r="M9935" s="514"/>
    </row>
    <row r="9936" spans="13:13" x14ac:dyDescent="0.25">
      <c r="M9936" s="514"/>
    </row>
    <row r="9937" spans="13:13" x14ac:dyDescent="0.25">
      <c r="M9937" s="514"/>
    </row>
    <row r="9938" spans="13:13" x14ac:dyDescent="0.25">
      <c r="M9938" s="514"/>
    </row>
    <row r="9939" spans="13:13" x14ac:dyDescent="0.25">
      <c r="M9939" s="514"/>
    </row>
    <row r="9940" spans="13:13" x14ac:dyDescent="0.25">
      <c r="M9940" s="514"/>
    </row>
    <row r="9941" spans="13:13" x14ac:dyDescent="0.25">
      <c r="M9941" s="514"/>
    </row>
    <row r="9942" spans="13:13" x14ac:dyDescent="0.25">
      <c r="M9942" s="514"/>
    </row>
    <row r="9943" spans="13:13" x14ac:dyDescent="0.25">
      <c r="M9943" s="514"/>
    </row>
    <row r="9944" spans="13:13" x14ac:dyDescent="0.25">
      <c r="M9944" s="514"/>
    </row>
    <row r="9945" spans="13:13" x14ac:dyDescent="0.25">
      <c r="M9945" s="514"/>
    </row>
    <row r="9946" spans="13:13" x14ac:dyDescent="0.25">
      <c r="M9946" s="514"/>
    </row>
    <row r="9947" spans="13:13" x14ac:dyDescent="0.25">
      <c r="M9947" s="514"/>
    </row>
    <row r="9948" spans="13:13" x14ac:dyDescent="0.25">
      <c r="M9948" s="514"/>
    </row>
    <row r="9949" spans="13:13" x14ac:dyDescent="0.25">
      <c r="M9949" s="514"/>
    </row>
    <row r="9950" spans="13:13" x14ac:dyDescent="0.25">
      <c r="M9950" s="514"/>
    </row>
    <row r="9951" spans="13:13" x14ac:dyDescent="0.25">
      <c r="M9951" s="514"/>
    </row>
    <row r="9952" spans="13:13" x14ac:dyDescent="0.25">
      <c r="M9952" s="514"/>
    </row>
    <row r="9953" spans="13:13" x14ac:dyDescent="0.25">
      <c r="M9953" s="514"/>
    </row>
    <row r="9954" spans="13:13" x14ac:dyDescent="0.25">
      <c r="M9954" s="514"/>
    </row>
    <row r="9955" spans="13:13" x14ac:dyDescent="0.25">
      <c r="M9955" s="514"/>
    </row>
    <row r="9956" spans="13:13" x14ac:dyDescent="0.25">
      <c r="M9956" s="514"/>
    </row>
    <row r="9957" spans="13:13" x14ac:dyDescent="0.25">
      <c r="M9957" s="514"/>
    </row>
    <row r="9958" spans="13:13" x14ac:dyDescent="0.25">
      <c r="M9958" s="514"/>
    </row>
    <row r="9959" spans="13:13" x14ac:dyDescent="0.25">
      <c r="M9959" s="514"/>
    </row>
    <row r="9960" spans="13:13" x14ac:dyDescent="0.25">
      <c r="M9960" s="514"/>
    </row>
    <row r="9961" spans="13:13" x14ac:dyDescent="0.25">
      <c r="M9961" s="514"/>
    </row>
    <row r="9962" spans="13:13" x14ac:dyDescent="0.25">
      <c r="M9962" s="514"/>
    </row>
    <row r="9963" spans="13:13" x14ac:dyDescent="0.25">
      <c r="M9963" s="514"/>
    </row>
    <row r="9964" spans="13:13" x14ac:dyDescent="0.25">
      <c r="M9964" s="514"/>
    </row>
    <row r="9965" spans="13:13" x14ac:dyDescent="0.25">
      <c r="M9965" s="514"/>
    </row>
    <row r="9966" spans="13:13" x14ac:dyDescent="0.25">
      <c r="M9966" s="514"/>
    </row>
    <row r="9967" spans="13:13" x14ac:dyDescent="0.25">
      <c r="M9967" s="514"/>
    </row>
    <row r="9968" spans="13:13" x14ac:dyDescent="0.25">
      <c r="M9968" s="514"/>
    </row>
    <row r="9969" spans="13:13" x14ac:dyDescent="0.25">
      <c r="M9969" s="514"/>
    </row>
    <row r="9970" spans="13:13" x14ac:dyDescent="0.25">
      <c r="M9970" s="514"/>
    </row>
    <row r="9971" spans="13:13" x14ac:dyDescent="0.25">
      <c r="M9971" s="514"/>
    </row>
    <row r="9972" spans="13:13" x14ac:dyDescent="0.25">
      <c r="M9972" s="514"/>
    </row>
    <row r="9973" spans="13:13" x14ac:dyDescent="0.25">
      <c r="M9973" s="514"/>
    </row>
    <row r="9974" spans="13:13" x14ac:dyDescent="0.25">
      <c r="M9974" s="514"/>
    </row>
    <row r="9975" spans="13:13" x14ac:dyDescent="0.25">
      <c r="M9975" s="514"/>
    </row>
    <row r="9976" spans="13:13" x14ac:dyDescent="0.25">
      <c r="M9976" s="514"/>
    </row>
    <row r="9977" spans="13:13" x14ac:dyDescent="0.25">
      <c r="M9977" s="514"/>
    </row>
    <row r="9978" spans="13:13" x14ac:dyDescent="0.25">
      <c r="M9978" s="514"/>
    </row>
    <row r="9979" spans="13:13" x14ac:dyDescent="0.25">
      <c r="M9979" s="514"/>
    </row>
    <row r="9980" spans="13:13" x14ac:dyDescent="0.25">
      <c r="M9980" s="514"/>
    </row>
    <row r="9981" spans="13:13" x14ac:dyDescent="0.25">
      <c r="M9981" s="514"/>
    </row>
    <row r="9982" spans="13:13" x14ac:dyDescent="0.25">
      <c r="M9982" s="514"/>
    </row>
    <row r="9983" spans="13:13" x14ac:dyDescent="0.25">
      <c r="M9983" s="514"/>
    </row>
    <row r="9984" spans="13:13" x14ac:dyDescent="0.25">
      <c r="M9984" s="514"/>
    </row>
    <row r="9985" spans="13:13" x14ac:dyDescent="0.25">
      <c r="M9985" s="514"/>
    </row>
    <row r="9986" spans="13:13" x14ac:dyDescent="0.25">
      <c r="M9986" s="514"/>
    </row>
    <row r="9987" spans="13:13" x14ac:dyDescent="0.25">
      <c r="M9987" s="514"/>
    </row>
    <row r="9988" spans="13:13" x14ac:dyDescent="0.25">
      <c r="M9988" s="514"/>
    </row>
    <row r="9989" spans="13:13" x14ac:dyDescent="0.25">
      <c r="M9989" s="514"/>
    </row>
    <row r="9990" spans="13:13" x14ac:dyDescent="0.25">
      <c r="M9990" s="514"/>
    </row>
    <row r="9991" spans="13:13" x14ac:dyDescent="0.25">
      <c r="M9991" s="514"/>
    </row>
    <row r="9992" spans="13:13" x14ac:dyDescent="0.25">
      <c r="M9992" s="514"/>
    </row>
    <row r="9993" spans="13:13" x14ac:dyDescent="0.25">
      <c r="M9993" s="514"/>
    </row>
    <row r="9994" spans="13:13" x14ac:dyDescent="0.25">
      <c r="M9994" s="514"/>
    </row>
    <row r="9995" spans="13:13" x14ac:dyDescent="0.25">
      <c r="M9995" s="514"/>
    </row>
    <row r="9996" spans="13:13" x14ac:dyDescent="0.25">
      <c r="M9996" s="514"/>
    </row>
    <row r="9997" spans="13:13" x14ac:dyDescent="0.25">
      <c r="M9997" s="514"/>
    </row>
    <row r="9998" spans="13:13" x14ac:dyDescent="0.25">
      <c r="M9998" s="514"/>
    </row>
    <row r="9999" spans="13:13" x14ac:dyDescent="0.25">
      <c r="M9999" s="514"/>
    </row>
    <row r="10000" spans="13:13" x14ac:dyDescent="0.25">
      <c r="M10000" s="514"/>
    </row>
    <row r="10001" spans="13:13" x14ac:dyDescent="0.25">
      <c r="M10001" s="514"/>
    </row>
    <row r="10002" spans="13:13" x14ac:dyDescent="0.25">
      <c r="M10002" s="514"/>
    </row>
    <row r="10003" spans="13:13" x14ac:dyDescent="0.25">
      <c r="M10003" s="514"/>
    </row>
    <row r="10004" spans="13:13" x14ac:dyDescent="0.25">
      <c r="M10004" s="514"/>
    </row>
    <row r="10005" spans="13:13" x14ac:dyDescent="0.25">
      <c r="M10005" s="514"/>
    </row>
    <row r="10006" spans="13:13" x14ac:dyDescent="0.25">
      <c r="M10006" s="514"/>
    </row>
    <row r="10007" spans="13:13" x14ac:dyDescent="0.25">
      <c r="M10007" s="514"/>
    </row>
    <row r="10008" spans="13:13" x14ac:dyDescent="0.25">
      <c r="M10008" s="514"/>
    </row>
    <row r="10009" spans="13:13" x14ac:dyDescent="0.25">
      <c r="M10009" s="514"/>
    </row>
    <row r="10010" spans="13:13" x14ac:dyDescent="0.25">
      <c r="M10010" s="514"/>
    </row>
    <row r="10011" spans="13:13" x14ac:dyDescent="0.25">
      <c r="M10011" s="514"/>
    </row>
    <row r="10012" spans="13:13" x14ac:dyDescent="0.25">
      <c r="M10012" s="514"/>
    </row>
    <row r="10013" spans="13:13" x14ac:dyDescent="0.25">
      <c r="M10013" s="514"/>
    </row>
    <row r="10014" spans="13:13" x14ac:dyDescent="0.25">
      <c r="M10014" s="514"/>
    </row>
    <row r="10015" spans="13:13" x14ac:dyDescent="0.25">
      <c r="M10015" s="514"/>
    </row>
    <row r="10016" spans="13:13" x14ac:dyDescent="0.25">
      <c r="M10016" s="514"/>
    </row>
    <row r="10017" spans="13:13" x14ac:dyDescent="0.25">
      <c r="M10017" s="514"/>
    </row>
    <row r="10018" spans="13:13" x14ac:dyDescent="0.25">
      <c r="M10018" s="514"/>
    </row>
    <row r="10019" spans="13:13" x14ac:dyDescent="0.25">
      <c r="M10019" s="514"/>
    </row>
    <row r="10020" spans="13:13" x14ac:dyDescent="0.25">
      <c r="M10020" s="514"/>
    </row>
    <row r="10021" spans="13:13" x14ac:dyDescent="0.25">
      <c r="M10021" s="514"/>
    </row>
    <row r="10022" spans="13:13" x14ac:dyDescent="0.25">
      <c r="M10022" s="514"/>
    </row>
    <row r="10023" spans="13:13" x14ac:dyDescent="0.25">
      <c r="M10023" s="514"/>
    </row>
    <row r="10024" spans="13:13" x14ac:dyDescent="0.25">
      <c r="M10024" s="514"/>
    </row>
    <row r="10025" spans="13:13" x14ac:dyDescent="0.25">
      <c r="M10025" s="514"/>
    </row>
    <row r="10026" spans="13:13" x14ac:dyDescent="0.25">
      <c r="M10026" s="514"/>
    </row>
    <row r="10027" spans="13:13" x14ac:dyDescent="0.25">
      <c r="M10027" s="514"/>
    </row>
    <row r="10028" spans="13:13" x14ac:dyDescent="0.25">
      <c r="M10028" s="514"/>
    </row>
    <row r="10029" spans="13:13" x14ac:dyDescent="0.25">
      <c r="M10029" s="514"/>
    </row>
    <row r="10030" spans="13:13" x14ac:dyDescent="0.25">
      <c r="M10030" s="514"/>
    </row>
    <row r="10031" spans="13:13" x14ac:dyDescent="0.25">
      <c r="M10031" s="514"/>
    </row>
    <row r="10032" spans="13:13" x14ac:dyDescent="0.25">
      <c r="M10032" s="514"/>
    </row>
    <row r="10033" spans="13:13" x14ac:dyDescent="0.25">
      <c r="M10033" s="514"/>
    </row>
    <row r="10034" spans="13:13" x14ac:dyDescent="0.25">
      <c r="M10034" s="514"/>
    </row>
    <row r="10035" spans="13:13" x14ac:dyDescent="0.25">
      <c r="M10035" s="514"/>
    </row>
    <row r="10036" spans="13:13" x14ac:dyDescent="0.25">
      <c r="M10036" s="514"/>
    </row>
    <row r="10037" spans="13:13" x14ac:dyDescent="0.25">
      <c r="M10037" s="514"/>
    </row>
    <row r="10038" spans="13:13" x14ac:dyDescent="0.25">
      <c r="M10038" s="514"/>
    </row>
    <row r="10039" spans="13:13" x14ac:dyDescent="0.25">
      <c r="M10039" s="514"/>
    </row>
    <row r="10040" spans="13:13" x14ac:dyDescent="0.25">
      <c r="M10040" s="514"/>
    </row>
    <row r="10041" spans="13:13" x14ac:dyDescent="0.25">
      <c r="M10041" s="514"/>
    </row>
    <row r="10042" spans="13:13" x14ac:dyDescent="0.25">
      <c r="M10042" s="514"/>
    </row>
    <row r="10043" spans="13:13" x14ac:dyDescent="0.25">
      <c r="M10043" s="514"/>
    </row>
    <row r="10044" spans="13:13" x14ac:dyDescent="0.25">
      <c r="M10044" s="514"/>
    </row>
    <row r="10045" spans="13:13" x14ac:dyDescent="0.25">
      <c r="M10045" s="514"/>
    </row>
    <row r="10046" spans="13:13" x14ac:dyDescent="0.25">
      <c r="M10046" s="514"/>
    </row>
    <row r="10047" spans="13:13" x14ac:dyDescent="0.25">
      <c r="M10047" s="514"/>
    </row>
    <row r="10048" spans="13:13" x14ac:dyDescent="0.25">
      <c r="M10048" s="514"/>
    </row>
    <row r="10049" spans="13:13" x14ac:dyDescent="0.25">
      <c r="M10049" s="514"/>
    </row>
    <row r="10050" spans="13:13" x14ac:dyDescent="0.25">
      <c r="M10050" s="514"/>
    </row>
    <row r="10051" spans="13:13" x14ac:dyDescent="0.25">
      <c r="M10051" s="514"/>
    </row>
    <row r="10052" spans="13:13" x14ac:dyDescent="0.25">
      <c r="M10052" s="514"/>
    </row>
    <row r="10053" spans="13:13" x14ac:dyDescent="0.25">
      <c r="M10053" s="514"/>
    </row>
    <row r="10054" spans="13:13" x14ac:dyDescent="0.25">
      <c r="M10054" s="514"/>
    </row>
    <row r="10055" spans="13:13" x14ac:dyDescent="0.25">
      <c r="M10055" s="514"/>
    </row>
    <row r="10056" spans="13:13" x14ac:dyDescent="0.25">
      <c r="M10056" s="514"/>
    </row>
    <row r="10057" spans="13:13" x14ac:dyDescent="0.25">
      <c r="M10057" s="514"/>
    </row>
    <row r="10058" spans="13:13" x14ac:dyDescent="0.25">
      <c r="M10058" s="514"/>
    </row>
    <row r="10059" spans="13:13" x14ac:dyDescent="0.25">
      <c r="M10059" s="514"/>
    </row>
    <row r="10060" spans="13:13" x14ac:dyDescent="0.25">
      <c r="M10060" s="514"/>
    </row>
    <row r="10061" spans="13:13" x14ac:dyDescent="0.25">
      <c r="M10061" s="514"/>
    </row>
    <row r="10062" spans="13:13" x14ac:dyDescent="0.25">
      <c r="M10062" s="514"/>
    </row>
    <row r="10063" spans="13:13" x14ac:dyDescent="0.25">
      <c r="M10063" s="514"/>
    </row>
    <row r="10064" spans="13:13" x14ac:dyDescent="0.25">
      <c r="M10064" s="514"/>
    </row>
    <row r="10065" spans="13:13" x14ac:dyDescent="0.25">
      <c r="M10065" s="514"/>
    </row>
    <row r="10066" spans="13:13" x14ac:dyDescent="0.25">
      <c r="M10066" s="514"/>
    </row>
    <row r="10067" spans="13:13" x14ac:dyDescent="0.25">
      <c r="M10067" s="514"/>
    </row>
    <row r="10068" spans="13:13" x14ac:dyDescent="0.25">
      <c r="M10068" s="514"/>
    </row>
    <row r="10069" spans="13:13" x14ac:dyDescent="0.25">
      <c r="M10069" s="514"/>
    </row>
    <row r="10070" spans="13:13" x14ac:dyDescent="0.25">
      <c r="M10070" s="514"/>
    </row>
    <row r="10071" spans="13:13" x14ac:dyDescent="0.25">
      <c r="M10071" s="514"/>
    </row>
    <row r="10072" spans="13:13" x14ac:dyDescent="0.25">
      <c r="M10072" s="514"/>
    </row>
    <row r="10073" spans="13:13" x14ac:dyDescent="0.25">
      <c r="M10073" s="514"/>
    </row>
    <row r="10074" spans="13:13" x14ac:dyDescent="0.25">
      <c r="M10074" s="514"/>
    </row>
    <row r="10075" spans="13:13" x14ac:dyDescent="0.25">
      <c r="M10075" s="514"/>
    </row>
    <row r="10076" spans="13:13" x14ac:dyDescent="0.25">
      <c r="M10076" s="514"/>
    </row>
    <row r="10077" spans="13:13" x14ac:dyDescent="0.25">
      <c r="M10077" s="514"/>
    </row>
    <row r="10078" spans="13:13" x14ac:dyDescent="0.25">
      <c r="M10078" s="514"/>
    </row>
    <row r="10079" spans="13:13" x14ac:dyDescent="0.25">
      <c r="M10079" s="514"/>
    </row>
    <row r="10080" spans="13:13" x14ac:dyDescent="0.25">
      <c r="M10080" s="514"/>
    </row>
    <row r="10081" spans="13:13" x14ac:dyDescent="0.25">
      <c r="M10081" s="514"/>
    </row>
    <row r="10082" spans="13:13" x14ac:dyDescent="0.25">
      <c r="M10082" s="514"/>
    </row>
    <row r="10083" spans="13:13" x14ac:dyDescent="0.25">
      <c r="M10083" s="514"/>
    </row>
    <row r="10084" spans="13:13" x14ac:dyDescent="0.25">
      <c r="M10084" s="514"/>
    </row>
    <row r="10085" spans="13:13" x14ac:dyDescent="0.25">
      <c r="M10085" s="514"/>
    </row>
    <row r="10086" spans="13:13" x14ac:dyDescent="0.25">
      <c r="M10086" s="514"/>
    </row>
    <row r="10087" spans="13:13" x14ac:dyDescent="0.25">
      <c r="M10087" s="514"/>
    </row>
    <row r="10088" spans="13:13" x14ac:dyDescent="0.25">
      <c r="M10088" s="514"/>
    </row>
    <row r="10089" spans="13:13" x14ac:dyDescent="0.25">
      <c r="M10089" s="514"/>
    </row>
    <row r="10090" spans="13:13" x14ac:dyDescent="0.25">
      <c r="M10090" s="514"/>
    </row>
    <row r="10091" spans="13:13" x14ac:dyDescent="0.25">
      <c r="M10091" s="514"/>
    </row>
    <row r="10092" spans="13:13" x14ac:dyDescent="0.25">
      <c r="M10092" s="514"/>
    </row>
    <row r="10093" spans="13:13" x14ac:dyDescent="0.25">
      <c r="M10093" s="514"/>
    </row>
    <row r="10094" spans="13:13" x14ac:dyDescent="0.25">
      <c r="M10094" s="514"/>
    </row>
    <row r="10095" spans="13:13" x14ac:dyDescent="0.25">
      <c r="M10095" s="514"/>
    </row>
    <row r="10096" spans="13:13" x14ac:dyDescent="0.25">
      <c r="M10096" s="514"/>
    </row>
    <row r="10097" spans="13:13" x14ac:dyDescent="0.25">
      <c r="M10097" s="514"/>
    </row>
    <row r="10098" spans="13:13" x14ac:dyDescent="0.25">
      <c r="M10098" s="514"/>
    </row>
    <row r="10099" spans="13:13" x14ac:dyDescent="0.25">
      <c r="M10099" s="514"/>
    </row>
    <row r="10100" spans="13:13" x14ac:dyDescent="0.25">
      <c r="M10100" s="514"/>
    </row>
    <row r="10101" spans="13:13" x14ac:dyDescent="0.25">
      <c r="M10101" s="514"/>
    </row>
    <row r="10102" spans="13:13" x14ac:dyDescent="0.25">
      <c r="M10102" s="514"/>
    </row>
    <row r="10103" spans="13:13" x14ac:dyDescent="0.25">
      <c r="M10103" s="514"/>
    </row>
    <row r="10104" spans="13:13" x14ac:dyDescent="0.25">
      <c r="M10104" s="514"/>
    </row>
    <row r="10105" spans="13:13" x14ac:dyDescent="0.25">
      <c r="M10105" s="514"/>
    </row>
    <row r="10106" spans="13:13" x14ac:dyDescent="0.25">
      <c r="M10106" s="514"/>
    </row>
    <row r="10107" spans="13:13" x14ac:dyDescent="0.25">
      <c r="M10107" s="514"/>
    </row>
    <row r="10108" spans="13:13" x14ac:dyDescent="0.25">
      <c r="M10108" s="514"/>
    </row>
    <row r="10109" spans="13:13" x14ac:dyDescent="0.25">
      <c r="M10109" s="514"/>
    </row>
    <row r="10110" spans="13:13" x14ac:dyDescent="0.25">
      <c r="M10110" s="514"/>
    </row>
    <row r="10111" spans="13:13" x14ac:dyDescent="0.25">
      <c r="M10111" s="514"/>
    </row>
    <row r="10112" spans="13:13" x14ac:dyDescent="0.25">
      <c r="M10112" s="514"/>
    </row>
    <row r="10113" spans="13:13" x14ac:dyDescent="0.25">
      <c r="M10113" s="514"/>
    </row>
    <row r="10114" spans="13:13" x14ac:dyDescent="0.25">
      <c r="M10114" s="514"/>
    </row>
    <row r="10115" spans="13:13" x14ac:dyDescent="0.25">
      <c r="M10115" s="514"/>
    </row>
    <row r="10116" spans="13:13" x14ac:dyDescent="0.25">
      <c r="M10116" s="514"/>
    </row>
    <row r="10117" spans="13:13" x14ac:dyDescent="0.25">
      <c r="M10117" s="514"/>
    </row>
    <row r="10118" spans="13:13" x14ac:dyDescent="0.25">
      <c r="M10118" s="514"/>
    </row>
    <row r="10119" spans="13:13" x14ac:dyDescent="0.25">
      <c r="M10119" s="514"/>
    </row>
    <row r="10120" spans="13:13" x14ac:dyDescent="0.25">
      <c r="M10120" s="514"/>
    </row>
    <row r="10121" spans="13:13" x14ac:dyDescent="0.25">
      <c r="M10121" s="514"/>
    </row>
    <row r="10122" spans="13:13" x14ac:dyDescent="0.25">
      <c r="M10122" s="514"/>
    </row>
    <row r="10123" spans="13:13" x14ac:dyDescent="0.25">
      <c r="M10123" s="514"/>
    </row>
    <row r="10124" spans="13:13" x14ac:dyDescent="0.25">
      <c r="M10124" s="514"/>
    </row>
    <row r="10125" spans="13:13" x14ac:dyDescent="0.25">
      <c r="M10125" s="514"/>
    </row>
    <row r="10126" spans="13:13" x14ac:dyDescent="0.25">
      <c r="M10126" s="514"/>
    </row>
    <row r="10127" spans="13:13" x14ac:dyDescent="0.25">
      <c r="M10127" s="514"/>
    </row>
    <row r="10128" spans="13:13" x14ac:dyDescent="0.25">
      <c r="M10128" s="514"/>
    </row>
    <row r="10129" spans="13:13" x14ac:dyDescent="0.25">
      <c r="M10129" s="514"/>
    </row>
    <row r="10130" spans="13:13" x14ac:dyDescent="0.25">
      <c r="M10130" s="514"/>
    </row>
    <row r="10131" spans="13:13" x14ac:dyDescent="0.25">
      <c r="M10131" s="514"/>
    </row>
    <row r="10132" spans="13:13" x14ac:dyDescent="0.25">
      <c r="M10132" s="514"/>
    </row>
    <row r="10133" spans="13:13" x14ac:dyDescent="0.25">
      <c r="M10133" s="514"/>
    </row>
    <row r="10134" spans="13:13" x14ac:dyDescent="0.25">
      <c r="M10134" s="514"/>
    </row>
    <row r="10135" spans="13:13" x14ac:dyDescent="0.25">
      <c r="M10135" s="514"/>
    </row>
    <row r="10136" spans="13:13" x14ac:dyDescent="0.25">
      <c r="M10136" s="514"/>
    </row>
    <row r="10137" spans="13:13" x14ac:dyDescent="0.25">
      <c r="M10137" s="514"/>
    </row>
    <row r="10138" spans="13:13" x14ac:dyDescent="0.25">
      <c r="M10138" s="514"/>
    </row>
    <row r="10139" spans="13:13" x14ac:dyDescent="0.25">
      <c r="M10139" s="514"/>
    </row>
    <row r="10140" spans="13:13" x14ac:dyDescent="0.25">
      <c r="M10140" s="514"/>
    </row>
    <row r="10141" spans="13:13" x14ac:dyDescent="0.25">
      <c r="M10141" s="514"/>
    </row>
    <row r="10142" spans="13:13" x14ac:dyDescent="0.25">
      <c r="M10142" s="514"/>
    </row>
    <row r="10143" spans="13:13" x14ac:dyDescent="0.25">
      <c r="M10143" s="514"/>
    </row>
    <row r="10144" spans="13:13" x14ac:dyDescent="0.25">
      <c r="M10144" s="514"/>
    </row>
    <row r="10145" spans="13:13" x14ac:dyDescent="0.25">
      <c r="M10145" s="514"/>
    </row>
    <row r="10146" spans="13:13" x14ac:dyDescent="0.25">
      <c r="M10146" s="514"/>
    </row>
    <row r="10147" spans="13:13" x14ac:dyDescent="0.25">
      <c r="M10147" s="514"/>
    </row>
    <row r="10148" spans="13:13" x14ac:dyDescent="0.25">
      <c r="M10148" s="514"/>
    </row>
    <row r="10149" spans="13:13" x14ac:dyDescent="0.25">
      <c r="M10149" s="514"/>
    </row>
    <row r="10150" spans="13:13" x14ac:dyDescent="0.25">
      <c r="M10150" s="514"/>
    </row>
    <row r="10151" spans="13:13" x14ac:dyDescent="0.25">
      <c r="M10151" s="514"/>
    </row>
    <row r="10152" spans="13:13" x14ac:dyDescent="0.25">
      <c r="M10152" s="514"/>
    </row>
    <row r="10153" spans="13:13" x14ac:dyDescent="0.25">
      <c r="M10153" s="514"/>
    </row>
    <row r="10154" spans="13:13" x14ac:dyDescent="0.25">
      <c r="M10154" s="514"/>
    </row>
    <row r="10155" spans="13:13" x14ac:dyDescent="0.25">
      <c r="M10155" s="514"/>
    </row>
    <row r="10156" spans="13:13" x14ac:dyDescent="0.25">
      <c r="M10156" s="514"/>
    </row>
    <row r="10157" spans="13:13" x14ac:dyDescent="0.25">
      <c r="M10157" s="514"/>
    </row>
    <row r="10158" spans="13:13" x14ac:dyDescent="0.25">
      <c r="M10158" s="514"/>
    </row>
    <row r="10159" spans="13:13" x14ac:dyDescent="0.25">
      <c r="M10159" s="514"/>
    </row>
    <row r="10160" spans="13:13" x14ac:dyDescent="0.25">
      <c r="M10160" s="514"/>
    </row>
    <row r="10161" spans="13:13" x14ac:dyDescent="0.25">
      <c r="M10161" s="514"/>
    </row>
    <row r="10162" spans="13:13" x14ac:dyDescent="0.25">
      <c r="M10162" s="514"/>
    </row>
    <row r="10163" spans="13:13" x14ac:dyDescent="0.25">
      <c r="M10163" s="514"/>
    </row>
    <row r="10164" spans="13:13" x14ac:dyDescent="0.25">
      <c r="M10164" s="514"/>
    </row>
    <row r="10165" spans="13:13" x14ac:dyDescent="0.25">
      <c r="M10165" s="514"/>
    </row>
    <row r="10166" spans="13:13" x14ac:dyDescent="0.25">
      <c r="M10166" s="514"/>
    </row>
    <row r="10167" spans="13:13" x14ac:dyDescent="0.25">
      <c r="M10167" s="514"/>
    </row>
    <row r="10168" spans="13:13" x14ac:dyDescent="0.25">
      <c r="M10168" s="514"/>
    </row>
    <row r="10169" spans="13:13" x14ac:dyDescent="0.25">
      <c r="M10169" s="514"/>
    </row>
    <row r="10170" spans="13:13" x14ac:dyDescent="0.25">
      <c r="M10170" s="514"/>
    </row>
    <row r="10171" spans="13:13" x14ac:dyDescent="0.25">
      <c r="M10171" s="514"/>
    </row>
    <row r="10172" spans="13:13" x14ac:dyDescent="0.25">
      <c r="M10172" s="514"/>
    </row>
    <row r="10173" spans="13:13" x14ac:dyDescent="0.25">
      <c r="M10173" s="514"/>
    </row>
    <row r="10174" spans="13:13" x14ac:dyDescent="0.25">
      <c r="M10174" s="514"/>
    </row>
    <row r="10175" spans="13:13" x14ac:dyDescent="0.25">
      <c r="M10175" s="514"/>
    </row>
    <row r="10176" spans="13:13" x14ac:dyDescent="0.25">
      <c r="M10176" s="514"/>
    </row>
    <row r="10177" spans="13:13" x14ac:dyDescent="0.25">
      <c r="M10177" s="514"/>
    </row>
    <row r="10178" spans="13:13" x14ac:dyDescent="0.25">
      <c r="M10178" s="514"/>
    </row>
    <row r="10179" spans="13:13" x14ac:dyDescent="0.25">
      <c r="M10179" s="514"/>
    </row>
    <row r="10180" spans="13:13" x14ac:dyDescent="0.25">
      <c r="M10180" s="514"/>
    </row>
    <row r="10181" spans="13:13" x14ac:dyDescent="0.25">
      <c r="M10181" s="514"/>
    </row>
    <row r="10182" spans="13:13" x14ac:dyDescent="0.25">
      <c r="M10182" s="514"/>
    </row>
    <row r="10183" spans="13:13" x14ac:dyDescent="0.25">
      <c r="M10183" s="514"/>
    </row>
    <row r="10184" spans="13:13" x14ac:dyDescent="0.25">
      <c r="M10184" s="514"/>
    </row>
    <row r="10185" spans="13:13" x14ac:dyDescent="0.25">
      <c r="M10185" s="514"/>
    </row>
    <row r="10186" spans="13:13" x14ac:dyDescent="0.25">
      <c r="M10186" s="514"/>
    </row>
    <row r="10187" spans="13:13" x14ac:dyDescent="0.25">
      <c r="M10187" s="514"/>
    </row>
    <row r="10188" spans="13:13" x14ac:dyDescent="0.25">
      <c r="M10188" s="514"/>
    </row>
    <row r="10189" spans="13:13" x14ac:dyDescent="0.25">
      <c r="M10189" s="514"/>
    </row>
    <row r="10190" spans="13:13" x14ac:dyDescent="0.25">
      <c r="M10190" s="514"/>
    </row>
    <row r="10191" spans="13:13" x14ac:dyDescent="0.25">
      <c r="M10191" s="514"/>
    </row>
    <row r="10192" spans="13:13" x14ac:dyDescent="0.25">
      <c r="M10192" s="514"/>
    </row>
    <row r="10193" spans="13:13" x14ac:dyDescent="0.25">
      <c r="M10193" s="514"/>
    </row>
    <row r="10194" spans="13:13" x14ac:dyDescent="0.25">
      <c r="M10194" s="514"/>
    </row>
    <row r="10195" spans="13:13" x14ac:dyDescent="0.25">
      <c r="M10195" s="514"/>
    </row>
    <row r="10196" spans="13:13" x14ac:dyDescent="0.25">
      <c r="M10196" s="514"/>
    </row>
    <row r="10197" spans="13:13" x14ac:dyDescent="0.25">
      <c r="M10197" s="514"/>
    </row>
    <row r="10198" spans="13:13" x14ac:dyDescent="0.25">
      <c r="M10198" s="514"/>
    </row>
    <row r="10199" spans="13:13" x14ac:dyDescent="0.25">
      <c r="M10199" s="514"/>
    </row>
    <row r="10200" spans="13:13" x14ac:dyDescent="0.25">
      <c r="M10200" s="514"/>
    </row>
    <row r="10201" spans="13:13" x14ac:dyDescent="0.25">
      <c r="M10201" s="514"/>
    </row>
    <row r="10202" spans="13:13" x14ac:dyDescent="0.25">
      <c r="M10202" s="514"/>
    </row>
    <row r="10203" spans="13:13" x14ac:dyDescent="0.25">
      <c r="M10203" s="514"/>
    </row>
    <row r="10204" spans="13:13" x14ac:dyDescent="0.25">
      <c r="M10204" s="514"/>
    </row>
    <row r="10205" spans="13:13" x14ac:dyDescent="0.25">
      <c r="M10205" s="514"/>
    </row>
    <row r="10206" spans="13:13" x14ac:dyDescent="0.25">
      <c r="M10206" s="514"/>
    </row>
    <row r="10207" spans="13:13" x14ac:dyDescent="0.25">
      <c r="M10207" s="514"/>
    </row>
    <row r="10208" spans="13:13" x14ac:dyDescent="0.25">
      <c r="M10208" s="514"/>
    </row>
    <row r="10209" spans="13:13" x14ac:dyDescent="0.25">
      <c r="M10209" s="514"/>
    </row>
    <row r="10210" spans="13:13" x14ac:dyDescent="0.25">
      <c r="M10210" s="514"/>
    </row>
    <row r="10211" spans="13:13" x14ac:dyDescent="0.25">
      <c r="M10211" s="514"/>
    </row>
    <row r="10212" spans="13:13" x14ac:dyDescent="0.25">
      <c r="M10212" s="514"/>
    </row>
    <row r="10213" spans="13:13" x14ac:dyDescent="0.25">
      <c r="M10213" s="514"/>
    </row>
    <row r="10214" spans="13:13" x14ac:dyDescent="0.25">
      <c r="M10214" s="514"/>
    </row>
    <row r="10215" spans="13:13" x14ac:dyDescent="0.25">
      <c r="M10215" s="514"/>
    </row>
    <row r="10216" spans="13:13" x14ac:dyDescent="0.25">
      <c r="M10216" s="514"/>
    </row>
    <row r="10217" spans="13:13" x14ac:dyDescent="0.25">
      <c r="M10217" s="514"/>
    </row>
    <row r="10218" spans="13:13" x14ac:dyDescent="0.25">
      <c r="M10218" s="514"/>
    </row>
    <row r="10219" spans="13:13" x14ac:dyDescent="0.25">
      <c r="M10219" s="514"/>
    </row>
    <row r="10220" spans="13:13" x14ac:dyDescent="0.25">
      <c r="M10220" s="514"/>
    </row>
    <row r="10221" spans="13:13" x14ac:dyDescent="0.25">
      <c r="M10221" s="514"/>
    </row>
    <row r="10222" spans="13:13" x14ac:dyDescent="0.25">
      <c r="M10222" s="514"/>
    </row>
    <row r="10223" spans="13:13" x14ac:dyDescent="0.25">
      <c r="M10223" s="514"/>
    </row>
    <row r="10224" spans="13:13" x14ac:dyDescent="0.25">
      <c r="M10224" s="514"/>
    </row>
    <row r="10225" spans="13:13" x14ac:dyDescent="0.25">
      <c r="M10225" s="514"/>
    </row>
    <row r="10226" spans="13:13" x14ac:dyDescent="0.25">
      <c r="M10226" s="514"/>
    </row>
    <row r="10227" spans="13:13" x14ac:dyDescent="0.25">
      <c r="M10227" s="514"/>
    </row>
    <row r="10228" spans="13:13" x14ac:dyDescent="0.25">
      <c r="M10228" s="514"/>
    </row>
    <row r="10229" spans="13:13" x14ac:dyDescent="0.25">
      <c r="M10229" s="514"/>
    </row>
    <row r="10230" spans="13:13" x14ac:dyDescent="0.25">
      <c r="M10230" s="514"/>
    </row>
    <row r="10231" spans="13:13" x14ac:dyDescent="0.25">
      <c r="M10231" s="514"/>
    </row>
    <row r="10232" spans="13:13" x14ac:dyDescent="0.25">
      <c r="M10232" s="514"/>
    </row>
    <row r="10233" spans="13:13" x14ac:dyDescent="0.25">
      <c r="M10233" s="514"/>
    </row>
    <row r="10234" spans="13:13" x14ac:dyDescent="0.25">
      <c r="M10234" s="514"/>
    </row>
    <row r="10235" spans="13:13" x14ac:dyDescent="0.25">
      <c r="M10235" s="514"/>
    </row>
    <row r="10236" spans="13:13" x14ac:dyDescent="0.25">
      <c r="M10236" s="514"/>
    </row>
    <row r="10237" spans="13:13" x14ac:dyDescent="0.25">
      <c r="M10237" s="514"/>
    </row>
    <row r="10238" spans="13:13" x14ac:dyDescent="0.25">
      <c r="M10238" s="514"/>
    </row>
    <row r="10239" spans="13:13" x14ac:dyDescent="0.25">
      <c r="M10239" s="514"/>
    </row>
    <row r="10240" spans="13:13" x14ac:dyDescent="0.25">
      <c r="M10240" s="514"/>
    </row>
    <row r="10241" spans="13:13" x14ac:dyDescent="0.25">
      <c r="M10241" s="514"/>
    </row>
    <row r="10242" spans="13:13" x14ac:dyDescent="0.25">
      <c r="M10242" s="514"/>
    </row>
    <row r="10243" spans="13:13" x14ac:dyDescent="0.25">
      <c r="M10243" s="514"/>
    </row>
    <row r="10244" spans="13:13" x14ac:dyDescent="0.25">
      <c r="M10244" s="514"/>
    </row>
    <row r="10245" spans="13:13" x14ac:dyDescent="0.25">
      <c r="M10245" s="514"/>
    </row>
    <row r="10246" spans="13:13" x14ac:dyDescent="0.25">
      <c r="M10246" s="514"/>
    </row>
    <row r="10247" spans="13:13" x14ac:dyDescent="0.25">
      <c r="M10247" s="514"/>
    </row>
    <row r="10248" spans="13:13" x14ac:dyDescent="0.25">
      <c r="M10248" s="514"/>
    </row>
    <row r="10249" spans="13:13" x14ac:dyDescent="0.25">
      <c r="M10249" s="514"/>
    </row>
    <row r="10250" spans="13:13" x14ac:dyDescent="0.25">
      <c r="M10250" s="514"/>
    </row>
    <row r="10251" spans="13:13" x14ac:dyDescent="0.25">
      <c r="M10251" s="514"/>
    </row>
    <row r="10252" spans="13:13" x14ac:dyDescent="0.25">
      <c r="M10252" s="514"/>
    </row>
    <row r="10253" spans="13:13" x14ac:dyDescent="0.25">
      <c r="M10253" s="514"/>
    </row>
    <row r="10254" spans="13:13" x14ac:dyDescent="0.25">
      <c r="M10254" s="514"/>
    </row>
    <row r="10255" spans="13:13" x14ac:dyDescent="0.25">
      <c r="M10255" s="514"/>
    </row>
    <row r="10256" spans="13:13" x14ac:dyDescent="0.25">
      <c r="M10256" s="514"/>
    </row>
    <row r="10257" spans="13:13" x14ac:dyDescent="0.25">
      <c r="M10257" s="514"/>
    </row>
    <row r="10258" spans="13:13" x14ac:dyDescent="0.25">
      <c r="M10258" s="514"/>
    </row>
    <row r="10259" spans="13:13" x14ac:dyDescent="0.25">
      <c r="M10259" s="514"/>
    </row>
    <row r="10260" spans="13:13" x14ac:dyDescent="0.25">
      <c r="M10260" s="514"/>
    </row>
    <row r="10261" spans="13:13" x14ac:dyDescent="0.25">
      <c r="M10261" s="514"/>
    </row>
    <row r="10262" spans="13:13" x14ac:dyDescent="0.25">
      <c r="M10262" s="514"/>
    </row>
    <row r="10263" spans="13:13" x14ac:dyDescent="0.25">
      <c r="M10263" s="514"/>
    </row>
    <row r="10264" spans="13:13" x14ac:dyDescent="0.25">
      <c r="M10264" s="514"/>
    </row>
    <row r="10265" spans="13:13" x14ac:dyDescent="0.25">
      <c r="M10265" s="514"/>
    </row>
    <row r="10266" spans="13:13" x14ac:dyDescent="0.25">
      <c r="M10266" s="514"/>
    </row>
    <row r="10267" spans="13:13" x14ac:dyDescent="0.25">
      <c r="M10267" s="514"/>
    </row>
    <row r="10268" spans="13:13" x14ac:dyDescent="0.25">
      <c r="M10268" s="514"/>
    </row>
    <row r="10269" spans="13:13" x14ac:dyDescent="0.25">
      <c r="M10269" s="514"/>
    </row>
    <row r="10270" spans="13:13" x14ac:dyDescent="0.25">
      <c r="M10270" s="514"/>
    </row>
    <row r="10271" spans="13:13" x14ac:dyDescent="0.25">
      <c r="M10271" s="514"/>
    </row>
    <row r="10272" spans="13:13" x14ac:dyDescent="0.25">
      <c r="M10272" s="514"/>
    </row>
    <row r="10273" spans="13:13" x14ac:dyDescent="0.25">
      <c r="M10273" s="514"/>
    </row>
    <row r="10274" spans="13:13" x14ac:dyDescent="0.25">
      <c r="M10274" s="514"/>
    </row>
    <row r="10275" spans="13:13" x14ac:dyDescent="0.25">
      <c r="M10275" s="514"/>
    </row>
    <row r="10276" spans="13:13" x14ac:dyDescent="0.25">
      <c r="M10276" s="514"/>
    </row>
    <row r="10277" spans="13:13" x14ac:dyDescent="0.25">
      <c r="M10277" s="514"/>
    </row>
    <row r="10278" spans="13:13" x14ac:dyDescent="0.25">
      <c r="M10278" s="514"/>
    </row>
    <row r="10279" spans="13:13" x14ac:dyDescent="0.25">
      <c r="M10279" s="514"/>
    </row>
    <row r="10280" spans="13:13" x14ac:dyDescent="0.25">
      <c r="M10280" s="514"/>
    </row>
    <row r="10281" spans="13:13" x14ac:dyDescent="0.25">
      <c r="M10281" s="514"/>
    </row>
    <row r="10282" spans="13:13" x14ac:dyDescent="0.25">
      <c r="M10282" s="514"/>
    </row>
    <row r="10283" spans="13:13" x14ac:dyDescent="0.25">
      <c r="M10283" s="514"/>
    </row>
    <row r="10284" spans="13:13" x14ac:dyDescent="0.25">
      <c r="M10284" s="514"/>
    </row>
    <row r="10285" spans="13:13" x14ac:dyDescent="0.25">
      <c r="M10285" s="514"/>
    </row>
    <row r="10286" spans="13:13" x14ac:dyDescent="0.25">
      <c r="M10286" s="514"/>
    </row>
    <row r="10287" spans="13:13" x14ac:dyDescent="0.25">
      <c r="M10287" s="514"/>
    </row>
    <row r="10288" spans="13:13" x14ac:dyDescent="0.25">
      <c r="M10288" s="514"/>
    </row>
    <row r="10289" spans="13:13" x14ac:dyDescent="0.25">
      <c r="M10289" s="514"/>
    </row>
    <row r="10290" spans="13:13" x14ac:dyDescent="0.25">
      <c r="M10290" s="514"/>
    </row>
    <row r="10291" spans="13:13" x14ac:dyDescent="0.25">
      <c r="M10291" s="514"/>
    </row>
    <row r="10292" spans="13:13" x14ac:dyDescent="0.25">
      <c r="M10292" s="514"/>
    </row>
    <row r="10293" spans="13:13" x14ac:dyDescent="0.25">
      <c r="M10293" s="514"/>
    </row>
    <row r="10294" spans="13:13" x14ac:dyDescent="0.25">
      <c r="M10294" s="514"/>
    </row>
    <row r="10295" spans="13:13" x14ac:dyDescent="0.25">
      <c r="M10295" s="514"/>
    </row>
    <row r="10296" spans="13:13" x14ac:dyDescent="0.25">
      <c r="M10296" s="514"/>
    </row>
    <row r="10297" spans="13:13" x14ac:dyDescent="0.25">
      <c r="M10297" s="514"/>
    </row>
    <row r="10298" spans="13:13" x14ac:dyDescent="0.25">
      <c r="M10298" s="514"/>
    </row>
    <row r="10299" spans="13:13" x14ac:dyDescent="0.25">
      <c r="M10299" s="514"/>
    </row>
    <row r="10300" spans="13:13" x14ac:dyDescent="0.25">
      <c r="M10300" s="514"/>
    </row>
    <row r="10301" spans="13:13" x14ac:dyDescent="0.25">
      <c r="M10301" s="514"/>
    </row>
    <row r="10302" spans="13:13" x14ac:dyDescent="0.25">
      <c r="M10302" s="514"/>
    </row>
    <row r="10303" spans="13:13" x14ac:dyDescent="0.25">
      <c r="M10303" s="514"/>
    </row>
    <row r="10304" spans="13:13" x14ac:dyDescent="0.25">
      <c r="M10304" s="514"/>
    </row>
    <row r="10305" spans="13:13" x14ac:dyDescent="0.25">
      <c r="M10305" s="514"/>
    </row>
    <row r="10306" spans="13:13" x14ac:dyDescent="0.25">
      <c r="M10306" s="514"/>
    </row>
    <row r="10307" spans="13:13" x14ac:dyDescent="0.25">
      <c r="M10307" s="514"/>
    </row>
    <row r="10308" spans="13:13" x14ac:dyDescent="0.25">
      <c r="M10308" s="514"/>
    </row>
    <row r="10309" spans="13:13" x14ac:dyDescent="0.25">
      <c r="M10309" s="514"/>
    </row>
    <row r="10310" spans="13:13" x14ac:dyDescent="0.25">
      <c r="M10310" s="514"/>
    </row>
    <row r="10311" spans="13:13" x14ac:dyDescent="0.25">
      <c r="M10311" s="514"/>
    </row>
    <row r="10312" spans="13:13" x14ac:dyDescent="0.25">
      <c r="M10312" s="514"/>
    </row>
    <row r="10313" spans="13:13" x14ac:dyDescent="0.25">
      <c r="M10313" s="514"/>
    </row>
    <row r="10314" spans="13:13" x14ac:dyDescent="0.25">
      <c r="M10314" s="514"/>
    </row>
    <row r="10315" spans="13:13" x14ac:dyDescent="0.25">
      <c r="M10315" s="514"/>
    </row>
    <row r="10316" spans="13:13" x14ac:dyDescent="0.25">
      <c r="M10316" s="514"/>
    </row>
    <row r="10317" spans="13:13" x14ac:dyDescent="0.25">
      <c r="M10317" s="514"/>
    </row>
    <row r="10318" spans="13:13" x14ac:dyDescent="0.25">
      <c r="M10318" s="514"/>
    </row>
    <row r="10319" spans="13:13" x14ac:dyDescent="0.25">
      <c r="M10319" s="514"/>
    </row>
    <row r="10320" spans="13:13" x14ac:dyDescent="0.25">
      <c r="M10320" s="514"/>
    </row>
    <row r="10321" spans="13:13" x14ac:dyDescent="0.25">
      <c r="M10321" s="514"/>
    </row>
    <row r="10322" spans="13:13" x14ac:dyDescent="0.25">
      <c r="M10322" s="514"/>
    </row>
    <row r="10323" spans="13:13" x14ac:dyDescent="0.25">
      <c r="M10323" s="514"/>
    </row>
    <row r="10324" spans="13:13" x14ac:dyDescent="0.25">
      <c r="M10324" s="514"/>
    </row>
    <row r="10325" spans="13:13" x14ac:dyDescent="0.25">
      <c r="M10325" s="514"/>
    </row>
    <row r="10326" spans="13:13" x14ac:dyDescent="0.25">
      <c r="M10326" s="514"/>
    </row>
    <row r="10327" spans="13:13" x14ac:dyDescent="0.25">
      <c r="M10327" s="514"/>
    </row>
    <row r="10328" spans="13:13" x14ac:dyDescent="0.25">
      <c r="M10328" s="514"/>
    </row>
    <row r="10329" spans="13:13" x14ac:dyDescent="0.25">
      <c r="M10329" s="514"/>
    </row>
    <row r="10330" spans="13:13" x14ac:dyDescent="0.25">
      <c r="M10330" s="514"/>
    </row>
    <row r="10331" spans="13:13" x14ac:dyDescent="0.25">
      <c r="M10331" s="514"/>
    </row>
    <row r="10332" spans="13:13" x14ac:dyDescent="0.25">
      <c r="M10332" s="514"/>
    </row>
    <row r="10333" spans="13:13" x14ac:dyDescent="0.25">
      <c r="M10333" s="514"/>
    </row>
    <row r="10334" spans="13:13" x14ac:dyDescent="0.25">
      <c r="M10334" s="514"/>
    </row>
    <row r="10335" spans="13:13" x14ac:dyDescent="0.25">
      <c r="M10335" s="514"/>
    </row>
    <row r="10336" spans="13:13" x14ac:dyDescent="0.25">
      <c r="M10336" s="514"/>
    </row>
    <row r="10337" spans="13:13" x14ac:dyDescent="0.25">
      <c r="M10337" s="514"/>
    </row>
    <row r="10338" spans="13:13" x14ac:dyDescent="0.25">
      <c r="M10338" s="514"/>
    </row>
    <row r="10339" spans="13:13" x14ac:dyDescent="0.25">
      <c r="M10339" s="514"/>
    </row>
    <row r="10340" spans="13:13" x14ac:dyDescent="0.25">
      <c r="M10340" s="514"/>
    </row>
    <row r="10341" spans="13:13" x14ac:dyDescent="0.25">
      <c r="M10341" s="514"/>
    </row>
    <row r="10342" spans="13:13" x14ac:dyDescent="0.25">
      <c r="M10342" s="514"/>
    </row>
    <row r="10343" spans="13:13" x14ac:dyDescent="0.25">
      <c r="M10343" s="514"/>
    </row>
    <row r="10344" spans="13:13" x14ac:dyDescent="0.25">
      <c r="M10344" s="514"/>
    </row>
    <row r="10345" spans="13:13" x14ac:dyDescent="0.25">
      <c r="M10345" s="514"/>
    </row>
    <row r="10346" spans="13:13" x14ac:dyDescent="0.25">
      <c r="M10346" s="514"/>
    </row>
    <row r="10347" spans="13:13" x14ac:dyDescent="0.25">
      <c r="M10347" s="514"/>
    </row>
    <row r="10348" spans="13:13" x14ac:dyDescent="0.25">
      <c r="M10348" s="514"/>
    </row>
    <row r="10349" spans="13:13" x14ac:dyDescent="0.25">
      <c r="M10349" s="514"/>
    </row>
    <row r="10350" spans="13:13" x14ac:dyDescent="0.25">
      <c r="M10350" s="514"/>
    </row>
    <row r="10351" spans="13:13" x14ac:dyDescent="0.25">
      <c r="M10351" s="514"/>
    </row>
    <row r="10352" spans="13:13" x14ac:dyDescent="0.25">
      <c r="M10352" s="514"/>
    </row>
    <row r="10353" spans="13:13" x14ac:dyDescent="0.25">
      <c r="M10353" s="514"/>
    </row>
    <row r="10354" spans="13:13" x14ac:dyDescent="0.25">
      <c r="M10354" s="514"/>
    </row>
    <row r="10355" spans="13:13" x14ac:dyDescent="0.25">
      <c r="M10355" s="514"/>
    </row>
    <row r="10356" spans="13:13" x14ac:dyDescent="0.25">
      <c r="M10356" s="514"/>
    </row>
    <row r="10357" spans="13:13" x14ac:dyDescent="0.25">
      <c r="M10357" s="514"/>
    </row>
    <row r="10358" spans="13:13" x14ac:dyDescent="0.25">
      <c r="M10358" s="514"/>
    </row>
    <row r="10359" spans="13:13" x14ac:dyDescent="0.25">
      <c r="M10359" s="514"/>
    </row>
    <row r="10360" spans="13:13" x14ac:dyDescent="0.25">
      <c r="M10360" s="514"/>
    </row>
    <row r="10361" spans="13:13" x14ac:dyDescent="0.25">
      <c r="M10361" s="514"/>
    </row>
    <row r="10362" spans="13:13" x14ac:dyDescent="0.25">
      <c r="M10362" s="514"/>
    </row>
    <row r="10363" spans="13:13" x14ac:dyDescent="0.25">
      <c r="M10363" s="514"/>
    </row>
    <row r="10364" spans="13:13" x14ac:dyDescent="0.25">
      <c r="M10364" s="514"/>
    </row>
    <row r="10365" spans="13:13" x14ac:dyDescent="0.25">
      <c r="M10365" s="514"/>
    </row>
    <row r="10366" spans="13:13" x14ac:dyDescent="0.25">
      <c r="M10366" s="514"/>
    </row>
    <row r="10367" spans="13:13" x14ac:dyDescent="0.25">
      <c r="M10367" s="514"/>
    </row>
    <row r="10368" spans="13:13" x14ac:dyDescent="0.25">
      <c r="M10368" s="514"/>
    </row>
    <row r="10369" spans="13:13" x14ac:dyDescent="0.25">
      <c r="M10369" s="514"/>
    </row>
    <row r="10370" spans="13:13" x14ac:dyDescent="0.25">
      <c r="M10370" s="514"/>
    </row>
    <row r="10371" spans="13:13" x14ac:dyDescent="0.25">
      <c r="M10371" s="514"/>
    </row>
    <row r="10372" spans="13:13" x14ac:dyDescent="0.25">
      <c r="M10372" s="514"/>
    </row>
    <row r="10373" spans="13:13" x14ac:dyDescent="0.25">
      <c r="M10373" s="514"/>
    </row>
    <row r="10374" spans="13:13" x14ac:dyDescent="0.25">
      <c r="M10374" s="514"/>
    </row>
    <row r="10375" spans="13:13" x14ac:dyDescent="0.25">
      <c r="M10375" s="514"/>
    </row>
    <row r="10376" spans="13:13" x14ac:dyDescent="0.25">
      <c r="M10376" s="514"/>
    </row>
    <row r="10377" spans="13:13" x14ac:dyDescent="0.25">
      <c r="M10377" s="514"/>
    </row>
    <row r="10378" spans="13:13" x14ac:dyDescent="0.25">
      <c r="M10378" s="514"/>
    </row>
    <row r="10379" spans="13:13" x14ac:dyDescent="0.25">
      <c r="M10379" s="514"/>
    </row>
    <row r="10380" spans="13:13" x14ac:dyDescent="0.25">
      <c r="M10380" s="514"/>
    </row>
    <row r="10381" spans="13:13" x14ac:dyDescent="0.25">
      <c r="M10381" s="514"/>
    </row>
    <row r="10382" spans="13:13" x14ac:dyDescent="0.25">
      <c r="M10382" s="514"/>
    </row>
    <row r="10383" spans="13:13" x14ac:dyDescent="0.25">
      <c r="M10383" s="514"/>
    </row>
    <row r="10384" spans="13:13" x14ac:dyDescent="0.25">
      <c r="M10384" s="514"/>
    </row>
    <row r="10385" spans="13:13" x14ac:dyDescent="0.25">
      <c r="M10385" s="514"/>
    </row>
    <row r="10386" spans="13:13" x14ac:dyDescent="0.25">
      <c r="M10386" s="514"/>
    </row>
    <row r="10387" spans="13:13" x14ac:dyDescent="0.25">
      <c r="M10387" s="514"/>
    </row>
    <row r="10388" spans="13:13" x14ac:dyDescent="0.25">
      <c r="M10388" s="514"/>
    </row>
    <row r="10389" spans="13:13" x14ac:dyDescent="0.25">
      <c r="M10389" s="514"/>
    </row>
    <row r="10390" spans="13:13" x14ac:dyDescent="0.25">
      <c r="M10390" s="514"/>
    </row>
    <row r="10391" spans="13:13" x14ac:dyDescent="0.25">
      <c r="M10391" s="514"/>
    </row>
    <row r="10392" spans="13:13" x14ac:dyDescent="0.25">
      <c r="M10392" s="514"/>
    </row>
    <row r="10393" spans="13:13" x14ac:dyDescent="0.25">
      <c r="M10393" s="514"/>
    </row>
    <row r="10394" spans="13:13" x14ac:dyDescent="0.25">
      <c r="M10394" s="514"/>
    </row>
    <row r="10395" spans="13:13" x14ac:dyDescent="0.25">
      <c r="M10395" s="514"/>
    </row>
    <row r="10396" spans="13:13" x14ac:dyDescent="0.25">
      <c r="M10396" s="514"/>
    </row>
    <row r="10397" spans="13:13" x14ac:dyDescent="0.25">
      <c r="M10397" s="514"/>
    </row>
    <row r="10398" spans="13:13" x14ac:dyDescent="0.25">
      <c r="M10398" s="514"/>
    </row>
    <row r="10399" spans="13:13" x14ac:dyDescent="0.25">
      <c r="M10399" s="514"/>
    </row>
    <row r="10400" spans="13:13" x14ac:dyDescent="0.25">
      <c r="M10400" s="514"/>
    </row>
    <row r="10401" spans="13:13" x14ac:dyDescent="0.25">
      <c r="M10401" s="514"/>
    </row>
    <row r="10402" spans="13:13" x14ac:dyDescent="0.25">
      <c r="M10402" s="514"/>
    </row>
    <row r="10403" spans="13:13" x14ac:dyDescent="0.25">
      <c r="M10403" s="514"/>
    </row>
    <row r="10404" spans="13:13" x14ac:dyDescent="0.25">
      <c r="M10404" s="514"/>
    </row>
    <row r="10405" spans="13:13" x14ac:dyDescent="0.25">
      <c r="M10405" s="514"/>
    </row>
    <row r="10406" spans="13:13" x14ac:dyDescent="0.25">
      <c r="M10406" s="514"/>
    </row>
    <row r="10407" spans="13:13" x14ac:dyDescent="0.25">
      <c r="M10407" s="514"/>
    </row>
    <row r="10408" spans="13:13" x14ac:dyDescent="0.25">
      <c r="M10408" s="514"/>
    </row>
    <row r="10409" spans="13:13" x14ac:dyDescent="0.25">
      <c r="M10409" s="514"/>
    </row>
    <row r="10410" spans="13:13" x14ac:dyDescent="0.25">
      <c r="M10410" s="514"/>
    </row>
    <row r="10411" spans="13:13" x14ac:dyDescent="0.25">
      <c r="M10411" s="514"/>
    </row>
    <row r="10412" spans="13:13" x14ac:dyDescent="0.25">
      <c r="M10412" s="514"/>
    </row>
    <row r="10413" spans="13:13" x14ac:dyDescent="0.25">
      <c r="M10413" s="514"/>
    </row>
    <row r="10414" spans="13:13" x14ac:dyDescent="0.25">
      <c r="M10414" s="514"/>
    </row>
    <row r="10415" spans="13:13" x14ac:dyDescent="0.25">
      <c r="M10415" s="514"/>
    </row>
    <row r="10416" spans="13:13" x14ac:dyDescent="0.25">
      <c r="M10416" s="514"/>
    </row>
    <row r="10417" spans="13:13" x14ac:dyDescent="0.25">
      <c r="M10417" s="514"/>
    </row>
    <row r="10418" spans="13:13" x14ac:dyDescent="0.25">
      <c r="M10418" s="514"/>
    </row>
    <row r="10419" spans="13:13" x14ac:dyDescent="0.25">
      <c r="M10419" s="514"/>
    </row>
    <row r="10420" spans="13:13" x14ac:dyDescent="0.25">
      <c r="M10420" s="514"/>
    </row>
    <row r="10421" spans="13:13" x14ac:dyDescent="0.25">
      <c r="M10421" s="514"/>
    </row>
    <row r="10422" spans="13:13" x14ac:dyDescent="0.25">
      <c r="M10422" s="514"/>
    </row>
    <row r="10423" spans="13:13" x14ac:dyDescent="0.25">
      <c r="M10423" s="514"/>
    </row>
    <row r="10424" spans="13:13" x14ac:dyDescent="0.25">
      <c r="M10424" s="514"/>
    </row>
    <row r="10425" spans="13:13" x14ac:dyDescent="0.25">
      <c r="M10425" s="514"/>
    </row>
    <row r="10426" spans="13:13" x14ac:dyDescent="0.25">
      <c r="M10426" s="514"/>
    </row>
    <row r="10427" spans="13:13" x14ac:dyDescent="0.25">
      <c r="M10427" s="514"/>
    </row>
    <row r="10428" spans="13:13" x14ac:dyDescent="0.25">
      <c r="M10428" s="514"/>
    </row>
    <row r="10429" spans="13:13" x14ac:dyDescent="0.25">
      <c r="M10429" s="514"/>
    </row>
    <row r="10430" spans="13:13" x14ac:dyDescent="0.25">
      <c r="M10430" s="514"/>
    </row>
    <row r="10431" spans="13:13" x14ac:dyDescent="0.25">
      <c r="M10431" s="514"/>
    </row>
    <row r="10432" spans="13:13" x14ac:dyDescent="0.25">
      <c r="M10432" s="514"/>
    </row>
    <row r="10433" spans="13:13" x14ac:dyDescent="0.25">
      <c r="M10433" s="514"/>
    </row>
    <row r="10434" spans="13:13" x14ac:dyDescent="0.25">
      <c r="M10434" s="514"/>
    </row>
    <row r="10435" spans="13:13" x14ac:dyDescent="0.25">
      <c r="M10435" s="514"/>
    </row>
    <row r="10436" spans="13:13" x14ac:dyDescent="0.25">
      <c r="M10436" s="514"/>
    </row>
    <row r="10437" spans="13:13" x14ac:dyDescent="0.25">
      <c r="M10437" s="514"/>
    </row>
    <row r="10438" spans="13:13" x14ac:dyDescent="0.25">
      <c r="M10438" s="514"/>
    </row>
    <row r="10439" spans="13:13" x14ac:dyDescent="0.25">
      <c r="M10439" s="514"/>
    </row>
    <row r="10440" spans="13:13" x14ac:dyDescent="0.25">
      <c r="M10440" s="514"/>
    </row>
    <row r="10441" spans="13:13" x14ac:dyDescent="0.25">
      <c r="M10441" s="514"/>
    </row>
    <row r="10442" spans="13:13" x14ac:dyDescent="0.25">
      <c r="M10442" s="514"/>
    </row>
    <row r="10443" spans="13:13" x14ac:dyDescent="0.25">
      <c r="M10443" s="514"/>
    </row>
    <row r="10444" spans="13:13" x14ac:dyDescent="0.25">
      <c r="M10444" s="514"/>
    </row>
    <row r="10445" spans="13:13" x14ac:dyDescent="0.25">
      <c r="M10445" s="514"/>
    </row>
    <row r="10446" spans="13:13" x14ac:dyDescent="0.25">
      <c r="M10446" s="514"/>
    </row>
    <row r="10447" spans="13:13" x14ac:dyDescent="0.25">
      <c r="M10447" s="514"/>
    </row>
    <row r="10448" spans="13:13" x14ac:dyDescent="0.25">
      <c r="M10448" s="514"/>
    </row>
    <row r="10449" spans="13:13" x14ac:dyDescent="0.25">
      <c r="M10449" s="514"/>
    </row>
    <row r="10450" spans="13:13" x14ac:dyDescent="0.25">
      <c r="M10450" s="514"/>
    </row>
    <row r="10451" spans="13:13" x14ac:dyDescent="0.25">
      <c r="M10451" s="514"/>
    </row>
    <row r="10452" spans="13:13" x14ac:dyDescent="0.25">
      <c r="M10452" s="514"/>
    </row>
    <row r="10453" spans="13:13" x14ac:dyDescent="0.25">
      <c r="M10453" s="514"/>
    </row>
    <row r="10454" spans="13:13" x14ac:dyDescent="0.25">
      <c r="M10454" s="514"/>
    </row>
    <row r="10455" spans="13:13" x14ac:dyDescent="0.25">
      <c r="M10455" s="514"/>
    </row>
    <row r="10456" spans="13:13" x14ac:dyDescent="0.25">
      <c r="M10456" s="514"/>
    </row>
    <row r="10457" spans="13:13" x14ac:dyDescent="0.25">
      <c r="M10457" s="514"/>
    </row>
    <row r="10458" spans="13:13" x14ac:dyDescent="0.25">
      <c r="M10458" s="514"/>
    </row>
    <row r="10459" spans="13:13" x14ac:dyDescent="0.25">
      <c r="M10459" s="514"/>
    </row>
    <row r="10460" spans="13:13" x14ac:dyDescent="0.25">
      <c r="M10460" s="514"/>
    </row>
    <row r="10461" spans="13:13" x14ac:dyDescent="0.25">
      <c r="M10461" s="514"/>
    </row>
    <row r="10462" spans="13:13" x14ac:dyDescent="0.25">
      <c r="M10462" s="514"/>
    </row>
    <row r="10463" spans="13:13" x14ac:dyDescent="0.25">
      <c r="M10463" s="514"/>
    </row>
    <row r="10464" spans="13:13" x14ac:dyDescent="0.25">
      <c r="M10464" s="514"/>
    </row>
    <row r="10465" spans="13:13" x14ac:dyDescent="0.25">
      <c r="M10465" s="514"/>
    </row>
    <row r="10466" spans="13:13" x14ac:dyDescent="0.25">
      <c r="M10466" s="514"/>
    </row>
    <row r="10467" spans="13:13" x14ac:dyDescent="0.25">
      <c r="M10467" s="514"/>
    </row>
    <row r="10468" spans="13:13" x14ac:dyDescent="0.25">
      <c r="M10468" s="514"/>
    </row>
    <row r="10469" spans="13:13" x14ac:dyDescent="0.25">
      <c r="M10469" s="514"/>
    </row>
    <row r="10470" spans="13:13" x14ac:dyDescent="0.25">
      <c r="M10470" s="514"/>
    </row>
    <row r="10471" spans="13:13" x14ac:dyDescent="0.25">
      <c r="M10471" s="514"/>
    </row>
    <row r="10472" spans="13:13" x14ac:dyDescent="0.25">
      <c r="M10472" s="514"/>
    </row>
    <row r="10473" spans="13:13" x14ac:dyDescent="0.25">
      <c r="M10473" s="514"/>
    </row>
    <row r="10474" spans="13:13" x14ac:dyDescent="0.25">
      <c r="M10474" s="514"/>
    </row>
    <row r="10475" spans="13:13" x14ac:dyDescent="0.25">
      <c r="M10475" s="514"/>
    </row>
    <row r="10476" spans="13:13" x14ac:dyDescent="0.25">
      <c r="M10476" s="514"/>
    </row>
    <row r="10477" spans="13:13" x14ac:dyDescent="0.25">
      <c r="M10477" s="514"/>
    </row>
    <row r="10478" spans="13:13" x14ac:dyDescent="0.25">
      <c r="M10478" s="514"/>
    </row>
    <row r="10479" spans="13:13" x14ac:dyDescent="0.25">
      <c r="M10479" s="514"/>
    </row>
    <row r="10480" spans="13:13" x14ac:dyDescent="0.25">
      <c r="M10480" s="514"/>
    </row>
    <row r="10481" spans="13:13" x14ac:dyDescent="0.25">
      <c r="M10481" s="514"/>
    </row>
    <row r="10482" spans="13:13" x14ac:dyDescent="0.25">
      <c r="M10482" s="514"/>
    </row>
    <row r="10483" spans="13:13" x14ac:dyDescent="0.25">
      <c r="M10483" s="514"/>
    </row>
    <row r="10484" spans="13:13" x14ac:dyDescent="0.25">
      <c r="M10484" s="514"/>
    </row>
    <row r="10485" spans="13:13" x14ac:dyDescent="0.25">
      <c r="M10485" s="514"/>
    </row>
    <row r="10486" spans="13:13" x14ac:dyDescent="0.25">
      <c r="M10486" s="514"/>
    </row>
    <row r="10487" spans="13:13" x14ac:dyDescent="0.25">
      <c r="M10487" s="514"/>
    </row>
    <row r="10488" spans="13:13" x14ac:dyDescent="0.25">
      <c r="M10488" s="514"/>
    </row>
    <row r="10489" spans="13:13" x14ac:dyDescent="0.25">
      <c r="M10489" s="514"/>
    </row>
    <row r="10490" spans="13:13" x14ac:dyDescent="0.25">
      <c r="M10490" s="514"/>
    </row>
    <row r="10491" spans="13:13" x14ac:dyDescent="0.25">
      <c r="M10491" s="514"/>
    </row>
    <row r="10492" spans="13:13" x14ac:dyDescent="0.25">
      <c r="M10492" s="514"/>
    </row>
    <row r="10493" spans="13:13" x14ac:dyDescent="0.25">
      <c r="M10493" s="514"/>
    </row>
    <row r="10494" spans="13:13" x14ac:dyDescent="0.25">
      <c r="M10494" s="514"/>
    </row>
    <row r="10495" spans="13:13" x14ac:dyDescent="0.25">
      <c r="M10495" s="514"/>
    </row>
    <row r="10496" spans="13:13" x14ac:dyDescent="0.25">
      <c r="M10496" s="514"/>
    </row>
    <row r="10497" spans="13:13" x14ac:dyDescent="0.25">
      <c r="M10497" s="514"/>
    </row>
    <row r="10498" spans="13:13" x14ac:dyDescent="0.25">
      <c r="M10498" s="514"/>
    </row>
    <row r="10499" spans="13:13" x14ac:dyDescent="0.25">
      <c r="M10499" s="514"/>
    </row>
    <row r="10500" spans="13:13" x14ac:dyDescent="0.25">
      <c r="M10500" s="514"/>
    </row>
    <row r="10501" spans="13:13" x14ac:dyDescent="0.25">
      <c r="M10501" s="514"/>
    </row>
    <row r="10502" spans="13:13" x14ac:dyDescent="0.25">
      <c r="M10502" s="514"/>
    </row>
    <row r="10503" spans="13:13" x14ac:dyDescent="0.25">
      <c r="M10503" s="514"/>
    </row>
    <row r="10504" spans="13:13" x14ac:dyDescent="0.25">
      <c r="M10504" s="514"/>
    </row>
    <row r="10505" spans="13:13" x14ac:dyDescent="0.25">
      <c r="M10505" s="514"/>
    </row>
    <row r="10506" spans="13:13" x14ac:dyDescent="0.25">
      <c r="M10506" s="514"/>
    </row>
    <row r="10507" spans="13:13" x14ac:dyDescent="0.25">
      <c r="M10507" s="514"/>
    </row>
    <row r="10508" spans="13:13" x14ac:dyDescent="0.25">
      <c r="M10508" s="514"/>
    </row>
    <row r="10509" spans="13:13" x14ac:dyDescent="0.25">
      <c r="M10509" s="514"/>
    </row>
    <row r="10510" spans="13:13" x14ac:dyDescent="0.25">
      <c r="M10510" s="514"/>
    </row>
    <row r="10511" spans="13:13" x14ac:dyDescent="0.25">
      <c r="M10511" s="514"/>
    </row>
    <row r="10512" spans="13:13" x14ac:dyDescent="0.25">
      <c r="M10512" s="514"/>
    </row>
    <row r="10513" spans="13:13" x14ac:dyDescent="0.25">
      <c r="M10513" s="514"/>
    </row>
    <row r="10514" spans="13:13" x14ac:dyDescent="0.25">
      <c r="M10514" s="514"/>
    </row>
    <row r="10515" spans="13:13" x14ac:dyDescent="0.25">
      <c r="M10515" s="514"/>
    </row>
    <row r="10516" spans="13:13" x14ac:dyDescent="0.25">
      <c r="M10516" s="514"/>
    </row>
    <row r="10517" spans="13:13" x14ac:dyDescent="0.25">
      <c r="M10517" s="514"/>
    </row>
    <row r="10518" spans="13:13" x14ac:dyDescent="0.25">
      <c r="M10518" s="514"/>
    </row>
    <row r="10519" spans="13:13" x14ac:dyDescent="0.25">
      <c r="M10519" s="514"/>
    </row>
    <row r="10520" spans="13:13" x14ac:dyDescent="0.25">
      <c r="M10520" s="514"/>
    </row>
    <row r="10521" spans="13:13" x14ac:dyDescent="0.25">
      <c r="M10521" s="514"/>
    </row>
    <row r="10522" spans="13:13" x14ac:dyDescent="0.25">
      <c r="M10522" s="514"/>
    </row>
    <row r="10523" spans="13:13" x14ac:dyDescent="0.25">
      <c r="M10523" s="514"/>
    </row>
    <row r="10524" spans="13:13" x14ac:dyDescent="0.25">
      <c r="M10524" s="514"/>
    </row>
    <row r="10525" spans="13:13" x14ac:dyDescent="0.25">
      <c r="M10525" s="514"/>
    </row>
    <row r="10526" spans="13:13" x14ac:dyDescent="0.25">
      <c r="M10526" s="514"/>
    </row>
    <row r="10527" spans="13:13" x14ac:dyDescent="0.25">
      <c r="M10527" s="514"/>
    </row>
    <row r="10528" spans="13:13" x14ac:dyDescent="0.25">
      <c r="M10528" s="514"/>
    </row>
    <row r="10529" spans="13:13" x14ac:dyDescent="0.25">
      <c r="M10529" s="514"/>
    </row>
    <row r="10530" spans="13:13" x14ac:dyDescent="0.25">
      <c r="M10530" s="514"/>
    </row>
    <row r="10531" spans="13:13" x14ac:dyDescent="0.25">
      <c r="M10531" s="514"/>
    </row>
    <row r="10532" spans="13:13" x14ac:dyDescent="0.25">
      <c r="M10532" s="514"/>
    </row>
    <row r="10533" spans="13:13" x14ac:dyDescent="0.25">
      <c r="M10533" s="514"/>
    </row>
    <row r="10534" spans="13:13" x14ac:dyDescent="0.25">
      <c r="M10534" s="514"/>
    </row>
    <row r="10535" spans="13:13" x14ac:dyDescent="0.25">
      <c r="M10535" s="514"/>
    </row>
    <row r="10536" spans="13:13" x14ac:dyDescent="0.25">
      <c r="M10536" s="514"/>
    </row>
    <row r="10537" spans="13:13" x14ac:dyDescent="0.25">
      <c r="M10537" s="514"/>
    </row>
    <row r="10538" spans="13:13" x14ac:dyDescent="0.25">
      <c r="M10538" s="514"/>
    </row>
    <row r="10539" spans="13:13" x14ac:dyDescent="0.25">
      <c r="M10539" s="514"/>
    </row>
    <row r="10540" spans="13:13" x14ac:dyDescent="0.25">
      <c r="M10540" s="514"/>
    </row>
    <row r="10541" spans="13:13" x14ac:dyDescent="0.25">
      <c r="M10541" s="514"/>
    </row>
    <row r="10542" spans="13:13" x14ac:dyDescent="0.25">
      <c r="M10542" s="514"/>
    </row>
    <row r="10543" spans="13:13" x14ac:dyDescent="0.25">
      <c r="M10543" s="514"/>
    </row>
    <row r="10544" spans="13:13" x14ac:dyDescent="0.25">
      <c r="M10544" s="514"/>
    </row>
    <row r="10545" spans="13:13" x14ac:dyDescent="0.25">
      <c r="M10545" s="514"/>
    </row>
    <row r="10546" spans="13:13" x14ac:dyDescent="0.25">
      <c r="M10546" s="514"/>
    </row>
    <row r="10547" spans="13:13" x14ac:dyDescent="0.25">
      <c r="M10547" s="514"/>
    </row>
    <row r="10548" spans="13:13" x14ac:dyDescent="0.25">
      <c r="M10548" s="514"/>
    </row>
    <row r="10549" spans="13:13" x14ac:dyDescent="0.25">
      <c r="M10549" s="514"/>
    </row>
    <row r="10550" spans="13:13" x14ac:dyDescent="0.25">
      <c r="M10550" s="514"/>
    </row>
    <row r="10551" spans="13:13" x14ac:dyDescent="0.25">
      <c r="M10551" s="514"/>
    </row>
    <row r="10552" spans="13:13" x14ac:dyDescent="0.25">
      <c r="M10552" s="514"/>
    </row>
    <row r="10553" spans="13:13" x14ac:dyDescent="0.25">
      <c r="M10553" s="514"/>
    </row>
    <row r="10554" spans="13:13" x14ac:dyDescent="0.25">
      <c r="M10554" s="514"/>
    </row>
    <row r="10555" spans="13:13" x14ac:dyDescent="0.25">
      <c r="M10555" s="514"/>
    </row>
    <row r="10556" spans="13:13" x14ac:dyDescent="0.25">
      <c r="M10556" s="514"/>
    </row>
  </sheetData>
  <autoFilter ref="A4:GY444">
    <filterColumn colId="1">
      <customFilters and="1">
        <customFilter operator="notEqual" val=" "/>
      </customFilters>
    </filterColumn>
  </autoFilter>
  <mergeCells count="3">
    <mergeCell ref="B2:E2"/>
    <mergeCell ref="P2:R2"/>
    <mergeCell ref="B1:E1"/>
  </mergeCells>
  <phoneticPr fontId="19" type="noConversion"/>
  <pageMargins left="0.78740157480314965" right="0" top="0" bottom="0" header="0" footer="0"/>
  <pageSetup paperSize="9" scale="46" orientation="portrait" r:id="rId1"/>
  <headerFooter alignWithMargins="0"/>
  <rowBreaks count="4" manualBreakCount="4">
    <brk id="105" max="16383" man="1"/>
    <brk id="221" min="1" max="240" man="1"/>
    <brk id="442" min="1" max="240" man="1"/>
    <brk id="509" max="16383" man="1"/>
  </rowBreaks>
  <colBreaks count="2" manualBreakCount="2">
    <brk id="15" max="10555" man="1"/>
    <brk id="23" max="10555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7</vt:i4>
      </vt:variant>
    </vt:vector>
  </HeadingPairs>
  <TitlesOfParts>
    <vt:vector size="12" baseType="lpstr">
      <vt:lpstr>СПИСОК ТОВ.на 1 ноя в ОБОРОТЕ</vt:lpstr>
      <vt:lpstr>НОЯБ2017</vt:lpstr>
      <vt:lpstr>ДЕК17</vt:lpstr>
      <vt:lpstr>ЯНВ18</vt:lpstr>
      <vt:lpstr>feb</vt:lpstr>
      <vt:lpstr>feb!Заголовки_для_печати</vt:lpstr>
      <vt:lpstr>ДЕК17!Заголовки_для_печати</vt:lpstr>
      <vt:lpstr>НОЯБ2017!Заголовки_для_печати</vt:lpstr>
      <vt:lpstr>'СПИСОК ТОВ.на 1 ноя в ОБОРОТЕ'!Заголовки_для_печати</vt:lpstr>
      <vt:lpstr>ЯНВ18!Заголовки_для_печати</vt:lpstr>
      <vt:lpstr>feb!Область_печати</vt:lpstr>
      <vt:lpstr>ЯНВ18!Область_печати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Т.Петюлько</dc:creator>
  <cp:lastModifiedBy>User</cp:lastModifiedBy>
  <cp:lastPrinted>2018-03-15T12:34:45Z</cp:lastPrinted>
  <dcterms:created xsi:type="dcterms:W3CDTF">2003-10-01T10:51:45Z</dcterms:created>
  <dcterms:modified xsi:type="dcterms:W3CDTF">2018-03-23T07:56:45Z</dcterms:modified>
</cp:coreProperties>
</file>